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pick\Work Folders\SA Public Lighting\"/>
    </mc:Choice>
  </mc:AlternateContent>
  <bookViews>
    <workbookView xWindow="-120" yWindow="-120" windowWidth="28095" windowHeight="16440" tabRatio="781" firstSheet="2" activeTab="3"/>
  </bookViews>
  <sheets>
    <sheet name="AER only" sheetId="7959" state="veryHidden" r:id="rId1"/>
    <sheet name="Business &amp; other details" sheetId="7958" state="veryHidden" r:id="rId2"/>
    <sheet name="Intro" sheetId="7941" r:id="rId3"/>
    <sheet name="DMS input" sheetId="7952" r:id="rId4"/>
    <sheet name="PTRM input" sheetId="1" r:id="rId5"/>
    <sheet name="WACC" sheetId="2" r:id="rId6"/>
    <sheet name="Assets" sheetId="18" r:id="rId7"/>
    <sheet name="Analysis" sheetId="24" r:id="rId8"/>
    <sheet name="Forecast revenues" sheetId="7942" r:id="rId9"/>
    <sheet name="X factors" sheetId="7943" r:id="rId10"/>
    <sheet name="Revenue summary" sheetId="7946" r:id="rId11"/>
    <sheet name="Equity raising costs" sheetId="7945" r:id="rId12"/>
    <sheet name="Chart 1-Revenue" sheetId="7947" r:id="rId13"/>
    <sheet name="Chart 2-Price path" sheetId="7948" r:id="rId14"/>
    <sheet name="Chart 3-Building blocks" sheetId="7949" r:id="rId15"/>
  </sheets>
  <externalReferences>
    <externalReference r:id="rId16"/>
    <externalReference r:id="rId17"/>
  </externalReferences>
  <definedNames>
    <definedName name="_xlnm._FilterDatabase" localSheetId="0" hidden="1">'AER only'!$B$7:$AA$45</definedName>
    <definedName name="_xlnm._FilterDatabase" localSheetId="1" hidden="1">'[1]AER only'!$G$1:$G$71</definedName>
    <definedName name="A10remlife">'PTRM input'!$L$16</definedName>
    <definedName name="A10stdlife">'PTRM input'!$M$16</definedName>
    <definedName name="A10taxremlife">'PTRM input'!$O$16</definedName>
    <definedName name="A10taxstdlife">'PTRM input'!$P$16</definedName>
    <definedName name="A10taxvalue">'PTRM input'!$N$16</definedName>
    <definedName name="A10value">'PTRM input'!$J$16</definedName>
    <definedName name="A10wipvalue">'PTRM input'!$K$16</definedName>
    <definedName name="A11remlife">'PTRM input'!$L$17</definedName>
    <definedName name="A11stdlife">'PTRM input'!$M$17</definedName>
    <definedName name="A11taxremlife">'PTRM input'!$O$17</definedName>
    <definedName name="A11taxstdlife">'PTRM input'!$P$17</definedName>
    <definedName name="A11taxvalue">'PTRM input'!$N$17</definedName>
    <definedName name="A11value">'PTRM input'!$J$17</definedName>
    <definedName name="A11wipvalue">'PTRM input'!$K$17</definedName>
    <definedName name="A12remlife">'PTRM input'!$L$18</definedName>
    <definedName name="A12stdlife">'PTRM input'!$M$18</definedName>
    <definedName name="A12taxremlife">'PTRM input'!$O$18</definedName>
    <definedName name="A12taxstdlife">'PTRM input'!$P$18</definedName>
    <definedName name="A12taxvalue">'PTRM input'!$N$18</definedName>
    <definedName name="A12value">'PTRM input'!$J$18</definedName>
    <definedName name="A12wipvalue">'PTRM input'!$K$18</definedName>
    <definedName name="A13remlife">'PTRM input'!$L$19</definedName>
    <definedName name="A13stdlife">'PTRM input'!$M$19</definedName>
    <definedName name="A13taxremlife">'PTRM input'!$O$19</definedName>
    <definedName name="A13taxstdlife">'PTRM input'!$P$19</definedName>
    <definedName name="A13taxvalue">'PTRM input'!$N$19</definedName>
    <definedName name="A13value">'PTRM input'!$J$19</definedName>
    <definedName name="A13wipvalue">'PTRM input'!$K$19</definedName>
    <definedName name="A14remlife">'PTRM input'!$L$20</definedName>
    <definedName name="A14stdlife">'PTRM input'!$M$20</definedName>
    <definedName name="A14taxremlife">'PTRM input'!$O$20</definedName>
    <definedName name="A14taxstdlife">'PTRM input'!$P$20</definedName>
    <definedName name="A14taxvalue">'PTRM input'!$N$20</definedName>
    <definedName name="A14value">'PTRM input'!$J$20</definedName>
    <definedName name="A14wipvalue">'PTRM input'!$K$20</definedName>
    <definedName name="A15remlife">'PTRM input'!$L$21</definedName>
    <definedName name="A15stdlife">'PTRM input'!$M$21</definedName>
    <definedName name="A15taxremlife">'PTRM input'!$O$21</definedName>
    <definedName name="A15taxstdlife">'PTRM input'!$P$21</definedName>
    <definedName name="A15taxvalue">'PTRM input'!$N$21</definedName>
    <definedName name="A15value">'PTRM input'!$J$21</definedName>
    <definedName name="A15wipvalue">'PTRM input'!$K$21</definedName>
    <definedName name="A16remlife">'PTRM input'!$L$22</definedName>
    <definedName name="A16stdlife">'PTRM input'!$M$22</definedName>
    <definedName name="A16taxremlife">'PTRM input'!$O$22</definedName>
    <definedName name="A16taxstdlife">'PTRM input'!$P$22</definedName>
    <definedName name="A16taxvalue">'PTRM input'!$N$22</definedName>
    <definedName name="A16value">'PTRM input'!$J$22</definedName>
    <definedName name="A16wipvalue">'PTRM input'!$K$22</definedName>
    <definedName name="A17remlife">'PTRM input'!$L$23</definedName>
    <definedName name="A17stdlife">'PTRM input'!$M$23</definedName>
    <definedName name="A17taxremlife">'PTRM input'!$O$23</definedName>
    <definedName name="A17taxstdlife">'PTRM input'!$P$23</definedName>
    <definedName name="A17taxvalue">'PTRM input'!$N$23</definedName>
    <definedName name="A17value">'PTRM input'!$J$23</definedName>
    <definedName name="A17wipvalue">'PTRM input'!$K$23</definedName>
    <definedName name="A18remlife">'PTRM input'!$L$24</definedName>
    <definedName name="A18stdlife">'PTRM input'!$M$24</definedName>
    <definedName name="A18taxremlife">'PTRM input'!$O$24</definedName>
    <definedName name="A18taxstdlife">'PTRM input'!$P$24</definedName>
    <definedName name="A18taxvalue">'PTRM input'!$N$24</definedName>
    <definedName name="A18value">'PTRM input'!$J$24</definedName>
    <definedName name="A18wipvalue">'PTRM input'!$K$24</definedName>
    <definedName name="A19remlife">'PTRM input'!$L$25</definedName>
    <definedName name="A19stdlife">'PTRM input'!$M$25</definedName>
    <definedName name="A19taxremlife">'PTRM input'!$O$25</definedName>
    <definedName name="A19taxstdlife">'PTRM input'!$P$25</definedName>
    <definedName name="A19taxvalue">'PTRM input'!$N$25</definedName>
    <definedName name="A19value">'PTRM input'!$J$25</definedName>
    <definedName name="A19wipvalue">'PTRM input'!$K$25</definedName>
    <definedName name="A1remlife">'PTRM input'!$L$7</definedName>
    <definedName name="A1stdlife">'PTRM input'!$M$7</definedName>
    <definedName name="A1taxremlife">'PTRM input'!$O$7</definedName>
    <definedName name="A1taxstdlife">'PTRM input'!$P$7</definedName>
    <definedName name="A1taxvalue">'PTRM input'!$N$7</definedName>
    <definedName name="A1value">'PTRM input'!$J$7</definedName>
    <definedName name="A1wipvalue">'PTRM input'!$K$7</definedName>
    <definedName name="A20remlife">'PTRM input'!$L$26</definedName>
    <definedName name="A20stdlife">'PTRM input'!$M$26</definedName>
    <definedName name="A20taxremlife">'PTRM input'!$O$26</definedName>
    <definedName name="A20taxstdlife">'PTRM input'!$P$26</definedName>
    <definedName name="A20taxvalue">'PTRM input'!$N$26</definedName>
    <definedName name="A20value">'PTRM input'!$J$26</definedName>
    <definedName name="A20wipvalue">'PTRM input'!$K$26</definedName>
    <definedName name="A21remlife">'PTRM input'!$L$27</definedName>
    <definedName name="A21stdlife">'PTRM input'!$M$27</definedName>
    <definedName name="A21taxremlife">'PTRM input'!$O$27</definedName>
    <definedName name="A21taxstdlife">'PTRM input'!$P$27</definedName>
    <definedName name="A21taxvalue">'PTRM input'!$N$27</definedName>
    <definedName name="A21value">'PTRM input'!$J$27</definedName>
    <definedName name="A21wipvalue">'PTRM input'!$K$27</definedName>
    <definedName name="A22remlife">'PTRM input'!$L$28</definedName>
    <definedName name="A22stdlife">'PTRM input'!$M$28</definedName>
    <definedName name="A22taxremlife">'PTRM input'!$O$28</definedName>
    <definedName name="A22taxstdlife">'PTRM input'!$P$28</definedName>
    <definedName name="A22taxvalue">'PTRM input'!$N$28</definedName>
    <definedName name="A22value">'PTRM input'!$J$28</definedName>
    <definedName name="A22wipvalue">'PTRM input'!$K$28</definedName>
    <definedName name="A23remlife">'PTRM input'!$L$29</definedName>
    <definedName name="A23stdlife">'PTRM input'!$M$29</definedName>
    <definedName name="A23taxremlife">'PTRM input'!$O$29</definedName>
    <definedName name="A23taxstdlife">'PTRM input'!$P$29</definedName>
    <definedName name="A23taxvalue">'PTRM input'!$N$29</definedName>
    <definedName name="A23value">'PTRM input'!$J$29</definedName>
    <definedName name="A23wipvalue">'PTRM input'!$K$29</definedName>
    <definedName name="A24remlife">'PTRM input'!$L$30</definedName>
    <definedName name="A24stdlife">'PTRM input'!$M$30</definedName>
    <definedName name="A24taxremlife">'PTRM input'!$O$30</definedName>
    <definedName name="A24taxstdlife">'PTRM input'!$P$30</definedName>
    <definedName name="A24taxvalue">'PTRM input'!$N$30</definedName>
    <definedName name="A24value">'PTRM input'!$J$30</definedName>
    <definedName name="A24wipvalue">'PTRM input'!$K$30</definedName>
    <definedName name="A25remlife">'PTRM input'!$L$31</definedName>
    <definedName name="A25stdlife">'PTRM input'!$M$31</definedName>
    <definedName name="A25taxremlife">'PTRM input'!$O$31</definedName>
    <definedName name="A25taxstdlife">'PTRM input'!$P$31</definedName>
    <definedName name="A25taxvalue">'PTRM input'!$N$31</definedName>
    <definedName name="A25value">'PTRM input'!$J$31</definedName>
    <definedName name="A25wipvalue">'PTRM input'!$K$31</definedName>
    <definedName name="A26remlife">'PTRM input'!$L$32</definedName>
    <definedName name="A26stdlife">'PTRM input'!$M$32</definedName>
    <definedName name="A26taxremlife">'PTRM input'!$O$32</definedName>
    <definedName name="A26taxstdlife">'PTRM input'!$P$32</definedName>
    <definedName name="A26taxvalue">'PTRM input'!$N$32</definedName>
    <definedName name="A26value">'PTRM input'!$J$32</definedName>
    <definedName name="A26wipvalue">'PTRM input'!$K$32</definedName>
    <definedName name="A27remlife">'PTRM input'!$L$33</definedName>
    <definedName name="A27stdlife">'PTRM input'!$M$33</definedName>
    <definedName name="A27taxremlife">'PTRM input'!$O$33</definedName>
    <definedName name="A27taxstdlife">'PTRM input'!$P$33</definedName>
    <definedName name="A27taxvalue">'PTRM input'!$N$33</definedName>
    <definedName name="A27value">'PTRM input'!$J$33</definedName>
    <definedName name="A27wipvalue">'PTRM input'!$K$33</definedName>
    <definedName name="A28remlife">'PTRM input'!$L$34</definedName>
    <definedName name="A28stdlife">'PTRM input'!$M$34</definedName>
    <definedName name="A28taxremlife">'PTRM input'!$O$34</definedName>
    <definedName name="A28taxstdlife">'PTRM input'!$P$34</definedName>
    <definedName name="A28taxvalue">'PTRM input'!$N$34</definedName>
    <definedName name="A28value">'PTRM input'!$J$34</definedName>
    <definedName name="A28wipvalue">'PTRM input'!$K$34</definedName>
    <definedName name="A29remlife">'PTRM input'!$L$35</definedName>
    <definedName name="A29stdlife">'PTRM input'!$M$35</definedName>
    <definedName name="A29taxremlife">'PTRM input'!$O$35</definedName>
    <definedName name="A29taxstdlife">'PTRM input'!$P$35</definedName>
    <definedName name="A29taxvalue">'PTRM input'!$N$35</definedName>
    <definedName name="A29value">'PTRM input'!$J$35</definedName>
    <definedName name="A29wipvalue">'PTRM input'!$K$35</definedName>
    <definedName name="A2remlife">'PTRM input'!$L$8</definedName>
    <definedName name="A2stdlife">'PTRM input'!$M$8</definedName>
    <definedName name="A2taxremlife">'PTRM input'!$O$8</definedName>
    <definedName name="A2taxstdlife">'PTRM input'!$P$8</definedName>
    <definedName name="A2taxvalue">'PTRM input'!$N$8</definedName>
    <definedName name="A2value">'PTRM input'!$J$8</definedName>
    <definedName name="A2wipvalue">'PTRM input'!$K$8</definedName>
    <definedName name="A30remlife">'PTRM input'!$L$36</definedName>
    <definedName name="A30stdlife">'PTRM input'!$M$36</definedName>
    <definedName name="A30taxremlife">'PTRM input'!$O$36</definedName>
    <definedName name="A30taxstdlife">'PTRM input'!$P$36</definedName>
    <definedName name="A30taxvalue">'PTRM input'!$N$36</definedName>
    <definedName name="A30value">'PTRM input'!$J$36</definedName>
    <definedName name="A30wipvalue">'PTRM input'!$K$36</definedName>
    <definedName name="A3remlife">'PTRM input'!$L$9</definedName>
    <definedName name="A3stdlife">'PTRM input'!$M$9</definedName>
    <definedName name="A3taxremlife">'PTRM input'!$O$9</definedName>
    <definedName name="A3taxstdlife">'PTRM input'!$P$9</definedName>
    <definedName name="A3taxvalue">'PTRM input'!$N$9</definedName>
    <definedName name="A3value">'PTRM input'!$J$9</definedName>
    <definedName name="A3wipvalue">'PTRM input'!$K$9</definedName>
    <definedName name="A4remlife">'PTRM input'!$L$10</definedName>
    <definedName name="A4stdlife">'PTRM input'!$M$10</definedName>
    <definedName name="A4taxremlife">'PTRM input'!$O$10</definedName>
    <definedName name="A4taxstdlife">'PTRM input'!$P$10</definedName>
    <definedName name="A4taxvalue">'PTRM input'!$N$10</definedName>
    <definedName name="A4value">'PTRM input'!$J$10</definedName>
    <definedName name="A4wipvalue">'PTRM input'!$K$10</definedName>
    <definedName name="A5remlife">'PTRM input'!$L$11</definedName>
    <definedName name="A5stdlife">'PTRM input'!$M$11</definedName>
    <definedName name="A5taxremlife">'PTRM input'!$O$11</definedName>
    <definedName name="A5taxstdlife">'PTRM input'!$P$11</definedName>
    <definedName name="A5taxvalue">'PTRM input'!$N$11</definedName>
    <definedName name="A5value">'PTRM input'!$J$11</definedName>
    <definedName name="A5wipvalue">'PTRM input'!$K$11</definedName>
    <definedName name="A6remlife">'PTRM input'!$L$12</definedName>
    <definedName name="A6stdlife">'PTRM input'!$M$12</definedName>
    <definedName name="A6taxremlife">'PTRM input'!$O$12</definedName>
    <definedName name="A6taxstdlife">'PTRM input'!$P$12</definedName>
    <definedName name="A6taxvalue">'PTRM input'!$N$12</definedName>
    <definedName name="A6value">'PTRM input'!$J$12</definedName>
    <definedName name="A6wipvalue">'PTRM input'!$K$12</definedName>
    <definedName name="A7remlife">'PTRM input'!$L$13</definedName>
    <definedName name="A7stdlife">'PTRM input'!$M$13</definedName>
    <definedName name="A7taxremlife">'PTRM input'!$O$13</definedName>
    <definedName name="A7taxstdlife">'PTRM input'!$P$13</definedName>
    <definedName name="A7taxvalue">'PTRM input'!$N$13</definedName>
    <definedName name="A7value">'PTRM input'!$J$13</definedName>
    <definedName name="A7wipvalue">'PTRM input'!$K$13</definedName>
    <definedName name="A8remlife">'PTRM input'!$L$14</definedName>
    <definedName name="A8stdlife">'PTRM input'!$M$14</definedName>
    <definedName name="A8taxremlife">'PTRM input'!$O$14</definedName>
    <definedName name="A8taxstdlife">'PTRM input'!$P$14</definedName>
    <definedName name="A8taxvalue">'PTRM input'!$N$14</definedName>
    <definedName name="A8value">'PTRM input'!$J$14</definedName>
    <definedName name="A8wipvalue">'PTRM input'!$K$14</definedName>
    <definedName name="A9remlife">'PTRM input'!$L$15</definedName>
    <definedName name="A9stdlife">'PTRM input'!$M$15</definedName>
    <definedName name="A9taxremlife">'PTRM input'!$O$15</definedName>
    <definedName name="A9taxstdlife">'PTRM input'!$P$15</definedName>
    <definedName name="A9taxvalue">'PTRM input'!$N$15</definedName>
    <definedName name="A9value">'PTRM input'!$J$15</definedName>
    <definedName name="A9wipvalue">'PTRM input'!$K$15</definedName>
    <definedName name="anscount" hidden="1">1</definedName>
    <definedName name="Asset1">'PTRM input'!$G$7</definedName>
    <definedName name="Asset10">'PTRM input'!$G$16</definedName>
    <definedName name="Asset11">'PTRM input'!$G$17</definedName>
    <definedName name="Asset12">'PTRM input'!$G$18</definedName>
    <definedName name="Asset13">'PTRM input'!$G$19</definedName>
    <definedName name="Asset14">'PTRM input'!$G$20</definedName>
    <definedName name="Asset15">'PTRM input'!$G$21</definedName>
    <definedName name="Asset16">'PTRM input'!$G$22</definedName>
    <definedName name="Asset17">'PTRM input'!$G$23</definedName>
    <definedName name="Asset18">'PTRM input'!$G$24</definedName>
    <definedName name="Asset19">'PTRM input'!$G$25</definedName>
    <definedName name="Asset2">'PTRM input'!$G$8</definedName>
    <definedName name="Asset20">'PTRM input'!$G$26</definedName>
    <definedName name="Asset21">'PTRM input'!$G$27</definedName>
    <definedName name="Asset22">'PTRM input'!$G$28</definedName>
    <definedName name="Asset23">'PTRM input'!$G$29</definedName>
    <definedName name="Asset24">'PTRM input'!$G$30</definedName>
    <definedName name="Asset25">'PTRM input'!$G$31</definedName>
    <definedName name="Asset26">'PTRM input'!$G$32</definedName>
    <definedName name="Asset27">'PTRM input'!$G$33</definedName>
    <definedName name="Asset28">'PTRM input'!$G$34</definedName>
    <definedName name="Asset29">'PTRM input'!$G$35</definedName>
    <definedName name="Asset3">'PTRM input'!$G$9</definedName>
    <definedName name="Asset30">'PTRM input'!$G$36</definedName>
    <definedName name="Asset4">'PTRM input'!$G$10</definedName>
    <definedName name="Asset5">'PTRM input'!$G$11</definedName>
    <definedName name="Asset6">'PTRM input'!$G$12</definedName>
    <definedName name="Asset7">'PTRM input'!$G$13</definedName>
    <definedName name="Asset8">'PTRM input'!$G$14</definedName>
    <definedName name="Asset9">'PTRM input'!$G$15</definedName>
    <definedName name="Chosen_ERC_approach">'X factors'!$H$16</definedName>
    <definedName name="CRCP_span">CONCATENATE(CRCP_y1, " to ",CRCP_y5)</definedName>
    <definedName name="CRCP_y1">'Business &amp; other details'!$C$38</definedName>
    <definedName name="CRCP_y10">'Business &amp; other details'!$L$38</definedName>
    <definedName name="CRCP_y2">'Business &amp; other details'!$D$38</definedName>
    <definedName name="CRCP_y3">'Business &amp; other details'!$E$38</definedName>
    <definedName name="CRCP_y4">'Business &amp; other details'!$F$38</definedName>
    <definedName name="CRCP_y5">'Business &amp; other details'!$G$38</definedName>
    <definedName name="CRCP_y6">'Business &amp; other details'!$H$38</definedName>
    <definedName name="CRCP_y7">'Business &amp; other details'!$I$38</definedName>
    <definedName name="CRCP_y8">'Business &amp; other details'!$J$38</definedName>
    <definedName name="CRCP_y9">'Business &amp; other details'!$K$38</definedName>
    <definedName name="CRY___financial">'AER only'!$M$89:$M$108</definedName>
    <definedName name="CRY_calendar">'AER only'!$O$89:$O$108</definedName>
    <definedName name="dms_0203_ProjectType">'AER only'!$N$51:$N$58</definedName>
    <definedName name="dms_020303_01_UOM">'AER only'!$O$51:$O$57</definedName>
    <definedName name="dms_020501_01_UOM">'AER only'!$P$51:$P$63</definedName>
    <definedName name="dms_020501_02_UOM">'AER only'!$Q$51:$Q$59</definedName>
    <definedName name="dms_020501_03_UOM">'AER only'!$R$51:$R$60</definedName>
    <definedName name="dms_020501_04_UOM">'AER only'!$S$51:$S$59</definedName>
    <definedName name="dms_020603_01_UOM">'AER only'!$T$51:$T$55</definedName>
    <definedName name="dms_030601_01_UOM">'AER only'!$W$51:$W$54</definedName>
    <definedName name="dms_030601_02_UOM">'AER only'!$X$51:$X$54</definedName>
    <definedName name="dms_030701_01_UOM">'AER only'!$Y$51:$Y$53</definedName>
    <definedName name="dms_030702_01_UOM">'AER only'!$Z$51:$Z$64</definedName>
    <definedName name="dms_030703_01_UOM">'AER only'!$AA$51</definedName>
    <definedName name="dms_040102_01_UOM">'AER only'!$U$51:$U$54</definedName>
    <definedName name="dms_040102_04_UOM">'AER only'!$V$51:$V$54</definedName>
    <definedName name="DMS_50_01_01a">'PTRM input'!$J$7:$K$36</definedName>
    <definedName name="DMS_50_01_01b">'PTRM input'!$L$7:$M$36</definedName>
    <definedName name="DMS_50_01_01c">'PTRM input'!$N$7:$N$36</definedName>
    <definedName name="DMS_50_01_01d">'PTRM input'!$O$7:$P$36</definedName>
    <definedName name="DMS_50_01_02">'PTRM input'!$G$41:$K$70</definedName>
    <definedName name="DMS_50_01_03">'PTRM input'!$G$75:$K$104</definedName>
    <definedName name="DMS_50_01_04">'PTRM input'!$G$109:$K$138</definedName>
    <definedName name="DMS_50_01_05">'PTRM input'!$G$143:$K$172</definedName>
    <definedName name="DMS_50_01_10">'PTRM input'!$G$177:$K$186</definedName>
    <definedName name="DMS_50_01_11">'PTRM input'!$G$191:$K$200</definedName>
    <definedName name="DMS_50_01_12">'PTRM input'!$G$229:$G$233</definedName>
    <definedName name="DMS_50_01_13_y1">'PTRM input'!$G$242:$K$242</definedName>
    <definedName name="DMS_50_02_01">WACC!$G$6:$K$15</definedName>
    <definedName name="DMS_50_02_02">WACC!$G$18:$K$25</definedName>
    <definedName name="DMS_50_02_04">WACC!$G$27:$K$28</definedName>
    <definedName name="DMS_50_03_01">Assets!$G$874:$K$878</definedName>
    <definedName name="DMS_50_03_02">Assets!$G$883:$K$887</definedName>
    <definedName name="DMS_50_04_01">'Revenue summary'!$G$7:$K$11</definedName>
    <definedName name="DMS_50_04_02_01a">'Revenue summary'!$G$17:$K$17</definedName>
    <definedName name="DMS_50_04_02_01b">'Revenue summary'!$G$18:$K$18</definedName>
    <definedName name="DMS_50_04_02_02a">'Revenue summary'!$G$21:$K$21</definedName>
    <definedName name="DMS_50_04_02_02b">'Revenue summary'!$G$22:$K$22</definedName>
    <definedName name="DMS_50_04_02_03a">'Revenue summary'!$G$25:$K$25</definedName>
    <definedName name="DMS_50_04_02_03b">'Revenue summary'!$G$26:$K$26</definedName>
    <definedName name="DMS_50_04_03_01a">'Revenue summary'!$G$56:$K$56</definedName>
    <definedName name="DMS_50_04_03_01b">'Revenue summary'!$G$57:$K$57</definedName>
    <definedName name="DMS_50_04_03_01c">'Revenue summary'!$G$59:$K$59</definedName>
    <definedName name="DMS_50_04_03_01d">'Revenue summary'!$G$60:$K$60</definedName>
    <definedName name="DMS_50_04_03_02a">'Revenue summary'!$G$63:$K$63</definedName>
    <definedName name="DMS_50_04_03_02b">'Revenue summary'!$G$64:$K$64</definedName>
    <definedName name="DMS_50_04_03_02c">'Revenue summary'!$G$66:$K$66</definedName>
    <definedName name="DMS_50_04_03_02d">'Revenue summary'!$G$67:$K$67</definedName>
    <definedName name="DMS_50_04_03_03a">'Revenue summary'!$G$70:$K$70</definedName>
    <definedName name="DMS_50_04_03_03b">'Revenue summary'!$G$71:$K$71</definedName>
    <definedName name="DMS_50_04_03_03d">'Revenue summary'!$G$74:$K$74</definedName>
    <definedName name="DMS_50_04_04_01">'Revenue summary'!$G$73:$K$73</definedName>
    <definedName name="dms_663">'Business &amp; other details'!$C$83</definedName>
    <definedName name="dms_663_List">'AER only'!$M$8:$M$45</definedName>
    <definedName name="dms_ABN">'Business &amp; other details'!$C$15</definedName>
    <definedName name="dms_ABN_List">'AER only'!$D$8:$D$45</definedName>
    <definedName name="dms_Addr1">'Business &amp; other details'!$E$18</definedName>
    <definedName name="dms_Addr1_List">'AER only'!$O$8:$O$45</definedName>
    <definedName name="dms_Addr2">'Business &amp; other details'!$E$19</definedName>
    <definedName name="dms_Addr2_List">'AER only'!$P$8:$P$45</definedName>
    <definedName name="dms_AmendmentReason">'Business &amp; other details'!$C$54</definedName>
    <definedName name="dms_ARR">'Business &amp; other details'!$C$73</definedName>
    <definedName name="DMS_assetclassnames">'PTRM input'!$G$7:$I$36</definedName>
    <definedName name="DMS_assetlife">'PTRM input'!$L$6:$M$6</definedName>
    <definedName name="DMS_BuildBlock">'Revenue summary'!$D$7:$D$11</definedName>
    <definedName name="dms_CA">'Business &amp; other details'!$C$72</definedName>
    <definedName name="dms_CalYears">'AER only'!$P$89:$P$108</definedName>
    <definedName name="dms_CBD_flag">'AER only'!$AC$8:$AC$45</definedName>
    <definedName name="dms_CFinalYear_List">'AER only'!$E$89:$E$103</definedName>
    <definedName name="dms_Classification">'Business &amp; other details'!$C$62</definedName>
    <definedName name="dms_ContactEmail">'Business &amp; other details'!$C$31</definedName>
    <definedName name="dms_ContactEmail_List">'AER only'!$AA$8:$AA$45</definedName>
    <definedName name="dms_ContactEmail2">'Business &amp; other details'!$F$31</definedName>
    <definedName name="dms_ContactName1">'Business &amp; other details'!$C$29</definedName>
    <definedName name="dms_ContactName1_List">'AER only'!$Y$8:$Y$45</definedName>
    <definedName name="dms_ContactName2">'Business &amp; other details'!$F$29</definedName>
    <definedName name="dms_ContactPh1">'Business &amp; other details'!$C$30</definedName>
    <definedName name="dms_ContactPh1_List">'AER only'!$Z$8:$Z$45</definedName>
    <definedName name="dms_ContactPh2">'Business &amp; other details'!$F$30</definedName>
    <definedName name="DMS_CostOfCapitalParameters">WACC!$B$6:$B$15</definedName>
    <definedName name="dms_crcp_cy1">'AER only'!$H$107</definedName>
    <definedName name="dms_crcp_cy10">'AER only'!$H$116</definedName>
    <definedName name="dms_crcp_cy11">'AER only'!$H$117</definedName>
    <definedName name="dms_crcp_cy12">'AER only'!$H$118</definedName>
    <definedName name="dms_crcp_cy13">'AER only'!$H$119</definedName>
    <definedName name="dms_crcp_cy14">'AER only'!$H$120</definedName>
    <definedName name="dms_crcp_cy15">'AER only'!$H$121</definedName>
    <definedName name="dms_crcp_cy2">'AER only'!$H$108</definedName>
    <definedName name="dms_crcp_cy3">'AER only'!$H$109</definedName>
    <definedName name="dms_crcp_cy4">'AER only'!$H$110</definedName>
    <definedName name="dms_crcp_cy5">'AER only'!$H$111</definedName>
    <definedName name="dms_crcp_cy6">'AER only'!$H$112</definedName>
    <definedName name="dms_crcp_cy7">'AER only'!$H$113</definedName>
    <definedName name="dms_crcp_cy8">'AER only'!$H$114</definedName>
    <definedName name="dms_crcp_cy9">'AER only'!$H$115</definedName>
    <definedName name="dms_CRCP_FinalYear_Ref">'Business &amp; other details'!$C$80</definedName>
    <definedName name="dms_CRCP_FinalYear_Result">'Business &amp; other details'!$C$82</definedName>
    <definedName name="dms_CRCP_FirstYear_Result">'Business &amp; other details'!$C$81</definedName>
    <definedName name="dms_CRCP_index">'AER only'!$J$89:$J$103</definedName>
    <definedName name="dms_CRCP_years">'AER only'!$H$89:$H$103</definedName>
    <definedName name="dms_CRCP_yM">'AER only'!$H$102</definedName>
    <definedName name="dms_CRCP_yN">'AER only'!$H$101</definedName>
    <definedName name="dms_CRCP_yO">'AER only'!$H$100</definedName>
    <definedName name="dms_CRCP_yP">'AER only'!$H$99</definedName>
    <definedName name="dms_CRCP_yQ">'AER only'!$H$98</definedName>
    <definedName name="dms_CRCP_yR">'AER only'!$H$97</definedName>
    <definedName name="dms_CRCP_yS">'AER only'!$H$96</definedName>
    <definedName name="dms_CRCP_yT">'AER only'!$H$95</definedName>
    <definedName name="dms_CRCP_yU">'AER only'!$H$94</definedName>
    <definedName name="dms_CRCP_yV">'AER only'!$H$93</definedName>
    <definedName name="dms_CRCP_yW">'AER only'!$H$92</definedName>
    <definedName name="dms_CRCP_yX">'AER only'!$H$91</definedName>
    <definedName name="dms_CRCP_yY">'AER only'!$H$90</definedName>
    <definedName name="dms_CRCP_yZ">'AER only'!$H$89</definedName>
    <definedName name="dms_CRCPlength_List">'AER only'!$K$8:$K$45</definedName>
    <definedName name="dms_CRCPlength_Num">'Business &amp; other details'!$C$79</definedName>
    <definedName name="dms_CRCPlength_Num_List">'AER only'!$D$89:$D$103</definedName>
    <definedName name="dms_CRY_ListC">'AER only'!$D$107:$D$126</definedName>
    <definedName name="dms_CRY_ListF">'AER only'!$C$107:$C$126</definedName>
    <definedName name="dms_CRYc_y1">'AER only'!$O$89</definedName>
    <definedName name="dms_CRYc_y10">'AER only'!$O$98</definedName>
    <definedName name="dms_CRYc_y11">'AER only'!$O$99</definedName>
    <definedName name="dms_CRYc_y12">'AER only'!$O$100</definedName>
    <definedName name="dms_CRYc_y13">'AER only'!$O$101</definedName>
    <definedName name="dms_CRYc_y14">'AER only'!$O$102</definedName>
    <definedName name="dms_CRYc_y15">'AER only'!$O$103</definedName>
    <definedName name="dms_CRYc_y16">'AER only'!$O$104</definedName>
    <definedName name="dms_CRYc_y17">'AER only'!$O$105</definedName>
    <definedName name="dms_CRYc_y18">'AER only'!$O$106</definedName>
    <definedName name="dms_CRYc_y19">'AER only'!$O$107</definedName>
    <definedName name="dms_CRYc_y2">'AER only'!$O$90</definedName>
    <definedName name="dms_CRYc_y20">'AER only'!$O$108</definedName>
    <definedName name="dms_CRYc_y3">'AER only'!$O$91</definedName>
    <definedName name="dms_CRYc_y4">'AER only'!$O$92</definedName>
    <definedName name="dms_CRYc_y5">'AER only'!$O$93</definedName>
    <definedName name="dms_CRYc_y6">'AER only'!$O$94</definedName>
    <definedName name="dms_CRYc_y7">'AER only'!$O$95</definedName>
    <definedName name="dms_CRYc_y8">'AER only'!$O$96</definedName>
    <definedName name="dms_CRYc_y9">'AER only'!$O$97</definedName>
    <definedName name="dms_CRYf_y1">'AER only'!$M$89</definedName>
    <definedName name="dms_CRYf_y10">'AER only'!$M$98</definedName>
    <definedName name="dms_CRYf_y11">'AER only'!$M$99</definedName>
    <definedName name="dms_CRYf_y12">'AER only'!$M$100</definedName>
    <definedName name="dms_CRYf_y13">'AER only'!$M$101</definedName>
    <definedName name="dms_CRYf_y14">'AER only'!$M$102</definedName>
    <definedName name="dms_CRYf_y15">'AER only'!$M$103</definedName>
    <definedName name="dms_CRYf_y16">'AER only'!$M$104</definedName>
    <definedName name="dms_CRYf_y17">'AER only'!$M$105</definedName>
    <definedName name="dms_CRYf_y18">'AER only'!$M$106</definedName>
    <definedName name="dms_CRYf_y19">'AER only'!$M$107</definedName>
    <definedName name="dms_CRYf_y2">'AER only'!$M$90</definedName>
    <definedName name="dms_CRYf_y20">'AER only'!$M$108</definedName>
    <definedName name="dms_CRYf_y3">'AER only'!$M$91</definedName>
    <definedName name="dms_CRYf_y4">'AER only'!$M$92</definedName>
    <definedName name="dms_CRYf_y5">'AER only'!$M$93</definedName>
    <definedName name="dms_CRYf_y6">'AER only'!$M$94</definedName>
    <definedName name="dms_CRYf_y7">'AER only'!$M$95</definedName>
    <definedName name="dms_CRYf_y8">'AER only'!$M$96</definedName>
    <definedName name="dms_CRYf_y9">'AER only'!$M$97</definedName>
    <definedName name="dms_cy1">'AER only'!$D$107</definedName>
    <definedName name="dms_cy10">'AER only'!$D$116</definedName>
    <definedName name="dms_cy11">'AER only'!$D$117</definedName>
    <definedName name="dms_cy12">'AER only'!$D$118</definedName>
    <definedName name="dms_cy13">'AER only'!$D$119</definedName>
    <definedName name="dms_cy14">'AER only'!$D$120</definedName>
    <definedName name="dms_cy15">'AER only'!$D$121</definedName>
    <definedName name="dms_cy16">'AER only'!$D$122</definedName>
    <definedName name="dms_cy17">'AER only'!$D$123</definedName>
    <definedName name="dms_cy18">'AER only'!$D$124</definedName>
    <definedName name="dms_cy19">'AER only'!$D$125</definedName>
    <definedName name="dms_cy2">'AER only'!$D$108</definedName>
    <definedName name="dms_cy20">'AER only'!$D$126</definedName>
    <definedName name="dms_cy3">'AER only'!$D$109</definedName>
    <definedName name="dms_cy4">'AER only'!$D$110</definedName>
    <definedName name="dms_cy5">'AER only'!$D$111</definedName>
    <definedName name="dms_cy6">'AER only'!$D$112</definedName>
    <definedName name="dms_cy7">'AER only'!$D$113</definedName>
    <definedName name="dms_cy8">'AER only'!$D$114</definedName>
    <definedName name="dms_cy9">'AER only'!$D$115</definedName>
    <definedName name="DMS_DandEcosts">'PTRM input'!$E$229:$E$233</definedName>
    <definedName name="dms_DataQuality">'Business &amp; other details'!$C$53</definedName>
    <definedName name="dms_DataQuality_List">'AER only'!$B$61:$B$65</definedName>
    <definedName name="dms_Defined_Names_Used">'Business &amp; other details'!$C$90</definedName>
    <definedName name="dms_DeterminationRef">'Business &amp; other details'!$C$84</definedName>
    <definedName name="dms_DeterminationRef_List">'AER only'!$N$8:$N$45</definedName>
    <definedName name="dms_DollarReal">'Business &amp; other details'!$C$65</definedName>
    <definedName name="dms_EB">'Business &amp; other details'!$C$71</definedName>
    <definedName name="dms_EBSS_status">'Business &amp; other details'!$C$56</definedName>
    <definedName name="DMS_EnergyFC">'PTRM input'!$E$242</definedName>
    <definedName name="DMS_FCOpex">'PTRM input'!$E$177:$F$186</definedName>
    <definedName name="dms_FeederName_1">'AER only'!$AI$8:$AI$45</definedName>
    <definedName name="dms_FeederName_2">'AER only'!$AJ$8:$AJ$45</definedName>
    <definedName name="dms_FeederName_3">'AER only'!$AK$8:$AK$45</definedName>
    <definedName name="dms_FeederName_4">'AER only'!$AL$8:$AL$45</definedName>
    <definedName name="dms_FeederName_5">'AER only'!$AM$8:$AM$45</definedName>
    <definedName name="dms_FeederType_5_flag">'AER only'!$AG$8:$AG$45</definedName>
    <definedName name="dms_FinalYear_List">'AER only'!$C$89:$C$103</definedName>
    <definedName name="dms_FinYears">'AER only'!$N$89:$N$108</definedName>
    <definedName name="dms_FormControl">'Business &amp; other details'!$C$66</definedName>
    <definedName name="dms_FormControl_Choices">'AER only'!$C$69:$C$71</definedName>
    <definedName name="dms_FormControl_List">'AER only'!$H$8:$H$45</definedName>
    <definedName name="dms_FRCP_cyear_list">'AER only'!$I$107:$I$121</definedName>
    <definedName name="dms_frcp_fy1">'AER only'!$G$107</definedName>
    <definedName name="dms_frcp_fy10">'AER only'!$G$116</definedName>
    <definedName name="dms_frcp_fy11">'AER only'!$G$117</definedName>
    <definedName name="dms_frcp_fy12">'AER only'!$G$118</definedName>
    <definedName name="dms_frcp_fy13">'AER only'!$G$119</definedName>
    <definedName name="dms_frcp_fy14">'AER only'!$G$120</definedName>
    <definedName name="dms_frcp_fy15">'AER only'!$G$121</definedName>
    <definedName name="dms_frcp_fy2">'AER only'!$G$108</definedName>
    <definedName name="dms_frcp_fy3">'AER only'!$G$109</definedName>
    <definedName name="dms_frcp_fy4">'AER only'!$G$110</definedName>
    <definedName name="dms_frcp_fy5">'AER only'!$G$111</definedName>
    <definedName name="dms_frcp_fy6">'AER only'!$G$112</definedName>
    <definedName name="dms_frcp_fy7">'AER only'!$G$113</definedName>
    <definedName name="dms_frcp_fy8">'AER only'!$G$114</definedName>
    <definedName name="dms_frcp_fy9">'AER only'!$G$115</definedName>
    <definedName name="dms_FRCP_fyear_list">'AER only'!$F$107:$F$121</definedName>
    <definedName name="dms_FRCP_ListC">'AER only'!$H$107:$H$121</definedName>
    <definedName name="dms_FRCP_ListF">'AER only'!$G$107:$G$121</definedName>
    <definedName name="dms_FRCP_y1">'AER only'!$F$89</definedName>
    <definedName name="dms_FRCP_y10">'AER only'!$F$98</definedName>
    <definedName name="dms_FRCP_y11">'AER only'!$F$99</definedName>
    <definedName name="dms_FRCP_y12">'AER only'!$F$100</definedName>
    <definedName name="dms_FRCP_y13">'AER only'!$F$101</definedName>
    <definedName name="dms_FRCP_y14">'AER only'!$F$102</definedName>
    <definedName name="dms_FRCP_y2">'AER only'!$F$90</definedName>
    <definedName name="dms_FRCP_y3">'AER only'!$F$91</definedName>
    <definedName name="dms_FRCP_y4">'AER only'!$F$92</definedName>
    <definedName name="dms_FRCP_y5">'AER only'!$F$93</definedName>
    <definedName name="dms_FRCP_y6">'AER only'!$F$94</definedName>
    <definedName name="dms_FRCP_y7">'AER only'!$F$95</definedName>
    <definedName name="dms_FRCP_y8">'AER only'!$F$96</definedName>
    <definedName name="dms_FRCP_y9">'AER only'!$F$97</definedName>
    <definedName name="dms_FRCP_years">'AER only'!$F$89:$F$103</definedName>
    <definedName name="dms_FRCPlength_List">'AER only'!$L$8:$L$45</definedName>
    <definedName name="dms_FRCPlength_Num">'Business &amp; other details'!$C$76</definedName>
    <definedName name="dms_FRCPlength_Num_List">'AER only'!$B$89:$B$103</definedName>
    <definedName name="dms_fy1">'AER only'!$C$107</definedName>
    <definedName name="dms_fy10">'AER only'!$C$116</definedName>
    <definedName name="dms_fy11">'AER only'!$C$117</definedName>
    <definedName name="dms_fy12">'AER only'!$C$118</definedName>
    <definedName name="dms_fy13">'AER only'!$C$119</definedName>
    <definedName name="dms_fy14">'AER only'!$C$120</definedName>
    <definedName name="dms_fy15">'AER only'!$C$121</definedName>
    <definedName name="dms_fy16">'AER only'!$C$122</definedName>
    <definedName name="dms_fy17">'AER only'!$C$123</definedName>
    <definedName name="dms_fy18">'AER only'!$C$124</definedName>
    <definedName name="dms_fy19">'AER only'!$C$125</definedName>
    <definedName name="dms_fy2">'AER only'!$C$108</definedName>
    <definedName name="dms_fy20">'AER only'!$C$126</definedName>
    <definedName name="dms_fy3">'AER only'!$C$109</definedName>
    <definedName name="dms_fy4">'AER only'!$C$110</definedName>
    <definedName name="dms_fy5">'AER only'!$C$111</definedName>
    <definedName name="dms_fy6">'AER only'!$C$112</definedName>
    <definedName name="dms_fy7">'AER only'!$C$113</definedName>
    <definedName name="dms_fy8">'AER only'!$C$114</definedName>
    <definedName name="dms_fy9">'AER only'!$C$115</definedName>
    <definedName name="dms_Jurisdiction">'Business &amp; other details'!$C$68</definedName>
    <definedName name="dms_JurisdictionList">'AER only'!$E$8:$E$45</definedName>
    <definedName name="dms_LongRural_flag">'AER only'!$AF$8:$AF$45</definedName>
    <definedName name="dms_MAIFI_flag_List">'AER only'!$AH$8:$AH$45</definedName>
    <definedName name="dms_Model">'Business &amp; other details'!$C$61</definedName>
    <definedName name="dms_Model_List">'AER only'!$B$51:$B$58</definedName>
    <definedName name="dms_MultiYear_FinalYear_Ref">'Business &amp; other details'!$C$77</definedName>
    <definedName name="dms_MultiYear_FinalYear_Result">'Business &amp; other details'!$C$78</definedName>
    <definedName name="dms_MultiYear_Flag">'Business &amp; other details'!$C$69</definedName>
    <definedName name="DMS_oassetvalue">'PTRM input'!$J$6:$K$6</definedName>
    <definedName name="DMS_otaxvalue">'PTRM input'!$N$6</definedName>
    <definedName name="dms_PAddr1">'Business &amp; other details'!$E$23</definedName>
    <definedName name="dms_PAddr1_List">'AER only'!$T$8:$T$45</definedName>
    <definedName name="dms_PAddr2">'Business &amp; other details'!$E$24</definedName>
    <definedName name="dms_PAddr2_List">'AER only'!$U$8:$U$45</definedName>
    <definedName name="dms_PostCode">'Business &amp; other details'!$G$21</definedName>
    <definedName name="dms_PostCode_List">'AER only'!$S$8:$S$45</definedName>
    <definedName name="DMS_PPArevcap">'Revenue summary'!$D$63:$D$67</definedName>
    <definedName name="DMS_PPArevcap1">'Revenue summary'!$D$63</definedName>
    <definedName name="DMS_PPArevcap2">'Revenue summary'!$D$64</definedName>
    <definedName name="DMS_PPArevcap3">'Revenue summary'!$D$66</definedName>
    <definedName name="DMS_PPArevcap4">'Revenue summary'!$D$67</definedName>
    <definedName name="DMS_PPArevyield">'Revenue summary'!$D$70:$D$74</definedName>
    <definedName name="DMS_PPArevyield1">'Revenue summary'!$D$70</definedName>
    <definedName name="DMS_PPArevyield2">'Revenue summary'!$D$71</definedName>
    <definedName name="DMS_PPArevyield4">'Revenue summary'!$D$74</definedName>
    <definedName name="DMS_PPAwapc">'Revenue summary'!$D$56:$D$60</definedName>
    <definedName name="DMS_PPAwapc1">'Revenue summary'!$D$56</definedName>
    <definedName name="DMS_PPAwapc2">'Revenue summary'!$D$57</definedName>
    <definedName name="DMS_PPAwapc3">'Revenue summary'!$D$59</definedName>
    <definedName name="DMS_PPAwapc4">'Revenue summary'!$D$60</definedName>
    <definedName name="dms_PPostCode">'Business &amp; other details'!$G$26</definedName>
    <definedName name="dms_PPostCode_List">'AER only'!$X$8:$X$45</definedName>
    <definedName name="dms_PState">'Business &amp; other details'!$E$26</definedName>
    <definedName name="dms_PState_List">'AER only'!$W$8:$W$45</definedName>
    <definedName name="dms_PSuburb">'Business &amp; other details'!$E$25</definedName>
    <definedName name="dms_PSuburb_List">'AER only'!$V$8:$V$45</definedName>
    <definedName name="DMS_RAB">Assets!$B$874:$B$878</definedName>
    <definedName name="dms_RCP_cyear_list">'AER only'!$E$107:$E$126</definedName>
    <definedName name="dms_RCP_fyear_list">'AER only'!$B$107:$B$126</definedName>
    <definedName name="dms_Reason_Interruption">'AER only'!$AK$50:$AK$65</definedName>
    <definedName name="dms_Reason_Interruption_Detailed">'AER only'!$AJ$50:$AJ$72</definedName>
    <definedName name="dms_Reg_Year_Span">'Business &amp; other details'!$B$3</definedName>
    <definedName name="DMS_RevAdjust">'PTRM input'!$E$191:$F$200</definedName>
    <definedName name="DMS_Revyield">'Revenue summary'!$D$73</definedName>
    <definedName name="dms_RINversion">'Business &amp; other details'!$C$67</definedName>
    <definedName name="dms_RPT">'Business &amp; other details'!$C$60</definedName>
    <definedName name="dms_RPT_List">'AER only'!$I$8:$I$45</definedName>
    <definedName name="dms_RPTMonth">'Business &amp; other details'!$C$64</definedName>
    <definedName name="dms_RPTMonth_List">'AER only'!$J$8:$J$45</definedName>
    <definedName name="DMS_RSrevcap1">'Revenue summary'!$D$21</definedName>
    <definedName name="DMS_RSrevcap2">'Revenue summary'!$D$22</definedName>
    <definedName name="DMS_RSrevyield1">'Revenue summary'!$D$25</definedName>
    <definedName name="DMS_RSrevyield2">'Revenue summary'!$D$26</definedName>
    <definedName name="DMS_RSwapc1">'Revenue summary'!$D$17</definedName>
    <definedName name="DMS_RSwapc2">'Revenue summary'!$D$18</definedName>
    <definedName name="dms_RYE">'Business &amp; other details'!$C$59</definedName>
    <definedName name="dms_RYE_Formula_Result">'AER only'!$E$51:$E$58</definedName>
    <definedName name="dms_Sector">'Business &amp; other details'!$C$57</definedName>
    <definedName name="dms_Sector_List">'AER only'!$F$8:$F$45</definedName>
    <definedName name="dms_Segment">'Business &amp; other details'!$C$58</definedName>
    <definedName name="dms_Segment_List">'AER only'!$G$8:$G$45</definedName>
    <definedName name="dms_ShortRural_flag">'AER only'!$AE$8:$AE$45</definedName>
    <definedName name="dms_SingleYear_FinalYear_Ref">'Business &amp; other details'!$C$74</definedName>
    <definedName name="dms_SingleYear_FinalYear_Result">'Business &amp; other details'!$C$75</definedName>
    <definedName name="dms_SingleYear_Model">'Business &amp; other details'!$C$71:$C$73</definedName>
    <definedName name="dms_Source">'Business &amp; other details'!$C$52</definedName>
    <definedName name="dms_SourceList">'AER only'!$B$69:$B$81</definedName>
    <definedName name="dms_Specified_FinalYear">'Business &amp; other details'!$C$70</definedName>
    <definedName name="dms_State">'Business &amp; other details'!$E$21</definedName>
    <definedName name="dms_State_List">'AER only'!$R$8:$R$45</definedName>
    <definedName name="dms_STPIS_exclusions">'AER only'!$AI$74:$AI$79</definedName>
    <definedName name="dms_SubmissionDate">'Business &amp; other details'!$C$55</definedName>
    <definedName name="dms_Suburb">'Business &amp; other details'!$E$20</definedName>
    <definedName name="dms_Suburb_List">'AER only'!$Q$8:$Q$45</definedName>
    <definedName name="DMS_TAB">Assets!$B$883:$B$887</definedName>
    <definedName name="DMS_taxassetlife">'PTRM input'!$O$6:$P$6</definedName>
    <definedName name="DMS_TaxRates">WACC!$B$27:$B$28</definedName>
    <definedName name="dms_TemplateNumber">'Business &amp; other details'!$C$63</definedName>
    <definedName name="dms_TradingName">'Business &amp; other details'!$C$14</definedName>
    <definedName name="dms_TradingName_List">'AER only'!$B$8:$B$45</definedName>
    <definedName name="dms_TradingNameFull">'Business &amp; other details'!$B$2</definedName>
    <definedName name="dms_TradingNameFull_List">'AER only'!$C$8:$C$45</definedName>
    <definedName name="dms_Urban_flag">'AER only'!$AD$8:$AD$45</definedName>
    <definedName name="DMS_WACCAnalysis">WACC!$B$18:$B$25</definedName>
    <definedName name="dms_Worksheet_List">'AER only'!$C$51:$C$58</definedName>
    <definedName name="DMS_Xfactor">'AER only'!$O$69</definedName>
    <definedName name="Drc">'PTRM input'!$G$233</definedName>
    <definedName name="Drpc">'PTRM input'!$G$231</definedName>
    <definedName name="Drpt">'PTRM input'!$G$232</definedName>
    <definedName name="Dv">'PTRM input'!$G$219</definedName>
    <definedName name="ERC_Final_Calc">'Equity raising costs'!$Q$54</definedName>
    <definedName name="ERC_Form_Of_Control">'Equity raising costs'!$G$19</definedName>
    <definedName name="ERC_table">'X factors'!$AA$2:$AB$3</definedName>
    <definedName name="ERC_Yr01_Inc">'PTRM input'!$G$70</definedName>
    <definedName name="f">'PTRM input'!$G$216</definedName>
    <definedName name="Form_of_control_reverse_table">'X factors'!$X$2:$Y$4</definedName>
    <definedName name="FRCP_1to5">"2015-16 to 2019-20"</definedName>
    <definedName name="FRCP_span">CONCATENATE(FRCP_y1, " to ", FRCP_y5)</definedName>
    <definedName name="FRCP_y1">'Business &amp; other details'!$C$35</definedName>
    <definedName name="FRCP_y10">'Business &amp; other details'!$L$35</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details'!$H$35</definedName>
    <definedName name="FRCP_y7">'Business &amp; other details'!$I$35</definedName>
    <definedName name="FRCP_y8">'Business &amp; other details'!$J$35</definedName>
    <definedName name="FRCP_y9">'Business &amp; other details'!$K$35</definedName>
    <definedName name="g">'PTRM input'!$G$218</definedName>
    <definedName name="Icpr">'PTRM input'!$G$229</definedName>
    <definedName name="MAIFI_flag">'AER only'!$AH$6</definedName>
    <definedName name="NPV_Diff_RevCap">'X factors'!$R$63</definedName>
    <definedName name="NPV_Diff_RevYld">'X factors'!$R$83</definedName>
    <definedName name="NPV_Diff_WAPC">'X factors'!$R$47</definedName>
    <definedName name="P_0_RevCap">'X factors'!$G$63</definedName>
    <definedName name="P_0_RevYld">'X factors'!$G$83</definedName>
    <definedName name="P_0_WAPC">'X factors'!$G$47</definedName>
    <definedName name="PRCP_y1">'Business &amp; other details'!$C$41</definedName>
    <definedName name="PRCP_y2">'Business &amp; other details'!$D$41</definedName>
    <definedName name="PRCP_y3">'Business &amp; other details'!$E$41</definedName>
    <definedName name="PRCP_y4">'Business &amp; other details'!$F$41</definedName>
    <definedName name="PRCP_y5">'Business &amp; other details'!$G$41</definedName>
    <definedName name="_xlnm.Print_Area" localSheetId="7">Analysis!$A$1:$P$169</definedName>
    <definedName name="_xlnm.Print_Area" localSheetId="6">Assets!$A$1:$P$889</definedName>
    <definedName name="_xlnm.Print_Area" localSheetId="12">'Chart 1-Revenue'!$A$1:$N$78</definedName>
    <definedName name="_xlnm.Print_Area" localSheetId="13">'Chart 2-Price path'!$A$1:$N$78</definedName>
    <definedName name="_xlnm.Print_Area" localSheetId="14">'Chart 3-Building blocks'!$A$1:$N$28</definedName>
    <definedName name="_xlnm.Print_Area" localSheetId="3">'DMS input'!$A$1:$I$46</definedName>
    <definedName name="_xlnm.Print_Area" localSheetId="11">'Equity raising costs'!$A$1:$R$55</definedName>
    <definedName name="_xlnm.Print_Area" localSheetId="8">'Forecast revenues'!$A$1:$DL$108</definedName>
    <definedName name="_xlnm.Print_Area" localSheetId="2">Intro!$A$1:$Y$66</definedName>
    <definedName name="_xlnm.Print_Area" localSheetId="4">'PTRM input'!$A$1:$S$274,'PTRM input'!$A$275:$BN$340</definedName>
    <definedName name="_xlnm.Print_Area" localSheetId="10">'Revenue summary'!$A$1:$U$101</definedName>
    <definedName name="_xlnm.Print_Area" localSheetId="5">WACC!$A$1:$S$36</definedName>
    <definedName name="_xlnm.Print_Area" localSheetId="9">'X factors'!$A$1:$U$89</definedName>
    <definedName name="RAB">'PTRM input'!$J$37</definedName>
    <definedName name="RCP_1to5">"2015-16 to 2019-20"</definedName>
    <definedName name="Reg_Period_Length">'PTRM input'!$R$7</definedName>
    <definedName name="rvanilla01">WACC!$G$19</definedName>
    <definedName name="rvanilla02">WACC!$H$19</definedName>
    <definedName name="rvanilla03">WACC!$I$19</definedName>
    <definedName name="rvanilla04">WACC!$J$19</definedName>
    <definedName name="rvanilla05">WACC!$K$19</definedName>
    <definedName name="rvanilla06">WACC!$L$19</definedName>
    <definedName name="rvanilla07">WACC!$M$19</definedName>
    <definedName name="rvanilla08">WACC!$N$19</definedName>
    <definedName name="rvanilla09">WACC!$O$19</definedName>
    <definedName name="rvanilla10">WACC!$P$19</definedName>
    <definedName name="Seo">'PTRM input'!$G$230</definedName>
    <definedName name="SheetHeader">'Business &amp; other details'!$B$1</definedName>
    <definedName name="Td">Analysis!$D$88</definedName>
    <definedName name="Td_Cashflow_Calc">WACC!$R$28</definedName>
    <definedName name="Td_Final">WACC!$G$28</definedName>
    <definedName name="Te">Analysis!$D$109</definedName>
    <definedName name="Te_Cashflow_Calc">WACC!$R$27</definedName>
    <definedName name="Te_Final">WACC!$G$27</definedName>
    <definedName name="vanilla01">WACC!$G$18</definedName>
    <definedName name="vanilla02">WACC!$H$18</definedName>
    <definedName name="vanilla03">WACC!$I$18</definedName>
    <definedName name="vanilla04">WACC!$J$18</definedName>
    <definedName name="vanilla05">WACC!$K$18</definedName>
    <definedName name="vanilla06">WACC!$L$18</definedName>
    <definedName name="vanilla07">WACC!$M$18</definedName>
    <definedName name="vanilla08">WACC!$N$18</definedName>
    <definedName name="vanilla09">WACC!$O$18</definedName>
    <definedName name="vanilla10">WACC!$P$18</definedName>
    <definedName name="X_01_RevCap">'X factors'!$G$63</definedName>
    <definedName name="X_01_RevYld">'X factors'!$G$83</definedName>
    <definedName name="X_01_WAPC">'X factors'!$G$47</definedName>
    <definedName name="X_02_RevCap">'X factors'!$H$63</definedName>
    <definedName name="X_02_RevYld">'X factors'!$H$83</definedName>
    <definedName name="X_02_WAPC">'X factors'!$H$47</definedName>
    <definedName name="X_03_RevCap">'X factors'!$I$63</definedName>
    <definedName name="X_03_RevYld">'X factors'!$I$83</definedName>
    <definedName name="X_03_WAPC">'X factors'!$I$47</definedName>
    <definedName name="X_04_RevCap">'X factors'!$J$63</definedName>
    <definedName name="X_04_RevYld">'X factors'!$J$83</definedName>
    <definedName name="X_04_WAPC">'X factors'!$J$47</definedName>
    <definedName name="X_05_RevCap">'X factors'!$K$63</definedName>
    <definedName name="X_05_RevYld">'X factors'!$K$83</definedName>
    <definedName name="X_05_WAPC">'X factors'!$K$47</definedName>
    <definedName name="X_06_RevCap">'X factors'!$L$63</definedName>
    <definedName name="X_06_RevYld">'X factors'!$L$83</definedName>
    <definedName name="X_06_WAPC">'X factors'!$L$47</definedName>
    <definedName name="X_07_RevCap">'X factors'!$M$63</definedName>
    <definedName name="X_07_RevYld">'X factors'!$M$83</definedName>
    <definedName name="X_07_WAPC">'X factors'!$M$47</definedName>
    <definedName name="X_08_RevCap">'X factors'!$N$63</definedName>
    <definedName name="X_08_RevYld">'X factors'!$N$83</definedName>
    <definedName name="X_08_WAPC">'X factors'!$N$47</definedName>
    <definedName name="X_09_RevCap">'X factors'!$O$63</definedName>
    <definedName name="X_09_RevYld">'X factors'!$O$83</definedName>
    <definedName name="X_09_WAPC">'X factors'!$O$47</definedName>
    <definedName name="X_10_RevCap">'X factors'!$P$63</definedName>
    <definedName name="X_10_RevYld">'X factors'!$P$83</definedName>
    <definedName name="X_10_WAPC">'X factors'!$P$47</definedName>
    <definedName name="X_Factors_RevCap">'X factors'!$G$63:$P$63</definedName>
    <definedName name="X_Factors_RevYld">'X factors'!$G$83:$P$83</definedName>
    <definedName name="X_Factors_WAPC">'X factors'!$G$47:$P$47</definedName>
    <definedName name="Years">'Business &amp; other details'!$C$38:$H$38</definedName>
    <definedName name="Yr_01_Diff_RevCap">'X factors'!$G$57</definedName>
    <definedName name="Yr_01_Diff_RevYld">'X factors'!$G$73</definedName>
    <definedName name="Yr_01_Diff_WAPC">'X factors'!$G$41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7958" l="1"/>
  <c r="C83" i="7958"/>
  <c r="O89" i="7959"/>
  <c r="O90" i="7959"/>
  <c r="O91" i="7959"/>
  <c r="O92" i="7959"/>
  <c r="O93" i="7959"/>
  <c r="O94" i="7959"/>
  <c r="O95" i="7959"/>
  <c r="O96" i="7959"/>
  <c r="O97" i="7959"/>
  <c r="O98" i="7959"/>
  <c r="O99" i="7959"/>
  <c r="O100" i="7959"/>
  <c r="O101" i="7959"/>
  <c r="O102" i="7959"/>
  <c r="O103" i="7959"/>
  <c r="O104" i="7959"/>
  <c r="O105" i="7959"/>
  <c r="O106" i="7959"/>
  <c r="O107" i="7959"/>
  <c r="O108" i="7959"/>
  <c r="M89" i="7959"/>
  <c r="M90" i="7959"/>
  <c r="M91" i="7959"/>
  <c r="M92" i="7959"/>
  <c r="M93" i="7959"/>
  <c r="M94" i="7959"/>
  <c r="M95" i="7959"/>
  <c r="M96" i="7959"/>
  <c r="M97" i="7959"/>
  <c r="M98" i="7959"/>
  <c r="M99" i="7959"/>
  <c r="M100" i="7959"/>
  <c r="M101" i="7959"/>
  <c r="M102" i="7959"/>
  <c r="M103" i="7959"/>
  <c r="M104" i="7959"/>
  <c r="M105" i="7959"/>
  <c r="M106" i="7959"/>
  <c r="M107" i="7959"/>
  <c r="M108" i="7959"/>
  <c r="L89" i="7959"/>
  <c r="F89" i="7959"/>
  <c r="C73" i="7958"/>
  <c r="C72" i="7958"/>
  <c r="C71" i="7958"/>
  <c r="B1" i="7958"/>
  <c r="E21" i="7958"/>
  <c r="C30" i="7958"/>
  <c r="E23" i="7958"/>
  <c r="C57" i="7958"/>
  <c r="C76" i="7958"/>
  <c r="C77" i="7958"/>
  <c r="E18" i="7958"/>
  <c r="E26" i="7958"/>
  <c r="C64" i="7958"/>
  <c r="E19" i="7958"/>
  <c r="G26" i="7958"/>
  <c r="C66" i="7958"/>
  <c r="E20" i="7958"/>
  <c r="C29" i="7958"/>
  <c r="G21" i="7958"/>
  <c r="C31" i="7958"/>
  <c r="B2" i="7958"/>
  <c r="E24" i="7958"/>
  <c r="C58" i="7958"/>
  <c r="C15" i="7958"/>
  <c r="E25" i="7958"/>
  <c r="C60" i="7958"/>
  <c r="F90" i="7959"/>
  <c r="D35" i="7958"/>
  <c r="C79" i="7958"/>
  <c r="C80" i="7958"/>
  <c r="C84" i="7958"/>
  <c r="C68" i="7958"/>
  <c r="H89" i="7959"/>
  <c r="H90" i="7959"/>
  <c r="H91" i="7959"/>
  <c r="H92" i="7959"/>
  <c r="H93" i="7959"/>
  <c r="H94" i="7959"/>
  <c r="H95" i="7959"/>
  <c r="H96" i="7959"/>
  <c r="H97" i="7959"/>
  <c r="H98" i="7959"/>
  <c r="H99" i="7959"/>
  <c r="H100" i="7959"/>
  <c r="H101" i="7959"/>
  <c r="H102" i="7959"/>
  <c r="H103" i="7959"/>
  <c r="F91" i="7959"/>
  <c r="E35" i="7958"/>
  <c r="C82" i="7958"/>
  <c r="E57" i="7959"/>
  <c r="C81" i="7958"/>
  <c r="C38" i="7958"/>
  <c r="F92" i="7959"/>
  <c r="F35" i="7958"/>
  <c r="D38" i="7958"/>
  <c r="E38" i="7958"/>
  <c r="F38" i="7958"/>
  <c r="G38" i="7958"/>
  <c r="H38" i="7958"/>
  <c r="I38" i="7958"/>
  <c r="J38" i="7958"/>
  <c r="K38" i="7958"/>
  <c r="L38" i="7958"/>
  <c r="G41" i="7958"/>
  <c r="F41" i="7958"/>
  <c r="E41" i="7958"/>
  <c r="D41" i="7958"/>
  <c r="C41" i="7958"/>
  <c r="G49" i="7959"/>
  <c r="C65" i="7958"/>
  <c r="F93" i="7959"/>
  <c r="F94" i="7959"/>
  <c r="G35" i="7958"/>
  <c r="F95" i="7959"/>
  <c r="H35" i="7958"/>
  <c r="F96" i="7959"/>
  <c r="I35" i="7958"/>
  <c r="F97" i="7959"/>
  <c r="J35" i="7958"/>
  <c r="F98" i="7959"/>
  <c r="K35" i="7958"/>
  <c r="F99" i="7959"/>
  <c r="F100" i="7959"/>
  <c r="F101" i="7959"/>
  <c r="F102" i="7959"/>
  <c r="F103" i="7959"/>
  <c r="L35" i="7958"/>
  <c r="G22" i="7946"/>
  <c r="H22" i="7946"/>
  <c r="C15" i="7952"/>
  <c r="B2" i="7952"/>
  <c r="F2" i="7945"/>
  <c r="H153" i="24"/>
  <c r="I153" i="24" s="1"/>
  <c r="J153" i="24" s="1"/>
  <c r="F150" i="24"/>
  <c r="F149" i="24"/>
  <c r="F148" i="24"/>
  <c r="F146" i="24"/>
  <c r="Q12" i="7942"/>
  <c r="F12" i="7942"/>
  <c r="G201" i="1"/>
  <c r="E2" i="1"/>
  <c r="F56" i="24"/>
  <c r="F106" i="24" s="1"/>
  <c r="G212" i="1"/>
  <c r="T200" i="1"/>
  <c r="T199" i="1"/>
  <c r="T198" i="1"/>
  <c r="T197" i="1"/>
  <c r="T196" i="1"/>
  <c r="T195" i="1"/>
  <c r="T194" i="1"/>
  <c r="T193" i="1"/>
  <c r="T192" i="1"/>
  <c r="T191" i="1"/>
  <c r="H204" i="1"/>
  <c r="I204" i="1"/>
  <c r="J204" i="1"/>
  <c r="K204" i="1"/>
  <c r="L204" i="1"/>
  <c r="M204" i="1"/>
  <c r="N204" i="1"/>
  <c r="O204" i="1"/>
  <c r="P204" i="1"/>
  <c r="G204" i="1"/>
  <c r="G203" i="1"/>
  <c r="H202" i="1"/>
  <c r="I202" i="1"/>
  <c r="J202" i="1"/>
  <c r="K202" i="1"/>
  <c r="L202" i="1"/>
  <c r="M202" i="1"/>
  <c r="N202" i="1"/>
  <c r="O202" i="1"/>
  <c r="P202" i="1"/>
  <c r="G202" i="1"/>
  <c r="P203" i="1"/>
  <c r="O203" i="1"/>
  <c r="N203" i="1"/>
  <c r="M203" i="1"/>
  <c r="L203" i="1"/>
  <c r="K203" i="1"/>
  <c r="J203" i="1"/>
  <c r="I203" i="1"/>
  <c r="H203" i="1"/>
  <c r="H201" i="1"/>
  <c r="I201" i="1"/>
  <c r="J201" i="1"/>
  <c r="K201" i="1"/>
  <c r="L201" i="1"/>
  <c r="M201" i="1"/>
  <c r="N201" i="1"/>
  <c r="O201" i="1"/>
  <c r="P201" i="1"/>
  <c r="G205" i="1"/>
  <c r="C2" i="7949"/>
  <c r="C2" i="7948"/>
  <c r="C2" i="7947"/>
  <c r="C2" i="7946"/>
  <c r="D2" i="7943"/>
  <c r="E2" i="7942"/>
  <c r="B2" i="24"/>
  <c r="B2" i="18"/>
  <c r="B2" i="2"/>
  <c r="F55" i="7943"/>
  <c r="G41" i="7946"/>
  <c r="H41" i="7946"/>
  <c r="G18" i="7946"/>
  <c r="H18" i="7946"/>
  <c r="E215" i="1"/>
  <c r="E208" i="1"/>
  <c r="E190" i="1"/>
  <c r="E176" i="1"/>
  <c r="E142" i="1"/>
  <c r="E108" i="1"/>
  <c r="E74" i="1"/>
  <c r="D60" i="7943"/>
  <c r="P205" i="1"/>
  <c r="O205" i="1"/>
  <c r="N205" i="1"/>
  <c r="M205" i="1"/>
  <c r="L205" i="1"/>
  <c r="Y281" i="1"/>
  <c r="Y280" i="1"/>
  <c r="Z280" i="1"/>
  <c r="G45" i="7946"/>
  <c r="H45" i="7946"/>
  <c r="I45" i="7946"/>
  <c r="G49" i="7946"/>
  <c r="H49" i="7946"/>
  <c r="I49" i="7946"/>
  <c r="G26" i="7946"/>
  <c r="H26" i="7946"/>
  <c r="I26" i="7946"/>
  <c r="F12" i="7946"/>
  <c r="F25" i="7946"/>
  <c r="F4" i="7945"/>
  <c r="E49" i="1"/>
  <c r="DG79" i="7942"/>
  <c r="CV79" i="7942"/>
  <c r="CK79" i="7942"/>
  <c r="BZ79" i="7942"/>
  <c r="BO79" i="7942"/>
  <c r="BD79" i="7942"/>
  <c r="AS79" i="7942"/>
  <c r="AH79" i="7942"/>
  <c r="W79" i="7942"/>
  <c r="L79" i="7942"/>
  <c r="F49" i="7942"/>
  <c r="F50" i="7942"/>
  <c r="F51" i="7942"/>
  <c r="F52" i="7942"/>
  <c r="F85" i="7942" s="1"/>
  <c r="F53" i="7942"/>
  <c r="F54" i="7942"/>
  <c r="F55" i="7942"/>
  <c r="F56" i="7942"/>
  <c r="F57" i="7942"/>
  <c r="F58" i="7942"/>
  <c r="F59" i="7942"/>
  <c r="F60" i="7942"/>
  <c r="F93" i="7942" s="1"/>
  <c r="F61" i="7942"/>
  <c r="F62" i="7942"/>
  <c r="F63" i="7942"/>
  <c r="F64" i="7942"/>
  <c r="F65" i="7942"/>
  <c r="F66" i="7942"/>
  <c r="F67" i="7942"/>
  <c r="F68" i="7942"/>
  <c r="F101" i="7942" s="1"/>
  <c r="F69" i="7942"/>
  <c r="F70" i="7942"/>
  <c r="F71" i="7942"/>
  <c r="F72" i="7942"/>
  <c r="F73" i="7942"/>
  <c r="DG15" i="7942"/>
  <c r="DH15" i="7942"/>
  <c r="DI15" i="7942"/>
  <c r="DJ15" i="7942"/>
  <c r="DK15" i="7942"/>
  <c r="DG16" i="7942"/>
  <c r="DH16" i="7942"/>
  <c r="DI16" i="7942"/>
  <c r="DJ16" i="7942"/>
  <c r="DK16" i="7942"/>
  <c r="DG17" i="7942"/>
  <c r="DH17" i="7942"/>
  <c r="DI17" i="7942"/>
  <c r="DJ17" i="7942"/>
  <c r="DK17" i="7942"/>
  <c r="DG18" i="7942"/>
  <c r="DH18" i="7942"/>
  <c r="DI18" i="7942"/>
  <c r="DJ18" i="7942"/>
  <c r="DK18" i="7942"/>
  <c r="DG19" i="7942"/>
  <c r="DH19" i="7942"/>
  <c r="DI19" i="7942"/>
  <c r="DJ19" i="7942"/>
  <c r="DK19" i="7942"/>
  <c r="DG20" i="7942"/>
  <c r="DH20" i="7942"/>
  <c r="DI20" i="7942"/>
  <c r="DJ20" i="7942"/>
  <c r="DK20" i="7942"/>
  <c r="DG21" i="7942"/>
  <c r="DH21" i="7942"/>
  <c r="DI21" i="7942"/>
  <c r="DJ21" i="7942"/>
  <c r="DK21" i="7942"/>
  <c r="DG22" i="7942"/>
  <c r="DH22" i="7942"/>
  <c r="DI22" i="7942"/>
  <c r="DJ22" i="7942"/>
  <c r="DK22" i="7942"/>
  <c r="DG23" i="7942"/>
  <c r="DH23" i="7942"/>
  <c r="DI23" i="7942"/>
  <c r="DJ23" i="7942"/>
  <c r="DK23" i="7942"/>
  <c r="DG24" i="7942"/>
  <c r="DH24" i="7942"/>
  <c r="DI24" i="7942"/>
  <c r="DJ24" i="7942"/>
  <c r="DK24" i="7942"/>
  <c r="DG25" i="7942"/>
  <c r="DH25" i="7942"/>
  <c r="DI25" i="7942"/>
  <c r="DJ25" i="7942"/>
  <c r="DK25" i="7942"/>
  <c r="DG26" i="7942"/>
  <c r="DH26" i="7942"/>
  <c r="DI26" i="7942"/>
  <c r="DJ26" i="7942"/>
  <c r="DK26" i="7942"/>
  <c r="DG27" i="7942"/>
  <c r="DH27" i="7942"/>
  <c r="DI27" i="7942"/>
  <c r="DJ27" i="7942"/>
  <c r="DK27" i="7942"/>
  <c r="DG28" i="7942"/>
  <c r="DH28" i="7942"/>
  <c r="DI28" i="7942"/>
  <c r="DJ28" i="7942"/>
  <c r="DK28" i="7942"/>
  <c r="DG29" i="7942"/>
  <c r="DH29" i="7942"/>
  <c r="DI29" i="7942"/>
  <c r="DJ29" i="7942"/>
  <c r="DK29" i="7942"/>
  <c r="DG30" i="7942"/>
  <c r="DH30" i="7942"/>
  <c r="DI30" i="7942"/>
  <c r="DJ30" i="7942"/>
  <c r="DK30" i="7942"/>
  <c r="DG31" i="7942"/>
  <c r="DH31" i="7942"/>
  <c r="DI31" i="7942"/>
  <c r="DJ31" i="7942"/>
  <c r="DK31" i="7942"/>
  <c r="DG32" i="7942"/>
  <c r="DH32" i="7942"/>
  <c r="DI32" i="7942"/>
  <c r="DJ32" i="7942"/>
  <c r="DK32" i="7942"/>
  <c r="DG33" i="7942"/>
  <c r="DH33" i="7942"/>
  <c r="DI33" i="7942"/>
  <c r="DJ33" i="7942"/>
  <c r="DK33" i="7942"/>
  <c r="DG34" i="7942"/>
  <c r="DH34" i="7942"/>
  <c r="DI34" i="7942"/>
  <c r="DJ34" i="7942"/>
  <c r="DK34" i="7942"/>
  <c r="DG35" i="7942"/>
  <c r="DH35" i="7942"/>
  <c r="DI35" i="7942"/>
  <c r="DJ35" i="7942"/>
  <c r="DK35" i="7942"/>
  <c r="DG36" i="7942"/>
  <c r="DH36" i="7942"/>
  <c r="DI36" i="7942"/>
  <c r="DJ36" i="7942"/>
  <c r="DK36" i="7942"/>
  <c r="DG37" i="7942"/>
  <c r="DH37" i="7942"/>
  <c r="DI37" i="7942"/>
  <c r="DJ37" i="7942"/>
  <c r="DK37" i="7942"/>
  <c r="DG38" i="7942"/>
  <c r="DH38" i="7942"/>
  <c r="DI38" i="7942"/>
  <c r="DJ38" i="7942"/>
  <c r="DK38" i="7942"/>
  <c r="DG39" i="7942"/>
  <c r="DH39" i="7942"/>
  <c r="DI39" i="7942"/>
  <c r="DJ39" i="7942"/>
  <c r="DK39" i="7942"/>
  <c r="DH14" i="7942"/>
  <c r="DI14" i="7942"/>
  <c r="DJ14" i="7942"/>
  <c r="DK14" i="7942"/>
  <c r="DG14" i="7942"/>
  <c r="CV15" i="7942"/>
  <c r="CW15" i="7942"/>
  <c r="CX15" i="7942"/>
  <c r="CY15" i="7942"/>
  <c r="CZ15" i="7942"/>
  <c r="CV16" i="7942"/>
  <c r="CW16" i="7942"/>
  <c r="CX16" i="7942"/>
  <c r="CY16" i="7942"/>
  <c r="CZ16" i="7942"/>
  <c r="CV17" i="7942"/>
  <c r="CW17" i="7942"/>
  <c r="CX17" i="7942"/>
  <c r="CY17" i="7942"/>
  <c r="CZ17" i="7942"/>
  <c r="CV18" i="7942"/>
  <c r="CW18" i="7942"/>
  <c r="CX18" i="7942"/>
  <c r="CY18" i="7942"/>
  <c r="CZ18" i="7942"/>
  <c r="CV19" i="7942"/>
  <c r="CW19" i="7942"/>
  <c r="CX19" i="7942"/>
  <c r="CY19" i="7942"/>
  <c r="CZ19" i="7942"/>
  <c r="CV20" i="7942"/>
  <c r="CW20" i="7942"/>
  <c r="CX20" i="7942"/>
  <c r="CY20" i="7942"/>
  <c r="CZ20" i="7942"/>
  <c r="CV21" i="7942"/>
  <c r="CW21" i="7942"/>
  <c r="CX21" i="7942"/>
  <c r="CY21" i="7942"/>
  <c r="CZ21" i="7942"/>
  <c r="CV22" i="7942"/>
  <c r="CW22" i="7942"/>
  <c r="CX22" i="7942"/>
  <c r="CY22" i="7942"/>
  <c r="CZ22" i="7942"/>
  <c r="CV23" i="7942"/>
  <c r="CW23" i="7942"/>
  <c r="CX23" i="7942"/>
  <c r="CY23" i="7942"/>
  <c r="CZ23" i="7942"/>
  <c r="CV24" i="7942"/>
  <c r="CW24" i="7942"/>
  <c r="CX24" i="7942"/>
  <c r="CY24" i="7942"/>
  <c r="CZ24" i="7942"/>
  <c r="CV25" i="7942"/>
  <c r="CW25" i="7942"/>
  <c r="CX25" i="7942"/>
  <c r="CY25" i="7942"/>
  <c r="CZ25" i="7942"/>
  <c r="CV26" i="7942"/>
  <c r="CW26" i="7942"/>
  <c r="CX26" i="7942"/>
  <c r="CY26" i="7942"/>
  <c r="CZ26" i="7942"/>
  <c r="CV27" i="7942"/>
  <c r="CW27" i="7942"/>
  <c r="CX27" i="7942"/>
  <c r="CY27" i="7942"/>
  <c r="CZ27" i="7942"/>
  <c r="CV28" i="7942"/>
  <c r="CW28" i="7942"/>
  <c r="CX28" i="7942"/>
  <c r="CY28" i="7942"/>
  <c r="CZ28" i="7942"/>
  <c r="CV29" i="7942"/>
  <c r="CW29" i="7942"/>
  <c r="CX29" i="7942"/>
  <c r="CY29" i="7942"/>
  <c r="CZ29" i="7942"/>
  <c r="CV30" i="7942"/>
  <c r="CW30" i="7942"/>
  <c r="CX30" i="7942"/>
  <c r="CY30" i="7942"/>
  <c r="CZ30" i="7942"/>
  <c r="CV31" i="7942"/>
  <c r="CW31" i="7942"/>
  <c r="CX31" i="7942"/>
  <c r="CY31" i="7942"/>
  <c r="CZ31" i="7942"/>
  <c r="CV32" i="7942"/>
  <c r="CW32" i="7942"/>
  <c r="CX32" i="7942"/>
  <c r="CY32" i="7942"/>
  <c r="CZ32" i="7942"/>
  <c r="CV33" i="7942"/>
  <c r="CW33" i="7942"/>
  <c r="CX33" i="7942"/>
  <c r="CY33" i="7942"/>
  <c r="CZ33" i="7942"/>
  <c r="CV34" i="7942"/>
  <c r="CW34" i="7942"/>
  <c r="CX34" i="7942"/>
  <c r="CY34" i="7942"/>
  <c r="CZ34" i="7942"/>
  <c r="CV35" i="7942"/>
  <c r="CW35" i="7942"/>
  <c r="CX35" i="7942"/>
  <c r="CY35" i="7942"/>
  <c r="CZ35" i="7942"/>
  <c r="CV36" i="7942"/>
  <c r="CW36" i="7942"/>
  <c r="CX36" i="7942"/>
  <c r="CY36" i="7942"/>
  <c r="CZ36" i="7942"/>
  <c r="CV37" i="7942"/>
  <c r="CW37" i="7942"/>
  <c r="CX37" i="7942"/>
  <c r="CY37" i="7942"/>
  <c r="CZ37" i="7942"/>
  <c r="CV38" i="7942"/>
  <c r="CW38" i="7942"/>
  <c r="CX38" i="7942"/>
  <c r="CY38" i="7942"/>
  <c r="CZ38" i="7942"/>
  <c r="CV39" i="7942"/>
  <c r="CW39" i="7942"/>
  <c r="CX39" i="7942"/>
  <c r="CY39" i="7942"/>
  <c r="CZ39" i="7942"/>
  <c r="CW14" i="7942"/>
  <c r="CX14" i="7942"/>
  <c r="CY14" i="7942"/>
  <c r="CZ14" i="7942"/>
  <c r="CZ40" i="7942" s="1"/>
  <c r="CV14" i="7942"/>
  <c r="CK15" i="7942"/>
  <c r="CL15" i="7942"/>
  <c r="CM15" i="7942"/>
  <c r="CN15" i="7942"/>
  <c r="CO15" i="7942"/>
  <c r="CK16" i="7942"/>
  <c r="CL16" i="7942"/>
  <c r="CM16" i="7942"/>
  <c r="CN16" i="7942"/>
  <c r="CO16" i="7942"/>
  <c r="CK17" i="7942"/>
  <c r="CL17" i="7942"/>
  <c r="CM17" i="7942"/>
  <c r="CN17" i="7942"/>
  <c r="CO17" i="7942"/>
  <c r="CK18" i="7942"/>
  <c r="CL18" i="7942"/>
  <c r="CM18" i="7942"/>
  <c r="CN18" i="7942"/>
  <c r="CO18" i="7942"/>
  <c r="CK19" i="7942"/>
  <c r="CL19" i="7942"/>
  <c r="CM19" i="7942"/>
  <c r="CN19" i="7942"/>
  <c r="CO19" i="7942"/>
  <c r="CK20" i="7942"/>
  <c r="CL20" i="7942"/>
  <c r="CM20" i="7942"/>
  <c r="CN20" i="7942"/>
  <c r="CO20" i="7942"/>
  <c r="CK21" i="7942"/>
  <c r="CL21" i="7942"/>
  <c r="CM21" i="7942"/>
  <c r="CN21" i="7942"/>
  <c r="CO21" i="7942"/>
  <c r="CK22" i="7942"/>
  <c r="CL22" i="7942"/>
  <c r="CM22" i="7942"/>
  <c r="CN22" i="7942"/>
  <c r="CO22" i="7942"/>
  <c r="CK23" i="7942"/>
  <c r="CL23" i="7942"/>
  <c r="CM23" i="7942"/>
  <c r="CN23" i="7942"/>
  <c r="CO23" i="7942"/>
  <c r="CK24" i="7942"/>
  <c r="CL24" i="7942"/>
  <c r="CM24" i="7942"/>
  <c r="CN24" i="7942"/>
  <c r="CO24" i="7942"/>
  <c r="CK25" i="7942"/>
  <c r="CL25" i="7942"/>
  <c r="CM25" i="7942"/>
  <c r="CN25" i="7942"/>
  <c r="CO25" i="7942"/>
  <c r="CK26" i="7942"/>
  <c r="CL26" i="7942"/>
  <c r="CM26" i="7942"/>
  <c r="CN26" i="7942"/>
  <c r="CO26" i="7942"/>
  <c r="CK27" i="7942"/>
  <c r="CL27" i="7942"/>
  <c r="CM27" i="7942"/>
  <c r="CN27" i="7942"/>
  <c r="CO27" i="7942"/>
  <c r="CK28" i="7942"/>
  <c r="CL28" i="7942"/>
  <c r="CM28" i="7942"/>
  <c r="CN28" i="7942"/>
  <c r="CO28" i="7942"/>
  <c r="CK29" i="7942"/>
  <c r="CL29" i="7942"/>
  <c r="CM29" i="7942"/>
  <c r="CN29" i="7942"/>
  <c r="CO29" i="7942"/>
  <c r="CK30" i="7942"/>
  <c r="CL30" i="7942"/>
  <c r="CM30" i="7942"/>
  <c r="CN30" i="7942"/>
  <c r="CO30" i="7942"/>
  <c r="CK31" i="7942"/>
  <c r="CL31" i="7942"/>
  <c r="CM31" i="7942"/>
  <c r="CN31" i="7942"/>
  <c r="CO31" i="7942"/>
  <c r="CK32" i="7942"/>
  <c r="CL32" i="7942"/>
  <c r="CM32" i="7942"/>
  <c r="CN32" i="7942"/>
  <c r="CO32" i="7942"/>
  <c r="CK33" i="7942"/>
  <c r="CL33" i="7942"/>
  <c r="CM33" i="7942"/>
  <c r="CN33" i="7942"/>
  <c r="CO33" i="7942"/>
  <c r="CK34" i="7942"/>
  <c r="CL34" i="7942"/>
  <c r="CM34" i="7942"/>
  <c r="CN34" i="7942"/>
  <c r="CO34" i="7942"/>
  <c r="CK35" i="7942"/>
  <c r="CL35" i="7942"/>
  <c r="CM35" i="7942"/>
  <c r="CN35" i="7942"/>
  <c r="CO35" i="7942"/>
  <c r="CK36" i="7942"/>
  <c r="CL36" i="7942"/>
  <c r="CM36" i="7942"/>
  <c r="CN36" i="7942"/>
  <c r="CO36" i="7942"/>
  <c r="CK37" i="7942"/>
  <c r="CL37" i="7942"/>
  <c r="CM37" i="7942"/>
  <c r="CN37" i="7942"/>
  <c r="CO37" i="7942"/>
  <c r="CK38" i="7942"/>
  <c r="CL38" i="7942"/>
  <c r="CM38" i="7942"/>
  <c r="CN38" i="7942"/>
  <c r="CO38" i="7942"/>
  <c r="CK39" i="7942"/>
  <c r="CL39" i="7942"/>
  <c r="CM39" i="7942"/>
  <c r="CN39" i="7942"/>
  <c r="CO39" i="7942"/>
  <c r="CL14" i="7942"/>
  <c r="CM14" i="7942"/>
  <c r="CM40" i="7942" s="1"/>
  <c r="CN14" i="7942"/>
  <c r="CO14" i="7942"/>
  <c r="CK14" i="7942"/>
  <c r="BZ15" i="7942"/>
  <c r="CA15" i="7942"/>
  <c r="CB15" i="7942"/>
  <c r="CC15" i="7942"/>
  <c r="CD15" i="7942"/>
  <c r="BZ16" i="7942"/>
  <c r="CA16" i="7942"/>
  <c r="CB16" i="7942"/>
  <c r="CC16" i="7942"/>
  <c r="CD16" i="7942"/>
  <c r="BZ17" i="7942"/>
  <c r="CA17" i="7942"/>
  <c r="CB17" i="7942"/>
  <c r="CC17" i="7942"/>
  <c r="CD17" i="7942"/>
  <c r="BZ18" i="7942"/>
  <c r="CA18" i="7942"/>
  <c r="CB18" i="7942"/>
  <c r="CC18" i="7942"/>
  <c r="CD18" i="7942"/>
  <c r="BZ19" i="7942"/>
  <c r="CA19" i="7942"/>
  <c r="CB19" i="7942"/>
  <c r="CC19" i="7942"/>
  <c r="CD19" i="7942"/>
  <c r="BZ20" i="7942"/>
  <c r="CA20" i="7942"/>
  <c r="CB20" i="7942"/>
  <c r="CC20" i="7942"/>
  <c r="CD20" i="7942"/>
  <c r="BZ21" i="7942"/>
  <c r="CA21" i="7942"/>
  <c r="CB21" i="7942"/>
  <c r="CC21" i="7942"/>
  <c r="CD21" i="7942"/>
  <c r="BZ22" i="7942"/>
  <c r="CA22" i="7942"/>
  <c r="CB22" i="7942"/>
  <c r="CC22" i="7942"/>
  <c r="CD22" i="7942"/>
  <c r="BZ23" i="7942"/>
  <c r="CA23" i="7942"/>
  <c r="CB23" i="7942"/>
  <c r="CC23" i="7942"/>
  <c r="CD23" i="7942"/>
  <c r="BZ24" i="7942"/>
  <c r="CA24" i="7942"/>
  <c r="CB24" i="7942"/>
  <c r="CC24" i="7942"/>
  <c r="CD24" i="7942"/>
  <c r="BZ25" i="7942"/>
  <c r="CA25" i="7942"/>
  <c r="CB25" i="7942"/>
  <c r="CC25" i="7942"/>
  <c r="CD25" i="7942"/>
  <c r="BZ26" i="7942"/>
  <c r="CA26" i="7942"/>
  <c r="CB26" i="7942"/>
  <c r="CC26" i="7942"/>
  <c r="CD26" i="7942"/>
  <c r="BZ27" i="7942"/>
  <c r="CA27" i="7942"/>
  <c r="CB27" i="7942"/>
  <c r="CC27" i="7942"/>
  <c r="CD27" i="7942"/>
  <c r="BZ28" i="7942"/>
  <c r="CA28" i="7942"/>
  <c r="CB28" i="7942"/>
  <c r="CC28" i="7942"/>
  <c r="CD28" i="7942"/>
  <c r="BZ29" i="7942"/>
  <c r="CA29" i="7942"/>
  <c r="CB29" i="7942"/>
  <c r="CC29" i="7942"/>
  <c r="CD29" i="7942"/>
  <c r="BZ30" i="7942"/>
  <c r="CA30" i="7942"/>
  <c r="CB30" i="7942"/>
  <c r="CC30" i="7942"/>
  <c r="CD30" i="7942"/>
  <c r="BZ31" i="7942"/>
  <c r="CA31" i="7942"/>
  <c r="CB31" i="7942"/>
  <c r="CC31" i="7942"/>
  <c r="CD31" i="7942"/>
  <c r="BZ32" i="7942"/>
  <c r="CA32" i="7942"/>
  <c r="CB32" i="7942"/>
  <c r="CC32" i="7942"/>
  <c r="CD32" i="7942"/>
  <c r="BZ33" i="7942"/>
  <c r="CA33" i="7942"/>
  <c r="CB33" i="7942"/>
  <c r="CC33" i="7942"/>
  <c r="CD33" i="7942"/>
  <c r="BZ34" i="7942"/>
  <c r="CA34" i="7942"/>
  <c r="CB34" i="7942"/>
  <c r="CC34" i="7942"/>
  <c r="CD34" i="7942"/>
  <c r="BZ35" i="7942"/>
  <c r="CA35" i="7942"/>
  <c r="CB35" i="7942"/>
  <c r="CC35" i="7942"/>
  <c r="CD35" i="7942"/>
  <c r="BZ36" i="7942"/>
  <c r="CA36" i="7942"/>
  <c r="CB36" i="7942"/>
  <c r="CC36" i="7942"/>
  <c r="CD36" i="7942"/>
  <c r="BZ37" i="7942"/>
  <c r="CA37" i="7942"/>
  <c r="CB37" i="7942"/>
  <c r="CC37" i="7942"/>
  <c r="CD37" i="7942"/>
  <c r="BZ38" i="7942"/>
  <c r="CA38" i="7942"/>
  <c r="CB38" i="7942"/>
  <c r="CC38" i="7942"/>
  <c r="CD38" i="7942"/>
  <c r="BZ39" i="7942"/>
  <c r="CA39" i="7942"/>
  <c r="CB39" i="7942"/>
  <c r="CC39" i="7942"/>
  <c r="CD39" i="7942"/>
  <c r="CB14" i="7942"/>
  <c r="CC14" i="7942"/>
  <c r="CD14" i="7942"/>
  <c r="CA14" i="7942"/>
  <c r="BZ14" i="7942"/>
  <c r="BP15" i="7942"/>
  <c r="BR15" i="7942"/>
  <c r="BO17" i="7942"/>
  <c r="BP17" i="7942"/>
  <c r="BQ17" i="7942"/>
  <c r="BR17" i="7942"/>
  <c r="BS17" i="7942"/>
  <c r="BO18" i="7942"/>
  <c r="BP18" i="7942"/>
  <c r="BQ18" i="7942"/>
  <c r="BR18" i="7942"/>
  <c r="BS18" i="7942"/>
  <c r="BO19" i="7942"/>
  <c r="BP19" i="7942"/>
  <c r="BQ19" i="7942"/>
  <c r="BR19" i="7942"/>
  <c r="BS19" i="7942"/>
  <c r="BO20" i="7942"/>
  <c r="BP20" i="7942"/>
  <c r="BQ20" i="7942"/>
  <c r="BR20" i="7942"/>
  <c r="BS20" i="7942"/>
  <c r="BO21" i="7942"/>
  <c r="BP21" i="7942"/>
  <c r="BQ21" i="7942"/>
  <c r="BR21" i="7942"/>
  <c r="BS21" i="7942"/>
  <c r="BO22" i="7942"/>
  <c r="BP22" i="7942"/>
  <c r="BQ22" i="7942"/>
  <c r="BR22" i="7942"/>
  <c r="BS22" i="7942"/>
  <c r="BO23" i="7942"/>
  <c r="BP23" i="7942"/>
  <c r="BQ23" i="7942"/>
  <c r="BR23" i="7942"/>
  <c r="BS23" i="7942"/>
  <c r="BO24" i="7942"/>
  <c r="BP24" i="7942"/>
  <c r="BQ24" i="7942"/>
  <c r="BR24" i="7942"/>
  <c r="BS24" i="7942"/>
  <c r="BO25" i="7942"/>
  <c r="BP25" i="7942"/>
  <c r="BQ25" i="7942"/>
  <c r="BR25" i="7942"/>
  <c r="BS25" i="7942"/>
  <c r="BO26" i="7942"/>
  <c r="BP26" i="7942"/>
  <c r="BQ26" i="7942"/>
  <c r="BR26" i="7942"/>
  <c r="BS26" i="7942"/>
  <c r="BO27" i="7942"/>
  <c r="BP27" i="7942"/>
  <c r="BQ27" i="7942"/>
  <c r="BR27" i="7942"/>
  <c r="BS27" i="7942"/>
  <c r="BO28" i="7942"/>
  <c r="BP28" i="7942"/>
  <c r="BQ28" i="7942"/>
  <c r="BR28" i="7942"/>
  <c r="BS28" i="7942"/>
  <c r="BO29" i="7942"/>
  <c r="BP29" i="7942"/>
  <c r="BQ29" i="7942"/>
  <c r="BR29" i="7942"/>
  <c r="BS29" i="7942"/>
  <c r="BO30" i="7942"/>
  <c r="BP30" i="7942"/>
  <c r="BQ30" i="7942"/>
  <c r="BR30" i="7942"/>
  <c r="BS30" i="7942"/>
  <c r="BO31" i="7942"/>
  <c r="BP31" i="7942"/>
  <c r="BQ31" i="7942"/>
  <c r="BR31" i="7942"/>
  <c r="BS31" i="7942"/>
  <c r="BO32" i="7942"/>
  <c r="BP32" i="7942"/>
  <c r="BQ32" i="7942"/>
  <c r="BR32" i="7942"/>
  <c r="BS32" i="7942"/>
  <c r="BO33" i="7942"/>
  <c r="BP33" i="7942"/>
  <c r="BQ33" i="7942"/>
  <c r="BR33" i="7942"/>
  <c r="BS33" i="7942"/>
  <c r="BO34" i="7942"/>
  <c r="BP34" i="7942"/>
  <c r="BQ34" i="7942"/>
  <c r="BR34" i="7942"/>
  <c r="BS34" i="7942"/>
  <c r="BO35" i="7942"/>
  <c r="BP35" i="7942"/>
  <c r="BQ35" i="7942"/>
  <c r="BR35" i="7942"/>
  <c r="BS35" i="7942"/>
  <c r="BO36" i="7942"/>
  <c r="BP36" i="7942"/>
  <c r="BQ36" i="7942"/>
  <c r="BR36" i="7942"/>
  <c r="BS36" i="7942"/>
  <c r="BO37" i="7942"/>
  <c r="BP37" i="7942"/>
  <c r="BQ37" i="7942"/>
  <c r="BR37" i="7942"/>
  <c r="BS37" i="7942"/>
  <c r="BO38" i="7942"/>
  <c r="BP38" i="7942"/>
  <c r="BQ38" i="7942"/>
  <c r="BR38" i="7942"/>
  <c r="BS38" i="7942"/>
  <c r="BO39" i="7942"/>
  <c r="BP39" i="7942"/>
  <c r="BQ39" i="7942"/>
  <c r="BR39" i="7942"/>
  <c r="BS39" i="7942"/>
  <c r="BP14" i="7942"/>
  <c r="BQ14" i="7942"/>
  <c r="BR14" i="7942"/>
  <c r="BS14" i="7942"/>
  <c r="BO14" i="7942"/>
  <c r="BE15" i="7942"/>
  <c r="BG15" i="7942"/>
  <c r="BD17" i="7942"/>
  <c r="BE17" i="7942"/>
  <c r="BF17" i="7942"/>
  <c r="BG17" i="7942"/>
  <c r="BH17" i="7942"/>
  <c r="BD18" i="7942"/>
  <c r="BE18" i="7942"/>
  <c r="BF18" i="7942"/>
  <c r="BG18" i="7942"/>
  <c r="BH18" i="7942"/>
  <c r="BD19" i="7942"/>
  <c r="BE19" i="7942"/>
  <c r="BF19" i="7942"/>
  <c r="BG19" i="7942"/>
  <c r="BH19" i="7942"/>
  <c r="BD20" i="7942"/>
  <c r="BE20" i="7942"/>
  <c r="BF20" i="7942"/>
  <c r="BG20" i="7942"/>
  <c r="BH20" i="7942"/>
  <c r="BD21" i="7942"/>
  <c r="BE21" i="7942"/>
  <c r="BF21" i="7942"/>
  <c r="BG21" i="7942"/>
  <c r="BH21" i="7942"/>
  <c r="BD22" i="7942"/>
  <c r="BE22" i="7942"/>
  <c r="BF22" i="7942"/>
  <c r="BG22" i="7942"/>
  <c r="BH22" i="7942"/>
  <c r="BD23" i="7942"/>
  <c r="BE23" i="7942"/>
  <c r="BF23" i="7942"/>
  <c r="BG23" i="7942"/>
  <c r="BH23" i="7942"/>
  <c r="BD24" i="7942"/>
  <c r="BE24" i="7942"/>
  <c r="BF24" i="7942"/>
  <c r="BG24" i="7942"/>
  <c r="BH24" i="7942"/>
  <c r="BD25" i="7942"/>
  <c r="BE25" i="7942"/>
  <c r="BF25" i="7942"/>
  <c r="BG25" i="7942"/>
  <c r="BH25" i="7942"/>
  <c r="BD26" i="7942"/>
  <c r="BE26" i="7942"/>
  <c r="BF26" i="7942"/>
  <c r="BG26" i="7942"/>
  <c r="BH26" i="7942"/>
  <c r="BD27" i="7942"/>
  <c r="BE27" i="7942"/>
  <c r="BF27" i="7942"/>
  <c r="BG27" i="7942"/>
  <c r="BH27" i="7942"/>
  <c r="BD28" i="7942"/>
  <c r="BE28" i="7942"/>
  <c r="BF28" i="7942"/>
  <c r="BG28" i="7942"/>
  <c r="BH28" i="7942"/>
  <c r="BD29" i="7942"/>
  <c r="BE29" i="7942"/>
  <c r="BF29" i="7942"/>
  <c r="BG29" i="7942"/>
  <c r="BH29" i="7942"/>
  <c r="BD30" i="7942"/>
  <c r="BE30" i="7942"/>
  <c r="BF30" i="7942"/>
  <c r="BG30" i="7942"/>
  <c r="BH30" i="7942"/>
  <c r="BD31" i="7942"/>
  <c r="BE31" i="7942"/>
  <c r="BF31" i="7942"/>
  <c r="BG31" i="7942"/>
  <c r="BH31" i="7942"/>
  <c r="BD32" i="7942"/>
  <c r="BE32" i="7942"/>
  <c r="BF32" i="7942"/>
  <c r="BG32" i="7942"/>
  <c r="BH32" i="7942"/>
  <c r="BD33" i="7942"/>
  <c r="BE33" i="7942"/>
  <c r="BF33" i="7942"/>
  <c r="BG33" i="7942"/>
  <c r="BH33" i="7942"/>
  <c r="BD34" i="7942"/>
  <c r="BE34" i="7942"/>
  <c r="BF34" i="7942"/>
  <c r="BG34" i="7942"/>
  <c r="BH34" i="7942"/>
  <c r="BD35" i="7942"/>
  <c r="BE35" i="7942"/>
  <c r="BF35" i="7942"/>
  <c r="BG35" i="7942"/>
  <c r="BH35" i="7942"/>
  <c r="BD36" i="7942"/>
  <c r="BE36" i="7942"/>
  <c r="BF36" i="7942"/>
  <c r="BG36" i="7942"/>
  <c r="BH36" i="7942"/>
  <c r="BD37" i="7942"/>
  <c r="BE37" i="7942"/>
  <c r="BF37" i="7942"/>
  <c r="BG37" i="7942"/>
  <c r="BH37" i="7942"/>
  <c r="BD38" i="7942"/>
  <c r="BE38" i="7942"/>
  <c r="BF38" i="7942"/>
  <c r="BG38" i="7942"/>
  <c r="BH38" i="7942"/>
  <c r="BD39" i="7942"/>
  <c r="BE39" i="7942"/>
  <c r="BF39" i="7942"/>
  <c r="BG39" i="7942"/>
  <c r="BH39" i="7942"/>
  <c r="BE14" i="7942"/>
  <c r="BF14" i="7942"/>
  <c r="BG14" i="7942"/>
  <c r="BH14" i="7942"/>
  <c r="BD14" i="7942"/>
  <c r="AT15" i="7942"/>
  <c r="AV15" i="7942"/>
  <c r="AS17" i="7942"/>
  <c r="AT17" i="7942"/>
  <c r="AU17" i="7942"/>
  <c r="AV17" i="7942"/>
  <c r="AW17" i="7942"/>
  <c r="AS18" i="7942"/>
  <c r="AT18" i="7942"/>
  <c r="AU18" i="7942"/>
  <c r="AV18" i="7942"/>
  <c r="AW18" i="7942"/>
  <c r="AS19" i="7942"/>
  <c r="AT19" i="7942"/>
  <c r="AU19" i="7942"/>
  <c r="AV19" i="7942"/>
  <c r="AW19" i="7942"/>
  <c r="AS20" i="7942"/>
  <c r="AT20" i="7942"/>
  <c r="AU20" i="7942"/>
  <c r="AV20" i="7942"/>
  <c r="AW20" i="7942"/>
  <c r="AS21" i="7942"/>
  <c r="AT21" i="7942"/>
  <c r="AU21" i="7942"/>
  <c r="AV21" i="7942"/>
  <c r="AW21" i="7942"/>
  <c r="AS22" i="7942"/>
  <c r="AT22" i="7942"/>
  <c r="AU22" i="7942"/>
  <c r="AV22" i="7942"/>
  <c r="AV40" i="7942" s="1"/>
  <c r="AW22" i="7942"/>
  <c r="AS23" i="7942"/>
  <c r="AT23" i="7942"/>
  <c r="AU23" i="7942"/>
  <c r="AV23" i="7942"/>
  <c r="AW23" i="7942"/>
  <c r="AS24" i="7942"/>
  <c r="AT24" i="7942"/>
  <c r="AU24" i="7942"/>
  <c r="AV24" i="7942"/>
  <c r="AW24" i="7942"/>
  <c r="AS25" i="7942"/>
  <c r="AT25" i="7942"/>
  <c r="AU25" i="7942"/>
  <c r="AV25" i="7942"/>
  <c r="AW25" i="7942"/>
  <c r="AS26" i="7942"/>
  <c r="AT26" i="7942"/>
  <c r="AU26" i="7942"/>
  <c r="AV26" i="7942"/>
  <c r="AW26" i="7942"/>
  <c r="AS27" i="7942"/>
  <c r="AT27" i="7942"/>
  <c r="AU27" i="7942"/>
  <c r="AV27" i="7942"/>
  <c r="AW27" i="7942"/>
  <c r="AS28" i="7942"/>
  <c r="AT28" i="7942"/>
  <c r="AU28" i="7942"/>
  <c r="AV28" i="7942"/>
  <c r="AW28" i="7942"/>
  <c r="AS29" i="7942"/>
  <c r="AT29" i="7942"/>
  <c r="AU29" i="7942"/>
  <c r="AV29" i="7942"/>
  <c r="AW29" i="7942"/>
  <c r="AS30" i="7942"/>
  <c r="AT30" i="7942"/>
  <c r="AU30" i="7942"/>
  <c r="AV30" i="7942"/>
  <c r="AW30" i="7942"/>
  <c r="AS31" i="7942"/>
  <c r="AT31" i="7942"/>
  <c r="AU31" i="7942"/>
  <c r="AV31" i="7942"/>
  <c r="AW31" i="7942"/>
  <c r="AS32" i="7942"/>
  <c r="AT32" i="7942"/>
  <c r="AU32" i="7942"/>
  <c r="AV32" i="7942"/>
  <c r="AW32" i="7942"/>
  <c r="AS33" i="7942"/>
  <c r="AT33" i="7942"/>
  <c r="AU33" i="7942"/>
  <c r="AV33" i="7942"/>
  <c r="AW33" i="7942"/>
  <c r="AS34" i="7942"/>
  <c r="AT34" i="7942"/>
  <c r="AU34" i="7942"/>
  <c r="AV34" i="7942"/>
  <c r="AW34" i="7942"/>
  <c r="AS35" i="7942"/>
  <c r="AT35" i="7942"/>
  <c r="AU35" i="7942"/>
  <c r="AV35" i="7942"/>
  <c r="AW35" i="7942"/>
  <c r="AS36" i="7942"/>
  <c r="AT36" i="7942"/>
  <c r="AU36" i="7942"/>
  <c r="AV36" i="7942"/>
  <c r="AW36" i="7942"/>
  <c r="AS37" i="7942"/>
  <c r="AT37" i="7942"/>
  <c r="AU37" i="7942"/>
  <c r="AV37" i="7942"/>
  <c r="AW37" i="7942"/>
  <c r="AS38" i="7942"/>
  <c r="AT38" i="7942"/>
  <c r="AU38" i="7942"/>
  <c r="AV38" i="7942"/>
  <c r="AW38" i="7942"/>
  <c r="AS39" i="7942"/>
  <c r="AT39" i="7942"/>
  <c r="AU39" i="7942"/>
  <c r="AV39" i="7942"/>
  <c r="AW39" i="7942"/>
  <c r="AT14" i="7942"/>
  <c r="AU14" i="7942"/>
  <c r="AU40" i="7942" s="1"/>
  <c r="AV14" i="7942"/>
  <c r="AW14" i="7942"/>
  <c r="AS14" i="7942"/>
  <c r="AI15" i="7942"/>
  <c r="AK15" i="7942"/>
  <c r="AH16" i="7942"/>
  <c r="AI16" i="7942"/>
  <c r="AJ16" i="7942"/>
  <c r="AK16" i="7942"/>
  <c r="AL16" i="7942"/>
  <c r="AH17" i="7942"/>
  <c r="AI17" i="7942"/>
  <c r="AJ17" i="7942"/>
  <c r="AK17" i="7942"/>
  <c r="AL17" i="7942"/>
  <c r="AH18" i="7942"/>
  <c r="AI18" i="7942"/>
  <c r="AJ18" i="7942"/>
  <c r="AK18" i="7942"/>
  <c r="AL18" i="7942"/>
  <c r="AH19" i="7942"/>
  <c r="AI19" i="7942"/>
  <c r="AJ19" i="7942"/>
  <c r="AK19" i="7942"/>
  <c r="AL19" i="7942"/>
  <c r="AH20" i="7942"/>
  <c r="AI20" i="7942"/>
  <c r="AJ20" i="7942"/>
  <c r="AK20" i="7942"/>
  <c r="AL20" i="7942"/>
  <c r="AH21" i="7942"/>
  <c r="AI21" i="7942"/>
  <c r="AJ21" i="7942"/>
  <c r="AK21" i="7942"/>
  <c r="AL21" i="7942"/>
  <c r="AH22" i="7942"/>
  <c r="AI22" i="7942"/>
  <c r="AJ22" i="7942"/>
  <c r="AK22" i="7942"/>
  <c r="AL22" i="7942"/>
  <c r="AH23" i="7942"/>
  <c r="AI23" i="7942"/>
  <c r="AJ23" i="7942"/>
  <c r="AK23" i="7942"/>
  <c r="AL23" i="7942"/>
  <c r="AH24" i="7942"/>
  <c r="AI24" i="7942"/>
  <c r="AJ24" i="7942"/>
  <c r="AK24" i="7942"/>
  <c r="AL24" i="7942"/>
  <c r="AH25" i="7942"/>
  <c r="AI25" i="7942"/>
  <c r="AJ25" i="7942"/>
  <c r="AK25" i="7942"/>
  <c r="AL25" i="7942"/>
  <c r="AH26" i="7942"/>
  <c r="AI26" i="7942"/>
  <c r="AJ26" i="7942"/>
  <c r="AK26" i="7942"/>
  <c r="AL26" i="7942"/>
  <c r="AH27" i="7942"/>
  <c r="AI27" i="7942"/>
  <c r="AJ27" i="7942"/>
  <c r="AK27" i="7942"/>
  <c r="AL27" i="7942"/>
  <c r="AH28" i="7942"/>
  <c r="AI28" i="7942"/>
  <c r="AJ28" i="7942"/>
  <c r="AK28" i="7942"/>
  <c r="AL28" i="7942"/>
  <c r="AH29" i="7942"/>
  <c r="AI29" i="7942"/>
  <c r="AJ29" i="7942"/>
  <c r="AK29" i="7942"/>
  <c r="AL29" i="7942"/>
  <c r="AH30" i="7942"/>
  <c r="AI30" i="7942"/>
  <c r="AJ30" i="7942"/>
  <c r="AK30" i="7942"/>
  <c r="AL30" i="7942"/>
  <c r="AH31" i="7942"/>
  <c r="AI31" i="7942"/>
  <c r="AJ31" i="7942"/>
  <c r="AK31" i="7942"/>
  <c r="AL31" i="7942"/>
  <c r="AH32" i="7942"/>
  <c r="AI32" i="7942"/>
  <c r="AJ32" i="7942"/>
  <c r="AK32" i="7942"/>
  <c r="AL32" i="7942"/>
  <c r="AH33" i="7942"/>
  <c r="AI33" i="7942"/>
  <c r="AJ33" i="7942"/>
  <c r="AK33" i="7942"/>
  <c r="AL33" i="7942"/>
  <c r="AH34" i="7942"/>
  <c r="AI34" i="7942"/>
  <c r="AJ34" i="7942"/>
  <c r="AK34" i="7942"/>
  <c r="AL34" i="7942"/>
  <c r="AH35" i="7942"/>
  <c r="AI35" i="7942"/>
  <c r="AJ35" i="7942"/>
  <c r="AK35" i="7942"/>
  <c r="AL35" i="7942"/>
  <c r="AH36" i="7942"/>
  <c r="AI36" i="7942"/>
  <c r="AJ36" i="7942"/>
  <c r="AK36" i="7942"/>
  <c r="AL36" i="7942"/>
  <c r="AH37" i="7942"/>
  <c r="AI37" i="7942"/>
  <c r="AJ37" i="7942"/>
  <c r="AK37" i="7942"/>
  <c r="AL37" i="7942"/>
  <c r="AH38" i="7942"/>
  <c r="AI38" i="7942"/>
  <c r="AJ38" i="7942"/>
  <c r="AK38" i="7942"/>
  <c r="AL38" i="7942"/>
  <c r="AH39" i="7942"/>
  <c r="AI39" i="7942"/>
  <c r="AJ39" i="7942"/>
  <c r="AK39" i="7942"/>
  <c r="AL39" i="7942"/>
  <c r="AI14" i="7942"/>
  <c r="AJ14" i="7942"/>
  <c r="AK14" i="7942"/>
  <c r="AK40" i="7942" s="1"/>
  <c r="AL14" i="7942"/>
  <c r="AH14" i="7942"/>
  <c r="BH311" i="1"/>
  <c r="DG12" i="7942" s="1"/>
  <c r="BB311" i="1"/>
  <c r="CV12" i="7942" s="1"/>
  <c r="AV311" i="1"/>
  <c r="CK12" i="7942"/>
  <c r="AP311" i="1"/>
  <c r="BZ12" i="7942" s="1"/>
  <c r="AJ311" i="1"/>
  <c r="BO12" i="7942" s="1"/>
  <c r="AD311" i="1"/>
  <c r="BD12" i="7942" s="1"/>
  <c r="X311" i="1"/>
  <c r="AS12" i="7942"/>
  <c r="R311" i="1"/>
  <c r="AH12" i="7942" s="1"/>
  <c r="L311" i="1"/>
  <c r="W12" i="7942" s="1"/>
  <c r="F311" i="1"/>
  <c r="L12" i="7942" s="1"/>
  <c r="X14" i="7942"/>
  <c r="Y14" i="7942"/>
  <c r="Z14" i="7942"/>
  <c r="AA14" i="7942"/>
  <c r="X15" i="7942"/>
  <c r="Y15" i="7942"/>
  <c r="Z15" i="7942"/>
  <c r="AA15" i="7942"/>
  <c r="X16" i="7942"/>
  <c r="Y16" i="7942"/>
  <c r="Z16" i="7942"/>
  <c r="AA16" i="7942"/>
  <c r="X17" i="7942"/>
  <c r="Y17" i="7942"/>
  <c r="Z17" i="7942"/>
  <c r="AA17" i="7942"/>
  <c r="X18" i="7942"/>
  <c r="Y18" i="7942"/>
  <c r="Z18" i="7942"/>
  <c r="AA18" i="7942"/>
  <c r="X19" i="7942"/>
  <c r="Y19" i="7942"/>
  <c r="Z19" i="7942"/>
  <c r="AA19" i="7942"/>
  <c r="X20" i="7942"/>
  <c r="Y20" i="7942"/>
  <c r="Z20" i="7942"/>
  <c r="AA20" i="7942"/>
  <c r="X21" i="7942"/>
  <c r="Y21" i="7942"/>
  <c r="Z21" i="7942"/>
  <c r="AA21" i="7942"/>
  <c r="X22" i="7942"/>
  <c r="Y22" i="7942"/>
  <c r="Z22" i="7942"/>
  <c r="AA22" i="7942"/>
  <c r="X23" i="7942"/>
  <c r="Y23" i="7942"/>
  <c r="Z23" i="7942"/>
  <c r="AA23" i="7942"/>
  <c r="X24" i="7942"/>
  <c r="Y24" i="7942"/>
  <c r="Z24" i="7942"/>
  <c r="AA24" i="7942"/>
  <c r="X25" i="7942"/>
  <c r="Y25" i="7942"/>
  <c r="Z25" i="7942"/>
  <c r="AA25" i="7942"/>
  <c r="X26" i="7942"/>
  <c r="Y26" i="7942"/>
  <c r="Z26" i="7942"/>
  <c r="AA26" i="7942"/>
  <c r="X27" i="7942"/>
  <c r="Y27" i="7942"/>
  <c r="Z27" i="7942"/>
  <c r="AA27" i="7942"/>
  <c r="X28" i="7942"/>
  <c r="Y28" i="7942"/>
  <c r="Z28" i="7942"/>
  <c r="AA28" i="7942"/>
  <c r="X29" i="7942"/>
  <c r="Y29" i="7942"/>
  <c r="Z29" i="7942"/>
  <c r="AA29" i="7942"/>
  <c r="X30" i="7942"/>
  <c r="Y30" i="7942"/>
  <c r="Z30" i="7942"/>
  <c r="AA30" i="7942"/>
  <c r="X31" i="7942"/>
  <c r="Y31" i="7942"/>
  <c r="Z31" i="7942"/>
  <c r="AA31" i="7942"/>
  <c r="X32" i="7942"/>
  <c r="Y32" i="7942"/>
  <c r="Z32" i="7942"/>
  <c r="AA32" i="7942"/>
  <c r="X33" i="7942"/>
  <c r="Y33" i="7942"/>
  <c r="Z33" i="7942"/>
  <c r="AA33" i="7942"/>
  <c r="X34" i="7942"/>
  <c r="Y34" i="7942"/>
  <c r="Z34" i="7942"/>
  <c r="AA34" i="7942"/>
  <c r="X35" i="7942"/>
  <c r="Y35" i="7942"/>
  <c r="Z35" i="7942"/>
  <c r="AA35" i="7942"/>
  <c r="X36" i="7942"/>
  <c r="Y36" i="7942"/>
  <c r="Z36" i="7942"/>
  <c r="AA36" i="7942"/>
  <c r="X37" i="7942"/>
  <c r="Y37" i="7942"/>
  <c r="Z37" i="7942"/>
  <c r="AA37" i="7942"/>
  <c r="X38" i="7942"/>
  <c r="Y38" i="7942"/>
  <c r="Z38" i="7942"/>
  <c r="AA38" i="7942"/>
  <c r="X39" i="7942"/>
  <c r="Y39" i="7942"/>
  <c r="Z39" i="7942"/>
  <c r="AA39" i="7942"/>
  <c r="W15" i="7942"/>
  <c r="W16" i="7942"/>
  <c r="W17" i="7942"/>
  <c r="W18" i="7942"/>
  <c r="W19" i="7942"/>
  <c r="W20" i="7942"/>
  <c r="W21" i="7942"/>
  <c r="W22" i="7942"/>
  <c r="W23" i="7942"/>
  <c r="W24" i="7942"/>
  <c r="W25" i="7942"/>
  <c r="W26" i="7942"/>
  <c r="W27" i="7942"/>
  <c r="W28" i="7942"/>
  <c r="W29" i="7942"/>
  <c r="W30" i="7942"/>
  <c r="W31" i="7942"/>
  <c r="W32" i="7942"/>
  <c r="W33" i="7942"/>
  <c r="W34" i="7942"/>
  <c r="W35" i="7942"/>
  <c r="W36" i="7942"/>
  <c r="W37" i="7942"/>
  <c r="W38" i="7942"/>
  <c r="W39" i="7942"/>
  <c r="W14" i="7942"/>
  <c r="W40" i="7942" s="1"/>
  <c r="L15" i="7942"/>
  <c r="M15" i="7942"/>
  <c r="N15" i="7942"/>
  <c r="O15" i="7942"/>
  <c r="P15" i="7942"/>
  <c r="L16" i="7942"/>
  <c r="M16" i="7942"/>
  <c r="N16" i="7942"/>
  <c r="O16" i="7942"/>
  <c r="P16" i="7942"/>
  <c r="L17" i="7942"/>
  <c r="M17" i="7942"/>
  <c r="N17" i="7942"/>
  <c r="O17" i="7942"/>
  <c r="P17" i="7942"/>
  <c r="L18" i="7942"/>
  <c r="M18" i="7942"/>
  <c r="N18" i="7942"/>
  <c r="O18" i="7942"/>
  <c r="P18" i="7942"/>
  <c r="L19" i="7942"/>
  <c r="M19" i="7942"/>
  <c r="N19" i="7942"/>
  <c r="O19" i="7942"/>
  <c r="P19" i="7942"/>
  <c r="L20" i="7942"/>
  <c r="M20" i="7942"/>
  <c r="N20" i="7942"/>
  <c r="O20" i="7942"/>
  <c r="P20" i="7942"/>
  <c r="L21" i="7942"/>
  <c r="M21" i="7942"/>
  <c r="N21" i="7942"/>
  <c r="O21" i="7942"/>
  <c r="P21" i="7942"/>
  <c r="L22" i="7942"/>
  <c r="M22" i="7942"/>
  <c r="N22" i="7942"/>
  <c r="O22" i="7942"/>
  <c r="P22" i="7942"/>
  <c r="L23" i="7942"/>
  <c r="M23" i="7942"/>
  <c r="N23" i="7942"/>
  <c r="O23" i="7942"/>
  <c r="P23" i="7942"/>
  <c r="L24" i="7942"/>
  <c r="M24" i="7942"/>
  <c r="N24" i="7942"/>
  <c r="O24" i="7942"/>
  <c r="P24" i="7942"/>
  <c r="L25" i="7942"/>
  <c r="M25" i="7942"/>
  <c r="N25" i="7942"/>
  <c r="O25" i="7942"/>
  <c r="P25" i="7942"/>
  <c r="L26" i="7942"/>
  <c r="M26" i="7942"/>
  <c r="N26" i="7942"/>
  <c r="O26" i="7942"/>
  <c r="P26" i="7942"/>
  <c r="L27" i="7942"/>
  <c r="M27" i="7942"/>
  <c r="N27" i="7942"/>
  <c r="O27" i="7942"/>
  <c r="P27" i="7942"/>
  <c r="L28" i="7942"/>
  <c r="M28" i="7942"/>
  <c r="N28" i="7942"/>
  <c r="O28" i="7942"/>
  <c r="P28" i="7942"/>
  <c r="L29" i="7942"/>
  <c r="M29" i="7942"/>
  <c r="N29" i="7942"/>
  <c r="O29" i="7942"/>
  <c r="P29" i="7942"/>
  <c r="L30" i="7942"/>
  <c r="M30" i="7942"/>
  <c r="N30" i="7942"/>
  <c r="O30" i="7942"/>
  <c r="P30" i="7942"/>
  <c r="L31" i="7942"/>
  <c r="M31" i="7942"/>
  <c r="N31" i="7942"/>
  <c r="O31" i="7942"/>
  <c r="P31" i="7942"/>
  <c r="L32" i="7942"/>
  <c r="M32" i="7942"/>
  <c r="N32" i="7942"/>
  <c r="O32" i="7942"/>
  <c r="P32" i="7942"/>
  <c r="L33" i="7942"/>
  <c r="M33" i="7942"/>
  <c r="N33" i="7942"/>
  <c r="O33" i="7942"/>
  <c r="P33" i="7942"/>
  <c r="L34" i="7942"/>
  <c r="M34" i="7942"/>
  <c r="N34" i="7942"/>
  <c r="O34" i="7942"/>
  <c r="P34" i="7942"/>
  <c r="L35" i="7942"/>
  <c r="M35" i="7942"/>
  <c r="N35" i="7942"/>
  <c r="O35" i="7942"/>
  <c r="P35" i="7942"/>
  <c r="L36" i="7942"/>
  <c r="M36" i="7942"/>
  <c r="N36" i="7942"/>
  <c r="O36" i="7942"/>
  <c r="P36" i="7942"/>
  <c r="L37" i="7942"/>
  <c r="M37" i="7942"/>
  <c r="N37" i="7942"/>
  <c r="O37" i="7942"/>
  <c r="P37" i="7942"/>
  <c r="L38" i="7942"/>
  <c r="M38" i="7942"/>
  <c r="N38" i="7942"/>
  <c r="O38" i="7942"/>
  <c r="P38" i="7942"/>
  <c r="L39" i="7942"/>
  <c r="M39" i="7942"/>
  <c r="N39" i="7942"/>
  <c r="O39" i="7942"/>
  <c r="P39" i="7942"/>
  <c r="M14" i="7942"/>
  <c r="N14" i="7942"/>
  <c r="O14" i="7942"/>
  <c r="O40" i="7942" s="1"/>
  <c r="P14" i="7942"/>
  <c r="L14" i="7942"/>
  <c r="BH314" i="1"/>
  <c r="BH315" i="1"/>
  <c r="BH316" i="1"/>
  <c r="BH317" i="1"/>
  <c r="BH318" i="1"/>
  <c r="BH319" i="1"/>
  <c r="BH339" i="1" s="1"/>
  <c r="BH320" i="1"/>
  <c r="BH321" i="1"/>
  <c r="BH322" i="1"/>
  <c r="BH323" i="1"/>
  <c r="BH324" i="1"/>
  <c r="BH325" i="1"/>
  <c r="BH326" i="1"/>
  <c r="BH327" i="1"/>
  <c r="BH328" i="1"/>
  <c r="BH329" i="1"/>
  <c r="BH330" i="1"/>
  <c r="BH331" i="1"/>
  <c r="BH332" i="1"/>
  <c r="BH333" i="1"/>
  <c r="BH334" i="1"/>
  <c r="BH335" i="1"/>
  <c r="BH336" i="1"/>
  <c r="BH337" i="1"/>
  <c r="BH338" i="1"/>
  <c r="BH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13" i="1"/>
  <c r="AV339" i="1" s="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13" i="1"/>
  <c r="AJ314" i="1"/>
  <c r="BS15" i="7942"/>
  <c r="AJ315" i="1"/>
  <c r="BS16" i="7942"/>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13" i="1"/>
  <c r="AD314" i="1"/>
  <c r="BH15" i="7942"/>
  <c r="AD315" i="1"/>
  <c r="BH16" i="7942"/>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13" i="1"/>
  <c r="AW15" i="7942"/>
  <c r="AW16" i="7942"/>
  <c r="X316" i="1"/>
  <c r="X317" i="1"/>
  <c r="X318" i="1"/>
  <c r="X319" i="1"/>
  <c r="X320" i="1"/>
  <c r="X321" i="1"/>
  <c r="X322" i="1"/>
  <c r="X323" i="1"/>
  <c r="X324" i="1"/>
  <c r="X325" i="1"/>
  <c r="X326" i="1"/>
  <c r="X327" i="1"/>
  <c r="X328" i="1"/>
  <c r="X329" i="1"/>
  <c r="X330" i="1"/>
  <c r="X331" i="1"/>
  <c r="X332" i="1"/>
  <c r="X333" i="1"/>
  <c r="X334" i="1"/>
  <c r="X335" i="1"/>
  <c r="X336" i="1"/>
  <c r="X337" i="1"/>
  <c r="X338" i="1"/>
  <c r="X313" i="1"/>
  <c r="R314" i="1"/>
  <c r="AL15" i="7942"/>
  <c r="R315" i="1"/>
  <c r="R316" i="1"/>
  <c r="R317" i="1"/>
  <c r="R318" i="1"/>
  <c r="R319" i="1"/>
  <c r="R320" i="1"/>
  <c r="R321" i="1"/>
  <c r="R322" i="1"/>
  <c r="R323" i="1"/>
  <c r="R324" i="1"/>
  <c r="R325" i="1"/>
  <c r="R326" i="1"/>
  <c r="R327" i="1"/>
  <c r="R328" i="1"/>
  <c r="R329" i="1"/>
  <c r="R330" i="1"/>
  <c r="R331" i="1"/>
  <c r="R332" i="1"/>
  <c r="R333" i="1"/>
  <c r="R334" i="1"/>
  <c r="R335" i="1"/>
  <c r="R336" i="1"/>
  <c r="R337" i="1"/>
  <c r="R338" i="1"/>
  <c r="R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13" i="1"/>
  <c r="I339" i="1"/>
  <c r="G339"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13" i="1"/>
  <c r="BI339" i="1"/>
  <c r="BC339" i="1"/>
  <c r="AQ339" i="1"/>
  <c r="AE339" i="1"/>
  <c r="Y339" i="1"/>
  <c r="S339" i="1"/>
  <c r="K339" i="1"/>
  <c r="J339" i="1"/>
  <c r="H339" i="1"/>
  <c r="Z339" i="1"/>
  <c r="AU16" i="7942"/>
  <c r="AS16" i="7942"/>
  <c r="BG16" i="7942"/>
  <c r="BE16" i="7942"/>
  <c r="BQ16" i="7942"/>
  <c r="BO16" i="7942"/>
  <c r="AV16" i="7942"/>
  <c r="AT16" i="7942"/>
  <c r="BF16" i="7942"/>
  <c r="BD16" i="7942"/>
  <c r="BR16" i="7942"/>
  <c r="BP16" i="7942"/>
  <c r="AJ15" i="7942"/>
  <c r="AH15" i="7942"/>
  <c r="AU15" i="7942"/>
  <c r="AS15" i="7942"/>
  <c r="BF15" i="7942"/>
  <c r="BF40" i="7942" s="1"/>
  <c r="BD15" i="7942"/>
  <c r="BQ15" i="7942"/>
  <c r="BO15" i="7942"/>
  <c r="AF339" i="1"/>
  <c r="AL339" i="1"/>
  <c r="AK339" i="1"/>
  <c r="AR339" i="1"/>
  <c r="AX339" i="1"/>
  <c r="AW339" i="1"/>
  <c r="BD339" i="1"/>
  <c r="BK339" i="1"/>
  <c r="BJ339" i="1"/>
  <c r="AA339" i="1"/>
  <c r="U339" i="1"/>
  <c r="T339" i="1"/>
  <c r="M339" i="1"/>
  <c r="L242" i="1" s="1"/>
  <c r="AG339" i="1"/>
  <c r="AM339" i="1"/>
  <c r="AO339" i="1"/>
  <c r="AN339" i="1"/>
  <c r="AS339" i="1"/>
  <c r="AY339" i="1"/>
  <c r="BE339" i="1"/>
  <c r="BM339" i="1"/>
  <c r="BL339" i="1"/>
  <c r="AC339" i="1"/>
  <c r="AB339" i="1"/>
  <c r="W339" i="1"/>
  <c r="V339" i="1"/>
  <c r="N339" i="1"/>
  <c r="AH339" i="1"/>
  <c r="AI339" i="1"/>
  <c r="P242" i="1" s="1"/>
  <c r="AU339" i="1"/>
  <c r="AT339" i="1"/>
  <c r="BA339" i="1"/>
  <c r="AZ339" i="1"/>
  <c r="BG339" i="1"/>
  <c r="BF339" i="1"/>
  <c r="O339" i="1"/>
  <c r="H28" i="2"/>
  <c r="I28" i="2"/>
  <c r="J28" i="2"/>
  <c r="K28" i="2"/>
  <c r="L28" i="2"/>
  <c r="M28" i="2"/>
  <c r="N28" i="2"/>
  <c r="O28" i="2"/>
  <c r="P28" i="2"/>
  <c r="H27" i="2"/>
  <c r="I27" i="2"/>
  <c r="J27" i="2"/>
  <c r="K27" i="2"/>
  <c r="L27" i="2"/>
  <c r="M27" i="2"/>
  <c r="N27" i="2"/>
  <c r="O27" i="2"/>
  <c r="P27" i="2"/>
  <c r="F13" i="24"/>
  <c r="G13" i="2"/>
  <c r="G53" i="24" s="1"/>
  <c r="G3" i="18"/>
  <c r="G571" i="18"/>
  <c r="G148" i="1"/>
  <c r="G147" i="1"/>
  <c r="G149" i="1"/>
  <c r="G146" i="1"/>
  <c r="G144" i="1"/>
  <c r="G150" i="1"/>
  <c r="P151" i="1"/>
  <c r="O151" i="1"/>
  <c r="N151" i="1"/>
  <c r="M151" i="1"/>
  <c r="L151" i="1"/>
  <c r="K151" i="1"/>
  <c r="J151" i="1"/>
  <c r="I151" i="1"/>
  <c r="H151" i="1"/>
  <c r="P150" i="1"/>
  <c r="O150" i="1"/>
  <c r="N150" i="1"/>
  <c r="M150" i="1"/>
  <c r="L150" i="1"/>
  <c r="K150" i="1"/>
  <c r="J150" i="1"/>
  <c r="I150" i="1"/>
  <c r="H150" i="1"/>
  <c r="G151" i="1"/>
  <c r="BI48" i="7942"/>
  <c r="BJ14" i="7942"/>
  <c r="BK14" i="7942"/>
  <c r="BL14" i="7942"/>
  <c r="BM14" i="7942"/>
  <c r="BN14" i="7942"/>
  <c r="BI49" i="7942"/>
  <c r="BI82" i="7942" s="1"/>
  <c r="BK15" i="7942"/>
  <c r="BL15" i="7942"/>
  <c r="BM15" i="7942"/>
  <c r="BN15" i="7942"/>
  <c r="BI50" i="7942"/>
  <c r="BK16" i="7942"/>
  <c r="BL16" i="7942"/>
  <c r="BM16" i="7942"/>
  <c r="BN16" i="7942"/>
  <c r="BI51" i="7942"/>
  <c r="BK17" i="7942"/>
  <c r="BL17" i="7942"/>
  <c r="BM17" i="7942"/>
  <c r="BN17" i="7942"/>
  <c r="BI52" i="7942"/>
  <c r="BK18" i="7942"/>
  <c r="BL18" i="7942"/>
  <c r="BM18" i="7942"/>
  <c r="BN18" i="7942"/>
  <c r="BI53" i="7942"/>
  <c r="BK19" i="7942"/>
  <c r="BL19" i="7942"/>
  <c r="BM19" i="7942"/>
  <c r="BN19" i="7942"/>
  <c r="BI54" i="7942"/>
  <c r="BK20" i="7942"/>
  <c r="BL20" i="7942"/>
  <c r="BM20" i="7942"/>
  <c r="BN20" i="7942"/>
  <c r="BI55" i="7942"/>
  <c r="BK21" i="7942"/>
  <c r="BL21" i="7942"/>
  <c r="BM21" i="7942"/>
  <c r="BN21" i="7942"/>
  <c r="BI56" i="7942"/>
  <c r="BK22" i="7942"/>
  <c r="BL22" i="7942"/>
  <c r="BM22" i="7942"/>
  <c r="BN22" i="7942"/>
  <c r="BI57" i="7942"/>
  <c r="BI90" i="7942" s="1"/>
  <c r="BK23" i="7942"/>
  <c r="BL23" i="7942"/>
  <c r="BM23" i="7942"/>
  <c r="BN23" i="7942"/>
  <c r="BI58" i="7942"/>
  <c r="BK24" i="7942"/>
  <c r="BL24" i="7942"/>
  <c r="BM24" i="7942"/>
  <c r="BN24" i="7942"/>
  <c r="BI59" i="7942"/>
  <c r="BK25" i="7942"/>
  <c r="BL25" i="7942"/>
  <c r="BM25" i="7942"/>
  <c r="BN25" i="7942"/>
  <c r="BI60" i="7942"/>
  <c r="BK26" i="7942"/>
  <c r="BL26" i="7942"/>
  <c r="BM26" i="7942"/>
  <c r="BN26" i="7942"/>
  <c r="BI61" i="7942"/>
  <c r="BK27" i="7942"/>
  <c r="BL27" i="7942"/>
  <c r="BM27" i="7942"/>
  <c r="BN27" i="7942"/>
  <c r="BI62" i="7942"/>
  <c r="BK28" i="7942"/>
  <c r="BL28" i="7942"/>
  <c r="BM28" i="7942"/>
  <c r="BN28" i="7942"/>
  <c r="BI63" i="7942"/>
  <c r="BK29" i="7942"/>
  <c r="BL29" i="7942"/>
  <c r="BM29" i="7942"/>
  <c r="BN29" i="7942"/>
  <c r="BI64" i="7942"/>
  <c r="BK30" i="7942"/>
  <c r="BL30" i="7942"/>
  <c r="BM30" i="7942"/>
  <c r="BN30" i="7942"/>
  <c r="BI65" i="7942"/>
  <c r="BI98" i="7942" s="1"/>
  <c r="BK31" i="7942"/>
  <c r="BL31" i="7942"/>
  <c r="BM31" i="7942"/>
  <c r="BN31" i="7942"/>
  <c r="BI66" i="7942"/>
  <c r="BK32" i="7942"/>
  <c r="BL32" i="7942"/>
  <c r="BM32" i="7942"/>
  <c r="BN32" i="7942"/>
  <c r="BI67" i="7942"/>
  <c r="BK33" i="7942"/>
  <c r="BL33" i="7942"/>
  <c r="BM33" i="7942"/>
  <c r="BN33" i="7942"/>
  <c r="BI68" i="7942"/>
  <c r="BK34" i="7942"/>
  <c r="BL34" i="7942"/>
  <c r="BM34" i="7942"/>
  <c r="BN34" i="7942"/>
  <c r="BI69" i="7942"/>
  <c r="BK35" i="7942"/>
  <c r="BL35" i="7942"/>
  <c r="BM35" i="7942"/>
  <c r="BN35" i="7942"/>
  <c r="BI70" i="7942"/>
  <c r="BK36" i="7942"/>
  <c r="BL36" i="7942"/>
  <c r="BM36" i="7942"/>
  <c r="BN36" i="7942"/>
  <c r="BI71" i="7942"/>
  <c r="BK37" i="7942"/>
  <c r="BL37" i="7942"/>
  <c r="BM37" i="7942"/>
  <c r="BN37" i="7942"/>
  <c r="BI72" i="7942"/>
  <c r="BK38" i="7942"/>
  <c r="BL38" i="7942"/>
  <c r="BM38" i="7942"/>
  <c r="BN38" i="7942"/>
  <c r="BI73" i="7942"/>
  <c r="BI106" i="7942" s="1"/>
  <c r="BK39" i="7942"/>
  <c r="BL39" i="7942"/>
  <c r="BM39" i="7942"/>
  <c r="BN39" i="7942"/>
  <c r="BJ39" i="7942"/>
  <c r="BJ16" i="7942"/>
  <c r="BJ17" i="7942"/>
  <c r="BJ18" i="7942"/>
  <c r="BJ19" i="7942"/>
  <c r="BJ20" i="7942"/>
  <c r="BJ21" i="7942"/>
  <c r="BJ22" i="7942"/>
  <c r="BJ23" i="7942"/>
  <c r="BJ24" i="7942"/>
  <c r="BJ25" i="7942"/>
  <c r="BJ26" i="7942"/>
  <c r="BJ27" i="7942"/>
  <c r="BJ28" i="7942"/>
  <c r="BJ29" i="7942"/>
  <c r="BJ30" i="7942"/>
  <c r="BJ31" i="7942"/>
  <c r="BJ32" i="7942"/>
  <c r="BJ33" i="7942"/>
  <c r="BJ34" i="7942"/>
  <c r="BJ35" i="7942"/>
  <c r="BJ36" i="7942"/>
  <c r="BJ37" i="7942"/>
  <c r="BJ38" i="7942"/>
  <c r="BJ15" i="7942"/>
  <c r="BI15" i="7942"/>
  <c r="BI16" i="7942"/>
  <c r="BI17" i="7942"/>
  <c r="BI18" i="7942"/>
  <c r="BI19" i="7942"/>
  <c r="BI20" i="7942"/>
  <c r="BI21" i="7942"/>
  <c r="BI22" i="7942"/>
  <c r="BI23" i="7942"/>
  <c r="BI24" i="7942"/>
  <c r="BI25" i="7942"/>
  <c r="BI92" i="7942" s="1"/>
  <c r="BI26" i="7942"/>
  <c r="BI27" i="7942"/>
  <c r="BI28" i="7942"/>
  <c r="BI29" i="7942"/>
  <c r="BI30" i="7942"/>
  <c r="BI31" i="7942"/>
  <c r="BI32" i="7942"/>
  <c r="BI33" i="7942"/>
  <c r="BI100" i="7942" s="1"/>
  <c r="BI34" i="7942"/>
  <c r="BI35" i="7942"/>
  <c r="BI36" i="7942"/>
  <c r="BI37" i="7942"/>
  <c r="BI38" i="7942"/>
  <c r="BI39" i="7942"/>
  <c r="G153" i="1"/>
  <c r="G154" i="1"/>
  <c r="G155" i="1"/>
  <c r="G156" i="1"/>
  <c r="G157" i="1"/>
  <c r="G158" i="1"/>
  <c r="G159" i="1"/>
  <c r="G160" i="1"/>
  <c r="G161" i="1"/>
  <c r="G162" i="1"/>
  <c r="G163" i="1"/>
  <c r="G164" i="1"/>
  <c r="G165" i="1"/>
  <c r="G166" i="1"/>
  <c r="G167" i="1"/>
  <c r="G168" i="1"/>
  <c r="G169" i="1"/>
  <c r="G170" i="1"/>
  <c r="G171" i="1"/>
  <c r="G172" i="1"/>
  <c r="H152" i="1"/>
  <c r="H153" i="1"/>
  <c r="H154" i="1"/>
  <c r="H155" i="1"/>
  <c r="H156" i="1"/>
  <c r="H157" i="1"/>
  <c r="H158" i="1"/>
  <c r="H159" i="1"/>
  <c r="H160" i="1"/>
  <c r="H161" i="1"/>
  <c r="H162" i="1"/>
  <c r="H163" i="1"/>
  <c r="H164" i="1"/>
  <c r="H165" i="1"/>
  <c r="H166" i="1"/>
  <c r="H167" i="1"/>
  <c r="H168" i="1"/>
  <c r="H169" i="1"/>
  <c r="H170" i="1"/>
  <c r="H171" i="1"/>
  <c r="H172" i="1"/>
  <c r="H149" i="1"/>
  <c r="H144" i="1"/>
  <c r="H146" i="1"/>
  <c r="H147" i="1"/>
  <c r="H148" i="1"/>
  <c r="I152" i="1"/>
  <c r="I153" i="1"/>
  <c r="I154" i="1"/>
  <c r="I155" i="1"/>
  <c r="I156" i="1"/>
  <c r="I157" i="1"/>
  <c r="I158" i="1"/>
  <c r="I159" i="1"/>
  <c r="I160" i="1"/>
  <c r="I161" i="1"/>
  <c r="I162" i="1"/>
  <c r="I163" i="1"/>
  <c r="I164" i="1"/>
  <c r="I165" i="1"/>
  <c r="I166" i="1"/>
  <c r="I167" i="1"/>
  <c r="I168" i="1"/>
  <c r="I169" i="1"/>
  <c r="I170" i="1"/>
  <c r="I171" i="1"/>
  <c r="I172" i="1"/>
  <c r="I149" i="1"/>
  <c r="I144" i="1"/>
  <c r="I146" i="1"/>
  <c r="I147" i="1"/>
  <c r="I148" i="1"/>
  <c r="J152" i="1"/>
  <c r="J153" i="1"/>
  <c r="J154" i="1"/>
  <c r="J155" i="1"/>
  <c r="J156" i="1"/>
  <c r="J157" i="1"/>
  <c r="J158" i="1"/>
  <c r="J159" i="1"/>
  <c r="J160" i="1"/>
  <c r="J161" i="1"/>
  <c r="J162" i="1"/>
  <c r="J163" i="1"/>
  <c r="J164" i="1"/>
  <c r="J165" i="1"/>
  <c r="J166" i="1"/>
  <c r="J167" i="1"/>
  <c r="J168" i="1"/>
  <c r="J169" i="1"/>
  <c r="J170" i="1"/>
  <c r="J171" i="1"/>
  <c r="J172" i="1"/>
  <c r="J149" i="1"/>
  <c r="J144" i="1"/>
  <c r="J146" i="1"/>
  <c r="J147" i="1"/>
  <c r="J148" i="1"/>
  <c r="K152" i="1"/>
  <c r="K153" i="1"/>
  <c r="K154" i="1"/>
  <c r="K155" i="1"/>
  <c r="K156" i="1"/>
  <c r="K157" i="1"/>
  <c r="K158" i="1"/>
  <c r="K159" i="1"/>
  <c r="K160" i="1"/>
  <c r="K161" i="1"/>
  <c r="K162" i="1"/>
  <c r="K163" i="1"/>
  <c r="K164" i="1"/>
  <c r="K165" i="1"/>
  <c r="K166" i="1"/>
  <c r="K167" i="1"/>
  <c r="K168" i="1"/>
  <c r="K169" i="1"/>
  <c r="K170" i="1"/>
  <c r="K171" i="1"/>
  <c r="K172" i="1"/>
  <c r="K149" i="1"/>
  <c r="K144" i="1"/>
  <c r="K146" i="1"/>
  <c r="K147" i="1"/>
  <c r="K148" i="1"/>
  <c r="L152" i="1"/>
  <c r="L153" i="1"/>
  <c r="L154" i="1"/>
  <c r="L155" i="1"/>
  <c r="L156" i="1"/>
  <c r="L157" i="1"/>
  <c r="L158" i="1"/>
  <c r="L159" i="1"/>
  <c r="L160" i="1"/>
  <c r="L161" i="1"/>
  <c r="L162" i="1"/>
  <c r="L163" i="1"/>
  <c r="L164" i="1"/>
  <c r="L165" i="1"/>
  <c r="L166" i="1"/>
  <c r="L167" i="1"/>
  <c r="L168" i="1"/>
  <c r="L169" i="1"/>
  <c r="L170" i="1"/>
  <c r="L171" i="1"/>
  <c r="L172" i="1"/>
  <c r="L149" i="1"/>
  <c r="L143" i="1"/>
  <c r="L144" i="1"/>
  <c r="L145" i="1"/>
  <c r="L146" i="1"/>
  <c r="L147" i="1"/>
  <c r="L148" i="1"/>
  <c r="M152" i="1"/>
  <c r="M153" i="1"/>
  <c r="M154" i="1"/>
  <c r="M155" i="1"/>
  <c r="M156" i="1"/>
  <c r="M157" i="1"/>
  <c r="M158" i="1"/>
  <c r="M159" i="1"/>
  <c r="M160" i="1"/>
  <c r="M161" i="1"/>
  <c r="M162" i="1"/>
  <c r="M163" i="1"/>
  <c r="M164" i="1"/>
  <c r="M165" i="1"/>
  <c r="M166" i="1"/>
  <c r="M167" i="1"/>
  <c r="M168" i="1"/>
  <c r="M169" i="1"/>
  <c r="M170" i="1"/>
  <c r="M171" i="1"/>
  <c r="M172" i="1"/>
  <c r="M149" i="1"/>
  <c r="M143" i="1"/>
  <c r="M144" i="1"/>
  <c r="M145" i="1"/>
  <c r="M146" i="1"/>
  <c r="M173" i="1" s="1"/>
  <c r="M147" i="1"/>
  <c r="M148" i="1"/>
  <c r="N152" i="1"/>
  <c r="N153" i="1"/>
  <c r="N154" i="1"/>
  <c r="N155" i="1"/>
  <c r="N156" i="1"/>
  <c r="N157" i="1"/>
  <c r="N158" i="1"/>
  <c r="N159" i="1"/>
  <c r="N160" i="1"/>
  <c r="N161" i="1"/>
  <c r="N162" i="1"/>
  <c r="N163" i="1"/>
  <c r="N164" i="1"/>
  <c r="N165" i="1"/>
  <c r="N166" i="1"/>
  <c r="N167" i="1"/>
  <c r="N168" i="1"/>
  <c r="N169" i="1"/>
  <c r="N170" i="1"/>
  <c r="N171" i="1"/>
  <c r="N172" i="1"/>
  <c r="N149" i="1"/>
  <c r="N173" i="1" s="1"/>
  <c r="N143" i="1"/>
  <c r="N144" i="1"/>
  <c r="N145" i="1"/>
  <c r="N146" i="1"/>
  <c r="N147" i="1"/>
  <c r="N148" i="1"/>
  <c r="O152" i="1"/>
  <c r="O153" i="1"/>
  <c r="O154" i="1"/>
  <c r="O155" i="1"/>
  <c r="O156" i="1"/>
  <c r="O157" i="1"/>
  <c r="O158" i="1"/>
  <c r="O159" i="1"/>
  <c r="O160" i="1"/>
  <c r="O161" i="1"/>
  <c r="O162" i="1"/>
  <c r="O163" i="1"/>
  <c r="O164" i="1"/>
  <c r="O165" i="1"/>
  <c r="O166" i="1"/>
  <c r="O167" i="1"/>
  <c r="O168" i="1"/>
  <c r="O169" i="1"/>
  <c r="O170" i="1"/>
  <c r="O171" i="1"/>
  <c r="O172" i="1"/>
  <c r="O149" i="1"/>
  <c r="O143" i="1"/>
  <c r="O144" i="1"/>
  <c r="O145" i="1"/>
  <c r="O146" i="1"/>
  <c r="O173" i="1" s="1"/>
  <c r="O147" i="1"/>
  <c r="O148" i="1"/>
  <c r="P152" i="1"/>
  <c r="P153" i="1"/>
  <c r="P154" i="1"/>
  <c r="P155" i="1"/>
  <c r="P156" i="1"/>
  <c r="P157" i="1"/>
  <c r="P158" i="1"/>
  <c r="P159" i="1"/>
  <c r="P160" i="1"/>
  <c r="P161" i="1"/>
  <c r="P162" i="1"/>
  <c r="P163" i="1"/>
  <c r="P164" i="1"/>
  <c r="P165" i="1"/>
  <c r="P166" i="1"/>
  <c r="P167" i="1"/>
  <c r="P168" i="1"/>
  <c r="P169" i="1"/>
  <c r="P170" i="1"/>
  <c r="P171" i="1"/>
  <c r="P172" i="1"/>
  <c r="P149" i="1"/>
  <c r="P173" i="1" s="1"/>
  <c r="P143" i="1"/>
  <c r="P144" i="1"/>
  <c r="P145" i="1"/>
  <c r="P146" i="1"/>
  <c r="P147" i="1"/>
  <c r="P148" i="1"/>
  <c r="K37" i="1"/>
  <c r="M305" i="1"/>
  <c r="G242" i="1" s="1"/>
  <c r="G76" i="7943" s="1"/>
  <c r="S305" i="1"/>
  <c r="AE305" i="1"/>
  <c r="AK305" i="1"/>
  <c r="F71" i="24"/>
  <c r="L139" i="1"/>
  <c r="M139" i="1"/>
  <c r="N139" i="1"/>
  <c r="O139" i="1"/>
  <c r="P139" i="1"/>
  <c r="Q70" i="24"/>
  <c r="Q133" i="24" s="1"/>
  <c r="R70" i="24"/>
  <c r="R133" i="24" s="1"/>
  <c r="S70" i="24"/>
  <c r="S133" i="24" s="1"/>
  <c r="T70" i="24"/>
  <c r="T133" i="24" s="1"/>
  <c r="U70" i="24"/>
  <c r="U133" i="24" s="1"/>
  <c r="V70" i="24"/>
  <c r="V133" i="24" s="1"/>
  <c r="W70" i="24"/>
  <c r="W133" i="24" s="1"/>
  <c r="X70" i="24"/>
  <c r="X133" i="24" s="1"/>
  <c r="Y70" i="24"/>
  <c r="Y133" i="24" s="1"/>
  <c r="Z70" i="24"/>
  <c r="Z133" i="24" s="1"/>
  <c r="AA70" i="24"/>
  <c r="AA133" i="24" s="1"/>
  <c r="AB70" i="24"/>
  <c r="AB133" i="24" s="1"/>
  <c r="AC70" i="24"/>
  <c r="AC133" i="24" s="1"/>
  <c r="AD70" i="24"/>
  <c r="AD133" i="24" s="1"/>
  <c r="AE70" i="24"/>
  <c r="AE133" i="24" s="1"/>
  <c r="AF70" i="24"/>
  <c r="AF133" i="24" s="1"/>
  <c r="AG70" i="24"/>
  <c r="AG133" i="24" s="1"/>
  <c r="AH70" i="24"/>
  <c r="AH133" i="24" s="1"/>
  <c r="AI70" i="24"/>
  <c r="AI133" i="24" s="1"/>
  <c r="AJ70" i="24"/>
  <c r="AJ133" i="24" s="1"/>
  <c r="AK70" i="24"/>
  <c r="AK133" i="24" s="1"/>
  <c r="AL70" i="24"/>
  <c r="AL133" i="24" s="1"/>
  <c r="AM70" i="24"/>
  <c r="AM133" i="24" s="1"/>
  <c r="AN70" i="24"/>
  <c r="AN133" i="24" s="1"/>
  <c r="AO70" i="24"/>
  <c r="AO133" i="24" s="1"/>
  <c r="AP70" i="24"/>
  <c r="AP133" i="24" s="1"/>
  <c r="AQ70" i="24"/>
  <c r="AQ133" i="24" s="1"/>
  <c r="AR70" i="24"/>
  <c r="AR133" i="24" s="1"/>
  <c r="AS70" i="24"/>
  <c r="AS133" i="24" s="1"/>
  <c r="AT70" i="24"/>
  <c r="AT133" i="24" s="1"/>
  <c r="AU70" i="24"/>
  <c r="AU133" i="24" s="1"/>
  <c r="AV70" i="24"/>
  <c r="AV133" i="24" s="1"/>
  <c r="AW70" i="24"/>
  <c r="AW133" i="24" s="1"/>
  <c r="AX70" i="24"/>
  <c r="AX133" i="24" s="1"/>
  <c r="AY70" i="24"/>
  <c r="AY133" i="24" s="1"/>
  <c r="AZ70" i="24"/>
  <c r="AZ133" i="24" s="1"/>
  <c r="BA70" i="24"/>
  <c r="BA133" i="24" s="1"/>
  <c r="BB70" i="24"/>
  <c r="BB133" i="24" s="1"/>
  <c r="BC70" i="24"/>
  <c r="BC133" i="24" s="1"/>
  <c r="BD70" i="24"/>
  <c r="BD133" i="24" s="1"/>
  <c r="BE70" i="24"/>
  <c r="BE133" i="24" s="1"/>
  <c r="BF70" i="24"/>
  <c r="BF133" i="24" s="1"/>
  <c r="BG70" i="24"/>
  <c r="BG133" i="24" s="1"/>
  <c r="BH70" i="24"/>
  <c r="BH133" i="24" s="1"/>
  <c r="BI70" i="24"/>
  <c r="BI133" i="24" s="1"/>
  <c r="Q66" i="24"/>
  <c r="R66" i="24"/>
  <c r="S66" i="24"/>
  <c r="T66" i="24"/>
  <c r="U66" i="24"/>
  <c r="V66" i="24"/>
  <c r="W66" i="24"/>
  <c r="X66" i="24"/>
  <c r="Y66" i="24"/>
  <c r="Z66" i="24"/>
  <c r="AA66" i="24"/>
  <c r="AB66" i="24"/>
  <c r="AC66" i="24"/>
  <c r="AD66" i="24"/>
  <c r="AE66" i="24"/>
  <c r="AF66"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BG66" i="24"/>
  <c r="BH66" i="24"/>
  <c r="BI66" i="24"/>
  <c r="F48" i="7942"/>
  <c r="I14" i="7942"/>
  <c r="I15" i="7942"/>
  <c r="I16" i="7942"/>
  <c r="I17" i="7942"/>
  <c r="I18" i="7942"/>
  <c r="I19" i="7942"/>
  <c r="I20" i="7942"/>
  <c r="I21" i="7942"/>
  <c r="I22" i="7942"/>
  <c r="I23" i="7942"/>
  <c r="I24" i="7942"/>
  <c r="I25" i="7942"/>
  <c r="I26" i="7942"/>
  <c r="I27" i="7942"/>
  <c r="I28" i="7942"/>
  <c r="I29" i="7942"/>
  <c r="I30" i="7942"/>
  <c r="I31" i="7942"/>
  <c r="I32" i="7942"/>
  <c r="I33" i="7942"/>
  <c r="I34" i="7942"/>
  <c r="I35" i="7942"/>
  <c r="I36" i="7942"/>
  <c r="I37" i="7942"/>
  <c r="I38" i="7942"/>
  <c r="I39" i="7942"/>
  <c r="Q48" i="7942"/>
  <c r="T14" i="7942"/>
  <c r="Q49" i="7942"/>
  <c r="T15" i="7942"/>
  <c r="Q50" i="7942"/>
  <c r="T16" i="7942"/>
  <c r="Q51" i="7942"/>
  <c r="T17" i="7942"/>
  <c r="Q52" i="7942"/>
  <c r="T18" i="7942"/>
  <c r="Q53" i="7942"/>
  <c r="T19" i="7942"/>
  <c r="Q54" i="7942"/>
  <c r="T20" i="7942"/>
  <c r="Q55" i="7942"/>
  <c r="T21" i="7942"/>
  <c r="Q56" i="7942"/>
  <c r="T22" i="7942"/>
  <c r="Q57" i="7942"/>
  <c r="T23" i="7942"/>
  <c r="Q58" i="7942"/>
  <c r="T24" i="7942"/>
  <c r="Q59" i="7942"/>
  <c r="T25" i="7942"/>
  <c r="Q60" i="7942"/>
  <c r="T26" i="7942"/>
  <c r="Q61" i="7942"/>
  <c r="T27" i="7942"/>
  <c r="Q62" i="7942"/>
  <c r="T28" i="7942"/>
  <c r="Q63" i="7942"/>
  <c r="T29" i="7942"/>
  <c r="Q64" i="7942"/>
  <c r="T30" i="7942"/>
  <c r="Q65" i="7942"/>
  <c r="T31" i="7942"/>
  <c r="Q66" i="7942"/>
  <c r="T32" i="7942"/>
  <c r="Q67" i="7942"/>
  <c r="T33" i="7942"/>
  <c r="Q68" i="7942"/>
  <c r="T34" i="7942"/>
  <c r="Q69" i="7942"/>
  <c r="T35" i="7942"/>
  <c r="Q70" i="7942"/>
  <c r="T36" i="7942"/>
  <c r="Q71" i="7942"/>
  <c r="T37" i="7942"/>
  <c r="Q72" i="7942"/>
  <c r="T38" i="7942"/>
  <c r="Q73" i="7942"/>
  <c r="T39" i="7942"/>
  <c r="AB48" i="7942"/>
  <c r="AE14" i="7942"/>
  <c r="AB49" i="7942"/>
  <c r="AE15" i="7942"/>
  <c r="AB50" i="7942"/>
  <c r="AE16" i="7942"/>
  <c r="AB51" i="7942"/>
  <c r="AE17" i="7942"/>
  <c r="AB52" i="7942"/>
  <c r="AE18" i="7942"/>
  <c r="AB53" i="7942"/>
  <c r="AE19" i="7942"/>
  <c r="AB54" i="7942"/>
  <c r="AE20" i="7942"/>
  <c r="AB55" i="7942"/>
  <c r="AE21" i="7942"/>
  <c r="AB56" i="7942"/>
  <c r="AE22" i="7942"/>
  <c r="AB57" i="7942"/>
  <c r="AE23" i="7942"/>
  <c r="AB58" i="7942"/>
  <c r="AE24" i="7942"/>
  <c r="AB59" i="7942"/>
  <c r="AE25" i="7942"/>
  <c r="AB60" i="7942"/>
  <c r="AE26" i="7942"/>
  <c r="AB61" i="7942"/>
  <c r="AE27" i="7942"/>
  <c r="AB62" i="7942"/>
  <c r="AE28" i="7942"/>
  <c r="AB63" i="7942"/>
  <c r="AE29" i="7942"/>
  <c r="AB64" i="7942"/>
  <c r="AE30" i="7942"/>
  <c r="AB65" i="7942"/>
  <c r="AE31" i="7942"/>
  <c r="AB66" i="7942"/>
  <c r="AE32" i="7942"/>
  <c r="AB67" i="7942"/>
  <c r="AE33" i="7942"/>
  <c r="AB68" i="7942"/>
  <c r="AE34" i="7942"/>
  <c r="AB69" i="7942"/>
  <c r="AE35" i="7942"/>
  <c r="AB70" i="7942"/>
  <c r="AE36" i="7942"/>
  <c r="AB71" i="7942"/>
  <c r="AE37" i="7942"/>
  <c r="AB72" i="7942"/>
  <c r="AE38" i="7942"/>
  <c r="AB73" i="7942"/>
  <c r="AE39" i="7942"/>
  <c r="AM48" i="7942"/>
  <c r="AP14" i="7942"/>
  <c r="AM49" i="7942"/>
  <c r="AM50" i="7942"/>
  <c r="AM51" i="7942"/>
  <c r="AP17" i="7942"/>
  <c r="AM52" i="7942"/>
  <c r="AP18" i="7942"/>
  <c r="AM53" i="7942"/>
  <c r="AP19" i="7942"/>
  <c r="AM54" i="7942"/>
  <c r="AP20" i="7942"/>
  <c r="AM55" i="7942"/>
  <c r="AP21" i="7942"/>
  <c r="AM56" i="7942"/>
  <c r="AP22" i="7942"/>
  <c r="AM57" i="7942"/>
  <c r="AP23" i="7942"/>
  <c r="AM58" i="7942"/>
  <c r="AP24" i="7942"/>
  <c r="AM59" i="7942"/>
  <c r="AP25" i="7942"/>
  <c r="AM60" i="7942"/>
  <c r="AP26" i="7942"/>
  <c r="AM61" i="7942"/>
  <c r="AP27" i="7942"/>
  <c r="AM62" i="7942"/>
  <c r="AP28" i="7942"/>
  <c r="AM63" i="7942"/>
  <c r="AP29" i="7942"/>
  <c r="AM64" i="7942"/>
  <c r="AP30" i="7942"/>
  <c r="AM65" i="7942"/>
  <c r="AP31" i="7942"/>
  <c r="AM66" i="7942"/>
  <c r="AP32" i="7942"/>
  <c r="AM67" i="7942"/>
  <c r="AP33" i="7942"/>
  <c r="AM68" i="7942"/>
  <c r="AP34" i="7942"/>
  <c r="AM69" i="7942"/>
  <c r="AP35" i="7942"/>
  <c r="AM70" i="7942"/>
  <c r="AP36" i="7942"/>
  <c r="AM71" i="7942"/>
  <c r="AP37" i="7942"/>
  <c r="AM72" i="7942"/>
  <c r="AP38" i="7942"/>
  <c r="AM73" i="7942"/>
  <c r="AP39" i="7942"/>
  <c r="AX48" i="7942"/>
  <c r="BA14" i="7942"/>
  <c r="AX49" i="7942"/>
  <c r="BA15" i="7942"/>
  <c r="AX50" i="7942"/>
  <c r="BA16" i="7942"/>
  <c r="AX51" i="7942"/>
  <c r="BA17" i="7942"/>
  <c r="AX52" i="7942"/>
  <c r="BA18" i="7942"/>
  <c r="AX53" i="7942"/>
  <c r="BA19" i="7942"/>
  <c r="AX54" i="7942"/>
  <c r="BA20" i="7942"/>
  <c r="AX55" i="7942"/>
  <c r="BA21" i="7942"/>
  <c r="AX56" i="7942"/>
  <c r="BA22" i="7942"/>
  <c r="AX57" i="7942"/>
  <c r="BA23" i="7942"/>
  <c r="AX58" i="7942"/>
  <c r="BA24" i="7942"/>
  <c r="AX59" i="7942"/>
  <c r="BA25" i="7942"/>
  <c r="AX60" i="7942"/>
  <c r="BA26" i="7942"/>
  <c r="AX61" i="7942"/>
  <c r="BA27" i="7942"/>
  <c r="AX62" i="7942"/>
  <c r="BA28" i="7942"/>
  <c r="AX63" i="7942"/>
  <c r="BA29" i="7942"/>
  <c r="AX64" i="7942"/>
  <c r="BA30" i="7942"/>
  <c r="AX65" i="7942"/>
  <c r="BA31" i="7942"/>
  <c r="AX66" i="7942"/>
  <c r="BA32" i="7942"/>
  <c r="AX67" i="7942"/>
  <c r="BA33" i="7942"/>
  <c r="AX68" i="7942"/>
  <c r="BA34" i="7942"/>
  <c r="AX69" i="7942"/>
  <c r="BA35" i="7942"/>
  <c r="AX70" i="7942"/>
  <c r="BA36" i="7942"/>
  <c r="AX71" i="7942"/>
  <c r="BA37" i="7942"/>
  <c r="AX72" i="7942"/>
  <c r="BA38" i="7942"/>
  <c r="AX73" i="7942"/>
  <c r="BA39" i="7942"/>
  <c r="BT48" i="7942"/>
  <c r="BW14" i="7942"/>
  <c r="BT49" i="7942"/>
  <c r="BW15" i="7942"/>
  <c r="BW40" i="7942" s="1"/>
  <c r="BT50" i="7942"/>
  <c r="BW16" i="7942"/>
  <c r="BT51" i="7942"/>
  <c r="BW17" i="7942"/>
  <c r="BT52" i="7942"/>
  <c r="BW18" i="7942"/>
  <c r="BT53" i="7942"/>
  <c r="BW19" i="7942"/>
  <c r="BT54" i="7942"/>
  <c r="BW20" i="7942"/>
  <c r="BT55" i="7942"/>
  <c r="BW21" i="7942"/>
  <c r="BT56" i="7942"/>
  <c r="BW22" i="7942"/>
  <c r="BT57" i="7942"/>
  <c r="BW23" i="7942"/>
  <c r="BT58" i="7942"/>
  <c r="BW24" i="7942"/>
  <c r="BT59" i="7942"/>
  <c r="BW25" i="7942"/>
  <c r="BT60" i="7942"/>
  <c r="BW26" i="7942"/>
  <c r="BT61" i="7942"/>
  <c r="BW27" i="7942"/>
  <c r="BT62" i="7942"/>
  <c r="BW28" i="7942"/>
  <c r="BT63" i="7942"/>
  <c r="BW29" i="7942"/>
  <c r="BT64" i="7942"/>
  <c r="BW30" i="7942"/>
  <c r="BT65" i="7942"/>
  <c r="BW31" i="7942"/>
  <c r="BT66" i="7942"/>
  <c r="BW32" i="7942"/>
  <c r="BT67" i="7942"/>
  <c r="BW33" i="7942"/>
  <c r="BT68" i="7942"/>
  <c r="BW34" i="7942"/>
  <c r="BT69" i="7942"/>
  <c r="BW35" i="7942"/>
  <c r="BT70" i="7942"/>
  <c r="BW36" i="7942"/>
  <c r="BT71" i="7942"/>
  <c r="BW37" i="7942"/>
  <c r="BT72" i="7942"/>
  <c r="BW38" i="7942"/>
  <c r="BT73" i="7942"/>
  <c r="BW39" i="7942"/>
  <c r="CE48" i="7942"/>
  <c r="CH14" i="7942"/>
  <c r="CE49" i="7942"/>
  <c r="CH15" i="7942"/>
  <c r="CE50" i="7942"/>
  <c r="CH16" i="7942"/>
  <c r="CE51" i="7942"/>
  <c r="CH17" i="7942"/>
  <c r="CE52" i="7942"/>
  <c r="CH18" i="7942"/>
  <c r="CE53" i="7942"/>
  <c r="CH19" i="7942"/>
  <c r="CE54" i="7942"/>
  <c r="CH20" i="7942"/>
  <c r="CE55" i="7942"/>
  <c r="CH21" i="7942"/>
  <c r="CE56" i="7942"/>
  <c r="CH22" i="7942"/>
  <c r="CE57" i="7942"/>
  <c r="CH23" i="7942"/>
  <c r="CE58" i="7942"/>
  <c r="CH24" i="7942"/>
  <c r="CE59" i="7942"/>
  <c r="CH25" i="7942"/>
  <c r="CE60" i="7942"/>
  <c r="CH26" i="7942"/>
  <c r="CE61" i="7942"/>
  <c r="CH27" i="7942"/>
  <c r="CE62" i="7942"/>
  <c r="CH28" i="7942"/>
  <c r="CE63" i="7942"/>
  <c r="CH29" i="7942"/>
  <c r="CE64" i="7942"/>
  <c r="CH30" i="7942"/>
  <c r="CE65" i="7942"/>
  <c r="CH31" i="7942"/>
  <c r="CE66" i="7942"/>
  <c r="CH32" i="7942"/>
  <c r="CE67" i="7942"/>
  <c r="CH33" i="7942"/>
  <c r="CE68" i="7942"/>
  <c r="CH34" i="7942"/>
  <c r="CE69" i="7942"/>
  <c r="CH35" i="7942"/>
  <c r="CE70" i="7942"/>
  <c r="CH36" i="7942"/>
  <c r="CE71" i="7942"/>
  <c r="CH37" i="7942"/>
  <c r="CE72" i="7942"/>
  <c r="CH38" i="7942"/>
  <c r="CE73" i="7942"/>
  <c r="CH39" i="7942"/>
  <c r="CP48" i="7942"/>
  <c r="CS14" i="7942"/>
  <c r="CP49" i="7942"/>
  <c r="CS15" i="7942"/>
  <c r="CP50" i="7942"/>
  <c r="CS16" i="7942"/>
  <c r="CP51" i="7942"/>
  <c r="CS17" i="7942"/>
  <c r="CP52" i="7942"/>
  <c r="CS18" i="7942"/>
  <c r="CP53" i="7942"/>
  <c r="CS19" i="7942"/>
  <c r="CP54" i="7942"/>
  <c r="CS20" i="7942"/>
  <c r="CP55" i="7942"/>
  <c r="CS21" i="7942"/>
  <c r="CP56" i="7942"/>
  <c r="CS22" i="7942"/>
  <c r="CP57" i="7942"/>
  <c r="CS23" i="7942"/>
  <c r="CP58" i="7942"/>
  <c r="CS24" i="7942"/>
  <c r="CP59" i="7942"/>
  <c r="CS25" i="7942"/>
  <c r="CP60" i="7942"/>
  <c r="CS26" i="7942"/>
  <c r="CP61" i="7942"/>
  <c r="CS27" i="7942"/>
  <c r="CP62" i="7942"/>
  <c r="CS28" i="7942"/>
  <c r="CP63" i="7942"/>
  <c r="CS29" i="7942"/>
  <c r="CP64" i="7942"/>
  <c r="CS30" i="7942"/>
  <c r="CP65" i="7942"/>
  <c r="CS31" i="7942"/>
  <c r="CP66" i="7942"/>
  <c r="CS32" i="7942"/>
  <c r="CP67" i="7942"/>
  <c r="CS33" i="7942"/>
  <c r="CP68" i="7942"/>
  <c r="CS34" i="7942"/>
  <c r="CP69" i="7942"/>
  <c r="CS35" i="7942"/>
  <c r="CP70" i="7942"/>
  <c r="CS36" i="7942"/>
  <c r="CP71" i="7942"/>
  <c r="CS37" i="7942"/>
  <c r="CP72" i="7942"/>
  <c r="CS38" i="7942"/>
  <c r="CP73" i="7942"/>
  <c r="CS39" i="7942"/>
  <c r="DA48" i="7942"/>
  <c r="DD14" i="7942"/>
  <c r="DA49" i="7942"/>
  <c r="DD15" i="7942"/>
  <c r="DA50" i="7942"/>
  <c r="DD16" i="7942"/>
  <c r="DA51" i="7942"/>
  <c r="DD17" i="7942"/>
  <c r="DA52" i="7942"/>
  <c r="DD18" i="7942"/>
  <c r="DA53" i="7942"/>
  <c r="DD19" i="7942"/>
  <c r="DA54" i="7942"/>
  <c r="DD20" i="7942"/>
  <c r="DA55" i="7942"/>
  <c r="DD21" i="7942"/>
  <c r="DA56" i="7942"/>
  <c r="DD22" i="7942"/>
  <c r="DA57" i="7942"/>
  <c r="DD23" i="7942"/>
  <c r="DA58" i="7942"/>
  <c r="DD24" i="7942"/>
  <c r="DA59" i="7942"/>
  <c r="DD25" i="7942"/>
  <c r="DA60" i="7942"/>
  <c r="DD26" i="7942"/>
  <c r="DA61" i="7942"/>
  <c r="DD27" i="7942"/>
  <c r="DA62" i="7942"/>
  <c r="DD28" i="7942"/>
  <c r="DA63" i="7942"/>
  <c r="DD29" i="7942"/>
  <c r="DA64" i="7942"/>
  <c r="DD30" i="7942"/>
  <c r="DA65" i="7942"/>
  <c r="DD31" i="7942"/>
  <c r="DA66" i="7942"/>
  <c r="DD32" i="7942"/>
  <c r="DA67" i="7942"/>
  <c r="DD33" i="7942"/>
  <c r="DA68" i="7942"/>
  <c r="DD34" i="7942"/>
  <c r="DA69" i="7942"/>
  <c r="DD35" i="7942"/>
  <c r="DA70" i="7942"/>
  <c r="DD36" i="7942"/>
  <c r="DA71" i="7942"/>
  <c r="DD37" i="7942"/>
  <c r="DA72" i="7942"/>
  <c r="DD38" i="7942"/>
  <c r="DA73" i="7942"/>
  <c r="DD39" i="7942"/>
  <c r="G14" i="7942"/>
  <c r="G15" i="7942"/>
  <c r="G16" i="7942"/>
  <c r="G17" i="7942"/>
  <c r="G18" i="7942"/>
  <c r="G19" i="7942"/>
  <c r="G20" i="7942"/>
  <c r="G21" i="7942"/>
  <c r="G22" i="7942"/>
  <c r="G23" i="7942"/>
  <c r="G24" i="7942"/>
  <c r="G25" i="7942"/>
  <c r="G26" i="7942"/>
  <c r="G27" i="7942"/>
  <c r="G28" i="7942"/>
  <c r="G29" i="7942"/>
  <c r="G30" i="7942"/>
  <c r="G31" i="7942"/>
  <c r="G32" i="7942"/>
  <c r="G33" i="7942"/>
  <c r="G34" i="7942"/>
  <c r="G35" i="7942"/>
  <c r="G36" i="7942"/>
  <c r="G37" i="7942"/>
  <c r="G38" i="7942"/>
  <c r="G39" i="7942"/>
  <c r="R14" i="7942"/>
  <c r="R15" i="7942"/>
  <c r="R16" i="7942"/>
  <c r="R17" i="7942"/>
  <c r="R18" i="7942"/>
  <c r="R19" i="7942"/>
  <c r="R20" i="7942"/>
  <c r="R21" i="7942"/>
  <c r="R22" i="7942"/>
  <c r="R23" i="7942"/>
  <c r="R24" i="7942"/>
  <c r="R25" i="7942"/>
  <c r="R26" i="7942"/>
  <c r="R27" i="7942"/>
  <c r="R28" i="7942"/>
  <c r="R29" i="7942"/>
  <c r="R30" i="7942"/>
  <c r="R31" i="7942"/>
  <c r="R32" i="7942"/>
  <c r="R33" i="7942"/>
  <c r="R34" i="7942"/>
  <c r="R35" i="7942"/>
  <c r="R36" i="7942"/>
  <c r="R37" i="7942"/>
  <c r="R38" i="7942"/>
  <c r="R39" i="7942"/>
  <c r="AC14" i="7942"/>
  <c r="AC15" i="7942"/>
  <c r="AC16" i="7942"/>
  <c r="AC17" i="7942"/>
  <c r="AC18" i="7942"/>
  <c r="AC19" i="7942"/>
  <c r="AC20" i="7942"/>
  <c r="AC21" i="7942"/>
  <c r="AC22" i="7942"/>
  <c r="AC23" i="7942"/>
  <c r="AC24" i="7942"/>
  <c r="AC25" i="7942"/>
  <c r="AC26" i="7942"/>
  <c r="AC27" i="7942"/>
  <c r="AC28" i="7942"/>
  <c r="AC29" i="7942"/>
  <c r="AC30" i="7942"/>
  <c r="AC31" i="7942"/>
  <c r="AC32" i="7942"/>
  <c r="AC33" i="7942"/>
  <c r="AC34" i="7942"/>
  <c r="AC35" i="7942"/>
  <c r="AC36" i="7942"/>
  <c r="AC37" i="7942"/>
  <c r="AC38" i="7942"/>
  <c r="AC39" i="7942"/>
  <c r="AN14" i="7942"/>
  <c r="AN17" i="7942"/>
  <c r="AN18" i="7942"/>
  <c r="AN19" i="7942"/>
  <c r="AN20" i="7942"/>
  <c r="AN21" i="7942"/>
  <c r="AN22" i="7942"/>
  <c r="AN23" i="7942"/>
  <c r="AN24" i="7942"/>
  <c r="AN25" i="7942"/>
  <c r="AN26" i="7942"/>
  <c r="AN27" i="7942"/>
  <c r="AN28" i="7942"/>
  <c r="AN29" i="7942"/>
  <c r="AN30" i="7942"/>
  <c r="AN31" i="7942"/>
  <c r="AN32" i="7942"/>
  <c r="AN33" i="7942"/>
  <c r="AN34" i="7942"/>
  <c r="AN35" i="7942"/>
  <c r="AN36" i="7942"/>
  <c r="AN37" i="7942"/>
  <c r="AN38" i="7942"/>
  <c r="AN39" i="7942"/>
  <c r="AY14" i="7942"/>
  <c r="AY15" i="7942"/>
  <c r="AY16" i="7942"/>
  <c r="AY17" i="7942"/>
  <c r="AY18" i="7942"/>
  <c r="AY19" i="7942"/>
  <c r="AY20" i="7942"/>
  <c r="AY21" i="7942"/>
  <c r="AY22" i="7942"/>
  <c r="AY23" i="7942"/>
  <c r="AY24" i="7942"/>
  <c r="AY25" i="7942"/>
  <c r="AY26" i="7942"/>
  <c r="AY27" i="7942"/>
  <c r="AY28" i="7942"/>
  <c r="AY29" i="7942"/>
  <c r="AY30" i="7942"/>
  <c r="AY31" i="7942"/>
  <c r="AY32" i="7942"/>
  <c r="AY33" i="7942"/>
  <c r="AY34" i="7942"/>
  <c r="AY35" i="7942"/>
  <c r="AY36" i="7942"/>
  <c r="AY37" i="7942"/>
  <c r="AY38" i="7942"/>
  <c r="AY39" i="7942"/>
  <c r="BU14" i="7942"/>
  <c r="BU15" i="7942"/>
  <c r="BU16" i="7942"/>
  <c r="BU17" i="7942"/>
  <c r="BU18" i="7942"/>
  <c r="BU19" i="7942"/>
  <c r="BU20" i="7942"/>
  <c r="BU21" i="7942"/>
  <c r="BU22" i="7942"/>
  <c r="BU23" i="7942"/>
  <c r="BU24" i="7942"/>
  <c r="BU25" i="7942"/>
  <c r="BU26" i="7942"/>
  <c r="BU27" i="7942"/>
  <c r="BU28" i="7942"/>
  <c r="BU29" i="7942"/>
  <c r="BU30" i="7942"/>
  <c r="BU31" i="7942"/>
  <c r="BU32" i="7942"/>
  <c r="BU33" i="7942"/>
  <c r="BU34" i="7942"/>
  <c r="BU35" i="7942"/>
  <c r="BU36" i="7942"/>
  <c r="BU37" i="7942"/>
  <c r="BU38" i="7942"/>
  <c r="BU39" i="7942"/>
  <c r="CF14" i="7942"/>
  <c r="CF15" i="7942"/>
  <c r="CF16" i="7942"/>
  <c r="CF17" i="7942"/>
  <c r="CF18" i="7942"/>
  <c r="CF19" i="7942"/>
  <c r="CF20" i="7942"/>
  <c r="CF21" i="7942"/>
  <c r="CF22" i="7942"/>
  <c r="CF23" i="7942"/>
  <c r="CF24" i="7942"/>
  <c r="CF25" i="7942"/>
  <c r="CF26" i="7942"/>
  <c r="CF27" i="7942"/>
  <c r="CF28" i="7942"/>
  <c r="CF29" i="7942"/>
  <c r="CF30" i="7942"/>
  <c r="CF31" i="7942"/>
  <c r="CF32" i="7942"/>
  <c r="CF33" i="7942"/>
  <c r="CF34" i="7942"/>
  <c r="CF35" i="7942"/>
  <c r="CF36" i="7942"/>
  <c r="CF37" i="7942"/>
  <c r="CF38" i="7942"/>
  <c r="CF39" i="7942"/>
  <c r="CQ14" i="7942"/>
  <c r="CQ15" i="7942"/>
  <c r="CQ16" i="7942"/>
  <c r="CQ17" i="7942"/>
  <c r="CQ18" i="7942"/>
  <c r="CQ19" i="7942"/>
  <c r="CQ20" i="7942"/>
  <c r="CQ21" i="7942"/>
  <c r="CQ22" i="7942"/>
  <c r="CQ23" i="7942"/>
  <c r="CQ24" i="7942"/>
  <c r="CQ25" i="7942"/>
  <c r="CQ26" i="7942"/>
  <c r="CQ27" i="7942"/>
  <c r="CQ28" i="7942"/>
  <c r="CQ29" i="7942"/>
  <c r="CQ30" i="7942"/>
  <c r="CQ31" i="7942"/>
  <c r="CQ32" i="7942"/>
  <c r="CQ33" i="7942"/>
  <c r="CQ34" i="7942"/>
  <c r="CQ35" i="7942"/>
  <c r="CQ36" i="7942"/>
  <c r="CQ37" i="7942"/>
  <c r="CQ38" i="7942"/>
  <c r="CQ39" i="7942"/>
  <c r="DB14" i="7942"/>
  <c r="DB15" i="7942"/>
  <c r="DB16" i="7942"/>
  <c r="DB17" i="7942"/>
  <c r="DB18" i="7942"/>
  <c r="DB19" i="7942"/>
  <c r="DB20" i="7942"/>
  <c r="DB21" i="7942"/>
  <c r="DB22" i="7942"/>
  <c r="DB23" i="7942"/>
  <c r="DB24" i="7942"/>
  <c r="DB25" i="7942"/>
  <c r="DB26" i="7942"/>
  <c r="DB27" i="7942"/>
  <c r="DB28" i="7942"/>
  <c r="DB29" i="7942"/>
  <c r="DB30" i="7942"/>
  <c r="DB31" i="7942"/>
  <c r="DB32" i="7942"/>
  <c r="DB33" i="7942"/>
  <c r="DB34" i="7942"/>
  <c r="DB35" i="7942"/>
  <c r="DB36" i="7942"/>
  <c r="DB37" i="7942"/>
  <c r="DB38" i="7942"/>
  <c r="DB39" i="7942"/>
  <c r="N305" i="1"/>
  <c r="T305" i="1"/>
  <c r="AF305" i="1"/>
  <c r="AL305" i="1"/>
  <c r="O305" i="1"/>
  <c r="U305" i="1"/>
  <c r="AG305" i="1"/>
  <c r="AM305" i="1"/>
  <c r="P305" i="1"/>
  <c r="V305" i="1"/>
  <c r="AH305" i="1"/>
  <c r="AN305" i="1"/>
  <c r="Q305" i="1"/>
  <c r="W305" i="1"/>
  <c r="AI305" i="1"/>
  <c r="AO305" i="1"/>
  <c r="F60" i="7943"/>
  <c r="F63" i="7946"/>
  <c r="K14" i="7942"/>
  <c r="K15" i="7942"/>
  <c r="K16" i="7942"/>
  <c r="K17" i="7942"/>
  <c r="K18" i="7942"/>
  <c r="K19" i="7942"/>
  <c r="K20" i="7942"/>
  <c r="K21" i="7942"/>
  <c r="K22" i="7942"/>
  <c r="K23" i="7942"/>
  <c r="K24" i="7942"/>
  <c r="K25" i="7942"/>
  <c r="K26" i="7942"/>
  <c r="K27" i="7942"/>
  <c r="K28" i="7942"/>
  <c r="K29" i="7942"/>
  <c r="K30" i="7942"/>
  <c r="K31" i="7942"/>
  <c r="K32" i="7942"/>
  <c r="K33" i="7942"/>
  <c r="K34" i="7942"/>
  <c r="K35" i="7942"/>
  <c r="K36" i="7942"/>
  <c r="K37" i="7942"/>
  <c r="K38" i="7942"/>
  <c r="K39" i="7942"/>
  <c r="V14" i="7942"/>
  <c r="V15" i="7942"/>
  <c r="V16" i="7942"/>
  <c r="V17" i="7942"/>
  <c r="V18" i="7942"/>
  <c r="V19" i="7942"/>
  <c r="V20" i="7942"/>
  <c r="V21" i="7942"/>
  <c r="V22" i="7942"/>
  <c r="V23" i="7942"/>
  <c r="V24" i="7942"/>
  <c r="V25" i="7942"/>
  <c r="V26" i="7942"/>
  <c r="V27" i="7942"/>
  <c r="V28" i="7942"/>
  <c r="V29" i="7942"/>
  <c r="V30" i="7942"/>
  <c r="V31" i="7942"/>
  <c r="V32" i="7942"/>
  <c r="V33" i="7942"/>
  <c r="V34" i="7942"/>
  <c r="V35" i="7942"/>
  <c r="V36" i="7942"/>
  <c r="V37" i="7942"/>
  <c r="V38" i="7942"/>
  <c r="V39" i="7942"/>
  <c r="AG14" i="7942"/>
  <c r="AG15" i="7942"/>
  <c r="AG16" i="7942"/>
  <c r="AG17" i="7942"/>
  <c r="AG18" i="7942"/>
  <c r="AG19" i="7942"/>
  <c r="AG20" i="7942"/>
  <c r="AG21" i="7942"/>
  <c r="AG22" i="7942"/>
  <c r="AG23" i="7942"/>
  <c r="AG24" i="7942"/>
  <c r="AG25" i="7942"/>
  <c r="AG26" i="7942"/>
  <c r="AG27" i="7942"/>
  <c r="AG28" i="7942"/>
  <c r="AG29" i="7942"/>
  <c r="AG30" i="7942"/>
  <c r="AG31" i="7942"/>
  <c r="AG32" i="7942"/>
  <c r="AG33" i="7942"/>
  <c r="AG34" i="7942"/>
  <c r="AG35" i="7942"/>
  <c r="AG36" i="7942"/>
  <c r="AG37" i="7942"/>
  <c r="AG38" i="7942"/>
  <c r="AG39" i="7942"/>
  <c r="AR14" i="7942"/>
  <c r="AR17" i="7942"/>
  <c r="AR18" i="7942"/>
  <c r="AR19" i="7942"/>
  <c r="AR20" i="7942"/>
  <c r="AR21" i="7942"/>
  <c r="AR22" i="7942"/>
  <c r="AR23" i="7942"/>
  <c r="AR24" i="7942"/>
  <c r="AR25" i="7942"/>
  <c r="AR26" i="7942"/>
  <c r="AR27" i="7942"/>
  <c r="AR28" i="7942"/>
  <c r="AR29" i="7942"/>
  <c r="AR30" i="7942"/>
  <c r="AR31" i="7942"/>
  <c r="AR32" i="7942"/>
  <c r="AR33" i="7942"/>
  <c r="AR34" i="7942"/>
  <c r="AR35" i="7942"/>
  <c r="AR36" i="7942"/>
  <c r="AR37" i="7942"/>
  <c r="AR38" i="7942"/>
  <c r="AR39" i="7942"/>
  <c r="BC14" i="7942"/>
  <c r="BC15" i="7942"/>
  <c r="BC16" i="7942"/>
  <c r="BC17" i="7942"/>
  <c r="BC18" i="7942"/>
  <c r="BC19" i="7942"/>
  <c r="BC20" i="7942"/>
  <c r="BC21" i="7942"/>
  <c r="BC22" i="7942"/>
  <c r="BC23" i="7942"/>
  <c r="BC24" i="7942"/>
  <c r="BC25" i="7942"/>
  <c r="BC26" i="7942"/>
  <c r="BC27" i="7942"/>
  <c r="BC28" i="7942"/>
  <c r="BC29" i="7942"/>
  <c r="BC30" i="7942"/>
  <c r="BC31" i="7942"/>
  <c r="BC32" i="7942"/>
  <c r="BC33" i="7942"/>
  <c r="BC34" i="7942"/>
  <c r="BC35" i="7942"/>
  <c r="BC36" i="7942"/>
  <c r="BC37" i="7942"/>
  <c r="BC38" i="7942"/>
  <c r="BC39" i="7942"/>
  <c r="BY14" i="7942"/>
  <c r="BY15" i="7942"/>
  <c r="BY16" i="7942"/>
  <c r="BY17" i="7942"/>
  <c r="BY18" i="7942"/>
  <c r="BY19" i="7942"/>
  <c r="BY20" i="7942"/>
  <c r="BY21" i="7942"/>
  <c r="BY22" i="7942"/>
  <c r="BY23" i="7942"/>
  <c r="BY24" i="7942"/>
  <c r="BY25" i="7942"/>
  <c r="BY26" i="7942"/>
  <c r="BY27" i="7942"/>
  <c r="BY28" i="7942"/>
  <c r="BY29" i="7942"/>
  <c r="BY30" i="7942"/>
  <c r="BY31" i="7942"/>
  <c r="BY32" i="7942"/>
  <c r="BY33" i="7942"/>
  <c r="BY34" i="7942"/>
  <c r="BY35" i="7942"/>
  <c r="BY36" i="7942"/>
  <c r="BY37" i="7942"/>
  <c r="BY38" i="7942"/>
  <c r="BY39" i="7942"/>
  <c r="CJ14" i="7942"/>
  <c r="CJ15" i="7942"/>
  <c r="CJ16" i="7942"/>
  <c r="CJ17" i="7942"/>
  <c r="CJ18" i="7942"/>
  <c r="CJ19" i="7942"/>
  <c r="CJ20" i="7942"/>
  <c r="CJ21" i="7942"/>
  <c r="CJ22" i="7942"/>
  <c r="CJ23" i="7942"/>
  <c r="CJ24" i="7942"/>
  <c r="CJ25" i="7942"/>
  <c r="CJ26" i="7942"/>
  <c r="CJ27" i="7942"/>
  <c r="CJ28" i="7942"/>
  <c r="CJ29" i="7942"/>
  <c r="CJ30" i="7942"/>
  <c r="CJ31" i="7942"/>
  <c r="CJ32" i="7942"/>
  <c r="CJ33" i="7942"/>
  <c r="CJ34" i="7942"/>
  <c r="CJ35" i="7942"/>
  <c r="CJ36" i="7942"/>
  <c r="CJ37" i="7942"/>
  <c r="CJ38" i="7942"/>
  <c r="CJ39" i="7942"/>
  <c r="CU14" i="7942"/>
  <c r="CU15" i="7942"/>
  <c r="CU16" i="7942"/>
  <c r="CU17" i="7942"/>
  <c r="CU18" i="7942"/>
  <c r="CU19" i="7942"/>
  <c r="CU20" i="7942"/>
  <c r="CU21" i="7942"/>
  <c r="CU22" i="7942"/>
  <c r="CU23" i="7942"/>
  <c r="CU24" i="7942"/>
  <c r="CU25" i="7942"/>
  <c r="CU26" i="7942"/>
  <c r="CU27" i="7942"/>
  <c r="CU28" i="7942"/>
  <c r="CU29" i="7942"/>
  <c r="CU30" i="7942"/>
  <c r="CU31" i="7942"/>
  <c r="CU32" i="7942"/>
  <c r="CU33" i="7942"/>
  <c r="CU34" i="7942"/>
  <c r="CU35" i="7942"/>
  <c r="CU36" i="7942"/>
  <c r="CU37" i="7942"/>
  <c r="CU38" i="7942"/>
  <c r="CU39" i="7942"/>
  <c r="DF14" i="7942"/>
  <c r="DF15" i="7942"/>
  <c r="DF16" i="7942"/>
  <c r="DF17" i="7942"/>
  <c r="DF18" i="7942"/>
  <c r="DF19" i="7942"/>
  <c r="DF20" i="7942"/>
  <c r="DF21" i="7942"/>
  <c r="DF22" i="7942"/>
  <c r="DF23" i="7942"/>
  <c r="DF24" i="7942"/>
  <c r="DF25" i="7942"/>
  <c r="DF26" i="7942"/>
  <c r="DF27" i="7942"/>
  <c r="DF28" i="7942"/>
  <c r="DF29" i="7942"/>
  <c r="DF30" i="7942"/>
  <c r="DF31" i="7942"/>
  <c r="DF32" i="7942"/>
  <c r="DF33" i="7942"/>
  <c r="DF34" i="7942"/>
  <c r="DF35" i="7942"/>
  <c r="DF36" i="7942"/>
  <c r="DF37" i="7942"/>
  <c r="DF38" i="7942"/>
  <c r="DF39" i="7942"/>
  <c r="H14" i="7942"/>
  <c r="H15" i="7942"/>
  <c r="H16" i="7942"/>
  <c r="H17" i="7942"/>
  <c r="H18" i="7942"/>
  <c r="H19" i="7942"/>
  <c r="H20" i="7942"/>
  <c r="H21" i="7942"/>
  <c r="H22" i="7942"/>
  <c r="H23" i="7942"/>
  <c r="H24" i="7942"/>
  <c r="H25" i="7942"/>
  <c r="H26" i="7942"/>
  <c r="H27" i="7942"/>
  <c r="H28" i="7942"/>
  <c r="H29" i="7942"/>
  <c r="H30" i="7942"/>
  <c r="H31" i="7942"/>
  <c r="H32" i="7942"/>
  <c r="H33" i="7942"/>
  <c r="H34" i="7942"/>
  <c r="H35" i="7942"/>
  <c r="H36" i="7942"/>
  <c r="H37" i="7942"/>
  <c r="H38" i="7942"/>
  <c r="H39" i="7942"/>
  <c r="S14" i="7942"/>
  <c r="S15" i="7942"/>
  <c r="S16" i="7942"/>
  <c r="S17" i="7942"/>
  <c r="S18" i="7942"/>
  <c r="S19" i="7942"/>
  <c r="S20" i="7942"/>
  <c r="S21" i="7942"/>
  <c r="S22" i="7942"/>
  <c r="S23" i="7942"/>
  <c r="S24" i="7942"/>
  <c r="S25" i="7942"/>
  <c r="S26" i="7942"/>
  <c r="S27" i="7942"/>
  <c r="S28" i="7942"/>
  <c r="S29" i="7942"/>
  <c r="S30" i="7942"/>
  <c r="S31" i="7942"/>
  <c r="S32" i="7942"/>
  <c r="S33" i="7942"/>
  <c r="S34" i="7942"/>
  <c r="S35" i="7942"/>
  <c r="S36" i="7942"/>
  <c r="S37" i="7942"/>
  <c r="S38" i="7942"/>
  <c r="S39" i="7942"/>
  <c r="AD14" i="7942"/>
  <c r="AD15" i="7942"/>
  <c r="AD16" i="7942"/>
  <c r="AD17" i="7942"/>
  <c r="AD18" i="7942"/>
  <c r="AD19" i="7942"/>
  <c r="AD20" i="7942"/>
  <c r="AD21" i="7942"/>
  <c r="AD22" i="7942"/>
  <c r="AD23" i="7942"/>
  <c r="AD24" i="7942"/>
  <c r="AD25" i="7942"/>
  <c r="AD26" i="7942"/>
  <c r="AD27" i="7942"/>
  <c r="AD28" i="7942"/>
  <c r="AD29" i="7942"/>
  <c r="AD30" i="7942"/>
  <c r="AD31" i="7942"/>
  <c r="AD32" i="7942"/>
  <c r="AD33" i="7942"/>
  <c r="AD34" i="7942"/>
  <c r="AD35" i="7942"/>
  <c r="AD36" i="7942"/>
  <c r="AD37" i="7942"/>
  <c r="AD38" i="7942"/>
  <c r="AD39" i="7942"/>
  <c r="AO14" i="7942"/>
  <c r="AO17" i="7942"/>
  <c r="AO18" i="7942"/>
  <c r="AO19" i="7942"/>
  <c r="AO20" i="7942"/>
  <c r="AO21" i="7942"/>
  <c r="AO22" i="7942"/>
  <c r="AO23" i="7942"/>
  <c r="AO24" i="7942"/>
  <c r="AO25" i="7942"/>
  <c r="AO26" i="7942"/>
  <c r="AO27" i="7942"/>
  <c r="AO28" i="7942"/>
  <c r="AO29" i="7942"/>
  <c r="AO30" i="7942"/>
  <c r="AO31" i="7942"/>
  <c r="AO32" i="7942"/>
  <c r="AO33" i="7942"/>
  <c r="AO34" i="7942"/>
  <c r="AO35" i="7942"/>
  <c r="AO36" i="7942"/>
  <c r="AO37" i="7942"/>
  <c r="AO38" i="7942"/>
  <c r="AO39" i="7942"/>
  <c r="AZ14" i="7942"/>
  <c r="AZ15" i="7942"/>
  <c r="AZ16" i="7942"/>
  <c r="AZ17" i="7942"/>
  <c r="AZ18" i="7942"/>
  <c r="AZ19" i="7942"/>
  <c r="AZ20" i="7942"/>
  <c r="AZ21" i="7942"/>
  <c r="AZ22" i="7942"/>
  <c r="AZ23" i="7942"/>
  <c r="AZ24" i="7942"/>
  <c r="AZ25" i="7942"/>
  <c r="AZ26" i="7942"/>
  <c r="AZ27" i="7942"/>
  <c r="AZ28" i="7942"/>
  <c r="AZ29" i="7942"/>
  <c r="AZ30" i="7942"/>
  <c r="AZ31" i="7942"/>
  <c r="AZ32" i="7942"/>
  <c r="AZ33" i="7942"/>
  <c r="AZ34" i="7942"/>
  <c r="AZ35" i="7942"/>
  <c r="AZ36" i="7942"/>
  <c r="AZ37" i="7942"/>
  <c r="AZ38" i="7942"/>
  <c r="AZ39" i="7942"/>
  <c r="BV14" i="7942"/>
  <c r="BV15" i="7942"/>
  <c r="BV40" i="7942" s="1"/>
  <c r="BV16" i="7942"/>
  <c r="BV17" i="7942"/>
  <c r="BV18" i="7942"/>
  <c r="BV19" i="7942"/>
  <c r="BV20" i="7942"/>
  <c r="BV21" i="7942"/>
  <c r="BV22" i="7942"/>
  <c r="BV23" i="7942"/>
  <c r="BV24" i="7942"/>
  <c r="BV25" i="7942"/>
  <c r="BV26" i="7942"/>
  <c r="BV27" i="7942"/>
  <c r="BV28" i="7942"/>
  <c r="BV29" i="7942"/>
  <c r="BV30" i="7942"/>
  <c r="BV31" i="7942"/>
  <c r="BV32" i="7942"/>
  <c r="BV33" i="7942"/>
  <c r="BV34" i="7942"/>
  <c r="BV35" i="7942"/>
  <c r="BV36" i="7942"/>
  <c r="BV37" i="7942"/>
  <c r="BV38" i="7942"/>
  <c r="BV39" i="7942"/>
  <c r="CG14" i="7942"/>
  <c r="CG15" i="7942"/>
  <c r="CG16" i="7942"/>
  <c r="CG17" i="7942"/>
  <c r="CG18" i="7942"/>
  <c r="CG19" i="7942"/>
  <c r="CG20" i="7942"/>
  <c r="CG21" i="7942"/>
  <c r="CG22" i="7942"/>
  <c r="CG23" i="7942"/>
  <c r="CG24" i="7942"/>
  <c r="CG25" i="7942"/>
  <c r="CG26" i="7942"/>
  <c r="CG27" i="7942"/>
  <c r="CG28" i="7942"/>
  <c r="CG29" i="7942"/>
  <c r="CG30" i="7942"/>
  <c r="CG31" i="7942"/>
  <c r="CG32" i="7942"/>
  <c r="CG33" i="7942"/>
  <c r="CG34" i="7942"/>
  <c r="CG35" i="7942"/>
  <c r="CG36" i="7942"/>
  <c r="CG37" i="7942"/>
  <c r="CG38" i="7942"/>
  <c r="CG39" i="7942"/>
  <c r="CR14" i="7942"/>
  <c r="CR15" i="7942"/>
  <c r="CR16" i="7942"/>
  <c r="CR17" i="7942"/>
  <c r="CR18" i="7942"/>
  <c r="CR19" i="7942"/>
  <c r="CR20" i="7942"/>
  <c r="CR21" i="7942"/>
  <c r="CR22" i="7942"/>
  <c r="CR23" i="7942"/>
  <c r="CR24" i="7942"/>
  <c r="CR25" i="7942"/>
  <c r="CR26" i="7942"/>
  <c r="CR27" i="7942"/>
  <c r="CR28" i="7942"/>
  <c r="CR29" i="7942"/>
  <c r="CR30" i="7942"/>
  <c r="CR31" i="7942"/>
  <c r="CR32" i="7942"/>
  <c r="CR33" i="7942"/>
  <c r="CR34" i="7942"/>
  <c r="CR35" i="7942"/>
  <c r="CR36" i="7942"/>
  <c r="CR37" i="7942"/>
  <c r="CR38" i="7942"/>
  <c r="CR39" i="7942"/>
  <c r="DC14" i="7942"/>
  <c r="DC15" i="7942"/>
  <c r="DC16" i="7942"/>
  <c r="DC17" i="7942"/>
  <c r="DC18" i="7942"/>
  <c r="DC19" i="7942"/>
  <c r="DC20" i="7942"/>
  <c r="DC21" i="7942"/>
  <c r="DC22" i="7942"/>
  <c r="DC23" i="7942"/>
  <c r="DC24" i="7942"/>
  <c r="DC25" i="7942"/>
  <c r="DC26" i="7942"/>
  <c r="DC27" i="7942"/>
  <c r="DC28" i="7942"/>
  <c r="DC29" i="7942"/>
  <c r="DC30" i="7942"/>
  <c r="DC31" i="7942"/>
  <c r="DC32" i="7942"/>
  <c r="DC33" i="7942"/>
  <c r="DC34" i="7942"/>
  <c r="DC35" i="7942"/>
  <c r="DC36" i="7942"/>
  <c r="DC37" i="7942"/>
  <c r="DC38" i="7942"/>
  <c r="DC39" i="7942"/>
  <c r="J14" i="7942"/>
  <c r="J15" i="7942"/>
  <c r="J16" i="7942"/>
  <c r="J17" i="7942"/>
  <c r="J18" i="7942"/>
  <c r="J19" i="7942"/>
  <c r="J20" i="7942"/>
  <c r="J21" i="7942"/>
  <c r="J22" i="7942"/>
  <c r="J23" i="7942"/>
  <c r="J24" i="7942"/>
  <c r="J25" i="7942"/>
  <c r="J26" i="7942"/>
  <c r="J27" i="7942"/>
  <c r="J28" i="7942"/>
  <c r="J29" i="7942"/>
  <c r="J30" i="7942"/>
  <c r="J31" i="7942"/>
  <c r="J32" i="7942"/>
  <c r="J33" i="7942"/>
  <c r="J34" i="7942"/>
  <c r="J35" i="7942"/>
  <c r="J36" i="7942"/>
  <c r="J37" i="7942"/>
  <c r="J38" i="7942"/>
  <c r="J39" i="7942"/>
  <c r="U14" i="7942"/>
  <c r="U15" i="7942"/>
  <c r="U16" i="7942"/>
  <c r="U17" i="7942"/>
  <c r="U18" i="7942"/>
  <c r="U19" i="7942"/>
  <c r="U20" i="7942"/>
  <c r="U21" i="7942"/>
  <c r="U22" i="7942"/>
  <c r="U23" i="7942"/>
  <c r="U24" i="7942"/>
  <c r="U25" i="7942"/>
  <c r="U26" i="7942"/>
  <c r="U27" i="7942"/>
  <c r="U28" i="7942"/>
  <c r="U29" i="7942"/>
  <c r="U30" i="7942"/>
  <c r="U31" i="7942"/>
  <c r="U32" i="7942"/>
  <c r="U33" i="7942"/>
  <c r="U34" i="7942"/>
  <c r="U35" i="7942"/>
  <c r="U36" i="7942"/>
  <c r="U37" i="7942"/>
  <c r="U38" i="7942"/>
  <c r="U39" i="7942"/>
  <c r="AF14" i="7942"/>
  <c r="AF15" i="7942"/>
  <c r="AF16" i="7942"/>
  <c r="AF17" i="7942"/>
  <c r="AF18" i="7942"/>
  <c r="AF19" i="7942"/>
  <c r="AF20" i="7942"/>
  <c r="AF21" i="7942"/>
  <c r="AF22" i="7942"/>
  <c r="AF23" i="7942"/>
  <c r="AF24" i="7942"/>
  <c r="AF25" i="7942"/>
  <c r="AF26" i="7942"/>
  <c r="AF27" i="7942"/>
  <c r="AF28" i="7942"/>
  <c r="AF29" i="7942"/>
  <c r="AF30" i="7942"/>
  <c r="AF31" i="7942"/>
  <c r="AF32" i="7942"/>
  <c r="AF33" i="7942"/>
  <c r="AF34" i="7942"/>
  <c r="AF35" i="7942"/>
  <c r="AF36" i="7942"/>
  <c r="AF37" i="7942"/>
  <c r="AF38" i="7942"/>
  <c r="AF39" i="7942"/>
  <c r="AQ14" i="7942"/>
  <c r="AQ17" i="7942"/>
  <c r="AQ18" i="7942"/>
  <c r="AQ19" i="7942"/>
  <c r="AQ20" i="7942"/>
  <c r="AQ21" i="7942"/>
  <c r="AQ22" i="7942"/>
  <c r="AQ23" i="7942"/>
  <c r="AQ24" i="7942"/>
  <c r="AQ25" i="7942"/>
  <c r="AQ26" i="7942"/>
  <c r="AQ27" i="7942"/>
  <c r="AQ28" i="7942"/>
  <c r="AQ29" i="7942"/>
  <c r="AQ30" i="7942"/>
  <c r="AQ31" i="7942"/>
  <c r="AQ32" i="7942"/>
  <c r="AQ33" i="7942"/>
  <c r="AQ34" i="7942"/>
  <c r="AQ35" i="7942"/>
  <c r="AQ36" i="7942"/>
  <c r="AQ37" i="7942"/>
  <c r="AQ38" i="7942"/>
  <c r="AQ39" i="7942"/>
  <c r="BB14" i="7942"/>
  <c r="BB15" i="7942"/>
  <c r="BB16" i="7942"/>
  <c r="BB17" i="7942"/>
  <c r="BB18" i="7942"/>
  <c r="BB19" i="7942"/>
  <c r="BB20" i="7942"/>
  <c r="BB21" i="7942"/>
  <c r="BB22" i="7942"/>
  <c r="BB23" i="7942"/>
  <c r="BB24" i="7942"/>
  <c r="BB25" i="7942"/>
  <c r="BB26" i="7942"/>
  <c r="BB27" i="7942"/>
  <c r="BB28" i="7942"/>
  <c r="BB29" i="7942"/>
  <c r="BB30" i="7942"/>
  <c r="BB31" i="7942"/>
  <c r="BB32" i="7942"/>
  <c r="BB33" i="7942"/>
  <c r="BB34" i="7942"/>
  <c r="BB35" i="7942"/>
  <c r="BB36" i="7942"/>
  <c r="BB37" i="7942"/>
  <c r="BB38" i="7942"/>
  <c r="BB39" i="7942"/>
  <c r="BX14" i="7942"/>
  <c r="BX15" i="7942"/>
  <c r="BX16" i="7942"/>
  <c r="BX17" i="7942"/>
  <c r="BX18" i="7942"/>
  <c r="BX19" i="7942"/>
  <c r="BX20" i="7942"/>
  <c r="BX21" i="7942"/>
  <c r="BX22" i="7942"/>
  <c r="BX23" i="7942"/>
  <c r="BX24" i="7942"/>
  <c r="BX25" i="7942"/>
  <c r="BX26" i="7942"/>
  <c r="BX27" i="7942"/>
  <c r="BX28" i="7942"/>
  <c r="BX29" i="7942"/>
  <c r="BX30" i="7942"/>
  <c r="BX31" i="7942"/>
  <c r="BX32" i="7942"/>
  <c r="BX33" i="7942"/>
  <c r="BX34" i="7942"/>
  <c r="BX35" i="7942"/>
  <c r="BX36" i="7942"/>
  <c r="BX37" i="7942"/>
  <c r="BX38" i="7942"/>
  <c r="BX39" i="7942"/>
  <c r="CI14" i="7942"/>
  <c r="CI15" i="7942"/>
  <c r="CI16" i="7942"/>
  <c r="CI17" i="7942"/>
  <c r="CI18" i="7942"/>
  <c r="CI19" i="7942"/>
  <c r="CI20" i="7942"/>
  <c r="CI21" i="7942"/>
  <c r="CI22" i="7942"/>
  <c r="CI23" i="7942"/>
  <c r="CI24" i="7942"/>
  <c r="CI25" i="7942"/>
  <c r="CI26" i="7942"/>
  <c r="CI27" i="7942"/>
  <c r="CI28" i="7942"/>
  <c r="CI29" i="7942"/>
  <c r="CI30" i="7942"/>
  <c r="CI31" i="7942"/>
  <c r="CI32" i="7942"/>
  <c r="CI33" i="7942"/>
  <c r="CI34" i="7942"/>
  <c r="CI35" i="7942"/>
  <c r="CI36" i="7942"/>
  <c r="CI37" i="7942"/>
  <c r="CI38" i="7942"/>
  <c r="CI39" i="7942"/>
  <c r="CT14" i="7942"/>
  <c r="CT15" i="7942"/>
  <c r="CT16" i="7942"/>
  <c r="CT17" i="7942"/>
  <c r="CT18" i="7942"/>
  <c r="CT19" i="7942"/>
  <c r="CT20" i="7942"/>
  <c r="CT21" i="7942"/>
  <c r="CT22" i="7942"/>
  <c r="CT23" i="7942"/>
  <c r="CT24" i="7942"/>
  <c r="CT25" i="7942"/>
  <c r="CT26" i="7942"/>
  <c r="CT27" i="7942"/>
  <c r="CT28" i="7942"/>
  <c r="CT29" i="7942"/>
  <c r="CT30" i="7942"/>
  <c r="CT31" i="7942"/>
  <c r="CT32" i="7942"/>
  <c r="CT33" i="7942"/>
  <c r="CT34" i="7942"/>
  <c r="CT35" i="7942"/>
  <c r="CT36" i="7942"/>
  <c r="CT37" i="7942"/>
  <c r="CT38" i="7942"/>
  <c r="CT39" i="7942"/>
  <c r="DE14" i="7942"/>
  <c r="DE15" i="7942"/>
  <c r="DE16" i="7942"/>
  <c r="DE17" i="7942"/>
  <c r="DE18" i="7942"/>
  <c r="DE19" i="7942"/>
  <c r="DE20" i="7942"/>
  <c r="DE21" i="7942"/>
  <c r="DE22" i="7942"/>
  <c r="DE23" i="7942"/>
  <c r="DE24" i="7942"/>
  <c r="DE25" i="7942"/>
  <c r="DE26" i="7942"/>
  <c r="DE27" i="7942"/>
  <c r="DE28" i="7942"/>
  <c r="DE29" i="7942"/>
  <c r="DE30" i="7942"/>
  <c r="DE31" i="7942"/>
  <c r="DE32" i="7942"/>
  <c r="DE33" i="7942"/>
  <c r="DE34" i="7942"/>
  <c r="DE35" i="7942"/>
  <c r="DE36" i="7942"/>
  <c r="DE37" i="7942"/>
  <c r="DE38" i="7942"/>
  <c r="DE39" i="7942"/>
  <c r="F14" i="7942"/>
  <c r="F81" i="7942"/>
  <c r="F15" i="7942"/>
  <c r="F16" i="7942"/>
  <c r="F17" i="7942"/>
  <c r="F18" i="7942"/>
  <c r="F19" i="7942"/>
  <c r="F20" i="7942"/>
  <c r="F21" i="7942"/>
  <c r="F22" i="7942"/>
  <c r="F89" i="7942"/>
  <c r="F23" i="7942"/>
  <c r="F24" i="7942"/>
  <c r="F25" i="7942"/>
  <c r="F26" i="7942"/>
  <c r="F27" i="7942"/>
  <c r="F28" i="7942"/>
  <c r="F95" i="7942" s="1"/>
  <c r="F29" i="7942"/>
  <c r="F30" i="7942"/>
  <c r="F31" i="7942"/>
  <c r="F32" i="7942"/>
  <c r="F33" i="7942"/>
  <c r="F34" i="7942"/>
  <c r="F35" i="7942"/>
  <c r="F36" i="7942"/>
  <c r="F103" i="7942" s="1"/>
  <c r="F37" i="7942"/>
  <c r="F38" i="7942"/>
  <c r="F39" i="7942"/>
  <c r="Q14" i="7942"/>
  <c r="Q15" i="7942"/>
  <c r="Q16" i="7942"/>
  <c r="Q17" i="7942"/>
  <c r="Q18" i="7942"/>
  <c r="Q19" i="7942"/>
  <c r="Q20" i="7942"/>
  <c r="Q21" i="7942"/>
  <c r="Q22" i="7942"/>
  <c r="Q23" i="7942"/>
  <c r="Q24" i="7942"/>
  <c r="Q25" i="7942"/>
  <c r="Q26" i="7942"/>
  <c r="Q27" i="7942"/>
  <c r="Q28" i="7942"/>
  <c r="Q29" i="7942"/>
  <c r="Q30" i="7942"/>
  <c r="Q31" i="7942"/>
  <c r="Q32" i="7942"/>
  <c r="Q33" i="7942"/>
  <c r="Q34" i="7942"/>
  <c r="Q101" i="7942" s="1"/>
  <c r="Q35" i="7942"/>
  <c r="Q36" i="7942"/>
  <c r="Q37" i="7942"/>
  <c r="Q38" i="7942"/>
  <c r="Q39" i="7942"/>
  <c r="AB14" i="7942"/>
  <c r="AB15" i="7942"/>
  <c r="AB16" i="7942"/>
  <c r="AB17" i="7942"/>
  <c r="AB18" i="7942"/>
  <c r="AB19" i="7942"/>
  <c r="AB20" i="7942"/>
  <c r="AB21" i="7942"/>
  <c r="AB22" i="7942"/>
  <c r="AB23" i="7942"/>
  <c r="AB24" i="7942"/>
  <c r="AB91" i="7942" s="1"/>
  <c r="AB25" i="7942"/>
  <c r="AB26" i="7942"/>
  <c r="AB27" i="7942"/>
  <c r="AB28" i="7942"/>
  <c r="AB95" i="7942" s="1"/>
  <c r="AB29" i="7942"/>
  <c r="AB30" i="7942"/>
  <c r="AB31" i="7942"/>
  <c r="AB98" i="7942" s="1"/>
  <c r="AB32" i="7942"/>
  <c r="AB33" i="7942"/>
  <c r="AB34" i="7942"/>
  <c r="AB35" i="7942"/>
  <c r="AB36" i="7942"/>
  <c r="AB37" i="7942"/>
  <c r="AB38" i="7942"/>
  <c r="AB39" i="7942"/>
  <c r="AM14" i="7942"/>
  <c r="AM15" i="7942"/>
  <c r="AM16" i="7942"/>
  <c r="AM17" i="7942"/>
  <c r="AM18" i="7942"/>
  <c r="AM19" i="7942"/>
  <c r="AM86" i="7942" s="1"/>
  <c r="AM20" i="7942"/>
  <c r="AM21" i="7942"/>
  <c r="AM22" i="7942"/>
  <c r="AM23" i="7942"/>
  <c r="AM24" i="7942"/>
  <c r="AM25" i="7942"/>
  <c r="AM26" i="7942"/>
  <c r="AM27" i="7942"/>
  <c r="AM28" i="7942"/>
  <c r="AM29" i="7942"/>
  <c r="AM30" i="7942"/>
  <c r="AM31" i="7942"/>
  <c r="AM32" i="7942"/>
  <c r="AM33" i="7942"/>
  <c r="AM34" i="7942"/>
  <c r="AM35" i="7942"/>
  <c r="AM36" i="7942"/>
  <c r="AM37" i="7942"/>
  <c r="AM38" i="7942"/>
  <c r="AM39" i="7942"/>
  <c r="AX14" i="7942"/>
  <c r="AX15" i="7942"/>
  <c r="AX16" i="7942"/>
  <c r="AX17" i="7942"/>
  <c r="AX18" i="7942"/>
  <c r="AX85" i="7942" s="1"/>
  <c r="AX19" i="7942"/>
  <c r="AX20" i="7942"/>
  <c r="AX21" i="7942"/>
  <c r="AX22" i="7942"/>
  <c r="AX23" i="7942"/>
  <c r="AX24" i="7942"/>
  <c r="AX25" i="7942"/>
  <c r="AX26" i="7942"/>
  <c r="AX93" i="7942" s="1"/>
  <c r="AX27" i="7942"/>
  <c r="AX28" i="7942"/>
  <c r="AX29" i="7942"/>
  <c r="AX30" i="7942"/>
  <c r="AX31" i="7942"/>
  <c r="AX32" i="7942"/>
  <c r="AX33" i="7942"/>
  <c r="AX34" i="7942"/>
  <c r="AX101" i="7942" s="1"/>
  <c r="AX35" i="7942"/>
  <c r="AX36" i="7942"/>
  <c r="AX37" i="7942"/>
  <c r="AX38" i="7942"/>
  <c r="AX39" i="7942"/>
  <c r="BI14" i="7942"/>
  <c r="BT14" i="7942"/>
  <c r="BT15" i="7942"/>
  <c r="BT16" i="7942"/>
  <c r="BT17" i="7942"/>
  <c r="BT18" i="7942"/>
  <c r="BT19" i="7942"/>
  <c r="BT20" i="7942"/>
  <c r="BT21" i="7942"/>
  <c r="BT22" i="7942"/>
  <c r="BT89" i="7942" s="1"/>
  <c r="BT23" i="7942"/>
  <c r="BT24" i="7942"/>
  <c r="BT25" i="7942"/>
  <c r="BT26" i="7942"/>
  <c r="BT27" i="7942"/>
  <c r="BT28" i="7942"/>
  <c r="BT29" i="7942"/>
  <c r="BT96" i="7942" s="1"/>
  <c r="BT30" i="7942"/>
  <c r="BT31" i="7942"/>
  <c r="BT32" i="7942"/>
  <c r="BT33" i="7942"/>
  <c r="BT34" i="7942"/>
  <c r="BT35" i="7942"/>
  <c r="BT36" i="7942"/>
  <c r="BT37" i="7942"/>
  <c r="BT104" i="7942" s="1"/>
  <c r="BT38" i="7942"/>
  <c r="BT39" i="7942"/>
  <c r="CE14" i="7942"/>
  <c r="CE15" i="7942"/>
  <c r="CE16" i="7942"/>
  <c r="CE83" i="7942"/>
  <c r="CE17" i="7942"/>
  <c r="CE18" i="7942"/>
  <c r="CE19" i="7942"/>
  <c r="CE20" i="7942"/>
  <c r="CE87" i="7942"/>
  <c r="CE21" i="7942"/>
  <c r="CE22" i="7942"/>
  <c r="CE23" i="7942"/>
  <c r="CE24" i="7942"/>
  <c r="CE25" i="7942"/>
  <c r="CE26" i="7942"/>
  <c r="CE27" i="7942"/>
  <c r="CE28" i="7942"/>
  <c r="CE29" i="7942"/>
  <c r="CE30" i="7942"/>
  <c r="CE31" i="7942"/>
  <c r="CE32" i="7942"/>
  <c r="CE33" i="7942"/>
  <c r="CE100" i="7942" s="1"/>
  <c r="CE34" i="7942"/>
  <c r="CE35" i="7942"/>
  <c r="CE36" i="7942"/>
  <c r="CE37" i="7942"/>
  <c r="CE38" i="7942"/>
  <c r="CE39" i="7942"/>
  <c r="CP14" i="7942"/>
  <c r="CP15" i="7942"/>
  <c r="CP16" i="7942"/>
  <c r="CP17" i="7942"/>
  <c r="CP18" i="7942"/>
  <c r="CP85" i="7942" s="1"/>
  <c r="CP19" i="7942"/>
  <c r="CP20" i="7942"/>
  <c r="CP21" i="7942"/>
  <c r="CP22" i="7942"/>
  <c r="CP89" i="7942" s="1"/>
  <c r="CP23" i="7942"/>
  <c r="CP24" i="7942"/>
  <c r="CP25" i="7942"/>
  <c r="CP26" i="7942"/>
  <c r="CP93" i="7942" s="1"/>
  <c r="CP27" i="7942"/>
  <c r="CP28" i="7942"/>
  <c r="CP29" i="7942"/>
  <c r="CP96" i="7942" s="1"/>
  <c r="CP30" i="7942"/>
  <c r="CP31" i="7942"/>
  <c r="CP32" i="7942"/>
  <c r="CP33" i="7942"/>
  <c r="CP34" i="7942"/>
  <c r="CP35" i="7942"/>
  <c r="CP36" i="7942"/>
  <c r="CP37" i="7942"/>
  <c r="CP38" i="7942"/>
  <c r="CP39" i="7942"/>
  <c r="DA14" i="7942"/>
  <c r="DA15" i="7942"/>
  <c r="DA16" i="7942"/>
  <c r="DA17" i="7942"/>
  <c r="DA18" i="7942"/>
  <c r="DA19" i="7942"/>
  <c r="DA20" i="7942"/>
  <c r="DA87" i="7942"/>
  <c r="DA21" i="7942"/>
  <c r="DA22" i="7942"/>
  <c r="DA23" i="7942"/>
  <c r="DA24" i="7942"/>
  <c r="DA25" i="7942"/>
  <c r="DA26" i="7942"/>
  <c r="DA93" i="7942" s="1"/>
  <c r="DA27" i="7942"/>
  <c r="DA28" i="7942"/>
  <c r="DA29" i="7942"/>
  <c r="DA30" i="7942"/>
  <c r="DA31" i="7942"/>
  <c r="DA32" i="7942"/>
  <c r="DA33" i="7942"/>
  <c r="DA34" i="7942"/>
  <c r="DA101" i="7942" s="1"/>
  <c r="DA35" i="7942"/>
  <c r="DA36" i="7942"/>
  <c r="DA37" i="7942"/>
  <c r="DA38" i="7942"/>
  <c r="DA39" i="7942"/>
  <c r="M71" i="1"/>
  <c r="H305" i="1"/>
  <c r="F305" i="1"/>
  <c r="J105" i="1"/>
  <c r="G305" i="1"/>
  <c r="I305" i="1"/>
  <c r="J305" i="1"/>
  <c r="K305" i="1"/>
  <c r="F339" i="1"/>
  <c r="C739" i="18"/>
  <c r="B727" i="18"/>
  <c r="C869" i="18"/>
  <c r="B857" i="18"/>
  <c r="C856" i="18"/>
  <c r="B844" i="18" s="1"/>
  <c r="C843" i="18"/>
  <c r="B831" i="18"/>
  <c r="C830" i="18"/>
  <c r="B818" i="18"/>
  <c r="C817" i="18"/>
  <c r="B805" i="18"/>
  <c r="C804" i="18"/>
  <c r="B792" i="18" s="1"/>
  <c r="C791" i="18"/>
  <c r="B779" i="18"/>
  <c r="C778" i="18"/>
  <c r="B766" i="18"/>
  <c r="C765" i="18"/>
  <c r="B753" i="18"/>
  <c r="C752" i="18"/>
  <c r="B740" i="18" s="1"/>
  <c r="C374" i="18"/>
  <c r="B362" i="18"/>
  <c r="C387" i="18"/>
  <c r="B375" i="18"/>
  <c r="C400" i="18"/>
  <c r="B388" i="18"/>
  <c r="C413" i="18"/>
  <c r="B401" i="18" s="1"/>
  <c r="C426" i="18"/>
  <c r="B414" i="18"/>
  <c r="C439" i="18"/>
  <c r="B427" i="18"/>
  <c r="C452" i="18"/>
  <c r="B440" i="18"/>
  <c r="C465" i="18"/>
  <c r="B453" i="18" s="1"/>
  <c r="C361" i="18"/>
  <c r="B349" i="18"/>
  <c r="C348" i="18"/>
  <c r="B336" i="18"/>
  <c r="C71" i="18"/>
  <c r="C70" i="18"/>
  <c r="C69" i="18"/>
  <c r="C68" i="18"/>
  <c r="C67" i="18"/>
  <c r="C66" i="18"/>
  <c r="C65" i="18"/>
  <c r="C64" i="18"/>
  <c r="C63" i="18"/>
  <c r="C62" i="18"/>
  <c r="C61" i="18"/>
  <c r="C60" i="18"/>
  <c r="C59" i="18"/>
  <c r="C58" i="18"/>
  <c r="C57" i="18"/>
  <c r="C56" i="18"/>
  <c r="C55" i="18"/>
  <c r="C54" i="18"/>
  <c r="C53" i="18"/>
  <c r="C52" i="18"/>
  <c r="C51" i="18"/>
  <c r="C50" i="18"/>
  <c r="C49" i="18"/>
  <c r="C48" i="18"/>
  <c r="C47" i="18"/>
  <c r="C46" i="18"/>
  <c r="C45" i="18"/>
  <c r="C44" i="18"/>
  <c r="C43" i="18"/>
  <c r="C42" i="18"/>
  <c r="C40" i="18"/>
  <c r="C39" i="18"/>
  <c r="C38" i="18"/>
  <c r="C37" i="18"/>
  <c r="C36" i="18"/>
  <c r="C35" i="18"/>
  <c r="C34" i="18"/>
  <c r="C33" i="18"/>
  <c r="C32" i="18"/>
  <c r="C31" i="18"/>
  <c r="C30" i="18"/>
  <c r="C29" i="18"/>
  <c r="C11" i="18"/>
  <c r="C12" i="18"/>
  <c r="C13" i="18"/>
  <c r="C14" i="18"/>
  <c r="C15" i="18"/>
  <c r="C16" i="18"/>
  <c r="C17" i="18"/>
  <c r="C18" i="18"/>
  <c r="C19" i="18"/>
  <c r="C20" i="18"/>
  <c r="C21" i="18"/>
  <c r="C22" i="18"/>
  <c r="C23" i="18"/>
  <c r="C24" i="18"/>
  <c r="C25" i="18"/>
  <c r="C26" i="18"/>
  <c r="C27" i="18"/>
  <c r="C28" i="18"/>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4" i="1"/>
  <c r="E103" i="1"/>
  <c r="E102" i="1"/>
  <c r="E101" i="1"/>
  <c r="E100" i="1"/>
  <c r="E99" i="1"/>
  <c r="E98" i="1"/>
  <c r="E97" i="1"/>
  <c r="E96" i="1"/>
  <c r="E95" i="1"/>
  <c r="E94" i="1"/>
  <c r="E93" i="1"/>
  <c r="E92" i="1"/>
  <c r="E91" i="1"/>
  <c r="E90" i="1"/>
  <c r="E89" i="1"/>
  <c r="E88" i="1"/>
  <c r="E87" i="1"/>
  <c r="E86" i="1"/>
  <c r="E85" i="1"/>
  <c r="E84" i="1"/>
  <c r="E83" i="1"/>
  <c r="E82" i="1"/>
  <c r="E70" i="1"/>
  <c r="E69" i="1"/>
  <c r="E68" i="1"/>
  <c r="E67" i="1"/>
  <c r="E65" i="1"/>
  <c r="E66" i="1"/>
  <c r="E64" i="1"/>
  <c r="E63" i="1"/>
  <c r="E62" i="1"/>
  <c r="E61" i="1"/>
  <c r="E60" i="1"/>
  <c r="E59" i="1"/>
  <c r="E58" i="1"/>
  <c r="E57" i="1"/>
  <c r="E56" i="1"/>
  <c r="E55" i="1"/>
  <c r="E54" i="1"/>
  <c r="E53" i="1"/>
  <c r="E52" i="1"/>
  <c r="E51" i="1"/>
  <c r="E50" i="1"/>
  <c r="L305" i="1"/>
  <c r="R305" i="1"/>
  <c r="X305" i="1"/>
  <c r="AD305" i="1"/>
  <c r="F242" i="1" s="1"/>
  <c r="AJ305" i="1"/>
  <c r="E279" i="1"/>
  <c r="E280" i="1"/>
  <c r="E314" i="1" s="1"/>
  <c r="E281" i="1"/>
  <c r="E315" i="1"/>
  <c r="E282" i="1"/>
  <c r="E283" i="1"/>
  <c r="E284" i="1"/>
  <c r="E285" i="1"/>
  <c r="E319" i="1" s="1"/>
  <c r="E286" i="1"/>
  <c r="E320" i="1"/>
  <c r="E287" i="1"/>
  <c r="E321" i="1" s="1"/>
  <c r="E288" i="1"/>
  <c r="E289" i="1"/>
  <c r="E24" i="7942"/>
  <c r="E290" i="1"/>
  <c r="E291" i="1"/>
  <c r="E292" i="1"/>
  <c r="E293" i="1"/>
  <c r="E294" i="1"/>
  <c r="E295" i="1"/>
  <c r="E296" i="1"/>
  <c r="E31" i="7942"/>
  <c r="E65" i="7942"/>
  <c r="E297" i="1"/>
  <c r="E298" i="1"/>
  <c r="E299" i="1"/>
  <c r="E333" i="1"/>
  <c r="E300" i="1"/>
  <c r="E301" i="1"/>
  <c r="E335" i="1"/>
  <c r="E302" i="1"/>
  <c r="E336" i="1" s="1"/>
  <c r="E303" i="1"/>
  <c r="E337" i="1" s="1"/>
  <c r="E304" i="1"/>
  <c r="E338" i="1"/>
  <c r="G105" i="1"/>
  <c r="H105" i="1"/>
  <c r="I105" i="1"/>
  <c r="K105" i="1"/>
  <c r="L105" i="1"/>
  <c r="M105" i="1"/>
  <c r="N105" i="1"/>
  <c r="O105" i="1"/>
  <c r="P105" i="1"/>
  <c r="F11" i="7943"/>
  <c r="DA46" i="7942"/>
  <c r="DG46" i="7942" s="1"/>
  <c r="CP46" i="7942"/>
  <c r="CV46" i="7942" s="1"/>
  <c r="CE46" i="7942"/>
  <c r="CK46" i="7942" s="1"/>
  <c r="BT46" i="7942"/>
  <c r="BZ46" i="7942" s="1"/>
  <c r="BI46" i="7942"/>
  <c r="BO46" i="7942" s="1"/>
  <c r="AX46" i="7942"/>
  <c r="BD46" i="7942" s="1"/>
  <c r="AM46" i="7942"/>
  <c r="AS46" i="7942" s="1"/>
  <c r="AB46" i="7942"/>
  <c r="AH46" i="7942" s="1"/>
  <c r="Q46" i="7942"/>
  <c r="W46" i="7942" s="1"/>
  <c r="F46" i="7942"/>
  <c r="L46" i="7942" s="1"/>
  <c r="DA12" i="7942"/>
  <c r="CP12" i="7942"/>
  <c r="CE12" i="7942"/>
  <c r="BT12" i="7942"/>
  <c r="BI12" i="7942"/>
  <c r="AX12" i="7942"/>
  <c r="AM12" i="7942"/>
  <c r="AB12" i="7942"/>
  <c r="F147" i="24"/>
  <c r="C88" i="18"/>
  <c r="B76" i="18" s="1"/>
  <c r="C101" i="18"/>
  <c r="B89" i="18"/>
  <c r="C114" i="18"/>
  <c r="B102" i="18"/>
  <c r="C127" i="18"/>
  <c r="B115" i="18"/>
  <c r="C140" i="18"/>
  <c r="B128" i="18" s="1"/>
  <c r="C153" i="18"/>
  <c r="B141" i="18"/>
  <c r="C166" i="18"/>
  <c r="B154" i="18"/>
  <c r="C179" i="18"/>
  <c r="B167" i="18"/>
  <c r="C192" i="18"/>
  <c r="B180" i="18" s="1"/>
  <c r="C205" i="18"/>
  <c r="B193" i="18"/>
  <c r="C218" i="18"/>
  <c r="B206" i="18"/>
  <c r="C231" i="18"/>
  <c r="B219" i="18"/>
  <c r="C244" i="18"/>
  <c r="B232" i="18" s="1"/>
  <c r="C257" i="18"/>
  <c r="B245" i="18"/>
  <c r="C270" i="18"/>
  <c r="B258" i="18"/>
  <c r="C283" i="18"/>
  <c r="B271" i="18"/>
  <c r="C296" i="18"/>
  <c r="B284" i="18" s="1"/>
  <c r="C309" i="18"/>
  <c r="B297" i="18"/>
  <c r="C322" i="18"/>
  <c r="B310" i="18"/>
  <c r="C335" i="18"/>
  <c r="B323" i="18"/>
  <c r="F475" i="18"/>
  <c r="C492" i="18"/>
  <c r="B480" i="18" s="1"/>
  <c r="C505" i="18"/>
  <c r="B493" i="18" s="1"/>
  <c r="C518" i="18"/>
  <c r="B506" i="18" s="1"/>
  <c r="C531" i="18"/>
  <c r="B519" i="18"/>
  <c r="C544" i="18"/>
  <c r="B532" i="18" s="1"/>
  <c r="C557" i="18"/>
  <c r="B545" i="18" s="1"/>
  <c r="C570" i="18"/>
  <c r="B558" i="18" s="1"/>
  <c r="C583" i="18"/>
  <c r="B571" i="18"/>
  <c r="C596" i="18"/>
  <c r="B584" i="18"/>
  <c r="C609" i="18"/>
  <c r="B597" i="18" s="1"/>
  <c r="C622" i="18"/>
  <c r="B610" i="18" s="1"/>
  <c r="C635" i="18"/>
  <c r="B623" i="18"/>
  <c r="C648" i="18"/>
  <c r="B636" i="18"/>
  <c r="C661" i="18"/>
  <c r="B649" i="18" s="1"/>
  <c r="C674" i="18"/>
  <c r="B662" i="18" s="1"/>
  <c r="C687" i="18"/>
  <c r="B675" i="18"/>
  <c r="C700" i="18"/>
  <c r="B688" i="18"/>
  <c r="C713" i="18"/>
  <c r="B701" i="18" s="1"/>
  <c r="C726" i="18"/>
  <c r="B714" i="18" s="1"/>
  <c r="E41" i="1"/>
  <c r="E42" i="1"/>
  <c r="E43" i="1"/>
  <c r="E44" i="1"/>
  <c r="E45" i="1"/>
  <c r="E46" i="1"/>
  <c r="E47" i="1"/>
  <c r="E48" i="1"/>
  <c r="L71" i="1"/>
  <c r="N71" i="1"/>
  <c r="O71" i="1"/>
  <c r="P71" i="1"/>
  <c r="E75" i="1"/>
  <c r="E76" i="1"/>
  <c r="E77" i="1"/>
  <c r="E78" i="1"/>
  <c r="E79" i="1"/>
  <c r="E80" i="1"/>
  <c r="E81" i="1"/>
  <c r="AP305" i="1"/>
  <c r="AQ305" i="1"/>
  <c r="AR305" i="1"/>
  <c r="AS305" i="1"/>
  <c r="AT305" i="1"/>
  <c r="AU305" i="1"/>
  <c r="AV305" i="1"/>
  <c r="AW305" i="1"/>
  <c r="AX305" i="1"/>
  <c r="AY305" i="1"/>
  <c r="AZ305" i="1"/>
  <c r="BA305" i="1"/>
  <c r="BB305" i="1"/>
  <c r="BC305" i="1"/>
  <c r="BD305" i="1"/>
  <c r="BE305" i="1"/>
  <c r="BF305" i="1"/>
  <c r="BG305" i="1"/>
  <c r="BH305" i="1"/>
  <c r="BI305" i="1"/>
  <c r="BJ305" i="1"/>
  <c r="BK305" i="1"/>
  <c r="BL305" i="1"/>
  <c r="BM305" i="1"/>
  <c r="G401" i="18"/>
  <c r="E34" i="7942"/>
  <c r="Q339" i="1"/>
  <c r="P339" i="1"/>
  <c r="O242" i="1" s="1"/>
  <c r="AM102" i="7942"/>
  <c r="I205" i="1"/>
  <c r="H205" i="1"/>
  <c r="J205" i="1"/>
  <c r="K205" i="1"/>
  <c r="Q46" i="24"/>
  <c r="R46" i="24"/>
  <c r="S46" i="24"/>
  <c r="T46" i="24"/>
  <c r="U46" i="24"/>
  <c r="V46" i="24"/>
  <c r="W46" i="24"/>
  <c r="X46" i="24"/>
  <c r="Y46" i="24"/>
  <c r="Z46" i="24"/>
  <c r="AA46" i="24"/>
  <c r="AB46" i="24"/>
  <c r="AC46" i="24"/>
  <c r="AD46" i="24"/>
  <c r="AE46" i="24"/>
  <c r="AF46"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BG46" i="24"/>
  <c r="BH46" i="24"/>
  <c r="G152" i="1"/>
  <c r="BI46" i="24"/>
  <c r="G740" i="18"/>
  <c r="E330" i="1"/>
  <c r="E16" i="7942"/>
  <c r="F96" i="7942"/>
  <c r="AB97" i="7942"/>
  <c r="AM92" i="7942"/>
  <c r="AB93" i="7942"/>
  <c r="F88" i="7946"/>
  <c r="X40" i="7942"/>
  <c r="Q94" i="7942"/>
  <c r="Q90" i="7942"/>
  <c r="DA103" i="7942"/>
  <c r="DA95" i="7942"/>
  <c r="CP101" i="7942"/>
  <c r="CE103" i="7942"/>
  <c r="CE95" i="7942"/>
  <c r="BT85" i="7942"/>
  <c r="AM95" i="7942"/>
  <c r="E20" i="7942"/>
  <c r="DA105" i="7942"/>
  <c r="DA97" i="7942"/>
  <c r="DA89" i="7942"/>
  <c r="CP99" i="7942"/>
  <c r="CP91" i="7942"/>
  <c r="CP83" i="7942"/>
  <c r="BT103" i="7942"/>
  <c r="BT87" i="7942"/>
  <c r="AB102" i="7942"/>
  <c r="Q88" i="7942"/>
  <c r="F106" i="7942"/>
  <c r="F98" i="7942"/>
  <c r="AB96" i="7942"/>
  <c r="BT91" i="7942"/>
  <c r="BT83" i="7942"/>
  <c r="Q92" i="7942"/>
  <c r="Q84" i="7942"/>
  <c r="G271" i="18"/>
  <c r="G283" i="18" s="1"/>
  <c r="G193" i="18"/>
  <c r="G205" i="18"/>
  <c r="G440" i="18"/>
  <c r="G452" i="18"/>
  <c r="G323" i="18"/>
  <c r="G335" i="18"/>
  <c r="G414" i="18"/>
  <c r="G426" i="18" s="1"/>
  <c r="G727" i="18"/>
  <c r="G739" i="18"/>
  <c r="H3" i="18"/>
  <c r="AM91" i="7942"/>
  <c r="Q99" i="7942"/>
  <c r="AM100" i="7942"/>
  <c r="BI81" i="7942"/>
  <c r="AM85" i="7942"/>
  <c r="Q93" i="7942"/>
  <c r="AM83" i="7942"/>
  <c r="AX104" i="7942"/>
  <c r="AM98" i="7942"/>
  <c r="AM82" i="7942"/>
  <c r="AB92" i="7942"/>
  <c r="Q104" i="7942"/>
  <c r="BI95" i="7942"/>
  <c r="G206" i="18"/>
  <c r="G623" i="18"/>
  <c r="G635" i="18" s="1"/>
  <c r="G831" i="18"/>
  <c r="G843" i="18" s="1"/>
  <c r="G519" i="18"/>
  <c r="G232" i="18"/>
  <c r="G636" i="18"/>
  <c r="G844" i="18"/>
  <c r="G856" i="18" s="1"/>
  <c r="G480" i="18"/>
  <c r="G492" i="18" s="1"/>
  <c r="G310" i="18"/>
  <c r="G322" i="18" s="1"/>
  <c r="G128" i="18"/>
  <c r="G675" i="18"/>
  <c r="G687" i="18"/>
  <c r="G779" i="18"/>
  <c r="G791" i="18" s="1"/>
  <c r="G532" i="18"/>
  <c r="G453" i="18"/>
  <c r="G465" i="18" s="1"/>
  <c r="G336" i="18"/>
  <c r="G154" i="18"/>
  <c r="G166" i="18"/>
  <c r="G688" i="18"/>
  <c r="G792" i="18"/>
  <c r="G506" i="18"/>
  <c r="G518" i="18"/>
  <c r="G141" i="18"/>
  <c r="G167" i="18"/>
  <c r="G258" i="18"/>
  <c r="G270" i="18" s="1"/>
  <c r="G362" i="18"/>
  <c r="G584" i="18"/>
  <c r="G649" i="18"/>
  <c r="G661" i="18" s="1"/>
  <c r="G701" i="18"/>
  <c r="G753" i="18"/>
  <c r="G765" i="18"/>
  <c r="G805" i="18"/>
  <c r="G857" i="18"/>
  <c r="G869" i="18" s="1"/>
  <c r="G375" i="18"/>
  <c r="G597" i="18"/>
  <c r="G245" i="18"/>
  <c r="G297" i="18"/>
  <c r="G309" i="18" s="1"/>
  <c r="G180" i="18"/>
  <c r="G192" i="18" s="1"/>
  <c r="G284" i="18"/>
  <c r="G296" i="18" s="1"/>
  <c r="G388" i="18"/>
  <c r="G102" i="18"/>
  <c r="G114" i="18" s="1"/>
  <c r="G610" i="18"/>
  <c r="G662" i="18"/>
  <c r="G714" i="18"/>
  <c r="G766" i="18"/>
  <c r="G778" i="18"/>
  <c r="G818" i="18"/>
  <c r="G558" i="18"/>
  <c r="G570" i="18" s="1"/>
  <c r="G219" i="18"/>
  <c r="G231" i="18" s="1"/>
  <c r="G427" i="18"/>
  <c r="G439" i="18" s="1"/>
  <c r="G545" i="18"/>
  <c r="G349" i="18"/>
  <c r="G361" i="18" s="1"/>
  <c r="G115" i="18"/>
  <c r="G127" i="18" s="1"/>
  <c r="AX94" i="7942"/>
  <c r="BI94" i="7942"/>
  <c r="E38" i="7942"/>
  <c r="CP94" i="7942"/>
  <c r="AX90" i="7942"/>
  <c r="AM84" i="7942"/>
  <c r="AB94" i="7942"/>
  <c r="AB90" i="7942"/>
  <c r="AN15" i="7942"/>
  <c r="AB104" i="7942"/>
  <c r="Z40" i="7942"/>
  <c r="AX88" i="7942"/>
  <c r="AM106" i="7942"/>
  <c r="Q98" i="7942"/>
  <c r="BT88" i="7942"/>
  <c r="AB103" i="7942"/>
  <c r="Q97" i="7942"/>
  <c r="BT93" i="7942"/>
  <c r="Q86" i="7942"/>
  <c r="Q106" i="7942"/>
  <c r="AB84" i="7942"/>
  <c r="AB85" i="7942"/>
  <c r="Q103" i="7942"/>
  <c r="F90" i="7942"/>
  <c r="E36" i="7942"/>
  <c r="E103" i="7942" s="1"/>
  <c r="AX97" i="7942"/>
  <c r="AX99" i="7942"/>
  <c r="AX95" i="7942"/>
  <c r="AM101" i="7942"/>
  <c r="AM97" i="7942"/>
  <c r="AM93" i="7942"/>
  <c r="AB106" i="7942"/>
  <c r="Y305" i="1"/>
  <c r="BI97" i="7942"/>
  <c r="BB339" i="1"/>
  <c r="Q82" i="7942"/>
  <c r="BI86" i="7942"/>
  <c r="AX84" i="7942"/>
  <c r="AX106" i="7942"/>
  <c r="E21" i="7942"/>
  <c r="E55" i="7942" s="1"/>
  <c r="AB101" i="7942"/>
  <c r="AX100" i="7942"/>
  <c r="AX98" i="7942"/>
  <c r="BI85" i="7942"/>
  <c r="F104" i="7942"/>
  <c r="F97" i="7942"/>
  <c r="AM99" i="7942"/>
  <c r="E331" i="1"/>
  <c r="E32" i="7942"/>
  <c r="E99" i="7942"/>
  <c r="Q105" i="7942"/>
  <c r="BI103" i="7942"/>
  <c r="F86" i="7942"/>
  <c r="E15" i="7942"/>
  <c r="BI102" i="7942"/>
  <c r="Z281" i="1"/>
  <c r="Z305" i="1"/>
  <c r="AN16" i="7942"/>
  <c r="E30" i="7942"/>
  <c r="E97" i="7942"/>
  <c r="E329" i="1"/>
  <c r="AF40" i="7942"/>
  <c r="AX89" i="7942"/>
  <c r="BT95" i="7942"/>
  <c r="AX92" i="7942"/>
  <c r="AB86" i="7942"/>
  <c r="BT97" i="7942"/>
  <c r="AM90" i="7942"/>
  <c r="F82" i="7942"/>
  <c r="Q100" i="7942"/>
  <c r="AX96" i="7942"/>
  <c r="BT81" i="7942"/>
  <c r="DA81" i="7942"/>
  <c r="AB82" i="7942"/>
  <c r="F100" i="7942"/>
  <c r="DA106" i="7942"/>
  <c r="CE88" i="7942"/>
  <c r="AX82" i="7942"/>
  <c r="AM96" i="7942"/>
  <c r="AM94" i="7942"/>
  <c r="F17" i="7946"/>
  <c r="F35" i="7946"/>
  <c r="F44" i="7946" s="1"/>
  <c r="F21" i="7946"/>
  <c r="DA100" i="7942"/>
  <c r="BT86" i="7942"/>
  <c r="AB89" i="7942"/>
  <c r="AB81" i="7942"/>
  <c r="L173" i="1"/>
  <c r="E54" i="7942"/>
  <c r="E87" i="7942"/>
  <c r="E313" i="1"/>
  <c r="E14" i="7942"/>
  <c r="CT40" i="7942"/>
  <c r="CP81" i="7942"/>
  <c r="CE104" i="7942"/>
  <c r="CE99" i="7942"/>
  <c r="CE91" i="7942"/>
  <c r="BT90" i="7942"/>
  <c r="AX102" i="7942"/>
  <c r="AX86" i="7942"/>
  <c r="AM104" i="7942"/>
  <c r="AM103" i="7942"/>
  <c r="AM88" i="7942"/>
  <c r="AB100" i="7942"/>
  <c r="AB99" i="7942"/>
  <c r="AB88" i="7942"/>
  <c r="Q102" i="7942"/>
  <c r="Q96" i="7942"/>
  <c r="BI93" i="7942"/>
  <c r="BI89" i="7942"/>
  <c r="BI87" i="7942"/>
  <c r="F102" i="7942"/>
  <c r="F99" i="7942"/>
  <c r="F83" i="7942"/>
  <c r="BT84" i="7942"/>
  <c r="AX103" i="7942"/>
  <c r="AM105" i="7942"/>
  <c r="AM89" i="7942"/>
  <c r="AB105" i="7942"/>
  <c r="F94" i="7942"/>
  <c r="BT94" i="7942"/>
  <c r="AX105" i="7942"/>
  <c r="AX81" i="7942"/>
  <c r="AM81" i="7942"/>
  <c r="BI101" i="7942"/>
  <c r="F91" i="7942"/>
  <c r="F88" i="7942"/>
  <c r="BI83" i="7942"/>
  <c r="G413" i="18"/>
  <c r="I41" i="7946"/>
  <c r="K41" i="7946" s="1"/>
  <c r="J41" i="7946"/>
  <c r="E91" i="7942"/>
  <c r="E58" i="7942"/>
  <c r="BT98" i="7942"/>
  <c r="F105" i="7942"/>
  <c r="AA280" i="1"/>
  <c r="AO15" i="7942"/>
  <c r="E98" i="7942"/>
  <c r="E39" i="7942"/>
  <c r="E106" i="7942" s="1"/>
  <c r="E323" i="1"/>
  <c r="E37" i="7942"/>
  <c r="E22" i="7942"/>
  <c r="Q106" i="1"/>
  <c r="Q81" i="7942"/>
  <c r="BI105" i="7942"/>
  <c r="BT92" i="7942"/>
  <c r="AX91" i="7942"/>
  <c r="AX87" i="7942"/>
  <c r="AX83" i="7942"/>
  <c r="AB87" i="7942"/>
  <c r="Q95" i="7942"/>
  <c r="Q89" i="7942"/>
  <c r="F92" i="7942"/>
  <c r="F87" i="7942"/>
  <c r="F84" i="7942"/>
  <c r="BQ40" i="7942"/>
  <c r="BI99" i="7942"/>
  <c r="BI91" i="7942"/>
  <c r="J49" i="7946"/>
  <c r="L49" i="7946" s="1"/>
  <c r="K49" i="7946"/>
  <c r="Q206" i="1"/>
  <c r="E101" i="7942"/>
  <c r="E68" i="7942"/>
  <c r="DA96" i="7942"/>
  <c r="DA84" i="7942"/>
  <c r="CP90" i="7942"/>
  <c r="BT102" i="7942"/>
  <c r="Q83" i="7942"/>
  <c r="CP106" i="7942"/>
  <c r="CE96" i="7942"/>
  <c r="BT106" i="7942"/>
  <c r="E334" i="1"/>
  <c r="E35" i="7942"/>
  <c r="E327" i="1"/>
  <c r="E28" i="7942"/>
  <c r="E325" i="1"/>
  <c r="E26" i="7942"/>
  <c r="E318" i="1"/>
  <c r="E19" i="7942"/>
  <c r="E316" i="1"/>
  <c r="E17" i="7942"/>
  <c r="DA104" i="7942"/>
  <c r="DA92" i="7942"/>
  <c r="DA88" i="7942"/>
  <c r="CP102" i="7942"/>
  <c r="CP98" i="7942"/>
  <c r="CP86" i="7942"/>
  <c r="CE92" i="7942"/>
  <c r="CE84" i="7942"/>
  <c r="Q91" i="7942"/>
  <c r="BI96" i="7942"/>
  <c r="BI88" i="7942"/>
  <c r="I18" i="7946"/>
  <c r="J18" i="7946"/>
  <c r="G752" i="18"/>
  <c r="DA102" i="7942"/>
  <c r="DA98" i="7942"/>
  <c r="DA94" i="7942"/>
  <c r="DA90" i="7942"/>
  <c r="DA82" i="7942"/>
  <c r="CP104" i="7942"/>
  <c r="CP100" i="7942"/>
  <c r="CP92" i="7942"/>
  <c r="CP88" i="7942"/>
  <c r="CP84" i="7942"/>
  <c r="CE106" i="7942"/>
  <c r="CE102" i="7942"/>
  <c r="CE98" i="7942"/>
  <c r="CE94" i="7942"/>
  <c r="CE90" i="7942"/>
  <c r="CE86" i="7942"/>
  <c r="CE82" i="7942"/>
  <c r="BT100" i="7942"/>
  <c r="Q87" i="7942"/>
  <c r="BI104" i="7942"/>
  <c r="E326" i="1"/>
  <c r="E27" i="7942"/>
  <c r="E324" i="1"/>
  <c r="E25" i="7942"/>
  <c r="AX40" i="7942"/>
  <c r="AC40" i="7942"/>
  <c r="DA99" i="7942"/>
  <c r="DA91" i="7942"/>
  <c r="DA85" i="7942"/>
  <c r="DA83" i="7942"/>
  <c r="CP105" i="7942"/>
  <c r="CP103" i="7942"/>
  <c r="CP97" i="7942"/>
  <c r="CP95" i="7942"/>
  <c r="CP87" i="7942"/>
  <c r="CE105" i="7942"/>
  <c r="CE101" i="7942"/>
  <c r="CE97" i="7942"/>
  <c r="CE93" i="7942"/>
  <c r="CE89" i="7942"/>
  <c r="CE81" i="7942"/>
  <c r="BT105" i="7942"/>
  <c r="BT101" i="7942"/>
  <c r="BT99" i="7942"/>
  <c r="M242" i="1"/>
  <c r="N242" i="1"/>
  <c r="AA40" i="7942"/>
  <c r="CK40" i="7942"/>
  <c r="I22" i="7946"/>
  <c r="J22" i="7946" s="1"/>
  <c r="J45" i="7946"/>
  <c r="J26" i="7946"/>
  <c r="H414" i="18"/>
  <c r="H610" i="18"/>
  <c r="H375" i="18"/>
  <c r="H362" i="18"/>
  <c r="H740" i="18"/>
  <c r="H519" i="18"/>
  <c r="H818" i="18"/>
  <c r="I818" i="18" s="1"/>
  <c r="H271" i="18"/>
  <c r="I3" i="18"/>
  <c r="H714" i="18"/>
  <c r="I714" i="18"/>
  <c r="H688" i="18"/>
  <c r="H323" i="18"/>
  <c r="H193" i="18"/>
  <c r="H349" i="18"/>
  <c r="I349" i="18" s="1"/>
  <c r="H440" i="18"/>
  <c r="H727" i="18"/>
  <c r="G830" i="18"/>
  <c r="H401" i="18"/>
  <c r="I401" i="18"/>
  <c r="J401" i="18" s="1"/>
  <c r="H662" i="18"/>
  <c r="I662" i="18" s="1"/>
  <c r="H597" i="18"/>
  <c r="H805" i="18"/>
  <c r="H584" i="18"/>
  <c r="H141" i="18"/>
  <c r="H532" i="18"/>
  <c r="H232" i="18"/>
  <c r="I232" i="18" s="1"/>
  <c r="H206" i="18"/>
  <c r="H753" i="18"/>
  <c r="I753" i="18"/>
  <c r="H480" i="18"/>
  <c r="G244" i="18"/>
  <c r="H792" i="18"/>
  <c r="H623" i="18"/>
  <c r="G674" i="18"/>
  <c r="G153" i="18"/>
  <c r="G218" i="18"/>
  <c r="H310" i="18"/>
  <c r="G622" i="18"/>
  <c r="H180" i="18"/>
  <c r="H154" i="18"/>
  <c r="G544" i="18"/>
  <c r="G817" i="18"/>
  <c r="G700" i="18"/>
  <c r="G609" i="18"/>
  <c r="H258" i="18"/>
  <c r="H844" i="18"/>
  <c r="H831" i="18"/>
  <c r="H675" i="18"/>
  <c r="I675" i="18" s="1"/>
  <c r="E64" i="7942"/>
  <c r="H649" i="18"/>
  <c r="H779" i="18"/>
  <c r="G726" i="18"/>
  <c r="G713" i="18"/>
  <c r="G531" i="18"/>
  <c r="H297" i="18"/>
  <c r="G804" i="18"/>
  <c r="H219" i="18"/>
  <c r="G374" i="18"/>
  <c r="H427" i="18"/>
  <c r="H506" i="18"/>
  <c r="H766" i="18"/>
  <c r="H102" i="18"/>
  <c r="J102" i="18" s="1"/>
  <c r="H115" i="18"/>
  <c r="H857" i="18"/>
  <c r="H453" i="18"/>
  <c r="H284" i="18"/>
  <c r="H558" i="18"/>
  <c r="G596" i="18"/>
  <c r="G387" i="18"/>
  <c r="E88" i="7942"/>
  <c r="E70" i="7942"/>
  <c r="F40" i="7946"/>
  <c r="E73" i="7942"/>
  <c r="E66" i="7942"/>
  <c r="AN40" i="7942"/>
  <c r="E89" i="7942"/>
  <c r="E56" i="7942"/>
  <c r="AA281" i="1"/>
  <c r="AB281" i="1" s="1"/>
  <c r="AO16" i="7942"/>
  <c r="F48" i="7946"/>
  <c r="E82" i="7942"/>
  <c r="E49" i="7942"/>
  <c r="E81" i="7942"/>
  <c r="E48" i="7942"/>
  <c r="K18" i="7946"/>
  <c r="E71" i="7942"/>
  <c r="E104" i="7942"/>
  <c r="K26" i="7946"/>
  <c r="L26" i="7946" s="1"/>
  <c r="M49" i="7946"/>
  <c r="E92" i="7942"/>
  <c r="E59" i="7942"/>
  <c r="E94" i="7942"/>
  <c r="E61" i="7942"/>
  <c r="E51" i="7942"/>
  <c r="E84" i="7942"/>
  <c r="E53" i="7942"/>
  <c r="E86" i="7942"/>
  <c r="E60" i="7942"/>
  <c r="E93" i="7942"/>
  <c r="E62" i="7942"/>
  <c r="E95" i="7942"/>
  <c r="E102" i="7942"/>
  <c r="E69" i="7942"/>
  <c r="I688" i="18"/>
  <c r="I610" i="18"/>
  <c r="I805" i="18"/>
  <c r="I362" i="18"/>
  <c r="I857" i="18"/>
  <c r="I115" i="18"/>
  <c r="J115" i="18" s="1"/>
  <c r="I206" i="18"/>
  <c r="I584" i="18"/>
  <c r="I779" i="18"/>
  <c r="I310" i="18"/>
  <c r="J310" i="18" s="1"/>
  <c r="I649" i="18"/>
  <c r="I102" i="18"/>
  <c r="I193" i="18"/>
  <c r="I792" i="18"/>
  <c r="I831" i="18"/>
  <c r="I597" i="18"/>
  <c r="J3" i="18"/>
  <c r="I506" i="18"/>
  <c r="I258" i="18"/>
  <c r="I154" i="18"/>
  <c r="I440" i="18"/>
  <c r="I727" i="18"/>
  <c r="I414" i="18"/>
  <c r="I219" i="18"/>
  <c r="I558" i="18"/>
  <c r="I297" i="18"/>
  <c r="I271" i="18"/>
  <c r="I284" i="18"/>
  <c r="I375" i="18"/>
  <c r="I519" i="18"/>
  <c r="I532" i="18"/>
  <c r="I453" i="18"/>
  <c r="I427" i="18"/>
  <c r="I180" i="18"/>
  <c r="J180" i="18" s="1"/>
  <c r="L18" i="7946"/>
  <c r="M18" i="7946"/>
  <c r="AP16" i="7942"/>
  <c r="J258" i="18"/>
  <c r="J597" i="18"/>
  <c r="J440" i="18"/>
  <c r="J714" i="18"/>
  <c r="J727" i="18"/>
  <c r="J206" i="18"/>
  <c r="J375" i="18"/>
  <c r="J427" i="18"/>
  <c r="J414" i="18"/>
  <c r="K414" i="18" s="1"/>
  <c r="J558" i="18"/>
  <c r="J649" i="18"/>
  <c r="J362" i="18"/>
  <c r="J792" i="18"/>
  <c r="J193" i="18"/>
  <c r="J610" i="18"/>
  <c r="J584" i="18"/>
  <c r="K584" i="18" s="1"/>
  <c r="J779" i="18"/>
  <c r="J506" i="18"/>
  <c r="J284" i="18"/>
  <c r="J753" i="18"/>
  <c r="J219" i="18"/>
  <c r="K219" i="18" s="1"/>
  <c r="J532" i="18"/>
  <c r="J519" i="18"/>
  <c r="J805" i="18"/>
  <c r="K3" i="18"/>
  <c r="K440" i="18"/>
  <c r="J857" i="18"/>
  <c r="AQ16" i="7942"/>
  <c r="AC281" i="1"/>
  <c r="K727" i="18"/>
  <c r="K362" i="18"/>
  <c r="L362" i="18" s="1"/>
  <c r="K193" i="18"/>
  <c r="K857" i="18"/>
  <c r="K506" i="18"/>
  <c r="L3" i="18"/>
  <c r="K532" i="18"/>
  <c r="K779" i="18"/>
  <c r="K427" i="18"/>
  <c r="K792" i="18"/>
  <c r="K284" i="18"/>
  <c r="K519" i="18"/>
  <c r="K558" i="18"/>
  <c r="K206" i="18"/>
  <c r="K610" i="18"/>
  <c r="K649" i="18"/>
  <c r="L427" i="18"/>
  <c r="L558" i="18"/>
  <c r="L193" i="18"/>
  <c r="L519" i="18"/>
  <c r="M519" i="18" s="1"/>
  <c r="L440" i="18"/>
  <c r="L532" i="18"/>
  <c r="L792" i="18"/>
  <c r="L857" i="18"/>
  <c r="M3" i="18"/>
  <c r="L506" i="18"/>
  <c r="M506" i="18" s="1"/>
  <c r="L649" i="18"/>
  <c r="L414" i="18"/>
  <c r="N3" i="18"/>
  <c r="M362" i="18"/>
  <c r="M193" i="18"/>
  <c r="M427" i="18"/>
  <c r="M414" i="18"/>
  <c r="M440" i="18"/>
  <c r="M649" i="18"/>
  <c r="N649" i="18" s="1"/>
  <c r="M532" i="18"/>
  <c r="N532" i="18"/>
  <c r="O3" i="18"/>
  <c r="N362" i="18"/>
  <c r="N193" i="18"/>
  <c r="N440" i="18"/>
  <c r="O440" i="18"/>
  <c r="P3" i="18"/>
  <c r="Q3" i="18"/>
  <c r="O649" i="18"/>
  <c r="O532" i="18"/>
  <c r="R3" i="18"/>
  <c r="S3" i="18"/>
  <c r="T3" i="18"/>
  <c r="U3" i="18"/>
  <c r="V3" i="18"/>
  <c r="W3" i="18"/>
  <c r="X3" i="18"/>
  <c r="Y3" i="18"/>
  <c r="Z3" i="18"/>
  <c r="AA3" i="18"/>
  <c r="AB3" i="18"/>
  <c r="AC3" i="18"/>
  <c r="AD3" i="18"/>
  <c r="AE3" i="18"/>
  <c r="AF3" i="18"/>
  <c r="AG3" i="18"/>
  <c r="AH3" i="18"/>
  <c r="AI3" i="18"/>
  <c r="AJ3" i="18"/>
  <c r="AK3" i="18"/>
  <c r="AL3" i="18"/>
  <c r="AM3" i="18"/>
  <c r="AN3" i="18"/>
  <c r="AO3" i="18"/>
  <c r="AP3" i="18"/>
  <c r="AQ3" i="18"/>
  <c r="AR3" i="18"/>
  <c r="AS3" i="18"/>
  <c r="AT3" i="18"/>
  <c r="AU3" i="18"/>
  <c r="AV3" i="18"/>
  <c r="AW3" i="18"/>
  <c r="AX3" i="18"/>
  <c r="AY3" i="18"/>
  <c r="AZ3" i="18"/>
  <c r="BA3" i="18"/>
  <c r="BB3" i="18"/>
  <c r="BC3" i="18"/>
  <c r="BD3" i="18"/>
  <c r="BE3" i="18"/>
  <c r="BF3" i="18"/>
  <c r="BG3" i="18"/>
  <c r="BH3" i="18"/>
  <c r="BI3" i="18"/>
  <c r="G143" i="1"/>
  <c r="H143" i="1"/>
  <c r="J143" i="1"/>
  <c r="K143" i="1"/>
  <c r="I143" i="1"/>
  <c r="C75" i="7958"/>
  <c r="C78" i="7958"/>
  <c r="F76" i="7943" l="1"/>
  <c r="G238" i="1"/>
  <c r="F78" i="7943" s="1"/>
  <c r="G257" i="18"/>
  <c r="H245" i="18"/>
  <c r="K258" i="18"/>
  <c r="L219" i="18"/>
  <c r="M219" i="18" s="1"/>
  <c r="P649" i="18"/>
  <c r="Q649" i="18"/>
  <c r="R649" i="18"/>
  <c r="L753" i="18"/>
  <c r="K753" i="18"/>
  <c r="O362" i="18"/>
  <c r="P362" i="18" s="1"/>
  <c r="N506" i="18"/>
  <c r="P506" i="18"/>
  <c r="N519" i="18"/>
  <c r="O519" i="18"/>
  <c r="I844" i="18"/>
  <c r="I480" i="18"/>
  <c r="N414" i="18"/>
  <c r="L727" i="18"/>
  <c r="M857" i="18"/>
  <c r="N857" i="18" s="1"/>
  <c r="O857" i="18" s="1"/>
  <c r="K805" i="18"/>
  <c r="L310" i="18"/>
  <c r="M310" i="18" s="1"/>
  <c r="K310" i="18"/>
  <c r="M792" i="18"/>
  <c r="P440" i="18"/>
  <c r="P532" i="18"/>
  <c r="Q532" i="18"/>
  <c r="N427" i="18"/>
  <c r="L597" i="18"/>
  <c r="K597" i="18"/>
  <c r="M597" i="18"/>
  <c r="I623" i="18"/>
  <c r="J623" i="18"/>
  <c r="G557" i="18"/>
  <c r="H545" i="18"/>
  <c r="E317" i="1"/>
  <c r="E18" i="7942"/>
  <c r="CP82" i="7942"/>
  <c r="CP107" i="7942" s="1"/>
  <c r="CP40" i="7942"/>
  <c r="CE85" i="7942"/>
  <c r="CE107" i="7942" s="1"/>
  <c r="CE40" i="7942"/>
  <c r="L339" i="1"/>
  <c r="R339" i="1"/>
  <c r="AD339" i="1"/>
  <c r="AJ339" i="1"/>
  <c r="AP339" i="1"/>
  <c r="P40" i="7942"/>
  <c r="M40" i="7942"/>
  <c r="L40" i="7942"/>
  <c r="N40" i="7942"/>
  <c r="Y40" i="7942"/>
  <c r="AL40" i="7942"/>
  <c r="AI40" i="7942"/>
  <c r="AH40" i="7942"/>
  <c r="AJ40" i="7942"/>
  <c r="AT40" i="7942"/>
  <c r="AS40" i="7942"/>
  <c r="AW40" i="7942"/>
  <c r="BH40" i="7942"/>
  <c r="BG40" i="7942"/>
  <c r="BD40" i="7942"/>
  <c r="BE40" i="7942"/>
  <c r="BS40" i="7942"/>
  <c r="BP40" i="7942"/>
  <c r="BR40" i="7942"/>
  <c r="BO40" i="7942"/>
  <c r="CA40" i="7942"/>
  <c r="CC40" i="7942"/>
  <c r="BZ40" i="7942"/>
  <c r="CB40" i="7942"/>
  <c r="CD40" i="7942"/>
  <c r="CN40" i="7942"/>
  <c r="CO40" i="7942"/>
  <c r="CL40" i="7942"/>
  <c r="CX40" i="7942"/>
  <c r="CW40" i="7942"/>
  <c r="CY40" i="7942"/>
  <c r="CV40" i="7942"/>
  <c r="DK40" i="7942"/>
  <c r="DH40" i="7942"/>
  <c r="DJ40" i="7942"/>
  <c r="DG40" i="7942"/>
  <c r="DI40" i="7942"/>
  <c r="K45" i="7946"/>
  <c r="L45" i="7946"/>
  <c r="M45" i="7946" s="1"/>
  <c r="O193" i="18"/>
  <c r="L284" i="18"/>
  <c r="K375" i="18"/>
  <c r="K154" i="18"/>
  <c r="J154" i="18"/>
  <c r="I141" i="18"/>
  <c r="E309" i="1"/>
  <c r="G140" i="18"/>
  <c r="H128" i="18"/>
  <c r="O506" i="18"/>
  <c r="J297" i="18"/>
  <c r="L41" i="7946"/>
  <c r="M41" i="7946"/>
  <c r="E322" i="1"/>
  <c r="E23" i="7942"/>
  <c r="DA40" i="7942"/>
  <c r="DA86" i="7942"/>
  <c r="DA107" i="7942" s="1"/>
  <c r="E105" i="7942"/>
  <c r="E72" i="7942"/>
  <c r="G400" i="18"/>
  <c r="H388" i="18"/>
  <c r="G179" i="18"/>
  <c r="I167" i="18"/>
  <c r="H167" i="18"/>
  <c r="H336" i="18"/>
  <c r="G348" i="18"/>
  <c r="E29" i="7942"/>
  <c r="E328" i="1"/>
  <c r="F107" i="7942"/>
  <c r="DE40" i="7942"/>
  <c r="CI40" i="7942"/>
  <c r="BX40" i="7942"/>
  <c r="BB40" i="7942"/>
  <c r="U40" i="7942"/>
  <c r="J40" i="7942"/>
  <c r="DC40" i="7942"/>
  <c r="CR40" i="7942"/>
  <c r="CG40" i="7942"/>
  <c r="AZ40" i="7942"/>
  <c r="AO40" i="7942"/>
  <c r="AD40" i="7942"/>
  <c r="S40" i="7942"/>
  <c r="H40" i="7942"/>
  <c r="DF40" i="7942"/>
  <c r="CU40" i="7942"/>
  <c r="CJ40" i="7942"/>
  <c r="BY40" i="7942"/>
  <c r="BC40" i="7942"/>
  <c r="AG40" i="7942"/>
  <c r="V40" i="7942"/>
  <c r="K40" i="7942"/>
  <c r="DB40" i="7942"/>
  <c r="CQ40" i="7942"/>
  <c r="CF40" i="7942"/>
  <c r="BU40" i="7942"/>
  <c r="AY40" i="7942"/>
  <c r="R40" i="7942"/>
  <c r="G40" i="7942"/>
  <c r="DD40" i="7942"/>
  <c r="CS40" i="7942"/>
  <c r="CH40" i="7942"/>
  <c r="BA40" i="7942"/>
  <c r="AE40" i="7942"/>
  <c r="T40" i="7942"/>
  <c r="I40" i="7942"/>
  <c r="G78" i="7946"/>
  <c r="G53" i="7946"/>
  <c r="BI84" i="7942"/>
  <c r="BI40" i="7942"/>
  <c r="BJ40" i="7942"/>
  <c r="BL40" i="7942"/>
  <c r="BN40" i="7942"/>
  <c r="BK40" i="7942"/>
  <c r="BM40" i="7942"/>
  <c r="BI107" i="7942"/>
  <c r="G583" i="18"/>
  <c r="J571" i="18"/>
  <c r="H571" i="18"/>
  <c r="I571" i="18"/>
  <c r="K571" i="18" s="1"/>
  <c r="AR16" i="7942"/>
  <c r="X315" i="1"/>
  <c r="L584" i="18"/>
  <c r="M584" i="18"/>
  <c r="J453" i="18"/>
  <c r="L610" i="18"/>
  <c r="I766" i="18"/>
  <c r="K22" i="7946"/>
  <c r="L22" i="7946" s="1"/>
  <c r="N49" i="7946"/>
  <c r="O49" i="7946" s="1"/>
  <c r="P49" i="7946" s="1"/>
  <c r="AB280" i="1"/>
  <c r="AA305" i="1"/>
  <c r="I242" i="1" s="1"/>
  <c r="AP15" i="7942"/>
  <c r="AP40" i="7942" s="1"/>
  <c r="H242" i="1"/>
  <c r="H76" i="7943" s="1"/>
  <c r="E50" i="7942"/>
  <c r="E83" i="7942"/>
  <c r="AB40" i="7942"/>
  <c r="AB83" i="7942"/>
  <c r="AB107" i="7942" s="1"/>
  <c r="Q85" i="7942"/>
  <c r="Q107" i="7942" s="1"/>
  <c r="Q40" i="7942"/>
  <c r="F40" i="7942"/>
  <c r="L206" i="18"/>
  <c r="M206" i="18"/>
  <c r="L779" i="18"/>
  <c r="M779" i="18"/>
  <c r="K714" i="18"/>
  <c r="M714" i="18" s="1"/>
  <c r="L714" i="18"/>
  <c r="K831" i="18"/>
  <c r="J831" i="18"/>
  <c r="J688" i="18"/>
  <c r="J662" i="18"/>
  <c r="I323" i="18"/>
  <c r="I740" i="18"/>
  <c r="G648" i="18"/>
  <c r="H636" i="18"/>
  <c r="E332" i="1"/>
  <c r="E33" i="7942"/>
  <c r="M558" i="18"/>
  <c r="M26" i="7946"/>
  <c r="H701" i="18"/>
  <c r="BT82" i="7942"/>
  <c r="BT107" i="7942" s="1"/>
  <c r="BT40" i="7942"/>
  <c r="AX107" i="7942"/>
  <c r="AM40" i="7942"/>
  <c r="AM87" i="7942"/>
  <c r="AM107" i="7942" s="1"/>
  <c r="K102" i="18"/>
  <c r="J349" i="18"/>
  <c r="K180" i="18"/>
  <c r="K115" i="18"/>
  <c r="O18" i="7946"/>
  <c r="K349" i="18"/>
  <c r="N18" i="7946"/>
  <c r="P18" i="7946" s="1"/>
  <c r="J818" i="18"/>
  <c r="J271" i="18"/>
  <c r="H13" i="2"/>
  <c r="K401" i="18"/>
  <c r="J232" i="18"/>
  <c r="J675" i="18"/>
  <c r="E55" i="7959"/>
  <c r="C59" i="7958" s="1"/>
  <c r="B3" i="7958"/>
  <c r="E56" i="7959"/>
  <c r="E58" i="7959"/>
  <c r="E54" i="7959"/>
  <c r="E52" i="7959"/>
  <c r="E51" i="7959"/>
  <c r="N219" i="18" l="1"/>
  <c r="O219" i="18"/>
  <c r="L571" i="18"/>
  <c r="H53" i="7946"/>
  <c r="H78" i="7946"/>
  <c r="I76" i="7943"/>
  <c r="L401" i="18"/>
  <c r="K662" i="18"/>
  <c r="M662" i="18" s="1"/>
  <c r="N779" i="18"/>
  <c r="O779" i="18" s="1"/>
  <c r="E63" i="7942"/>
  <c r="E96" i="7942"/>
  <c r="N714" i="18"/>
  <c r="S532" i="18"/>
  <c r="R532" i="18"/>
  <c r="K818" i="18"/>
  <c r="S649" i="18"/>
  <c r="M180" i="18"/>
  <c r="L180" i="18"/>
  <c r="N45" i="7946"/>
  <c r="O45" i="7946" s="1"/>
  <c r="E85" i="7942"/>
  <c r="E52" i="7942"/>
  <c r="Q440" i="18"/>
  <c r="K232" i="18"/>
  <c r="P857" i="18"/>
  <c r="R857" i="18"/>
  <c r="Q857" i="18"/>
  <c r="L102" i="18"/>
  <c r="M831" i="18"/>
  <c r="J141" i="18"/>
  <c r="N558" i="18"/>
  <c r="K271" i="18"/>
  <c r="L271" i="18" s="1"/>
  <c r="L349" i="18"/>
  <c r="L662" i="18"/>
  <c r="L831" i="18"/>
  <c r="K297" i="18"/>
  <c r="M284" i="18"/>
  <c r="L232" i="18"/>
  <c r="M232" i="18" s="1"/>
  <c r="M727" i="18"/>
  <c r="M102" i="18"/>
  <c r="Q506" i="18"/>
  <c r="R506" i="18" s="1"/>
  <c r="I636" i="18"/>
  <c r="E67" i="7942"/>
  <c r="E100" i="7942"/>
  <c r="J740" i="18"/>
  <c r="M22" i="7946"/>
  <c r="N22" i="7946" s="1"/>
  <c r="L154" i="18"/>
  <c r="N597" i="18"/>
  <c r="N792" i="18"/>
  <c r="N310" i="18"/>
  <c r="M349" i="18"/>
  <c r="J844" i="18"/>
  <c r="T649" i="18"/>
  <c r="F71" i="7943"/>
  <c r="F80" i="7943"/>
  <c r="F70" i="7946" s="1"/>
  <c r="F95" i="7946" s="1"/>
  <c r="F73" i="7946"/>
  <c r="F98" i="7946" s="1"/>
  <c r="L375" i="18"/>
  <c r="M375" i="18" s="1"/>
  <c r="I701" i="18"/>
  <c r="K740" i="18"/>
  <c r="O714" i="18"/>
  <c r="K453" i="18"/>
  <c r="L453" i="18" s="1"/>
  <c r="E57" i="7942"/>
  <c r="E90" i="7942"/>
  <c r="P193" i="18"/>
  <c r="K623" i="18"/>
  <c r="R440" i="18"/>
  <c r="N206" i="18"/>
  <c r="L115" i="18"/>
  <c r="I245" i="18"/>
  <c r="F53" i="7946"/>
  <c r="F78" i="7946"/>
  <c r="I13" i="2"/>
  <c r="H53" i="24"/>
  <c r="M610" i="18"/>
  <c r="J766" i="18"/>
  <c r="K141" i="18"/>
  <c r="I336" i="18"/>
  <c r="O427" i="18"/>
  <c r="N727" i="18"/>
  <c r="J480" i="18"/>
  <c r="Q362" i="18"/>
  <c r="M753" i="18"/>
  <c r="I128" i="18"/>
  <c r="J701" i="18"/>
  <c r="K675" i="18"/>
  <c r="N26" i="7946"/>
  <c r="J323" i="18"/>
  <c r="K688" i="18"/>
  <c r="AC280" i="1"/>
  <c r="AQ15" i="7942"/>
  <c r="AQ40" i="7942" s="1"/>
  <c r="AB305" i="1"/>
  <c r="J242" i="1" s="1"/>
  <c r="J76" i="7943" s="1"/>
  <c r="O584" i="18"/>
  <c r="N584" i="18"/>
  <c r="N571" i="18"/>
  <c r="M571" i="18"/>
  <c r="O571" i="18" s="1"/>
  <c r="F7" i="7942"/>
  <c r="J167" i="18"/>
  <c r="I388" i="18"/>
  <c r="N41" i="7946"/>
  <c r="N375" i="18"/>
  <c r="M271" i="18"/>
  <c r="I545" i="18"/>
  <c r="N232" i="18"/>
  <c r="O232" i="18" s="1"/>
  <c r="L805" i="18"/>
  <c r="O414" i="18"/>
  <c r="L818" i="18"/>
  <c r="P519" i="18"/>
  <c r="Q519" i="18" s="1"/>
  <c r="P219" i="18"/>
  <c r="L258" i="18"/>
  <c r="M258" i="18" s="1"/>
  <c r="J245" i="18"/>
  <c r="M8" i="1"/>
  <c r="P9" i="1"/>
  <c r="P8" i="1"/>
  <c r="G178" i="1"/>
  <c r="G177" i="1"/>
  <c r="K177" i="1"/>
  <c r="J177" i="1"/>
  <c r="I177" i="1"/>
  <c r="H177" i="1"/>
  <c r="K178" i="1"/>
  <c r="J178" i="1"/>
  <c r="I178" i="1"/>
  <c r="H178" i="1"/>
  <c r="M9" i="1"/>
  <c r="G216" i="1"/>
  <c r="G219" i="1"/>
  <c r="G233" i="1"/>
  <c r="G222" i="1"/>
  <c r="G14" i="2" s="1"/>
  <c r="G218" i="1"/>
  <c r="G111" i="1"/>
  <c r="G139" i="1" s="1"/>
  <c r="H111" i="1"/>
  <c r="H139" i="1" s="1"/>
  <c r="I111" i="1"/>
  <c r="I139" i="1" s="1"/>
  <c r="J111" i="1"/>
  <c r="J139" i="1" s="1"/>
  <c r="K111" i="1"/>
  <c r="K139" i="1" s="1"/>
  <c r="H43" i="1"/>
  <c r="I43" i="1"/>
  <c r="J43" i="1"/>
  <c r="K43" i="1"/>
  <c r="G43" i="1"/>
  <c r="P414" i="18" l="1"/>
  <c r="Q414" i="18"/>
  <c r="J545" i="18"/>
  <c r="P571" i="18"/>
  <c r="L675" i="18"/>
  <c r="R362" i="18"/>
  <c r="R519" i="18"/>
  <c r="N271" i="18"/>
  <c r="J78" i="7946"/>
  <c r="J53" i="7946"/>
  <c r="J128" i="18"/>
  <c r="P232" i="18"/>
  <c r="T440" i="18"/>
  <c r="S440" i="18"/>
  <c r="O26" i="7946"/>
  <c r="P26" i="7946" s="1"/>
  <c r="AC305" i="1"/>
  <c r="K242" i="1" s="1"/>
  <c r="K76" i="7943" s="1"/>
  <c r="X314" i="1"/>
  <c r="X339" i="1" s="1"/>
  <c r="AR15" i="7942"/>
  <c r="AR40" i="7942" s="1"/>
  <c r="T362" i="18"/>
  <c r="J336" i="18"/>
  <c r="K336" i="18"/>
  <c r="M675" i="18"/>
  <c r="K245" i="18"/>
  <c r="L245" i="18"/>
  <c r="N258" i="18"/>
  <c r="S362" i="18"/>
  <c r="M805" i="18"/>
  <c r="N805" i="18"/>
  <c r="P375" i="18"/>
  <c r="O375" i="18"/>
  <c r="L167" i="18"/>
  <c r="K167" i="18"/>
  <c r="L688" i="18"/>
  <c r="M688" i="18" s="1"/>
  <c r="N662" i="18"/>
  <c r="O662" i="18"/>
  <c r="K323" i="18"/>
  <c r="L766" i="18"/>
  <c r="K766" i="18"/>
  <c r="O41" i="7946"/>
  <c r="P41" i="7946" s="1"/>
  <c r="P584" i="18"/>
  <c r="J388" i="18"/>
  <c r="F39" i="7943"/>
  <c r="F44" i="7943"/>
  <c r="F56" i="7946" s="1"/>
  <c r="F81" i="7946" s="1"/>
  <c r="N610" i="18"/>
  <c r="N753" i="18"/>
  <c r="O753" i="18" s="1"/>
  <c r="O310" i="18"/>
  <c r="M154" i="18"/>
  <c r="O558" i="18"/>
  <c r="O206" i="18"/>
  <c r="Q193" i="18"/>
  <c r="O792" i="18"/>
  <c r="K701" i="18"/>
  <c r="N180" i="18"/>
  <c r="K480" i="18"/>
  <c r="I53" i="24"/>
  <c r="J13" i="2"/>
  <c r="P714" i="18"/>
  <c r="O597" i="18"/>
  <c r="M453" i="18"/>
  <c r="S506" i="18"/>
  <c r="N154" i="18"/>
  <c r="F84" i="7946"/>
  <c r="L141" i="18"/>
  <c r="Q375" i="18"/>
  <c r="K844" i="18"/>
  <c r="O22" i="7946"/>
  <c r="P22" i="7946" s="1"/>
  <c r="N284" i="18"/>
  <c r="O284" i="18"/>
  <c r="F59" i="7946"/>
  <c r="F66" i="7946"/>
  <c r="F91" i="7946" s="1"/>
  <c r="L701" i="18"/>
  <c r="P597" i="18"/>
  <c r="L740" i="18"/>
  <c r="Q232" i="18"/>
  <c r="M740" i="18"/>
  <c r="L480" i="18"/>
  <c r="P558" i="18"/>
  <c r="P427" i="18"/>
  <c r="M115" i="18"/>
  <c r="M623" i="18"/>
  <c r="L623" i="18"/>
  <c r="U649" i="18"/>
  <c r="J636" i="18"/>
  <c r="K636" i="18" s="1"/>
  <c r="O102" i="18"/>
  <c r="N349" i="18"/>
  <c r="P45" i="7946"/>
  <c r="Q219" i="18"/>
  <c r="N831" i="18"/>
  <c r="O271" i="18"/>
  <c r="O727" i="18"/>
  <c r="P779" i="18"/>
  <c r="L297" i="18"/>
  <c r="S857" i="18"/>
  <c r="T532" i="18"/>
  <c r="P727" i="18"/>
  <c r="N102" i="18"/>
  <c r="M818" i="18"/>
  <c r="M401" i="18"/>
  <c r="I53" i="7946"/>
  <c r="I78" i="7946"/>
  <c r="H179" i="1"/>
  <c r="G179" i="1"/>
  <c r="CF69" i="7942"/>
  <c r="G61" i="7942"/>
  <c r="R61" i="7942"/>
  <c r="CF55" i="7942"/>
  <c r="DB65" i="7942"/>
  <c r="CQ70" i="7942"/>
  <c r="CQ59" i="7942"/>
  <c r="AC58" i="7942"/>
  <c r="AN53" i="7942"/>
  <c r="AN63" i="7942"/>
  <c r="BU54" i="7942"/>
  <c r="AN62" i="7942"/>
  <c r="DB66" i="7942"/>
  <c r="BU61" i="7942"/>
  <c r="AN58" i="7942"/>
  <c r="AC50" i="7942"/>
  <c r="AN48" i="7942"/>
  <c r="G52" i="7942"/>
  <c r="AC60" i="7942"/>
  <c r="I6" i="2"/>
  <c r="I10" i="7943" s="1"/>
  <c r="BU50" i="7942"/>
  <c r="BU71" i="7942"/>
  <c r="CF64" i="7942"/>
  <c r="DB54" i="7942"/>
  <c r="AC66" i="7942"/>
  <c r="CF59" i="7942"/>
  <c r="CF65" i="7942"/>
  <c r="BJ57" i="7942"/>
  <c r="R53" i="7942"/>
  <c r="CF62" i="7942"/>
  <c r="CF72" i="7942"/>
  <c r="BU51" i="7942"/>
  <c r="CQ66" i="7942"/>
  <c r="CQ68" i="7942"/>
  <c r="BJ67" i="7942"/>
  <c r="DB71" i="7942"/>
  <c r="BJ63" i="7942"/>
  <c r="CF73" i="7942"/>
  <c r="AC49" i="7942"/>
  <c r="G64" i="7942"/>
  <c r="AN50" i="7942"/>
  <c r="AC56" i="7942"/>
  <c r="AC68" i="7942"/>
  <c r="BJ60" i="7942"/>
  <c r="AC57" i="7942"/>
  <c r="AY51" i="7942"/>
  <c r="AN71" i="7942"/>
  <c r="R50" i="7942"/>
  <c r="AC69" i="7942"/>
  <c r="R64" i="7942"/>
  <c r="BJ68" i="7942"/>
  <c r="DB59" i="7942"/>
  <c r="AY64" i="7942"/>
  <c r="R60" i="7942"/>
  <c r="AN67" i="7942"/>
  <c r="DB52" i="7942"/>
  <c r="R68" i="7942"/>
  <c r="G59" i="7942"/>
  <c r="AY70" i="7942"/>
  <c r="BJ55" i="7942"/>
  <c r="L6" i="2"/>
  <c r="L10" i="7943" s="1"/>
  <c r="BU67" i="7942"/>
  <c r="D6" i="18"/>
  <c r="R49" i="7942"/>
  <c r="R71" i="7942"/>
  <c r="BJ52" i="7942"/>
  <c r="CQ69" i="7942"/>
  <c r="CQ72" i="7942"/>
  <c r="BJ51" i="7942"/>
  <c r="AC54" i="7942"/>
  <c r="AN66" i="7942"/>
  <c r="CF51" i="7942"/>
  <c r="CQ56" i="7942"/>
  <c r="AN59" i="7942"/>
  <c r="CQ67" i="7942"/>
  <c r="AY60" i="7942"/>
  <c r="CF56" i="7942"/>
  <c r="AN54" i="7942"/>
  <c r="CQ61" i="7942"/>
  <c r="AY57" i="7942"/>
  <c r="DB68" i="7942"/>
  <c r="AN55" i="7942"/>
  <c r="AN49" i="7942"/>
  <c r="BU68" i="7942"/>
  <c r="BJ59" i="7942"/>
  <c r="G63" i="7942"/>
  <c r="BJ50" i="7942"/>
  <c r="AY62" i="7942"/>
  <c r="CF66" i="7942"/>
  <c r="G49" i="7942"/>
  <c r="CF70" i="7942"/>
  <c r="H6" i="2"/>
  <c r="H10" i="7943" s="1"/>
  <c r="G67" i="7942"/>
  <c r="DB56" i="7942"/>
  <c r="AN56" i="7942"/>
  <c r="AY49" i="7942"/>
  <c r="G72" i="7942"/>
  <c r="G51" i="7942"/>
  <c r="BU72" i="7942"/>
  <c r="BJ49" i="7942"/>
  <c r="BJ65" i="7942"/>
  <c r="R72" i="7942"/>
  <c r="AC70" i="7942"/>
  <c r="AC52" i="7942"/>
  <c r="BJ62" i="7942"/>
  <c r="AN69" i="7942"/>
  <c r="CQ63" i="7942"/>
  <c r="R59" i="7942"/>
  <c r="AN51" i="7942"/>
  <c r="AC61" i="7942"/>
  <c r="DB67" i="7942"/>
  <c r="AC55" i="7942"/>
  <c r="CF68" i="7942"/>
  <c r="CF71" i="7942"/>
  <c r="DB64" i="7942"/>
  <c r="DB57" i="7942"/>
  <c r="DB55" i="7942"/>
  <c r="CQ62" i="7942"/>
  <c r="AY63" i="7942"/>
  <c r="AN64" i="7942"/>
  <c r="AY67" i="7942"/>
  <c r="CF53" i="7942"/>
  <c r="DB61" i="7942"/>
  <c r="BJ61" i="7942"/>
  <c r="CQ64" i="7942"/>
  <c r="CQ51" i="7942"/>
  <c r="DB53" i="7942"/>
  <c r="CQ54" i="7942"/>
  <c r="AY71" i="7942"/>
  <c r="M6" i="2"/>
  <c r="M10" i="7943" s="1"/>
  <c r="BU66" i="7942"/>
  <c r="R69" i="7942"/>
  <c r="G73" i="7942"/>
  <c r="G54" i="7942"/>
  <c r="CF61" i="7942"/>
  <c r="BU49" i="7942"/>
  <c r="BJ72" i="7942"/>
  <c r="AY73" i="7942"/>
  <c r="G6" i="2"/>
  <c r="G15" i="2" s="1"/>
  <c r="AY61" i="7942"/>
  <c r="DB62" i="7942"/>
  <c r="AN60" i="7942"/>
  <c r="BU57" i="7942"/>
  <c r="K6" i="2"/>
  <c r="K10" i="7943" s="1"/>
  <c r="AY68" i="7942"/>
  <c r="G55" i="7942"/>
  <c r="AY54" i="7942"/>
  <c r="BU58" i="7942"/>
  <c r="CF63" i="7942"/>
  <c r="BJ56" i="7942"/>
  <c r="CF49" i="7942"/>
  <c r="BU59" i="7942"/>
  <c r="CQ49" i="7942"/>
  <c r="R54" i="7942"/>
  <c r="CF60" i="7942"/>
  <c r="AC65" i="7942"/>
  <c r="CQ71" i="7942"/>
  <c r="AY66" i="7942"/>
  <c r="G48" i="7942"/>
  <c r="BU62" i="7942"/>
  <c r="CQ65" i="7942"/>
  <c r="AN73" i="7942"/>
  <c r="CQ55" i="7942"/>
  <c r="N6" i="2"/>
  <c r="N10" i="7943" s="1"/>
  <c r="BU48" i="7942"/>
  <c r="BU63" i="7942"/>
  <c r="R63" i="7942"/>
  <c r="BU69" i="7942"/>
  <c r="G70" i="7942"/>
  <c r="DB51" i="7942"/>
  <c r="AY59" i="7942"/>
  <c r="CF57" i="7942"/>
  <c r="G66" i="7942"/>
  <c r="P6" i="2"/>
  <c r="P10" i="7943" s="1"/>
  <c r="CQ52" i="7942"/>
  <c r="R58" i="7942"/>
  <c r="CQ50" i="7942"/>
  <c r="AY50" i="7942"/>
  <c r="AY52" i="7942"/>
  <c r="AC53" i="7942"/>
  <c r="G69" i="7942"/>
  <c r="BJ66" i="7942"/>
  <c r="CQ58" i="7942"/>
  <c r="AC51" i="7942"/>
  <c r="CQ48" i="7942"/>
  <c r="DB73" i="7942"/>
  <c r="J6" i="2"/>
  <c r="J10" i="7943" s="1"/>
  <c r="AC67" i="7942"/>
  <c r="BU60" i="7942"/>
  <c r="CQ73" i="7942"/>
  <c r="BJ69" i="7942"/>
  <c r="AY55" i="7942"/>
  <c r="R56" i="7942"/>
  <c r="G71" i="7942"/>
  <c r="R55" i="7942"/>
  <c r="G62" i="7942"/>
  <c r="R57" i="7942"/>
  <c r="DB72" i="7942"/>
  <c r="DB69" i="7942"/>
  <c r="G50" i="7942"/>
  <c r="BJ73" i="7942"/>
  <c r="R67" i="7942"/>
  <c r="CF50" i="7942"/>
  <c r="AC62" i="7942"/>
  <c r="AC59" i="7942"/>
  <c r="CF52" i="7942"/>
  <c r="AN61" i="7942"/>
  <c r="BU70" i="7942"/>
  <c r="R73" i="7942"/>
  <c r="DB48" i="7942"/>
  <c r="DB58" i="7942"/>
  <c r="DB63" i="7942"/>
  <c r="DB70" i="7942"/>
  <c r="R52" i="7942"/>
  <c r="AC64" i="7942"/>
  <c r="AY58" i="7942"/>
  <c r="CF67" i="7942"/>
  <c r="BU65" i="7942"/>
  <c r="DB50" i="7942"/>
  <c r="R62" i="7942"/>
  <c r="R48" i="7942"/>
  <c r="AC48" i="7942"/>
  <c r="CQ57" i="7942"/>
  <c r="AN65" i="7942"/>
  <c r="AN52" i="7942"/>
  <c r="AC71" i="7942"/>
  <c r="BJ71" i="7942"/>
  <c r="BU73" i="7942"/>
  <c r="CQ53" i="7942"/>
  <c r="R66" i="7942"/>
  <c r="CF48" i="7942"/>
  <c r="AC63" i="7942"/>
  <c r="BJ64" i="7942"/>
  <c r="BJ48" i="7942"/>
  <c r="G56" i="7942"/>
  <c r="BJ70" i="7942"/>
  <c r="G58" i="7942"/>
  <c r="R70" i="7942"/>
  <c r="BJ58" i="7942"/>
  <c r="G68" i="7942"/>
  <c r="G57" i="7942"/>
  <c r="DB49" i="7942"/>
  <c r="AY69" i="7942"/>
  <c r="CQ60" i="7942"/>
  <c r="BU55" i="7942"/>
  <c r="AC73" i="7942"/>
  <c r="CF58" i="7942"/>
  <c r="G65" i="7942"/>
  <c r="DB60" i="7942"/>
  <c r="AY48" i="7942"/>
  <c r="AN70" i="7942"/>
  <c r="AY72" i="7942"/>
  <c r="AY53" i="7942"/>
  <c r="BJ54" i="7942"/>
  <c r="AN72" i="7942"/>
  <c r="AN68" i="7942"/>
  <c r="AC72" i="7942"/>
  <c r="R65" i="7942"/>
  <c r="BU52" i="7942"/>
  <c r="BU64" i="7942"/>
  <c r="BU56" i="7942"/>
  <c r="AN57" i="7942"/>
  <c r="AY65" i="7942"/>
  <c r="G53" i="7942"/>
  <c r="AY56" i="7942"/>
  <c r="G60" i="7942"/>
  <c r="BJ53" i="7942"/>
  <c r="CF54" i="7942"/>
  <c r="BU53" i="7942"/>
  <c r="R51" i="7942"/>
  <c r="O6" i="2"/>
  <c r="O10" i="7943" s="1"/>
  <c r="H14" i="2"/>
  <c r="G10" i="24"/>
  <c r="J71" i="1"/>
  <c r="J145" i="1"/>
  <c r="I9" i="2"/>
  <c r="I8" i="2" s="1"/>
  <c r="J9" i="2"/>
  <c r="J8" i="2" s="1"/>
  <c r="O9" i="2"/>
  <c r="O8" i="2" s="1"/>
  <c r="M9" i="2"/>
  <c r="M8" i="2" s="1"/>
  <c r="P9" i="2"/>
  <c r="P8" i="2" s="1"/>
  <c r="L9" i="2"/>
  <c r="L8" i="2" s="1"/>
  <c r="N9" i="2"/>
  <c r="N8" i="2" s="1"/>
  <c r="K9" i="2"/>
  <c r="K8" i="2" s="1"/>
  <c r="G9" i="2"/>
  <c r="H9" i="2"/>
  <c r="H8" i="2" s="1"/>
  <c r="G71" i="1"/>
  <c r="G145" i="1"/>
  <c r="L7" i="2"/>
  <c r="P7" i="2"/>
  <c r="H7" i="2"/>
  <c r="O7" i="2"/>
  <c r="M7" i="2"/>
  <c r="G7" i="2"/>
  <c r="N7" i="2"/>
  <c r="J7" i="2"/>
  <c r="I7" i="2"/>
  <c r="K7" i="2"/>
  <c r="K71" i="1"/>
  <c r="K145" i="1"/>
  <c r="Q140" i="1"/>
  <c r="G217" i="1"/>
  <c r="I71" i="1"/>
  <c r="I145" i="1"/>
  <c r="H71" i="1"/>
  <c r="H145" i="1"/>
  <c r="L7" i="1"/>
  <c r="N818" i="18" l="1"/>
  <c r="M297" i="18"/>
  <c r="Q779" i="18"/>
  <c r="R779" i="18"/>
  <c r="Q427" i="18"/>
  <c r="T857" i="18"/>
  <c r="P102" i="18"/>
  <c r="Q102" i="18"/>
  <c r="R102" i="18"/>
  <c r="N297" i="18"/>
  <c r="P831" i="18"/>
  <c r="L636" i="18"/>
  <c r="Q727" i="18"/>
  <c r="R219" i="18"/>
  <c r="S219" i="18"/>
  <c r="O297" i="18"/>
  <c r="O831" i="18"/>
  <c r="O349" i="18"/>
  <c r="N115" i="18"/>
  <c r="O115" i="18"/>
  <c r="U857" i="18"/>
  <c r="W857" i="18"/>
  <c r="N623" i="18"/>
  <c r="R232" i="18"/>
  <c r="S232" i="18"/>
  <c r="U532" i="18"/>
  <c r="V532" i="18"/>
  <c r="V857" i="18"/>
  <c r="N401" i="18"/>
  <c r="X857" i="18"/>
  <c r="X649" i="18"/>
  <c r="W649" i="18"/>
  <c r="V649" i="18"/>
  <c r="Q558" i="18"/>
  <c r="M480" i="18"/>
  <c r="L844" i="18"/>
  <c r="P310" i="18"/>
  <c r="U362" i="18"/>
  <c r="K128" i="18"/>
  <c r="P271" i="18"/>
  <c r="Q714" i="18"/>
  <c r="R714" i="18"/>
  <c r="O258" i="18"/>
  <c r="T597" i="18"/>
  <c r="U597" i="18" s="1"/>
  <c r="R597" i="18"/>
  <c r="S597" i="18"/>
  <c r="O180" i="18"/>
  <c r="K388" i="18"/>
  <c r="M388" i="18"/>
  <c r="L388" i="18"/>
  <c r="Q597" i="18"/>
  <c r="P284" i="18"/>
  <c r="O154" i="18"/>
  <c r="P154" i="18"/>
  <c r="T506" i="18"/>
  <c r="R375" i="18"/>
  <c r="N141" i="18"/>
  <c r="P753" i="18"/>
  <c r="O805" i="18"/>
  <c r="M141" i="18"/>
  <c r="N766" i="18"/>
  <c r="J53" i="24"/>
  <c r="K13" i="2"/>
  <c r="M701" i="18"/>
  <c r="L336" i="18"/>
  <c r="M336" i="18"/>
  <c r="K78" i="7946"/>
  <c r="K53" i="7946"/>
  <c r="L76" i="7943"/>
  <c r="Q571" i="18"/>
  <c r="N701" i="18"/>
  <c r="N453" i="18"/>
  <c r="N740" i="18"/>
  <c r="P792" i="18"/>
  <c r="L323" i="18"/>
  <c r="N675" i="18"/>
  <c r="S519" i="18"/>
  <c r="R414" i="18"/>
  <c r="Q584" i="18"/>
  <c r="N688" i="18"/>
  <c r="U232" i="18"/>
  <c r="T232" i="18"/>
  <c r="O675" i="18"/>
  <c r="R193" i="18"/>
  <c r="M245" i="18"/>
  <c r="P206" i="18"/>
  <c r="K545" i="18"/>
  <c r="N480" i="18"/>
  <c r="S193" i="18"/>
  <c r="M766" i="18"/>
  <c r="N245" i="18"/>
  <c r="O610" i="18"/>
  <c r="Q610" i="18"/>
  <c r="M167" i="18"/>
  <c r="P610" i="18"/>
  <c r="P662" i="18"/>
  <c r="U440" i="18"/>
  <c r="T519" i="18"/>
  <c r="I179" i="1"/>
  <c r="BU89" i="7942"/>
  <c r="BV56" i="7942"/>
  <c r="S48" i="7942"/>
  <c r="R81" i="7942"/>
  <c r="BU93" i="7942"/>
  <c r="BV60" i="7942"/>
  <c r="DB95" i="7942"/>
  <c r="DC62" i="7942"/>
  <c r="BK65" i="7942"/>
  <c r="BJ98" i="7942"/>
  <c r="BK63" i="7942"/>
  <c r="BJ96" i="7942"/>
  <c r="AZ53" i="7942"/>
  <c r="AY86" i="7942"/>
  <c r="DB103" i="7942"/>
  <c r="DC70" i="7942"/>
  <c r="G102" i="7942"/>
  <c r="H69" i="7942"/>
  <c r="CF96" i="7942"/>
  <c r="CG63" i="7942"/>
  <c r="AO51" i="7942"/>
  <c r="AN84" i="7942"/>
  <c r="R86" i="7942"/>
  <c r="S53" i="7942"/>
  <c r="J173" i="1"/>
  <c r="CF87" i="7942"/>
  <c r="CG54" i="7942"/>
  <c r="BV64" i="7942"/>
  <c r="BU97" i="7942"/>
  <c r="AZ72" i="7942"/>
  <c r="AY105" i="7942"/>
  <c r="CR60" i="7942"/>
  <c r="CQ93" i="7942"/>
  <c r="BJ103" i="7942"/>
  <c r="BK70" i="7942"/>
  <c r="BV73" i="7942"/>
  <c r="BU106" i="7942"/>
  <c r="S62" i="7942"/>
  <c r="R95" i="7942"/>
  <c r="DB96" i="7942"/>
  <c r="DC63" i="7942"/>
  <c r="AD62" i="7942"/>
  <c r="AC95" i="7942"/>
  <c r="G95" i="7942"/>
  <c r="H62" i="7942"/>
  <c r="AD67" i="7942"/>
  <c r="AC100" i="7942"/>
  <c r="AC86" i="7942"/>
  <c r="AD53" i="7942"/>
  <c r="CG57" i="7942"/>
  <c r="CF90" i="7942"/>
  <c r="AD65" i="7942"/>
  <c r="AC98" i="7942"/>
  <c r="BU91" i="7942"/>
  <c r="BV58" i="7942"/>
  <c r="AY94" i="7942"/>
  <c r="AZ61" i="7942"/>
  <c r="S69" i="7942"/>
  <c r="R102" i="7942"/>
  <c r="BK61" i="7942"/>
  <c r="BJ94" i="7942"/>
  <c r="DC57" i="7942"/>
  <c r="DB90" i="7942"/>
  <c r="S59" i="7942"/>
  <c r="R92" i="7942"/>
  <c r="BK49" i="7942"/>
  <c r="BJ82" i="7942"/>
  <c r="BU101" i="7942"/>
  <c r="BV68" i="7942"/>
  <c r="AY93" i="7942"/>
  <c r="AZ60" i="7942"/>
  <c r="CR72" i="7942"/>
  <c r="CQ105" i="7942"/>
  <c r="BJ88" i="7942"/>
  <c r="BK55" i="7942"/>
  <c r="DC59" i="7942"/>
  <c r="DB92" i="7942"/>
  <c r="BK60" i="7942"/>
  <c r="BJ93" i="7942"/>
  <c r="DC71" i="7942"/>
  <c r="DB104" i="7942"/>
  <c r="BK57" i="7942"/>
  <c r="BJ90" i="7942"/>
  <c r="AN95" i="7942"/>
  <c r="AO62" i="7942"/>
  <c r="CG55" i="7942"/>
  <c r="CF88" i="7942"/>
  <c r="BV55" i="7942"/>
  <c r="BU88" i="7942"/>
  <c r="AD59" i="7942"/>
  <c r="AC92" i="7942"/>
  <c r="G99" i="7942"/>
  <c r="H66" i="7942"/>
  <c r="H73" i="7942"/>
  <c r="G106" i="7942"/>
  <c r="H67" i="7942"/>
  <c r="G100" i="7942"/>
  <c r="BJ84" i="7942"/>
  <c r="BK51" i="7942"/>
  <c r="AZ64" i="7942"/>
  <c r="AY97" i="7942"/>
  <c r="AC90" i="7942"/>
  <c r="AD57" i="7942"/>
  <c r="BU83" i="7942"/>
  <c r="BV50" i="7942"/>
  <c r="BU86" i="7942"/>
  <c r="BV53" i="7942"/>
  <c r="CQ86" i="7942"/>
  <c r="CR53" i="7942"/>
  <c r="BV48" i="7942"/>
  <c r="BU81" i="7942"/>
  <c r="DB88" i="7942"/>
  <c r="DC55" i="7942"/>
  <c r="CG56" i="7942"/>
  <c r="CF89" i="7942"/>
  <c r="DB98" i="7942"/>
  <c r="DC65" i="7942"/>
  <c r="G91" i="7942"/>
  <c r="H58" i="7942"/>
  <c r="R90" i="7942"/>
  <c r="S57" i="7942"/>
  <c r="CQ104" i="7942"/>
  <c r="CR71" i="7942"/>
  <c r="CQ97" i="7942"/>
  <c r="CR64" i="7942"/>
  <c r="BJ92" i="7942"/>
  <c r="BK59" i="7942"/>
  <c r="DB99" i="7942"/>
  <c r="DC66" i="7942"/>
  <c r="BJ86" i="7942"/>
  <c r="BK53" i="7942"/>
  <c r="BU85" i="7942"/>
  <c r="BV52" i="7942"/>
  <c r="AO70" i="7942"/>
  <c r="AN103" i="7942"/>
  <c r="AZ69" i="7942"/>
  <c r="AY102" i="7942"/>
  <c r="G89" i="7942"/>
  <c r="H56" i="7942"/>
  <c r="BJ104" i="7942"/>
  <c r="BK71" i="7942"/>
  <c r="DC50" i="7942"/>
  <c r="DB83" i="7942"/>
  <c r="DB91" i="7942"/>
  <c r="DC58" i="7942"/>
  <c r="CF83" i="7942"/>
  <c r="CG50" i="7942"/>
  <c r="S55" i="7942"/>
  <c r="R88" i="7942"/>
  <c r="AZ52" i="7942"/>
  <c r="AY85" i="7942"/>
  <c r="AY92" i="7942"/>
  <c r="AZ59" i="7942"/>
  <c r="CQ88" i="7942"/>
  <c r="CR55" i="7942"/>
  <c r="CG60" i="7942"/>
  <c r="CF93" i="7942"/>
  <c r="AY87" i="7942"/>
  <c r="AZ54" i="7942"/>
  <c r="G10" i="7943"/>
  <c r="G6" i="24"/>
  <c r="BU99" i="7942"/>
  <c r="BV66" i="7942"/>
  <c r="DC61" i="7942"/>
  <c r="DB94" i="7942"/>
  <c r="DB97" i="7942"/>
  <c r="DC64" i="7942"/>
  <c r="CR63" i="7942"/>
  <c r="CQ96" i="7942"/>
  <c r="BV72" i="7942"/>
  <c r="BU105" i="7942"/>
  <c r="CF103" i="7942"/>
  <c r="CG70" i="7942"/>
  <c r="AO49" i="7942"/>
  <c r="AN82" i="7942"/>
  <c r="CQ100" i="7942"/>
  <c r="CR67" i="7942"/>
  <c r="CQ102" i="7942"/>
  <c r="CR69" i="7942"/>
  <c r="AZ70" i="7942"/>
  <c r="AY103" i="7942"/>
  <c r="BJ101" i="7942"/>
  <c r="BK68" i="7942"/>
  <c r="AD68" i="7942"/>
  <c r="AC101" i="7942"/>
  <c r="BJ100" i="7942"/>
  <c r="BK67" i="7942"/>
  <c r="CG65" i="7942"/>
  <c r="CF98" i="7942"/>
  <c r="AC93" i="7942"/>
  <c r="AD60" i="7942"/>
  <c r="BU87" i="7942"/>
  <c r="BV54" i="7942"/>
  <c r="S61" i="7942"/>
  <c r="R94" i="7942"/>
  <c r="N10" i="2"/>
  <c r="P10" i="2"/>
  <c r="M10" i="2"/>
  <c r="O10" i="2"/>
  <c r="H10" i="2"/>
  <c r="L10" i="2"/>
  <c r="J10" i="2"/>
  <c r="H217" i="1"/>
  <c r="G10" i="2"/>
  <c r="K10" i="2"/>
  <c r="I10" i="2"/>
  <c r="G93" i="7942"/>
  <c r="H60" i="7942"/>
  <c r="R98" i="7942"/>
  <c r="S65" i="7942"/>
  <c r="AY81" i="7942"/>
  <c r="AZ48" i="7942"/>
  <c r="DB82" i="7942"/>
  <c r="DC49" i="7942"/>
  <c r="BK48" i="7942"/>
  <c r="BJ81" i="7942"/>
  <c r="AC104" i="7942"/>
  <c r="AD71" i="7942"/>
  <c r="BV65" i="7942"/>
  <c r="BU98" i="7942"/>
  <c r="DC48" i="7942"/>
  <c r="DB81" i="7942"/>
  <c r="S67" i="7942"/>
  <c r="R100" i="7942"/>
  <c r="H71" i="7942"/>
  <c r="G104" i="7942"/>
  <c r="DC73" i="7942"/>
  <c r="DB106" i="7942"/>
  <c r="AZ50" i="7942"/>
  <c r="AY83" i="7942"/>
  <c r="DC51" i="7942"/>
  <c r="DB84" i="7942"/>
  <c r="AN106" i="7942"/>
  <c r="AO73" i="7942"/>
  <c r="R87" i="7942"/>
  <c r="S54" i="7942"/>
  <c r="G88" i="7942"/>
  <c r="H55" i="7942"/>
  <c r="AZ73" i="7942"/>
  <c r="AY106" i="7942"/>
  <c r="CG53" i="7942"/>
  <c r="CF86" i="7942"/>
  <c r="CF104" i="7942"/>
  <c r="CG71" i="7942"/>
  <c r="AO69" i="7942"/>
  <c r="AN102" i="7942"/>
  <c r="G84" i="7942"/>
  <c r="H51" i="7942"/>
  <c r="G82" i="7942"/>
  <c r="H49" i="7942"/>
  <c r="AO55" i="7942"/>
  <c r="AN88" i="7942"/>
  <c r="AO59" i="7942"/>
  <c r="AN92" i="7942"/>
  <c r="BK52" i="7942"/>
  <c r="BJ85" i="7942"/>
  <c r="G92" i="7942"/>
  <c r="H59" i="7942"/>
  <c r="R97" i="7942"/>
  <c r="S64" i="7942"/>
  <c r="AD56" i="7942"/>
  <c r="AC89" i="7942"/>
  <c r="CR68" i="7942"/>
  <c r="CQ101" i="7942"/>
  <c r="CG59" i="7942"/>
  <c r="CF92" i="7942"/>
  <c r="G85" i="7942"/>
  <c r="H52" i="7942"/>
  <c r="AN96" i="7942"/>
  <c r="AO63" i="7942"/>
  <c r="H61" i="7942"/>
  <c r="G94" i="7942"/>
  <c r="G173" i="1"/>
  <c r="AZ56" i="7942"/>
  <c r="AY89" i="7942"/>
  <c r="AC105" i="7942"/>
  <c r="AD72" i="7942"/>
  <c r="DC60" i="7942"/>
  <c r="DB93" i="7942"/>
  <c r="G90" i="7942"/>
  <c r="H57" i="7942"/>
  <c r="BJ97" i="7942"/>
  <c r="BK64" i="7942"/>
  <c r="AN85" i="7942"/>
  <c r="AO52" i="7942"/>
  <c r="CF100" i="7942"/>
  <c r="CG67" i="7942"/>
  <c r="S73" i="7942"/>
  <c r="R106" i="7942"/>
  <c r="BK73" i="7942"/>
  <c r="BJ106" i="7942"/>
  <c r="R89" i="7942"/>
  <c r="S56" i="7942"/>
  <c r="CR48" i="7942"/>
  <c r="CQ81" i="7942"/>
  <c r="CR50" i="7942"/>
  <c r="CQ83" i="7942"/>
  <c r="G103" i="7942"/>
  <c r="H70" i="7942"/>
  <c r="CQ98" i="7942"/>
  <c r="CR65" i="7942"/>
  <c r="CQ82" i="7942"/>
  <c r="CR49" i="7942"/>
  <c r="AY101" i="7942"/>
  <c r="AZ68" i="7942"/>
  <c r="BK72" i="7942"/>
  <c r="BJ105" i="7942"/>
  <c r="AY104" i="7942"/>
  <c r="AZ71" i="7942"/>
  <c r="AZ67" i="7942"/>
  <c r="AY100" i="7942"/>
  <c r="CF101" i="7942"/>
  <c r="CG68" i="7942"/>
  <c r="BK62" i="7942"/>
  <c r="BJ95" i="7942"/>
  <c r="H72" i="7942"/>
  <c r="G105" i="7942"/>
  <c r="CG66" i="7942"/>
  <c r="CF99" i="7942"/>
  <c r="DB101" i="7942"/>
  <c r="DC68" i="7942"/>
  <c r="CR56" i="7942"/>
  <c r="CQ89" i="7942"/>
  <c r="S71" i="7942"/>
  <c r="R104" i="7942"/>
  <c r="R101" i="7942"/>
  <c r="S68" i="7942"/>
  <c r="AC102" i="7942"/>
  <c r="AD69" i="7942"/>
  <c r="AN83" i="7942"/>
  <c r="AO50" i="7942"/>
  <c r="CR66" i="7942"/>
  <c r="CQ99" i="7942"/>
  <c r="AC99" i="7942"/>
  <c r="AD66" i="7942"/>
  <c r="AN81" i="7942"/>
  <c r="AO48" i="7942"/>
  <c r="AO53" i="7942"/>
  <c r="AN86" i="7942"/>
  <c r="CF102" i="7942"/>
  <c r="CG69" i="7942"/>
  <c r="H173" i="1"/>
  <c r="D35" i="24"/>
  <c r="D58" i="24"/>
  <c r="Q72" i="1"/>
  <c r="H10" i="24"/>
  <c r="I14" i="2"/>
  <c r="H15" i="2"/>
  <c r="G86" i="7942"/>
  <c r="H53" i="7942"/>
  <c r="AO68" i="7942"/>
  <c r="AN101" i="7942"/>
  <c r="G98" i="7942"/>
  <c r="H65" i="7942"/>
  <c r="H68" i="7942"/>
  <c r="G101" i="7942"/>
  <c r="AD63" i="7942"/>
  <c r="AC96" i="7942"/>
  <c r="AO65" i="7942"/>
  <c r="AN98" i="7942"/>
  <c r="AY91" i="7942"/>
  <c r="AZ58" i="7942"/>
  <c r="BV70" i="7942"/>
  <c r="BU103" i="7942"/>
  <c r="H50" i="7942"/>
  <c r="G83" i="7942"/>
  <c r="AY88" i="7942"/>
  <c r="AZ55" i="7942"/>
  <c r="AC84" i="7942"/>
  <c r="AD51" i="7942"/>
  <c r="S58" i="7942"/>
  <c r="R91" i="7942"/>
  <c r="BV69" i="7942"/>
  <c r="BU102" i="7942"/>
  <c r="BV62" i="7942"/>
  <c r="BU95" i="7942"/>
  <c r="BU92" i="7942"/>
  <c r="BV59" i="7942"/>
  <c r="BU82" i="7942"/>
  <c r="BV49" i="7942"/>
  <c r="CQ87" i="7942"/>
  <c r="CR54" i="7942"/>
  <c r="AN97" i="7942"/>
  <c r="AO64" i="7942"/>
  <c r="AC88" i="7942"/>
  <c r="AD55" i="7942"/>
  <c r="AC85" i="7942"/>
  <c r="AD52" i="7942"/>
  <c r="AY82" i="7942"/>
  <c r="AZ49" i="7942"/>
  <c r="AY95" i="7942"/>
  <c r="AZ62" i="7942"/>
  <c r="AZ57" i="7942"/>
  <c r="AY90" i="7942"/>
  <c r="CF84" i="7942"/>
  <c r="CG51" i="7942"/>
  <c r="R82" i="7942"/>
  <c r="S49" i="7942"/>
  <c r="DB85" i="7942"/>
  <c r="DC52" i="7942"/>
  <c r="S50" i="7942"/>
  <c r="R83" i="7942"/>
  <c r="G97" i="7942"/>
  <c r="H64" i="7942"/>
  <c r="BU84" i="7942"/>
  <c r="BV51" i="7942"/>
  <c r="DC54" i="7942"/>
  <c r="DB87" i="7942"/>
  <c r="AC83" i="7942"/>
  <c r="AD50" i="7942"/>
  <c r="AC91" i="7942"/>
  <c r="AD58" i="7942"/>
  <c r="AZ65" i="7942"/>
  <c r="AY98" i="7942"/>
  <c r="AN105" i="7942"/>
  <c r="AO72" i="7942"/>
  <c r="CG58" i="7942"/>
  <c r="CF91" i="7942"/>
  <c r="BJ91" i="7942"/>
  <c r="BK58" i="7942"/>
  <c r="CG48" i="7942"/>
  <c r="CF81" i="7942"/>
  <c r="CR57" i="7942"/>
  <c r="CQ90" i="7942"/>
  <c r="AD64" i="7942"/>
  <c r="AC97" i="7942"/>
  <c r="AN94" i="7942"/>
  <c r="AO61" i="7942"/>
  <c r="DB102" i="7942"/>
  <c r="DC69" i="7942"/>
  <c r="BK69" i="7942"/>
  <c r="BJ102" i="7942"/>
  <c r="CQ91" i="7942"/>
  <c r="CR58" i="7942"/>
  <c r="CR52" i="7942"/>
  <c r="CQ85" i="7942"/>
  <c r="S63" i="7942"/>
  <c r="R96" i="7942"/>
  <c r="G81" i="7942"/>
  <c r="H48" i="7942"/>
  <c r="CF82" i="7942"/>
  <c r="CG49" i="7942"/>
  <c r="BV57" i="7942"/>
  <c r="BU90" i="7942"/>
  <c r="CG61" i="7942"/>
  <c r="CF94" i="7942"/>
  <c r="DC53" i="7942"/>
  <c r="DB86" i="7942"/>
  <c r="AZ63" i="7942"/>
  <c r="AY96" i="7942"/>
  <c r="DC67" i="7942"/>
  <c r="DB100" i="7942"/>
  <c r="AC103" i="7942"/>
  <c r="AD70" i="7942"/>
  <c r="AN89" i="7942"/>
  <c r="AO56" i="7942"/>
  <c r="BJ83" i="7942"/>
  <c r="BK50" i="7942"/>
  <c r="CR61" i="7942"/>
  <c r="CQ94" i="7942"/>
  <c r="AO66" i="7942"/>
  <c r="AN99" i="7942"/>
  <c r="AF6" i="18"/>
  <c r="AW6" i="18"/>
  <c r="AJ6" i="18"/>
  <c r="AG6" i="18"/>
  <c r="AX6" i="18"/>
  <c r="T6" i="18"/>
  <c r="P6" i="18"/>
  <c r="BE6" i="18"/>
  <c r="AN6" i="18"/>
  <c r="I6" i="18"/>
  <c r="Y6" i="18"/>
  <c r="M6" i="18"/>
  <c r="AT6" i="18"/>
  <c r="Z6" i="18"/>
  <c r="AE6" i="18"/>
  <c r="U6" i="18"/>
  <c r="AK6" i="18"/>
  <c r="N6" i="18"/>
  <c r="AL6" i="18"/>
  <c r="AM6" i="18"/>
  <c r="BG6" i="18"/>
  <c r="L6" i="18"/>
  <c r="AS6" i="18"/>
  <c r="BD6" i="18"/>
  <c r="R6" i="18"/>
  <c r="AQ6" i="18"/>
  <c r="AA6" i="18"/>
  <c r="AP6" i="18"/>
  <c r="AU6" i="18"/>
  <c r="K6" i="18"/>
  <c r="BC6" i="18"/>
  <c r="BA6" i="18"/>
  <c r="AH6" i="18"/>
  <c r="AO6" i="18"/>
  <c r="W6" i="18"/>
  <c r="AY6" i="18"/>
  <c r="AI6" i="18"/>
  <c r="H6" i="18"/>
  <c r="S6" i="18"/>
  <c r="BF6" i="18"/>
  <c r="AZ6" i="18"/>
  <c r="AV6" i="18"/>
  <c r="AD6" i="18"/>
  <c r="AR6" i="18"/>
  <c r="V6" i="18"/>
  <c r="J6" i="18"/>
  <c r="X6" i="18"/>
  <c r="O6" i="18"/>
  <c r="G6" i="18"/>
  <c r="G7" i="18" s="1"/>
  <c r="J508" i="18" s="1"/>
  <c r="BH6" i="18"/>
  <c r="BB6" i="18"/>
  <c r="BI6" i="18"/>
  <c r="AB6" i="18"/>
  <c r="AC6" i="18"/>
  <c r="Q6" i="18"/>
  <c r="AO67" i="7942"/>
  <c r="AN100" i="7942"/>
  <c r="AN104" i="7942"/>
  <c r="AO71" i="7942"/>
  <c r="AC82" i="7942"/>
  <c r="AD49" i="7942"/>
  <c r="CF105" i="7942"/>
  <c r="CG72" i="7942"/>
  <c r="CF97" i="7942"/>
  <c r="CG64" i="7942"/>
  <c r="AO58" i="7942"/>
  <c r="AN91" i="7942"/>
  <c r="CQ92" i="7942"/>
  <c r="CR59" i="7942"/>
  <c r="I173" i="1"/>
  <c r="K173" i="1"/>
  <c r="D19" i="24"/>
  <c r="G8" i="2"/>
  <c r="R84" i="7942"/>
  <c r="S51" i="7942"/>
  <c r="AN90" i="7942"/>
  <c r="AO57" i="7942"/>
  <c r="BJ87" i="7942"/>
  <c r="BK54" i="7942"/>
  <c r="AD73" i="7942"/>
  <c r="AC106" i="7942"/>
  <c r="S70" i="7942"/>
  <c r="R103" i="7942"/>
  <c r="S66" i="7942"/>
  <c r="R99" i="7942"/>
  <c r="AD48" i="7942"/>
  <c r="AC81" i="7942"/>
  <c r="R85" i="7942"/>
  <c r="S52" i="7942"/>
  <c r="CG52" i="7942"/>
  <c r="CF85" i="7942"/>
  <c r="DB105" i="7942"/>
  <c r="DC72" i="7942"/>
  <c r="CR73" i="7942"/>
  <c r="CQ106" i="7942"/>
  <c r="BK66" i="7942"/>
  <c r="BJ99" i="7942"/>
  <c r="BV63" i="7942"/>
  <c r="BU96" i="7942"/>
  <c r="AZ66" i="7942"/>
  <c r="AY99" i="7942"/>
  <c r="BJ89" i="7942"/>
  <c r="BK56" i="7942"/>
  <c r="AO60" i="7942"/>
  <c r="AN93" i="7942"/>
  <c r="G87" i="7942"/>
  <c r="H54" i="7942"/>
  <c r="CR51" i="7942"/>
  <c r="CQ84" i="7942"/>
  <c r="CR62" i="7942"/>
  <c r="CQ95" i="7942"/>
  <c r="AC94" i="7942"/>
  <c r="AD61" i="7942"/>
  <c r="R105" i="7942"/>
  <c r="S72" i="7942"/>
  <c r="DC56" i="7942"/>
  <c r="DB89" i="7942"/>
  <c r="G96" i="7942"/>
  <c r="H63" i="7942"/>
  <c r="AN87" i="7942"/>
  <c r="AO54" i="7942"/>
  <c r="AC87" i="7942"/>
  <c r="AD54" i="7942"/>
  <c r="BU100" i="7942"/>
  <c r="BV67" i="7942"/>
  <c r="R93" i="7942"/>
  <c r="S60" i="7942"/>
  <c r="AZ51" i="7942"/>
  <c r="AY84" i="7942"/>
  <c r="CG73" i="7942"/>
  <c r="CF106" i="7942"/>
  <c r="CG62" i="7942"/>
  <c r="CF95" i="7942"/>
  <c r="BU104" i="7942"/>
  <c r="BV71" i="7942"/>
  <c r="BU94" i="7942"/>
  <c r="BV61" i="7942"/>
  <c r="CR70" i="7942"/>
  <c r="CQ103" i="7942"/>
  <c r="I18" i="2" l="1"/>
  <c r="R571" i="18"/>
  <c r="V519" i="18"/>
  <c r="U519" i="18"/>
  <c r="R584" i="18"/>
  <c r="P675" i="18"/>
  <c r="O701" i="18"/>
  <c r="V362" i="18"/>
  <c r="M323" i="18"/>
  <c r="O141" i="18"/>
  <c r="P141" i="18" s="1"/>
  <c r="Q284" i="18"/>
  <c r="N167" i="18"/>
  <c r="S414" i="18"/>
  <c r="T414" i="18"/>
  <c r="Q675" i="18"/>
  <c r="O453" i="18"/>
  <c r="N336" i="18"/>
  <c r="Q662" i="18"/>
  <c r="O688" i="18"/>
  <c r="S375" i="18"/>
  <c r="Q206" i="18"/>
  <c r="S584" i="18"/>
  <c r="T571" i="18"/>
  <c r="S571" i="18"/>
  <c r="T584" i="18"/>
  <c r="L545" i="18"/>
  <c r="M545" i="18"/>
  <c r="O740" i="18"/>
  <c r="L53" i="7946"/>
  <c r="L78" i="7946"/>
  <c r="U506" i="18"/>
  <c r="V440" i="18"/>
  <c r="W440" i="18" s="1"/>
  <c r="R610" i="18"/>
  <c r="T610" i="18"/>
  <c r="S610" i="18"/>
  <c r="O401" i="18"/>
  <c r="W532" i="18"/>
  <c r="O480" i="18"/>
  <c r="K53" i="24"/>
  <c r="L13" i="2"/>
  <c r="R206" i="18"/>
  <c r="V232" i="18"/>
  <c r="O245" i="18"/>
  <c r="T193" i="18"/>
  <c r="U193" i="18"/>
  <c r="Q792" i="18"/>
  <c r="M76" i="7943"/>
  <c r="P805" i="18"/>
  <c r="Q753" i="18"/>
  <c r="Q154" i="18"/>
  <c r="R154" i="18"/>
  <c r="N388" i="18"/>
  <c r="P258" i="18"/>
  <c r="O766" i="18"/>
  <c r="P349" i="18"/>
  <c r="Q310" i="18"/>
  <c r="Y857" i="18"/>
  <c r="P115" i="18"/>
  <c r="R558" i="18"/>
  <c r="Z857" i="18"/>
  <c r="P297" i="18"/>
  <c r="R427" i="18"/>
  <c r="M636" i="18"/>
  <c r="O636" i="18" s="1"/>
  <c r="N636" i="18"/>
  <c r="S102" i="18"/>
  <c r="O818" i="18"/>
  <c r="P818" i="18" s="1"/>
  <c r="V597" i="18"/>
  <c r="P480" i="18"/>
  <c r="Y649" i="18"/>
  <c r="X532" i="18"/>
  <c r="O623" i="18"/>
  <c r="Q831" i="18"/>
  <c r="R727" i="18"/>
  <c r="M128" i="18"/>
  <c r="L128" i="18"/>
  <c r="S558" i="18"/>
  <c r="T102" i="18"/>
  <c r="S779" i="18"/>
  <c r="O388" i="18"/>
  <c r="P180" i="18"/>
  <c r="S714" i="18"/>
  <c r="T714" i="18" s="1"/>
  <c r="Q271" i="18"/>
  <c r="M844" i="18"/>
  <c r="Y532" i="18"/>
  <c r="T219" i="18"/>
  <c r="Q174" i="1"/>
  <c r="J179" i="1"/>
  <c r="K179" i="1"/>
  <c r="AD102" i="7942"/>
  <c r="AE69" i="7942"/>
  <c r="CG86" i="7942"/>
  <c r="CH53" i="7942"/>
  <c r="BA70" i="7942"/>
  <c r="AZ103" i="7942"/>
  <c r="BV86" i="7942"/>
  <c r="BW53" i="7942"/>
  <c r="BL57" i="7942"/>
  <c r="BK90" i="7942"/>
  <c r="BL49" i="7942"/>
  <c r="BK82" i="7942"/>
  <c r="BW71" i="7942"/>
  <c r="BV104" i="7942"/>
  <c r="T60" i="7942"/>
  <c r="S93" i="7942"/>
  <c r="I63" i="7942"/>
  <c r="H96" i="7942"/>
  <c r="BL56" i="7942"/>
  <c r="BK89" i="7942"/>
  <c r="AC107" i="7942"/>
  <c r="BK87" i="7942"/>
  <c r="BL54" i="7942"/>
  <c r="CS59" i="7942"/>
  <c r="CR92" i="7942"/>
  <c r="AD82" i="7942"/>
  <c r="AE49" i="7942"/>
  <c r="CS61" i="7942"/>
  <c r="CR94" i="7942"/>
  <c r="DD67" i="7942"/>
  <c r="DC100" i="7942"/>
  <c r="BV90" i="7942"/>
  <c r="BW57" i="7942"/>
  <c r="CR85" i="7942"/>
  <c r="CS52" i="7942"/>
  <c r="BV102" i="7942"/>
  <c r="BW69" i="7942"/>
  <c r="I50" i="7942"/>
  <c r="H83" i="7942"/>
  <c r="AE63" i="7942"/>
  <c r="AD96" i="7942"/>
  <c r="AN107" i="7942"/>
  <c r="CS50" i="7942"/>
  <c r="CR83" i="7942"/>
  <c r="T73" i="7942"/>
  <c r="S106" i="7942"/>
  <c r="I51" i="7942"/>
  <c r="H84" i="7942"/>
  <c r="BJ107" i="7942"/>
  <c r="I60" i="7942"/>
  <c r="H93" i="7942"/>
  <c r="L11" i="2"/>
  <c r="BK100" i="7942"/>
  <c r="BL67" i="7942"/>
  <c r="CS69" i="7942"/>
  <c r="CR102" i="7942"/>
  <c r="BW66" i="7942"/>
  <c r="BV99" i="7942"/>
  <c r="CS55" i="7942"/>
  <c r="CR88" i="7942"/>
  <c r="CH50" i="7942"/>
  <c r="CG83" i="7942"/>
  <c r="H89" i="7942"/>
  <c r="I56" i="7942"/>
  <c r="BL53" i="7942"/>
  <c r="BK86" i="7942"/>
  <c r="CH56" i="7942"/>
  <c r="CG89" i="7942"/>
  <c r="BW50" i="7942"/>
  <c r="BV83" i="7942"/>
  <c r="AZ94" i="7942"/>
  <c r="BA61" i="7942"/>
  <c r="AE53" i="7942"/>
  <c r="AD86" i="7942"/>
  <c r="DC96" i="7942"/>
  <c r="DD63" i="7942"/>
  <c r="BL65" i="7942"/>
  <c r="BK98" i="7942"/>
  <c r="AP61" i="7942"/>
  <c r="AO94" i="7942"/>
  <c r="S82" i="7942"/>
  <c r="T49" i="7942"/>
  <c r="I53" i="7942"/>
  <c r="H86" i="7942"/>
  <c r="CG101" i="7942"/>
  <c r="CH68" i="7942"/>
  <c r="CH65" i="7942"/>
  <c r="CG98" i="7942"/>
  <c r="S88" i="7942"/>
  <c r="T55" i="7942"/>
  <c r="BK92" i="7942"/>
  <c r="BL59" i="7942"/>
  <c r="AE59" i="7942"/>
  <c r="AD92" i="7942"/>
  <c r="AD95" i="7942"/>
  <c r="AE62" i="7942"/>
  <c r="BV89" i="7942"/>
  <c r="BW56" i="7942"/>
  <c r="CS62" i="7942"/>
  <c r="CR95" i="7942"/>
  <c r="CR106" i="7942"/>
  <c r="CS73" i="7942"/>
  <c r="AD81" i="7942"/>
  <c r="AE48" i="7942"/>
  <c r="BK83" i="7942"/>
  <c r="BL50" i="7942"/>
  <c r="CH49" i="7942"/>
  <c r="CG82" i="7942"/>
  <c r="CR91" i="7942"/>
  <c r="CS58" i="7942"/>
  <c r="T508" i="18"/>
  <c r="AD91" i="7942"/>
  <c r="AE58" i="7942"/>
  <c r="I64" i="7942"/>
  <c r="H97" i="7942"/>
  <c r="CH51" i="7942"/>
  <c r="CG84" i="7942"/>
  <c r="AD85" i="7942"/>
  <c r="AE52" i="7942"/>
  <c r="BW49" i="7942"/>
  <c r="BV82" i="7942"/>
  <c r="AD99" i="7942"/>
  <c r="AE66" i="7942"/>
  <c r="S101" i="7942"/>
  <c r="T68" i="7942"/>
  <c r="CS49" i="7942"/>
  <c r="CR82" i="7942"/>
  <c r="CQ107" i="7942"/>
  <c r="CG100" i="7942"/>
  <c r="CH67" i="7942"/>
  <c r="G884" i="18"/>
  <c r="I61" i="7942"/>
  <c r="H94" i="7942"/>
  <c r="CR101" i="7942"/>
  <c r="CS68" i="7942"/>
  <c r="BL52" i="7942"/>
  <c r="BK85" i="7942"/>
  <c r="AZ106" i="7942"/>
  <c r="BA73" i="7942"/>
  <c r="DD51" i="7942"/>
  <c r="DC84" i="7942"/>
  <c r="T67" i="7942"/>
  <c r="S100" i="7942"/>
  <c r="BL48" i="7942"/>
  <c r="BK81" i="7942"/>
  <c r="H18" i="2"/>
  <c r="H11" i="2"/>
  <c r="H19" i="2" s="1"/>
  <c r="H22" i="2"/>
  <c r="H20" i="2"/>
  <c r="H21" i="2" s="1"/>
  <c r="T61" i="7942"/>
  <c r="S94" i="7942"/>
  <c r="BV105" i="7942"/>
  <c r="BW72" i="7942"/>
  <c r="CR97" i="7942"/>
  <c r="CS64" i="7942"/>
  <c r="DD55" i="7942"/>
  <c r="DC88" i="7942"/>
  <c r="I67" i="7942"/>
  <c r="H100" i="7942"/>
  <c r="BV88" i="7942"/>
  <c r="BW55" i="7942"/>
  <c r="DD71" i="7942"/>
  <c r="DC104" i="7942"/>
  <c r="CS72" i="7942"/>
  <c r="CR105" i="7942"/>
  <c r="T59" i="7942"/>
  <c r="S92" i="7942"/>
  <c r="CS60" i="7942"/>
  <c r="CR93" i="7942"/>
  <c r="T53" i="7942"/>
  <c r="S86" i="7942"/>
  <c r="DD70" i="7942"/>
  <c r="DC103" i="7942"/>
  <c r="DC95" i="7942"/>
  <c r="DD62" i="7942"/>
  <c r="AP60" i="7942"/>
  <c r="AO93" i="7942"/>
  <c r="D18" i="24"/>
  <c r="G18" i="2"/>
  <c r="T69" i="7942"/>
  <c r="S102" i="7942"/>
  <c r="I69" i="7942"/>
  <c r="H102" i="7942"/>
  <c r="BV100" i="7942"/>
  <c r="BW67" i="7942"/>
  <c r="DD72" i="7942"/>
  <c r="DC105" i="7942"/>
  <c r="AP57" i="7942"/>
  <c r="AO90" i="7942"/>
  <c r="AP71" i="7942"/>
  <c r="AO104" i="7942"/>
  <c r="BA63" i="7942"/>
  <c r="AZ96" i="7942"/>
  <c r="AD97" i="7942"/>
  <c r="AE64" i="7942"/>
  <c r="CH58" i="7942"/>
  <c r="CG91" i="7942"/>
  <c r="M508" i="18"/>
  <c r="T58" i="7942"/>
  <c r="S91" i="7942"/>
  <c r="BV103" i="7942"/>
  <c r="BW70" i="7942"/>
  <c r="I68" i="7942"/>
  <c r="H101" i="7942"/>
  <c r="J14" i="2"/>
  <c r="J20" i="2" s="1"/>
  <c r="J21" i="2" s="1"/>
  <c r="I15" i="2"/>
  <c r="I10" i="24"/>
  <c r="CG99" i="7942"/>
  <c r="CH66" i="7942"/>
  <c r="AZ100" i="7942"/>
  <c r="BA67" i="7942"/>
  <c r="CR81" i="7942"/>
  <c r="CS48" i="7942"/>
  <c r="DD60" i="7942"/>
  <c r="DC93" i="7942"/>
  <c r="P508" i="18"/>
  <c r="AP63" i="7942"/>
  <c r="AO96" i="7942"/>
  <c r="I55" i="7942"/>
  <c r="H88" i="7942"/>
  <c r="DB107" i="7942"/>
  <c r="DD49" i="7942"/>
  <c r="DC82" i="7942"/>
  <c r="O11" i="2"/>
  <c r="BW54" i="7942"/>
  <c r="BV87" i="7942"/>
  <c r="CS67" i="7942"/>
  <c r="CR100" i="7942"/>
  <c r="G7" i="24"/>
  <c r="H6" i="24"/>
  <c r="BA59" i="7942"/>
  <c r="AZ92" i="7942"/>
  <c r="DD58" i="7942"/>
  <c r="DC91" i="7942"/>
  <c r="Q508" i="18"/>
  <c r="AD90" i="7942"/>
  <c r="AE57" i="7942"/>
  <c r="BA60" i="7942"/>
  <c r="AZ93" i="7942"/>
  <c r="BW58" i="7942"/>
  <c r="BV91" i="7942"/>
  <c r="BW51" i="7942"/>
  <c r="BV84" i="7942"/>
  <c r="DC101" i="7942"/>
  <c r="DD68" i="7942"/>
  <c r="DD61" i="7942"/>
  <c r="DC94" i="7942"/>
  <c r="CH57" i="7942"/>
  <c r="CG90" i="7942"/>
  <c r="CH62" i="7942"/>
  <c r="CG95" i="7942"/>
  <c r="DD56" i="7942"/>
  <c r="DC89" i="7942"/>
  <c r="CR84" i="7942"/>
  <c r="CS51" i="7942"/>
  <c r="BA66" i="7942"/>
  <c r="AZ99" i="7942"/>
  <c r="S99" i="7942"/>
  <c r="T66" i="7942"/>
  <c r="AO91" i="7942"/>
  <c r="AP58" i="7942"/>
  <c r="AO89" i="7942"/>
  <c r="AP56" i="7942"/>
  <c r="H81" i="7942"/>
  <c r="I48" i="7942"/>
  <c r="AO105" i="7942"/>
  <c r="AP72" i="7942"/>
  <c r="AD83" i="7942"/>
  <c r="AE50" i="7942"/>
  <c r="AE55" i="7942"/>
  <c r="AD88" i="7942"/>
  <c r="BW59" i="7942"/>
  <c r="BV92" i="7942"/>
  <c r="AE51" i="7942"/>
  <c r="AD84" i="7942"/>
  <c r="BA58" i="7942"/>
  <c r="AZ91" i="7942"/>
  <c r="I65" i="7942"/>
  <c r="H98" i="7942"/>
  <c r="CH69" i="7942"/>
  <c r="CG102" i="7942"/>
  <c r="AZ104" i="7942"/>
  <c r="BA71" i="7942"/>
  <c r="CS65" i="7942"/>
  <c r="CR98" i="7942"/>
  <c r="S89" i="7942"/>
  <c r="T56" i="7942"/>
  <c r="AO85" i="7942"/>
  <c r="AP52" i="7942"/>
  <c r="AE72" i="7942"/>
  <c r="AD105" i="7942"/>
  <c r="AD89" i="7942"/>
  <c r="AE56" i="7942"/>
  <c r="AO92" i="7942"/>
  <c r="AP59" i="7942"/>
  <c r="AP69" i="7942"/>
  <c r="AO102" i="7942"/>
  <c r="AZ83" i="7942"/>
  <c r="BA50" i="7942"/>
  <c r="DC81" i="7942"/>
  <c r="DD48" i="7942"/>
  <c r="I22" i="2"/>
  <c r="I11" i="2"/>
  <c r="I20" i="2"/>
  <c r="I21" i="2" s="1"/>
  <c r="M11" i="2"/>
  <c r="AD101" i="7942"/>
  <c r="AE68" i="7942"/>
  <c r="CR96" i="7942"/>
  <c r="CS63" i="7942"/>
  <c r="G59" i="7946"/>
  <c r="G11" i="7943"/>
  <c r="H11" i="7943" s="1"/>
  <c r="I11" i="7943" s="1"/>
  <c r="J11" i="7943" s="1"/>
  <c r="K11" i="7943" s="1"/>
  <c r="L11" i="7943" s="1"/>
  <c r="M11" i="7943" s="1"/>
  <c r="N11" i="7943" s="1"/>
  <c r="O11" i="7943" s="1"/>
  <c r="P11" i="7943" s="1"/>
  <c r="G60" i="7943"/>
  <c r="G78" i="7943"/>
  <c r="BA69" i="7942"/>
  <c r="AZ102" i="7942"/>
  <c r="CS71" i="7942"/>
  <c r="CR104" i="7942"/>
  <c r="BU107" i="7942"/>
  <c r="I73" i="7942"/>
  <c r="H106" i="7942"/>
  <c r="CH55" i="7942"/>
  <c r="CG88" i="7942"/>
  <c r="BK93" i="7942"/>
  <c r="BL60" i="7942"/>
  <c r="DD57" i="7942"/>
  <c r="DC90" i="7942"/>
  <c r="AD100" i="7942"/>
  <c r="AE67" i="7942"/>
  <c r="S95" i="7942"/>
  <c r="T62" i="7942"/>
  <c r="AZ105" i="7942"/>
  <c r="BA72" i="7942"/>
  <c r="BW60" i="7942"/>
  <c r="BV93" i="7942"/>
  <c r="BL58" i="7942"/>
  <c r="BK91" i="7942"/>
  <c r="I71" i="7942"/>
  <c r="H104" i="7942"/>
  <c r="H87" i="7942"/>
  <c r="I54" i="7942"/>
  <c r="CH64" i="7942"/>
  <c r="CG97" i="7942"/>
  <c r="DD53" i="7942"/>
  <c r="DC86" i="7942"/>
  <c r="G107" i="7942"/>
  <c r="BK102" i="7942"/>
  <c r="BL69" i="7942"/>
  <c r="CR90" i="7942"/>
  <c r="CS57" i="7942"/>
  <c r="T50" i="7942"/>
  <c r="S83" i="7942"/>
  <c r="BA57" i="7942"/>
  <c r="AZ90" i="7942"/>
  <c r="CR99" i="7942"/>
  <c r="CS66" i="7942"/>
  <c r="S104" i="7942"/>
  <c r="T71" i="7942"/>
  <c r="H105" i="7942"/>
  <c r="I72" i="7942"/>
  <c r="H85" i="7942"/>
  <c r="I52" i="7942"/>
  <c r="T64" i="7942"/>
  <c r="S97" i="7942"/>
  <c r="CH71" i="7942"/>
  <c r="CG104" i="7942"/>
  <c r="S87" i="7942"/>
  <c r="T54" i="7942"/>
  <c r="BA48" i="7942"/>
  <c r="AZ81" i="7942"/>
  <c r="K11" i="2"/>
  <c r="P11" i="2"/>
  <c r="AD93" i="7942"/>
  <c r="AE60" i="7942"/>
  <c r="BK101" i="7942"/>
  <c r="BL68" i="7942"/>
  <c r="DD64" i="7942"/>
  <c r="DC97" i="7942"/>
  <c r="BA54" i="7942"/>
  <c r="AZ87" i="7942"/>
  <c r="BV81" i="7942"/>
  <c r="BW48" i="7942"/>
  <c r="I66" i="7942"/>
  <c r="H99" i="7942"/>
  <c r="AO95" i="7942"/>
  <c r="AP62" i="7942"/>
  <c r="BW68" i="7942"/>
  <c r="BV101" i="7942"/>
  <c r="H95" i="7942"/>
  <c r="I62" i="7942"/>
  <c r="AP51" i="7942"/>
  <c r="AO84" i="7942"/>
  <c r="BA53" i="7942"/>
  <c r="AZ86" i="7942"/>
  <c r="AD106" i="7942"/>
  <c r="AE73" i="7942"/>
  <c r="CS54" i="7942"/>
  <c r="CR87" i="7942"/>
  <c r="AZ101" i="7942"/>
  <c r="BA68" i="7942"/>
  <c r="CH59" i="7942"/>
  <c r="CG92" i="7942"/>
  <c r="J11" i="2"/>
  <c r="CG93" i="7942"/>
  <c r="CH60" i="7942"/>
  <c r="H91" i="7942"/>
  <c r="I58" i="7942"/>
  <c r="S105" i="7942"/>
  <c r="T72" i="7942"/>
  <c r="CG106" i="7942"/>
  <c r="CH73" i="7942"/>
  <c r="BV96" i="7942"/>
  <c r="BW63" i="7942"/>
  <c r="CG85" i="7942"/>
  <c r="CH52" i="7942"/>
  <c r="T70" i="7942"/>
  <c r="S103" i="7942"/>
  <c r="AP67" i="7942"/>
  <c r="AO100" i="7942"/>
  <c r="AD103" i="7942"/>
  <c r="AE70" i="7942"/>
  <c r="DD69" i="7942"/>
  <c r="DC102" i="7942"/>
  <c r="CF107" i="7942"/>
  <c r="DC85" i="7942"/>
  <c r="DD52" i="7942"/>
  <c r="AZ95" i="7942"/>
  <c r="BA62" i="7942"/>
  <c r="AO97" i="7942"/>
  <c r="AP64" i="7942"/>
  <c r="AZ88" i="7942"/>
  <c r="BA55" i="7942"/>
  <c r="AO83" i="7942"/>
  <c r="AP50" i="7942"/>
  <c r="I70" i="7942"/>
  <c r="H103" i="7942"/>
  <c r="BK97" i="7942"/>
  <c r="BL64" i="7942"/>
  <c r="AO88" i="7942"/>
  <c r="AP55" i="7942"/>
  <c r="R107" i="7942"/>
  <c r="DD73" i="7942"/>
  <c r="DC106" i="7942"/>
  <c r="BW65" i="7942"/>
  <c r="BV98" i="7942"/>
  <c r="AY107" i="7942"/>
  <c r="G22" i="2"/>
  <c r="G20" i="2"/>
  <c r="G21" i="2" s="1"/>
  <c r="E157" i="24"/>
  <c r="D25" i="24"/>
  <c r="G11" i="2"/>
  <c r="G19" i="2" s="1"/>
  <c r="N11" i="2"/>
  <c r="AO82" i="7942"/>
  <c r="AP49" i="7942"/>
  <c r="AZ85" i="7942"/>
  <c r="BA52" i="7942"/>
  <c r="DC83" i="7942"/>
  <c r="DD50" i="7942"/>
  <c r="AP70" i="7942"/>
  <c r="AO103" i="7942"/>
  <c r="DD66" i="7942"/>
  <c r="DC99" i="7942"/>
  <c r="S90" i="7942"/>
  <c r="T57" i="7942"/>
  <c r="DD65" i="7942"/>
  <c r="DC98" i="7942"/>
  <c r="CR86" i="7942"/>
  <c r="CS53" i="7942"/>
  <c r="BA64" i="7942"/>
  <c r="AZ97" i="7942"/>
  <c r="DC92" i="7942"/>
  <c r="DD59" i="7942"/>
  <c r="BL61" i="7942"/>
  <c r="BK94" i="7942"/>
  <c r="AE65" i="7942"/>
  <c r="AD98" i="7942"/>
  <c r="BW73" i="7942"/>
  <c r="BV106" i="7942"/>
  <c r="BV97" i="7942"/>
  <c r="BW64" i="7942"/>
  <c r="CH63" i="7942"/>
  <c r="CG96" i="7942"/>
  <c r="BA51" i="7942"/>
  <c r="AZ84" i="7942"/>
  <c r="BL66" i="7942"/>
  <c r="BK99" i="7942"/>
  <c r="BA49" i="7942"/>
  <c r="AZ82" i="7942"/>
  <c r="AO81" i="7942"/>
  <c r="AP48" i="7942"/>
  <c r="H90" i="7942"/>
  <c r="I57" i="7942"/>
  <c r="AD87" i="7942"/>
  <c r="AE54" i="7942"/>
  <c r="S84" i="7942"/>
  <c r="T51" i="7942"/>
  <c r="H560" i="18"/>
  <c r="H570" i="18" s="1"/>
  <c r="H573" i="18"/>
  <c r="H583" i="18" s="1"/>
  <c r="H703" i="18"/>
  <c r="H713" i="18" s="1"/>
  <c r="H534" i="18"/>
  <c r="H729" i="18"/>
  <c r="H739" i="18" s="1"/>
  <c r="H846" i="18"/>
  <c r="H856" i="18" s="1"/>
  <c r="H521" i="18"/>
  <c r="H531" i="18" s="1"/>
  <c r="H586" i="18"/>
  <c r="H596" i="18" s="1"/>
  <c r="H664" i="18"/>
  <c r="H599" i="18"/>
  <c r="H609" i="18" s="1"/>
  <c r="H794" i="18"/>
  <c r="H804" i="18" s="1"/>
  <c r="H833" i="18"/>
  <c r="H843" i="18" s="1"/>
  <c r="H651" i="18"/>
  <c r="H547" i="18"/>
  <c r="H557" i="18" s="1"/>
  <c r="H742" i="18"/>
  <c r="H752" i="18" s="1"/>
  <c r="H625" i="18"/>
  <c r="H635" i="18" s="1"/>
  <c r="H716" i="18"/>
  <c r="H726" i="18" s="1"/>
  <c r="H755" i="18"/>
  <c r="H690" i="18"/>
  <c r="H700" i="18" s="1"/>
  <c r="H612" i="18"/>
  <c r="H622" i="18" s="1"/>
  <c r="H807" i="18"/>
  <c r="H817" i="18" s="1"/>
  <c r="H638" i="18"/>
  <c r="H677" i="18"/>
  <c r="H687" i="18" s="1"/>
  <c r="H7" i="18"/>
  <c r="H859" i="18"/>
  <c r="H482" i="18"/>
  <c r="H768" i="18"/>
  <c r="H781" i="18"/>
  <c r="H791" i="18" s="1"/>
  <c r="H820" i="18"/>
  <c r="H830" i="18" s="1"/>
  <c r="I703" i="18"/>
  <c r="J703" i="18" s="1"/>
  <c r="L508" i="18"/>
  <c r="G885" i="18"/>
  <c r="T495" i="18"/>
  <c r="H495" i="18"/>
  <c r="R508" i="18"/>
  <c r="I508" i="18"/>
  <c r="I495" i="18"/>
  <c r="L495" i="18"/>
  <c r="K508" i="18"/>
  <c r="S508" i="18"/>
  <c r="J495" i="18"/>
  <c r="M495" i="18"/>
  <c r="H508" i="18"/>
  <c r="H518" i="18" s="1"/>
  <c r="N508" i="18"/>
  <c r="R495" i="18"/>
  <c r="P495" i="18"/>
  <c r="O495" i="18"/>
  <c r="N495" i="18"/>
  <c r="K495" i="18"/>
  <c r="V508" i="18"/>
  <c r="U508" i="18"/>
  <c r="O508" i="18"/>
  <c r="U495" i="18"/>
  <c r="S495" i="18"/>
  <c r="Q495" i="18"/>
  <c r="V495" i="18"/>
  <c r="CS70" i="7942"/>
  <c r="CR103" i="7942"/>
  <c r="BW61" i="7942"/>
  <c r="BV94" i="7942"/>
  <c r="AO87" i="7942"/>
  <c r="AP54" i="7942"/>
  <c r="AE61" i="7942"/>
  <c r="AD94" i="7942"/>
  <c r="S85" i="7942"/>
  <c r="T52" i="7942"/>
  <c r="I11" i="24"/>
  <c r="I7" i="7943"/>
  <c r="CG105" i="7942"/>
  <c r="CH72" i="7942"/>
  <c r="AP66" i="7942"/>
  <c r="AO99" i="7942"/>
  <c r="CG94" i="7942"/>
  <c r="CH61" i="7942"/>
  <c r="S96" i="7942"/>
  <c r="T63" i="7942"/>
  <c r="CG81" i="7942"/>
  <c r="CH48" i="7942"/>
  <c r="BA65" i="7942"/>
  <c r="AZ98" i="7942"/>
  <c r="DD54" i="7942"/>
  <c r="DC87" i="7942"/>
  <c r="BW62" i="7942"/>
  <c r="BV95" i="7942"/>
  <c r="AO98" i="7942"/>
  <c r="AP65" i="7942"/>
  <c r="AO101" i="7942"/>
  <c r="AP68" i="7942"/>
  <c r="AP53" i="7942"/>
  <c r="AO86" i="7942"/>
  <c r="CR89" i="7942"/>
  <c r="CS56" i="7942"/>
  <c r="BL62" i="7942"/>
  <c r="BK95" i="7942"/>
  <c r="BL72" i="7942"/>
  <c r="BK105" i="7942"/>
  <c r="BL73" i="7942"/>
  <c r="BK106" i="7942"/>
  <c r="BA56" i="7942"/>
  <c r="AZ89" i="7942"/>
  <c r="H92" i="7942"/>
  <c r="I59" i="7942"/>
  <c r="H82" i="7942"/>
  <c r="I49" i="7942"/>
  <c r="AO106" i="7942"/>
  <c r="AP73" i="7942"/>
  <c r="AE71" i="7942"/>
  <c r="AD104" i="7942"/>
  <c r="T65" i="7942"/>
  <c r="S98" i="7942"/>
  <c r="CG103" i="7942"/>
  <c r="CH70" i="7942"/>
  <c r="BK104" i="7942"/>
  <c r="BL71" i="7942"/>
  <c r="BW52" i="7942"/>
  <c r="BV85" i="7942"/>
  <c r="BL51" i="7942"/>
  <c r="BK84" i="7942"/>
  <c r="BK88" i="7942"/>
  <c r="BL55" i="7942"/>
  <c r="BK103" i="7942"/>
  <c r="BL70" i="7942"/>
  <c r="CG87" i="7942"/>
  <c r="CH54" i="7942"/>
  <c r="BK96" i="7942"/>
  <c r="BL63" i="7942"/>
  <c r="T48" i="7942"/>
  <c r="S81" i="7942"/>
  <c r="I560" i="18" l="1"/>
  <c r="I599" i="18"/>
  <c r="I781" i="18"/>
  <c r="J781" i="18" s="1"/>
  <c r="I742" i="18"/>
  <c r="J742" i="18" s="1"/>
  <c r="I547" i="18"/>
  <c r="J547" i="18" s="1"/>
  <c r="I586" i="18"/>
  <c r="J586" i="18" s="1"/>
  <c r="K586" i="18" s="1"/>
  <c r="Q818" i="18"/>
  <c r="R818" i="18" s="1"/>
  <c r="R115" i="18"/>
  <c r="Q115" i="18"/>
  <c r="P766" i="18"/>
  <c r="Q180" i="18"/>
  <c r="Z649" i="18"/>
  <c r="N128" i="18"/>
  <c r="U219" i="18"/>
  <c r="U714" i="18"/>
  <c r="R831" i="18"/>
  <c r="P623" i="18"/>
  <c r="R271" i="18"/>
  <c r="S818" i="18"/>
  <c r="T818" i="18" s="1"/>
  <c r="U818" i="18" s="1"/>
  <c r="V818" i="18" s="1"/>
  <c r="U102" i="18"/>
  <c r="I833" i="18"/>
  <c r="N844" i="18"/>
  <c r="S831" i="18"/>
  <c r="T831" i="18" s="1"/>
  <c r="V102" i="18"/>
  <c r="P636" i="18"/>
  <c r="S427" i="18"/>
  <c r="T779" i="18"/>
  <c r="Q297" i="18"/>
  <c r="AA857" i="18"/>
  <c r="AB857" i="18"/>
  <c r="S271" i="18"/>
  <c r="Q349" i="18"/>
  <c r="O128" i="18"/>
  <c r="I729" i="18"/>
  <c r="J729" i="18" s="1"/>
  <c r="P388" i="18"/>
  <c r="S727" i="18"/>
  <c r="Z532" i="18"/>
  <c r="W597" i="18"/>
  <c r="T558" i="18"/>
  <c r="R310" i="18"/>
  <c r="Q141" i="18"/>
  <c r="U154" i="18"/>
  <c r="T154" i="18"/>
  <c r="S154" i="18"/>
  <c r="U414" i="18"/>
  <c r="W519" i="18"/>
  <c r="M53" i="7946"/>
  <c r="M78" i="7946"/>
  <c r="N76" i="7943"/>
  <c r="O167" i="18"/>
  <c r="R675" i="18"/>
  <c r="R805" i="18"/>
  <c r="Q805" i="18"/>
  <c r="X440" i="18"/>
  <c r="O336" i="18"/>
  <c r="P336" i="18"/>
  <c r="T375" i="18"/>
  <c r="U584" i="18"/>
  <c r="R662" i="18"/>
  <c r="V584" i="18"/>
  <c r="S675" i="18"/>
  <c r="U571" i="18"/>
  <c r="N323" i="18"/>
  <c r="N545" i="18"/>
  <c r="L53" i="24"/>
  <c r="M13" i="2"/>
  <c r="W232" i="18"/>
  <c r="V506" i="18"/>
  <c r="S206" i="18"/>
  <c r="U375" i="18"/>
  <c r="V375" i="18" s="1"/>
  <c r="W375" i="18" s="1"/>
  <c r="X375" i="18" s="1"/>
  <c r="P740" i="18"/>
  <c r="T753" i="18"/>
  <c r="R753" i="18"/>
  <c r="P245" i="18"/>
  <c r="Q480" i="18"/>
  <c r="S805" i="18"/>
  <c r="R792" i="18"/>
  <c r="P453" i="18"/>
  <c r="U610" i="18"/>
  <c r="S753" i="18"/>
  <c r="O323" i="18"/>
  <c r="W362" i="18"/>
  <c r="Q258" i="18"/>
  <c r="R258" i="18" s="1"/>
  <c r="V193" i="18"/>
  <c r="P401" i="18"/>
  <c r="P688" i="18"/>
  <c r="V414" i="18"/>
  <c r="W414" i="18" s="1"/>
  <c r="R284" i="18"/>
  <c r="P701" i="18"/>
  <c r="I690" i="18"/>
  <c r="J690" i="18" s="1"/>
  <c r="J22" i="2"/>
  <c r="J23" i="2" s="1"/>
  <c r="J25" i="2" s="1"/>
  <c r="I521" i="18"/>
  <c r="J521" i="18" s="1"/>
  <c r="I807" i="18"/>
  <c r="CG107" i="7942"/>
  <c r="I677" i="18"/>
  <c r="J677" i="18" s="1"/>
  <c r="K677" i="18" s="1"/>
  <c r="I820" i="18"/>
  <c r="J820" i="18" s="1"/>
  <c r="S107" i="7942"/>
  <c r="I846" i="18"/>
  <c r="J846" i="18" s="1"/>
  <c r="W495" i="18"/>
  <c r="I716" i="18"/>
  <c r="U65" i="7942"/>
  <c r="T98" i="7942"/>
  <c r="CH87" i="7942"/>
  <c r="CI54" i="7942"/>
  <c r="CS89" i="7942"/>
  <c r="CT56" i="7942"/>
  <c r="U63" i="7942"/>
  <c r="T96" i="7942"/>
  <c r="CI71" i="7942"/>
  <c r="CH104" i="7942"/>
  <c r="J54" i="7942"/>
  <c r="I87" i="7942"/>
  <c r="BB72" i="7942"/>
  <c r="BA105" i="7942"/>
  <c r="BM60" i="7942"/>
  <c r="BL93" i="7942"/>
  <c r="CS104" i="7942"/>
  <c r="CT71" i="7942"/>
  <c r="BL84" i="7942"/>
  <c r="BM51" i="7942"/>
  <c r="BW85" i="7942"/>
  <c r="BX52" i="7942"/>
  <c r="AE104" i="7942"/>
  <c r="AF71" i="7942"/>
  <c r="BB56" i="7942"/>
  <c r="BA89" i="7942"/>
  <c r="BW95" i="7942"/>
  <c r="BX62" i="7942"/>
  <c r="BW94" i="7942"/>
  <c r="BX61" i="7942"/>
  <c r="X495" i="18"/>
  <c r="H885" i="18"/>
  <c r="DD100" i="7942"/>
  <c r="DE67" i="7942"/>
  <c r="I638" i="18"/>
  <c r="J638" i="18" s="1"/>
  <c r="K638" i="18" s="1"/>
  <c r="H648" i="18"/>
  <c r="BM70" i="7942"/>
  <c r="BL103" i="7942"/>
  <c r="BL104" i="7942"/>
  <c r="BM71" i="7942"/>
  <c r="AQ73" i="7942"/>
  <c r="AP106" i="7942"/>
  <c r="CI61" i="7942"/>
  <c r="CH94" i="7942"/>
  <c r="T85" i="7942"/>
  <c r="U52" i="7942"/>
  <c r="H661" i="18"/>
  <c r="I651" i="18"/>
  <c r="J651" i="18" s="1"/>
  <c r="K651" i="18" s="1"/>
  <c r="BM62" i="7942"/>
  <c r="BL95" i="7942"/>
  <c r="BM73" i="7942"/>
  <c r="BL106" i="7942"/>
  <c r="AP86" i="7942"/>
  <c r="AQ53" i="7942"/>
  <c r="DE54" i="7942"/>
  <c r="DD87" i="7942"/>
  <c r="CT70" i="7942"/>
  <c r="CS103" i="7942"/>
  <c r="G24" i="2"/>
  <c r="G23" i="2"/>
  <c r="G25" i="2" s="1"/>
  <c r="CI52" i="7942"/>
  <c r="CH85" i="7942"/>
  <c r="J58" i="7942"/>
  <c r="I91" i="7942"/>
  <c r="CH92" i="7942"/>
  <c r="CI59" i="7942"/>
  <c r="BB53" i="7942"/>
  <c r="BA86" i="7942"/>
  <c r="DE64" i="7942"/>
  <c r="DD97" i="7942"/>
  <c r="BW103" i="7942"/>
  <c r="BX70" i="7942"/>
  <c r="DE72" i="7942"/>
  <c r="DD105" i="7942"/>
  <c r="T86" i="7942"/>
  <c r="U53" i="7942"/>
  <c r="DD104" i="7942"/>
  <c r="DE71" i="7942"/>
  <c r="H11" i="24"/>
  <c r="H7" i="7943"/>
  <c r="CH100" i="7942"/>
  <c r="CI67" i="7942"/>
  <c r="I97" i="7942"/>
  <c r="J64" i="7942"/>
  <c r="BL83" i="7942"/>
  <c r="BM50" i="7942"/>
  <c r="BX56" i="7942"/>
  <c r="BW89" i="7942"/>
  <c r="T88" i="7942"/>
  <c r="U55" i="7942"/>
  <c r="T82" i="7942"/>
  <c r="U49" i="7942"/>
  <c r="CH103" i="7942"/>
  <c r="CI70" i="7942"/>
  <c r="AP101" i="7942"/>
  <c r="AQ68" i="7942"/>
  <c r="T81" i="7942"/>
  <c r="U48" i="7942"/>
  <c r="BM72" i="7942"/>
  <c r="BL105" i="7942"/>
  <c r="BA98" i="7942"/>
  <c r="BB65" i="7942"/>
  <c r="AQ66" i="7942"/>
  <c r="AP99" i="7942"/>
  <c r="AF61" i="7942"/>
  <c r="AE94" i="7942"/>
  <c r="H544" i="18"/>
  <c r="I534" i="18"/>
  <c r="I90" i="7942"/>
  <c r="J57" i="7942"/>
  <c r="DD99" i="7942"/>
  <c r="DE66" i="7942"/>
  <c r="BB59" i="7942"/>
  <c r="BA92" i="7942"/>
  <c r="BM55" i="7942"/>
  <c r="BL88" i="7942"/>
  <c r="I82" i="7942"/>
  <c r="J49" i="7942"/>
  <c r="BM63" i="7942"/>
  <c r="BL96" i="7942"/>
  <c r="J59" i="7942"/>
  <c r="I92" i="7942"/>
  <c r="AP98" i="7942"/>
  <c r="AQ65" i="7942"/>
  <c r="CH81" i="7942"/>
  <c r="CI48" i="7942"/>
  <c r="CI72" i="7942"/>
  <c r="CH105" i="7942"/>
  <c r="AQ54" i="7942"/>
  <c r="AP87" i="7942"/>
  <c r="W508" i="18"/>
  <c r="X508" i="18" s="1"/>
  <c r="I23" i="2"/>
  <c r="I25" i="2" s="1"/>
  <c r="I24" i="2"/>
  <c r="I98" i="7942"/>
  <c r="J65" i="7942"/>
  <c r="AF55" i="7942"/>
  <c r="AE88" i="7942"/>
  <c r="DD94" i="7942"/>
  <c r="DE61" i="7942"/>
  <c r="BA93" i="7942"/>
  <c r="BB60" i="7942"/>
  <c r="I573" i="18"/>
  <c r="BA84" i="7942"/>
  <c r="BB51" i="7942"/>
  <c r="AF65" i="7942"/>
  <c r="AE98" i="7942"/>
  <c r="CS86" i="7942"/>
  <c r="CT53" i="7942"/>
  <c r="BL97" i="7942"/>
  <c r="BM64" i="7942"/>
  <c r="AQ64" i="7942"/>
  <c r="AP97" i="7942"/>
  <c r="DD102" i="7942"/>
  <c r="DE69" i="7942"/>
  <c r="BA101" i="7942"/>
  <c r="BB68" i="7942"/>
  <c r="BM68" i="7942"/>
  <c r="BL101" i="7942"/>
  <c r="CT66" i="7942"/>
  <c r="CS99" i="7942"/>
  <c r="BL102" i="7942"/>
  <c r="BM69" i="7942"/>
  <c r="AE101" i="7942"/>
  <c r="AF68" i="7942"/>
  <c r="DD81" i="7942"/>
  <c r="DE48" i="7942"/>
  <c r="AF56" i="7942"/>
  <c r="AE89" i="7942"/>
  <c r="AF50" i="7942"/>
  <c r="AE83" i="7942"/>
  <c r="AQ58" i="7942"/>
  <c r="AP91" i="7942"/>
  <c r="DD101" i="7942"/>
  <c r="DE68" i="7942"/>
  <c r="AF57" i="7942"/>
  <c r="AE90" i="7942"/>
  <c r="AQ63" i="7942"/>
  <c r="AP96" i="7942"/>
  <c r="CH99" i="7942"/>
  <c r="CI66" i="7942"/>
  <c r="BW100" i="7942"/>
  <c r="BX67" i="7942"/>
  <c r="BW88" i="7942"/>
  <c r="BX55" i="7942"/>
  <c r="BW105" i="7942"/>
  <c r="BX72" i="7942"/>
  <c r="BK107" i="7942"/>
  <c r="AF58" i="7942"/>
  <c r="AE91" i="7942"/>
  <c r="AE86" i="7942"/>
  <c r="AF53" i="7942"/>
  <c r="BM53" i="7942"/>
  <c r="BL86" i="7942"/>
  <c r="BW99" i="7942"/>
  <c r="BX66" i="7942"/>
  <c r="CS83" i="7942"/>
  <c r="CT50" i="7942"/>
  <c r="BX71" i="7942"/>
  <c r="BW104" i="7942"/>
  <c r="BA103" i="7942"/>
  <c r="BB70" i="7942"/>
  <c r="I768" i="18"/>
  <c r="J768" i="18" s="1"/>
  <c r="H778" i="18"/>
  <c r="I522" i="18"/>
  <c r="J522" i="18" s="1"/>
  <c r="I821" i="18"/>
  <c r="J821" i="18" s="1"/>
  <c r="I678" i="18"/>
  <c r="J678" i="18" s="1"/>
  <c r="K678" i="18" s="1"/>
  <c r="I561" i="18"/>
  <c r="J561" i="18" s="1"/>
  <c r="I834" i="18"/>
  <c r="I843" i="18" s="1"/>
  <c r="I587" i="18"/>
  <c r="I847" i="18"/>
  <c r="J847" i="18" s="1"/>
  <c r="K847" i="18" s="1"/>
  <c r="L847" i="18" s="1"/>
  <c r="M847" i="18" s="1"/>
  <c r="I808" i="18"/>
  <c r="J808" i="18" s="1"/>
  <c r="K808" i="18" s="1"/>
  <c r="I626" i="18"/>
  <c r="J626" i="18" s="1"/>
  <c r="I483" i="18"/>
  <c r="J483" i="18" s="1"/>
  <c r="I613" i="18"/>
  <c r="J613" i="18" s="1"/>
  <c r="I795" i="18"/>
  <c r="J795" i="18" s="1"/>
  <c r="K795" i="18" s="1"/>
  <c r="L795" i="18" s="1"/>
  <c r="I652" i="18"/>
  <c r="I661" i="18" s="1"/>
  <c r="I691" i="18"/>
  <c r="I756" i="18"/>
  <c r="I574" i="18"/>
  <c r="J574" i="18" s="1"/>
  <c r="I769" i="18"/>
  <c r="J769" i="18" s="1"/>
  <c r="I7" i="18"/>
  <c r="I782" i="18"/>
  <c r="J782" i="18" s="1"/>
  <c r="I730" i="18"/>
  <c r="J730" i="18" s="1"/>
  <c r="I535" i="18"/>
  <c r="J535" i="18" s="1"/>
  <c r="I717" i="18"/>
  <c r="J717" i="18" s="1"/>
  <c r="K717" i="18" s="1"/>
  <c r="I600" i="18"/>
  <c r="I609" i="18" s="1"/>
  <c r="I665" i="18"/>
  <c r="J665" i="18" s="1"/>
  <c r="I860" i="18"/>
  <c r="J860" i="18" s="1"/>
  <c r="I639" i="18"/>
  <c r="J639" i="18" s="1"/>
  <c r="K639" i="18" s="1"/>
  <c r="I743" i="18"/>
  <c r="J743" i="18" s="1"/>
  <c r="I548" i="18"/>
  <c r="J548" i="18" s="1"/>
  <c r="I704" i="18"/>
  <c r="I713" i="18" s="1"/>
  <c r="T496" i="18"/>
  <c r="Q496" i="18"/>
  <c r="L496" i="18"/>
  <c r="S496" i="18"/>
  <c r="W496" i="18"/>
  <c r="I496" i="18"/>
  <c r="U496" i="18"/>
  <c r="J496" i="18"/>
  <c r="N496" i="18"/>
  <c r="R496" i="18"/>
  <c r="V496" i="18"/>
  <c r="O496" i="18"/>
  <c r="I509" i="18"/>
  <c r="K496" i="18"/>
  <c r="P496" i="18"/>
  <c r="O509" i="18"/>
  <c r="K509" i="18"/>
  <c r="M496" i="18"/>
  <c r="L509" i="18"/>
  <c r="Q509" i="18"/>
  <c r="R509" i="18"/>
  <c r="P509" i="18"/>
  <c r="M509" i="18"/>
  <c r="U509" i="18"/>
  <c r="V509" i="18"/>
  <c r="T509" i="18"/>
  <c r="N509" i="18"/>
  <c r="S509" i="18"/>
  <c r="J509" i="18"/>
  <c r="W509" i="18"/>
  <c r="I755" i="18"/>
  <c r="J755" i="18" s="1"/>
  <c r="H765" i="18"/>
  <c r="AQ48" i="7942"/>
  <c r="AP81" i="7942"/>
  <c r="AP103" i="7942"/>
  <c r="AQ70" i="7942"/>
  <c r="AF70" i="7942"/>
  <c r="AE103" i="7942"/>
  <c r="BW96" i="7942"/>
  <c r="BX63" i="7942"/>
  <c r="CH93" i="7942"/>
  <c r="CI60" i="7942"/>
  <c r="AQ51" i="7942"/>
  <c r="AP84" i="7942"/>
  <c r="I99" i="7942"/>
  <c r="J66" i="7942"/>
  <c r="T97" i="7942"/>
  <c r="U64" i="7942"/>
  <c r="T95" i="7942"/>
  <c r="U62" i="7942"/>
  <c r="BB69" i="7942"/>
  <c r="BA102" i="7942"/>
  <c r="DC107" i="7942"/>
  <c r="CS98" i="7942"/>
  <c r="CT65" i="7942"/>
  <c r="BA91" i="7942"/>
  <c r="BB58" i="7942"/>
  <c r="DE56" i="7942"/>
  <c r="DD89" i="7942"/>
  <c r="I6" i="24"/>
  <c r="BA96" i="7942"/>
  <c r="BB63" i="7942"/>
  <c r="AQ60" i="7942"/>
  <c r="AP93" i="7942"/>
  <c r="CS93" i="7942"/>
  <c r="CT60" i="7942"/>
  <c r="BL81" i="7942"/>
  <c r="BM48" i="7942"/>
  <c r="BL85" i="7942"/>
  <c r="BM52" i="7942"/>
  <c r="BW82" i="7942"/>
  <c r="BX49" i="7942"/>
  <c r="AE81" i="7942"/>
  <c r="AF48" i="7942"/>
  <c r="AE95" i="7942"/>
  <c r="AF62" i="7942"/>
  <c r="BA94" i="7942"/>
  <c r="BB61" i="7942"/>
  <c r="J56" i="7942"/>
  <c r="I89" i="7942"/>
  <c r="I93" i="7942"/>
  <c r="J60" i="7942"/>
  <c r="CS94" i="7942"/>
  <c r="CT61" i="7942"/>
  <c r="CI53" i="7942"/>
  <c r="CH86" i="7942"/>
  <c r="I625" i="18"/>
  <c r="J625" i="18" s="1"/>
  <c r="K625" i="18" s="1"/>
  <c r="J560" i="18"/>
  <c r="AO107" i="7942"/>
  <c r="CH96" i="7942"/>
  <c r="CI63" i="7942"/>
  <c r="BL94" i="7942"/>
  <c r="BM61" i="7942"/>
  <c r="DE50" i="7942"/>
  <c r="DD83" i="7942"/>
  <c r="BW98" i="7942"/>
  <c r="BX65" i="7942"/>
  <c r="BA95" i="7942"/>
  <c r="BB62" i="7942"/>
  <c r="I95" i="7942"/>
  <c r="J62" i="7942"/>
  <c r="BX48" i="7942"/>
  <c r="BW81" i="7942"/>
  <c r="AE93" i="7942"/>
  <c r="AF60" i="7942"/>
  <c r="AZ107" i="7942"/>
  <c r="I85" i="7942"/>
  <c r="J52" i="7942"/>
  <c r="G7" i="7942"/>
  <c r="G44" i="7943" s="1"/>
  <c r="I104" i="7942"/>
  <c r="J71" i="7942"/>
  <c r="CI55" i="7942"/>
  <c r="CH88" i="7942"/>
  <c r="G73" i="7946"/>
  <c r="G80" i="7943"/>
  <c r="H78" i="7943"/>
  <c r="H73" i="7946" s="1"/>
  <c r="H98" i="7946" s="1"/>
  <c r="BB50" i="7942"/>
  <c r="BA83" i="7942"/>
  <c r="BB71" i="7942"/>
  <c r="BA104" i="7942"/>
  <c r="AQ72" i="7942"/>
  <c r="AP105" i="7942"/>
  <c r="T99" i="7942"/>
  <c r="U66" i="7942"/>
  <c r="H7" i="24"/>
  <c r="G41" i="24"/>
  <c r="G49" i="24"/>
  <c r="G32" i="24"/>
  <c r="G40" i="24"/>
  <c r="U58" i="7942"/>
  <c r="T91" i="7942"/>
  <c r="DE62" i="7942"/>
  <c r="DD95" i="7942"/>
  <c r="CS101" i="7942"/>
  <c r="CT68" i="7942"/>
  <c r="AE85" i="7942"/>
  <c r="AF52" i="7942"/>
  <c r="AD107" i="7942"/>
  <c r="CH98" i="7942"/>
  <c r="CI65" i="7942"/>
  <c r="AP94" i="7942"/>
  <c r="AQ61" i="7942"/>
  <c r="CT69" i="7942"/>
  <c r="CS102" i="7942"/>
  <c r="CT52" i="7942"/>
  <c r="CS85" i="7942"/>
  <c r="AF49" i="7942"/>
  <c r="AE82" i="7942"/>
  <c r="BL89" i="7942"/>
  <c r="BM56" i="7942"/>
  <c r="BM49" i="7942"/>
  <c r="BL82" i="7942"/>
  <c r="U51" i="7942"/>
  <c r="T84" i="7942"/>
  <c r="BX64" i="7942"/>
  <c r="BW97" i="7942"/>
  <c r="DE59" i="7942"/>
  <c r="DD92" i="7942"/>
  <c r="DD98" i="7942"/>
  <c r="DE65" i="7942"/>
  <c r="H143" i="18"/>
  <c r="H153" i="18" s="1"/>
  <c r="G36" i="18"/>
  <c r="G67" i="18" s="1"/>
  <c r="S78" i="18"/>
  <c r="I78" i="18"/>
  <c r="G33" i="18"/>
  <c r="G64" i="18" s="1"/>
  <c r="H182" i="18"/>
  <c r="H192" i="18" s="1"/>
  <c r="P78" i="18"/>
  <c r="G23" i="18"/>
  <c r="G54" i="18" s="1"/>
  <c r="AB78" i="18"/>
  <c r="G15" i="18"/>
  <c r="G46" i="18" s="1"/>
  <c r="H286" i="18"/>
  <c r="H296" i="18" s="1"/>
  <c r="U78" i="18"/>
  <c r="G16" i="18"/>
  <c r="G47" i="18" s="1"/>
  <c r="G39" i="18"/>
  <c r="G70" i="18" s="1"/>
  <c r="H195" i="18"/>
  <c r="G22" i="18"/>
  <c r="G53" i="18" s="1"/>
  <c r="H403" i="18"/>
  <c r="H413" i="18" s="1"/>
  <c r="H442" i="18"/>
  <c r="H452" i="18" s="1"/>
  <c r="G14" i="18"/>
  <c r="G45" i="18" s="1"/>
  <c r="G32" i="18"/>
  <c r="G63" i="18" s="1"/>
  <c r="M78" i="18"/>
  <c r="G11" i="18"/>
  <c r="G24" i="18"/>
  <c r="G55" i="18" s="1"/>
  <c r="AI78" i="18"/>
  <c r="G38" i="18"/>
  <c r="G69" i="18" s="1"/>
  <c r="H338" i="18"/>
  <c r="H348" i="18" s="1"/>
  <c r="H416" i="18"/>
  <c r="H426" i="18" s="1"/>
  <c r="H325" i="18"/>
  <c r="H335" i="18" s="1"/>
  <c r="T78" i="18"/>
  <c r="H247" i="18"/>
  <c r="I247" i="18" s="1"/>
  <c r="H377" i="18"/>
  <c r="H387" i="18" s="1"/>
  <c r="G29" i="18"/>
  <c r="G60" i="18" s="1"/>
  <c r="H156" i="18"/>
  <c r="H166" i="18" s="1"/>
  <c r="G30" i="18"/>
  <c r="G61" i="18" s="1"/>
  <c r="G37" i="18"/>
  <c r="G68" i="18" s="1"/>
  <c r="G25" i="18"/>
  <c r="G56" i="18" s="1"/>
  <c r="H234" i="18"/>
  <c r="H244" i="18" s="1"/>
  <c r="G18" i="18"/>
  <c r="G49" i="18" s="1"/>
  <c r="O78" i="18"/>
  <c r="H299" i="18"/>
  <c r="H309" i="18" s="1"/>
  <c r="H130" i="18"/>
  <c r="H140" i="18" s="1"/>
  <c r="AE78" i="18"/>
  <c r="Z78" i="18"/>
  <c r="G20" i="18"/>
  <c r="G51" i="18" s="1"/>
  <c r="G27" i="18"/>
  <c r="G58" i="18" s="1"/>
  <c r="H221" i="18"/>
  <c r="K78" i="18"/>
  <c r="AD78" i="18"/>
  <c r="H78" i="18"/>
  <c r="H364" i="18"/>
  <c r="H374" i="18" s="1"/>
  <c r="W78" i="18"/>
  <c r="N78" i="18"/>
  <c r="H208" i="18"/>
  <c r="H218" i="18" s="1"/>
  <c r="H117" i="18"/>
  <c r="AC78" i="18"/>
  <c r="H169" i="18"/>
  <c r="H179" i="18" s="1"/>
  <c r="H273" i="18"/>
  <c r="H283" i="18" s="1"/>
  <c r="AG78" i="18"/>
  <c r="G35" i="18"/>
  <c r="G66" i="18" s="1"/>
  <c r="G21" i="18"/>
  <c r="G52" i="18" s="1"/>
  <c r="V78" i="18"/>
  <c r="H260" i="18"/>
  <c r="G34" i="18"/>
  <c r="G65" i="18" s="1"/>
  <c r="R78" i="18"/>
  <c r="AF78" i="18"/>
  <c r="H390" i="18"/>
  <c r="H400" i="18" s="1"/>
  <c r="H429" i="18"/>
  <c r="H439" i="18" s="1"/>
  <c r="G40" i="18"/>
  <c r="G71" i="18" s="1"/>
  <c r="G17" i="18"/>
  <c r="G48" i="18" s="1"/>
  <c r="H455" i="18"/>
  <c r="H465" i="18" s="1"/>
  <c r="G19" i="18"/>
  <c r="G50" i="18" s="1"/>
  <c r="Y78" i="18"/>
  <c r="J78" i="18"/>
  <c r="G28" i="18"/>
  <c r="G59" i="18" s="1"/>
  <c r="AA78" i="18"/>
  <c r="G12" i="18"/>
  <c r="G43" i="18" s="1"/>
  <c r="AH78" i="18"/>
  <c r="H312" i="18"/>
  <c r="H322" i="18" s="1"/>
  <c r="H351" i="18"/>
  <c r="H361" i="18" s="1"/>
  <c r="X78" i="18"/>
  <c r="Q78" i="18"/>
  <c r="L78" i="18"/>
  <c r="G26" i="18"/>
  <c r="G57" i="18" s="1"/>
  <c r="G31" i="18"/>
  <c r="G62" i="18" s="1"/>
  <c r="AI104" i="18"/>
  <c r="M104" i="18"/>
  <c r="AC104" i="18"/>
  <c r="O104" i="18"/>
  <c r="N104" i="18"/>
  <c r="AH91" i="18"/>
  <c r="L91" i="18"/>
  <c r="Z91" i="18"/>
  <c r="AG91" i="18"/>
  <c r="I91" i="18"/>
  <c r="T104" i="18"/>
  <c r="M91" i="18"/>
  <c r="O91" i="18"/>
  <c r="AI91" i="18"/>
  <c r="T91" i="18"/>
  <c r="Y104" i="18"/>
  <c r="AG104" i="18"/>
  <c r="AE104" i="18"/>
  <c r="L104" i="18"/>
  <c r="Y91" i="18"/>
  <c r="U91" i="18"/>
  <c r="AD104" i="18"/>
  <c r="J104" i="18"/>
  <c r="Z104" i="18"/>
  <c r="AB91" i="18"/>
  <c r="AA91" i="18"/>
  <c r="X91" i="18"/>
  <c r="H104" i="18"/>
  <c r="H114" i="18" s="1"/>
  <c r="R104" i="18"/>
  <c r="AE91" i="18"/>
  <c r="R91" i="18"/>
  <c r="Q104" i="18"/>
  <c r="AF104" i="18"/>
  <c r="P91" i="18"/>
  <c r="S91" i="18"/>
  <c r="H91" i="18"/>
  <c r="W91" i="18"/>
  <c r="AB104" i="18"/>
  <c r="X104" i="18"/>
  <c r="N91" i="18"/>
  <c r="AC91" i="18"/>
  <c r="K91" i="18"/>
  <c r="AF91" i="18"/>
  <c r="AA104" i="18"/>
  <c r="U104" i="18"/>
  <c r="Q91" i="18"/>
  <c r="I104" i="18"/>
  <c r="AH104" i="18"/>
  <c r="V91" i="18"/>
  <c r="K104" i="18"/>
  <c r="V104" i="18"/>
  <c r="S104" i="18"/>
  <c r="AD91" i="18"/>
  <c r="W104" i="18"/>
  <c r="P104" i="18"/>
  <c r="J91" i="18"/>
  <c r="G13" i="18"/>
  <c r="G44" i="18" s="1"/>
  <c r="J70" i="7942"/>
  <c r="I103" i="7942"/>
  <c r="CH106" i="7942"/>
  <c r="CI73" i="7942"/>
  <c r="J24" i="2"/>
  <c r="CT54" i="7942"/>
  <c r="CS87" i="7942"/>
  <c r="BV107" i="7942"/>
  <c r="BB48" i="7942"/>
  <c r="BA81" i="7942"/>
  <c r="BA90" i="7942"/>
  <c r="BB57" i="7942"/>
  <c r="AE100" i="7942"/>
  <c r="AF67" i="7942"/>
  <c r="G21" i="7946"/>
  <c r="H60" i="7943"/>
  <c r="G21" i="7945"/>
  <c r="AE105" i="7942"/>
  <c r="AF72" i="7942"/>
  <c r="AE84" i="7942"/>
  <c r="AF51" i="7942"/>
  <c r="CH95" i="7942"/>
  <c r="CI62" i="7942"/>
  <c r="BX51" i="7942"/>
  <c r="BW84" i="7942"/>
  <c r="DE49" i="7942"/>
  <c r="DD82" i="7942"/>
  <c r="DE60" i="7942"/>
  <c r="DD93" i="7942"/>
  <c r="AP104" i="7942"/>
  <c r="AQ71" i="7942"/>
  <c r="J69" i="7942"/>
  <c r="I102" i="7942"/>
  <c r="U59" i="7942"/>
  <c r="T92" i="7942"/>
  <c r="J67" i="7942"/>
  <c r="I100" i="7942"/>
  <c r="T94" i="7942"/>
  <c r="U61" i="7942"/>
  <c r="U67" i="7942"/>
  <c r="T100" i="7942"/>
  <c r="CS82" i="7942"/>
  <c r="CT49" i="7942"/>
  <c r="CT58" i="7942"/>
  <c r="CS91" i="7942"/>
  <c r="CS106" i="7942"/>
  <c r="CT73" i="7942"/>
  <c r="CI68" i="7942"/>
  <c r="CH101" i="7942"/>
  <c r="BM67" i="7942"/>
  <c r="BL100" i="7942"/>
  <c r="AE96" i="7942"/>
  <c r="AF63" i="7942"/>
  <c r="AF69" i="7942"/>
  <c r="AE102" i="7942"/>
  <c r="J599" i="18"/>
  <c r="J833" i="18"/>
  <c r="BB49" i="7942"/>
  <c r="BA82" i="7942"/>
  <c r="U57" i="7942"/>
  <c r="T90" i="7942"/>
  <c r="BA85" i="7942"/>
  <c r="BB52" i="7942"/>
  <c r="DE73" i="7942"/>
  <c r="DD106" i="7942"/>
  <c r="AP83" i="7942"/>
  <c r="AQ50" i="7942"/>
  <c r="DD85" i="7942"/>
  <c r="DE52" i="7942"/>
  <c r="AQ67" i="7942"/>
  <c r="AP100" i="7942"/>
  <c r="AE106" i="7942"/>
  <c r="AF73" i="7942"/>
  <c r="U54" i="7942"/>
  <c r="T87" i="7942"/>
  <c r="I105" i="7942"/>
  <c r="J72" i="7942"/>
  <c r="DD86" i="7942"/>
  <c r="DE53" i="7942"/>
  <c r="BL91" i="7942"/>
  <c r="BM58" i="7942"/>
  <c r="J73" i="7942"/>
  <c r="I106" i="7942"/>
  <c r="AQ52" i="7942"/>
  <c r="AP85" i="7942"/>
  <c r="J48" i="7942"/>
  <c r="I81" i="7942"/>
  <c r="CT67" i="7942"/>
  <c r="CS100" i="7942"/>
  <c r="CS81" i="7942"/>
  <c r="CT48" i="7942"/>
  <c r="J10" i="24"/>
  <c r="K14" i="2"/>
  <c r="J15" i="2"/>
  <c r="J19" i="2" s="1"/>
  <c r="J18" i="2"/>
  <c r="T101" i="7942"/>
  <c r="U68" i="7942"/>
  <c r="AE92" i="7942"/>
  <c r="AF59" i="7942"/>
  <c r="BM65" i="7942"/>
  <c r="BL98" i="7942"/>
  <c r="BW83" i="7942"/>
  <c r="BX50" i="7942"/>
  <c r="CI50" i="7942"/>
  <c r="CH83" i="7942"/>
  <c r="J51" i="7942"/>
  <c r="I84" i="7942"/>
  <c r="BX57" i="7942"/>
  <c r="BW90" i="7942"/>
  <c r="J63" i="7942"/>
  <c r="I96" i="7942"/>
  <c r="BM57" i="7942"/>
  <c r="BL90" i="7942"/>
  <c r="I482" i="18"/>
  <c r="J482" i="18" s="1"/>
  <c r="H492" i="18"/>
  <c r="I794" i="18"/>
  <c r="AE87" i="7942"/>
  <c r="AF54" i="7942"/>
  <c r="U72" i="7942"/>
  <c r="T105" i="7942"/>
  <c r="BW101" i="7942"/>
  <c r="BX68" i="7942"/>
  <c r="BA87" i="7942"/>
  <c r="BB54" i="7942"/>
  <c r="T83" i="7942"/>
  <c r="U50" i="7942"/>
  <c r="G84" i="7946"/>
  <c r="G85" i="7946" s="1"/>
  <c r="H59" i="7946"/>
  <c r="G60" i="7946"/>
  <c r="AP102" i="7942"/>
  <c r="AQ69" i="7942"/>
  <c r="CH102" i="7942"/>
  <c r="CI69" i="7942"/>
  <c r="BW92" i="7942"/>
  <c r="BX59" i="7942"/>
  <c r="H107" i="7942"/>
  <c r="BB66" i="7942"/>
  <c r="BA99" i="7942"/>
  <c r="CH90" i="7942"/>
  <c r="CI57" i="7942"/>
  <c r="BX58" i="7942"/>
  <c r="BW91" i="7942"/>
  <c r="DE58" i="7942"/>
  <c r="DD91" i="7942"/>
  <c r="CR107" i="7942"/>
  <c r="CH91" i="7942"/>
  <c r="CI58" i="7942"/>
  <c r="AP90" i="7942"/>
  <c r="AQ57" i="7942"/>
  <c r="U69" i="7942"/>
  <c r="T102" i="7942"/>
  <c r="DE70" i="7942"/>
  <c r="DD103" i="7942"/>
  <c r="CS105" i="7942"/>
  <c r="CT72" i="7942"/>
  <c r="DE55" i="7942"/>
  <c r="DD88" i="7942"/>
  <c r="H24" i="2"/>
  <c r="H23" i="2"/>
  <c r="DE51" i="7942"/>
  <c r="DD84" i="7942"/>
  <c r="J61" i="7942"/>
  <c r="I94" i="7942"/>
  <c r="CI51" i="7942"/>
  <c r="CH84" i="7942"/>
  <c r="BM59" i="7942"/>
  <c r="BL92" i="7942"/>
  <c r="DE63" i="7942"/>
  <c r="DD96" i="7942"/>
  <c r="J50" i="7942"/>
  <c r="I83" i="7942"/>
  <c r="CS92" i="7942"/>
  <c r="CT59" i="7942"/>
  <c r="BX53" i="7942"/>
  <c r="BW86" i="7942"/>
  <c r="K703" i="18"/>
  <c r="I859" i="18"/>
  <c r="H869" i="18"/>
  <c r="I612" i="18"/>
  <c r="I664" i="18"/>
  <c r="H674" i="18"/>
  <c r="BL99" i="7942"/>
  <c r="BM66" i="7942"/>
  <c r="BX73" i="7942"/>
  <c r="BW106" i="7942"/>
  <c r="BA97" i="7942"/>
  <c r="BB64" i="7942"/>
  <c r="AP82" i="7942"/>
  <c r="AQ49" i="7942"/>
  <c r="AQ55" i="7942"/>
  <c r="AP88" i="7942"/>
  <c r="BB55" i="7942"/>
  <c r="BA88" i="7942"/>
  <c r="U70" i="7942"/>
  <c r="T103" i="7942"/>
  <c r="AP95" i="7942"/>
  <c r="AQ62" i="7942"/>
  <c r="U71" i="7942"/>
  <c r="T104" i="7942"/>
  <c r="CT57" i="7942"/>
  <c r="CS90" i="7942"/>
  <c r="CH97" i="7942"/>
  <c r="CI64" i="7942"/>
  <c r="BX60" i="7942"/>
  <c r="BW93" i="7942"/>
  <c r="DD90" i="7942"/>
  <c r="DE57" i="7942"/>
  <c r="CS96" i="7942"/>
  <c r="CT63" i="7942"/>
  <c r="I19" i="2"/>
  <c r="AQ59" i="7942"/>
  <c r="AP92" i="7942"/>
  <c r="T89" i="7942"/>
  <c r="U56" i="7942"/>
  <c r="AP89" i="7942"/>
  <c r="AQ56" i="7942"/>
  <c r="CS84" i="7942"/>
  <c r="CT51" i="7942"/>
  <c r="BX54" i="7942"/>
  <c r="BW87" i="7942"/>
  <c r="J55" i="7942"/>
  <c r="I88" i="7942"/>
  <c r="BB67" i="7942"/>
  <c r="BA100" i="7942"/>
  <c r="J68" i="7942"/>
  <c r="I101" i="7942"/>
  <c r="AE97" i="7942"/>
  <c r="AF64" i="7942"/>
  <c r="G11" i="24"/>
  <c r="G12" i="24" s="1"/>
  <c r="G7" i="7943"/>
  <c r="G8" i="7943" s="1"/>
  <c r="CS97" i="7942"/>
  <c r="CT64" i="7942"/>
  <c r="M79" i="18"/>
  <c r="S79" i="18"/>
  <c r="H19" i="18"/>
  <c r="H50" i="18" s="1"/>
  <c r="AG79" i="18"/>
  <c r="H27" i="18"/>
  <c r="H58" i="18" s="1"/>
  <c r="I300" i="18"/>
  <c r="J300" i="18" s="1"/>
  <c r="I183" i="18"/>
  <c r="J183" i="18" s="1"/>
  <c r="P79" i="18"/>
  <c r="I391" i="18"/>
  <c r="J391" i="18" s="1"/>
  <c r="K391" i="18" s="1"/>
  <c r="I118" i="18"/>
  <c r="H31" i="18"/>
  <c r="H62" i="18" s="1"/>
  <c r="I404" i="18"/>
  <c r="J404" i="18" s="1"/>
  <c r="K404" i="18" s="1"/>
  <c r="L404" i="18" s="1"/>
  <c r="M404" i="18" s="1"/>
  <c r="H15" i="18"/>
  <c r="H46" i="18" s="1"/>
  <c r="I261" i="18"/>
  <c r="J261" i="18" s="1"/>
  <c r="K261" i="18" s="1"/>
  <c r="AF79" i="18"/>
  <c r="I352" i="18"/>
  <c r="J352" i="18" s="1"/>
  <c r="K352" i="18" s="1"/>
  <c r="I196" i="18"/>
  <c r="J196" i="18" s="1"/>
  <c r="I443" i="18"/>
  <c r="I287" i="18"/>
  <c r="J287" i="18" s="1"/>
  <c r="I131" i="18"/>
  <c r="J131" i="18" s="1"/>
  <c r="K131" i="18" s="1"/>
  <c r="L131" i="18" s="1"/>
  <c r="I157" i="18"/>
  <c r="J157" i="18" s="1"/>
  <c r="H12" i="18"/>
  <c r="H43" i="18" s="1"/>
  <c r="W79" i="18"/>
  <c r="H17" i="18"/>
  <c r="H48" i="18" s="1"/>
  <c r="U79" i="18"/>
  <c r="V79" i="18"/>
  <c r="I456" i="18"/>
  <c r="J456" i="18" s="1"/>
  <c r="L79" i="18"/>
  <c r="H22" i="18"/>
  <c r="H53" i="18" s="1"/>
  <c r="H28" i="18"/>
  <c r="H59" i="18" s="1"/>
  <c r="H16" i="18"/>
  <c r="H47" i="18" s="1"/>
  <c r="H29" i="18"/>
  <c r="H60" i="18" s="1"/>
  <c r="I339" i="18"/>
  <c r="H26" i="18"/>
  <c r="H57" i="18" s="1"/>
  <c r="I417" i="18"/>
  <c r="J417" i="18" s="1"/>
  <c r="H23" i="18"/>
  <c r="H54" i="18" s="1"/>
  <c r="AI79" i="18"/>
  <c r="H38" i="18"/>
  <c r="H69" i="18" s="1"/>
  <c r="I170" i="18"/>
  <c r="J170" i="18" s="1"/>
  <c r="K170" i="18" s="1"/>
  <c r="I209" i="18"/>
  <c r="J209" i="18" s="1"/>
  <c r="H39" i="18"/>
  <c r="H70" i="18" s="1"/>
  <c r="R79" i="18"/>
  <c r="AD79" i="18"/>
  <c r="H37" i="18"/>
  <c r="H68" i="18" s="1"/>
  <c r="H32" i="18"/>
  <c r="H63" i="18" s="1"/>
  <c r="I365" i="18"/>
  <c r="J365" i="18" s="1"/>
  <c r="H18" i="18"/>
  <c r="H49" i="18" s="1"/>
  <c r="H24" i="18"/>
  <c r="H55" i="18" s="1"/>
  <c r="I313" i="18"/>
  <c r="Q79" i="18"/>
  <c r="X79" i="18"/>
  <c r="I326" i="18"/>
  <c r="J326" i="18" s="1"/>
  <c r="Z79" i="18"/>
  <c r="I144" i="18"/>
  <c r="J144" i="18" s="1"/>
  <c r="H34" i="18"/>
  <c r="H65" i="18" s="1"/>
  <c r="J79" i="18"/>
  <c r="I79" i="18"/>
  <c r="H36" i="18"/>
  <c r="H67" i="18" s="1"/>
  <c r="AB79" i="18"/>
  <c r="I235" i="18"/>
  <c r="J235" i="18" s="1"/>
  <c r="K235" i="18" s="1"/>
  <c r="H35" i="18"/>
  <c r="H66" i="18" s="1"/>
  <c r="AC79" i="18"/>
  <c r="N79" i="18"/>
  <c r="AA79" i="18"/>
  <c r="H20" i="18"/>
  <c r="H51" i="18" s="1"/>
  <c r="AE79" i="18"/>
  <c r="H40" i="18"/>
  <c r="H71" i="18" s="1"/>
  <c r="K79" i="18"/>
  <c r="I378" i="18"/>
  <c r="J378" i="18" s="1"/>
  <c r="I430" i="18"/>
  <c r="J430" i="18" s="1"/>
  <c r="K430" i="18" s="1"/>
  <c r="L430" i="18" s="1"/>
  <c r="H21" i="18"/>
  <c r="H52" i="18" s="1"/>
  <c r="H14" i="18"/>
  <c r="H45" i="18" s="1"/>
  <c r="I274" i="18"/>
  <c r="J274" i="18" s="1"/>
  <c r="H30" i="18"/>
  <c r="H61" i="18" s="1"/>
  <c r="I222" i="18"/>
  <c r="J222" i="18" s="1"/>
  <c r="H11" i="18"/>
  <c r="AH79" i="18"/>
  <c r="H33" i="18"/>
  <c r="H64" i="18" s="1"/>
  <c r="H25" i="18"/>
  <c r="H56" i="18" s="1"/>
  <c r="T79" i="18"/>
  <c r="I248" i="18"/>
  <c r="J248" i="18" s="1"/>
  <c r="K248" i="18" s="1"/>
  <c r="L248" i="18" s="1"/>
  <c r="Y79" i="18"/>
  <c r="O79" i="18"/>
  <c r="AJ79" i="18"/>
  <c r="R92" i="18"/>
  <c r="Q92" i="18"/>
  <c r="S92" i="18"/>
  <c r="J92" i="18"/>
  <c r="K105" i="18"/>
  <c r="W105" i="18"/>
  <c r="J105" i="18"/>
  <c r="AG92" i="18"/>
  <c r="AF92" i="18"/>
  <c r="AI92" i="18"/>
  <c r="K92" i="18"/>
  <c r="AE92" i="18"/>
  <c r="Q105" i="18"/>
  <c r="AD92" i="18"/>
  <c r="M92" i="18"/>
  <c r="V92" i="18"/>
  <c r="U92" i="18"/>
  <c r="AH105" i="18"/>
  <c r="M105" i="18"/>
  <c r="Z92" i="18"/>
  <c r="T92" i="18"/>
  <c r="I92" i="18"/>
  <c r="AB92" i="18"/>
  <c r="S105" i="18"/>
  <c r="Z105" i="18"/>
  <c r="AA92" i="18"/>
  <c r="AD105" i="18"/>
  <c r="AC105" i="18"/>
  <c r="AE105" i="18"/>
  <c r="AG105" i="18"/>
  <c r="L105" i="18"/>
  <c r="Y105" i="18"/>
  <c r="N92" i="18"/>
  <c r="AC92" i="18"/>
  <c r="L92" i="18"/>
  <c r="X92" i="18"/>
  <c r="AJ92" i="18"/>
  <c r="W92" i="18"/>
  <c r="X105" i="18"/>
  <c r="Y92" i="18"/>
  <c r="P92" i="18"/>
  <c r="O92" i="18"/>
  <c r="AH92" i="18"/>
  <c r="N105" i="18"/>
  <c r="O105" i="18"/>
  <c r="T105" i="18"/>
  <c r="R105" i="18"/>
  <c r="I105" i="18"/>
  <c r="V105" i="18"/>
  <c r="AB105" i="18"/>
  <c r="AI105" i="18"/>
  <c r="AF105" i="18"/>
  <c r="AA105" i="18"/>
  <c r="AJ105" i="18"/>
  <c r="P105" i="18"/>
  <c r="H13" i="18"/>
  <c r="H44" i="18" s="1"/>
  <c r="U105" i="18"/>
  <c r="BB73" i="7942"/>
  <c r="BA106" i="7942"/>
  <c r="H884" i="18"/>
  <c r="AE99" i="7942"/>
  <c r="AF66" i="7942"/>
  <c r="CH82" i="7942"/>
  <c r="CI49" i="7942"/>
  <c r="CT62" i="7942"/>
  <c r="CS95" i="7942"/>
  <c r="I86" i="7942"/>
  <c r="J53" i="7942"/>
  <c r="CI56" i="7942"/>
  <c r="CH89" i="7942"/>
  <c r="CS88" i="7942"/>
  <c r="CT55" i="7942"/>
  <c r="T106" i="7942"/>
  <c r="U73" i="7942"/>
  <c r="BW102" i="7942"/>
  <c r="BX69" i="7942"/>
  <c r="BM54" i="7942"/>
  <c r="BL87" i="7942"/>
  <c r="T93" i="7942"/>
  <c r="U60" i="7942"/>
  <c r="I37" i="2" l="1"/>
  <c r="I596" i="18"/>
  <c r="K742" i="18"/>
  <c r="L742" i="18" s="1"/>
  <c r="I143" i="18"/>
  <c r="J143" i="18" s="1"/>
  <c r="I739" i="18"/>
  <c r="I403" i="18"/>
  <c r="I413" i="18" s="1"/>
  <c r="J600" i="18"/>
  <c r="K600" i="18" s="1"/>
  <c r="K690" i="18"/>
  <c r="L690" i="18" s="1"/>
  <c r="M690" i="18" s="1"/>
  <c r="K729" i="18"/>
  <c r="I884" i="18"/>
  <c r="I531" i="18"/>
  <c r="K521" i="18"/>
  <c r="I557" i="18"/>
  <c r="I752" i="18"/>
  <c r="I856" i="18"/>
  <c r="I286" i="18"/>
  <c r="J286" i="18" s="1"/>
  <c r="L678" i="18"/>
  <c r="K846" i="18"/>
  <c r="L846" i="18" s="1"/>
  <c r="G37" i="2"/>
  <c r="I726" i="18"/>
  <c r="I325" i="18"/>
  <c r="I335" i="18" s="1"/>
  <c r="K222" i="18"/>
  <c r="L222" i="18" s="1"/>
  <c r="K300" i="18"/>
  <c r="L300" i="18" s="1"/>
  <c r="M300" i="18" s="1"/>
  <c r="I182" i="18"/>
  <c r="J182" i="18" s="1"/>
  <c r="I377" i="18"/>
  <c r="J377" i="18" s="1"/>
  <c r="I299" i="18"/>
  <c r="J299" i="18" s="1"/>
  <c r="I208" i="18"/>
  <c r="J208" i="18" s="1"/>
  <c r="K208" i="18" s="1"/>
  <c r="J834" i="18"/>
  <c r="K834" i="18" s="1"/>
  <c r="L834" i="18" s="1"/>
  <c r="L261" i="18"/>
  <c r="M261" i="18" s="1"/>
  <c r="I700" i="18"/>
  <c r="I156" i="18"/>
  <c r="J156" i="18" s="1"/>
  <c r="H8" i="7943"/>
  <c r="I8" i="7943" s="1"/>
  <c r="I687" i="18"/>
  <c r="I234" i="18"/>
  <c r="J234" i="18" s="1"/>
  <c r="I570" i="18"/>
  <c r="X414" i="18"/>
  <c r="V805" i="18"/>
  <c r="S258" i="18"/>
  <c r="T258" i="18" s="1"/>
  <c r="U258" i="18" s="1"/>
  <c r="V258" i="18" s="1"/>
  <c r="W258" i="18" s="1"/>
  <c r="V610" i="18"/>
  <c r="X232" i="18"/>
  <c r="Y232" i="18" s="1"/>
  <c r="Z232" i="18" s="1"/>
  <c r="AA232" i="18" s="1"/>
  <c r="AB232" i="18" s="1"/>
  <c r="AC232" i="18" s="1"/>
  <c r="AD232" i="18" s="1"/>
  <c r="AE232" i="18" s="1"/>
  <c r="AF232" i="18" s="1"/>
  <c r="AG232" i="18" s="1"/>
  <c r="AH232" i="18" s="1"/>
  <c r="AI232" i="18" s="1"/>
  <c r="AJ232" i="18" s="1"/>
  <c r="AK232" i="18" s="1"/>
  <c r="AL232" i="18" s="1"/>
  <c r="AM232" i="18" s="1"/>
  <c r="AN232" i="18" s="1"/>
  <c r="AO232" i="18" s="1"/>
  <c r="AP232" i="18" s="1"/>
  <c r="AQ232" i="18" s="1"/>
  <c r="AR232" i="18" s="1"/>
  <c r="AS232" i="18" s="1"/>
  <c r="AT232" i="18" s="1"/>
  <c r="AU232" i="18" s="1"/>
  <c r="AV232" i="18" s="1"/>
  <c r="AW232" i="18" s="1"/>
  <c r="AX232" i="18" s="1"/>
  <c r="AY232" i="18" s="1"/>
  <c r="AZ232" i="18" s="1"/>
  <c r="BA232" i="18" s="1"/>
  <c r="BB232" i="18" s="1"/>
  <c r="BC232" i="18" s="1"/>
  <c r="BD232" i="18" s="1"/>
  <c r="BE232" i="18" s="1"/>
  <c r="BF232" i="18" s="1"/>
  <c r="BG232" i="18" s="1"/>
  <c r="BH232" i="18" s="1"/>
  <c r="BI232" i="18" s="1"/>
  <c r="U805" i="18"/>
  <c r="T805" i="18"/>
  <c r="U753" i="18"/>
  <c r="T206" i="18"/>
  <c r="I416" i="18"/>
  <c r="I426" i="18" s="1"/>
  <c r="J691" i="18"/>
  <c r="K691" i="18" s="1"/>
  <c r="K613" i="18"/>
  <c r="X362" i="18"/>
  <c r="R245" i="18"/>
  <c r="S245" i="18" s="1"/>
  <c r="T245" i="18" s="1"/>
  <c r="U245" i="18" s="1"/>
  <c r="V245" i="18" s="1"/>
  <c r="W245" i="18" s="1"/>
  <c r="X245" i="18" s="1"/>
  <c r="Q740" i="18"/>
  <c r="R740" i="18" s="1"/>
  <c r="W506" i="18"/>
  <c r="R480" i="18"/>
  <c r="Y375" i="18"/>
  <c r="P167" i="18"/>
  <c r="W284" i="18"/>
  <c r="S284" i="18"/>
  <c r="U284" i="18"/>
  <c r="V284" i="18" s="1"/>
  <c r="Q688" i="18"/>
  <c r="O545" i="18"/>
  <c r="W818" i="18"/>
  <c r="X818" i="18" s="1"/>
  <c r="Y818" i="18" s="1"/>
  <c r="Z818" i="18" s="1"/>
  <c r="AA818" i="18" s="1"/>
  <c r="AB818" i="18" s="1"/>
  <c r="AC818" i="18" s="1"/>
  <c r="AD818" i="18" s="1"/>
  <c r="AE818" i="18" s="1"/>
  <c r="AF818" i="18" s="1"/>
  <c r="AG818" i="18" s="1"/>
  <c r="AH818" i="18" s="1"/>
  <c r="AI818" i="18" s="1"/>
  <c r="AJ818" i="18" s="1"/>
  <c r="AK818" i="18" s="1"/>
  <c r="AL818" i="18" s="1"/>
  <c r="AM818" i="18" s="1"/>
  <c r="AN818" i="18" s="1"/>
  <c r="AO818" i="18" s="1"/>
  <c r="AP818" i="18" s="1"/>
  <c r="AQ818" i="18" s="1"/>
  <c r="AR818" i="18" s="1"/>
  <c r="AS818" i="18" s="1"/>
  <c r="AT818" i="18" s="1"/>
  <c r="AU818" i="18" s="1"/>
  <c r="Y414" i="18"/>
  <c r="Z414" i="18"/>
  <c r="AA414" i="18" s="1"/>
  <c r="Q245" i="18"/>
  <c r="T284" i="18"/>
  <c r="Y440" i="18"/>
  <c r="Z440" i="18"/>
  <c r="AA440" i="18" s="1"/>
  <c r="AB440" i="18" s="1"/>
  <c r="AC440" i="18" s="1"/>
  <c r="AD440" i="18" s="1"/>
  <c r="AE440" i="18" s="1"/>
  <c r="AF440" i="18" s="1"/>
  <c r="AG440" i="18" s="1"/>
  <c r="AH440" i="18" s="1"/>
  <c r="N53" i="7946"/>
  <c r="N78" i="7946"/>
  <c r="O76" i="7943"/>
  <c r="I817" i="18"/>
  <c r="Q701" i="18"/>
  <c r="R701" i="18"/>
  <c r="Q453" i="18"/>
  <c r="P323" i="18"/>
  <c r="Z375" i="18"/>
  <c r="AA375" i="18" s="1"/>
  <c r="AB375" i="18" s="1"/>
  <c r="AC375" i="18" s="1"/>
  <c r="AD375" i="18" s="1"/>
  <c r="AE375" i="18" s="1"/>
  <c r="AF375" i="18" s="1"/>
  <c r="AG375" i="18" s="1"/>
  <c r="AH375" i="18" s="1"/>
  <c r="AI375" i="18" s="1"/>
  <c r="AJ375" i="18" s="1"/>
  <c r="AK375" i="18" s="1"/>
  <c r="AL375" i="18" s="1"/>
  <c r="AM375" i="18" s="1"/>
  <c r="AN375" i="18" s="1"/>
  <c r="AO375" i="18" s="1"/>
  <c r="AP375" i="18" s="1"/>
  <c r="AQ375" i="18" s="1"/>
  <c r="AR375" i="18" s="1"/>
  <c r="AS375" i="18" s="1"/>
  <c r="AT375" i="18" s="1"/>
  <c r="AU375" i="18" s="1"/>
  <c r="AV375" i="18" s="1"/>
  <c r="AW375" i="18" s="1"/>
  <c r="AX375" i="18" s="1"/>
  <c r="AY375" i="18" s="1"/>
  <c r="AZ375" i="18" s="1"/>
  <c r="BA375" i="18" s="1"/>
  <c r="BB375" i="18" s="1"/>
  <c r="BC375" i="18" s="1"/>
  <c r="BD375" i="18" s="1"/>
  <c r="BE375" i="18" s="1"/>
  <c r="BF375" i="18" s="1"/>
  <c r="BG375" i="18" s="1"/>
  <c r="Y258" i="18"/>
  <c r="Z258" i="18" s="1"/>
  <c r="AA258" i="18" s="1"/>
  <c r="AB258" i="18" s="1"/>
  <c r="AC258" i="18" s="1"/>
  <c r="AD258" i="18" s="1"/>
  <c r="AE258" i="18" s="1"/>
  <c r="AF258" i="18" s="1"/>
  <c r="AG258" i="18" s="1"/>
  <c r="AH258" i="18" s="1"/>
  <c r="AI258" i="18" s="1"/>
  <c r="AJ258" i="18" s="1"/>
  <c r="AK258" i="18" s="1"/>
  <c r="AL258" i="18" s="1"/>
  <c r="AM258" i="18" s="1"/>
  <c r="AN258" i="18" s="1"/>
  <c r="AO258" i="18" s="1"/>
  <c r="AP258" i="18" s="1"/>
  <c r="AQ258" i="18" s="1"/>
  <c r="AR258" i="18" s="1"/>
  <c r="AS258" i="18" s="1"/>
  <c r="AT258" i="18" s="1"/>
  <c r="AU258" i="18" s="1"/>
  <c r="AV258" i="18" s="1"/>
  <c r="AW258" i="18" s="1"/>
  <c r="AX258" i="18" s="1"/>
  <c r="AY258" i="18" s="1"/>
  <c r="AZ258" i="18" s="1"/>
  <c r="BA258" i="18" s="1"/>
  <c r="BB258" i="18" s="1"/>
  <c r="BC258" i="18" s="1"/>
  <c r="BD258" i="18" s="1"/>
  <c r="BE258" i="18" s="1"/>
  <c r="BF258" i="18" s="1"/>
  <c r="BG258" i="18" s="1"/>
  <c r="BH258" i="18" s="1"/>
  <c r="BI258" i="18" s="1"/>
  <c r="X258" i="18"/>
  <c r="S792" i="18"/>
  <c r="Q401" i="18"/>
  <c r="W193" i="18"/>
  <c r="W610" i="18"/>
  <c r="V675" i="18"/>
  <c r="W675" i="18" s="1"/>
  <c r="X675" i="18" s="1"/>
  <c r="Y675" i="18" s="1"/>
  <c r="Z675" i="18" s="1"/>
  <c r="S662" i="18"/>
  <c r="T727" i="18"/>
  <c r="AC857" i="18"/>
  <c r="AD857" i="18"/>
  <c r="AE857" i="18"/>
  <c r="AF857" i="18" s="1"/>
  <c r="T427" i="18"/>
  <c r="Q636" i="18"/>
  <c r="AA532" i="18"/>
  <c r="R623" i="18"/>
  <c r="AA649" i="18"/>
  <c r="V714" i="18"/>
  <c r="Z597" i="18"/>
  <c r="Q388" i="18"/>
  <c r="R297" i="18"/>
  <c r="U779" i="18"/>
  <c r="U558" i="18"/>
  <c r="V219" i="18"/>
  <c r="P128" i="18"/>
  <c r="Q623" i="18"/>
  <c r="S349" i="18"/>
  <c r="T349" i="18" s="1"/>
  <c r="U349" i="18" s="1"/>
  <c r="V349" i="18" s="1"/>
  <c r="U427" i="18"/>
  <c r="V427" i="18" s="1"/>
  <c r="W427" i="18" s="1"/>
  <c r="W102" i="18"/>
  <c r="M53" i="24"/>
  <c r="N13" i="2"/>
  <c r="V154" i="18"/>
  <c r="V779" i="18"/>
  <c r="S115" i="18"/>
  <c r="W584" i="18"/>
  <c r="S310" i="18"/>
  <c r="T310" i="18"/>
  <c r="R636" i="18"/>
  <c r="O844" i="18"/>
  <c r="P844" i="18" s="1"/>
  <c r="Q844" i="18" s="1"/>
  <c r="U831" i="18"/>
  <c r="U675" i="18"/>
  <c r="T675" i="18"/>
  <c r="R141" i="18"/>
  <c r="X597" i="18"/>
  <c r="V727" i="18"/>
  <c r="W727" i="18" s="1"/>
  <c r="X727" i="18" s="1"/>
  <c r="Y727" i="18" s="1"/>
  <c r="U727" i="18"/>
  <c r="R349" i="18"/>
  <c r="AH271" i="18"/>
  <c r="AI271" i="18" s="1"/>
  <c r="AJ271" i="18" s="1"/>
  <c r="AK271" i="18" s="1"/>
  <c r="AL271" i="18" s="1"/>
  <c r="AM271" i="18" s="1"/>
  <c r="AN271" i="18" s="1"/>
  <c r="AO271" i="18" s="1"/>
  <c r="AP271" i="18" s="1"/>
  <c r="AQ271" i="18" s="1"/>
  <c r="AR271" i="18" s="1"/>
  <c r="AS271" i="18" s="1"/>
  <c r="AT271" i="18" s="1"/>
  <c r="AU271" i="18" s="1"/>
  <c r="T271" i="18"/>
  <c r="U271" i="18" s="1"/>
  <c r="V271" i="18" s="1"/>
  <c r="W271" i="18" s="1"/>
  <c r="X271" i="18" s="1"/>
  <c r="Y271" i="18" s="1"/>
  <c r="Z271" i="18" s="1"/>
  <c r="AA271" i="18" s="1"/>
  <c r="AB271" i="18" s="1"/>
  <c r="AC271" i="18" s="1"/>
  <c r="AD271" i="18" s="1"/>
  <c r="AE271" i="18" s="1"/>
  <c r="AF271" i="18" s="1"/>
  <c r="AG271" i="18" s="1"/>
  <c r="T115" i="18"/>
  <c r="U115" i="18" s="1"/>
  <c r="V115" i="18" s="1"/>
  <c r="W115" i="18" s="1"/>
  <c r="Y597" i="18"/>
  <c r="Q766" i="18"/>
  <c r="R766" i="18" s="1"/>
  <c r="S766" i="18" s="1"/>
  <c r="T766" i="18"/>
  <c r="U766" i="18" s="1"/>
  <c r="V766" i="18" s="1"/>
  <c r="W766" i="18" s="1"/>
  <c r="X766" i="18" s="1"/>
  <c r="Y766" i="18" s="1"/>
  <c r="Z766" i="18" s="1"/>
  <c r="AA766" i="18" s="1"/>
  <c r="AB766" i="18" s="1"/>
  <c r="AC766" i="18" s="1"/>
  <c r="AD766" i="18" s="1"/>
  <c r="AE766" i="18" s="1"/>
  <c r="AF766" i="18" s="1"/>
  <c r="AG766" i="18" s="1"/>
  <c r="AH766" i="18" s="1"/>
  <c r="AI766" i="18" s="1"/>
  <c r="AJ766" i="18" s="1"/>
  <c r="AK766" i="18" s="1"/>
  <c r="AL766" i="18" s="1"/>
  <c r="AM766" i="18" s="1"/>
  <c r="AN766" i="18" s="1"/>
  <c r="AO766" i="18" s="1"/>
  <c r="AP766" i="18" s="1"/>
  <c r="AQ766" i="18" s="1"/>
  <c r="AR766" i="18" s="1"/>
  <c r="AS766" i="18" s="1"/>
  <c r="AT766" i="18" s="1"/>
  <c r="AU766" i="18" s="1"/>
  <c r="AV766" i="18" s="1"/>
  <c r="AW766" i="18" s="1"/>
  <c r="AX766" i="18" s="1"/>
  <c r="AY766" i="18" s="1"/>
  <c r="AZ766" i="18" s="1"/>
  <c r="BA766" i="18" s="1"/>
  <c r="BB766" i="18" s="1"/>
  <c r="BC766" i="18" s="1"/>
  <c r="BD766" i="18" s="1"/>
  <c r="BE766" i="18" s="1"/>
  <c r="BF766" i="18" s="1"/>
  <c r="BG766" i="18" s="1"/>
  <c r="BH766" i="18" s="1"/>
  <c r="BI766" i="18" s="1"/>
  <c r="R180" i="18"/>
  <c r="W571" i="18"/>
  <c r="X571" i="18" s="1"/>
  <c r="Y571" i="18" s="1"/>
  <c r="V571" i="18"/>
  <c r="Q336" i="18"/>
  <c r="X519" i="18"/>
  <c r="S636" i="18"/>
  <c r="AV818" i="18"/>
  <c r="AW818" i="18" s="1"/>
  <c r="AX818" i="18" s="1"/>
  <c r="AY818" i="18" s="1"/>
  <c r="AZ818" i="18" s="1"/>
  <c r="BA818" i="18" s="1"/>
  <c r="BB818" i="18" s="1"/>
  <c r="BC818" i="18" s="1"/>
  <c r="BD818" i="18" s="1"/>
  <c r="BE818" i="18" s="1"/>
  <c r="BF818" i="18" s="1"/>
  <c r="BG818" i="18" s="1"/>
  <c r="BH818" i="18" s="1"/>
  <c r="BI818" i="18" s="1"/>
  <c r="Q128" i="18"/>
  <c r="AV271" i="18"/>
  <c r="AW271" i="18" s="1"/>
  <c r="AX271" i="18" s="1"/>
  <c r="AY271" i="18" s="1"/>
  <c r="AZ271" i="18" s="1"/>
  <c r="BA271" i="18" s="1"/>
  <c r="BB271" i="18" s="1"/>
  <c r="BC271" i="18" s="1"/>
  <c r="BD271" i="18" s="1"/>
  <c r="BE271" i="18" s="1"/>
  <c r="BF271" i="18" s="1"/>
  <c r="BG271" i="18" s="1"/>
  <c r="BH271" i="18" s="1"/>
  <c r="BI271" i="18" s="1"/>
  <c r="X115" i="18"/>
  <c r="Y115" i="18" s="1"/>
  <c r="Z115" i="18" s="1"/>
  <c r="AA115" i="18" s="1"/>
  <c r="AB115" i="18" s="1"/>
  <c r="AC115" i="18" s="1"/>
  <c r="AD115" i="18" s="1"/>
  <c r="AE115" i="18" s="1"/>
  <c r="AF115" i="18" s="1"/>
  <c r="AG115" i="18" s="1"/>
  <c r="AH115" i="18" s="1"/>
  <c r="AI115" i="18" s="1"/>
  <c r="AJ115" i="18" s="1"/>
  <c r="AK115" i="18" s="1"/>
  <c r="AL115" i="18" s="1"/>
  <c r="AM115" i="18" s="1"/>
  <c r="AN115" i="18" s="1"/>
  <c r="AO115" i="18" s="1"/>
  <c r="K860" i="18"/>
  <c r="K522" i="18"/>
  <c r="L522" i="18" s="1"/>
  <c r="M678" i="18"/>
  <c r="N678" i="18" s="1"/>
  <c r="O678" i="18" s="1"/>
  <c r="P678" i="18" s="1"/>
  <c r="K820" i="18"/>
  <c r="L820" i="18" s="1"/>
  <c r="K326" i="18"/>
  <c r="L326" i="18" s="1"/>
  <c r="I364" i="18"/>
  <c r="J364" i="18" s="1"/>
  <c r="I429" i="18"/>
  <c r="J429" i="18" s="1"/>
  <c r="I338" i="18"/>
  <c r="J338" i="18" s="1"/>
  <c r="K483" i="18"/>
  <c r="L483" i="18" s="1"/>
  <c r="J807" i="18"/>
  <c r="K807" i="18" s="1"/>
  <c r="K626" i="18"/>
  <c r="M248" i="18"/>
  <c r="N248" i="18" s="1"/>
  <c r="K274" i="18"/>
  <c r="I830" i="18"/>
  <c r="I442" i="18"/>
  <c r="J442" i="18" s="1"/>
  <c r="I78" i="7943"/>
  <c r="AJ91" i="18"/>
  <c r="AK91" i="18" s="1"/>
  <c r="AL91" i="18" s="1"/>
  <c r="AM91" i="18" s="1"/>
  <c r="AK92" i="18"/>
  <c r="AL92" i="18" s="1"/>
  <c r="K157" i="18"/>
  <c r="L157" i="18" s="1"/>
  <c r="M157" i="18" s="1"/>
  <c r="L235" i="18"/>
  <c r="M235" i="18" s="1"/>
  <c r="N235" i="18" s="1"/>
  <c r="L352" i="18"/>
  <c r="K287" i="18"/>
  <c r="L287" i="18" s="1"/>
  <c r="I351" i="18"/>
  <c r="J351" i="18" s="1"/>
  <c r="K456" i="18"/>
  <c r="L456" i="18" s="1"/>
  <c r="I257" i="18"/>
  <c r="AJ78" i="18"/>
  <c r="AK78" i="18" s="1"/>
  <c r="L638" i="18"/>
  <c r="M638" i="18" s="1"/>
  <c r="N638" i="18" s="1"/>
  <c r="L717" i="18"/>
  <c r="J716" i="18"/>
  <c r="L639" i="18"/>
  <c r="M639" i="18" s="1"/>
  <c r="N639" i="18" s="1"/>
  <c r="K196" i="18"/>
  <c r="K535" i="18"/>
  <c r="L535" i="18" s="1"/>
  <c r="K417" i="18"/>
  <c r="L417" i="18" s="1"/>
  <c r="J339" i="18"/>
  <c r="K339" i="18" s="1"/>
  <c r="L339" i="18" s="1"/>
  <c r="M339" i="18" s="1"/>
  <c r="K743" i="18"/>
  <c r="L743" i="18" s="1"/>
  <c r="BW107" i="7942"/>
  <c r="K482" i="18"/>
  <c r="N404" i="18"/>
  <c r="O404" i="18" s="1"/>
  <c r="CS107" i="7942"/>
  <c r="CT106" i="7942"/>
  <c r="CU73" i="7942"/>
  <c r="AF100" i="7942"/>
  <c r="AG67" i="7942"/>
  <c r="K71" i="7942"/>
  <c r="J104" i="7942"/>
  <c r="AF99" i="7942"/>
  <c r="AG66" i="7942"/>
  <c r="AK79" i="18"/>
  <c r="AL79" i="18" s="1"/>
  <c r="AM79" i="18" s="1"/>
  <c r="AN79" i="18" s="1"/>
  <c r="J118" i="18"/>
  <c r="K118" i="18" s="1"/>
  <c r="L118" i="18" s="1"/>
  <c r="J443" i="18"/>
  <c r="K443" i="18" s="1"/>
  <c r="BB100" i="7942"/>
  <c r="BC67" i="7942"/>
  <c r="DF57" i="7942"/>
  <c r="DE90" i="7942"/>
  <c r="BN66" i="7942"/>
  <c r="BM99" i="7942"/>
  <c r="DE96" i="7942"/>
  <c r="DF63" i="7942"/>
  <c r="DF51" i="7942"/>
  <c r="DE84" i="7942"/>
  <c r="DF70" i="7942"/>
  <c r="DE103" i="7942"/>
  <c r="H7" i="7942"/>
  <c r="H44" i="7943" s="1"/>
  <c r="U101" i="7942"/>
  <c r="V68" i="7942"/>
  <c r="BN58" i="7942"/>
  <c r="BM91" i="7942"/>
  <c r="AF106" i="7942"/>
  <c r="AG73" i="7942"/>
  <c r="K833" i="18"/>
  <c r="L833" i="18" s="1"/>
  <c r="K599" i="18"/>
  <c r="AG69" i="7942"/>
  <c r="AF102" i="7942"/>
  <c r="CI95" i="7942"/>
  <c r="CJ62" i="7942"/>
  <c r="AJ104" i="18"/>
  <c r="J106" i="7942"/>
  <c r="K73" i="7942"/>
  <c r="BY51" i="7942"/>
  <c r="BX84" i="7942"/>
  <c r="BN54" i="7942"/>
  <c r="BM87" i="7942"/>
  <c r="CI89" i="7942"/>
  <c r="CJ56" i="7942"/>
  <c r="BC73" i="7942"/>
  <c r="BB106" i="7942"/>
  <c r="AK105" i="18"/>
  <c r="K378" i="18"/>
  <c r="L378" i="18" s="1"/>
  <c r="U89" i="7942"/>
  <c r="V56" i="7942"/>
  <c r="V71" i="7942"/>
  <c r="U104" i="7942"/>
  <c r="AQ88" i="7942"/>
  <c r="AR55" i="7942"/>
  <c r="K768" i="18"/>
  <c r="H25" i="2"/>
  <c r="H37" i="2"/>
  <c r="DE91" i="7942"/>
  <c r="DF58" i="7942"/>
  <c r="BY59" i="7942"/>
  <c r="BX92" i="7942"/>
  <c r="U83" i="7942"/>
  <c r="V50" i="7942"/>
  <c r="V72" i="7942"/>
  <c r="U105" i="7942"/>
  <c r="J794" i="18"/>
  <c r="BN57" i="7942"/>
  <c r="BM90" i="7942"/>
  <c r="CI83" i="7942"/>
  <c r="CJ50" i="7942"/>
  <c r="CT100" i="7942"/>
  <c r="CU67" i="7942"/>
  <c r="DE106" i="7942"/>
  <c r="DF73" i="7942"/>
  <c r="AG63" i="7942"/>
  <c r="AF96" i="7942"/>
  <c r="BC57" i="7942"/>
  <c r="BB90" i="7942"/>
  <c r="CT90" i="7942"/>
  <c r="CU57" i="7942"/>
  <c r="I59" i="7946"/>
  <c r="I84" i="7946" s="1"/>
  <c r="H84" i="7946"/>
  <c r="H85" i="7946" s="1"/>
  <c r="K51" i="7942"/>
  <c r="J84" i="7942"/>
  <c r="AR71" i="7942"/>
  <c r="AQ104" i="7942"/>
  <c r="CU54" i="7942"/>
  <c r="CT87" i="7942"/>
  <c r="BY69" i="7942"/>
  <c r="BX102" i="7942"/>
  <c r="K53" i="7942"/>
  <c r="J86" i="7942"/>
  <c r="K209" i="18"/>
  <c r="L209" i="18" s="1"/>
  <c r="K144" i="18"/>
  <c r="L144" i="18" s="1"/>
  <c r="G13" i="24"/>
  <c r="H12" i="24"/>
  <c r="J88" i="7942"/>
  <c r="K55" i="7942"/>
  <c r="AR62" i="7942"/>
  <c r="AQ95" i="7942"/>
  <c r="AQ82" i="7942"/>
  <c r="AR49" i="7942"/>
  <c r="L703" i="18"/>
  <c r="BX86" i="7942"/>
  <c r="BY53" i="7942"/>
  <c r="BN59" i="7942"/>
  <c r="BM92" i="7942"/>
  <c r="V69" i="7942"/>
  <c r="U102" i="7942"/>
  <c r="AF87" i="7942"/>
  <c r="AG54" i="7942"/>
  <c r="BX83" i="7942"/>
  <c r="BY50" i="7942"/>
  <c r="J11" i="24"/>
  <c r="J7" i="7943"/>
  <c r="I107" i="7942"/>
  <c r="DE86" i="7942"/>
  <c r="DF53" i="7942"/>
  <c r="BC52" i="7942"/>
  <c r="BB85" i="7942"/>
  <c r="CU58" i="7942"/>
  <c r="CT91" i="7942"/>
  <c r="J100" i="7942"/>
  <c r="K67" i="7942"/>
  <c r="AG51" i="7942"/>
  <c r="AF84" i="7942"/>
  <c r="CI106" i="7942"/>
  <c r="CJ73" i="7942"/>
  <c r="H270" i="18"/>
  <c r="I260" i="18"/>
  <c r="H127" i="18"/>
  <c r="I117" i="18"/>
  <c r="J117" i="18" s="1"/>
  <c r="K117" i="18" s="1"/>
  <c r="L117" i="18" s="1"/>
  <c r="H231" i="18"/>
  <c r="I221" i="18"/>
  <c r="H257" i="18"/>
  <c r="J247" i="18"/>
  <c r="K247" i="18" s="1"/>
  <c r="G42" i="18"/>
  <c r="G41" i="18" s="1"/>
  <c r="G10" i="18"/>
  <c r="H205" i="18"/>
  <c r="I195" i="18"/>
  <c r="AF95" i="7942"/>
  <c r="AG62" i="7942"/>
  <c r="BM81" i="7942"/>
  <c r="BN48" i="7942"/>
  <c r="K66" i="7942"/>
  <c r="J99" i="7942"/>
  <c r="X509" i="18"/>
  <c r="I492" i="18"/>
  <c r="U94" i="7942"/>
  <c r="V61" i="7942"/>
  <c r="K560" i="18"/>
  <c r="M131" i="18"/>
  <c r="N131" i="18" s="1"/>
  <c r="M430" i="18"/>
  <c r="AF97" i="7942"/>
  <c r="AG64" i="7942"/>
  <c r="BY60" i="7942"/>
  <c r="BX93" i="7942"/>
  <c r="I674" i="18"/>
  <c r="J664" i="18"/>
  <c r="CT92" i="7942"/>
  <c r="CU59" i="7942"/>
  <c r="AR57" i="7942"/>
  <c r="AQ90" i="7942"/>
  <c r="BY58" i="7942"/>
  <c r="BX91" i="7942"/>
  <c r="CJ69" i="7942"/>
  <c r="CI102" i="7942"/>
  <c r="BB87" i="7942"/>
  <c r="BC54" i="7942"/>
  <c r="K63" i="7942"/>
  <c r="J96" i="7942"/>
  <c r="J81" i="7942"/>
  <c r="K48" i="7942"/>
  <c r="AR67" i="7942"/>
  <c r="AQ100" i="7942"/>
  <c r="L521" i="18"/>
  <c r="CU49" i="7942"/>
  <c r="CT82" i="7942"/>
  <c r="DE93" i="7942"/>
  <c r="DF60" i="7942"/>
  <c r="BA107" i="7942"/>
  <c r="BY73" i="7942"/>
  <c r="BX106" i="7942"/>
  <c r="J24" i="18"/>
  <c r="K302" i="18"/>
  <c r="L302" i="18" s="1"/>
  <c r="M302" i="18" s="1"/>
  <c r="J15" i="18"/>
  <c r="R81" i="18"/>
  <c r="AA81" i="18"/>
  <c r="K432" i="18"/>
  <c r="L432" i="18" s="1"/>
  <c r="AH81" i="18"/>
  <c r="K185" i="18"/>
  <c r="L185" i="18" s="1"/>
  <c r="M185" i="18" s="1"/>
  <c r="J29" i="18"/>
  <c r="J40" i="18"/>
  <c r="AF81" i="18"/>
  <c r="K393" i="18"/>
  <c r="L81" i="18"/>
  <c r="K341" i="18"/>
  <c r="J37" i="18"/>
  <c r="K198" i="18"/>
  <c r="L198" i="18" s="1"/>
  <c r="M198" i="18" s="1"/>
  <c r="N198" i="18" s="1"/>
  <c r="AG81" i="18"/>
  <c r="AE81" i="18"/>
  <c r="K367" i="18"/>
  <c r="J30" i="18"/>
  <c r="J25" i="18"/>
  <c r="J12" i="18"/>
  <c r="K445" i="18"/>
  <c r="L445" i="18" s="1"/>
  <c r="V81" i="18"/>
  <c r="K224" i="18"/>
  <c r="L224" i="18" s="1"/>
  <c r="K211" i="18"/>
  <c r="AI81" i="18"/>
  <c r="K289" i="18"/>
  <c r="L289" i="18" s="1"/>
  <c r="J20" i="18"/>
  <c r="K380" i="18"/>
  <c r="L380" i="18" s="1"/>
  <c r="M380" i="18" s="1"/>
  <c r="J32" i="18"/>
  <c r="M81" i="18"/>
  <c r="AL81" i="18"/>
  <c r="J34" i="18"/>
  <c r="K419" i="18"/>
  <c r="L419" i="18" s="1"/>
  <c r="K133" i="18"/>
  <c r="L133" i="18" s="1"/>
  <c r="K458" i="18"/>
  <c r="L458" i="18" s="1"/>
  <c r="X81" i="18"/>
  <c r="J39" i="18"/>
  <c r="J14" i="18"/>
  <c r="U81" i="18"/>
  <c r="AB81" i="18"/>
  <c r="Z81" i="18"/>
  <c r="K159" i="18"/>
  <c r="L159" i="18" s="1"/>
  <c r="J22" i="18"/>
  <c r="AD81" i="18"/>
  <c r="K406" i="18"/>
  <c r="L406" i="18" s="1"/>
  <c r="M406" i="18" s="1"/>
  <c r="J26" i="18"/>
  <c r="J36" i="18"/>
  <c r="J27" i="18"/>
  <c r="J19" i="18"/>
  <c r="K81" i="18"/>
  <c r="J28" i="18"/>
  <c r="O81" i="18"/>
  <c r="K276" i="18"/>
  <c r="L276" i="18" s="1"/>
  <c r="K328" i="18"/>
  <c r="L328" i="18" s="1"/>
  <c r="AK81" i="18"/>
  <c r="J38" i="18"/>
  <c r="J17" i="18"/>
  <c r="J21" i="18"/>
  <c r="J33" i="18"/>
  <c r="J23" i="18"/>
  <c r="K172" i="18"/>
  <c r="L172" i="18" s="1"/>
  <c r="J31" i="18"/>
  <c r="J35" i="18"/>
  <c r="Y81" i="18"/>
  <c r="Q81" i="18"/>
  <c r="J16" i="18"/>
  <c r="W81" i="18"/>
  <c r="AC81" i="18"/>
  <c r="P81" i="18"/>
  <c r="T81" i="18"/>
  <c r="K120" i="18"/>
  <c r="L120" i="18" s="1"/>
  <c r="J11" i="18"/>
  <c r="J18" i="18"/>
  <c r="K146" i="18"/>
  <c r="L146" i="18" s="1"/>
  <c r="K315" i="18"/>
  <c r="L315" i="18" s="1"/>
  <c r="S81" i="18"/>
  <c r="N81" i="18"/>
  <c r="K354" i="18"/>
  <c r="L354" i="18" s="1"/>
  <c r="AJ81" i="18"/>
  <c r="K250" i="18"/>
  <c r="L250" i="18" s="1"/>
  <c r="K263" i="18"/>
  <c r="L263" i="18" s="1"/>
  <c r="K237" i="18"/>
  <c r="L237" i="18" s="1"/>
  <c r="M237" i="18" s="1"/>
  <c r="M458" i="18"/>
  <c r="N458" i="18" s="1"/>
  <c r="O458" i="18" s="1"/>
  <c r="L341" i="18"/>
  <c r="M341" i="18" s="1"/>
  <c r="N341" i="18" s="1"/>
  <c r="AD94" i="18"/>
  <c r="V94" i="18"/>
  <c r="X94" i="18"/>
  <c r="AB94" i="18"/>
  <c r="N94" i="18"/>
  <c r="U94" i="18"/>
  <c r="AJ94" i="18"/>
  <c r="AI94" i="18"/>
  <c r="S94" i="18"/>
  <c r="AL94" i="18"/>
  <c r="AC94" i="18"/>
  <c r="K94" i="18"/>
  <c r="O94" i="18"/>
  <c r="W94" i="18"/>
  <c r="AH94" i="18"/>
  <c r="Z94" i="18"/>
  <c r="AK94" i="18"/>
  <c r="Y94" i="18"/>
  <c r="L94" i="18"/>
  <c r="AK107" i="18"/>
  <c r="R94" i="18"/>
  <c r="K107" i="18"/>
  <c r="AJ107" i="18"/>
  <c r="T94" i="18"/>
  <c r="AG94" i="18"/>
  <c r="M94" i="18"/>
  <c r="AA94" i="18"/>
  <c r="Q94" i="18"/>
  <c r="AE94" i="18"/>
  <c r="AF94" i="18"/>
  <c r="Z107" i="18"/>
  <c r="P94" i="18"/>
  <c r="V107" i="18"/>
  <c r="AD107" i="18"/>
  <c r="AL107" i="18"/>
  <c r="J13" i="18"/>
  <c r="L107" i="18"/>
  <c r="P107" i="18"/>
  <c r="X107" i="18"/>
  <c r="AF107" i="18"/>
  <c r="S107" i="18"/>
  <c r="W107" i="18"/>
  <c r="AH107" i="18"/>
  <c r="AI107" i="18"/>
  <c r="R107" i="18"/>
  <c r="AE107" i="18"/>
  <c r="T107" i="18"/>
  <c r="AG107" i="18"/>
  <c r="U107" i="18"/>
  <c r="AC107" i="18"/>
  <c r="Q107" i="18"/>
  <c r="O107" i="18"/>
  <c r="Y107" i="18"/>
  <c r="M107" i="18"/>
  <c r="N107" i="18"/>
  <c r="AA107" i="18"/>
  <c r="AB107" i="18"/>
  <c r="BB82" i="7942"/>
  <c r="BC49" i="7942"/>
  <c r="L170" i="18"/>
  <c r="K365" i="18"/>
  <c r="L365" i="18" s="1"/>
  <c r="BX87" i="7942"/>
  <c r="BY54" i="7942"/>
  <c r="AQ92" i="7942"/>
  <c r="AR59" i="7942"/>
  <c r="CJ64" i="7942"/>
  <c r="CI97" i="7942"/>
  <c r="BB97" i="7942"/>
  <c r="BC64" i="7942"/>
  <c r="J612" i="18"/>
  <c r="I622" i="18"/>
  <c r="CJ51" i="7942"/>
  <c r="CI84" i="7942"/>
  <c r="DE88" i="7942"/>
  <c r="DF55" i="7942"/>
  <c r="CJ57" i="7942"/>
  <c r="CI90" i="7942"/>
  <c r="I804" i="18"/>
  <c r="K15" i="2"/>
  <c r="K19" i="2" s="1"/>
  <c r="L14" i="2"/>
  <c r="K10" i="24"/>
  <c r="K18" i="2"/>
  <c r="K22" i="2"/>
  <c r="K20" i="2"/>
  <c r="K21" i="2" s="1"/>
  <c r="J105" i="7942"/>
  <c r="K72" i="7942"/>
  <c r="DF52" i="7942"/>
  <c r="DE85" i="7942"/>
  <c r="T107" i="7942"/>
  <c r="BN67" i="7942"/>
  <c r="BM100" i="7942"/>
  <c r="V59" i="7942"/>
  <c r="U92" i="7942"/>
  <c r="AF105" i="7942"/>
  <c r="AG72" i="7942"/>
  <c r="BC48" i="7942"/>
  <c r="BB81" i="7942"/>
  <c r="BM89" i="7942"/>
  <c r="BN56" i="7942"/>
  <c r="AR61" i="7942"/>
  <c r="AQ94" i="7942"/>
  <c r="H42" i="18"/>
  <c r="H41" i="18" s="1"/>
  <c r="H10" i="18"/>
  <c r="AQ89" i="7942"/>
  <c r="AR56" i="7942"/>
  <c r="BB88" i="7942"/>
  <c r="BC55" i="7942"/>
  <c r="U87" i="7942"/>
  <c r="V54" i="7942"/>
  <c r="V73" i="7942"/>
  <c r="U106" i="7942"/>
  <c r="CU62" i="7942"/>
  <c r="CT95" i="7942"/>
  <c r="J313" i="18"/>
  <c r="K183" i="18"/>
  <c r="L183" i="18" s="1"/>
  <c r="CU51" i="7942"/>
  <c r="CT84" i="7942"/>
  <c r="J158" i="18"/>
  <c r="J184" i="18"/>
  <c r="K184" i="18" s="1"/>
  <c r="J275" i="18"/>
  <c r="K275" i="18" s="1"/>
  <c r="J119" i="18"/>
  <c r="K119" i="18" s="1"/>
  <c r="S80" i="18"/>
  <c r="I19" i="18"/>
  <c r="I50" i="18" s="1"/>
  <c r="I28" i="18"/>
  <c r="I59" i="18" s="1"/>
  <c r="J223" i="18"/>
  <c r="AD80" i="18"/>
  <c r="AH80" i="18"/>
  <c r="I36" i="18"/>
  <c r="I67" i="18" s="1"/>
  <c r="I11" i="18"/>
  <c r="I25" i="18"/>
  <c r="I56" i="18" s="1"/>
  <c r="AC80" i="18"/>
  <c r="I31" i="18"/>
  <c r="I62" i="18" s="1"/>
  <c r="I40" i="18"/>
  <c r="I71" i="18" s="1"/>
  <c r="J444" i="18"/>
  <c r="K444" i="18" s="1"/>
  <c r="L444" i="18" s="1"/>
  <c r="AI80" i="18"/>
  <c r="I20" i="18"/>
  <c r="I51" i="18" s="1"/>
  <c r="R80" i="18"/>
  <c r="I23" i="18"/>
  <c r="I54" i="18" s="1"/>
  <c r="J353" i="18"/>
  <c r="K353" i="18" s="1"/>
  <c r="I33" i="18"/>
  <c r="I64" i="18" s="1"/>
  <c r="J301" i="18"/>
  <c r="J132" i="18"/>
  <c r="K132" i="18" s="1"/>
  <c r="I37" i="18"/>
  <c r="I68" i="18" s="1"/>
  <c r="I24" i="18"/>
  <c r="I55" i="18" s="1"/>
  <c r="J210" i="18"/>
  <c r="K210" i="18" s="1"/>
  <c r="L210" i="18" s="1"/>
  <c r="I18" i="18"/>
  <c r="I49" i="18" s="1"/>
  <c r="AK80" i="18"/>
  <c r="J80" i="18"/>
  <c r="I35" i="18"/>
  <c r="I66" i="18" s="1"/>
  <c r="J418" i="18"/>
  <c r="K418" i="18" s="1"/>
  <c r="L418" i="18" s="1"/>
  <c r="M418" i="18" s="1"/>
  <c r="I30" i="18"/>
  <c r="I61" i="18" s="1"/>
  <c r="I34" i="18"/>
  <c r="I65" i="18" s="1"/>
  <c r="J340" i="18"/>
  <c r="K340" i="18" s="1"/>
  <c r="I29" i="18"/>
  <c r="I60" i="18" s="1"/>
  <c r="AF80" i="18"/>
  <c r="I22" i="18"/>
  <c r="I53" i="18" s="1"/>
  <c r="I39" i="18"/>
  <c r="I70" i="18" s="1"/>
  <c r="I15" i="18"/>
  <c r="I46" i="18" s="1"/>
  <c r="U80" i="18"/>
  <c r="T80" i="18"/>
  <c r="L80" i="18"/>
  <c r="J236" i="18"/>
  <c r="M80" i="18"/>
  <c r="I26" i="18"/>
  <c r="I57" i="18" s="1"/>
  <c r="AG80" i="18"/>
  <c r="I27" i="18"/>
  <c r="I58" i="18" s="1"/>
  <c r="Y80" i="18"/>
  <c r="P80" i="18"/>
  <c r="J405" i="18"/>
  <c r="K405" i="18" s="1"/>
  <c r="J288" i="18"/>
  <c r="N80" i="18"/>
  <c r="J379" i="18"/>
  <c r="K379" i="18" s="1"/>
  <c r="K80" i="18"/>
  <c r="Z80" i="18"/>
  <c r="J145" i="18"/>
  <c r="K145" i="18" s="1"/>
  <c r="X80" i="18"/>
  <c r="W80" i="18"/>
  <c r="I14" i="18"/>
  <c r="I45" i="18" s="1"/>
  <c r="J171" i="18"/>
  <c r="K171" i="18" s="1"/>
  <c r="AE80" i="18"/>
  <c r="J366" i="18"/>
  <c r="K366" i="18" s="1"/>
  <c r="J457" i="18"/>
  <c r="J262" i="18"/>
  <c r="K262" i="18" s="1"/>
  <c r="I21" i="18"/>
  <c r="I52" i="18" s="1"/>
  <c r="J327" i="18"/>
  <c r="K327" i="18" s="1"/>
  <c r="I38" i="18"/>
  <c r="I69" i="18" s="1"/>
  <c r="AB80" i="18"/>
  <c r="I32" i="18"/>
  <c r="I63" i="18" s="1"/>
  <c r="I16" i="18"/>
  <c r="I47" i="18" s="1"/>
  <c r="AA80" i="18"/>
  <c r="AJ80" i="18"/>
  <c r="J431" i="18"/>
  <c r="I17" i="18"/>
  <c r="I48" i="18" s="1"/>
  <c r="I12" i="18"/>
  <c r="I43" i="18" s="1"/>
  <c r="Q80" i="18"/>
  <c r="J197" i="18"/>
  <c r="K197" i="18" s="1"/>
  <c r="O80" i="18"/>
  <c r="J392" i="18"/>
  <c r="K392" i="18" s="1"/>
  <c r="J314" i="18"/>
  <c r="J249" i="18"/>
  <c r="K249" i="18" s="1"/>
  <c r="V80" i="18"/>
  <c r="W106" i="18"/>
  <c r="O106" i="18"/>
  <c r="AA106" i="18"/>
  <c r="T106" i="18"/>
  <c r="R106" i="18"/>
  <c r="AF93" i="18"/>
  <c r="W93" i="18"/>
  <c r="AA93" i="18"/>
  <c r="S106" i="18"/>
  <c r="Q106" i="18"/>
  <c r="AC106" i="18"/>
  <c r="U106" i="18"/>
  <c r="AG106" i="18"/>
  <c r="AI106" i="18"/>
  <c r="AF106" i="18"/>
  <c r="L93" i="18"/>
  <c r="AJ93" i="18"/>
  <c r="L106" i="18"/>
  <c r="K106" i="18"/>
  <c r="AB106" i="18"/>
  <c r="Y106" i="18"/>
  <c r="AH106" i="18"/>
  <c r="U93" i="18"/>
  <c r="AB93" i="18"/>
  <c r="Z93" i="18"/>
  <c r="R93" i="18"/>
  <c r="V106" i="18"/>
  <c r="M106" i="18"/>
  <c r="X106" i="18"/>
  <c r="X93" i="18"/>
  <c r="K93" i="18"/>
  <c r="N93" i="18"/>
  <c r="Y93" i="18"/>
  <c r="P93" i="18"/>
  <c r="AJ106" i="18"/>
  <c r="P106" i="18"/>
  <c r="N106" i="18"/>
  <c r="Q93" i="18"/>
  <c r="T93" i="18"/>
  <c r="J106" i="18"/>
  <c r="J114" i="18" s="1"/>
  <c r="S93" i="18"/>
  <c r="AI93" i="18"/>
  <c r="M93" i="18"/>
  <c r="AD106" i="18"/>
  <c r="O93" i="18"/>
  <c r="J93" i="18"/>
  <c r="AD93" i="18"/>
  <c r="AE93" i="18"/>
  <c r="AK106" i="18"/>
  <c r="AC93" i="18"/>
  <c r="AK93" i="18"/>
  <c r="AG93" i="18"/>
  <c r="Z106" i="18"/>
  <c r="V93" i="18"/>
  <c r="AH93" i="18"/>
  <c r="AE106" i="18"/>
  <c r="I13" i="18"/>
  <c r="I44" i="18" s="1"/>
  <c r="V70" i="7942"/>
  <c r="U103" i="7942"/>
  <c r="CT105" i="7942"/>
  <c r="CU72" i="7942"/>
  <c r="CJ58" i="7942"/>
  <c r="CI91" i="7942"/>
  <c r="AR69" i="7942"/>
  <c r="AQ102" i="7942"/>
  <c r="BX101" i="7942"/>
  <c r="BY68" i="7942"/>
  <c r="BX90" i="7942"/>
  <c r="BY57" i="7942"/>
  <c r="BM98" i="7942"/>
  <c r="BN65" i="7942"/>
  <c r="AQ85" i="7942"/>
  <c r="AR52" i="7942"/>
  <c r="U90" i="7942"/>
  <c r="V57" i="7942"/>
  <c r="DF49" i="7942"/>
  <c r="DE82" i="7942"/>
  <c r="I60" i="7943"/>
  <c r="H21" i="7945"/>
  <c r="H21" i="7946"/>
  <c r="J103" i="7942"/>
  <c r="K70" i="7942"/>
  <c r="I114" i="18"/>
  <c r="BB99" i="7942"/>
  <c r="BC66" i="7942"/>
  <c r="U93" i="7942"/>
  <c r="V60" i="7942"/>
  <c r="CT88" i="7942"/>
  <c r="CU55" i="7942"/>
  <c r="CI82" i="7942"/>
  <c r="CJ49" i="7942"/>
  <c r="L391" i="18"/>
  <c r="M391" i="18" s="1"/>
  <c r="CU64" i="7942"/>
  <c r="CT97" i="7942"/>
  <c r="K68" i="7942"/>
  <c r="J101" i="7942"/>
  <c r="CU63" i="7942"/>
  <c r="CT96" i="7942"/>
  <c r="I869" i="18"/>
  <c r="J859" i="18"/>
  <c r="J83" i="7942"/>
  <c r="K50" i="7942"/>
  <c r="K61" i="7942"/>
  <c r="J94" i="7942"/>
  <c r="H60" i="7946"/>
  <c r="AF92" i="7942"/>
  <c r="AG59" i="7942"/>
  <c r="CU48" i="7942"/>
  <c r="CT81" i="7942"/>
  <c r="AQ83" i="7942"/>
  <c r="AR50" i="7942"/>
  <c r="CI101" i="7942"/>
  <c r="CJ68" i="7942"/>
  <c r="U100" i="7942"/>
  <c r="V67" i="7942"/>
  <c r="K69" i="7942"/>
  <c r="J102" i="7942"/>
  <c r="G44" i="7946"/>
  <c r="G63" i="7946"/>
  <c r="J704" i="18"/>
  <c r="K561" i="18"/>
  <c r="K548" i="18"/>
  <c r="L548" i="18" s="1"/>
  <c r="BB104" i="7942"/>
  <c r="BC71" i="7942"/>
  <c r="BX81" i="7942"/>
  <c r="BY48" i="7942"/>
  <c r="DF50" i="7942"/>
  <c r="DE83" i="7942"/>
  <c r="BL107" i="7942"/>
  <c r="AG70" i="7942"/>
  <c r="AF103" i="7942"/>
  <c r="K574" i="18"/>
  <c r="L574" i="18" s="1"/>
  <c r="BY71" i="7942"/>
  <c r="BX104" i="7942"/>
  <c r="BX100" i="7942"/>
  <c r="BY67" i="7942"/>
  <c r="DF68" i="7942"/>
  <c r="DE101" i="7942"/>
  <c r="DF48" i="7942"/>
  <c r="DE81" i="7942"/>
  <c r="BM97" i="7942"/>
  <c r="BN64" i="7942"/>
  <c r="I583" i="18"/>
  <c r="J573" i="18"/>
  <c r="AQ98" i="7942"/>
  <c r="AR65" i="7942"/>
  <c r="BX89" i="7942"/>
  <c r="BY56" i="7942"/>
  <c r="I312" i="18"/>
  <c r="DF59" i="7942"/>
  <c r="DE92" i="7942"/>
  <c r="CJ65" i="7942"/>
  <c r="CI98" i="7942"/>
  <c r="DE95" i="7942"/>
  <c r="DF62" i="7942"/>
  <c r="H32" i="24"/>
  <c r="H163" i="24" s="1"/>
  <c r="H41" i="24"/>
  <c r="I7" i="24"/>
  <c r="H49" i="24"/>
  <c r="H40" i="24"/>
  <c r="G17" i="7946"/>
  <c r="K62" i="7942"/>
  <c r="J95" i="7942"/>
  <c r="BM94" i="7942"/>
  <c r="BN61" i="7942"/>
  <c r="I635" i="18"/>
  <c r="L625" i="18"/>
  <c r="M625" i="18" s="1"/>
  <c r="J93" i="7942"/>
  <c r="K60" i="7942"/>
  <c r="AF81" i="7942"/>
  <c r="AG48" i="7942"/>
  <c r="CT93" i="7942"/>
  <c r="CU60" i="7942"/>
  <c r="J6" i="24"/>
  <c r="AR70" i="7942"/>
  <c r="AQ103" i="7942"/>
  <c r="X496" i="18"/>
  <c r="Y496" i="18" s="1"/>
  <c r="I273" i="18"/>
  <c r="L729" i="18"/>
  <c r="AG49" i="7942"/>
  <c r="AF82" i="7942"/>
  <c r="BB83" i="7942"/>
  <c r="BC50" i="7942"/>
  <c r="K52" i="7942"/>
  <c r="J85" i="7942"/>
  <c r="BB102" i="7942"/>
  <c r="BC69" i="7942"/>
  <c r="L808" i="18"/>
  <c r="I192" i="18"/>
  <c r="BX97" i="7942"/>
  <c r="BY64" i="7942"/>
  <c r="U91" i="7942"/>
  <c r="V58" i="7942"/>
  <c r="V66" i="7942"/>
  <c r="U99" i="7942"/>
  <c r="H80" i="7943"/>
  <c r="H25" i="7946" s="1"/>
  <c r="H48" i="7946" s="1"/>
  <c r="G25" i="7946"/>
  <c r="BB95" i="7942"/>
  <c r="BC62" i="7942"/>
  <c r="CI96" i="7942"/>
  <c r="CJ63" i="7942"/>
  <c r="BX82" i="7942"/>
  <c r="BY49" i="7942"/>
  <c r="DF56" i="7942"/>
  <c r="DE89" i="7942"/>
  <c r="U95" i="7942"/>
  <c r="V62" i="7942"/>
  <c r="M795" i="18"/>
  <c r="J587" i="18"/>
  <c r="K587" i="18" s="1"/>
  <c r="I778" i="18"/>
  <c r="CT85" i="7942"/>
  <c r="CU52" i="7942"/>
  <c r="AF85" i="7942"/>
  <c r="AG52" i="7942"/>
  <c r="G74" i="7946"/>
  <c r="G98" i="7946"/>
  <c r="G99" i="7946" s="1"/>
  <c r="G70" i="7946"/>
  <c r="K547" i="18"/>
  <c r="CI86" i="7942"/>
  <c r="CJ53" i="7942"/>
  <c r="K56" i="7942"/>
  <c r="J89" i="7942"/>
  <c r="AR60" i="7942"/>
  <c r="AQ93" i="7942"/>
  <c r="BC58" i="7942"/>
  <c r="BB91" i="7942"/>
  <c r="AR48" i="7942"/>
  <c r="AQ81" i="7942"/>
  <c r="K769" i="18"/>
  <c r="L769" i="18" s="1"/>
  <c r="L613" i="18"/>
  <c r="M613" i="18" s="1"/>
  <c r="BC59" i="7942"/>
  <c r="BB92" i="7942"/>
  <c r="BM105" i="7942"/>
  <c r="BN72" i="7942"/>
  <c r="I455" i="18"/>
  <c r="I361" i="18"/>
  <c r="U84" i="7942"/>
  <c r="V51" i="7942"/>
  <c r="AF93" i="7942"/>
  <c r="AG60" i="7942"/>
  <c r="BY65" i="7942"/>
  <c r="BX98" i="7942"/>
  <c r="CU61" i="7942"/>
  <c r="CT94" i="7942"/>
  <c r="BB94" i="7942"/>
  <c r="BC61" i="7942"/>
  <c r="BM85" i="7942"/>
  <c r="BN52" i="7942"/>
  <c r="BB96" i="7942"/>
  <c r="BC63" i="7942"/>
  <c r="V64" i="7942"/>
  <c r="U97" i="7942"/>
  <c r="BX96" i="7942"/>
  <c r="BY63" i="7942"/>
  <c r="J756" i="18"/>
  <c r="K756" i="18" s="1"/>
  <c r="L756" i="18" s="1"/>
  <c r="Y495" i="18"/>
  <c r="Z495" i="18" s="1"/>
  <c r="I169" i="18"/>
  <c r="I130" i="18"/>
  <c r="I390" i="18"/>
  <c r="DE98" i="7942"/>
  <c r="DF65" i="7942"/>
  <c r="BN49" i="7942"/>
  <c r="BM82" i="7942"/>
  <c r="CT102" i="7942"/>
  <c r="CU69" i="7942"/>
  <c r="CT101" i="7942"/>
  <c r="CU68" i="7942"/>
  <c r="G24" i="7945"/>
  <c r="G163" i="24"/>
  <c r="G33" i="7943"/>
  <c r="AR72" i="7942"/>
  <c r="AQ105" i="7942"/>
  <c r="CI88" i="7942"/>
  <c r="CJ55" i="7942"/>
  <c r="K781" i="18"/>
  <c r="CT98" i="7942"/>
  <c r="CU65" i="7942"/>
  <c r="K730" i="18"/>
  <c r="L730" i="18" s="1"/>
  <c r="CT83" i="7942"/>
  <c r="CU50" i="7942"/>
  <c r="DD107" i="7942"/>
  <c r="BM101" i="7942"/>
  <c r="BN68" i="7942"/>
  <c r="DF66" i="7942"/>
  <c r="DE99" i="7942"/>
  <c r="I544" i="18"/>
  <c r="J534" i="18"/>
  <c r="K534" i="18" s="1"/>
  <c r="AE107" i="7942"/>
  <c r="V48" i="7942"/>
  <c r="U81" i="7942"/>
  <c r="CJ70" i="7942"/>
  <c r="CI103" i="7942"/>
  <c r="BN50" i="7942"/>
  <c r="BM83" i="7942"/>
  <c r="DE104" i="7942"/>
  <c r="DF71" i="7942"/>
  <c r="BC53" i="7942"/>
  <c r="BB86" i="7942"/>
  <c r="U85" i="7942"/>
  <c r="V52" i="7942"/>
  <c r="BX94" i="7942"/>
  <c r="BY61" i="7942"/>
  <c r="BY52" i="7942"/>
  <c r="BX85" i="7942"/>
  <c r="BN60" i="7942"/>
  <c r="BM93" i="7942"/>
  <c r="V65" i="7942"/>
  <c r="U98" i="7942"/>
  <c r="K821" i="18"/>
  <c r="J652" i="18"/>
  <c r="AF91" i="7942"/>
  <c r="AG58" i="7942"/>
  <c r="CJ66" i="7942"/>
  <c r="CI99" i="7942"/>
  <c r="AF101" i="7942"/>
  <c r="AG68" i="7942"/>
  <c r="BB101" i="7942"/>
  <c r="BC68" i="7942"/>
  <c r="CT86" i="7942"/>
  <c r="CU53" i="7942"/>
  <c r="AG55" i="7942"/>
  <c r="AF88" i="7942"/>
  <c r="AF94" i="7942"/>
  <c r="AG61" i="7942"/>
  <c r="CJ59" i="7942"/>
  <c r="CI92" i="7942"/>
  <c r="BN73" i="7942"/>
  <c r="BM106" i="7942"/>
  <c r="I791" i="18"/>
  <c r="BM103" i="7942"/>
  <c r="BN70" i="7942"/>
  <c r="V63" i="7942"/>
  <c r="U96" i="7942"/>
  <c r="AQ84" i="7942"/>
  <c r="AR51" i="7942"/>
  <c r="N847" i="18"/>
  <c r="K782" i="18"/>
  <c r="L782" i="18" s="1"/>
  <c r="L600" i="18"/>
  <c r="M600" i="18" s="1"/>
  <c r="J7" i="18"/>
  <c r="J588" i="18"/>
  <c r="K588" i="18" s="1"/>
  <c r="J666" i="18"/>
  <c r="K666" i="18" s="1"/>
  <c r="J861" i="18"/>
  <c r="K861" i="18" s="1"/>
  <c r="J601" i="18"/>
  <c r="J640" i="18"/>
  <c r="J648" i="18" s="1"/>
  <c r="J575" i="18"/>
  <c r="K575" i="18" s="1"/>
  <c r="J549" i="18"/>
  <c r="J848" i="18"/>
  <c r="J856" i="18" s="1"/>
  <c r="J822" i="18"/>
  <c r="J830" i="18" s="1"/>
  <c r="J484" i="18"/>
  <c r="J492" i="18" s="1"/>
  <c r="J796" i="18"/>
  <c r="K796" i="18" s="1"/>
  <c r="J731" i="18"/>
  <c r="J739" i="18" s="1"/>
  <c r="J523" i="18"/>
  <c r="K523" i="18" s="1"/>
  <c r="J718" i="18"/>
  <c r="J614" i="18"/>
  <c r="K614" i="18" s="1"/>
  <c r="J809" i="18"/>
  <c r="J744" i="18"/>
  <c r="J770" i="18"/>
  <c r="J778" i="18" s="1"/>
  <c r="J783" i="18"/>
  <c r="J791" i="18" s="1"/>
  <c r="J627" i="18"/>
  <c r="J635" i="18" s="1"/>
  <c r="J757" i="18"/>
  <c r="K757" i="18" s="1"/>
  <c r="J536" i="18"/>
  <c r="K536" i="18" s="1"/>
  <c r="J835" i="18"/>
  <c r="J705" i="18"/>
  <c r="K705" i="18" s="1"/>
  <c r="J679" i="18"/>
  <c r="J562" i="18"/>
  <c r="J653" i="18"/>
  <c r="J692" i="18"/>
  <c r="P510" i="18"/>
  <c r="V510" i="18"/>
  <c r="T510" i="18"/>
  <c r="X497" i="18"/>
  <c r="O510" i="18"/>
  <c r="L510" i="18"/>
  <c r="N497" i="18"/>
  <c r="W497" i="18"/>
  <c r="V497" i="18"/>
  <c r="Q497" i="18"/>
  <c r="R497" i="18"/>
  <c r="J497" i="18"/>
  <c r="M497" i="18"/>
  <c r="W510" i="18"/>
  <c r="K497" i="18"/>
  <c r="X510" i="18"/>
  <c r="L497" i="18"/>
  <c r="S510" i="18"/>
  <c r="T497" i="18"/>
  <c r="O497" i="18"/>
  <c r="S497" i="18"/>
  <c r="U497" i="18"/>
  <c r="P497" i="18"/>
  <c r="M510" i="18"/>
  <c r="J510" i="18"/>
  <c r="J518" i="18" s="1"/>
  <c r="N510" i="18"/>
  <c r="R510" i="18"/>
  <c r="Q510" i="18"/>
  <c r="K510" i="18"/>
  <c r="U510" i="18"/>
  <c r="BX99" i="7942"/>
  <c r="BY66" i="7942"/>
  <c r="AQ91" i="7942"/>
  <c r="AR58" i="7942"/>
  <c r="J98" i="7942"/>
  <c r="K65" i="7942"/>
  <c r="AR54" i="7942"/>
  <c r="AQ87" i="7942"/>
  <c r="K59" i="7942"/>
  <c r="J92" i="7942"/>
  <c r="K49" i="7942"/>
  <c r="J82" i="7942"/>
  <c r="J90" i="7942"/>
  <c r="K57" i="7942"/>
  <c r="U82" i="7942"/>
  <c r="V49" i="7942"/>
  <c r="J97" i="7942"/>
  <c r="K64" i="7942"/>
  <c r="V53" i="7942"/>
  <c r="U86" i="7942"/>
  <c r="I648" i="18"/>
  <c r="BX95" i="7942"/>
  <c r="BY62" i="7942"/>
  <c r="BB105" i="7942"/>
  <c r="BC72" i="7942"/>
  <c r="CU56" i="7942"/>
  <c r="CT89" i="7942"/>
  <c r="CI93" i="7942"/>
  <c r="CJ60" i="7942"/>
  <c r="AP107" i="7942"/>
  <c r="BY72" i="7942"/>
  <c r="BX105" i="7942"/>
  <c r="BM102" i="7942"/>
  <c r="BN69" i="7942"/>
  <c r="DE102" i="7942"/>
  <c r="DF69" i="7942"/>
  <c r="I518" i="18"/>
  <c r="AQ99" i="7942"/>
  <c r="AR66" i="7942"/>
  <c r="CU70" i="7942"/>
  <c r="CT103" i="7942"/>
  <c r="BN62" i="7942"/>
  <c r="BM95" i="7942"/>
  <c r="CJ61" i="7942"/>
  <c r="CI94" i="7942"/>
  <c r="DF67" i="7942"/>
  <c r="DE100" i="7942"/>
  <c r="BN51" i="7942"/>
  <c r="BM84" i="7942"/>
  <c r="K665" i="18"/>
  <c r="BB103" i="7942"/>
  <c r="BC70" i="7942"/>
  <c r="AQ96" i="7942"/>
  <c r="AR63" i="7942"/>
  <c r="AF83" i="7942"/>
  <c r="AG50" i="7942"/>
  <c r="AF98" i="7942"/>
  <c r="AG65" i="7942"/>
  <c r="BB93" i="7942"/>
  <c r="BC60" i="7942"/>
  <c r="CI105" i="7942"/>
  <c r="CJ72" i="7942"/>
  <c r="BN63" i="7942"/>
  <c r="BM96" i="7942"/>
  <c r="Y508" i="18"/>
  <c r="BC65" i="7942"/>
  <c r="BB98" i="7942"/>
  <c r="V55" i="7942"/>
  <c r="U88" i="7942"/>
  <c r="CJ67" i="7942"/>
  <c r="CI100" i="7942"/>
  <c r="K58" i="7942"/>
  <c r="J91" i="7942"/>
  <c r="I885" i="18"/>
  <c r="J87" i="7942"/>
  <c r="K54" i="7942"/>
  <c r="CJ54" i="7942"/>
  <c r="CI87" i="7942"/>
  <c r="BN53" i="7942"/>
  <c r="BM86" i="7942"/>
  <c r="BX88" i="7942"/>
  <c r="BY55" i="7942"/>
  <c r="BB84" i="7942"/>
  <c r="BC51" i="7942"/>
  <c r="CJ48" i="7942"/>
  <c r="CI81" i="7942"/>
  <c r="BN55" i="7942"/>
  <c r="BM88" i="7942"/>
  <c r="DF72" i="7942"/>
  <c r="DE105" i="7942"/>
  <c r="DE87" i="7942"/>
  <c r="DF54" i="7942"/>
  <c r="L651" i="18"/>
  <c r="M651" i="18" s="1"/>
  <c r="AR73" i="7942"/>
  <c r="AQ106" i="7942"/>
  <c r="BC56" i="7942"/>
  <c r="BB89" i="7942"/>
  <c r="CT104" i="7942"/>
  <c r="CU71" i="7942"/>
  <c r="I765" i="18"/>
  <c r="K755" i="18"/>
  <c r="AG53" i="7942"/>
  <c r="AF86" i="7942"/>
  <c r="AF90" i="7942"/>
  <c r="AG57" i="7942"/>
  <c r="AG56" i="7942"/>
  <c r="AF89" i="7942"/>
  <c r="CU66" i="7942"/>
  <c r="CT99" i="7942"/>
  <c r="AR64" i="7942"/>
  <c r="AQ97" i="7942"/>
  <c r="DE94" i="7942"/>
  <c r="DF61" i="7942"/>
  <c r="CH107" i="7942"/>
  <c r="L677" i="18"/>
  <c r="AR68" i="7942"/>
  <c r="AQ101" i="7942"/>
  <c r="BY70" i="7942"/>
  <c r="BX103" i="7942"/>
  <c r="DF64" i="7942"/>
  <c r="DE97" i="7942"/>
  <c r="CJ52" i="7942"/>
  <c r="CI85" i="7942"/>
  <c r="AQ86" i="7942"/>
  <c r="AR53" i="7942"/>
  <c r="BN71" i="7942"/>
  <c r="BM104" i="7942"/>
  <c r="AG71" i="7942"/>
  <c r="AF104" i="7942"/>
  <c r="CI104" i="7942"/>
  <c r="CJ71" i="7942"/>
  <c r="L586" i="18"/>
  <c r="J817" i="18" l="1"/>
  <c r="I153" i="18"/>
  <c r="AM92" i="18"/>
  <c r="AN92" i="18" s="1"/>
  <c r="AO92" i="18" s="1"/>
  <c r="I296" i="18"/>
  <c r="K364" i="18"/>
  <c r="L364" i="18" s="1"/>
  <c r="K286" i="18"/>
  <c r="M834" i="18"/>
  <c r="N834" i="18" s="1"/>
  <c r="O834" i="18" s="1"/>
  <c r="L208" i="18"/>
  <c r="M208" i="18" s="1"/>
  <c r="M742" i="18"/>
  <c r="J609" i="18"/>
  <c r="J700" i="18"/>
  <c r="J218" i="18"/>
  <c r="I166" i="18"/>
  <c r="N300" i="18"/>
  <c r="O300" i="18" s="1"/>
  <c r="P300" i="18" s="1"/>
  <c r="M483" i="18"/>
  <c r="N483" i="18" s="1"/>
  <c r="O483" i="18" s="1"/>
  <c r="P483" i="18" s="1"/>
  <c r="I218" i="18"/>
  <c r="J403" i="18"/>
  <c r="J413" i="18" s="1"/>
  <c r="N380" i="18"/>
  <c r="O380" i="18" s="1"/>
  <c r="P380" i="18" s="1"/>
  <c r="K377" i="18"/>
  <c r="K387" i="18" s="1"/>
  <c r="J325" i="18"/>
  <c r="K325" i="18" s="1"/>
  <c r="K335" i="18" s="1"/>
  <c r="I387" i="18"/>
  <c r="M846" i="18"/>
  <c r="N846" i="18" s="1"/>
  <c r="L691" i="18"/>
  <c r="M691" i="18" s="1"/>
  <c r="N691" i="18" s="1"/>
  <c r="K351" i="18"/>
  <c r="K361" i="18" s="1"/>
  <c r="J244" i="18"/>
  <c r="I348" i="18"/>
  <c r="K234" i="18"/>
  <c r="L234" i="18" s="1"/>
  <c r="M234" i="18" s="1"/>
  <c r="I244" i="18"/>
  <c r="I309" i="18"/>
  <c r="I374" i="18"/>
  <c r="J416" i="18"/>
  <c r="J426" i="18" s="1"/>
  <c r="N261" i="18"/>
  <c r="O261" i="18" s="1"/>
  <c r="P261" i="18" s="1"/>
  <c r="Q261" i="18" s="1"/>
  <c r="K640" i="18"/>
  <c r="L640" i="18" s="1"/>
  <c r="K156" i="18"/>
  <c r="L156" i="18" s="1"/>
  <c r="K114" i="18"/>
  <c r="J166" i="18"/>
  <c r="K822" i="18"/>
  <c r="L822" i="18" s="1"/>
  <c r="J59" i="7946"/>
  <c r="J84" i="7946" s="1"/>
  <c r="L666" i="18"/>
  <c r="M666" i="18" s="1"/>
  <c r="M432" i="18"/>
  <c r="N432" i="18" s="1"/>
  <c r="O432" i="18" s="1"/>
  <c r="P432" i="18" s="1"/>
  <c r="K601" i="18"/>
  <c r="L601" i="18" s="1"/>
  <c r="J8" i="7943"/>
  <c r="J374" i="18"/>
  <c r="I60" i="7946"/>
  <c r="M535" i="18"/>
  <c r="N535" i="18" s="1"/>
  <c r="J387" i="18"/>
  <c r="K484" i="18"/>
  <c r="L484" i="18" s="1"/>
  <c r="L340" i="18"/>
  <c r="M340" i="18" s="1"/>
  <c r="N340" i="18" s="1"/>
  <c r="V558" i="18"/>
  <c r="W558" i="18" s="1"/>
  <c r="X558" i="18" s="1"/>
  <c r="Y558" i="18" s="1"/>
  <c r="Z558" i="18" s="1"/>
  <c r="AA558" i="18" s="1"/>
  <c r="AB558" i="18" s="1"/>
  <c r="AC558" i="18" s="1"/>
  <c r="AD558" i="18" s="1"/>
  <c r="AE558" i="18" s="1"/>
  <c r="AF558" i="18" s="1"/>
  <c r="AG558" i="18" s="1"/>
  <c r="AH558" i="18" s="1"/>
  <c r="AI558" i="18" s="1"/>
  <c r="AJ558" i="18" s="1"/>
  <c r="AK558" i="18" s="1"/>
  <c r="AL558" i="18" s="1"/>
  <c r="AM558" i="18" s="1"/>
  <c r="AN558" i="18" s="1"/>
  <c r="AO558" i="18" s="1"/>
  <c r="AP558" i="18" s="1"/>
  <c r="AQ558" i="18" s="1"/>
  <c r="AR558" i="18" s="1"/>
  <c r="AS558" i="18" s="1"/>
  <c r="AT558" i="18" s="1"/>
  <c r="AU558" i="18" s="1"/>
  <c r="AV558" i="18" s="1"/>
  <c r="AW558" i="18" s="1"/>
  <c r="AX558" i="18" s="1"/>
  <c r="AY558" i="18" s="1"/>
  <c r="AZ558" i="18" s="1"/>
  <c r="BA558" i="18" s="1"/>
  <c r="BB558" i="18" s="1"/>
  <c r="BC558" i="18" s="1"/>
  <c r="BD558" i="18" s="1"/>
  <c r="BE558" i="18" s="1"/>
  <c r="BF558" i="18" s="1"/>
  <c r="BG558" i="18" s="1"/>
  <c r="BH558" i="18" s="1"/>
  <c r="AB414" i="18"/>
  <c r="V753" i="18"/>
  <c r="W753" i="18" s="1"/>
  <c r="X753" i="18"/>
  <c r="Y753" i="18" s="1"/>
  <c r="Z753" i="18" s="1"/>
  <c r="AA753" i="18" s="1"/>
  <c r="AB753" i="18" s="1"/>
  <c r="AC753" i="18" s="1"/>
  <c r="AD753" i="18" s="1"/>
  <c r="AE753" i="18" s="1"/>
  <c r="AF753" i="18" s="1"/>
  <c r="AG753" i="18" s="1"/>
  <c r="AH753" i="18" s="1"/>
  <c r="AI753" i="18" s="1"/>
  <c r="AJ753" i="18" s="1"/>
  <c r="AK753" i="18" s="1"/>
  <c r="AL753" i="18" s="1"/>
  <c r="AM753" i="18" s="1"/>
  <c r="AN753" i="18" s="1"/>
  <c r="AO753" i="18" s="1"/>
  <c r="AP753" i="18" s="1"/>
  <c r="AQ753" i="18" s="1"/>
  <c r="AR753" i="18" s="1"/>
  <c r="AS753" i="18" s="1"/>
  <c r="AT753" i="18" s="1"/>
  <c r="AU753" i="18" s="1"/>
  <c r="AV753" i="18" s="1"/>
  <c r="AW753" i="18" s="1"/>
  <c r="AX753" i="18" s="1"/>
  <c r="AY753" i="18" s="1"/>
  <c r="AZ753" i="18" s="1"/>
  <c r="BA753" i="18" s="1"/>
  <c r="BB753" i="18" s="1"/>
  <c r="BC753" i="18" s="1"/>
  <c r="BD753" i="18" s="1"/>
  <c r="BE753" i="18" s="1"/>
  <c r="BF753" i="18" s="1"/>
  <c r="BG753" i="18" s="1"/>
  <c r="BH753" i="18" s="1"/>
  <c r="BI753" i="18" s="1"/>
  <c r="K770" i="18"/>
  <c r="L770" i="18" s="1"/>
  <c r="L705" i="18"/>
  <c r="M705" i="18" s="1"/>
  <c r="I452" i="18"/>
  <c r="S623" i="18"/>
  <c r="T623" i="18"/>
  <c r="U623" i="18" s="1"/>
  <c r="V623" i="18" s="1"/>
  <c r="W623" i="18" s="1"/>
  <c r="X623" i="18" s="1"/>
  <c r="Y623" i="18" s="1"/>
  <c r="Z623" i="18" s="1"/>
  <c r="AA623" i="18" s="1"/>
  <c r="AB623" i="18" s="1"/>
  <c r="AC623" i="18" s="1"/>
  <c r="AD623" i="18" s="1"/>
  <c r="AE623" i="18" s="1"/>
  <c r="AF623" i="18" s="1"/>
  <c r="AG623" i="18" s="1"/>
  <c r="AH623" i="18" s="1"/>
  <c r="AI623" i="18" s="1"/>
  <c r="AJ623" i="18" s="1"/>
  <c r="AK623" i="18" s="1"/>
  <c r="AL623" i="18" s="1"/>
  <c r="AM623" i="18" s="1"/>
  <c r="AN623" i="18" s="1"/>
  <c r="AO623" i="18" s="1"/>
  <c r="AP623" i="18" s="1"/>
  <c r="AQ623" i="18" s="1"/>
  <c r="AR623" i="18" s="1"/>
  <c r="AS623" i="18" s="1"/>
  <c r="AT623" i="18" s="1"/>
  <c r="AU623" i="18" s="1"/>
  <c r="AV623" i="18" s="1"/>
  <c r="AW623" i="18" s="1"/>
  <c r="AX623" i="18" s="1"/>
  <c r="AY623" i="18" s="1"/>
  <c r="AZ623" i="18" s="1"/>
  <c r="L145" i="18"/>
  <c r="M145" i="18" s="1"/>
  <c r="T636" i="18"/>
  <c r="U636" i="18" s="1"/>
  <c r="V636" i="18"/>
  <c r="W636" i="18" s="1"/>
  <c r="X636" i="18" s="1"/>
  <c r="Y636" i="18" s="1"/>
  <c r="Z636" i="18" s="1"/>
  <c r="AA636" i="18" s="1"/>
  <c r="AB636" i="18" s="1"/>
  <c r="AC636" i="18" s="1"/>
  <c r="AD636" i="18" s="1"/>
  <c r="AE636" i="18" s="1"/>
  <c r="AF636" i="18" s="1"/>
  <c r="AG636" i="18" s="1"/>
  <c r="AH636" i="18" s="1"/>
  <c r="AI636" i="18" s="1"/>
  <c r="AJ636" i="18" s="1"/>
  <c r="AK636" i="18" s="1"/>
  <c r="AL636" i="18" s="1"/>
  <c r="AM636" i="18" s="1"/>
  <c r="AN636" i="18" s="1"/>
  <c r="AO636" i="18" s="1"/>
  <c r="AP636" i="18" s="1"/>
  <c r="AQ636" i="18" s="1"/>
  <c r="AR636" i="18" s="1"/>
  <c r="AS636" i="18" s="1"/>
  <c r="AT636" i="18" s="1"/>
  <c r="AU636" i="18" s="1"/>
  <c r="AV636" i="18" s="1"/>
  <c r="AW636" i="18" s="1"/>
  <c r="AX636" i="18" s="1"/>
  <c r="AY636" i="18" s="1"/>
  <c r="AZ636" i="18" s="1"/>
  <c r="BA636" i="18" s="1"/>
  <c r="BB636" i="18" s="1"/>
  <c r="BC636" i="18" s="1"/>
  <c r="BD636" i="18" s="1"/>
  <c r="BE636" i="18" s="1"/>
  <c r="BF636" i="18" s="1"/>
  <c r="BG636" i="18" s="1"/>
  <c r="BH636" i="18" s="1"/>
  <c r="BI636" i="18" s="1"/>
  <c r="J726" i="18"/>
  <c r="I439" i="18"/>
  <c r="L184" i="18"/>
  <c r="M184" i="18" s="1"/>
  <c r="AA597" i="18"/>
  <c r="X427" i="18"/>
  <c r="Y427" i="18" s="1"/>
  <c r="R128" i="18"/>
  <c r="W805" i="18"/>
  <c r="I85" i="7946"/>
  <c r="Z427" i="18"/>
  <c r="AA427" i="18" s="1"/>
  <c r="AB427" i="18" s="1"/>
  <c r="I73" i="7946"/>
  <c r="I98" i="7946" s="1"/>
  <c r="J78" i="7943"/>
  <c r="J73" i="7946" s="1"/>
  <c r="J98" i="7946" s="1"/>
  <c r="AA675" i="18"/>
  <c r="AP115" i="18"/>
  <c r="AQ115" i="18" s="1"/>
  <c r="AR115" i="18" s="1"/>
  <c r="AS115" i="18" s="1"/>
  <c r="AT115" i="18" s="1"/>
  <c r="AU115" i="18" s="1"/>
  <c r="AV115" i="18" s="1"/>
  <c r="AW115" i="18" s="1"/>
  <c r="AX115" i="18" s="1"/>
  <c r="AY115" i="18" s="1"/>
  <c r="AZ115" i="18" s="1"/>
  <c r="BA115" i="18" s="1"/>
  <c r="BB115" i="18" s="1"/>
  <c r="BC115" i="18" s="1"/>
  <c r="BD115" i="18" s="1"/>
  <c r="BE115" i="18" s="1"/>
  <c r="BF115" i="18" s="1"/>
  <c r="BG115" i="18" s="1"/>
  <c r="BH115" i="18" s="1"/>
  <c r="BI115" i="18" s="1"/>
  <c r="X102" i="18"/>
  <c r="S297" i="18"/>
  <c r="O53" i="7946"/>
  <c r="O78" i="7946"/>
  <c r="P76" i="7943"/>
  <c r="S480" i="18"/>
  <c r="T480" i="18" s="1"/>
  <c r="U480" i="18" s="1"/>
  <c r="V480" i="18" s="1"/>
  <c r="W480" i="18" s="1"/>
  <c r="X480" i="18" s="1"/>
  <c r="Y480" i="18" s="1"/>
  <c r="Z480" i="18" s="1"/>
  <c r="AA480" i="18" s="1"/>
  <c r="AB480" i="18" s="1"/>
  <c r="AC480" i="18" s="1"/>
  <c r="AD480" i="18" s="1"/>
  <c r="AE480" i="18" s="1"/>
  <c r="AF480" i="18" s="1"/>
  <c r="AG480" i="18" s="1"/>
  <c r="AH480" i="18" s="1"/>
  <c r="AI480" i="18" s="1"/>
  <c r="AJ480" i="18" s="1"/>
  <c r="AK480" i="18" s="1"/>
  <c r="AL480" i="18" s="1"/>
  <c r="AM480" i="18" s="1"/>
  <c r="AN480" i="18" s="1"/>
  <c r="AO480" i="18" s="1"/>
  <c r="AC831" i="18"/>
  <c r="AD831" i="18" s="1"/>
  <c r="AE831" i="18" s="1"/>
  <c r="AF831" i="18" s="1"/>
  <c r="AG831" i="18" s="1"/>
  <c r="AH831" i="18" s="1"/>
  <c r="AI831" i="18" s="1"/>
  <c r="AJ831" i="18" s="1"/>
  <c r="AK831" i="18" s="1"/>
  <c r="AL831" i="18" s="1"/>
  <c r="AM831" i="18" s="1"/>
  <c r="AN831" i="18" s="1"/>
  <c r="AO831" i="18" s="1"/>
  <c r="AP831" i="18" s="1"/>
  <c r="AQ831" i="18" s="1"/>
  <c r="AR831" i="18" s="1"/>
  <c r="AS831" i="18" s="1"/>
  <c r="AT831" i="18" s="1"/>
  <c r="AU831" i="18" s="1"/>
  <c r="AV831" i="18" s="1"/>
  <c r="AW831" i="18" s="1"/>
  <c r="AX831" i="18" s="1"/>
  <c r="AY831" i="18" s="1"/>
  <c r="AZ831" i="18" s="1"/>
  <c r="BA831" i="18" s="1"/>
  <c r="BB831" i="18" s="1"/>
  <c r="BC831" i="18" s="1"/>
  <c r="BD831" i="18" s="1"/>
  <c r="BE831" i="18" s="1"/>
  <c r="BF831" i="18" s="1"/>
  <c r="BG831" i="18" s="1"/>
  <c r="BH831" i="18" s="1"/>
  <c r="BI831" i="18" s="1"/>
  <c r="V831" i="18"/>
  <c r="W831" i="18" s="1"/>
  <c r="X831" i="18" s="1"/>
  <c r="Y831" i="18" s="1"/>
  <c r="Z831" i="18" s="1"/>
  <c r="AA831" i="18" s="1"/>
  <c r="AB831" i="18" s="1"/>
  <c r="W154" i="18"/>
  <c r="X154" i="18" s="1"/>
  <c r="Y154" i="18" s="1"/>
  <c r="Z154" i="18" s="1"/>
  <c r="AA154" i="18" s="1"/>
  <c r="AB154" i="18" s="1"/>
  <c r="AC154" i="18" s="1"/>
  <c r="AD154" i="18" s="1"/>
  <c r="AE154" i="18" s="1"/>
  <c r="AF154" i="18" s="1"/>
  <c r="AG154" i="18" s="1"/>
  <c r="AH154" i="18" s="1"/>
  <c r="W219" i="18"/>
  <c r="T297" i="18"/>
  <c r="R388" i="18"/>
  <c r="S388" i="18" s="1"/>
  <c r="Z727" i="18"/>
  <c r="AA727" i="18" s="1"/>
  <c r="AB727" i="18" s="1"/>
  <c r="AC727" i="18" s="1"/>
  <c r="AD727" i="18" s="1"/>
  <c r="AE727" i="18" s="1"/>
  <c r="AF727" i="18" s="1"/>
  <c r="AG727" i="18" s="1"/>
  <c r="AH727" i="18" s="1"/>
  <c r="AI727" i="18" s="1"/>
  <c r="AJ727" i="18" s="1"/>
  <c r="AK727" i="18" s="1"/>
  <c r="AL727" i="18" s="1"/>
  <c r="AM727" i="18" s="1"/>
  <c r="AN727" i="18" s="1"/>
  <c r="AO727" i="18" s="1"/>
  <c r="AP727" i="18" s="1"/>
  <c r="AQ727" i="18" s="1"/>
  <c r="AR727" i="18" s="1"/>
  <c r="AS727" i="18" s="1"/>
  <c r="AT727" i="18" s="1"/>
  <c r="AU727" i="18" s="1"/>
  <c r="AV727" i="18" s="1"/>
  <c r="AW727" i="18" s="1"/>
  <c r="AX727" i="18" s="1"/>
  <c r="AY727" i="18" s="1"/>
  <c r="AZ727" i="18" s="1"/>
  <c r="BA727" i="18" s="1"/>
  <c r="BB727" i="18" s="1"/>
  <c r="BC727" i="18" s="1"/>
  <c r="BD727" i="18" s="1"/>
  <c r="BE727" i="18" s="1"/>
  <c r="BF727" i="18" s="1"/>
  <c r="BG727" i="18" s="1"/>
  <c r="BH727" i="18" s="1"/>
  <c r="BI727" i="18" s="1"/>
  <c r="S453" i="18"/>
  <c r="T453" i="18" s="1"/>
  <c r="U453" i="18" s="1"/>
  <c r="V453" i="18" s="1"/>
  <c r="W453" i="18" s="1"/>
  <c r="X453" i="18" s="1"/>
  <c r="Y453" i="18" s="1"/>
  <c r="Z453" i="18" s="1"/>
  <c r="R453" i="18"/>
  <c r="X610" i="18"/>
  <c r="X506" i="18"/>
  <c r="S180" i="18"/>
  <c r="T180" i="18" s="1"/>
  <c r="U180" i="18" s="1"/>
  <c r="V180" i="18" s="1"/>
  <c r="W180" i="18" s="1"/>
  <c r="X180" i="18" s="1"/>
  <c r="Y180" i="18" s="1"/>
  <c r="Z180" i="18" s="1"/>
  <c r="AA180" i="18" s="1"/>
  <c r="AB180" i="18" s="1"/>
  <c r="AC180" i="18" s="1"/>
  <c r="AD180" i="18" s="1"/>
  <c r="AE180" i="18" s="1"/>
  <c r="AF180" i="18" s="1"/>
  <c r="AG180" i="18" s="1"/>
  <c r="AH180" i="18" s="1"/>
  <c r="AI180" i="18" s="1"/>
  <c r="AJ180" i="18" s="1"/>
  <c r="AK180" i="18" s="1"/>
  <c r="AL180" i="18" s="1"/>
  <c r="AM180" i="18" s="1"/>
  <c r="AN180" i="18" s="1"/>
  <c r="AO180" i="18" s="1"/>
  <c r="AP180" i="18" s="1"/>
  <c r="AQ180" i="18" s="1"/>
  <c r="AR180" i="18" s="1"/>
  <c r="AS180" i="18" s="1"/>
  <c r="AT180" i="18" s="1"/>
  <c r="AU180" i="18" s="1"/>
  <c r="AV180" i="18" s="1"/>
  <c r="AW180" i="18" s="1"/>
  <c r="AX180" i="18" s="1"/>
  <c r="AY180" i="18" s="1"/>
  <c r="AZ180" i="18" s="1"/>
  <c r="BA180" i="18" s="1"/>
  <c r="BB180" i="18" s="1"/>
  <c r="BC180" i="18" s="1"/>
  <c r="BD180" i="18" s="1"/>
  <c r="BE180" i="18" s="1"/>
  <c r="BF180" i="18" s="1"/>
  <c r="BG180" i="18" s="1"/>
  <c r="BH180" i="18" s="1"/>
  <c r="BI180" i="18" s="1"/>
  <c r="S141" i="18"/>
  <c r="T141" i="18" s="1"/>
  <c r="U141" i="18" s="1"/>
  <c r="V141" i="18" s="1"/>
  <c r="W141" i="18" s="1"/>
  <c r="X141" i="18" s="1"/>
  <c r="Y141" i="18" s="1"/>
  <c r="Z141" i="18" s="1"/>
  <c r="AA141" i="18" s="1"/>
  <c r="AB141" i="18" s="1"/>
  <c r="AC141" i="18" s="1"/>
  <c r="AD141" i="18" s="1"/>
  <c r="AE141" i="18" s="1"/>
  <c r="AF141" i="18" s="1"/>
  <c r="AG141" i="18" s="1"/>
  <c r="AH141" i="18" s="1"/>
  <c r="AI141" i="18" s="1"/>
  <c r="AJ141" i="18" s="1"/>
  <c r="AK141" i="18" s="1"/>
  <c r="AL141" i="18" s="1"/>
  <c r="AM141" i="18" s="1"/>
  <c r="AN141" i="18" s="1"/>
  <c r="AO141" i="18" s="1"/>
  <c r="AP141" i="18" s="1"/>
  <c r="AQ141" i="18" s="1"/>
  <c r="AR141" i="18" s="1"/>
  <c r="AS141" i="18" s="1"/>
  <c r="U310" i="18"/>
  <c r="N53" i="24"/>
  <c r="O13" i="2"/>
  <c r="AC427" i="18"/>
  <c r="AD427" i="18" s="1"/>
  <c r="AE427" i="18" s="1"/>
  <c r="AF427" i="18" s="1"/>
  <c r="AG427" i="18" s="1"/>
  <c r="AH427" i="18" s="1"/>
  <c r="AI427" i="18" s="1"/>
  <c r="AJ427" i="18" s="1"/>
  <c r="AK427" i="18" s="1"/>
  <c r="AL427" i="18" s="1"/>
  <c r="AM427" i="18" s="1"/>
  <c r="AN427" i="18" s="1"/>
  <c r="AO427" i="18" s="1"/>
  <c r="AP427" i="18" s="1"/>
  <c r="AQ427" i="18" s="1"/>
  <c r="AR427" i="18" s="1"/>
  <c r="AS427" i="18" s="1"/>
  <c r="AT427" i="18" s="1"/>
  <c r="AU427" i="18" s="1"/>
  <c r="AV427" i="18" s="1"/>
  <c r="AW427" i="18" s="1"/>
  <c r="AX427" i="18" s="1"/>
  <c r="AY427" i="18" s="1"/>
  <c r="AZ427" i="18" s="1"/>
  <c r="BA427" i="18" s="1"/>
  <c r="BB427" i="18" s="1"/>
  <c r="BC427" i="18" s="1"/>
  <c r="BD427" i="18" s="1"/>
  <c r="BE427" i="18" s="1"/>
  <c r="BF427" i="18" s="1"/>
  <c r="BG427" i="18" s="1"/>
  <c r="BH427" i="18" s="1"/>
  <c r="BI427" i="18" s="1"/>
  <c r="W779" i="18"/>
  <c r="T388" i="18"/>
  <c r="U388" i="18" s="1"/>
  <c r="V388" i="18" s="1"/>
  <c r="W388" i="18" s="1"/>
  <c r="X388" i="18" s="1"/>
  <c r="Y388" i="18" s="1"/>
  <c r="Z388" i="18" s="1"/>
  <c r="AG857" i="18"/>
  <c r="AH857" i="18" s="1"/>
  <c r="AI857" i="18"/>
  <c r="AJ857" i="18" s="1"/>
  <c r="AK857" i="18" s="1"/>
  <c r="AL857" i="18" s="1"/>
  <c r="AM857" i="18" s="1"/>
  <c r="AN857" i="18" s="1"/>
  <c r="AO857" i="18" s="1"/>
  <c r="AP857" i="18" s="1"/>
  <c r="AQ857" i="18" s="1"/>
  <c r="AR857" i="18" s="1"/>
  <c r="AS857" i="18" s="1"/>
  <c r="AT857" i="18" s="1"/>
  <c r="AU857" i="18" s="1"/>
  <c r="AV857" i="18" s="1"/>
  <c r="AW857" i="18" s="1"/>
  <c r="AX857" i="18" s="1"/>
  <c r="AY857" i="18" s="1"/>
  <c r="AZ857" i="18" s="1"/>
  <c r="BA857" i="18" s="1"/>
  <c r="BB857" i="18" s="1"/>
  <c r="BC857" i="18" s="1"/>
  <c r="BD857" i="18" s="1"/>
  <c r="BE857" i="18" s="1"/>
  <c r="BF857" i="18" s="1"/>
  <c r="BG857" i="18" s="1"/>
  <c r="BH857" i="18" s="1"/>
  <c r="BI857" i="18" s="1"/>
  <c r="T662" i="18"/>
  <c r="U662" i="18" s="1"/>
  <c r="S701" i="18"/>
  <c r="AP480" i="18"/>
  <c r="AQ480" i="18" s="1"/>
  <c r="AR480" i="18" s="1"/>
  <c r="R336" i="18"/>
  <c r="S336" i="18" s="1"/>
  <c r="T336" i="18" s="1"/>
  <c r="R844" i="18"/>
  <c r="S844" i="18" s="1"/>
  <c r="T844" i="18" s="1"/>
  <c r="U844" i="18" s="1"/>
  <c r="V844" i="18" s="1"/>
  <c r="W844" i="18" s="1"/>
  <c r="X844" i="18" s="1"/>
  <c r="Y844" i="18" s="1"/>
  <c r="Z844" i="18" s="1"/>
  <c r="AA844" i="18" s="1"/>
  <c r="AB844" i="18" s="1"/>
  <c r="AC844" i="18" s="1"/>
  <c r="AD844" i="18" s="1"/>
  <c r="AE844" i="18" s="1"/>
  <c r="AF844" i="18" s="1"/>
  <c r="AG844" i="18" s="1"/>
  <c r="AH844" i="18" s="1"/>
  <c r="AI844" i="18" s="1"/>
  <c r="AJ844" i="18" s="1"/>
  <c r="AK844" i="18" s="1"/>
  <c r="AL844" i="18" s="1"/>
  <c r="AM844" i="18" s="1"/>
  <c r="AN844" i="18" s="1"/>
  <c r="AO844" i="18" s="1"/>
  <c r="AP844" i="18" s="1"/>
  <c r="AQ844" i="18" s="1"/>
  <c r="AR844" i="18" s="1"/>
  <c r="AS844" i="18" s="1"/>
  <c r="AT844" i="18" s="1"/>
  <c r="AU844" i="18" s="1"/>
  <c r="AV844" i="18" s="1"/>
  <c r="AW844" i="18" s="1"/>
  <c r="AX844" i="18" s="1"/>
  <c r="AY844" i="18" s="1"/>
  <c r="AZ844" i="18" s="1"/>
  <c r="BA844" i="18" s="1"/>
  <c r="BB844" i="18" s="1"/>
  <c r="BC844" i="18" s="1"/>
  <c r="BD844" i="18" s="1"/>
  <c r="BE844" i="18" s="1"/>
  <c r="BF844" i="18" s="1"/>
  <c r="BG844" i="18" s="1"/>
  <c r="BH844" i="18" s="1"/>
  <c r="BI844" i="18" s="1"/>
  <c r="U297" i="18"/>
  <c r="AB532" i="18"/>
  <c r="AC532" i="18" s="1"/>
  <c r="R401" i="18"/>
  <c r="V688" i="18"/>
  <c r="W688" i="18" s="1"/>
  <c r="X688" i="18" s="1"/>
  <c r="Y688" i="18" s="1"/>
  <c r="Z688" i="18" s="1"/>
  <c r="AA688" i="18" s="1"/>
  <c r="AB688" i="18" s="1"/>
  <c r="AC688" i="18" s="1"/>
  <c r="AD688" i="18" s="1"/>
  <c r="AE688" i="18" s="1"/>
  <c r="AF688" i="18" s="1"/>
  <c r="AG688" i="18" s="1"/>
  <c r="AH688" i="18" s="1"/>
  <c r="AI688" i="18" s="1"/>
  <c r="AJ688" i="18" s="1"/>
  <c r="AK688" i="18" s="1"/>
  <c r="AL688" i="18" s="1"/>
  <c r="AM688" i="18" s="1"/>
  <c r="AN688" i="18" s="1"/>
  <c r="AO688" i="18" s="1"/>
  <c r="AP688" i="18" s="1"/>
  <c r="AQ688" i="18" s="1"/>
  <c r="AR688" i="18" s="1"/>
  <c r="AS688" i="18" s="1"/>
  <c r="AT688" i="18" s="1"/>
  <c r="AU688" i="18" s="1"/>
  <c r="AV688" i="18" s="1"/>
  <c r="AW688" i="18" s="1"/>
  <c r="AX688" i="18" s="1"/>
  <c r="AY688" i="18" s="1"/>
  <c r="AZ688" i="18" s="1"/>
  <c r="BA688" i="18" s="1"/>
  <c r="BB688" i="18" s="1"/>
  <c r="BC688" i="18" s="1"/>
  <c r="BD688" i="18" s="1"/>
  <c r="BE688" i="18" s="1"/>
  <c r="BF688" i="18" s="1"/>
  <c r="BG688" i="18" s="1"/>
  <c r="BH688" i="18" s="1"/>
  <c r="BI688" i="18" s="1"/>
  <c r="Q167" i="18"/>
  <c r="AS480" i="18"/>
  <c r="AT480" i="18" s="1"/>
  <c r="AU480" i="18" s="1"/>
  <c r="AV480" i="18" s="1"/>
  <c r="AW480" i="18" s="1"/>
  <c r="AX480" i="18" s="1"/>
  <c r="AY480" i="18" s="1"/>
  <c r="AZ480" i="18" s="1"/>
  <c r="BA480" i="18" s="1"/>
  <c r="BB480" i="18" s="1"/>
  <c r="BC480" i="18" s="1"/>
  <c r="BD480" i="18" s="1"/>
  <c r="BE480" i="18" s="1"/>
  <c r="BF480" i="18" s="1"/>
  <c r="BG480" i="18" s="1"/>
  <c r="BH480" i="18" s="1"/>
  <c r="BI480" i="18" s="1"/>
  <c r="S740" i="18"/>
  <c r="R688" i="18"/>
  <c r="S688" i="18" s="1"/>
  <c r="T688" i="18" s="1"/>
  <c r="U688" i="18" s="1"/>
  <c r="AB675" i="18"/>
  <c r="AC675" i="18" s="1"/>
  <c r="AD675" i="18" s="1"/>
  <c r="AE675" i="18" s="1"/>
  <c r="AF675" i="18" s="1"/>
  <c r="AG675" i="18" s="1"/>
  <c r="AH675" i="18" s="1"/>
  <c r="AI675" i="18" s="1"/>
  <c r="AJ675" i="18" s="1"/>
  <c r="AK675" i="18" s="1"/>
  <c r="AL675" i="18" s="1"/>
  <c r="AM675" i="18" s="1"/>
  <c r="AN675" i="18" s="1"/>
  <c r="AO675" i="18" s="1"/>
  <c r="AP675" i="18" s="1"/>
  <c r="AQ675" i="18" s="1"/>
  <c r="AR675" i="18" s="1"/>
  <c r="AS675" i="18" s="1"/>
  <c r="AT675" i="18" s="1"/>
  <c r="AU675" i="18" s="1"/>
  <c r="AV675" i="18" s="1"/>
  <c r="AW675" i="18" s="1"/>
  <c r="AX675" i="18" s="1"/>
  <c r="AY675" i="18" s="1"/>
  <c r="AZ675" i="18" s="1"/>
  <c r="BA675" i="18" s="1"/>
  <c r="BB675" i="18" s="1"/>
  <c r="BC675" i="18" s="1"/>
  <c r="BD675" i="18" s="1"/>
  <c r="BE675" i="18" s="1"/>
  <c r="BF675" i="18" s="1"/>
  <c r="BG675" i="18" s="1"/>
  <c r="BH675" i="18" s="1"/>
  <c r="BI675" i="18" s="1"/>
  <c r="X584" i="18"/>
  <c r="W349" i="18"/>
  <c r="X349" i="18" s="1"/>
  <c r="Y349" i="18" s="1"/>
  <c r="Z349" i="18" s="1"/>
  <c r="AA349" i="18" s="1"/>
  <c r="AB349" i="18" s="1"/>
  <c r="AC349" i="18" s="1"/>
  <c r="AD349" i="18" s="1"/>
  <c r="AE349" i="18" s="1"/>
  <c r="AF349" i="18" s="1"/>
  <c r="AG349" i="18" s="1"/>
  <c r="AH349" i="18" s="1"/>
  <c r="AI349" i="18" s="1"/>
  <c r="AJ349" i="18" s="1"/>
  <c r="AK349" i="18" s="1"/>
  <c r="AL349" i="18" s="1"/>
  <c r="AM349" i="18" s="1"/>
  <c r="AN349" i="18" s="1"/>
  <c r="AO349" i="18" s="1"/>
  <c r="AP349" i="18" s="1"/>
  <c r="AQ349" i="18" s="1"/>
  <c r="AR349" i="18" s="1"/>
  <c r="AS349" i="18" s="1"/>
  <c r="AT349" i="18" s="1"/>
  <c r="AU349" i="18" s="1"/>
  <c r="AV349" i="18" s="1"/>
  <c r="AW349" i="18" s="1"/>
  <c r="AX349" i="18" s="1"/>
  <c r="AY349" i="18" s="1"/>
  <c r="AZ349" i="18" s="1"/>
  <c r="BA349" i="18" s="1"/>
  <c r="BB349" i="18" s="1"/>
  <c r="BC349" i="18" s="1"/>
  <c r="BD349" i="18" s="1"/>
  <c r="BE349" i="18" s="1"/>
  <c r="BF349" i="18" s="1"/>
  <c r="BG349" i="18" s="1"/>
  <c r="BH349" i="18" s="1"/>
  <c r="BI349" i="18" s="1"/>
  <c r="Q323" i="18"/>
  <c r="X284" i="18"/>
  <c r="Y284" i="18" s="1"/>
  <c r="Z284" i="18" s="1"/>
  <c r="AA284" i="18" s="1"/>
  <c r="AB284" i="18" s="1"/>
  <c r="AC284" i="18" s="1"/>
  <c r="AD284" i="18" s="1"/>
  <c r="AE284" i="18" s="1"/>
  <c r="AF284" i="18" s="1"/>
  <c r="AG284" i="18" s="1"/>
  <c r="AH284" i="18" s="1"/>
  <c r="AI284" i="18" s="1"/>
  <c r="AJ284" i="18" s="1"/>
  <c r="AK284" i="18" s="1"/>
  <c r="AL284" i="18" s="1"/>
  <c r="AM284" i="18" s="1"/>
  <c r="AN284" i="18" s="1"/>
  <c r="AO284" i="18" s="1"/>
  <c r="AP284" i="18" s="1"/>
  <c r="AQ284" i="18" s="1"/>
  <c r="AR284" i="18" s="1"/>
  <c r="AS284" i="18" s="1"/>
  <c r="AT284" i="18" s="1"/>
  <c r="AU284" i="18" s="1"/>
  <c r="AV284" i="18" s="1"/>
  <c r="AW284" i="18" s="1"/>
  <c r="AX284" i="18" s="1"/>
  <c r="AY284" i="18" s="1"/>
  <c r="AZ284" i="18" s="1"/>
  <c r="BA284" i="18" s="1"/>
  <c r="BB284" i="18" s="1"/>
  <c r="BC284" i="18" s="1"/>
  <c r="BD284" i="18" s="1"/>
  <c r="BE284" i="18" s="1"/>
  <c r="BF284" i="18" s="1"/>
  <c r="BG284" i="18" s="1"/>
  <c r="BH284" i="18" s="1"/>
  <c r="BI284" i="18" s="1"/>
  <c r="BH375" i="18"/>
  <c r="BI375" i="18" s="1"/>
  <c r="W714" i="18"/>
  <c r="T792" i="18"/>
  <c r="AQ440" i="18"/>
  <c r="AR440" i="18" s="1"/>
  <c r="AS440" i="18" s="1"/>
  <c r="AT440" i="18" s="1"/>
  <c r="AU440" i="18" s="1"/>
  <c r="AV440" i="18" s="1"/>
  <c r="AW440" i="18" s="1"/>
  <c r="AX440" i="18" s="1"/>
  <c r="AY440" i="18" s="1"/>
  <c r="AZ440" i="18" s="1"/>
  <c r="BA440" i="18" s="1"/>
  <c r="BB440" i="18" s="1"/>
  <c r="BC440" i="18" s="1"/>
  <c r="BD440" i="18" s="1"/>
  <c r="BE440" i="18" s="1"/>
  <c r="BF440" i="18" s="1"/>
  <c r="BG440" i="18" s="1"/>
  <c r="BH440" i="18" s="1"/>
  <c r="BI440" i="18" s="1"/>
  <c r="AI440" i="18"/>
  <c r="AJ440" i="18" s="1"/>
  <c r="AK440" i="18" s="1"/>
  <c r="AL440" i="18" s="1"/>
  <c r="AM440" i="18" s="1"/>
  <c r="AN440" i="18" s="1"/>
  <c r="AO440" i="18" s="1"/>
  <c r="AP440" i="18" s="1"/>
  <c r="Y245" i="18"/>
  <c r="Z245" i="18" s="1"/>
  <c r="AA245" i="18" s="1"/>
  <c r="AB245" i="18" s="1"/>
  <c r="AC245" i="18" s="1"/>
  <c r="AD245" i="18" s="1"/>
  <c r="AE245" i="18" s="1"/>
  <c r="AF245" i="18" s="1"/>
  <c r="AG245" i="18" s="1"/>
  <c r="AH245" i="18" s="1"/>
  <c r="AI245" i="18" s="1"/>
  <c r="AJ245" i="18" s="1"/>
  <c r="AK245" i="18" s="1"/>
  <c r="AL245" i="18" s="1"/>
  <c r="Y506" i="18"/>
  <c r="Z506" i="18" s="1"/>
  <c r="AA506" i="18" s="1"/>
  <c r="AB506" i="18" s="1"/>
  <c r="AC506" i="18" s="1"/>
  <c r="AD506" i="18" s="1"/>
  <c r="AE506" i="18" s="1"/>
  <c r="AF506" i="18" s="1"/>
  <c r="Y362" i="18"/>
  <c r="Y519" i="18"/>
  <c r="Z519" i="18" s="1"/>
  <c r="AA519" i="18" s="1"/>
  <c r="AB519" i="18" s="1"/>
  <c r="AC519" i="18" s="1"/>
  <c r="AD519" i="18" s="1"/>
  <c r="AE519" i="18" s="1"/>
  <c r="AF519" i="18" s="1"/>
  <c r="AG519" i="18" s="1"/>
  <c r="AH519" i="18" s="1"/>
  <c r="AI519" i="18" s="1"/>
  <c r="AJ519" i="18" s="1"/>
  <c r="AK519" i="18" s="1"/>
  <c r="AL519" i="18" s="1"/>
  <c r="AM519" i="18" s="1"/>
  <c r="AN519" i="18" s="1"/>
  <c r="AO519" i="18" s="1"/>
  <c r="Z571" i="18"/>
  <c r="AA571" i="18" s="1"/>
  <c r="AB571" i="18" s="1"/>
  <c r="AC571" i="18" s="1"/>
  <c r="AD571" i="18" s="1"/>
  <c r="AE571" i="18" s="1"/>
  <c r="AF571" i="18" s="1"/>
  <c r="AG571" i="18" s="1"/>
  <c r="AH571" i="18" s="1"/>
  <c r="AI571" i="18" s="1"/>
  <c r="AJ571" i="18" s="1"/>
  <c r="AK571" i="18" s="1"/>
  <c r="AL571" i="18" s="1"/>
  <c r="AM571" i="18" s="1"/>
  <c r="AN571" i="18" s="1"/>
  <c r="AO571" i="18" s="1"/>
  <c r="AP571" i="18" s="1"/>
  <c r="AQ571" i="18" s="1"/>
  <c r="AR571" i="18" s="1"/>
  <c r="AS571" i="18" s="1"/>
  <c r="AT571" i="18" s="1"/>
  <c r="AU571" i="18" s="1"/>
  <c r="AV571" i="18" s="1"/>
  <c r="AW571" i="18" s="1"/>
  <c r="AX571" i="18" s="1"/>
  <c r="AY571" i="18" s="1"/>
  <c r="AZ571" i="18" s="1"/>
  <c r="BA571" i="18" s="1"/>
  <c r="BB571" i="18" s="1"/>
  <c r="BC571" i="18" s="1"/>
  <c r="BD571" i="18" s="1"/>
  <c r="BE571" i="18" s="1"/>
  <c r="BF571" i="18" s="1"/>
  <c r="BG571" i="18" s="1"/>
  <c r="BH571" i="18" s="1"/>
  <c r="BI571" i="18" s="1"/>
  <c r="AA388" i="18"/>
  <c r="AB388" i="18" s="1"/>
  <c r="AC388" i="18" s="1"/>
  <c r="AD388" i="18" s="1"/>
  <c r="AE388" i="18" s="1"/>
  <c r="AF388" i="18" s="1"/>
  <c r="AG388" i="18" s="1"/>
  <c r="AH388" i="18" s="1"/>
  <c r="AI388" i="18" s="1"/>
  <c r="AJ388" i="18" s="1"/>
  <c r="AK388" i="18" s="1"/>
  <c r="AL388" i="18" s="1"/>
  <c r="AM388" i="18" s="1"/>
  <c r="AN388" i="18" s="1"/>
  <c r="AO388" i="18" s="1"/>
  <c r="AP388" i="18" s="1"/>
  <c r="AQ388" i="18" s="1"/>
  <c r="AR388" i="18" s="1"/>
  <c r="AS388" i="18" s="1"/>
  <c r="AT388" i="18" s="1"/>
  <c r="AU388" i="18" s="1"/>
  <c r="AV388" i="18" s="1"/>
  <c r="AW388" i="18" s="1"/>
  <c r="AX388" i="18" s="1"/>
  <c r="AY388" i="18" s="1"/>
  <c r="AZ388" i="18" s="1"/>
  <c r="BA388" i="18" s="1"/>
  <c r="BB388" i="18" s="1"/>
  <c r="BC388" i="18" s="1"/>
  <c r="BD388" i="18" s="1"/>
  <c r="BE388" i="18" s="1"/>
  <c r="BF388" i="18" s="1"/>
  <c r="BG388" i="18" s="1"/>
  <c r="BH388" i="18" s="1"/>
  <c r="BI388" i="18" s="1"/>
  <c r="AB649" i="18"/>
  <c r="X193" i="18"/>
  <c r="Q545" i="18"/>
  <c r="R545" i="18" s="1"/>
  <c r="S545" i="18" s="1"/>
  <c r="T545" i="18" s="1"/>
  <c r="U545" i="18" s="1"/>
  <c r="V545" i="18" s="1"/>
  <c r="W545" i="18" s="1"/>
  <c r="X545" i="18" s="1"/>
  <c r="Y545" i="18" s="1"/>
  <c r="Z545" i="18" s="1"/>
  <c r="AA545" i="18" s="1"/>
  <c r="AB545" i="18" s="1"/>
  <c r="AC545" i="18" s="1"/>
  <c r="AD545" i="18" s="1"/>
  <c r="AE545" i="18" s="1"/>
  <c r="AF545" i="18" s="1"/>
  <c r="AG545" i="18" s="1"/>
  <c r="AH545" i="18" s="1"/>
  <c r="AI545" i="18" s="1"/>
  <c r="AJ545" i="18" s="1"/>
  <c r="AK545" i="18" s="1"/>
  <c r="AL545" i="18" s="1"/>
  <c r="P545" i="18"/>
  <c r="AM245" i="18"/>
  <c r="AN245" i="18" s="1"/>
  <c r="AO245" i="18" s="1"/>
  <c r="AP245" i="18" s="1"/>
  <c r="AQ245" i="18" s="1"/>
  <c r="AR245" i="18" s="1"/>
  <c r="AS245" i="18" s="1"/>
  <c r="AT245" i="18" s="1"/>
  <c r="AU245" i="18" s="1"/>
  <c r="AV245" i="18" s="1"/>
  <c r="AW245" i="18" s="1"/>
  <c r="AX245" i="18" s="1"/>
  <c r="AY245" i="18" s="1"/>
  <c r="AZ245" i="18" s="1"/>
  <c r="BA245" i="18" s="1"/>
  <c r="BB245" i="18" s="1"/>
  <c r="BC245" i="18" s="1"/>
  <c r="BD245" i="18" s="1"/>
  <c r="BE245" i="18" s="1"/>
  <c r="BF245" i="18" s="1"/>
  <c r="BG245" i="18" s="1"/>
  <c r="BH245" i="18" s="1"/>
  <c r="BI245" i="18" s="1"/>
  <c r="U206" i="18"/>
  <c r="V206" i="18" s="1"/>
  <c r="W206" i="18" s="1"/>
  <c r="X206" i="18" s="1"/>
  <c r="Y206" i="18" s="1"/>
  <c r="Z206" i="18" s="1"/>
  <c r="AA206" i="18" s="1"/>
  <c r="AB206" i="18" s="1"/>
  <c r="AC206" i="18" s="1"/>
  <c r="AD206" i="18" s="1"/>
  <c r="AE206" i="18" s="1"/>
  <c r="AF206" i="18"/>
  <c r="AG206" i="18" s="1"/>
  <c r="AH206" i="18" s="1"/>
  <c r="AI206" i="18" s="1"/>
  <c r="AJ206" i="18" s="1"/>
  <c r="AK206" i="18" s="1"/>
  <c r="AL206" i="18" s="1"/>
  <c r="AM206" i="18" s="1"/>
  <c r="AN206" i="18" s="1"/>
  <c r="AO206" i="18" s="1"/>
  <c r="AP206" i="18" s="1"/>
  <c r="AQ206" i="18" s="1"/>
  <c r="AR206" i="18" s="1"/>
  <c r="AS206" i="18" s="1"/>
  <c r="AT206" i="18" s="1"/>
  <c r="AU206" i="18" s="1"/>
  <c r="AV206" i="18" s="1"/>
  <c r="AW206" i="18" s="1"/>
  <c r="AX206" i="18" s="1"/>
  <c r="AY206" i="18" s="1"/>
  <c r="AZ206" i="18" s="1"/>
  <c r="BA206" i="18" s="1"/>
  <c r="BB206" i="18" s="1"/>
  <c r="BC206" i="18" s="1"/>
  <c r="BD206" i="18" s="1"/>
  <c r="BE206" i="18" s="1"/>
  <c r="BF206" i="18" s="1"/>
  <c r="BG206" i="18" s="1"/>
  <c r="BH206" i="18" s="1"/>
  <c r="BI206" i="18" s="1"/>
  <c r="M522" i="18"/>
  <c r="N522" i="18" s="1"/>
  <c r="O522" i="18" s="1"/>
  <c r="L860" i="18"/>
  <c r="K809" i="18"/>
  <c r="L809" i="18" s="1"/>
  <c r="M276" i="18"/>
  <c r="N276" i="18" s="1"/>
  <c r="M159" i="18"/>
  <c r="N159" i="18" s="1"/>
  <c r="O159" i="18" s="1"/>
  <c r="M717" i="18"/>
  <c r="N717" i="18" s="1"/>
  <c r="O717" i="18" s="1"/>
  <c r="K731" i="18"/>
  <c r="L731" i="18" s="1"/>
  <c r="M731" i="18" s="1"/>
  <c r="K704" i="18"/>
  <c r="L704" i="18" s="1"/>
  <c r="M704" i="18" s="1"/>
  <c r="L119" i="18"/>
  <c r="M250" i="18"/>
  <c r="N250" i="18" s="1"/>
  <c r="M743" i="18"/>
  <c r="N743" i="18" s="1"/>
  <c r="M820" i="18"/>
  <c r="N820" i="18" s="1"/>
  <c r="M756" i="18"/>
  <c r="N756" i="18" s="1"/>
  <c r="O756" i="18" s="1"/>
  <c r="L249" i="18"/>
  <c r="M249" i="18" s="1"/>
  <c r="N249" i="18" s="1"/>
  <c r="M445" i="18"/>
  <c r="N445" i="18" s="1"/>
  <c r="O445" i="18" s="1"/>
  <c r="P445" i="18" s="1"/>
  <c r="L274" i="18"/>
  <c r="L626" i="18"/>
  <c r="M626" i="18" s="1"/>
  <c r="Q678" i="18"/>
  <c r="R678" i="18" s="1"/>
  <c r="L536" i="18"/>
  <c r="M536" i="18" s="1"/>
  <c r="J361" i="18"/>
  <c r="K158" i="18"/>
  <c r="L158" i="18" s="1"/>
  <c r="M158" i="18" s="1"/>
  <c r="M456" i="18"/>
  <c r="N456" i="18" s="1"/>
  <c r="O456" i="18" s="1"/>
  <c r="L807" i="18"/>
  <c r="M807" i="18" s="1"/>
  <c r="N807" i="18" s="1"/>
  <c r="AP92" i="18"/>
  <c r="AQ92" i="18" s="1"/>
  <c r="M263" i="18"/>
  <c r="N263" i="18" s="1"/>
  <c r="M417" i="18"/>
  <c r="N417" i="18" s="1"/>
  <c r="L196" i="18"/>
  <c r="M196" i="18" s="1"/>
  <c r="Y510" i="18"/>
  <c r="K692" i="18"/>
  <c r="L692" i="18" s="1"/>
  <c r="M692" i="18" s="1"/>
  <c r="L588" i="18"/>
  <c r="M588" i="18" s="1"/>
  <c r="N588" i="18" s="1"/>
  <c r="O588" i="18" s="1"/>
  <c r="M210" i="18"/>
  <c r="L171" i="18"/>
  <c r="M171" i="18" s="1"/>
  <c r="K612" i="18"/>
  <c r="L612" i="18" s="1"/>
  <c r="K716" i="18"/>
  <c r="L716" i="18" s="1"/>
  <c r="K457" i="18"/>
  <c r="O198" i="18"/>
  <c r="P198" i="18" s="1"/>
  <c r="N157" i="18"/>
  <c r="O157" i="18" s="1"/>
  <c r="P157" i="18" s="1"/>
  <c r="O235" i="18"/>
  <c r="P235" i="18" s="1"/>
  <c r="L547" i="18"/>
  <c r="M547" i="18" s="1"/>
  <c r="L393" i="18"/>
  <c r="M393" i="18" s="1"/>
  <c r="N339" i="18"/>
  <c r="O339" i="18" s="1"/>
  <c r="P339" i="18" s="1"/>
  <c r="L392" i="18"/>
  <c r="M392" i="18" s="1"/>
  <c r="M287" i="18"/>
  <c r="M289" i="18"/>
  <c r="N289" i="18" s="1"/>
  <c r="O289" i="18" s="1"/>
  <c r="L482" i="18"/>
  <c r="M482" i="18" s="1"/>
  <c r="M352" i="18"/>
  <c r="L575" i="18"/>
  <c r="M575" i="18" s="1"/>
  <c r="N575" i="18" s="1"/>
  <c r="O341" i="18"/>
  <c r="P341" i="18" s="1"/>
  <c r="K783" i="18"/>
  <c r="L783" i="18" s="1"/>
  <c r="M783" i="18" s="1"/>
  <c r="J661" i="18"/>
  <c r="M444" i="18"/>
  <c r="N444" i="18" s="1"/>
  <c r="O131" i="18"/>
  <c r="P131" i="18" s="1"/>
  <c r="N237" i="18"/>
  <c r="O237" i="18" s="1"/>
  <c r="AH71" i="7942"/>
  <c r="AG104" i="7942"/>
  <c r="N690" i="18"/>
  <c r="AG103" i="7942"/>
  <c r="AH70" i="7942"/>
  <c r="AS53" i="7942"/>
  <c r="AR86" i="7942"/>
  <c r="AH57" i="7942"/>
  <c r="AG90" i="7942"/>
  <c r="BY88" i="7942"/>
  <c r="BZ55" i="7942"/>
  <c r="L54" i="7942"/>
  <c r="K87" i="7942"/>
  <c r="V88" i="7942"/>
  <c r="W55" i="7942"/>
  <c r="CV56" i="7942"/>
  <c r="CU89" i="7942"/>
  <c r="K92" i="7942"/>
  <c r="L59" i="7942"/>
  <c r="BZ66" i="7942"/>
  <c r="BY99" i="7942"/>
  <c r="K627" i="18"/>
  <c r="K679" i="18"/>
  <c r="L679" i="18" s="1"/>
  <c r="M679" i="18" s="1"/>
  <c r="L757" i="18"/>
  <c r="K718" i="18"/>
  <c r="AF107" i="7942"/>
  <c r="AG88" i="7942"/>
  <c r="AH55" i="7942"/>
  <c r="L665" i="18"/>
  <c r="BZ52" i="7942"/>
  <c r="BY85" i="7942"/>
  <c r="DG71" i="7942"/>
  <c r="DF104" i="7942"/>
  <c r="CU83" i="7942"/>
  <c r="CV50" i="7942"/>
  <c r="CV69" i="7942"/>
  <c r="CU102" i="7942"/>
  <c r="J130" i="18"/>
  <c r="J140" i="18" s="1"/>
  <c r="I140" i="18"/>
  <c r="CU85" i="7942"/>
  <c r="CV52" i="7942"/>
  <c r="AR103" i="7942"/>
  <c r="AS70" i="7942"/>
  <c r="DG68" i="7942"/>
  <c r="DF101" i="7942"/>
  <c r="V100" i="7942"/>
  <c r="W67" i="7942"/>
  <c r="N391" i="18"/>
  <c r="O391" i="18" s="1"/>
  <c r="P391" i="18" s="1"/>
  <c r="AS69" i="7942"/>
  <c r="AR102" i="7942"/>
  <c r="L262" i="18"/>
  <c r="M262" i="18" s="1"/>
  <c r="BN104" i="7942"/>
  <c r="BO71" i="7942"/>
  <c r="V98" i="7942"/>
  <c r="W65" i="7942"/>
  <c r="CU94" i="7942"/>
  <c r="CV61" i="7942"/>
  <c r="N406" i="18"/>
  <c r="O406" i="18" s="1"/>
  <c r="P406" i="18" s="1"/>
  <c r="Q406" i="18" s="1"/>
  <c r="M146" i="18"/>
  <c r="N651" i="18"/>
  <c r="BZ70" i="7942"/>
  <c r="BY103" i="7942"/>
  <c r="AG83" i="7942"/>
  <c r="AH50" i="7942"/>
  <c r="AS66" i="7942"/>
  <c r="AR99" i="7942"/>
  <c r="DG69" i="7942"/>
  <c r="DF102" i="7942"/>
  <c r="O639" i="18"/>
  <c r="P639" i="18" s="1"/>
  <c r="Q639" i="18" s="1"/>
  <c r="V86" i="7942"/>
  <c r="W53" i="7942"/>
  <c r="L614" i="18"/>
  <c r="M614" i="18" s="1"/>
  <c r="K835" i="18"/>
  <c r="J843" i="18"/>
  <c r="L796" i="18"/>
  <c r="M796" i="18" s="1"/>
  <c r="L523" i="18"/>
  <c r="M523" i="18" s="1"/>
  <c r="AR84" i="7942"/>
  <c r="AS51" i="7942"/>
  <c r="CJ99" i="7942"/>
  <c r="CK66" i="7942"/>
  <c r="BZ61" i="7942"/>
  <c r="BY94" i="7942"/>
  <c r="J765" i="18"/>
  <c r="J169" i="18"/>
  <c r="J179" i="18" s="1"/>
  <c r="I179" i="18"/>
  <c r="L62" i="7942"/>
  <c r="K95" i="7942"/>
  <c r="I322" i="18"/>
  <c r="J312" i="18"/>
  <c r="J322" i="18" s="1"/>
  <c r="BZ67" i="7942"/>
  <c r="BY100" i="7942"/>
  <c r="AM94" i="18"/>
  <c r="N430" i="18"/>
  <c r="O430" i="18" s="1"/>
  <c r="AL105" i="18"/>
  <c r="AM105" i="18" s="1"/>
  <c r="AN105" i="18" s="1"/>
  <c r="AO105" i="18" s="1"/>
  <c r="P404" i="18"/>
  <c r="DG61" i="7942"/>
  <c r="DF94" i="7942"/>
  <c r="DF87" i="7942"/>
  <c r="DG54" i="7942"/>
  <c r="AH65" i="7942"/>
  <c r="AG98" i="7942"/>
  <c r="BC86" i="7942"/>
  <c r="BD53" i="7942"/>
  <c r="BY89" i="7942"/>
  <c r="BZ56" i="7942"/>
  <c r="J348" i="18"/>
  <c r="K338" i="18"/>
  <c r="CV48" i="7942"/>
  <c r="CU81" i="7942"/>
  <c r="DF88" i="7942"/>
  <c r="DG55" i="7942"/>
  <c r="K257" i="18"/>
  <c r="L247" i="18"/>
  <c r="M247" i="18" s="1"/>
  <c r="N247" i="18" s="1"/>
  <c r="CU90" i="7942"/>
  <c r="CV57" i="7942"/>
  <c r="CV71" i="7942"/>
  <c r="CU104" i="7942"/>
  <c r="AS73" i="7942"/>
  <c r="AR106" i="7942"/>
  <c r="Z508" i="18"/>
  <c r="BO63" i="7942"/>
  <c r="BN96" i="7942"/>
  <c r="BY95" i="7942"/>
  <c r="BZ62" i="7942"/>
  <c r="L64" i="7942"/>
  <c r="K97" i="7942"/>
  <c r="L534" i="18"/>
  <c r="M534" i="18" s="1"/>
  <c r="AS54" i="7942"/>
  <c r="AR87" i="7942"/>
  <c r="K653" i="18"/>
  <c r="K848" i="18"/>
  <c r="K549" i="18"/>
  <c r="J557" i="18"/>
  <c r="K641" i="18"/>
  <c r="L641" i="18" s="1"/>
  <c r="K719" i="18"/>
  <c r="K771" i="18"/>
  <c r="K778" i="18" s="1"/>
  <c r="K706" i="18"/>
  <c r="K7" i="18"/>
  <c r="K823" i="18"/>
  <c r="K810" i="18"/>
  <c r="L810" i="18" s="1"/>
  <c r="K745" i="18"/>
  <c r="L745" i="18" s="1"/>
  <c r="K550" i="18"/>
  <c r="L550" i="18" s="1"/>
  <c r="K589" i="18"/>
  <c r="K615" i="18"/>
  <c r="K622" i="18" s="1"/>
  <c r="K797" i="18"/>
  <c r="L797" i="18" s="1"/>
  <c r="K784" i="18"/>
  <c r="L784" i="18" s="1"/>
  <c r="M784" i="18" s="1"/>
  <c r="K576" i="18"/>
  <c r="L576" i="18" s="1"/>
  <c r="K654" i="18"/>
  <c r="L654" i="18" s="1"/>
  <c r="K836" i="18"/>
  <c r="L836" i="18" s="1"/>
  <c r="M836" i="18" s="1"/>
  <c r="K602" i="18"/>
  <c r="L602" i="18" s="1"/>
  <c r="K680" i="18"/>
  <c r="K862" i="18"/>
  <c r="K693" i="18"/>
  <c r="K700" i="18" s="1"/>
  <c r="K849" i="18"/>
  <c r="L849" i="18" s="1"/>
  <c r="K524" i="18"/>
  <c r="K531" i="18" s="1"/>
  <c r="K537" i="18"/>
  <c r="L537" i="18" s="1"/>
  <c r="M537" i="18" s="1"/>
  <c r="N537" i="18" s="1"/>
  <c r="K563" i="18"/>
  <c r="L563" i="18" s="1"/>
  <c r="K732" i="18"/>
  <c r="L732" i="18" s="1"/>
  <c r="K628" i="18"/>
  <c r="K485" i="18"/>
  <c r="K758" i="18"/>
  <c r="L758" i="18" s="1"/>
  <c r="K667" i="18"/>
  <c r="L667" i="18" s="1"/>
  <c r="L719" i="18"/>
  <c r="K498" i="18"/>
  <c r="O498" i="18"/>
  <c r="V498" i="18"/>
  <c r="R498" i="18"/>
  <c r="S498" i="18"/>
  <c r="X498" i="18"/>
  <c r="W498" i="18"/>
  <c r="L498" i="18"/>
  <c r="P498" i="18"/>
  <c r="N498" i="18"/>
  <c r="U498" i="18"/>
  <c r="Y498" i="18"/>
  <c r="M498" i="18"/>
  <c r="T498" i="18"/>
  <c r="Y511" i="18"/>
  <c r="Q498" i="18"/>
  <c r="R511" i="18"/>
  <c r="T511" i="18"/>
  <c r="S511" i="18"/>
  <c r="Q511" i="18"/>
  <c r="W511" i="18"/>
  <c r="K511" i="18"/>
  <c r="K518" i="18" s="1"/>
  <c r="U511" i="18"/>
  <c r="N511" i="18"/>
  <c r="V511" i="18"/>
  <c r="X511" i="18"/>
  <c r="L511" i="18"/>
  <c r="M511" i="18"/>
  <c r="O511" i="18"/>
  <c r="P511" i="18"/>
  <c r="J884" i="18"/>
  <c r="BO73" i="7942"/>
  <c r="BN106" i="7942"/>
  <c r="CU86" i="7942"/>
  <c r="CV53" i="7942"/>
  <c r="AG91" i="7942"/>
  <c r="AH58" i="7942"/>
  <c r="M730" i="18"/>
  <c r="CV65" i="7942"/>
  <c r="CU98" i="7942"/>
  <c r="AS72" i="7942"/>
  <c r="AR105" i="7942"/>
  <c r="K429" i="18"/>
  <c r="J439" i="18"/>
  <c r="BO52" i="7942"/>
  <c r="BN85" i="7942"/>
  <c r="AG93" i="7942"/>
  <c r="AH60" i="7942"/>
  <c r="J885" i="18"/>
  <c r="Z496" i="18"/>
  <c r="BC99" i="7942"/>
  <c r="BD66" i="7942"/>
  <c r="AL93" i="18"/>
  <c r="L367" i="18"/>
  <c r="J46" i="18"/>
  <c r="Y509" i="18"/>
  <c r="L768" i="18"/>
  <c r="AO79" i="18"/>
  <c r="AP79" i="18" s="1"/>
  <c r="AR101" i="7942"/>
  <c r="AS68" i="7942"/>
  <c r="AS64" i="7942"/>
  <c r="AR97" i="7942"/>
  <c r="N742" i="18"/>
  <c r="DF105" i="7942"/>
  <c r="DG72" i="7942"/>
  <c r="BO55" i="7942"/>
  <c r="BN88" i="7942"/>
  <c r="BN86" i="7942"/>
  <c r="BO53" i="7942"/>
  <c r="BD65" i="7942"/>
  <c r="BC98" i="7942"/>
  <c r="CK72" i="7942"/>
  <c r="CJ105" i="7942"/>
  <c r="AS63" i="7942"/>
  <c r="AR96" i="7942"/>
  <c r="BO69" i="7942"/>
  <c r="BN102" i="7942"/>
  <c r="K90" i="7942"/>
  <c r="L57" i="7942"/>
  <c r="Y497" i="18"/>
  <c r="Z497" i="18" s="1"/>
  <c r="M548" i="18"/>
  <c r="N548" i="18" s="1"/>
  <c r="BO50" i="7942"/>
  <c r="BN83" i="7942"/>
  <c r="DF99" i="7942"/>
  <c r="DG66" i="7942"/>
  <c r="H33" i="7943"/>
  <c r="G10" i="7946"/>
  <c r="BN82" i="7942"/>
  <c r="BO49" i="7942"/>
  <c r="BN105" i="7942"/>
  <c r="BO72" i="7942"/>
  <c r="L587" i="18"/>
  <c r="BZ49" i="7942"/>
  <c r="BY82" i="7942"/>
  <c r="M729" i="18"/>
  <c r="BO67" i="7942"/>
  <c r="BN100" i="7942"/>
  <c r="K11" i="24"/>
  <c r="K7" i="7943"/>
  <c r="J69" i="18"/>
  <c r="J58" i="18"/>
  <c r="J65" i="18"/>
  <c r="L211" i="18"/>
  <c r="CU92" i="7942"/>
  <c r="CV59" i="7942"/>
  <c r="AH56" i="7942"/>
  <c r="AG89" i="7942"/>
  <c r="AS48" i="7942"/>
  <c r="AR81" i="7942"/>
  <c r="M586" i="18"/>
  <c r="AG86" i="7942"/>
  <c r="AH53" i="7942"/>
  <c r="CJ104" i="7942"/>
  <c r="CK71" i="7942"/>
  <c r="CJ85" i="7942"/>
  <c r="CK52" i="7942"/>
  <c r="BC89" i="7942"/>
  <c r="BD56" i="7942"/>
  <c r="CI107" i="7942"/>
  <c r="L58" i="7942"/>
  <c r="K91" i="7942"/>
  <c r="BO62" i="7942"/>
  <c r="BN95" i="7942"/>
  <c r="V82" i="7942"/>
  <c r="W49" i="7942"/>
  <c r="K98" i="7942"/>
  <c r="L65" i="7942"/>
  <c r="M640" i="18"/>
  <c r="L861" i="18"/>
  <c r="M861" i="18" s="1"/>
  <c r="N861" i="18" s="1"/>
  <c r="W63" i="7942"/>
  <c r="V96" i="7942"/>
  <c r="BO70" i="7942"/>
  <c r="BN103" i="7942"/>
  <c r="BD68" i="7942"/>
  <c r="BC101" i="7942"/>
  <c r="K652" i="18"/>
  <c r="V85" i="7942"/>
  <c r="W52" i="7942"/>
  <c r="BZ63" i="7942"/>
  <c r="BY96" i="7942"/>
  <c r="BD61" i="7942"/>
  <c r="BC94" i="7942"/>
  <c r="N625" i="18"/>
  <c r="O625" i="18" s="1"/>
  <c r="BZ57" i="7942"/>
  <c r="BY90" i="7942"/>
  <c r="N418" i="18"/>
  <c r="O418" i="18" s="1"/>
  <c r="AL80" i="18"/>
  <c r="K301" i="18"/>
  <c r="L301" i="18" s="1"/>
  <c r="K223" i="18"/>
  <c r="AS61" i="7942"/>
  <c r="AR94" i="7942"/>
  <c r="BB107" i="7942"/>
  <c r="M133" i="18"/>
  <c r="J66" i="18"/>
  <c r="M224" i="18"/>
  <c r="N224" i="18" s="1"/>
  <c r="J531" i="18"/>
  <c r="J195" i="18"/>
  <c r="I205" i="18"/>
  <c r="M378" i="18"/>
  <c r="K744" i="18"/>
  <c r="L744" i="18" s="1"/>
  <c r="J752" i="18"/>
  <c r="W64" i="7942"/>
  <c r="V97" i="7942"/>
  <c r="K102" i="7942"/>
  <c r="L69" i="7942"/>
  <c r="AS56" i="7942"/>
  <c r="AR89" i="7942"/>
  <c r="M677" i="18"/>
  <c r="CU99" i="7942"/>
  <c r="CV66" i="7942"/>
  <c r="L755" i="18"/>
  <c r="M755" i="18" s="1"/>
  <c r="J687" i="18"/>
  <c r="CK48" i="7942"/>
  <c r="CJ81" i="7942"/>
  <c r="O638" i="18"/>
  <c r="BC93" i="7942"/>
  <c r="BD60" i="7942"/>
  <c r="BC103" i="7942"/>
  <c r="BD70" i="7942"/>
  <c r="BO51" i="7942"/>
  <c r="BN84" i="7942"/>
  <c r="CJ94" i="7942"/>
  <c r="CK61" i="7942"/>
  <c r="CK60" i="7942"/>
  <c r="CJ93" i="7942"/>
  <c r="N600" i="18"/>
  <c r="L821" i="18"/>
  <c r="M821" i="18" s="1"/>
  <c r="CK70" i="7942"/>
  <c r="CJ103" i="7942"/>
  <c r="J544" i="18"/>
  <c r="BN101" i="7942"/>
  <c r="BO68" i="7942"/>
  <c r="L781" i="18"/>
  <c r="K791" i="18"/>
  <c r="H24" i="7945"/>
  <c r="DF98" i="7942"/>
  <c r="DG65" i="7942"/>
  <c r="H74" i="7946"/>
  <c r="M364" i="18"/>
  <c r="N364" i="18" s="1"/>
  <c r="L68" i="7942"/>
  <c r="K101" i="7942"/>
  <c r="DF82" i="7942"/>
  <c r="DG49" i="7942"/>
  <c r="J296" i="18"/>
  <c r="K288" i="18"/>
  <c r="K296" i="18" s="1"/>
  <c r="M365" i="18"/>
  <c r="N365" i="18" s="1"/>
  <c r="O365" i="18" s="1"/>
  <c r="W61" i="7942"/>
  <c r="V94" i="7942"/>
  <c r="AK104" i="18"/>
  <c r="DF100" i="7942"/>
  <c r="DG67" i="7942"/>
  <c r="BC105" i="7942"/>
  <c r="BD72" i="7942"/>
  <c r="O847" i="18"/>
  <c r="P847" i="18" s="1"/>
  <c r="AG94" i="7942"/>
  <c r="AH61" i="7942"/>
  <c r="V81" i="7942"/>
  <c r="W48" i="7942"/>
  <c r="DG64" i="7942"/>
  <c r="DF97" i="7942"/>
  <c r="O651" i="18"/>
  <c r="BD51" i="7942"/>
  <c r="BC84" i="7942"/>
  <c r="CK54" i="7942"/>
  <c r="CJ87" i="7942"/>
  <c r="CK67" i="7942"/>
  <c r="CJ100" i="7942"/>
  <c r="CV70" i="7942"/>
  <c r="CU103" i="7942"/>
  <c r="BZ72" i="7942"/>
  <c r="BY105" i="7942"/>
  <c r="L49" i="7942"/>
  <c r="K82" i="7942"/>
  <c r="AS58" i="7942"/>
  <c r="AR91" i="7942"/>
  <c r="K562" i="18"/>
  <c r="J570" i="18"/>
  <c r="M782" i="18"/>
  <c r="CJ92" i="7942"/>
  <c r="CK59" i="7942"/>
  <c r="AG101" i="7942"/>
  <c r="AH68" i="7942"/>
  <c r="BO60" i="7942"/>
  <c r="BN93" i="7942"/>
  <c r="U107" i="7942"/>
  <c r="AA495" i="18"/>
  <c r="AB495" i="18" s="1"/>
  <c r="AC495" i="18" s="1"/>
  <c r="AD495" i="18" s="1"/>
  <c r="AE495" i="18" s="1"/>
  <c r="AF495" i="18" s="1"/>
  <c r="AG495" i="18" s="1"/>
  <c r="AH495" i="18" s="1"/>
  <c r="AI495" i="18" s="1"/>
  <c r="AJ495" i="18" s="1"/>
  <c r="AK495" i="18" s="1"/>
  <c r="AL495" i="18" s="1"/>
  <c r="AM495" i="18" s="1"/>
  <c r="AN495" i="18" s="1"/>
  <c r="AO495" i="18" s="1"/>
  <c r="AP495" i="18" s="1"/>
  <c r="AQ495" i="18" s="1"/>
  <c r="AR495" i="18" s="1"/>
  <c r="AS495" i="18" s="1"/>
  <c r="AT495" i="18" s="1"/>
  <c r="AU495" i="18" s="1"/>
  <c r="AV495" i="18" s="1"/>
  <c r="AW495" i="18" s="1"/>
  <c r="AX495" i="18" s="1"/>
  <c r="AY495" i="18" s="1"/>
  <c r="AZ495" i="18" s="1"/>
  <c r="BA495" i="18" s="1"/>
  <c r="BB495" i="18" s="1"/>
  <c r="BC495" i="18" s="1"/>
  <c r="BD495" i="18" s="1"/>
  <c r="BE495" i="18" s="1"/>
  <c r="BF495" i="18" s="1"/>
  <c r="BG495" i="18" s="1"/>
  <c r="BH495" i="18" s="1"/>
  <c r="BI495" i="18" s="1"/>
  <c r="P834" i="18"/>
  <c r="BD59" i="7942"/>
  <c r="BC92" i="7942"/>
  <c r="N613" i="18"/>
  <c r="AQ107" i="7942"/>
  <c r="CJ86" i="7942"/>
  <c r="CK53" i="7942"/>
  <c r="AH49" i="7942"/>
  <c r="AG82" i="7942"/>
  <c r="CT107" i="7942"/>
  <c r="CV55" i="7942"/>
  <c r="CU88" i="7942"/>
  <c r="K314" i="18"/>
  <c r="L314" i="18" s="1"/>
  <c r="M314" i="18" s="1"/>
  <c r="K431" i="18"/>
  <c r="L275" i="18"/>
  <c r="L353" i="18"/>
  <c r="M353" i="18" s="1"/>
  <c r="M170" i="18"/>
  <c r="AM81" i="18"/>
  <c r="M172" i="18"/>
  <c r="M144" i="18"/>
  <c r="N144" i="18" s="1"/>
  <c r="H17" i="7946"/>
  <c r="CU106" i="7942"/>
  <c r="CV73" i="7942"/>
  <c r="CU84" i="7942"/>
  <c r="CV51" i="7942"/>
  <c r="CU95" i="7942"/>
  <c r="CV62" i="7942"/>
  <c r="BN89" i="7942"/>
  <c r="BO56" i="7942"/>
  <c r="BD48" i="7942"/>
  <c r="BC81" i="7942"/>
  <c r="J62" i="18"/>
  <c r="J67" i="18"/>
  <c r="J71" i="18"/>
  <c r="J674" i="18"/>
  <c r="K127" i="18"/>
  <c r="I270" i="18"/>
  <c r="CV58" i="7942"/>
  <c r="CU91" i="7942"/>
  <c r="BY83" i="7942"/>
  <c r="BZ50" i="7942"/>
  <c r="AS49" i="7942"/>
  <c r="AR82" i="7942"/>
  <c r="CV54" i="7942"/>
  <c r="CU87" i="7942"/>
  <c r="AH63" i="7942"/>
  <c r="AG96" i="7942"/>
  <c r="BO57" i="7942"/>
  <c r="BN90" i="7942"/>
  <c r="BY92" i="7942"/>
  <c r="BZ59" i="7942"/>
  <c r="CK62" i="7942"/>
  <c r="CJ95" i="7942"/>
  <c r="BO66" i="7942"/>
  <c r="BN99" i="7942"/>
  <c r="AG99" i="7942"/>
  <c r="AH66" i="7942"/>
  <c r="BC91" i="7942"/>
  <c r="BD58" i="7942"/>
  <c r="CK63" i="7942"/>
  <c r="CJ96" i="7942"/>
  <c r="V99" i="7942"/>
  <c r="W66" i="7942"/>
  <c r="O691" i="18"/>
  <c r="BD69" i="7942"/>
  <c r="BC102" i="7942"/>
  <c r="I283" i="18"/>
  <c r="K6" i="24"/>
  <c r="DG62" i="7942"/>
  <c r="DF95" i="7942"/>
  <c r="AR98" i="7942"/>
  <c r="AS65" i="7942"/>
  <c r="K573" i="18"/>
  <c r="J583" i="18"/>
  <c r="L561" i="18"/>
  <c r="M561" i="18" s="1"/>
  <c r="AH59" i="7942"/>
  <c r="AG92" i="7942"/>
  <c r="K103" i="7942"/>
  <c r="L70" i="7942"/>
  <c r="V90" i="7942"/>
  <c r="W57" i="7942"/>
  <c r="CJ91" i="7942"/>
  <c r="CK58" i="7942"/>
  <c r="L366" i="18"/>
  <c r="L379" i="18"/>
  <c r="L405" i="18"/>
  <c r="M405" i="18" s="1"/>
  <c r="W73" i="7942"/>
  <c r="V106" i="7942"/>
  <c r="M14" i="2"/>
  <c r="L15" i="2"/>
  <c r="L19" i="2" s="1"/>
  <c r="L10" i="24"/>
  <c r="L20" i="2"/>
  <c r="L21" i="2" s="1"/>
  <c r="L22" i="2"/>
  <c r="L18" i="2"/>
  <c r="CJ97" i="7942"/>
  <c r="CK64" i="7942"/>
  <c r="AM107" i="18"/>
  <c r="AN107" i="18" s="1"/>
  <c r="AO107" i="18" s="1"/>
  <c r="M419" i="18"/>
  <c r="N302" i="18"/>
  <c r="O302" i="18" s="1"/>
  <c r="P302" i="18" s="1"/>
  <c r="J57" i="18"/>
  <c r="J45" i="18"/>
  <c r="J60" i="18"/>
  <c r="J55" i="18"/>
  <c r="DG60" i="7942"/>
  <c r="DF93" i="7942"/>
  <c r="AS67" i="7942"/>
  <c r="AR100" i="7942"/>
  <c r="J257" i="18"/>
  <c r="M117" i="18"/>
  <c r="CJ106" i="7942"/>
  <c r="CK73" i="7942"/>
  <c r="W69" i="7942"/>
  <c r="V102" i="7942"/>
  <c r="M326" i="18"/>
  <c r="N326" i="18" s="1"/>
  <c r="K86" i="7942"/>
  <c r="L53" i="7942"/>
  <c r="DF106" i="7942"/>
  <c r="DG73" i="7942"/>
  <c r="DF91" i="7942"/>
  <c r="DG58" i="7942"/>
  <c r="O248" i="18"/>
  <c r="BD73" i="7942"/>
  <c r="BC106" i="7942"/>
  <c r="DG70" i="7942"/>
  <c r="DF103" i="7942"/>
  <c r="CJ88" i="7942"/>
  <c r="CK55" i="7942"/>
  <c r="CU101" i="7942"/>
  <c r="CV68" i="7942"/>
  <c r="BD63" i="7942"/>
  <c r="BC96" i="7942"/>
  <c r="H70" i="7946"/>
  <c r="H95" i="7946" s="1"/>
  <c r="G71" i="7946"/>
  <c r="G95" i="7946"/>
  <c r="G96" i="7946" s="1"/>
  <c r="W58" i="7942"/>
  <c r="V91" i="7942"/>
  <c r="J192" i="18"/>
  <c r="K182" i="18"/>
  <c r="K192" i="18" s="1"/>
  <c r="CV60" i="7942"/>
  <c r="CU93" i="7942"/>
  <c r="G40" i="7946"/>
  <c r="G56" i="7946"/>
  <c r="J153" i="18"/>
  <c r="K143" i="18"/>
  <c r="K153" i="18" s="1"/>
  <c r="BO64" i="7942"/>
  <c r="BN97" i="7942"/>
  <c r="J309" i="18"/>
  <c r="K299" i="18"/>
  <c r="J713" i="18"/>
  <c r="CJ101" i="7942"/>
  <c r="CK68" i="7942"/>
  <c r="CU97" i="7942"/>
  <c r="CV64" i="7942"/>
  <c r="V93" i="7942"/>
  <c r="W60" i="7942"/>
  <c r="CV72" i="7942"/>
  <c r="CU105" i="7942"/>
  <c r="L327" i="18"/>
  <c r="H70" i="24"/>
  <c r="H133" i="24" s="1"/>
  <c r="H66" i="24"/>
  <c r="AH72" i="7942"/>
  <c r="AG105" i="7942"/>
  <c r="DF85" i="7942"/>
  <c r="DG52" i="7942"/>
  <c r="K18" i="18"/>
  <c r="L238" i="18"/>
  <c r="M238" i="18" s="1"/>
  <c r="Q82" i="18"/>
  <c r="L433" i="18"/>
  <c r="M433" i="18" s="1"/>
  <c r="N433" i="18" s="1"/>
  <c r="K40" i="18"/>
  <c r="L251" i="18"/>
  <c r="M251" i="18" s="1"/>
  <c r="X82" i="18"/>
  <c r="Z82" i="18"/>
  <c r="AL82" i="18"/>
  <c r="L329" i="18"/>
  <c r="M329" i="18" s="1"/>
  <c r="N329" i="18" s="1"/>
  <c r="K25" i="18"/>
  <c r="AC82" i="18"/>
  <c r="AB82" i="18"/>
  <c r="K12" i="18"/>
  <c r="K22" i="18"/>
  <c r="K32" i="18"/>
  <c r="O82" i="18"/>
  <c r="K36" i="18"/>
  <c r="AE82" i="18"/>
  <c r="M82" i="18"/>
  <c r="AG82" i="18"/>
  <c r="L82" i="18"/>
  <c r="K33" i="18"/>
  <c r="L186" i="18"/>
  <c r="M186" i="18" s="1"/>
  <c r="K28" i="18"/>
  <c r="K23" i="18"/>
  <c r="K31" i="18"/>
  <c r="K30" i="18"/>
  <c r="L290" i="18"/>
  <c r="U82" i="18"/>
  <c r="AI82" i="18"/>
  <c r="W82" i="18"/>
  <c r="K26" i="18"/>
  <c r="L394" i="18"/>
  <c r="T82" i="18"/>
  <c r="L381" i="18"/>
  <c r="M381" i="18" s="1"/>
  <c r="AD82" i="18"/>
  <c r="AK82" i="18"/>
  <c r="L355" i="18"/>
  <c r="M355" i="18" s="1"/>
  <c r="N355" i="18" s="1"/>
  <c r="O355" i="18" s="1"/>
  <c r="L264" i="18"/>
  <c r="M264" i="18" s="1"/>
  <c r="L277" i="18"/>
  <c r="AF82" i="18"/>
  <c r="AJ82" i="18"/>
  <c r="K14" i="18"/>
  <c r="K35" i="18"/>
  <c r="K38" i="18"/>
  <c r="L173" i="18"/>
  <c r="L225" i="18"/>
  <c r="L368" i="18"/>
  <c r="M394" i="18"/>
  <c r="AA82" i="18"/>
  <c r="AH82" i="18"/>
  <c r="L134" i="18"/>
  <c r="M134" i="18" s="1"/>
  <c r="L303" i="18"/>
  <c r="L121" i="18"/>
  <c r="S82" i="18"/>
  <c r="L407" i="18"/>
  <c r="M407" i="18" s="1"/>
  <c r="K24" i="18"/>
  <c r="K11" i="18"/>
  <c r="L212" i="18"/>
  <c r="M212" i="18" s="1"/>
  <c r="K27" i="18"/>
  <c r="L316" i="18"/>
  <c r="L420" i="18"/>
  <c r="L199" i="18"/>
  <c r="M199" i="18" s="1"/>
  <c r="K29" i="18"/>
  <c r="Y82" i="18"/>
  <c r="L342" i="18"/>
  <c r="M342" i="18" s="1"/>
  <c r="N342" i="18" s="1"/>
  <c r="R82" i="18"/>
  <c r="K19" i="18"/>
  <c r="L147" i="18"/>
  <c r="M147" i="18" s="1"/>
  <c r="N82" i="18"/>
  <c r="P82" i="18"/>
  <c r="K20" i="18"/>
  <c r="K34" i="18"/>
  <c r="L160" i="18"/>
  <c r="M160" i="18" s="1"/>
  <c r="N160" i="18" s="1"/>
  <c r="K39" i="18"/>
  <c r="K15" i="18"/>
  <c r="K17" i="18"/>
  <c r="V82" i="18"/>
  <c r="L459" i="18"/>
  <c r="M459" i="18" s="1"/>
  <c r="L446" i="18"/>
  <c r="AM82" i="18"/>
  <c r="K16" i="18"/>
  <c r="K21" i="18"/>
  <c r="K37" i="18"/>
  <c r="AL108" i="18"/>
  <c r="AF108" i="18"/>
  <c r="Y108" i="18"/>
  <c r="AI108" i="18"/>
  <c r="AB95" i="18"/>
  <c r="P95" i="18"/>
  <c r="W95" i="18"/>
  <c r="AE95" i="18"/>
  <c r="Z108" i="18"/>
  <c r="V108" i="18"/>
  <c r="AA108" i="18"/>
  <c r="X108" i="18"/>
  <c r="Z95" i="18"/>
  <c r="AC95" i="18"/>
  <c r="V95" i="18"/>
  <c r="X95" i="18"/>
  <c r="AD108" i="18"/>
  <c r="M108" i="18"/>
  <c r="AD95" i="18"/>
  <c r="S95" i="18"/>
  <c r="R95" i="18"/>
  <c r="U95" i="18"/>
  <c r="W108" i="18"/>
  <c r="AE108" i="18"/>
  <c r="N108" i="18"/>
  <c r="Q108" i="18"/>
  <c r="Y95" i="18"/>
  <c r="AG95" i="18"/>
  <c r="Q95" i="18"/>
  <c r="N95" i="18"/>
  <c r="AM108" i="18"/>
  <c r="T108" i="18"/>
  <c r="U108" i="18"/>
  <c r="L108" i="18"/>
  <c r="L114" i="18" s="1"/>
  <c r="AI95" i="18"/>
  <c r="AJ95" i="18"/>
  <c r="AJ108" i="18"/>
  <c r="AH95" i="18"/>
  <c r="AL95" i="18"/>
  <c r="S108" i="18"/>
  <c r="AH108" i="18"/>
  <c r="O95" i="18"/>
  <c r="AC108" i="18"/>
  <c r="AG108" i="18"/>
  <c r="T95" i="18"/>
  <c r="L95" i="18"/>
  <c r="O108" i="18"/>
  <c r="AM95" i="18"/>
  <c r="AK95" i="18"/>
  <c r="AA95" i="18"/>
  <c r="AK108" i="18"/>
  <c r="R108" i="18"/>
  <c r="AF95" i="18"/>
  <c r="M95" i="18"/>
  <c r="AB108" i="18"/>
  <c r="P108" i="18"/>
  <c r="K13" i="18"/>
  <c r="CK51" i="7942"/>
  <c r="CJ84" i="7942"/>
  <c r="AR92" i="7942"/>
  <c r="AS59" i="7942"/>
  <c r="P458" i="18"/>
  <c r="M120" i="18"/>
  <c r="M354" i="18"/>
  <c r="J54" i="18"/>
  <c r="J70" i="18"/>
  <c r="J63" i="18"/>
  <c r="L48" i="7942"/>
  <c r="K81" i="7942"/>
  <c r="CJ102" i="7942"/>
  <c r="CK69" i="7942"/>
  <c r="M183" i="18"/>
  <c r="L66" i="7942"/>
  <c r="K99" i="7942"/>
  <c r="J127" i="18"/>
  <c r="BC85" i="7942"/>
  <c r="BD52" i="7942"/>
  <c r="AS71" i="7942"/>
  <c r="AR104" i="7942"/>
  <c r="K794" i="18"/>
  <c r="J804" i="18"/>
  <c r="AR88" i="7942"/>
  <c r="AS55" i="7942"/>
  <c r="CJ89" i="7942"/>
  <c r="CK56" i="7942"/>
  <c r="BY84" i="7942"/>
  <c r="BZ51" i="7942"/>
  <c r="AG106" i="7942"/>
  <c r="AH73" i="7942"/>
  <c r="DG57" i="7942"/>
  <c r="DF90" i="7942"/>
  <c r="L443" i="18"/>
  <c r="I400" i="18"/>
  <c r="J390" i="18"/>
  <c r="J400" i="18" s="1"/>
  <c r="BY98" i="7942"/>
  <c r="BZ65" i="7942"/>
  <c r="I465" i="18"/>
  <c r="J455" i="18"/>
  <c r="J465" i="18" s="1"/>
  <c r="M769" i="18"/>
  <c r="AR93" i="7942"/>
  <c r="AS60" i="7942"/>
  <c r="H99" i="7946"/>
  <c r="J596" i="18"/>
  <c r="W62" i="7942"/>
  <c r="V95" i="7942"/>
  <c r="BD62" i="7942"/>
  <c r="BC95" i="7942"/>
  <c r="I80" i="7943"/>
  <c r="M808" i="18"/>
  <c r="J273" i="18"/>
  <c r="J283" i="18" s="1"/>
  <c r="K374" i="18"/>
  <c r="BY104" i="7942"/>
  <c r="BZ71" i="7942"/>
  <c r="M574" i="18"/>
  <c r="N574" i="18" s="1"/>
  <c r="O574" i="18" s="1"/>
  <c r="DG50" i="7942"/>
  <c r="DF83" i="7942"/>
  <c r="K859" i="18"/>
  <c r="H44" i="7946"/>
  <c r="H63" i="7946"/>
  <c r="H88" i="7946" s="1"/>
  <c r="AS52" i="7942"/>
  <c r="AR85" i="7942"/>
  <c r="BY101" i="7942"/>
  <c r="BZ68" i="7942"/>
  <c r="L132" i="18"/>
  <c r="L197" i="18"/>
  <c r="I42" i="18"/>
  <c r="I41" i="18" s="1"/>
  <c r="I10" i="18"/>
  <c r="W54" i="7942"/>
  <c r="V87" i="7942"/>
  <c r="AL78" i="18"/>
  <c r="K105" i="7942"/>
  <c r="L72" i="7942"/>
  <c r="N185" i="18"/>
  <c r="M328" i="18"/>
  <c r="J49" i="18"/>
  <c r="J64" i="18"/>
  <c r="J68" i="18"/>
  <c r="BY106" i="7942"/>
  <c r="BZ73" i="7942"/>
  <c r="J107" i="7942"/>
  <c r="BO48" i="7942"/>
  <c r="BN81" i="7942"/>
  <c r="I231" i="18"/>
  <c r="J221" i="18"/>
  <c r="I127" i="18"/>
  <c r="J260" i="18"/>
  <c r="K260" i="18" s="1"/>
  <c r="DG53" i="7942"/>
  <c r="DF86" i="7942"/>
  <c r="BO59" i="7942"/>
  <c r="BN92" i="7942"/>
  <c r="AS62" i="7942"/>
  <c r="AR95" i="7942"/>
  <c r="BZ69" i="7942"/>
  <c r="BY102" i="7942"/>
  <c r="CV67" i="7942"/>
  <c r="CU100" i="7942"/>
  <c r="L73" i="7942"/>
  <c r="K106" i="7942"/>
  <c r="AH69" i="7942"/>
  <c r="AG102" i="7942"/>
  <c r="M833" i="18"/>
  <c r="DF84" i="7942"/>
  <c r="DG51" i="7942"/>
  <c r="BD67" i="7942"/>
  <c r="BC100" i="7942"/>
  <c r="M118" i="18"/>
  <c r="L71" i="7942"/>
  <c r="K104" i="7942"/>
  <c r="N795" i="18"/>
  <c r="BZ64" i="7942"/>
  <c r="BY97" i="7942"/>
  <c r="L52" i="7942"/>
  <c r="K85" i="7942"/>
  <c r="AH48" i="7942"/>
  <c r="AG81" i="7942"/>
  <c r="CJ98" i="7942"/>
  <c r="CK65" i="7942"/>
  <c r="DE107" i="7942"/>
  <c r="BZ48" i="7942"/>
  <c r="BY81" i="7942"/>
  <c r="G88" i="7946"/>
  <c r="G89" i="7946" s="1"/>
  <c r="G66" i="7946"/>
  <c r="G64" i="7946"/>
  <c r="K94" i="7942"/>
  <c r="L61" i="7942"/>
  <c r="J869" i="18"/>
  <c r="AL106" i="18"/>
  <c r="K236" i="18"/>
  <c r="K244" i="18" s="1"/>
  <c r="BY87" i="7942"/>
  <c r="BZ54" i="7942"/>
  <c r="J42" i="18"/>
  <c r="J10" i="18"/>
  <c r="J47" i="18"/>
  <c r="J52" i="18"/>
  <c r="J59" i="18"/>
  <c r="J53" i="18"/>
  <c r="J51" i="18"/>
  <c r="J43" i="18"/>
  <c r="CV49" i="7942"/>
  <c r="CU82" i="7942"/>
  <c r="BY91" i="7942"/>
  <c r="BZ58" i="7942"/>
  <c r="K664" i="18"/>
  <c r="BZ60" i="7942"/>
  <c r="BY93" i="7942"/>
  <c r="L560" i="18"/>
  <c r="BM107" i="7942"/>
  <c r="G875" i="18"/>
  <c r="G70" i="24"/>
  <c r="G66" i="24"/>
  <c r="G8" i="7945"/>
  <c r="AH51" i="7942"/>
  <c r="AG84" i="7942"/>
  <c r="BY86" i="7942"/>
  <c r="BZ53" i="7942"/>
  <c r="K88" i="7942"/>
  <c r="L55" i="7942"/>
  <c r="K84" i="7942"/>
  <c r="L51" i="7942"/>
  <c r="N208" i="18"/>
  <c r="W72" i="7942"/>
  <c r="V105" i="7942"/>
  <c r="DF96" i="7942"/>
  <c r="DG63" i="7942"/>
  <c r="V84" i="7942"/>
  <c r="W51" i="7942"/>
  <c r="L56" i="7942"/>
  <c r="K89" i="7942"/>
  <c r="AG85" i="7942"/>
  <c r="AH52" i="7942"/>
  <c r="G48" i="7946"/>
  <c r="BD50" i="7942"/>
  <c r="BC83" i="7942"/>
  <c r="J452" i="18"/>
  <c r="K442" i="18"/>
  <c r="BN94" i="7942"/>
  <c r="BO61" i="7942"/>
  <c r="DF81" i="7942"/>
  <c r="DG48" i="7942"/>
  <c r="BX107" i="7942"/>
  <c r="AS50" i="7942"/>
  <c r="AR83" i="7942"/>
  <c r="L50" i="7942"/>
  <c r="K83" i="7942"/>
  <c r="L286" i="18"/>
  <c r="M286" i="18" s="1"/>
  <c r="I21" i="7946"/>
  <c r="I21" i="7945"/>
  <c r="J60" i="7943"/>
  <c r="K60" i="7943" s="1"/>
  <c r="BN98" i="7942"/>
  <c r="BO65" i="7942"/>
  <c r="BD55" i="7942"/>
  <c r="BC88" i="7942"/>
  <c r="AN91" i="18"/>
  <c r="AO91" i="18" s="1"/>
  <c r="AP91" i="18" s="1"/>
  <c r="V92" i="7942"/>
  <c r="W59" i="7942"/>
  <c r="J622" i="18"/>
  <c r="BC82" i="7942"/>
  <c r="BD49" i="7942"/>
  <c r="J44" i="18"/>
  <c r="J48" i="18"/>
  <c r="J56" i="18"/>
  <c r="M703" i="18"/>
  <c r="M521" i="18"/>
  <c r="L63" i="7942"/>
  <c r="K96" i="7942"/>
  <c r="AH64" i="7942"/>
  <c r="AG97" i="7942"/>
  <c r="AG95" i="7942"/>
  <c r="AH62" i="7942"/>
  <c r="K100" i="7942"/>
  <c r="L67" i="7942"/>
  <c r="I7" i="7942"/>
  <c r="I44" i="7943" s="1"/>
  <c r="AG87" i="7942"/>
  <c r="AH54" i="7942"/>
  <c r="CK50" i="7942"/>
  <c r="CJ83" i="7942"/>
  <c r="W50" i="7942"/>
  <c r="V83" i="7942"/>
  <c r="V104" i="7942"/>
  <c r="W71" i="7942"/>
  <c r="M222" i="18"/>
  <c r="BO54" i="7942"/>
  <c r="BN87" i="7942"/>
  <c r="BN91" i="7942"/>
  <c r="BO58" i="7942"/>
  <c r="AH67" i="7942"/>
  <c r="AG100" i="7942"/>
  <c r="M209" i="18"/>
  <c r="DF89" i="7942"/>
  <c r="DG56" i="7942"/>
  <c r="L60" i="7942"/>
  <c r="K93" i="7942"/>
  <c r="I32" i="24"/>
  <c r="I41" i="24"/>
  <c r="I49" i="24"/>
  <c r="J7" i="24"/>
  <c r="I40" i="24"/>
  <c r="DF92" i="7942"/>
  <c r="DG59" i="7942"/>
  <c r="BC104" i="7942"/>
  <c r="BD71" i="7942"/>
  <c r="CU96" i="7942"/>
  <c r="CV63" i="7942"/>
  <c r="CK49" i="7942"/>
  <c r="CJ82" i="7942"/>
  <c r="V103" i="7942"/>
  <c r="W70" i="7942"/>
  <c r="K24" i="2"/>
  <c r="K23" i="2"/>
  <c r="K25" i="2" s="1"/>
  <c r="CK57" i="7942"/>
  <c r="CJ90" i="7942"/>
  <c r="BD64" i="7942"/>
  <c r="BC97" i="7942"/>
  <c r="M315" i="18"/>
  <c r="J50" i="18"/>
  <c r="J61" i="18"/>
  <c r="BD54" i="7942"/>
  <c r="BC87" i="7942"/>
  <c r="AS57" i="7942"/>
  <c r="AR90" i="7942"/>
  <c r="H13" i="24"/>
  <c r="I12" i="24"/>
  <c r="K218" i="18"/>
  <c r="BD57" i="7942"/>
  <c r="BC90" i="7942"/>
  <c r="W56" i="7942"/>
  <c r="V89" i="7942"/>
  <c r="J335" i="18"/>
  <c r="L599" i="18"/>
  <c r="M599" i="18" s="1"/>
  <c r="W68" i="7942"/>
  <c r="V101" i="7942"/>
  <c r="K313" i="18"/>
  <c r="Q300" i="18" l="1"/>
  <c r="Q380" i="18"/>
  <c r="R380" i="18" s="1"/>
  <c r="O846" i="18"/>
  <c r="Q235" i="18"/>
  <c r="R235" i="18" s="1"/>
  <c r="S235" i="18" s="1"/>
  <c r="T235" i="18" s="1"/>
  <c r="U235" i="18" s="1"/>
  <c r="V235" i="18" s="1"/>
  <c r="W235" i="18" s="1"/>
  <c r="X235" i="18" s="1"/>
  <c r="K65" i="18"/>
  <c r="K55" i="18"/>
  <c r="K54" i="18"/>
  <c r="K67" i="18"/>
  <c r="Q483" i="18"/>
  <c r="R483" i="18" s="1"/>
  <c r="J85" i="7946"/>
  <c r="K47" i="18"/>
  <c r="K62" i="18"/>
  <c r="K64" i="18"/>
  <c r="K53" i="18"/>
  <c r="K56" i="18"/>
  <c r="K59" i="7946"/>
  <c r="S59" i="7946" s="1"/>
  <c r="S60" i="7946" s="1"/>
  <c r="N145" i="18"/>
  <c r="O145" i="18" s="1"/>
  <c r="K8" i="7943"/>
  <c r="L377" i="18"/>
  <c r="M377" i="18" s="1"/>
  <c r="L325" i="18"/>
  <c r="M325" i="18" s="1"/>
  <c r="N325" i="18" s="1"/>
  <c r="O325" i="18" s="1"/>
  <c r="K403" i="18"/>
  <c r="J60" i="7946"/>
  <c r="K416" i="18"/>
  <c r="K426" i="18" s="1"/>
  <c r="L351" i="18"/>
  <c r="M351" i="18" s="1"/>
  <c r="K544" i="18"/>
  <c r="K661" i="18"/>
  <c r="K51" i="18"/>
  <c r="K60" i="18"/>
  <c r="K57" i="18"/>
  <c r="K59" i="18"/>
  <c r="K49" i="18"/>
  <c r="K765" i="18"/>
  <c r="K63" i="18"/>
  <c r="J80" i="7943"/>
  <c r="J25" i="7946" s="1"/>
  <c r="J48" i="7946" s="1"/>
  <c r="K44" i="18"/>
  <c r="K69" i="18"/>
  <c r="K43" i="18"/>
  <c r="I74" i="7946"/>
  <c r="J74" i="7946" s="1"/>
  <c r="K48" i="18"/>
  <c r="K570" i="18"/>
  <c r="K68" i="18"/>
  <c r="K46" i="18"/>
  <c r="K50" i="18"/>
  <c r="K58" i="18"/>
  <c r="K66" i="18"/>
  <c r="K71" i="18"/>
  <c r="R261" i="18"/>
  <c r="S261" i="18" s="1"/>
  <c r="T261" i="18" s="1"/>
  <c r="U261" i="18" s="1"/>
  <c r="V261" i="18" s="1"/>
  <c r="W261" i="18" s="1"/>
  <c r="I99" i="7946"/>
  <c r="J99" i="7946" s="1"/>
  <c r="K52" i="18"/>
  <c r="K70" i="18"/>
  <c r="K45" i="18"/>
  <c r="K61" i="18"/>
  <c r="AQ79" i="18"/>
  <c r="AR79" i="18" s="1"/>
  <c r="AS79" i="18" s="1"/>
  <c r="AT79" i="18" s="1"/>
  <c r="AU79" i="18" s="1"/>
  <c r="AV79" i="18" s="1"/>
  <c r="AW79" i="18" s="1"/>
  <c r="AX79" i="18" s="1"/>
  <c r="AY79" i="18" s="1"/>
  <c r="AZ79" i="18" s="1"/>
  <c r="BA79" i="18" s="1"/>
  <c r="BB79" i="18" s="1"/>
  <c r="BC79" i="18" s="1"/>
  <c r="BD79" i="18" s="1"/>
  <c r="BE79" i="18" s="1"/>
  <c r="BF79" i="18" s="1"/>
  <c r="BG79" i="18" s="1"/>
  <c r="BH79" i="18" s="1"/>
  <c r="BI79" i="18" s="1"/>
  <c r="M770" i="18"/>
  <c r="N770" i="18" s="1"/>
  <c r="O276" i="18"/>
  <c r="M822" i="18"/>
  <c r="N822" i="18" s="1"/>
  <c r="L524" i="18"/>
  <c r="M524" i="18" s="1"/>
  <c r="N524" i="18" s="1"/>
  <c r="M601" i="18"/>
  <c r="N601" i="18" s="1"/>
  <c r="M484" i="18"/>
  <c r="N484" i="18" s="1"/>
  <c r="O484" i="18" s="1"/>
  <c r="O820" i="18"/>
  <c r="P820" i="18" s="1"/>
  <c r="Q820" i="18" s="1"/>
  <c r="K557" i="18"/>
  <c r="N262" i="18"/>
  <c r="O262" i="18" s="1"/>
  <c r="M719" i="18"/>
  <c r="N719" i="18" s="1"/>
  <c r="K312" i="18"/>
  <c r="L312" i="18" s="1"/>
  <c r="M312" i="18" s="1"/>
  <c r="K78" i="7943"/>
  <c r="K73" i="7946" s="1"/>
  <c r="O601" i="18"/>
  <c r="O250" i="18"/>
  <c r="P250" i="18" s="1"/>
  <c r="Q250" i="18" s="1"/>
  <c r="R250" i="18" s="1"/>
  <c r="M156" i="18"/>
  <c r="N156" i="18" s="1"/>
  <c r="O156" i="18" s="1"/>
  <c r="AR92" i="18"/>
  <c r="AS92" i="18" s="1"/>
  <c r="AT92" i="18" s="1"/>
  <c r="AU92" i="18" s="1"/>
  <c r="AV92" i="18" s="1"/>
  <c r="AW92" i="18" s="1"/>
  <c r="AX92" i="18" s="1"/>
  <c r="AY92" i="18" s="1"/>
  <c r="AZ92" i="18" s="1"/>
  <c r="BA92" i="18" s="1"/>
  <c r="BB92" i="18" s="1"/>
  <c r="BC92" i="18" s="1"/>
  <c r="BD92" i="18" s="1"/>
  <c r="BE92" i="18" s="1"/>
  <c r="BF92" i="18" s="1"/>
  <c r="BG92" i="18" s="1"/>
  <c r="BH92" i="18" s="1"/>
  <c r="BI92" i="18" s="1"/>
  <c r="K609" i="18"/>
  <c r="N666" i="18"/>
  <c r="O666" i="18" s="1"/>
  <c r="V662" i="18"/>
  <c r="W662" i="18" s="1"/>
  <c r="X662" i="18" s="1"/>
  <c r="Y662" i="18" s="1"/>
  <c r="Z662" i="18" s="1"/>
  <c r="AA662" i="18" s="1"/>
  <c r="AB662" i="18" s="1"/>
  <c r="AC662" i="18" s="1"/>
  <c r="Q341" i="18"/>
  <c r="R341" i="18" s="1"/>
  <c r="S341" i="18" s="1"/>
  <c r="T341" i="18" s="1"/>
  <c r="U341" i="18" s="1"/>
  <c r="V341" i="18" s="1"/>
  <c r="W341" i="18" s="1"/>
  <c r="X341" i="18" s="1"/>
  <c r="Y341" i="18" s="1"/>
  <c r="Z341" i="18" s="1"/>
  <c r="AA341" i="18" s="1"/>
  <c r="AB341" i="18" s="1"/>
  <c r="AC341" i="18" s="1"/>
  <c r="AD341" i="18" s="1"/>
  <c r="AE341" i="18" s="1"/>
  <c r="AF341" i="18" s="1"/>
  <c r="AG341" i="18" s="1"/>
  <c r="AH341" i="18" s="1"/>
  <c r="AI341" i="18" s="1"/>
  <c r="AJ341" i="18" s="1"/>
  <c r="AK341" i="18" s="1"/>
  <c r="AL341" i="18" s="1"/>
  <c r="AM341" i="18" s="1"/>
  <c r="AN341" i="18" s="1"/>
  <c r="AO341" i="18" s="1"/>
  <c r="AP341" i="18" s="1"/>
  <c r="AQ341" i="18" s="1"/>
  <c r="AR341" i="18" s="1"/>
  <c r="AS341" i="18" s="1"/>
  <c r="AT341" i="18" s="1"/>
  <c r="AU341" i="18" s="1"/>
  <c r="AV341" i="18" s="1"/>
  <c r="AW341" i="18" s="1"/>
  <c r="AX341" i="18" s="1"/>
  <c r="AY341" i="18" s="1"/>
  <c r="AZ341" i="18" s="1"/>
  <c r="BA341" i="18" s="1"/>
  <c r="BB341" i="18" s="1"/>
  <c r="BC341" i="18" s="1"/>
  <c r="BD341" i="18" s="1"/>
  <c r="BE341" i="18" s="1"/>
  <c r="BF341" i="18" s="1"/>
  <c r="BG341" i="18" s="1"/>
  <c r="BH341" i="18" s="1"/>
  <c r="BI341" i="18" s="1"/>
  <c r="AD532" i="18"/>
  <c r="AE532" i="18" s="1"/>
  <c r="AF532" i="18" s="1"/>
  <c r="AG532" i="18" s="1"/>
  <c r="AH532" i="18" s="1"/>
  <c r="AI532" i="18" s="1"/>
  <c r="AJ532" i="18" s="1"/>
  <c r="AK532" i="18" s="1"/>
  <c r="AL532" i="18" s="1"/>
  <c r="AM532" i="18" s="1"/>
  <c r="AN532" i="18" s="1"/>
  <c r="AO532" i="18" s="1"/>
  <c r="AP532" i="18" s="1"/>
  <c r="AQ532" i="18" s="1"/>
  <c r="AR532" i="18" s="1"/>
  <c r="AS532" i="18" s="1"/>
  <c r="AT532" i="18" s="1"/>
  <c r="AU532" i="18" s="1"/>
  <c r="AV532" i="18" s="1"/>
  <c r="AW532" i="18" s="1"/>
  <c r="AX532" i="18" s="1"/>
  <c r="AY532" i="18" s="1"/>
  <c r="AZ532" i="18" s="1"/>
  <c r="BA532" i="18" s="1"/>
  <c r="BB532" i="18" s="1"/>
  <c r="BC532" i="18" s="1"/>
  <c r="BD532" i="18" s="1"/>
  <c r="BE532" i="18" s="1"/>
  <c r="BF532" i="18" s="1"/>
  <c r="BG532" i="18" s="1"/>
  <c r="BH532" i="18" s="1"/>
  <c r="BI532" i="18" s="1"/>
  <c r="O224" i="18"/>
  <c r="P224" i="18" s="1"/>
  <c r="U336" i="18"/>
  <c r="V336" i="18" s="1"/>
  <c r="W336" i="18" s="1"/>
  <c r="X336" i="18" s="1"/>
  <c r="Y336" i="18" s="1"/>
  <c r="Z336" i="18" s="1"/>
  <c r="AA336" i="18" s="1"/>
  <c r="AB336" i="18" s="1"/>
  <c r="AC336" i="18" s="1"/>
  <c r="AD336" i="18" s="1"/>
  <c r="AE336" i="18" s="1"/>
  <c r="AF336" i="18" s="1"/>
  <c r="AG336" i="18" s="1"/>
  <c r="AH336" i="18" s="1"/>
  <c r="AI336" i="18" s="1"/>
  <c r="AJ336" i="18" s="1"/>
  <c r="AK336" i="18" s="1"/>
  <c r="AL336" i="18" s="1"/>
  <c r="AM336" i="18" s="1"/>
  <c r="AN336" i="18" s="1"/>
  <c r="AO336" i="18" s="1"/>
  <c r="AP336" i="18" s="1"/>
  <c r="AQ336" i="18" s="1"/>
  <c r="AR336" i="18" s="1"/>
  <c r="AS336" i="18" s="1"/>
  <c r="AT336" i="18" s="1"/>
  <c r="AU336" i="18" s="1"/>
  <c r="AV336" i="18" s="1"/>
  <c r="AW336" i="18" s="1"/>
  <c r="AX336" i="18" s="1"/>
  <c r="AY336" i="18" s="1"/>
  <c r="AZ336" i="18" s="1"/>
  <c r="BA336" i="18" s="1"/>
  <c r="BB336" i="18" s="1"/>
  <c r="BC336" i="18" s="1"/>
  <c r="BD336" i="18" s="1"/>
  <c r="BE336" i="18" s="1"/>
  <c r="BF336" i="18" s="1"/>
  <c r="BG336" i="18" s="1"/>
  <c r="BH336" i="18" s="1"/>
  <c r="BI336" i="18" s="1"/>
  <c r="K130" i="18"/>
  <c r="K140" i="18" s="1"/>
  <c r="AC649" i="18"/>
  <c r="T701" i="18"/>
  <c r="U701" i="18" s="1"/>
  <c r="V701" i="18" s="1"/>
  <c r="W701" i="18" s="1"/>
  <c r="X701" i="18" s="1"/>
  <c r="Y701" i="18" s="1"/>
  <c r="Z701" i="18" s="1"/>
  <c r="AA701" i="18" s="1"/>
  <c r="AB701" i="18" s="1"/>
  <c r="AC701" i="18" s="1"/>
  <c r="AD701" i="18" s="1"/>
  <c r="AE701" i="18" s="1"/>
  <c r="AF701" i="18" s="1"/>
  <c r="AG701" i="18" s="1"/>
  <c r="AH701" i="18" s="1"/>
  <c r="AI701" i="18" s="1"/>
  <c r="AJ701" i="18" s="1"/>
  <c r="AK701" i="18" s="1"/>
  <c r="AL701" i="18" s="1"/>
  <c r="AM701" i="18" s="1"/>
  <c r="AN701" i="18" s="1"/>
  <c r="AO701" i="18" s="1"/>
  <c r="AP701" i="18" s="1"/>
  <c r="AQ701" i="18" s="1"/>
  <c r="AR701" i="18" s="1"/>
  <c r="AS701" i="18" s="1"/>
  <c r="AT701" i="18" s="1"/>
  <c r="AU701" i="18" s="1"/>
  <c r="AV701" i="18" s="1"/>
  <c r="AW701" i="18" s="1"/>
  <c r="AX701" i="18" s="1"/>
  <c r="AY701" i="18" s="1"/>
  <c r="AZ701" i="18" s="1"/>
  <c r="BA701" i="18" s="1"/>
  <c r="BB701" i="18" s="1"/>
  <c r="BC701" i="18" s="1"/>
  <c r="BD701" i="18" s="1"/>
  <c r="BE701" i="18" s="1"/>
  <c r="BF701" i="18" s="1"/>
  <c r="BG701" i="18" s="1"/>
  <c r="BH701" i="18" s="1"/>
  <c r="BI701" i="18" s="1"/>
  <c r="AB597" i="18"/>
  <c r="AC597" i="18" s="1"/>
  <c r="AD597" i="18" s="1"/>
  <c r="AE597" i="18" s="1"/>
  <c r="AF597" i="18" s="1"/>
  <c r="AG597" i="18" s="1"/>
  <c r="AH597" i="18" s="1"/>
  <c r="AI597" i="18" s="1"/>
  <c r="AJ597" i="18" s="1"/>
  <c r="AK597" i="18" s="1"/>
  <c r="AL597" i="18" s="1"/>
  <c r="AM597" i="18" s="1"/>
  <c r="AN597" i="18" s="1"/>
  <c r="AO597" i="18" s="1"/>
  <c r="AP597" i="18" s="1"/>
  <c r="AQ597" i="18" s="1"/>
  <c r="AR597" i="18" s="1"/>
  <c r="AS597" i="18" s="1"/>
  <c r="AT597" i="18" s="1"/>
  <c r="AU597" i="18" s="1"/>
  <c r="AV597" i="18" s="1"/>
  <c r="AW597" i="18" s="1"/>
  <c r="AX597" i="18" s="1"/>
  <c r="AY597" i="18" s="1"/>
  <c r="AZ597" i="18" s="1"/>
  <c r="BA597" i="18" s="1"/>
  <c r="BB597" i="18" s="1"/>
  <c r="BC597" i="18" s="1"/>
  <c r="BD597" i="18" s="1"/>
  <c r="BE597" i="18" s="1"/>
  <c r="BF597" i="18" s="1"/>
  <c r="BG597" i="18" s="1"/>
  <c r="BH597" i="18" s="1"/>
  <c r="BI597" i="18" s="1"/>
  <c r="Y193" i="18"/>
  <c r="Z193" i="18" s="1"/>
  <c r="AA193" i="18" s="1"/>
  <c r="AB193" i="18" s="1"/>
  <c r="AC193" i="18" s="1"/>
  <c r="U792" i="18"/>
  <c r="V792" i="18" s="1"/>
  <c r="W792" i="18" s="1"/>
  <c r="X792" i="18" s="1"/>
  <c r="Y792" i="18"/>
  <c r="Z792" i="18" s="1"/>
  <c r="AA792" i="18" s="1"/>
  <c r="AB792" i="18" s="1"/>
  <c r="AC792" i="18" s="1"/>
  <c r="AD792" i="18" s="1"/>
  <c r="AE792" i="18" s="1"/>
  <c r="AF792" i="18" s="1"/>
  <c r="AG792" i="18" s="1"/>
  <c r="AH792" i="18" s="1"/>
  <c r="AI792" i="18" s="1"/>
  <c r="AJ792" i="18" s="1"/>
  <c r="AK792" i="18" s="1"/>
  <c r="AL792" i="18" s="1"/>
  <c r="AM792" i="18" s="1"/>
  <c r="AN792" i="18" s="1"/>
  <c r="AO792" i="18" s="1"/>
  <c r="AP792" i="18" s="1"/>
  <c r="AQ792" i="18" s="1"/>
  <c r="AR792" i="18" s="1"/>
  <c r="AS792" i="18" s="1"/>
  <c r="AT792" i="18" s="1"/>
  <c r="AU792" i="18" s="1"/>
  <c r="AV792" i="18" s="1"/>
  <c r="AW792" i="18" s="1"/>
  <c r="AX792" i="18" s="1"/>
  <c r="AY792" i="18" s="1"/>
  <c r="AZ792" i="18" s="1"/>
  <c r="BA792" i="18" s="1"/>
  <c r="BB792" i="18" s="1"/>
  <c r="BC792" i="18" s="1"/>
  <c r="BD792" i="18" s="1"/>
  <c r="BE792" i="18" s="1"/>
  <c r="BF792" i="18" s="1"/>
  <c r="BG792" i="18" s="1"/>
  <c r="BH792" i="18" s="1"/>
  <c r="BI792" i="18" s="1"/>
  <c r="Y584" i="18"/>
  <c r="Z584" i="18" s="1"/>
  <c r="AA584" i="18" s="1"/>
  <c r="AB584" i="18" s="1"/>
  <c r="AC584" i="18" s="1"/>
  <c r="AD584" i="18" s="1"/>
  <c r="AE584" i="18" s="1"/>
  <c r="AF584" i="18" s="1"/>
  <c r="AG584" i="18" s="1"/>
  <c r="AH584" i="18" s="1"/>
  <c r="AI584" i="18" s="1"/>
  <c r="AJ584" i="18" s="1"/>
  <c r="AK584" i="18" s="1"/>
  <c r="AL584" i="18" s="1"/>
  <c r="AM584" i="18" s="1"/>
  <c r="AN584" i="18" s="1"/>
  <c r="AO584" i="18" s="1"/>
  <c r="AP584" i="18" s="1"/>
  <c r="AQ584" i="18" s="1"/>
  <c r="AR584" i="18" s="1"/>
  <c r="AS584" i="18" s="1"/>
  <c r="AT584" i="18" s="1"/>
  <c r="AU584" i="18" s="1"/>
  <c r="AV584" i="18" s="1"/>
  <c r="AW584" i="18" s="1"/>
  <c r="AX584" i="18" s="1"/>
  <c r="AY584" i="18" s="1"/>
  <c r="AZ584" i="18" s="1"/>
  <c r="BA584" i="18" s="1"/>
  <c r="BB584" i="18" s="1"/>
  <c r="BC584" i="18" s="1"/>
  <c r="BD584" i="18" s="1"/>
  <c r="BE584" i="18" s="1"/>
  <c r="BF584" i="18" s="1"/>
  <c r="BG584" i="18" s="1"/>
  <c r="BH584" i="18" s="1"/>
  <c r="BI584" i="18" s="1"/>
  <c r="Y102" i="18"/>
  <c r="Z102" i="18" s="1"/>
  <c r="AA102" i="18" s="1"/>
  <c r="AB102" i="18" s="1"/>
  <c r="AC102" i="18" s="1"/>
  <c r="AD102" i="18" s="1"/>
  <c r="AE102" i="18" s="1"/>
  <c r="AF102" i="18" s="1"/>
  <c r="AG102" i="18" s="1"/>
  <c r="AH102" i="18" s="1"/>
  <c r="AI102" i="18" s="1"/>
  <c r="AJ102" i="18" s="1"/>
  <c r="AK102" i="18" s="1"/>
  <c r="AL102" i="18" s="1"/>
  <c r="AM102" i="18" s="1"/>
  <c r="AN102" i="18" s="1"/>
  <c r="AO102" i="18" s="1"/>
  <c r="AP102" i="18" s="1"/>
  <c r="AQ102" i="18" s="1"/>
  <c r="AR102" i="18" s="1"/>
  <c r="AS102" i="18" s="1"/>
  <c r="AT102" i="18" s="1"/>
  <c r="AU102" i="18" s="1"/>
  <c r="AV102" i="18" s="1"/>
  <c r="AW102" i="18" s="1"/>
  <c r="AX102" i="18" s="1"/>
  <c r="AY102" i="18" s="1"/>
  <c r="AZ102" i="18" s="1"/>
  <c r="BA102" i="18" s="1"/>
  <c r="BB102" i="18" s="1"/>
  <c r="BC102" i="18" s="1"/>
  <c r="BD102" i="18" s="1"/>
  <c r="BE102" i="18" s="1"/>
  <c r="BF102" i="18" s="1"/>
  <c r="BG102" i="18" s="1"/>
  <c r="BH102" i="18" s="1"/>
  <c r="BI102" i="18" s="1"/>
  <c r="S401" i="18"/>
  <c r="T401" i="18" s="1"/>
  <c r="U401" i="18" s="1"/>
  <c r="V401" i="18" s="1"/>
  <c r="W401" i="18" s="1"/>
  <c r="X401" i="18" s="1"/>
  <c r="Y401" i="18" s="1"/>
  <c r="Z401" i="18" s="1"/>
  <c r="AA401" i="18" s="1"/>
  <c r="AB401" i="18" s="1"/>
  <c r="AC401" i="18" s="1"/>
  <c r="AD401" i="18" s="1"/>
  <c r="AE401" i="18" s="1"/>
  <c r="AF401" i="18" s="1"/>
  <c r="AG401" i="18" s="1"/>
  <c r="AH401" i="18" s="1"/>
  <c r="AI401" i="18" s="1"/>
  <c r="AJ401" i="18" s="1"/>
  <c r="AK401" i="18" s="1"/>
  <c r="AL401" i="18" s="1"/>
  <c r="AM401" i="18" s="1"/>
  <c r="AN401" i="18" s="1"/>
  <c r="AO401" i="18" s="1"/>
  <c r="AP401" i="18" s="1"/>
  <c r="AQ401" i="18" s="1"/>
  <c r="AR401" i="18" s="1"/>
  <c r="AS401" i="18" s="1"/>
  <c r="AT401" i="18" s="1"/>
  <c r="AU401" i="18" s="1"/>
  <c r="AV401" i="18" s="1"/>
  <c r="AW401" i="18" s="1"/>
  <c r="AX401" i="18" s="1"/>
  <c r="AY401" i="18" s="1"/>
  <c r="AZ401" i="18" s="1"/>
  <c r="BA401" i="18" s="1"/>
  <c r="BB401" i="18" s="1"/>
  <c r="BC401" i="18" s="1"/>
  <c r="BD401" i="18" s="1"/>
  <c r="BE401" i="18" s="1"/>
  <c r="BF401" i="18" s="1"/>
  <c r="BG401" i="18" s="1"/>
  <c r="BH401" i="18" s="1"/>
  <c r="BI401" i="18" s="1"/>
  <c r="X779" i="18"/>
  <c r="Y779" i="18" s="1"/>
  <c r="Z779" i="18" s="1"/>
  <c r="AA779" i="18" s="1"/>
  <c r="AB779" i="18" s="1"/>
  <c r="AC779" i="18" s="1"/>
  <c r="AD779" i="18" s="1"/>
  <c r="AE779" i="18" s="1"/>
  <c r="AF779" i="18"/>
  <c r="AG779" i="18" s="1"/>
  <c r="AH779" i="18" s="1"/>
  <c r="AI779" i="18" s="1"/>
  <c r="AJ779" i="18" s="1"/>
  <c r="AK779" i="18" s="1"/>
  <c r="AL779" i="18" s="1"/>
  <c r="AM779" i="18" s="1"/>
  <c r="AN779" i="18" s="1"/>
  <c r="AO779" i="18" s="1"/>
  <c r="AP779" i="18" s="1"/>
  <c r="AQ779" i="18" s="1"/>
  <c r="AR779" i="18" s="1"/>
  <c r="AS779" i="18" s="1"/>
  <c r="AT779" i="18" s="1"/>
  <c r="AU779" i="18" s="1"/>
  <c r="AV779" i="18" s="1"/>
  <c r="AW779" i="18" s="1"/>
  <c r="AX779" i="18" s="1"/>
  <c r="AY779" i="18" s="1"/>
  <c r="AZ779" i="18" s="1"/>
  <c r="BA779" i="18" s="1"/>
  <c r="BB779" i="18" s="1"/>
  <c r="BC779" i="18" s="1"/>
  <c r="BD779" i="18" s="1"/>
  <c r="BE779" i="18" s="1"/>
  <c r="BF779" i="18" s="1"/>
  <c r="BG779" i="18" s="1"/>
  <c r="BH779" i="18" s="1"/>
  <c r="BI779" i="18" s="1"/>
  <c r="P13" i="2"/>
  <c r="O53" i="24"/>
  <c r="BI558" i="18"/>
  <c r="K166" i="18"/>
  <c r="AM545" i="18"/>
  <c r="AN545" i="18" s="1"/>
  <c r="AO545" i="18" s="1"/>
  <c r="AP545" i="18" s="1"/>
  <c r="AQ545" i="18" s="1"/>
  <c r="AR545" i="18" s="1"/>
  <c r="AS545" i="18" s="1"/>
  <c r="AT545" i="18" s="1"/>
  <c r="AU545" i="18" s="1"/>
  <c r="AV545" i="18" s="1"/>
  <c r="AW545" i="18" s="1"/>
  <c r="AX545" i="18" s="1"/>
  <c r="AY545" i="18" s="1"/>
  <c r="AZ545" i="18" s="1"/>
  <c r="BA545" i="18" s="1"/>
  <c r="BB545" i="18" s="1"/>
  <c r="BC545" i="18" s="1"/>
  <c r="BD545" i="18" s="1"/>
  <c r="BE545" i="18" s="1"/>
  <c r="BF545" i="18" s="1"/>
  <c r="BG545" i="18" s="1"/>
  <c r="BH545" i="18" s="1"/>
  <c r="BI545" i="18" s="1"/>
  <c r="AD193" i="18"/>
  <c r="AE193" i="18" s="1"/>
  <c r="AF193" i="18" s="1"/>
  <c r="AG193" i="18" s="1"/>
  <c r="AH193" i="18" s="1"/>
  <c r="AI193" i="18" s="1"/>
  <c r="AJ193" i="18" s="1"/>
  <c r="AK193" i="18" s="1"/>
  <c r="AL193" i="18" s="1"/>
  <c r="AM193" i="18" s="1"/>
  <c r="AN193" i="18" s="1"/>
  <c r="AO193" i="18" s="1"/>
  <c r="AP193" i="18" s="1"/>
  <c r="AQ193" i="18" s="1"/>
  <c r="AR193" i="18" s="1"/>
  <c r="AS193" i="18" s="1"/>
  <c r="AT193" i="18" s="1"/>
  <c r="AU193" i="18" s="1"/>
  <c r="AV193" i="18" s="1"/>
  <c r="AW193" i="18" s="1"/>
  <c r="AX193" i="18" s="1"/>
  <c r="AY193" i="18" s="1"/>
  <c r="AZ193" i="18" s="1"/>
  <c r="BA193" i="18" s="1"/>
  <c r="BB193" i="18" s="1"/>
  <c r="BC193" i="18" s="1"/>
  <c r="BD193" i="18" s="1"/>
  <c r="BE193" i="18" s="1"/>
  <c r="BF193" i="18" s="1"/>
  <c r="BG193" i="18" s="1"/>
  <c r="BH193" i="18" s="1"/>
  <c r="BI193" i="18" s="1"/>
  <c r="AA453" i="18"/>
  <c r="AB453" i="18" s="1"/>
  <c r="AC453" i="18" s="1"/>
  <c r="AD453" i="18" s="1"/>
  <c r="AE453" i="18" s="1"/>
  <c r="AF453" i="18" s="1"/>
  <c r="AG453" i="18" s="1"/>
  <c r="AH453" i="18" s="1"/>
  <c r="AI453" i="18" s="1"/>
  <c r="AJ453" i="18" s="1"/>
  <c r="AK453" i="18" s="1"/>
  <c r="AL453" i="18" s="1"/>
  <c r="AM453" i="18" s="1"/>
  <c r="AN453" i="18" s="1"/>
  <c r="AO453" i="18" s="1"/>
  <c r="AP453" i="18" s="1"/>
  <c r="AQ453" i="18" s="1"/>
  <c r="AR453" i="18" s="1"/>
  <c r="AS453" i="18" s="1"/>
  <c r="AT453" i="18" s="1"/>
  <c r="AU453" i="18" s="1"/>
  <c r="AV453" i="18" s="1"/>
  <c r="AW453" i="18" s="1"/>
  <c r="AX453" i="18" s="1"/>
  <c r="AY453" i="18" s="1"/>
  <c r="AZ453" i="18" s="1"/>
  <c r="BA453" i="18" s="1"/>
  <c r="BB453" i="18" s="1"/>
  <c r="BC453" i="18" s="1"/>
  <c r="BD453" i="18" s="1"/>
  <c r="BE453" i="18" s="1"/>
  <c r="BF453" i="18" s="1"/>
  <c r="BG453" i="18" s="1"/>
  <c r="BH453" i="18" s="1"/>
  <c r="BI453" i="18" s="1"/>
  <c r="S128" i="18"/>
  <c r="N158" i="18"/>
  <c r="O158" i="18" s="1"/>
  <c r="N731" i="18"/>
  <c r="O731" i="18" s="1"/>
  <c r="P731" i="18" s="1"/>
  <c r="AP519" i="18"/>
  <c r="AQ519" i="18" s="1"/>
  <c r="AR519" i="18" s="1"/>
  <c r="AS519" i="18" s="1"/>
  <c r="AT519" i="18" s="1"/>
  <c r="AU519" i="18" s="1"/>
  <c r="AV519" i="18" s="1"/>
  <c r="AW519" i="18" s="1"/>
  <c r="AX519" i="18" s="1"/>
  <c r="AY519" i="18" s="1"/>
  <c r="AZ519" i="18" s="1"/>
  <c r="BA519" i="18" s="1"/>
  <c r="BB519" i="18" s="1"/>
  <c r="BC519" i="18" s="1"/>
  <c r="BD519" i="18" s="1"/>
  <c r="BE519" i="18" s="1"/>
  <c r="BF519" i="18" s="1"/>
  <c r="BG519" i="18" s="1"/>
  <c r="BH519" i="18" s="1"/>
  <c r="BI519" i="18" s="1"/>
  <c r="R323" i="18"/>
  <c r="S323" i="18" s="1"/>
  <c r="T323" i="18" s="1"/>
  <c r="U323" i="18" s="1"/>
  <c r="V323" i="18" s="1"/>
  <c r="W323" i="18" s="1"/>
  <c r="X323" i="18" s="1"/>
  <c r="Y323" i="18" s="1"/>
  <c r="Z323" i="18" s="1"/>
  <c r="AA323" i="18" s="1"/>
  <c r="AB323" i="18" s="1"/>
  <c r="AC323" i="18" s="1"/>
  <c r="AD323" i="18" s="1"/>
  <c r="AE323" i="18" s="1"/>
  <c r="AF323" i="18" s="1"/>
  <c r="AG323" i="18" s="1"/>
  <c r="AH323" i="18" s="1"/>
  <c r="AI323" i="18" s="1"/>
  <c r="AJ323" i="18" s="1"/>
  <c r="AK323" i="18" s="1"/>
  <c r="AL323" i="18" s="1"/>
  <c r="AM323" i="18" s="1"/>
  <c r="AN323" i="18" s="1"/>
  <c r="AO323" i="18" s="1"/>
  <c r="AP323" i="18" s="1"/>
  <c r="AQ323" i="18" s="1"/>
  <c r="AR323" i="18" s="1"/>
  <c r="AS323" i="18" s="1"/>
  <c r="AT323" i="18" s="1"/>
  <c r="AU323" i="18" s="1"/>
  <c r="AV323" i="18" s="1"/>
  <c r="AW323" i="18" s="1"/>
  <c r="AX323" i="18" s="1"/>
  <c r="AY323" i="18" s="1"/>
  <c r="AZ323" i="18" s="1"/>
  <c r="BA323" i="18" s="1"/>
  <c r="BB323" i="18" s="1"/>
  <c r="BC323" i="18" s="1"/>
  <c r="BD323" i="18" s="1"/>
  <c r="BE323" i="18" s="1"/>
  <c r="BF323" i="18" s="1"/>
  <c r="BG323" i="18" s="1"/>
  <c r="BH323" i="18" s="1"/>
  <c r="BI323" i="18" s="1"/>
  <c r="T740" i="18"/>
  <c r="U740" i="18" s="1"/>
  <c r="V740" i="18" s="1"/>
  <c r="W740" i="18" s="1"/>
  <c r="X740" i="18" s="1"/>
  <c r="Y740" i="18" s="1"/>
  <c r="Z740" i="18" s="1"/>
  <c r="AA740" i="18" s="1"/>
  <c r="AB740" i="18" s="1"/>
  <c r="AC740" i="18" s="1"/>
  <c r="AD740" i="18" s="1"/>
  <c r="AE740" i="18" s="1"/>
  <c r="AF740" i="18" s="1"/>
  <c r="AG740" i="18" s="1"/>
  <c r="AH740" i="18" s="1"/>
  <c r="AI740" i="18" s="1"/>
  <c r="AJ740" i="18" s="1"/>
  <c r="AK740" i="18" s="1"/>
  <c r="AL740" i="18" s="1"/>
  <c r="AM740" i="18" s="1"/>
  <c r="AN740" i="18" s="1"/>
  <c r="AO740" i="18" s="1"/>
  <c r="AP740" i="18" s="1"/>
  <c r="AQ740" i="18" s="1"/>
  <c r="AR740" i="18" s="1"/>
  <c r="AS740" i="18" s="1"/>
  <c r="AT740" i="18" s="1"/>
  <c r="AU740" i="18" s="1"/>
  <c r="AV740" i="18" s="1"/>
  <c r="AW740" i="18" s="1"/>
  <c r="AX740" i="18" s="1"/>
  <c r="AY740" i="18" s="1"/>
  <c r="AZ740" i="18" s="1"/>
  <c r="BA740" i="18" s="1"/>
  <c r="BB740" i="18" s="1"/>
  <c r="BC740" i="18" s="1"/>
  <c r="BD740" i="18" s="1"/>
  <c r="BE740" i="18" s="1"/>
  <c r="BF740" i="18" s="1"/>
  <c r="BG740" i="18" s="1"/>
  <c r="BH740" i="18" s="1"/>
  <c r="BI740" i="18" s="1"/>
  <c r="R167" i="18"/>
  <c r="S167" i="18" s="1"/>
  <c r="T167" i="18" s="1"/>
  <c r="U167" i="18" s="1"/>
  <c r="V167" i="18" s="1"/>
  <c r="W167" i="18" s="1"/>
  <c r="X167" i="18" s="1"/>
  <c r="Y167" i="18" s="1"/>
  <c r="Z167" i="18" s="1"/>
  <c r="AA167" i="18" s="1"/>
  <c r="AB167" i="18" s="1"/>
  <c r="AC167" i="18" s="1"/>
  <c r="AD167" i="18" s="1"/>
  <c r="AE167" i="18" s="1"/>
  <c r="AF167" i="18" s="1"/>
  <c r="AG167" i="18" s="1"/>
  <c r="AH167" i="18" s="1"/>
  <c r="AI167" i="18" s="1"/>
  <c r="AJ167" i="18" s="1"/>
  <c r="AK167" i="18" s="1"/>
  <c r="AL167" i="18" s="1"/>
  <c r="AM167" i="18" s="1"/>
  <c r="AN167" i="18" s="1"/>
  <c r="AO167" i="18" s="1"/>
  <c r="AP167" i="18" s="1"/>
  <c r="AQ167" i="18" s="1"/>
  <c r="AR167" i="18" s="1"/>
  <c r="AS167" i="18" s="1"/>
  <c r="AT167" i="18" s="1"/>
  <c r="AU167" i="18" s="1"/>
  <c r="AV167" i="18" s="1"/>
  <c r="AW167" i="18" s="1"/>
  <c r="AX167" i="18" s="1"/>
  <c r="AY167" i="18" s="1"/>
  <c r="AZ167" i="18" s="1"/>
  <c r="BA167" i="18" s="1"/>
  <c r="BB167" i="18" s="1"/>
  <c r="BC167" i="18" s="1"/>
  <c r="BD167" i="18" s="1"/>
  <c r="BE167" i="18" s="1"/>
  <c r="BF167" i="18" s="1"/>
  <c r="BG167" i="18" s="1"/>
  <c r="BH167" i="18" s="1"/>
  <c r="BI167" i="18" s="1"/>
  <c r="AT141" i="18"/>
  <c r="AU141" i="18" s="1"/>
  <c r="AV141" i="18" s="1"/>
  <c r="AW141" i="18" s="1"/>
  <c r="AX141" i="18" s="1"/>
  <c r="AY141" i="18" s="1"/>
  <c r="AZ141" i="18" s="1"/>
  <c r="BA141" i="18" s="1"/>
  <c r="BB141" i="18" s="1"/>
  <c r="BC141" i="18" s="1"/>
  <c r="BD141" i="18" s="1"/>
  <c r="BE141" i="18" s="1"/>
  <c r="BF141" i="18" s="1"/>
  <c r="BG141" i="18" s="1"/>
  <c r="BH141" i="18" s="1"/>
  <c r="BI141" i="18" s="1"/>
  <c r="P53" i="7946"/>
  <c r="P78" i="7946"/>
  <c r="V297" i="18"/>
  <c r="W297" i="18" s="1"/>
  <c r="X297" i="18" s="1"/>
  <c r="Y297" i="18" s="1"/>
  <c r="Z297" i="18" s="1"/>
  <c r="AA297" i="18"/>
  <c r="AB297" i="18" s="1"/>
  <c r="AC297" i="18" s="1"/>
  <c r="AD297" i="18" s="1"/>
  <c r="AE297" i="18" s="1"/>
  <c r="AF297" i="18" s="1"/>
  <c r="AG297" i="18" s="1"/>
  <c r="AH297" i="18" s="1"/>
  <c r="AI297" i="18" s="1"/>
  <c r="AJ297" i="18" s="1"/>
  <c r="AK297" i="18" s="1"/>
  <c r="AL297" i="18" s="1"/>
  <c r="AM297" i="18" s="1"/>
  <c r="AN297" i="18" s="1"/>
  <c r="AO297" i="18" s="1"/>
  <c r="AP297" i="18" s="1"/>
  <c r="AQ297" i="18" s="1"/>
  <c r="AR297" i="18" s="1"/>
  <c r="AS297" i="18" s="1"/>
  <c r="AT297" i="18" s="1"/>
  <c r="AU297" i="18" s="1"/>
  <c r="AV297" i="18" s="1"/>
  <c r="AW297" i="18" s="1"/>
  <c r="AX297" i="18" s="1"/>
  <c r="AY297" i="18" s="1"/>
  <c r="AZ297" i="18" s="1"/>
  <c r="BA297" i="18" s="1"/>
  <c r="BB297" i="18" s="1"/>
  <c r="BC297" i="18" s="1"/>
  <c r="BD297" i="18" s="1"/>
  <c r="BE297" i="18" s="1"/>
  <c r="BF297" i="18" s="1"/>
  <c r="BG297" i="18" s="1"/>
  <c r="BH297" i="18" s="1"/>
  <c r="BI297" i="18" s="1"/>
  <c r="BA623" i="18"/>
  <c r="BB623" i="18" s="1"/>
  <c r="S678" i="18"/>
  <c r="T678" i="18" s="1"/>
  <c r="K739" i="18"/>
  <c r="O743" i="18"/>
  <c r="P743" i="18" s="1"/>
  <c r="AD662" i="18"/>
  <c r="AE662" i="18" s="1"/>
  <c r="AF662" i="18" s="1"/>
  <c r="AG662" i="18" s="1"/>
  <c r="AH662" i="18" s="1"/>
  <c r="AI662" i="18" s="1"/>
  <c r="AJ662" i="18" s="1"/>
  <c r="AK662" i="18" s="1"/>
  <c r="AL662" i="18" s="1"/>
  <c r="AM662" i="18" s="1"/>
  <c r="AN662" i="18" s="1"/>
  <c r="AO662" i="18" s="1"/>
  <c r="AP662" i="18"/>
  <c r="AQ662" i="18" s="1"/>
  <c r="AR662" i="18" s="1"/>
  <c r="AS662" i="18" s="1"/>
  <c r="AT662" i="18" s="1"/>
  <c r="AU662" i="18" s="1"/>
  <c r="AV662" i="18" s="1"/>
  <c r="AW662" i="18" s="1"/>
  <c r="AX662" i="18" s="1"/>
  <c r="AY662" i="18" s="1"/>
  <c r="AZ662" i="18" s="1"/>
  <c r="BA662" i="18" s="1"/>
  <c r="BB662" i="18" s="1"/>
  <c r="BC662" i="18" s="1"/>
  <c r="BD662" i="18" s="1"/>
  <c r="BE662" i="18" s="1"/>
  <c r="BF662" i="18" s="1"/>
  <c r="BG662" i="18" s="1"/>
  <c r="BH662" i="18" s="1"/>
  <c r="BI662" i="18" s="1"/>
  <c r="AH506" i="18"/>
  <c r="AI506" i="18" s="1"/>
  <c r="AJ506" i="18" s="1"/>
  <c r="AK506" i="18" s="1"/>
  <c r="AL506" i="18" s="1"/>
  <c r="AM506" i="18" s="1"/>
  <c r="AN506" i="18" s="1"/>
  <c r="AO506" i="18" s="1"/>
  <c r="AP506" i="18" s="1"/>
  <c r="AQ506" i="18" s="1"/>
  <c r="AR506" i="18" s="1"/>
  <c r="AS506" i="18" s="1"/>
  <c r="AT506" i="18" s="1"/>
  <c r="AU506" i="18" s="1"/>
  <c r="AV506" i="18" s="1"/>
  <c r="AW506" i="18" s="1"/>
  <c r="AX506" i="18" s="1"/>
  <c r="AY506" i="18" s="1"/>
  <c r="AZ506" i="18" s="1"/>
  <c r="BA506" i="18" s="1"/>
  <c r="BB506" i="18" s="1"/>
  <c r="BC506" i="18" s="1"/>
  <c r="BD506" i="18" s="1"/>
  <c r="BE506" i="18" s="1"/>
  <c r="BF506" i="18" s="1"/>
  <c r="BG506" i="18" s="1"/>
  <c r="BH506" i="18" s="1"/>
  <c r="BI506" i="18" s="1"/>
  <c r="AG506" i="18"/>
  <c r="X805" i="18"/>
  <c r="Y805" i="18" s="1"/>
  <c r="Z805" i="18" s="1"/>
  <c r="AA805" i="18" s="1"/>
  <c r="AB805" i="18" s="1"/>
  <c r="AC805" i="18" s="1"/>
  <c r="AD805" i="18" s="1"/>
  <c r="AE805" i="18" s="1"/>
  <c r="AF805" i="18" s="1"/>
  <c r="AG805" i="18" s="1"/>
  <c r="AH805" i="18" s="1"/>
  <c r="AI805" i="18" s="1"/>
  <c r="AJ805" i="18" s="1"/>
  <c r="AK805" i="18" s="1"/>
  <c r="AL805" i="18" s="1"/>
  <c r="AM805" i="18" s="1"/>
  <c r="AN805" i="18" s="1"/>
  <c r="AO805" i="18" s="1"/>
  <c r="AP805" i="18" s="1"/>
  <c r="AQ805" i="18" s="1"/>
  <c r="AR805" i="18" s="1"/>
  <c r="AS805" i="18" s="1"/>
  <c r="AT805" i="18" s="1"/>
  <c r="AU805" i="18" s="1"/>
  <c r="AV805" i="18" s="1"/>
  <c r="AW805" i="18" s="1"/>
  <c r="AX805" i="18" s="1"/>
  <c r="AY805" i="18" s="1"/>
  <c r="AZ805" i="18" s="1"/>
  <c r="BA805" i="18" s="1"/>
  <c r="BB805" i="18" s="1"/>
  <c r="BC805" i="18" s="1"/>
  <c r="BD805" i="18" s="1"/>
  <c r="BE805" i="18" s="1"/>
  <c r="BF805" i="18" s="1"/>
  <c r="BG805" i="18" s="1"/>
  <c r="BH805" i="18" s="1"/>
  <c r="BI805" i="18" s="1"/>
  <c r="Z362" i="18"/>
  <c r="AA362" i="18" s="1"/>
  <c r="AB362" i="18" s="1"/>
  <c r="AC362" i="18" s="1"/>
  <c r="AD362" i="18" s="1"/>
  <c r="AE362" i="18" s="1"/>
  <c r="AF362" i="18" s="1"/>
  <c r="AG362" i="18" s="1"/>
  <c r="AH362" i="18" s="1"/>
  <c r="AI362" i="18" s="1"/>
  <c r="AJ362" i="18" s="1"/>
  <c r="AK362" i="18" s="1"/>
  <c r="AL362" i="18" s="1"/>
  <c r="AM362" i="18" s="1"/>
  <c r="AN362" i="18" s="1"/>
  <c r="AO362" i="18" s="1"/>
  <c r="AP362" i="18" s="1"/>
  <c r="AQ362" i="18" s="1"/>
  <c r="AR362" i="18" s="1"/>
  <c r="AS362" i="18" s="1"/>
  <c r="AT362" i="18" s="1"/>
  <c r="AU362" i="18" s="1"/>
  <c r="AV362" i="18" s="1"/>
  <c r="AW362" i="18" s="1"/>
  <c r="AX362" i="18" s="1"/>
  <c r="AY362" i="18" s="1"/>
  <c r="AZ362" i="18" s="1"/>
  <c r="BA362" i="18" s="1"/>
  <c r="BB362" i="18"/>
  <c r="BC362" i="18" s="1"/>
  <c r="BD362" i="18" s="1"/>
  <c r="BE362" i="18" s="1"/>
  <c r="BF362" i="18" s="1"/>
  <c r="BG362" i="18" s="1"/>
  <c r="BH362" i="18" s="1"/>
  <c r="BI362" i="18" s="1"/>
  <c r="AA310" i="18"/>
  <c r="AB310" i="18" s="1"/>
  <c r="AC310" i="18" s="1"/>
  <c r="AE310" i="18"/>
  <c r="AF310" i="18" s="1"/>
  <c r="AG310" i="18" s="1"/>
  <c r="AH310" i="18" s="1"/>
  <c r="AI310" i="18" s="1"/>
  <c r="AJ310" i="18" s="1"/>
  <c r="AK310" i="18" s="1"/>
  <c r="AL310" i="18" s="1"/>
  <c r="AM310" i="18" s="1"/>
  <c r="AN310" i="18" s="1"/>
  <c r="AO310" i="18" s="1"/>
  <c r="AP310" i="18" s="1"/>
  <c r="AQ310" i="18" s="1"/>
  <c r="AR310" i="18" s="1"/>
  <c r="AS310" i="18" s="1"/>
  <c r="AT310" i="18" s="1"/>
  <c r="AU310" i="18" s="1"/>
  <c r="AV310" i="18" s="1"/>
  <c r="AW310" i="18" s="1"/>
  <c r="AX310" i="18" s="1"/>
  <c r="AY310" i="18" s="1"/>
  <c r="AZ310" i="18" s="1"/>
  <c r="BA310" i="18" s="1"/>
  <c r="BB310" i="18" s="1"/>
  <c r="BC310" i="18" s="1"/>
  <c r="BD310" i="18" s="1"/>
  <c r="BE310" i="18" s="1"/>
  <c r="BF310" i="18" s="1"/>
  <c r="BG310" i="18" s="1"/>
  <c r="BH310" i="18" s="1"/>
  <c r="BI310" i="18" s="1"/>
  <c r="V310" i="18"/>
  <c r="W310" i="18" s="1"/>
  <c r="X310" i="18" s="1"/>
  <c r="Y310" i="18" s="1"/>
  <c r="Z310" i="18" s="1"/>
  <c r="AD310" i="18"/>
  <c r="X219" i="18"/>
  <c r="Y219" i="18" s="1"/>
  <c r="Z219" i="18" s="1"/>
  <c r="AA219" i="18" s="1"/>
  <c r="AB219" i="18"/>
  <c r="AC219" i="18" s="1"/>
  <c r="AD219" i="18" s="1"/>
  <c r="AE219" i="18" s="1"/>
  <c r="AF219" i="18" s="1"/>
  <c r="AG219" i="18" s="1"/>
  <c r="AH219" i="18" s="1"/>
  <c r="AI219" i="18" s="1"/>
  <c r="AJ219" i="18" s="1"/>
  <c r="AK219" i="18" s="1"/>
  <c r="AL219" i="18" s="1"/>
  <c r="AM219" i="18" s="1"/>
  <c r="AN219" i="18" s="1"/>
  <c r="AO219" i="18" s="1"/>
  <c r="AP219" i="18" s="1"/>
  <c r="AQ219" i="18" s="1"/>
  <c r="AR219" i="18" s="1"/>
  <c r="AS219" i="18" s="1"/>
  <c r="AT219" i="18" s="1"/>
  <c r="AU219" i="18" s="1"/>
  <c r="AV219" i="18" s="1"/>
  <c r="AW219" i="18" s="1"/>
  <c r="AX219" i="18" s="1"/>
  <c r="AY219" i="18" s="1"/>
  <c r="AZ219" i="18" s="1"/>
  <c r="BA219" i="18" s="1"/>
  <c r="BB219" i="18" s="1"/>
  <c r="BC219" i="18" s="1"/>
  <c r="BD219" i="18" s="1"/>
  <c r="BE219" i="18" s="1"/>
  <c r="BF219" i="18" s="1"/>
  <c r="BG219" i="18" s="1"/>
  <c r="BH219" i="18" s="1"/>
  <c r="BI219" i="18" s="1"/>
  <c r="AI154" i="18"/>
  <c r="AJ154" i="18" s="1"/>
  <c r="AK154" i="18" s="1"/>
  <c r="AL154" i="18" s="1"/>
  <c r="AM154" i="18" s="1"/>
  <c r="AN154" i="18" s="1"/>
  <c r="AO154" i="18" s="1"/>
  <c r="AP154" i="18" s="1"/>
  <c r="AQ154" i="18" s="1"/>
  <c r="AR154" i="18" s="1"/>
  <c r="AS154" i="18" s="1"/>
  <c r="AT154" i="18" s="1"/>
  <c r="AU154" i="18" s="1"/>
  <c r="AV154" i="18" s="1"/>
  <c r="AW154" i="18" s="1"/>
  <c r="AX154" i="18" s="1"/>
  <c r="AY154" i="18" s="1"/>
  <c r="AZ154" i="18" s="1"/>
  <c r="BA154" i="18" s="1"/>
  <c r="BB154" i="18" s="1"/>
  <c r="BC154" i="18" s="1"/>
  <c r="BD154" i="18" s="1"/>
  <c r="BE154" i="18" s="1"/>
  <c r="BF154" i="18" s="1"/>
  <c r="BG154" i="18" s="1"/>
  <c r="BH154" i="18" s="1"/>
  <c r="BI154" i="18" s="1"/>
  <c r="BC623" i="18"/>
  <c r="BD623" i="18" s="1"/>
  <c r="BE623" i="18" s="1"/>
  <c r="BF623" i="18" s="1"/>
  <c r="BG623" i="18" s="1"/>
  <c r="BH623" i="18" s="1"/>
  <c r="BI623" i="18" s="1"/>
  <c r="L143" i="18"/>
  <c r="M143" i="18" s="1"/>
  <c r="N143" i="18" s="1"/>
  <c r="X714" i="18"/>
  <c r="Y610" i="18"/>
  <c r="Z610" i="18"/>
  <c r="AA610" i="18" s="1"/>
  <c r="AB610" i="18" s="1"/>
  <c r="AC610" i="18" s="1"/>
  <c r="AD610" i="18" s="1"/>
  <c r="AE610" i="18" s="1"/>
  <c r="AF610" i="18" s="1"/>
  <c r="AG610" i="18" s="1"/>
  <c r="AH610" i="18" s="1"/>
  <c r="AI610" i="18" s="1"/>
  <c r="AJ610" i="18" s="1"/>
  <c r="AK610" i="18" s="1"/>
  <c r="AL610" i="18" s="1"/>
  <c r="AM610" i="18" s="1"/>
  <c r="AN610" i="18" s="1"/>
  <c r="AO610" i="18" s="1"/>
  <c r="AP610" i="18" s="1"/>
  <c r="AQ610" i="18" s="1"/>
  <c r="AR610" i="18" s="1"/>
  <c r="AS610" i="18" s="1"/>
  <c r="AT610" i="18" s="1"/>
  <c r="AU610" i="18" s="1"/>
  <c r="AV610" i="18" s="1"/>
  <c r="AW610" i="18" s="1"/>
  <c r="AX610" i="18" s="1"/>
  <c r="AY610" i="18" s="1"/>
  <c r="AZ610" i="18" s="1"/>
  <c r="BA610" i="18" s="1"/>
  <c r="BB610" i="18" s="1"/>
  <c r="BC610" i="18" s="1"/>
  <c r="BD610" i="18" s="1"/>
  <c r="BE610" i="18" s="1"/>
  <c r="BF610" i="18" s="1"/>
  <c r="BG610" i="18" s="1"/>
  <c r="BH610" i="18" s="1"/>
  <c r="BI610" i="18" s="1"/>
  <c r="AC414" i="18"/>
  <c r="AD414" i="18" s="1"/>
  <c r="AE414" i="18" s="1"/>
  <c r="AF414" i="18" s="1"/>
  <c r="AG414" i="18" s="1"/>
  <c r="AH414" i="18" s="1"/>
  <c r="AI414" i="18" s="1"/>
  <c r="AJ414" i="18" s="1"/>
  <c r="AK414" i="18" s="1"/>
  <c r="AL414" i="18" s="1"/>
  <c r="AM414" i="18" s="1"/>
  <c r="AN414" i="18" s="1"/>
  <c r="AO414" i="18" s="1"/>
  <c r="AP414" i="18" s="1"/>
  <c r="AQ414" i="18" s="1"/>
  <c r="AR414" i="18" s="1"/>
  <c r="AS414" i="18" s="1"/>
  <c r="AT414" i="18" s="1"/>
  <c r="AU414" i="18" s="1"/>
  <c r="AV414" i="18" s="1"/>
  <c r="AW414" i="18" s="1"/>
  <c r="AX414" i="18" s="1"/>
  <c r="AY414" i="18" s="1"/>
  <c r="AZ414" i="18" s="1"/>
  <c r="BA414" i="18" s="1"/>
  <c r="BB414" i="18" s="1"/>
  <c r="BC414" i="18" s="1"/>
  <c r="BD414" i="18" s="1"/>
  <c r="BE414" i="18" s="1"/>
  <c r="BF414" i="18" s="1"/>
  <c r="BG414" i="18" s="1"/>
  <c r="BH414" i="18" s="1"/>
  <c r="BI414" i="18" s="1"/>
  <c r="O263" i="18"/>
  <c r="P263" i="18" s="1"/>
  <c r="Q263" i="18" s="1"/>
  <c r="R263" i="18" s="1"/>
  <c r="M809" i="18"/>
  <c r="N809" i="18" s="1"/>
  <c r="O809" i="18" s="1"/>
  <c r="P809" i="18" s="1"/>
  <c r="K390" i="18"/>
  <c r="K400" i="18" s="1"/>
  <c r="K752" i="18"/>
  <c r="L615" i="18"/>
  <c r="M810" i="18"/>
  <c r="P588" i="18"/>
  <c r="Q588" i="18" s="1"/>
  <c r="Z510" i="18"/>
  <c r="AA510" i="18" s="1"/>
  <c r="AB510" i="18" s="1"/>
  <c r="AC510" i="18" s="1"/>
  <c r="M745" i="18"/>
  <c r="N745" i="18" s="1"/>
  <c r="O745" i="18" s="1"/>
  <c r="O160" i="18"/>
  <c r="P160" i="18" s="1"/>
  <c r="N755" i="18"/>
  <c r="L862" i="18"/>
  <c r="M862" i="18" s="1"/>
  <c r="K309" i="18"/>
  <c r="AL104" i="18"/>
  <c r="AM104" i="18" s="1"/>
  <c r="O548" i="18"/>
  <c r="P548" i="18" s="1"/>
  <c r="L218" i="18"/>
  <c r="L771" i="18"/>
  <c r="M771" i="18" s="1"/>
  <c r="N264" i="18"/>
  <c r="O264" i="18" s="1"/>
  <c r="Q339" i="18"/>
  <c r="R339" i="18" s="1"/>
  <c r="P484" i="18"/>
  <c r="Q484" i="18" s="1"/>
  <c r="R484" i="18" s="1"/>
  <c r="O329" i="18"/>
  <c r="P329" i="18" s="1"/>
  <c r="Q329" i="18" s="1"/>
  <c r="N626" i="18"/>
  <c r="O626" i="18" s="1"/>
  <c r="M860" i="18"/>
  <c r="P355" i="18"/>
  <c r="Q355" i="18" s="1"/>
  <c r="K843" i="18"/>
  <c r="M274" i="18"/>
  <c r="N274" i="18" s="1"/>
  <c r="M119" i="18"/>
  <c r="Q131" i="18"/>
  <c r="R131" i="18" s="1"/>
  <c r="O444" i="18"/>
  <c r="P444" i="18" s="1"/>
  <c r="N186" i="18"/>
  <c r="O186" i="18" s="1"/>
  <c r="P186" i="18" s="1"/>
  <c r="N784" i="18"/>
  <c r="O784" i="18" s="1"/>
  <c r="S380" i="18"/>
  <c r="T380" i="18" s="1"/>
  <c r="L457" i="18"/>
  <c r="Q445" i="18"/>
  <c r="BN107" i="7942"/>
  <c r="K455" i="18"/>
  <c r="N459" i="18"/>
  <c r="O459" i="18" s="1"/>
  <c r="AN82" i="18"/>
  <c r="AO82" i="18" s="1"/>
  <c r="K817" i="18"/>
  <c r="L416" i="18"/>
  <c r="M416" i="18" s="1"/>
  <c r="N796" i="18"/>
  <c r="O796" i="18" s="1"/>
  <c r="P430" i="18"/>
  <c r="Q430" i="18" s="1"/>
  <c r="R430" i="18" s="1"/>
  <c r="S430" i="18" s="1"/>
  <c r="N352" i="18"/>
  <c r="N210" i="18"/>
  <c r="N196" i="18"/>
  <c r="O196" i="18" s="1"/>
  <c r="N134" i="18"/>
  <c r="O134" i="18" s="1"/>
  <c r="N407" i="18"/>
  <c r="O407" i="18" s="1"/>
  <c r="P276" i="18"/>
  <c r="Q276" i="18" s="1"/>
  <c r="O537" i="18"/>
  <c r="P537" i="18" s="1"/>
  <c r="O340" i="18"/>
  <c r="N287" i="18"/>
  <c r="O287" i="18" s="1"/>
  <c r="P287" i="18" s="1"/>
  <c r="Q287" i="18" s="1"/>
  <c r="R287" i="18" s="1"/>
  <c r="N482" i="18"/>
  <c r="K492" i="18"/>
  <c r="L664" i="18"/>
  <c r="M664" i="18" s="1"/>
  <c r="N664" i="18" s="1"/>
  <c r="L166" i="18"/>
  <c r="N251" i="18"/>
  <c r="O251" i="18" s="1"/>
  <c r="M576" i="18"/>
  <c r="N576" i="18" s="1"/>
  <c r="M602" i="18"/>
  <c r="N602" i="18" s="1"/>
  <c r="O602" i="18" s="1"/>
  <c r="O417" i="18"/>
  <c r="P417" i="18" s="1"/>
  <c r="J7" i="7942"/>
  <c r="J44" i="7943" s="1"/>
  <c r="J17" i="7946" s="1"/>
  <c r="N147" i="18"/>
  <c r="O147" i="18" s="1"/>
  <c r="P147" i="18" s="1"/>
  <c r="L485" i="18"/>
  <c r="L693" i="18"/>
  <c r="M693" i="18" s="1"/>
  <c r="M612" i="18"/>
  <c r="N612" i="18" s="1"/>
  <c r="N172" i="18"/>
  <c r="O172" i="18" s="1"/>
  <c r="N314" i="18"/>
  <c r="O314" i="18" s="1"/>
  <c r="P314" i="18" s="1"/>
  <c r="N821" i="18"/>
  <c r="O821" i="18" s="1"/>
  <c r="L652" i="18"/>
  <c r="M652" i="18" s="1"/>
  <c r="K169" i="18"/>
  <c r="K179" i="18" s="1"/>
  <c r="M716" i="18"/>
  <c r="N716" i="18" s="1"/>
  <c r="N393" i="18"/>
  <c r="O393" i="18" s="1"/>
  <c r="N547" i="18"/>
  <c r="O547" i="18" s="1"/>
  <c r="P547" i="18" s="1"/>
  <c r="O807" i="18"/>
  <c r="K21" i="7945"/>
  <c r="K21" i="7946"/>
  <c r="L60" i="7943"/>
  <c r="CK90" i="7942"/>
  <c r="CL57" i="7942"/>
  <c r="M60" i="7942"/>
  <c r="L93" i="7942"/>
  <c r="I13" i="24"/>
  <c r="J12" i="24"/>
  <c r="N199" i="18"/>
  <c r="O199" i="18" s="1"/>
  <c r="P199" i="18" s="1"/>
  <c r="Q199" i="18" s="1"/>
  <c r="O144" i="18"/>
  <c r="K270" i="18"/>
  <c r="P365" i="18"/>
  <c r="Q365" i="18" s="1"/>
  <c r="X59" i="7942"/>
  <c r="W92" i="7942"/>
  <c r="BP59" i="7942"/>
  <c r="BO92" i="7942"/>
  <c r="CK82" i="7942"/>
  <c r="CL49" i="7942"/>
  <c r="N315" i="18"/>
  <c r="BO98" i="7942"/>
  <c r="BP65" i="7942"/>
  <c r="I44" i="7946"/>
  <c r="I63" i="7946"/>
  <c r="I88" i="7946" s="1"/>
  <c r="O208" i="18"/>
  <c r="P208" i="18" s="1"/>
  <c r="M560" i="18"/>
  <c r="N560" i="18" s="1"/>
  <c r="N521" i="18"/>
  <c r="AH81" i="7942"/>
  <c r="AI48" i="7942"/>
  <c r="Q157" i="18"/>
  <c r="R157" i="18" s="1"/>
  <c r="AT57" i="7942"/>
  <c r="AS90" i="7942"/>
  <c r="BD97" i="7942"/>
  <c r="BE64" i="7942"/>
  <c r="CW63" i="7942"/>
  <c r="CV96" i="7942"/>
  <c r="BO91" i="7942"/>
  <c r="BP58" i="7942"/>
  <c r="W83" i="7942"/>
  <c r="X50" i="7942"/>
  <c r="M67" i="7942"/>
  <c r="L100" i="7942"/>
  <c r="P237" i="18"/>
  <c r="Q237" i="18" s="1"/>
  <c r="AQ91" i="18"/>
  <c r="AR91" i="18" s="1"/>
  <c r="AS91" i="18" s="1"/>
  <c r="AT91" i="18" s="1"/>
  <c r="AU91" i="18" s="1"/>
  <c r="AV91" i="18" s="1"/>
  <c r="AW91" i="18" s="1"/>
  <c r="AX91" i="18" s="1"/>
  <c r="AY91" i="18" s="1"/>
  <c r="AZ91" i="18" s="1"/>
  <c r="BA91" i="18" s="1"/>
  <c r="BB91" i="18" s="1"/>
  <c r="BC91" i="18" s="1"/>
  <c r="BD91" i="18" s="1"/>
  <c r="BE91" i="18" s="1"/>
  <c r="BF91" i="18" s="1"/>
  <c r="BG91" i="18" s="1"/>
  <c r="BH91" i="18" s="1"/>
  <c r="BI91" i="18" s="1"/>
  <c r="L83" i="7942"/>
  <c r="M50" i="7942"/>
  <c r="M56" i="7942"/>
  <c r="L89" i="7942"/>
  <c r="N833" i="18"/>
  <c r="K674" i="18"/>
  <c r="N171" i="18"/>
  <c r="O171" i="18" s="1"/>
  <c r="P171" i="18" s="1"/>
  <c r="DG86" i="7942"/>
  <c r="DH53" i="7942"/>
  <c r="O185" i="18"/>
  <c r="P185" i="18" s="1"/>
  <c r="DH57" i="7942"/>
  <c r="DG90" i="7942"/>
  <c r="L99" i="7942"/>
  <c r="M66" i="7942"/>
  <c r="Q458" i="18"/>
  <c r="AN95" i="18"/>
  <c r="M316" i="18"/>
  <c r="M446" i="18"/>
  <c r="N446" i="18" s="1"/>
  <c r="M290" i="18"/>
  <c r="N238" i="18"/>
  <c r="M420" i="18"/>
  <c r="L299" i="18"/>
  <c r="L182" i="18"/>
  <c r="M182" i="18" s="1"/>
  <c r="W106" i="7942"/>
  <c r="X73" i="7942"/>
  <c r="P691" i="18"/>
  <c r="AI66" i="7942"/>
  <c r="AH99" i="7942"/>
  <c r="BO90" i="7942"/>
  <c r="BP57" i="7942"/>
  <c r="CV87" i="7942"/>
  <c r="CW54" i="7942"/>
  <c r="N703" i="18"/>
  <c r="O703" i="18" s="1"/>
  <c r="P703" i="18" s="1"/>
  <c r="P289" i="18"/>
  <c r="N170" i="18"/>
  <c r="M275" i="18"/>
  <c r="N275" i="18" s="1"/>
  <c r="L431" i="18"/>
  <c r="O613" i="18"/>
  <c r="P613" i="18" s="1"/>
  <c r="Q613" i="18" s="1"/>
  <c r="R613" i="18" s="1"/>
  <c r="R639" i="18"/>
  <c r="S639" i="18" s="1"/>
  <c r="CA72" i="7942"/>
  <c r="BZ105" i="7942"/>
  <c r="AI61" i="7942"/>
  <c r="AH94" i="7942"/>
  <c r="DH67" i="7942"/>
  <c r="DG100" i="7942"/>
  <c r="CK93" i="7942"/>
  <c r="CL60" i="7942"/>
  <c r="O755" i="18"/>
  <c r="P755" i="18" s="1"/>
  <c r="M667" i="18"/>
  <c r="N667" i="18" s="1"/>
  <c r="BD82" i="7942"/>
  <c r="BE49" i="7942"/>
  <c r="AI51" i="7942"/>
  <c r="AH84" i="7942"/>
  <c r="BZ97" i="7942"/>
  <c r="CA64" i="7942"/>
  <c r="CV100" i="7942"/>
  <c r="CW67" i="7942"/>
  <c r="W84" i="7942"/>
  <c r="X51" i="7942"/>
  <c r="H64" i="7946"/>
  <c r="M52" i="7942"/>
  <c r="L85" i="7942"/>
  <c r="I70" i="24"/>
  <c r="I133" i="24" s="1"/>
  <c r="I66" i="24"/>
  <c r="DG83" i="7942"/>
  <c r="DH50" i="7942"/>
  <c r="I25" i="7946"/>
  <c r="AS93" i="7942"/>
  <c r="AT60" i="7942"/>
  <c r="K107" i="7942"/>
  <c r="Q302" i="18"/>
  <c r="R302" i="18" s="1"/>
  <c r="S302" i="18" s="1"/>
  <c r="M303" i="18"/>
  <c r="M225" i="18"/>
  <c r="M368" i="18"/>
  <c r="K10" i="18"/>
  <c r="K42" i="18"/>
  <c r="M121" i="18"/>
  <c r="AH105" i="7942"/>
  <c r="AI72" i="7942"/>
  <c r="X58" i="7942"/>
  <c r="W91" i="7942"/>
  <c r="DH73" i="7942"/>
  <c r="DG106" i="7942"/>
  <c r="L86" i="7942"/>
  <c r="M53" i="7942"/>
  <c r="AP107" i="18"/>
  <c r="AQ107" i="18" s="1"/>
  <c r="AR107" i="18" s="1"/>
  <c r="AS107" i="18" s="1"/>
  <c r="AT107" i="18" s="1"/>
  <c r="AU107" i="18" s="1"/>
  <c r="AV107" i="18" s="1"/>
  <c r="AW107" i="18" s="1"/>
  <c r="AX107" i="18" s="1"/>
  <c r="AY107" i="18" s="1"/>
  <c r="AZ107" i="18" s="1"/>
  <c r="BA107" i="18" s="1"/>
  <c r="BB107" i="18" s="1"/>
  <c r="BC107" i="18" s="1"/>
  <c r="BD107" i="18" s="1"/>
  <c r="BE107" i="18" s="1"/>
  <c r="BF107" i="18" s="1"/>
  <c r="BG107" i="18" s="1"/>
  <c r="BH107" i="18" s="1"/>
  <c r="BI107" i="18" s="1"/>
  <c r="L7" i="7943"/>
  <c r="L11" i="24"/>
  <c r="L573" i="18"/>
  <c r="DG95" i="7942"/>
  <c r="DH62" i="7942"/>
  <c r="CL63" i="7942"/>
  <c r="CK96" i="7942"/>
  <c r="CV84" i="7942"/>
  <c r="CW51" i="7942"/>
  <c r="AI68" i="7942"/>
  <c r="AH101" i="7942"/>
  <c r="N782" i="18"/>
  <c r="O782" i="18" s="1"/>
  <c r="P782" i="18" s="1"/>
  <c r="P651" i="18"/>
  <c r="Q651" i="18" s="1"/>
  <c r="AG107" i="7942"/>
  <c r="N677" i="18"/>
  <c r="O677" i="18" s="1"/>
  <c r="P145" i="18"/>
  <c r="P418" i="18"/>
  <c r="Q418" i="18" s="1"/>
  <c r="R418" i="18" s="1"/>
  <c r="S418" i="18" s="1"/>
  <c r="T418" i="18" s="1"/>
  <c r="U418" i="18" s="1"/>
  <c r="V418" i="18" s="1"/>
  <c r="W418" i="18" s="1"/>
  <c r="X418" i="18" s="1"/>
  <c r="Y418" i="18" s="1"/>
  <c r="Z418" i="18" s="1"/>
  <c r="AA418" i="18" s="1"/>
  <c r="AB418" i="18" s="1"/>
  <c r="AC418" i="18" s="1"/>
  <c r="AD418" i="18" s="1"/>
  <c r="AE418" i="18" s="1"/>
  <c r="AF418" i="18" s="1"/>
  <c r="AG418" i="18" s="1"/>
  <c r="AH418" i="18" s="1"/>
  <c r="AI418" i="18" s="1"/>
  <c r="AJ418" i="18" s="1"/>
  <c r="AK418" i="18" s="1"/>
  <c r="AL418" i="18" s="1"/>
  <c r="AM418" i="18" s="1"/>
  <c r="AN418" i="18" s="1"/>
  <c r="AO418" i="18" s="1"/>
  <c r="AP418" i="18" s="1"/>
  <c r="AQ418" i="18" s="1"/>
  <c r="AR418" i="18" s="1"/>
  <c r="AS418" i="18" s="1"/>
  <c r="AT418" i="18" s="1"/>
  <c r="AU418" i="18" s="1"/>
  <c r="AV418" i="18" s="1"/>
  <c r="AW418" i="18" s="1"/>
  <c r="AX418" i="18" s="1"/>
  <c r="AY418" i="18" s="1"/>
  <c r="AZ418" i="18" s="1"/>
  <c r="BA418" i="18" s="1"/>
  <c r="BB418" i="18" s="1"/>
  <c r="BC418" i="18" s="1"/>
  <c r="BD418" i="18" s="1"/>
  <c r="BE418" i="18" s="1"/>
  <c r="BF418" i="18" s="1"/>
  <c r="BG418" i="18" s="1"/>
  <c r="BH418" i="18" s="1"/>
  <c r="BI418" i="18" s="1"/>
  <c r="P625" i="18"/>
  <c r="BP62" i="7942"/>
  <c r="BO95" i="7942"/>
  <c r="AP105" i="18"/>
  <c r="AQ105" i="18" s="1"/>
  <c r="AR105" i="18" s="1"/>
  <c r="AS105" i="18" s="1"/>
  <c r="AT105" i="18" s="1"/>
  <c r="AU105" i="18" s="1"/>
  <c r="AV105" i="18" s="1"/>
  <c r="AW105" i="18" s="1"/>
  <c r="AX105" i="18" s="1"/>
  <c r="AY105" i="18" s="1"/>
  <c r="AZ105" i="18" s="1"/>
  <c r="BA105" i="18" s="1"/>
  <c r="BB105" i="18" s="1"/>
  <c r="S483" i="18"/>
  <c r="T483" i="18" s="1"/>
  <c r="U483" i="18" s="1"/>
  <c r="V483" i="18" s="1"/>
  <c r="Q391" i="18"/>
  <c r="R391" i="18" s="1"/>
  <c r="S391" i="18" s="1"/>
  <c r="T391" i="18" s="1"/>
  <c r="U391" i="18" s="1"/>
  <c r="V391" i="18" s="1"/>
  <c r="W391" i="18" s="1"/>
  <c r="X391" i="18" s="1"/>
  <c r="Y391" i="18" s="1"/>
  <c r="Z391" i="18" s="1"/>
  <c r="AA391" i="18" s="1"/>
  <c r="AB391" i="18" s="1"/>
  <c r="AC391" i="18" s="1"/>
  <c r="AD391" i="18" s="1"/>
  <c r="AE391" i="18" s="1"/>
  <c r="AF391" i="18" s="1"/>
  <c r="AG391" i="18" s="1"/>
  <c r="AH391" i="18" s="1"/>
  <c r="AI391" i="18" s="1"/>
  <c r="AJ391" i="18" s="1"/>
  <c r="AK391" i="18" s="1"/>
  <c r="AL391" i="18" s="1"/>
  <c r="AM391" i="18" s="1"/>
  <c r="AN391" i="18" s="1"/>
  <c r="AO391" i="18" s="1"/>
  <c r="AP391" i="18" s="1"/>
  <c r="AQ391" i="18" s="1"/>
  <c r="AR391" i="18" s="1"/>
  <c r="AS391" i="18" s="1"/>
  <c r="AT391" i="18" s="1"/>
  <c r="AU391" i="18" s="1"/>
  <c r="AV391" i="18" s="1"/>
  <c r="AW391" i="18" s="1"/>
  <c r="AX391" i="18" s="1"/>
  <c r="AY391" i="18" s="1"/>
  <c r="AZ391" i="18" s="1"/>
  <c r="BA391" i="18" s="1"/>
  <c r="BB391" i="18" s="1"/>
  <c r="BC391" i="18" s="1"/>
  <c r="BD391" i="18" s="1"/>
  <c r="BE391" i="18" s="1"/>
  <c r="BF391" i="18" s="1"/>
  <c r="BG391" i="18" s="1"/>
  <c r="BH391" i="18" s="1"/>
  <c r="BI391" i="18" s="1"/>
  <c r="J32" i="24"/>
  <c r="J163" i="24" s="1"/>
  <c r="K7" i="24"/>
  <c r="J49" i="24"/>
  <c r="J41" i="24"/>
  <c r="J40" i="24"/>
  <c r="BO87" i="7942"/>
  <c r="BP54" i="7942"/>
  <c r="L442" i="18"/>
  <c r="K452" i="18"/>
  <c r="DG96" i="7942"/>
  <c r="DH63" i="7942"/>
  <c r="AM106" i="18"/>
  <c r="AN106" i="18" s="1"/>
  <c r="CL65" i="7942"/>
  <c r="CK98" i="7942"/>
  <c r="O795" i="18"/>
  <c r="P795" i="18" s="1"/>
  <c r="N118" i="18"/>
  <c r="AT62" i="7942"/>
  <c r="AS95" i="7942"/>
  <c r="W101" i="7942"/>
  <c r="X68" i="7942"/>
  <c r="BD87" i="7942"/>
  <c r="BE54" i="7942"/>
  <c r="N209" i="18"/>
  <c r="O209" i="18" s="1"/>
  <c r="P209" i="18" s="1"/>
  <c r="CL50" i="7942"/>
  <c r="CK83" i="7942"/>
  <c r="BD88" i="7942"/>
  <c r="BE55" i="7942"/>
  <c r="AT50" i="7942"/>
  <c r="AS83" i="7942"/>
  <c r="M51" i="7942"/>
  <c r="L84" i="7942"/>
  <c r="CA53" i="7942"/>
  <c r="BZ86" i="7942"/>
  <c r="G91" i="7946"/>
  <c r="G92" i="7946" s="1"/>
  <c r="G67" i="7946"/>
  <c r="H66" i="7946"/>
  <c r="H91" i="7946" s="1"/>
  <c r="L106" i="7942"/>
  <c r="M73" i="7942"/>
  <c r="L105" i="7942"/>
  <c r="M72" i="7942"/>
  <c r="M197" i="18"/>
  <c r="N197" i="18" s="1"/>
  <c r="CA65" i="7942"/>
  <c r="BZ98" i="7942"/>
  <c r="AH106" i="7942"/>
  <c r="AI73" i="7942"/>
  <c r="AT55" i="7942"/>
  <c r="AS88" i="7942"/>
  <c r="M48" i="7942"/>
  <c r="L81" i="7942"/>
  <c r="O433" i="18"/>
  <c r="P433" i="18" s="1"/>
  <c r="Q433" i="18" s="1"/>
  <c r="M173" i="18"/>
  <c r="N212" i="18"/>
  <c r="W93" i="7942"/>
  <c r="X60" i="7942"/>
  <c r="CV93" i="7942"/>
  <c r="CW60" i="7942"/>
  <c r="DG103" i="7942"/>
  <c r="DH70" i="7942"/>
  <c r="W102" i="7942"/>
  <c r="X69" i="7942"/>
  <c r="AT67" i="7942"/>
  <c r="AS100" i="7942"/>
  <c r="DG93" i="7942"/>
  <c r="DH60" i="7942"/>
  <c r="CL64" i="7942"/>
  <c r="CK97" i="7942"/>
  <c r="L24" i="2"/>
  <c r="L23" i="2"/>
  <c r="L25" i="2" s="1"/>
  <c r="N405" i="18"/>
  <c r="O405" i="18" s="1"/>
  <c r="P405" i="18" s="1"/>
  <c r="N561" i="18"/>
  <c r="O561" i="18" s="1"/>
  <c r="AH96" i="7942"/>
  <c r="AI63" i="7942"/>
  <c r="AN81" i="18"/>
  <c r="AI49" i="7942"/>
  <c r="AH82" i="7942"/>
  <c r="AT58" i="7942"/>
  <c r="AS91" i="7942"/>
  <c r="CK87" i="7942"/>
  <c r="CL54" i="7942"/>
  <c r="DH64" i="7942"/>
  <c r="DG97" i="7942"/>
  <c r="CL70" i="7942"/>
  <c r="CK103" i="7942"/>
  <c r="J205" i="18"/>
  <c r="K195" i="18"/>
  <c r="L195" i="18" s="1"/>
  <c r="L205" i="18" s="1"/>
  <c r="BZ96" i="7942"/>
  <c r="CA63" i="7942"/>
  <c r="N640" i="18"/>
  <c r="N184" i="18"/>
  <c r="O184" i="18" s="1"/>
  <c r="CW49" i="7942"/>
  <c r="CV82" i="7942"/>
  <c r="J41" i="18"/>
  <c r="H89" i="7946"/>
  <c r="BE67" i="7942"/>
  <c r="BD100" i="7942"/>
  <c r="AH102" i="7942"/>
  <c r="AI69" i="7942"/>
  <c r="J270" i="18"/>
  <c r="J231" i="18"/>
  <c r="K221" i="18"/>
  <c r="M132" i="18"/>
  <c r="N132" i="18" s="1"/>
  <c r="O132" i="18" s="1"/>
  <c r="CA68" i="7942"/>
  <c r="BZ101" i="7942"/>
  <c r="AS85" i="7942"/>
  <c r="AT52" i="7942"/>
  <c r="K869" i="18"/>
  <c r="L859" i="18"/>
  <c r="BD95" i="7942"/>
  <c r="BE62" i="7942"/>
  <c r="N769" i="18"/>
  <c r="O769" i="18" s="1"/>
  <c r="BE52" i="7942"/>
  <c r="BD85" i="7942"/>
  <c r="M277" i="18"/>
  <c r="N381" i="18"/>
  <c r="O381" i="18" s="1"/>
  <c r="H96" i="7946"/>
  <c r="CK106" i="7942"/>
  <c r="CL73" i="7942"/>
  <c r="N419" i="18"/>
  <c r="M379" i="18"/>
  <c r="L6" i="24"/>
  <c r="M6" i="24" s="1"/>
  <c r="N6" i="24" s="1"/>
  <c r="O6" i="24" s="1"/>
  <c r="P6" i="24" s="1"/>
  <c r="Q6" i="24" s="1"/>
  <c r="R6" i="24" s="1"/>
  <c r="S6" i="24" s="1"/>
  <c r="T6" i="24" s="1"/>
  <c r="U6" i="24" s="1"/>
  <c r="V6" i="24" s="1"/>
  <c r="W6" i="24" s="1"/>
  <c r="X6" i="24" s="1"/>
  <c r="Y6" i="24" s="1"/>
  <c r="Z6" i="24" s="1"/>
  <c r="AA6" i="24" s="1"/>
  <c r="AB6" i="24" s="1"/>
  <c r="AC6" i="24" s="1"/>
  <c r="AD6" i="24" s="1"/>
  <c r="AE6" i="24" s="1"/>
  <c r="AF6" i="24" s="1"/>
  <c r="AG6" i="24" s="1"/>
  <c r="AH6" i="24" s="1"/>
  <c r="AI6" i="24" s="1"/>
  <c r="AJ6" i="24" s="1"/>
  <c r="AK6" i="24" s="1"/>
  <c r="AL6" i="24" s="1"/>
  <c r="AM6" i="24" s="1"/>
  <c r="AN6" i="24" s="1"/>
  <c r="AO6" i="24" s="1"/>
  <c r="AP6" i="24" s="1"/>
  <c r="AQ6" i="24" s="1"/>
  <c r="AR6" i="24" s="1"/>
  <c r="AS6" i="24" s="1"/>
  <c r="AT6" i="24" s="1"/>
  <c r="AU6" i="24" s="1"/>
  <c r="AV6" i="24" s="1"/>
  <c r="AW6" i="24" s="1"/>
  <c r="AX6" i="24" s="1"/>
  <c r="AY6" i="24" s="1"/>
  <c r="AZ6" i="24" s="1"/>
  <c r="BA6" i="24" s="1"/>
  <c r="BB6" i="24" s="1"/>
  <c r="BC6" i="24" s="1"/>
  <c r="BD6" i="24" s="1"/>
  <c r="BE6" i="24" s="1"/>
  <c r="BF6" i="24" s="1"/>
  <c r="BG6" i="24" s="1"/>
  <c r="BH6" i="24" s="1"/>
  <c r="BI6" i="24" s="1"/>
  <c r="K273" i="18"/>
  <c r="BE58" i="7942"/>
  <c r="BD91" i="7942"/>
  <c r="BP66" i="7942"/>
  <c r="BO99" i="7942"/>
  <c r="CK95" i="7942"/>
  <c r="CL62" i="7942"/>
  <c r="CA50" i="7942"/>
  <c r="BZ83" i="7942"/>
  <c r="L260" i="18"/>
  <c r="L270" i="18" s="1"/>
  <c r="BC107" i="7942"/>
  <c r="BP60" i="7942"/>
  <c r="BO93" i="7942"/>
  <c r="CW70" i="7942"/>
  <c r="CV103" i="7942"/>
  <c r="L91" i="7942"/>
  <c r="M58" i="7942"/>
  <c r="G133" i="24"/>
  <c r="G151" i="24"/>
  <c r="J21" i="7945"/>
  <c r="J21" i="7946"/>
  <c r="R300" i="18"/>
  <c r="S300" i="18" s="1"/>
  <c r="T300" i="18" s="1"/>
  <c r="Q198" i="18"/>
  <c r="R198" i="18" s="1"/>
  <c r="I163" i="24"/>
  <c r="I24" i="7945"/>
  <c r="N222" i="18"/>
  <c r="O222" i="18" s="1"/>
  <c r="AI62" i="7942"/>
  <c r="AH95" i="7942"/>
  <c r="AH97" i="7942"/>
  <c r="AI64" i="7942"/>
  <c r="L96" i="7942"/>
  <c r="M63" i="7942"/>
  <c r="DH48" i="7942"/>
  <c r="DG81" i="7942"/>
  <c r="BD83" i="7942"/>
  <c r="BE50" i="7942"/>
  <c r="W105" i="7942"/>
  <c r="X72" i="7942"/>
  <c r="G32" i="7945"/>
  <c r="H8" i="7945"/>
  <c r="H32" i="7945" s="1"/>
  <c r="BZ91" i="7942"/>
  <c r="CA58" i="7942"/>
  <c r="DH51" i="7942"/>
  <c r="DG84" i="7942"/>
  <c r="N328" i="18"/>
  <c r="O328" i="18" s="1"/>
  <c r="AM78" i="18"/>
  <c r="AN78" i="18" s="1"/>
  <c r="AO78" i="18" s="1"/>
  <c r="AP78" i="18" s="1"/>
  <c r="AQ78" i="18" s="1"/>
  <c r="AR78" i="18" s="1"/>
  <c r="AS78" i="18" s="1"/>
  <c r="AT78" i="18" s="1"/>
  <c r="AU78" i="18" s="1"/>
  <c r="AV78" i="18" s="1"/>
  <c r="AW78" i="18" s="1"/>
  <c r="AX78" i="18" s="1"/>
  <c r="AY78" i="18" s="1"/>
  <c r="AZ78" i="18" s="1"/>
  <c r="BA78" i="18" s="1"/>
  <c r="BB78" i="18" s="1"/>
  <c r="BC78" i="18" s="1"/>
  <c r="BD78" i="18" s="1"/>
  <c r="BE78" i="18" s="1"/>
  <c r="BF78" i="18" s="1"/>
  <c r="BG78" i="18" s="1"/>
  <c r="BH78" i="18" s="1"/>
  <c r="BI78" i="18" s="1"/>
  <c r="L236" i="18"/>
  <c r="L244" i="18" s="1"/>
  <c r="BY107" i="7942"/>
  <c r="P756" i="18"/>
  <c r="Q756" i="18" s="1"/>
  <c r="R756" i="18" s="1"/>
  <c r="S756" i="18" s="1"/>
  <c r="T756" i="18" s="1"/>
  <c r="U756" i="18" s="1"/>
  <c r="V756" i="18" s="1"/>
  <c r="W756" i="18" s="1"/>
  <c r="X756" i="18" s="1"/>
  <c r="Y756" i="18" s="1"/>
  <c r="Z756" i="18" s="1"/>
  <c r="AA756" i="18" s="1"/>
  <c r="AB756" i="18" s="1"/>
  <c r="AC756" i="18" s="1"/>
  <c r="AD756" i="18" s="1"/>
  <c r="AE756" i="18" s="1"/>
  <c r="AF756" i="18" s="1"/>
  <c r="AG756" i="18" s="1"/>
  <c r="AH756" i="18" s="1"/>
  <c r="AI756" i="18" s="1"/>
  <c r="AJ756" i="18" s="1"/>
  <c r="AK756" i="18" s="1"/>
  <c r="AL756" i="18" s="1"/>
  <c r="AM756" i="18" s="1"/>
  <c r="AN756" i="18" s="1"/>
  <c r="AO756" i="18" s="1"/>
  <c r="AP756" i="18" s="1"/>
  <c r="AQ756" i="18" s="1"/>
  <c r="AR756" i="18" s="1"/>
  <c r="AS756" i="18" s="1"/>
  <c r="AT756" i="18" s="1"/>
  <c r="AU756" i="18" s="1"/>
  <c r="AV756" i="18" s="1"/>
  <c r="AW756" i="18" s="1"/>
  <c r="AX756" i="18" s="1"/>
  <c r="AY756" i="18" s="1"/>
  <c r="AZ756" i="18" s="1"/>
  <c r="BA756" i="18" s="1"/>
  <c r="BB756" i="18" s="1"/>
  <c r="BC756" i="18" s="1"/>
  <c r="BD756" i="18" s="1"/>
  <c r="BE756" i="18" s="1"/>
  <c r="BF756" i="18" s="1"/>
  <c r="BG756" i="18" s="1"/>
  <c r="BH756" i="18" s="1"/>
  <c r="BI756" i="18" s="1"/>
  <c r="O247" i="18"/>
  <c r="AT59" i="7942"/>
  <c r="AS92" i="7942"/>
  <c r="AN108" i="18"/>
  <c r="AO108" i="18" s="1"/>
  <c r="O342" i="18"/>
  <c r="P342" i="18" s="1"/>
  <c r="L313" i="18"/>
  <c r="CV97" i="7942"/>
  <c r="CW64" i="7942"/>
  <c r="I70" i="7946"/>
  <c r="BE63" i="7942"/>
  <c r="BD96" i="7942"/>
  <c r="BE73" i="7942"/>
  <c r="BD106" i="7942"/>
  <c r="M366" i="18"/>
  <c r="N366" i="18" s="1"/>
  <c r="O366" i="18" s="1"/>
  <c r="L374" i="18"/>
  <c r="AS82" i="7942"/>
  <c r="AT49" i="7942"/>
  <c r="BE48" i="7942"/>
  <c r="BD81" i="7942"/>
  <c r="CW73" i="7942"/>
  <c r="CV106" i="7942"/>
  <c r="CK92" i="7942"/>
  <c r="CL59" i="7942"/>
  <c r="L82" i="7942"/>
  <c r="M49" i="7942"/>
  <c r="Q847" i="18"/>
  <c r="R847" i="18" s="1"/>
  <c r="L127" i="18"/>
  <c r="M781" i="18"/>
  <c r="CV99" i="7942"/>
  <c r="CW66" i="7942"/>
  <c r="L223" i="18"/>
  <c r="M223" i="18" s="1"/>
  <c r="N223" i="18" s="1"/>
  <c r="X63" i="7942"/>
  <c r="W96" i="7942"/>
  <c r="DH56" i="7942"/>
  <c r="DG89" i="7942"/>
  <c r="N599" i="18"/>
  <c r="O599" i="18" s="1"/>
  <c r="X56" i="7942"/>
  <c r="W89" i="7942"/>
  <c r="DH59" i="7942"/>
  <c r="DG92" i="7942"/>
  <c r="AH100" i="7942"/>
  <c r="AI67" i="7942"/>
  <c r="X71" i="7942"/>
  <c r="W104" i="7942"/>
  <c r="AI54" i="7942"/>
  <c r="AH87" i="7942"/>
  <c r="DF107" i="7942"/>
  <c r="AH85" i="7942"/>
  <c r="AI52" i="7942"/>
  <c r="L88" i="7942"/>
  <c r="M55" i="7942"/>
  <c r="BZ93" i="7942"/>
  <c r="CA60" i="7942"/>
  <c r="BZ87" i="7942"/>
  <c r="CA54" i="7942"/>
  <c r="M71" i="7942"/>
  <c r="L104" i="7942"/>
  <c r="CA69" i="7942"/>
  <c r="BZ102" i="7942"/>
  <c r="N392" i="18"/>
  <c r="CA71" i="7942"/>
  <c r="BZ104" i="7942"/>
  <c r="N808" i="18"/>
  <c r="X62" i="7942"/>
  <c r="W95" i="7942"/>
  <c r="M443" i="18"/>
  <c r="CA51" i="7942"/>
  <c r="BZ84" i="7942"/>
  <c r="N354" i="18"/>
  <c r="CL51" i="7942"/>
  <c r="CK84" i="7942"/>
  <c r="CK101" i="7942"/>
  <c r="CL68" i="7942"/>
  <c r="P574" i="18"/>
  <c r="H71" i="7946"/>
  <c r="CV101" i="7942"/>
  <c r="CW68" i="7942"/>
  <c r="O83" i="18"/>
  <c r="AB83" i="18"/>
  <c r="M408" i="18"/>
  <c r="M434" i="18"/>
  <c r="N434" i="18" s="1"/>
  <c r="O434" i="18" s="1"/>
  <c r="P434" i="18" s="1"/>
  <c r="T83" i="18"/>
  <c r="L23" i="18"/>
  <c r="M135" i="18"/>
  <c r="N135" i="18" s="1"/>
  <c r="Y83" i="18"/>
  <c r="L38" i="18"/>
  <c r="L30" i="18"/>
  <c r="M161" i="18"/>
  <c r="M356" i="18"/>
  <c r="N356" i="18" s="1"/>
  <c r="M317" i="18"/>
  <c r="L11" i="18"/>
  <c r="AF83" i="18"/>
  <c r="L39" i="18"/>
  <c r="M278" i="18"/>
  <c r="N278" i="18" s="1"/>
  <c r="L24" i="18"/>
  <c r="N83" i="18"/>
  <c r="AL83" i="18"/>
  <c r="L27" i="18"/>
  <c r="L17" i="18"/>
  <c r="L14" i="18"/>
  <c r="M382" i="18"/>
  <c r="N382" i="18" s="1"/>
  <c r="AG83" i="18"/>
  <c r="L37" i="18"/>
  <c r="AM83" i="18"/>
  <c r="U83" i="18"/>
  <c r="M343" i="18"/>
  <c r="M265" i="18"/>
  <c r="AK83" i="18"/>
  <c r="L36" i="18"/>
  <c r="AJ83" i="18"/>
  <c r="L19" i="18"/>
  <c r="M252" i="18"/>
  <c r="M257" i="18" s="1"/>
  <c r="L13" i="18"/>
  <c r="L15" i="18"/>
  <c r="M187" i="18"/>
  <c r="P83" i="18"/>
  <c r="L28" i="18"/>
  <c r="AD83" i="18"/>
  <c r="L12" i="18"/>
  <c r="L33" i="18"/>
  <c r="AE83" i="18"/>
  <c r="M421" i="18"/>
  <c r="M447" i="18"/>
  <c r="M174" i="18"/>
  <c r="N174" i="18" s="1"/>
  <c r="L40" i="18"/>
  <c r="M239" i="18"/>
  <c r="N239" i="18" s="1"/>
  <c r="O239" i="18" s="1"/>
  <c r="Z83" i="18"/>
  <c r="M330" i="18"/>
  <c r="N330" i="18" s="1"/>
  <c r="O330" i="18" s="1"/>
  <c r="L35" i="18"/>
  <c r="M304" i="18"/>
  <c r="N304" i="18" s="1"/>
  <c r="O304" i="18" s="1"/>
  <c r="L18" i="18"/>
  <c r="L25" i="18"/>
  <c r="M148" i="18"/>
  <c r="N148" i="18" s="1"/>
  <c r="O148" i="18" s="1"/>
  <c r="AI83" i="18"/>
  <c r="L22" i="18"/>
  <c r="S83" i="18"/>
  <c r="M83" i="18"/>
  <c r="V83" i="18"/>
  <c r="M213" i="18"/>
  <c r="AC83" i="18"/>
  <c r="L29" i="18"/>
  <c r="L20" i="18"/>
  <c r="L26" i="18"/>
  <c r="L34" i="18"/>
  <c r="Q83" i="18"/>
  <c r="X83" i="18"/>
  <c r="AH83" i="18"/>
  <c r="L32" i="18"/>
  <c r="W83" i="18"/>
  <c r="AA83" i="18"/>
  <c r="L21" i="18"/>
  <c r="R83" i="18"/>
  <c r="AN83" i="18"/>
  <c r="M291" i="18"/>
  <c r="M460" i="18"/>
  <c r="N460" i="18" s="1"/>
  <c r="L16" i="18"/>
  <c r="M395" i="18"/>
  <c r="N395" i="18" s="1"/>
  <c r="M122" i="18"/>
  <c r="N122" i="18" s="1"/>
  <c r="O122" i="18" s="1"/>
  <c r="L31" i="18"/>
  <c r="M369" i="18"/>
  <c r="M200" i="18"/>
  <c r="N200" i="18" s="1"/>
  <c r="M226" i="18"/>
  <c r="N265" i="18"/>
  <c r="AM109" i="18"/>
  <c r="AH109" i="18"/>
  <c r="M109" i="18"/>
  <c r="M114" i="18" s="1"/>
  <c r="T96" i="18"/>
  <c r="U96" i="18"/>
  <c r="R96" i="18"/>
  <c r="AH96" i="18"/>
  <c r="Z109" i="18"/>
  <c r="AF109" i="18"/>
  <c r="AA109" i="18"/>
  <c r="AM96" i="18"/>
  <c r="Q96" i="18"/>
  <c r="AB109" i="18"/>
  <c r="X109" i="18"/>
  <c r="AE109" i="18"/>
  <c r="AJ109" i="18"/>
  <c r="P109" i="18"/>
  <c r="AK96" i="18"/>
  <c r="X96" i="18"/>
  <c r="V96" i="18"/>
  <c r="S109" i="18"/>
  <c r="Q109" i="18"/>
  <c r="AL109" i="18"/>
  <c r="AG109" i="18"/>
  <c r="O96" i="18"/>
  <c r="AD96" i="18"/>
  <c r="AG96" i="18"/>
  <c r="V109" i="18"/>
  <c r="AK109" i="18"/>
  <c r="O109" i="18"/>
  <c r="U109" i="18"/>
  <c r="AJ96" i="18"/>
  <c r="AA96" i="18"/>
  <c r="N96" i="18"/>
  <c r="AE96" i="18"/>
  <c r="Y109" i="18"/>
  <c r="AN109" i="18"/>
  <c r="S96" i="18"/>
  <c r="AN96" i="18"/>
  <c r="Y96" i="18"/>
  <c r="AL96" i="18"/>
  <c r="N109" i="18"/>
  <c r="T109" i="18"/>
  <c r="AB96" i="18"/>
  <c r="M96" i="18"/>
  <c r="AI109" i="18"/>
  <c r="AI96" i="18"/>
  <c r="AC96" i="18"/>
  <c r="W109" i="18"/>
  <c r="AF96" i="18"/>
  <c r="AD109" i="18"/>
  <c r="AC109" i="18"/>
  <c r="P96" i="18"/>
  <c r="W96" i="18"/>
  <c r="R109" i="18"/>
  <c r="Z96" i="18"/>
  <c r="W90" i="7942"/>
  <c r="X57" i="7942"/>
  <c r="K583" i="18"/>
  <c r="W99" i="7942"/>
  <c r="X66" i="7942"/>
  <c r="O326" i="18"/>
  <c r="P326" i="18" s="1"/>
  <c r="BZ92" i="7942"/>
  <c r="CA59" i="7942"/>
  <c r="BP56" i="7942"/>
  <c r="BO89" i="7942"/>
  <c r="CW55" i="7942"/>
  <c r="CV88" i="7942"/>
  <c r="N534" i="18"/>
  <c r="BE51" i="7942"/>
  <c r="BD84" i="7942"/>
  <c r="O249" i="18"/>
  <c r="P249" i="18" s="1"/>
  <c r="O600" i="18"/>
  <c r="P600" i="18" s="1"/>
  <c r="M301" i="18"/>
  <c r="N301" i="18" s="1"/>
  <c r="I33" i="7943"/>
  <c r="N614" i="18"/>
  <c r="O614" i="18" s="1"/>
  <c r="N286" i="18"/>
  <c r="P456" i="18"/>
  <c r="AT71" i="7942"/>
  <c r="AS104" i="7942"/>
  <c r="N120" i="18"/>
  <c r="DH52" i="7942"/>
  <c r="DG85" i="7942"/>
  <c r="CV105" i="7942"/>
  <c r="CW72" i="7942"/>
  <c r="P248" i="18"/>
  <c r="Q248" i="18" s="1"/>
  <c r="R248" i="18" s="1"/>
  <c r="M15" i="2"/>
  <c r="M19" i="2" s="1"/>
  <c r="M10" i="24"/>
  <c r="N14" i="2"/>
  <c r="M18" i="2"/>
  <c r="M22" i="2"/>
  <c r="M20" i="2"/>
  <c r="M21" i="2" s="1"/>
  <c r="CK91" i="7942"/>
  <c r="CL58" i="7942"/>
  <c r="AT65" i="7942"/>
  <c r="AS98" i="7942"/>
  <c r="CW58" i="7942"/>
  <c r="CV91" i="7942"/>
  <c r="H40" i="7946"/>
  <c r="H56" i="7946"/>
  <c r="H81" i="7946" s="1"/>
  <c r="N183" i="18"/>
  <c r="N353" i="18"/>
  <c r="CL53" i="7942"/>
  <c r="CK86" i="7942"/>
  <c r="BD92" i="7942"/>
  <c r="BE59" i="7942"/>
  <c r="L562" i="18"/>
  <c r="M562" i="18" s="1"/>
  <c r="X48" i="7942"/>
  <c r="W81" i="7942"/>
  <c r="BD105" i="7942"/>
  <c r="BE72" i="7942"/>
  <c r="BO101" i="7942"/>
  <c r="BP68" i="7942"/>
  <c r="BP51" i="7942"/>
  <c r="BO84" i="7942"/>
  <c r="W82" i="7942"/>
  <c r="X49" i="7942"/>
  <c r="M563" i="18"/>
  <c r="N563" i="18" s="1"/>
  <c r="N679" i="18"/>
  <c r="O679" i="18" s="1"/>
  <c r="W87" i="7942"/>
  <c r="X54" i="7942"/>
  <c r="BE57" i="7942"/>
  <c r="BD90" i="7942"/>
  <c r="X70" i="7942"/>
  <c r="W103" i="7942"/>
  <c r="BD104" i="7942"/>
  <c r="BE71" i="7942"/>
  <c r="I17" i="7946"/>
  <c r="BP61" i="7942"/>
  <c r="BO94" i="7942"/>
  <c r="H875" i="18"/>
  <c r="M61" i="7942"/>
  <c r="L94" i="7942"/>
  <c r="BZ81" i="7942"/>
  <c r="CA48" i="7942"/>
  <c r="BP48" i="7942"/>
  <c r="BO81" i="7942"/>
  <c r="BZ106" i="7942"/>
  <c r="CA73" i="7942"/>
  <c r="N234" i="18"/>
  <c r="O364" i="18"/>
  <c r="L390" i="18"/>
  <c r="CK89" i="7942"/>
  <c r="CL56" i="7942"/>
  <c r="K804" i="18"/>
  <c r="L794" i="18"/>
  <c r="CK102" i="7942"/>
  <c r="CL69" i="7942"/>
  <c r="Q432" i="18"/>
  <c r="R432" i="18" s="1"/>
  <c r="N394" i="18"/>
  <c r="M327" i="18"/>
  <c r="BO97" i="7942"/>
  <c r="BP64" i="7942"/>
  <c r="G81" i="7946"/>
  <c r="G82" i="7946" s="1"/>
  <c r="G57" i="7946"/>
  <c r="CL55" i="7942"/>
  <c r="CK88" i="7942"/>
  <c r="DG91" i="7942"/>
  <c r="DH58" i="7942"/>
  <c r="N117" i="18"/>
  <c r="M70" i="7942"/>
  <c r="L103" i="7942"/>
  <c r="AI59" i="7942"/>
  <c r="AH92" i="7942"/>
  <c r="BD102" i="7942"/>
  <c r="BE69" i="7942"/>
  <c r="CW62" i="7942"/>
  <c r="CV95" i="7942"/>
  <c r="Q834" i="18"/>
  <c r="CK100" i="7942"/>
  <c r="CL67" i="7942"/>
  <c r="V107" i="7942"/>
  <c r="W94" i="7942"/>
  <c r="X61" i="7942"/>
  <c r="N133" i="18"/>
  <c r="N704" i="18"/>
  <c r="L101" i="7942"/>
  <c r="M68" i="7942"/>
  <c r="AM80" i="18"/>
  <c r="W85" i="7942"/>
  <c r="X52" i="7942"/>
  <c r="BE68" i="7942"/>
  <c r="BD101" i="7942"/>
  <c r="BE56" i="7942"/>
  <c r="BD89" i="7942"/>
  <c r="CK104" i="7942"/>
  <c r="CL71" i="7942"/>
  <c r="AT48" i="7942"/>
  <c r="AS81" i="7942"/>
  <c r="BO100" i="7942"/>
  <c r="BP67" i="7942"/>
  <c r="AA497" i="18"/>
  <c r="CL72" i="7942"/>
  <c r="CK105" i="7942"/>
  <c r="AT72" i="7942"/>
  <c r="AS105" i="7942"/>
  <c r="N810" i="18"/>
  <c r="M849" i="18"/>
  <c r="L589" i="18"/>
  <c r="K596" i="18"/>
  <c r="M732" i="18"/>
  <c r="N783" i="18"/>
  <c r="O783" i="18" s="1"/>
  <c r="M64" i="7942"/>
  <c r="L97" i="7942"/>
  <c r="AS106" i="7942"/>
  <c r="AT73" i="7942"/>
  <c r="CA56" i="7942"/>
  <c r="BZ89" i="7942"/>
  <c r="DH54" i="7942"/>
  <c r="DG87" i="7942"/>
  <c r="P638" i="18"/>
  <c r="Q638" i="18" s="1"/>
  <c r="N146" i="18"/>
  <c r="O146" i="18" s="1"/>
  <c r="P158" i="18"/>
  <c r="Q158" i="18" s="1"/>
  <c r="R158" i="18" s="1"/>
  <c r="BZ99" i="7942"/>
  <c r="CA66" i="7942"/>
  <c r="M665" i="18"/>
  <c r="CA55" i="7942"/>
  <c r="BZ88" i="7942"/>
  <c r="M587" i="18"/>
  <c r="N587" i="18" s="1"/>
  <c r="O587" i="18" s="1"/>
  <c r="P587" i="18" s="1"/>
  <c r="BE60" i="7942"/>
  <c r="BD93" i="7942"/>
  <c r="O535" i="18"/>
  <c r="CW59" i="7942"/>
  <c r="CV92" i="7942"/>
  <c r="BO105" i="7942"/>
  <c r="BP72" i="7942"/>
  <c r="M744" i="18"/>
  <c r="BO102" i="7942"/>
  <c r="BP69" i="7942"/>
  <c r="BP55" i="7942"/>
  <c r="BO88" i="7942"/>
  <c r="O742" i="18"/>
  <c r="BO85" i="7942"/>
  <c r="BP52" i="7942"/>
  <c r="Z498" i="18"/>
  <c r="AA498" i="18" s="1"/>
  <c r="AB498" i="18" s="1"/>
  <c r="L680" i="18"/>
  <c r="M680" i="18" s="1"/>
  <c r="L628" i="18"/>
  <c r="M797" i="18"/>
  <c r="K856" i="18"/>
  <c r="L848" i="18"/>
  <c r="M848" i="18" s="1"/>
  <c r="K885" i="18"/>
  <c r="Q404" i="18"/>
  <c r="R404" i="18" s="1"/>
  <c r="S404" i="18" s="1"/>
  <c r="T404" i="18" s="1"/>
  <c r="U404" i="18" s="1"/>
  <c r="V404" i="18" s="1"/>
  <c r="W404" i="18" s="1"/>
  <c r="X404" i="18" s="1"/>
  <c r="Y404" i="18" s="1"/>
  <c r="Z404" i="18" s="1"/>
  <c r="AA404" i="18" s="1"/>
  <c r="AB404" i="18" s="1"/>
  <c r="AC404" i="18" s="1"/>
  <c r="AD404" i="18" s="1"/>
  <c r="AE404" i="18" s="1"/>
  <c r="AF404" i="18" s="1"/>
  <c r="AG404" i="18" s="1"/>
  <c r="AH404" i="18" s="1"/>
  <c r="AI404" i="18" s="1"/>
  <c r="AJ404" i="18" s="1"/>
  <c r="AK404" i="18" s="1"/>
  <c r="AL404" i="18" s="1"/>
  <c r="AM404" i="18" s="1"/>
  <c r="AN404" i="18" s="1"/>
  <c r="AO404" i="18" s="1"/>
  <c r="AP404" i="18" s="1"/>
  <c r="AQ404" i="18" s="1"/>
  <c r="AR404" i="18" s="1"/>
  <c r="AS404" i="18" s="1"/>
  <c r="AT404" i="18" s="1"/>
  <c r="AU404" i="18" s="1"/>
  <c r="AV404" i="18" s="1"/>
  <c r="AW404" i="18" s="1"/>
  <c r="AX404" i="18" s="1"/>
  <c r="AY404" i="18" s="1"/>
  <c r="AZ404" i="18" s="1"/>
  <c r="BA404" i="18" s="1"/>
  <c r="BB404" i="18" s="1"/>
  <c r="BC404" i="18" s="1"/>
  <c r="BD404" i="18" s="1"/>
  <c r="BE404" i="18" s="1"/>
  <c r="BF404" i="18" s="1"/>
  <c r="BG404" i="18" s="1"/>
  <c r="BH404" i="18" s="1"/>
  <c r="BI404" i="18" s="1"/>
  <c r="CA61" i="7942"/>
  <c r="BZ94" i="7942"/>
  <c r="AT51" i="7942"/>
  <c r="AS84" i="7942"/>
  <c r="X53" i="7942"/>
  <c r="W86" i="7942"/>
  <c r="DH68" i="7942"/>
  <c r="DG101" i="7942"/>
  <c r="CV85" i="7942"/>
  <c r="CW52" i="7942"/>
  <c r="DG104" i="7942"/>
  <c r="DH71" i="7942"/>
  <c r="L92" i="7942"/>
  <c r="M59" i="7942"/>
  <c r="O690" i="18"/>
  <c r="CK94" i="7942"/>
  <c r="CL61" i="7942"/>
  <c r="AS89" i="7942"/>
  <c r="AT56" i="7942"/>
  <c r="L102" i="7942"/>
  <c r="M69" i="7942"/>
  <c r="N378" i="18"/>
  <c r="O378" i="18" s="1"/>
  <c r="P378" i="18" s="1"/>
  <c r="AH86" i="7942"/>
  <c r="AI53" i="7942"/>
  <c r="CA49" i="7942"/>
  <c r="BZ82" i="7942"/>
  <c r="BE65" i="7942"/>
  <c r="BD98" i="7942"/>
  <c r="DG105" i="7942"/>
  <c r="DH72" i="7942"/>
  <c r="BP73" i="7942"/>
  <c r="BO106" i="7942"/>
  <c r="Z511" i="18"/>
  <c r="N836" i="18"/>
  <c r="M641" i="18"/>
  <c r="CA62" i="7942"/>
  <c r="BZ95" i="7942"/>
  <c r="P522" i="18"/>
  <c r="L257" i="18"/>
  <c r="P159" i="18"/>
  <c r="Q159" i="18" s="1"/>
  <c r="R159" i="18" s="1"/>
  <c r="L95" i="7942"/>
  <c r="M62" i="7942"/>
  <c r="DG102" i="7942"/>
  <c r="DH69" i="7942"/>
  <c r="X67" i="7942"/>
  <c r="W100" i="7942"/>
  <c r="CV102" i="7942"/>
  <c r="CW69" i="7942"/>
  <c r="M54" i="7942"/>
  <c r="L87" i="7942"/>
  <c r="DG82" i="7942"/>
  <c r="DH49" i="7942"/>
  <c r="DG98" i="7942"/>
  <c r="DH65" i="7942"/>
  <c r="CJ107" i="7942"/>
  <c r="BZ90" i="7942"/>
  <c r="CA57" i="7942"/>
  <c r="BE61" i="7942"/>
  <c r="BD94" i="7942"/>
  <c r="L98" i="7942"/>
  <c r="M65" i="7942"/>
  <c r="N729" i="18"/>
  <c r="BO82" i="7942"/>
  <c r="BP49" i="7942"/>
  <c r="BO83" i="7942"/>
  <c r="BP50" i="7942"/>
  <c r="AS97" i="7942"/>
  <c r="AT64" i="7942"/>
  <c r="M367" i="18"/>
  <c r="M654" i="18"/>
  <c r="M758" i="18"/>
  <c r="L653" i="18"/>
  <c r="M653" i="18" s="1"/>
  <c r="S339" i="18"/>
  <c r="T339" i="18" s="1"/>
  <c r="U339" i="18" s="1"/>
  <c r="V339" i="18" s="1"/>
  <c r="W339" i="18" s="1"/>
  <c r="X339" i="18" s="1"/>
  <c r="Y339" i="18" s="1"/>
  <c r="Z339" i="18" s="1"/>
  <c r="AA339" i="18" s="1"/>
  <c r="AB339" i="18" s="1"/>
  <c r="AC339" i="18" s="1"/>
  <c r="AD339" i="18" s="1"/>
  <c r="AE339" i="18" s="1"/>
  <c r="AF339" i="18" s="1"/>
  <c r="AG339" i="18" s="1"/>
  <c r="AH339" i="18" s="1"/>
  <c r="AI339" i="18" s="1"/>
  <c r="AJ339" i="18" s="1"/>
  <c r="AK339" i="18" s="1"/>
  <c r="AL339" i="18" s="1"/>
  <c r="AM339" i="18" s="1"/>
  <c r="AN339" i="18" s="1"/>
  <c r="AO339" i="18" s="1"/>
  <c r="AP339" i="18" s="1"/>
  <c r="AQ339" i="18" s="1"/>
  <c r="AR339" i="18" s="1"/>
  <c r="AS339" i="18" s="1"/>
  <c r="AT339" i="18" s="1"/>
  <c r="AU339" i="18" s="1"/>
  <c r="AV339" i="18" s="1"/>
  <c r="AW339" i="18" s="1"/>
  <c r="AX339" i="18" s="1"/>
  <c r="AY339" i="18" s="1"/>
  <c r="AZ339" i="18" s="1"/>
  <c r="BA339" i="18" s="1"/>
  <c r="BB339" i="18" s="1"/>
  <c r="BC339" i="18" s="1"/>
  <c r="BD339" i="18" s="1"/>
  <c r="BE339" i="18" s="1"/>
  <c r="BF339" i="18" s="1"/>
  <c r="BG339" i="18" s="1"/>
  <c r="BH339" i="18" s="1"/>
  <c r="BI339" i="18" s="1"/>
  <c r="CU107" i="7942"/>
  <c r="BD86" i="7942"/>
  <c r="BE53" i="7942"/>
  <c r="DH61" i="7942"/>
  <c r="DG94" i="7942"/>
  <c r="BO104" i="7942"/>
  <c r="BP71" i="7942"/>
  <c r="AS102" i="7942"/>
  <c r="AT69" i="7942"/>
  <c r="AS103" i="7942"/>
  <c r="AT70" i="7942"/>
  <c r="CA52" i="7942"/>
  <c r="BZ85" i="7942"/>
  <c r="N692" i="18"/>
  <c r="U678" i="18"/>
  <c r="L288" i="18"/>
  <c r="CL48" i="7942"/>
  <c r="CK81" i="7942"/>
  <c r="BP70" i="7942"/>
  <c r="BO103" i="7942"/>
  <c r="CK85" i="7942"/>
  <c r="CL52" i="7942"/>
  <c r="AH89" i="7942"/>
  <c r="AI56" i="7942"/>
  <c r="L90" i="7942"/>
  <c r="M57" i="7942"/>
  <c r="AT68" i="7942"/>
  <c r="AS101" i="7942"/>
  <c r="Z509" i="18"/>
  <c r="AA509" i="18" s="1"/>
  <c r="AM93" i="18"/>
  <c r="CW65" i="7942"/>
  <c r="CV98" i="7942"/>
  <c r="AI58" i="7942"/>
  <c r="AH91" i="7942"/>
  <c r="L706" i="18"/>
  <c r="L823" i="18"/>
  <c r="K830" i="18"/>
  <c r="BP63" i="7942"/>
  <c r="BO96" i="7942"/>
  <c r="CV81" i="7942"/>
  <c r="CW48" i="7942"/>
  <c r="N536" i="18"/>
  <c r="O536" i="18" s="1"/>
  <c r="AS99" i="7942"/>
  <c r="AT66" i="7942"/>
  <c r="BZ103" i="7942"/>
  <c r="CA70" i="7942"/>
  <c r="CW50" i="7942"/>
  <c r="CV83" i="7942"/>
  <c r="K726" i="18"/>
  <c r="L718" i="18"/>
  <c r="N730" i="18"/>
  <c r="L835" i="18"/>
  <c r="K713" i="18"/>
  <c r="G33" i="7946"/>
  <c r="O861" i="18"/>
  <c r="M768" i="18"/>
  <c r="AA496" i="18"/>
  <c r="L616" i="18"/>
  <c r="L707" i="18"/>
  <c r="M707" i="18" s="1"/>
  <c r="L603" i="18"/>
  <c r="L694" i="18"/>
  <c r="L850" i="18"/>
  <c r="M850" i="18" s="1"/>
  <c r="N850" i="18" s="1"/>
  <c r="L642" i="18"/>
  <c r="L648" i="18" s="1"/>
  <c r="L759" i="18"/>
  <c r="M759" i="18" s="1"/>
  <c r="L863" i="18"/>
  <c r="M863" i="18" s="1"/>
  <c r="L837" i="18"/>
  <c r="L824" i="18"/>
  <c r="M824" i="18" s="1"/>
  <c r="L525" i="18"/>
  <c r="L531" i="18" s="1"/>
  <c r="L785" i="18"/>
  <c r="L791" i="18" s="1"/>
  <c r="L486" i="18"/>
  <c r="L629" i="18"/>
  <c r="M629" i="18" s="1"/>
  <c r="L655" i="18"/>
  <c r="L733" i="18"/>
  <c r="L739" i="18" s="1"/>
  <c r="L564" i="18"/>
  <c r="M564" i="18" s="1"/>
  <c r="L668" i="18"/>
  <c r="L798" i="18"/>
  <c r="M798" i="18" s="1"/>
  <c r="L590" i="18"/>
  <c r="M590" i="18" s="1"/>
  <c r="L811" i="18"/>
  <c r="L817" i="18" s="1"/>
  <c r="L772" i="18"/>
  <c r="M772" i="18" s="1"/>
  <c r="L746" i="18"/>
  <c r="M746" i="18" s="1"/>
  <c r="N746" i="18" s="1"/>
  <c r="L538" i="18"/>
  <c r="M538" i="18" s="1"/>
  <c r="L577" i="18"/>
  <c r="M577" i="18" s="1"/>
  <c r="L720" i="18"/>
  <c r="M720" i="18" s="1"/>
  <c r="L551" i="18"/>
  <c r="M551" i="18" s="1"/>
  <c r="L7" i="18"/>
  <c r="L681" i="18"/>
  <c r="M681" i="18" s="1"/>
  <c r="W512" i="18"/>
  <c r="S512" i="18"/>
  <c r="R499" i="18"/>
  <c r="Y499" i="18"/>
  <c r="Y512" i="18"/>
  <c r="Q512" i="18"/>
  <c r="L499" i="18"/>
  <c r="M499" i="18"/>
  <c r="L512" i="18"/>
  <c r="L518" i="18" s="1"/>
  <c r="W499" i="18"/>
  <c r="Q499" i="18"/>
  <c r="Z512" i="18"/>
  <c r="Z499" i="18"/>
  <c r="N499" i="18"/>
  <c r="U499" i="18"/>
  <c r="P499" i="18"/>
  <c r="N512" i="18"/>
  <c r="V499" i="18"/>
  <c r="X499" i="18"/>
  <c r="V512" i="18"/>
  <c r="S499" i="18"/>
  <c r="U512" i="18"/>
  <c r="O499" i="18"/>
  <c r="T512" i="18"/>
  <c r="T499" i="18"/>
  <c r="O512" i="18"/>
  <c r="M512" i="18"/>
  <c r="P512" i="18"/>
  <c r="X512" i="18"/>
  <c r="R512" i="18"/>
  <c r="AS87" i="7942"/>
  <c r="AT54" i="7942"/>
  <c r="CW57" i="7942"/>
  <c r="CV90" i="7942"/>
  <c r="K348" i="18"/>
  <c r="CK99" i="7942"/>
  <c r="CL66" i="7942"/>
  <c r="O575" i="18"/>
  <c r="P575" i="18" s="1"/>
  <c r="AA508" i="18"/>
  <c r="CW61" i="7942"/>
  <c r="CV94" i="7942"/>
  <c r="AN94" i="18"/>
  <c r="M757" i="18"/>
  <c r="P717" i="18"/>
  <c r="P846" i="18"/>
  <c r="N586" i="18"/>
  <c r="AH103" i="7942"/>
  <c r="AI70" i="7942"/>
  <c r="AI71" i="7942"/>
  <c r="AH104" i="7942"/>
  <c r="H10" i="7946"/>
  <c r="H33" i="7946" s="1"/>
  <c r="DG99" i="7942"/>
  <c r="DH66" i="7942"/>
  <c r="AT63" i="7942"/>
  <c r="AS96" i="7942"/>
  <c r="BO86" i="7942"/>
  <c r="BP53" i="7942"/>
  <c r="AI60" i="7942"/>
  <c r="AH93" i="7942"/>
  <c r="K439" i="18"/>
  <c r="CV86" i="7942"/>
  <c r="CW53" i="7942"/>
  <c r="DH55" i="7942"/>
  <c r="DG88" i="7942"/>
  <c r="L338" i="18"/>
  <c r="AH98" i="7942"/>
  <c r="AI65" i="7942"/>
  <c r="N523" i="18"/>
  <c r="O523" i="18" s="1"/>
  <c r="AH83" i="7942"/>
  <c r="AI50" i="7942"/>
  <c r="K687" i="18"/>
  <c r="CV89" i="7942"/>
  <c r="CW56" i="7942"/>
  <c r="W88" i="7942"/>
  <c r="X55" i="7942"/>
  <c r="AI57" i="7942"/>
  <c r="AH90" i="7942"/>
  <c r="AT53" i="7942"/>
  <c r="AS86" i="7942"/>
  <c r="BD103" i="7942"/>
  <c r="BE70" i="7942"/>
  <c r="X64" i="7942"/>
  <c r="W97" i="7942"/>
  <c r="AT61" i="7942"/>
  <c r="AS94" i="7942"/>
  <c r="N705" i="18"/>
  <c r="AR107" i="7942"/>
  <c r="M211" i="18"/>
  <c r="BE66" i="7942"/>
  <c r="BD99" i="7942"/>
  <c r="L429" i="18"/>
  <c r="K884" i="18"/>
  <c r="M550" i="18"/>
  <c r="L549" i="18"/>
  <c r="M549" i="18" s="1"/>
  <c r="CV104" i="7942"/>
  <c r="CW71" i="7942"/>
  <c r="BZ100" i="7942"/>
  <c r="CA67" i="7942"/>
  <c r="R406" i="18"/>
  <c r="S406" i="18" s="1"/>
  <c r="T406" i="18" s="1"/>
  <c r="X65" i="7942"/>
  <c r="W98" i="7942"/>
  <c r="AI55" i="7942"/>
  <c r="AH88" i="7942"/>
  <c r="K635" i="18"/>
  <c r="L627" i="18"/>
  <c r="K648" i="18"/>
  <c r="L59" i="7946" l="1"/>
  <c r="L387" i="18"/>
  <c r="L674" i="18"/>
  <c r="L492" i="18"/>
  <c r="N416" i="18"/>
  <c r="L8" i="7943"/>
  <c r="Q731" i="18"/>
  <c r="R731" i="18" s="1"/>
  <c r="O576" i="18"/>
  <c r="P576" i="18" s="1"/>
  <c r="R588" i="18"/>
  <c r="I89" i="7946"/>
  <c r="L335" i="18"/>
  <c r="L78" i="7943"/>
  <c r="M78" i="7943" s="1"/>
  <c r="M73" i="7946" s="1"/>
  <c r="M98" i="7946" s="1"/>
  <c r="K60" i="7946"/>
  <c r="K84" i="7946"/>
  <c r="S84" i="7946" s="1"/>
  <c r="S85" i="7946" s="1"/>
  <c r="L403" i="18"/>
  <c r="M403" i="18" s="1"/>
  <c r="K413" i="18"/>
  <c r="N377" i="18"/>
  <c r="O377" i="18" s="1"/>
  <c r="L361" i="18"/>
  <c r="M166" i="18"/>
  <c r="K322" i="18"/>
  <c r="L700" i="18"/>
  <c r="P393" i="18"/>
  <c r="N693" i="18"/>
  <c r="S263" i="18"/>
  <c r="T263" i="18" s="1"/>
  <c r="U263" i="18" s="1"/>
  <c r="V263" i="18" s="1"/>
  <c r="W263" i="18" s="1"/>
  <c r="X263" i="18" s="1"/>
  <c r="Y263" i="18" s="1"/>
  <c r="Z263" i="18" s="1"/>
  <c r="AA263" i="18" s="1"/>
  <c r="AB263" i="18" s="1"/>
  <c r="AC263" i="18" s="1"/>
  <c r="AD263" i="18" s="1"/>
  <c r="AE263" i="18" s="1"/>
  <c r="AF263" i="18" s="1"/>
  <c r="AG263" i="18" s="1"/>
  <c r="AH263" i="18" s="1"/>
  <c r="AI263" i="18" s="1"/>
  <c r="AJ263" i="18" s="1"/>
  <c r="AK263" i="18" s="1"/>
  <c r="AL263" i="18" s="1"/>
  <c r="AM263" i="18" s="1"/>
  <c r="AN263" i="18" s="1"/>
  <c r="AO263" i="18" s="1"/>
  <c r="AP263" i="18" s="1"/>
  <c r="AQ263" i="18" s="1"/>
  <c r="AR263" i="18" s="1"/>
  <c r="AS263" i="18" s="1"/>
  <c r="AT263" i="18" s="1"/>
  <c r="AU263" i="18" s="1"/>
  <c r="AV263" i="18" s="1"/>
  <c r="AW263" i="18" s="1"/>
  <c r="AX263" i="18" s="1"/>
  <c r="AY263" i="18" s="1"/>
  <c r="AZ263" i="18" s="1"/>
  <c r="BA263" i="18" s="1"/>
  <c r="BB263" i="18" s="1"/>
  <c r="BC263" i="18" s="1"/>
  <c r="BD263" i="18" s="1"/>
  <c r="BE263" i="18" s="1"/>
  <c r="BF263" i="18" s="1"/>
  <c r="BG263" i="18" s="1"/>
  <c r="BH263" i="18" s="1"/>
  <c r="BI263" i="18" s="1"/>
  <c r="K41" i="18"/>
  <c r="L622" i="18"/>
  <c r="P601" i="18"/>
  <c r="N771" i="18"/>
  <c r="O771" i="18" s="1"/>
  <c r="Q378" i="18"/>
  <c r="L426" i="18"/>
  <c r="M426" i="18"/>
  <c r="K80" i="7943"/>
  <c r="L80" i="7943" s="1"/>
  <c r="P196" i="18"/>
  <c r="Q196" i="18" s="1"/>
  <c r="R196" i="18" s="1"/>
  <c r="O612" i="18"/>
  <c r="P612" i="18" s="1"/>
  <c r="Q209" i="18"/>
  <c r="R209" i="18" s="1"/>
  <c r="S209" i="18" s="1"/>
  <c r="T209" i="18" s="1"/>
  <c r="U209" i="18" s="1"/>
  <c r="V209" i="18" s="1"/>
  <c r="W209" i="18" s="1"/>
  <c r="X209" i="18" s="1"/>
  <c r="Y209" i="18" s="1"/>
  <c r="Z209" i="18" s="1"/>
  <c r="AA209" i="18" s="1"/>
  <c r="AB209" i="18" s="1"/>
  <c r="AC209" i="18" s="1"/>
  <c r="AD209" i="18" s="1"/>
  <c r="AE209" i="18" s="1"/>
  <c r="AF209" i="18" s="1"/>
  <c r="AG209" i="18" s="1"/>
  <c r="AH209" i="18" s="1"/>
  <c r="AI209" i="18" s="1"/>
  <c r="AJ209" i="18" s="1"/>
  <c r="AK209" i="18" s="1"/>
  <c r="AL209" i="18" s="1"/>
  <c r="AM209" i="18" s="1"/>
  <c r="AN209" i="18" s="1"/>
  <c r="AO209" i="18" s="1"/>
  <c r="AP209" i="18" s="1"/>
  <c r="AQ209" i="18" s="1"/>
  <c r="AR209" i="18" s="1"/>
  <c r="AS209" i="18" s="1"/>
  <c r="AT209" i="18" s="1"/>
  <c r="AU209" i="18" s="1"/>
  <c r="AV209" i="18" s="1"/>
  <c r="AW209" i="18" s="1"/>
  <c r="AX209" i="18" s="1"/>
  <c r="AY209" i="18" s="1"/>
  <c r="AZ209" i="18" s="1"/>
  <c r="BA209" i="18" s="1"/>
  <c r="BB209" i="18" s="1"/>
  <c r="BC209" i="18" s="1"/>
  <c r="BD209" i="18" s="1"/>
  <c r="BE209" i="18" s="1"/>
  <c r="BF209" i="18" s="1"/>
  <c r="BG209" i="18" s="1"/>
  <c r="BH209" i="18" s="1"/>
  <c r="BI209" i="18" s="1"/>
  <c r="R378" i="18"/>
  <c r="Q809" i="18"/>
  <c r="S250" i="18"/>
  <c r="T250" i="18" s="1"/>
  <c r="U250" i="18" s="1"/>
  <c r="L130" i="18"/>
  <c r="R355" i="18"/>
  <c r="S355" i="18" s="1"/>
  <c r="N652" i="18"/>
  <c r="O652" i="18" s="1"/>
  <c r="L153" i="18"/>
  <c r="J33" i="7943"/>
  <c r="P666" i="18"/>
  <c r="Q666" i="18" s="1"/>
  <c r="R666" i="18" s="1"/>
  <c r="N408" i="18"/>
  <c r="O408" i="18" s="1"/>
  <c r="Q537" i="18"/>
  <c r="R537" i="18" s="1"/>
  <c r="I66" i="7946"/>
  <c r="I91" i="7946" s="1"/>
  <c r="P122" i="18"/>
  <c r="Q122" i="18" s="1"/>
  <c r="M127" i="18"/>
  <c r="N860" i="18"/>
  <c r="O860" i="18" s="1"/>
  <c r="N720" i="18"/>
  <c r="O720" i="18" s="1"/>
  <c r="N681" i="18"/>
  <c r="O681" i="18" s="1"/>
  <c r="P681" i="18" s="1"/>
  <c r="M387" i="18"/>
  <c r="P53" i="24"/>
  <c r="AD53" i="24"/>
  <c r="AB53" i="24"/>
  <c r="S53" i="24"/>
  <c r="X53" i="24"/>
  <c r="AO53" i="24"/>
  <c r="AK53" i="24"/>
  <c r="W53" i="24"/>
  <c r="BB53" i="24"/>
  <c r="AQ53" i="24"/>
  <c r="AR53" i="24"/>
  <c r="AZ53" i="24"/>
  <c r="BH53" i="24"/>
  <c r="AS53" i="24"/>
  <c r="AL53" i="24"/>
  <c r="AV53" i="24"/>
  <c r="BF53" i="24"/>
  <c r="AH53" i="24"/>
  <c r="V53" i="24"/>
  <c r="AN53" i="24"/>
  <c r="AW53" i="24"/>
  <c r="BI53" i="24"/>
  <c r="AU53" i="24"/>
  <c r="AX53" i="24"/>
  <c r="BG53" i="24"/>
  <c r="AF53" i="24"/>
  <c r="Y53" i="24"/>
  <c r="AT53" i="24"/>
  <c r="AY53" i="24"/>
  <c r="AA53" i="24"/>
  <c r="R53" i="24"/>
  <c r="AP53" i="24"/>
  <c r="AM53" i="24"/>
  <c r="Z53" i="24"/>
  <c r="Q53" i="24"/>
  <c r="AC53" i="24"/>
  <c r="AI53" i="24"/>
  <c r="U53" i="24"/>
  <c r="BE53" i="24"/>
  <c r="AE53" i="24"/>
  <c r="BD53" i="24"/>
  <c r="BA53" i="24"/>
  <c r="BC53" i="24"/>
  <c r="T53" i="24"/>
  <c r="AG53" i="24"/>
  <c r="AJ53" i="24"/>
  <c r="AD649" i="18"/>
  <c r="AE649" i="18" s="1"/>
  <c r="AF649" i="18" s="1"/>
  <c r="AG649" i="18" s="1"/>
  <c r="AH649" i="18" s="1"/>
  <c r="AI649" i="18" s="1"/>
  <c r="AJ649" i="18" s="1"/>
  <c r="AK649" i="18" s="1"/>
  <c r="AL649" i="18" s="1"/>
  <c r="AM649" i="18" s="1"/>
  <c r="AN649" i="18" s="1"/>
  <c r="AO649" i="18" s="1"/>
  <c r="AP649" i="18" s="1"/>
  <c r="AQ649" i="18" s="1"/>
  <c r="AR649" i="18" s="1"/>
  <c r="AS649" i="18" s="1"/>
  <c r="AT649" i="18" s="1"/>
  <c r="AU649" i="18" s="1"/>
  <c r="AV649" i="18" s="1"/>
  <c r="AW649" i="18" s="1"/>
  <c r="AX649" i="18" s="1"/>
  <c r="AY649" i="18" s="1"/>
  <c r="AZ649" i="18" s="1"/>
  <c r="BA649" i="18" s="1"/>
  <c r="BB649" i="18" s="1"/>
  <c r="BC649" i="18" s="1"/>
  <c r="BD649" i="18" s="1"/>
  <c r="BE649" i="18" s="1"/>
  <c r="BF649" i="18" s="1"/>
  <c r="BG649" i="18" s="1"/>
  <c r="BH649" i="18" s="1"/>
  <c r="BI649" i="18" s="1"/>
  <c r="Y714" i="18"/>
  <c r="Z714" i="18" s="1"/>
  <c r="AA714" i="18" s="1"/>
  <c r="AB714" i="18" s="1"/>
  <c r="AC714" i="18" s="1"/>
  <c r="AD714" i="18" s="1"/>
  <c r="AE714" i="18" s="1"/>
  <c r="AF714" i="18" s="1"/>
  <c r="AG714" i="18" s="1"/>
  <c r="AH714" i="18" s="1"/>
  <c r="AI714" i="18" s="1"/>
  <c r="AJ714" i="18" s="1"/>
  <c r="AK714" i="18" s="1"/>
  <c r="AL714" i="18" s="1"/>
  <c r="AM714" i="18" s="1"/>
  <c r="AN714" i="18" s="1"/>
  <c r="AO714" i="18" s="1"/>
  <c r="AP714" i="18" s="1"/>
  <c r="AQ714" i="18" s="1"/>
  <c r="AR714" i="18" s="1"/>
  <c r="AS714" i="18" s="1"/>
  <c r="AT714" i="18" s="1"/>
  <c r="AU714" i="18" s="1"/>
  <c r="AV714" i="18" s="1"/>
  <c r="AW714" i="18" s="1"/>
  <c r="AX714" i="18" s="1"/>
  <c r="AY714" i="18" s="1"/>
  <c r="AZ714" i="18" s="1"/>
  <c r="BA714" i="18" s="1"/>
  <c r="BB714" i="18" s="1"/>
  <c r="BC714" i="18" s="1"/>
  <c r="BD714" i="18" s="1"/>
  <c r="BE714" i="18" s="1"/>
  <c r="BF714" i="18" s="1"/>
  <c r="BG714" i="18" s="1"/>
  <c r="BH714" i="18" s="1"/>
  <c r="BI714" i="18" s="1"/>
  <c r="Q743" i="18"/>
  <c r="R743" i="18" s="1"/>
  <c r="S743" i="18" s="1"/>
  <c r="T743" i="18" s="1"/>
  <c r="S378" i="18"/>
  <c r="T378" i="18" s="1"/>
  <c r="N421" i="18"/>
  <c r="O421" i="18" s="1"/>
  <c r="P421" i="18" s="1"/>
  <c r="N316" i="18"/>
  <c r="O316" i="18" s="1"/>
  <c r="N562" i="18"/>
  <c r="O562" i="18" s="1"/>
  <c r="P562" i="18" s="1"/>
  <c r="O524" i="18"/>
  <c r="P524" i="18" s="1"/>
  <c r="T128" i="18"/>
  <c r="U128" i="18" s="1"/>
  <c r="V128" i="18" s="1"/>
  <c r="W128" i="18" s="1"/>
  <c r="X128" i="18" s="1"/>
  <c r="Y128" i="18" s="1"/>
  <c r="Z128" i="18" s="1"/>
  <c r="AA128" i="18" s="1"/>
  <c r="AB128" i="18" s="1"/>
  <c r="AC128" i="18" s="1"/>
  <c r="AD128" i="18" s="1"/>
  <c r="AE128" i="18" s="1"/>
  <c r="AF128" i="18" s="1"/>
  <c r="AG128" i="18" s="1"/>
  <c r="AH128" i="18" s="1"/>
  <c r="AI128" i="18" s="1"/>
  <c r="AJ128" i="18" s="1"/>
  <c r="AK128" i="18" s="1"/>
  <c r="AL128" i="18" s="1"/>
  <c r="AM128" i="18" s="1"/>
  <c r="AN128" i="18" s="1"/>
  <c r="AO128" i="18" s="1"/>
  <c r="AP128" i="18" s="1"/>
  <c r="AQ128" i="18" s="1"/>
  <c r="AR128" i="18" s="1"/>
  <c r="AS128" i="18" s="1"/>
  <c r="AT128" i="18" s="1"/>
  <c r="AU128" i="18" s="1"/>
  <c r="AV128" i="18" s="1"/>
  <c r="AW128" i="18" s="1"/>
  <c r="AX128" i="18" s="1"/>
  <c r="AY128" i="18" s="1"/>
  <c r="AZ128" i="18" s="1"/>
  <c r="BA128" i="18" s="1"/>
  <c r="BB128" i="18" s="1"/>
  <c r="BC128" i="18" s="1"/>
  <c r="BD128" i="18" s="1"/>
  <c r="BE128" i="18" s="1"/>
  <c r="BF128" i="18" s="1"/>
  <c r="BG128" i="18" s="1"/>
  <c r="BH128" i="18" s="1"/>
  <c r="BI128" i="18" s="1"/>
  <c r="Q224" i="18"/>
  <c r="Q548" i="18"/>
  <c r="R548" i="18" s="1"/>
  <c r="S548" i="18" s="1"/>
  <c r="T548" i="18" s="1"/>
  <c r="AN104" i="18"/>
  <c r="AO104" i="18" s="1"/>
  <c r="AP104" i="18" s="1"/>
  <c r="N862" i="18"/>
  <c r="O862" i="18" s="1"/>
  <c r="M642" i="18"/>
  <c r="N642" i="18" s="1"/>
  <c r="N317" i="18"/>
  <c r="O317" i="18" s="1"/>
  <c r="Y235" i="18"/>
  <c r="Z235" i="18" s="1"/>
  <c r="AA235" i="18" s="1"/>
  <c r="AB235" i="18" s="1"/>
  <c r="AC235" i="18" s="1"/>
  <c r="AD235" i="18" s="1"/>
  <c r="S73" i="7946"/>
  <c r="S74" i="7946" s="1"/>
  <c r="K98" i="7946"/>
  <c r="S98" i="7946" s="1"/>
  <c r="S99" i="7946" s="1"/>
  <c r="N707" i="18"/>
  <c r="O356" i="18"/>
  <c r="P356" i="18" s="1"/>
  <c r="Q356" i="18" s="1"/>
  <c r="O274" i="18"/>
  <c r="P274" i="18" s="1"/>
  <c r="Q274" i="18" s="1"/>
  <c r="R274" i="18" s="1"/>
  <c r="S274" i="18" s="1"/>
  <c r="T274" i="18" s="1"/>
  <c r="U274" i="18" s="1"/>
  <c r="V274" i="18" s="1"/>
  <c r="W274" i="18" s="1"/>
  <c r="X274" i="18" s="1"/>
  <c r="Y274" i="18" s="1"/>
  <c r="Z274" i="18" s="1"/>
  <c r="AA274" i="18" s="1"/>
  <c r="AB274" i="18" s="1"/>
  <c r="AC274" i="18" s="1"/>
  <c r="AD274" i="18" s="1"/>
  <c r="AE274" i="18" s="1"/>
  <c r="AF274" i="18" s="1"/>
  <c r="AG274" i="18" s="1"/>
  <c r="AH274" i="18" s="1"/>
  <c r="AI274" i="18" s="1"/>
  <c r="AJ274" i="18" s="1"/>
  <c r="AK274" i="18" s="1"/>
  <c r="AL274" i="18" s="1"/>
  <c r="AM274" i="18" s="1"/>
  <c r="AN274" i="18" s="1"/>
  <c r="AO274" i="18" s="1"/>
  <c r="AP274" i="18" s="1"/>
  <c r="AQ274" i="18" s="1"/>
  <c r="AR274" i="18" s="1"/>
  <c r="AS274" i="18" s="1"/>
  <c r="AT274" i="18" s="1"/>
  <c r="AU274" i="18" s="1"/>
  <c r="AV274" i="18" s="1"/>
  <c r="AW274" i="18" s="1"/>
  <c r="AX274" i="18" s="1"/>
  <c r="AY274" i="18" s="1"/>
  <c r="AZ274" i="18" s="1"/>
  <c r="BA274" i="18" s="1"/>
  <c r="BB274" i="18" s="1"/>
  <c r="BC274" i="18" s="1"/>
  <c r="BD274" i="18" s="1"/>
  <c r="BE274" i="18" s="1"/>
  <c r="BF274" i="18" s="1"/>
  <c r="BG274" i="18" s="1"/>
  <c r="BH274" i="18" s="1"/>
  <c r="BI274" i="18" s="1"/>
  <c r="M615" i="18"/>
  <c r="N615" i="18" s="1"/>
  <c r="O615" i="18" s="1"/>
  <c r="P615" i="18" s="1"/>
  <c r="M486" i="18"/>
  <c r="N486" i="18" s="1"/>
  <c r="N182" i="18"/>
  <c r="O182" i="18" s="1"/>
  <c r="P182" i="18" s="1"/>
  <c r="Q182" i="18" s="1"/>
  <c r="N119" i="18"/>
  <c r="Q417" i="18"/>
  <c r="R417" i="18" s="1"/>
  <c r="L661" i="18"/>
  <c r="AB509" i="18"/>
  <c r="AC509" i="18" s="1"/>
  <c r="M794" i="18"/>
  <c r="N794" i="18" s="1"/>
  <c r="P459" i="18"/>
  <c r="Q459" i="18" s="1"/>
  <c r="Q444" i="18"/>
  <c r="R444" i="18" s="1"/>
  <c r="S444" i="18" s="1"/>
  <c r="T444" i="18" s="1"/>
  <c r="U444" i="18" s="1"/>
  <c r="V444" i="18" s="1"/>
  <c r="W444" i="18" s="1"/>
  <c r="X444" i="18" s="1"/>
  <c r="Y444" i="18" s="1"/>
  <c r="Z444" i="18" s="1"/>
  <c r="AA444" i="18" s="1"/>
  <c r="AB444" i="18" s="1"/>
  <c r="AC444" i="18" s="1"/>
  <c r="AD444" i="18" s="1"/>
  <c r="AE444" i="18" s="1"/>
  <c r="AF444" i="18" s="1"/>
  <c r="AG444" i="18" s="1"/>
  <c r="AH444" i="18" s="1"/>
  <c r="AI444" i="18" s="1"/>
  <c r="AJ444" i="18" s="1"/>
  <c r="AK444" i="18" s="1"/>
  <c r="AL444" i="18" s="1"/>
  <c r="AM444" i="18" s="1"/>
  <c r="AN444" i="18" s="1"/>
  <c r="AO444" i="18" s="1"/>
  <c r="AP444" i="18" s="1"/>
  <c r="AQ444" i="18" s="1"/>
  <c r="AR444" i="18" s="1"/>
  <c r="AS444" i="18" s="1"/>
  <c r="AT444" i="18" s="1"/>
  <c r="AU444" i="18" s="1"/>
  <c r="AV444" i="18" s="1"/>
  <c r="AW444" i="18" s="1"/>
  <c r="AX444" i="18" s="1"/>
  <c r="AY444" i="18" s="1"/>
  <c r="AZ444" i="18" s="1"/>
  <c r="BA444" i="18" s="1"/>
  <c r="BB444" i="18" s="1"/>
  <c r="BC444" i="18" s="1"/>
  <c r="BD444" i="18" s="1"/>
  <c r="BE444" i="18" s="1"/>
  <c r="BF444" i="18" s="1"/>
  <c r="BG444" i="18" s="1"/>
  <c r="BH444" i="18" s="1"/>
  <c r="BI444" i="18" s="1"/>
  <c r="P381" i="18"/>
  <c r="Q381" i="18" s="1"/>
  <c r="Q456" i="18"/>
  <c r="R456" i="18" s="1"/>
  <c r="S456" i="18" s="1"/>
  <c r="T456" i="18" s="1"/>
  <c r="U456" i="18" s="1"/>
  <c r="V456" i="18" s="1"/>
  <c r="W456" i="18" s="1"/>
  <c r="X456" i="18" s="1"/>
  <c r="Y456" i="18" s="1"/>
  <c r="Z456" i="18" s="1"/>
  <c r="AA456" i="18" s="1"/>
  <c r="AB456" i="18" s="1"/>
  <c r="AC456" i="18" s="1"/>
  <c r="AD456" i="18" s="1"/>
  <c r="AE456" i="18" s="1"/>
  <c r="AF456" i="18" s="1"/>
  <c r="AP108" i="18"/>
  <c r="AQ108" i="18" s="1"/>
  <c r="AR108" i="18" s="1"/>
  <c r="AS108" i="18" s="1"/>
  <c r="AP82" i="18"/>
  <c r="AQ82" i="18" s="1"/>
  <c r="P626" i="18"/>
  <c r="Q626" i="18" s="1"/>
  <c r="P745" i="18"/>
  <c r="Q745" i="18" s="1"/>
  <c r="U380" i="18"/>
  <c r="V380" i="18" s="1"/>
  <c r="W380" i="18" s="1"/>
  <c r="X380" i="18" s="1"/>
  <c r="Y380" i="18" s="1"/>
  <c r="Z380" i="18" s="1"/>
  <c r="AA380" i="18" s="1"/>
  <c r="AB380" i="18" s="1"/>
  <c r="AC380" i="18" s="1"/>
  <c r="AD380" i="18" s="1"/>
  <c r="AE380" i="18" s="1"/>
  <c r="AF380" i="18" s="1"/>
  <c r="AG380" i="18" s="1"/>
  <c r="AH380" i="18" s="1"/>
  <c r="AI380" i="18" s="1"/>
  <c r="AJ380" i="18" s="1"/>
  <c r="AK380" i="18" s="1"/>
  <c r="AL380" i="18" s="1"/>
  <c r="AM380" i="18" s="1"/>
  <c r="AN380" i="18" s="1"/>
  <c r="AO380" i="18" s="1"/>
  <c r="AP380" i="18" s="1"/>
  <c r="AQ380" i="18" s="1"/>
  <c r="AR380" i="18" s="1"/>
  <c r="AS380" i="18" s="1"/>
  <c r="AT380" i="18" s="1"/>
  <c r="AU380" i="18" s="1"/>
  <c r="AV380" i="18" s="1"/>
  <c r="AW380" i="18" s="1"/>
  <c r="AX380" i="18" s="1"/>
  <c r="AY380" i="18" s="1"/>
  <c r="AZ380" i="18" s="1"/>
  <c r="BA380" i="18" s="1"/>
  <c r="BB380" i="18" s="1"/>
  <c r="BC380" i="18" s="1"/>
  <c r="BD380" i="18" s="1"/>
  <c r="BE380" i="18" s="1"/>
  <c r="BF380" i="18" s="1"/>
  <c r="BG380" i="18" s="1"/>
  <c r="BH380" i="18" s="1"/>
  <c r="BI380" i="18" s="1"/>
  <c r="O135" i="18"/>
  <c r="O223" i="18"/>
  <c r="P223" i="18" s="1"/>
  <c r="O560" i="18"/>
  <c r="P560" i="18" s="1"/>
  <c r="S157" i="18"/>
  <c r="T157" i="18" s="1"/>
  <c r="U157" i="18" s="1"/>
  <c r="S287" i="18"/>
  <c r="T287" i="18" s="1"/>
  <c r="U287" i="18" s="1"/>
  <c r="V287" i="18" s="1"/>
  <c r="W287" i="18" s="1"/>
  <c r="X287" i="18" s="1"/>
  <c r="Y287" i="18" s="1"/>
  <c r="Z287" i="18" s="1"/>
  <c r="AA287" i="18" s="1"/>
  <c r="AB287" i="18" s="1"/>
  <c r="AC287" i="18" s="1"/>
  <c r="AD287" i="18" s="1"/>
  <c r="AE287" i="18" s="1"/>
  <c r="AF287" i="18" s="1"/>
  <c r="AG287" i="18" s="1"/>
  <c r="AH287" i="18" s="1"/>
  <c r="M457" i="18"/>
  <c r="N629" i="18"/>
  <c r="O629" i="18" s="1"/>
  <c r="P629" i="18" s="1"/>
  <c r="M668" i="18"/>
  <c r="N668" i="18" s="1"/>
  <c r="Q186" i="18"/>
  <c r="R186" i="18" s="1"/>
  <c r="M485" i="18"/>
  <c r="P340" i="18"/>
  <c r="Q340" i="18" s="1"/>
  <c r="K465" i="18"/>
  <c r="L455" i="18"/>
  <c r="O265" i="18"/>
  <c r="N369" i="18"/>
  <c r="P172" i="18"/>
  <c r="Q172" i="18" s="1"/>
  <c r="R172" i="18" s="1"/>
  <c r="S172" i="18" s="1"/>
  <c r="R445" i="18"/>
  <c r="S445" i="18" s="1"/>
  <c r="O210" i="18"/>
  <c r="P210" i="18" s="1"/>
  <c r="Q210" i="18" s="1"/>
  <c r="R276" i="18"/>
  <c r="S276" i="18" s="1"/>
  <c r="T276" i="18" s="1"/>
  <c r="U276" i="18" s="1"/>
  <c r="V276" i="18" s="1"/>
  <c r="W276" i="18" s="1"/>
  <c r="X276" i="18" s="1"/>
  <c r="Y276" i="18" s="1"/>
  <c r="Z276" i="18" s="1"/>
  <c r="AA276" i="18" s="1"/>
  <c r="AB276" i="18" s="1"/>
  <c r="AC276" i="18" s="1"/>
  <c r="AD276" i="18" s="1"/>
  <c r="AE276" i="18" s="1"/>
  <c r="AF276" i="18" s="1"/>
  <c r="AG276" i="18" s="1"/>
  <c r="AH276" i="18" s="1"/>
  <c r="AI276" i="18" s="1"/>
  <c r="AJ276" i="18" s="1"/>
  <c r="AK276" i="18" s="1"/>
  <c r="AL276" i="18" s="1"/>
  <c r="AM276" i="18" s="1"/>
  <c r="AN276" i="18" s="1"/>
  <c r="AO276" i="18" s="1"/>
  <c r="AP276" i="18" s="1"/>
  <c r="AQ276" i="18" s="1"/>
  <c r="AR276" i="18" s="1"/>
  <c r="AS276" i="18" s="1"/>
  <c r="AT276" i="18" s="1"/>
  <c r="AU276" i="18" s="1"/>
  <c r="AV276" i="18" s="1"/>
  <c r="AW276" i="18" s="1"/>
  <c r="AX276" i="18" s="1"/>
  <c r="AY276" i="18" s="1"/>
  <c r="AZ276" i="18" s="1"/>
  <c r="BA276" i="18" s="1"/>
  <c r="BB276" i="18" s="1"/>
  <c r="BC276" i="18" s="1"/>
  <c r="BD276" i="18" s="1"/>
  <c r="BE276" i="18" s="1"/>
  <c r="BF276" i="18" s="1"/>
  <c r="BG276" i="18" s="1"/>
  <c r="BH276" i="18" s="1"/>
  <c r="BI276" i="18" s="1"/>
  <c r="M811" i="18"/>
  <c r="N811" i="18" s="1"/>
  <c r="O534" i="18"/>
  <c r="P534" i="18" s="1"/>
  <c r="Q534" i="18" s="1"/>
  <c r="R365" i="18"/>
  <c r="O482" i="18"/>
  <c r="P482" i="18" s="1"/>
  <c r="L544" i="18"/>
  <c r="N798" i="18"/>
  <c r="O798" i="18" s="1"/>
  <c r="P798" i="18" s="1"/>
  <c r="M694" i="18"/>
  <c r="N694" i="18" s="1"/>
  <c r="M525" i="18"/>
  <c r="N525" i="18" s="1"/>
  <c r="N863" i="18"/>
  <c r="O863" i="18" s="1"/>
  <c r="P863" i="18" s="1"/>
  <c r="N653" i="18"/>
  <c r="O653" i="18" s="1"/>
  <c r="AD510" i="18"/>
  <c r="AE510" i="18" s="1"/>
  <c r="P144" i="18"/>
  <c r="Q144" i="18" s="1"/>
  <c r="O716" i="18"/>
  <c r="P716" i="18" s="1"/>
  <c r="O352" i="18"/>
  <c r="S131" i="18"/>
  <c r="I875" i="18"/>
  <c r="U300" i="18"/>
  <c r="V300" i="18" s="1"/>
  <c r="W300" i="18" s="1"/>
  <c r="X300" i="18" s="1"/>
  <c r="Y300" i="18" s="1"/>
  <c r="Z300" i="18" s="1"/>
  <c r="AA300" i="18" s="1"/>
  <c r="AB300" i="18" s="1"/>
  <c r="AC300" i="18" s="1"/>
  <c r="AD300" i="18" s="1"/>
  <c r="AE300" i="18" s="1"/>
  <c r="AF300" i="18" s="1"/>
  <c r="AG300" i="18" s="1"/>
  <c r="AH300" i="18" s="1"/>
  <c r="AI300" i="18" s="1"/>
  <c r="AJ300" i="18" s="1"/>
  <c r="AK300" i="18" s="1"/>
  <c r="AL300" i="18" s="1"/>
  <c r="AM300" i="18" s="1"/>
  <c r="AN300" i="18" s="1"/>
  <c r="AO300" i="18" s="1"/>
  <c r="AP300" i="18" s="1"/>
  <c r="AQ300" i="18" s="1"/>
  <c r="AR300" i="18" s="1"/>
  <c r="AS300" i="18" s="1"/>
  <c r="AT300" i="18" s="1"/>
  <c r="AU300" i="18" s="1"/>
  <c r="AV300" i="18" s="1"/>
  <c r="AW300" i="18" s="1"/>
  <c r="AX300" i="18" s="1"/>
  <c r="AY300" i="18" s="1"/>
  <c r="AZ300" i="18" s="1"/>
  <c r="BA300" i="18" s="1"/>
  <c r="BB300" i="18" s="1"/>
  <c r="BC300" i="18" s="1"/>
  <c r="BD300" i="18" s="1"/>
  <c r="BE300" i="18" s="1"/>
  <c r="BF300" i="18" s="1"/>
  <c r="BG300" i="18" s="1"/>
  <c r="BH300" i="18" s="1"/>
  <c r="BI300" i="18" s="1"/>
  <c r="M260" i="18"/>
  <c r="P769" i="18"/>
  <c r="Q769" i="18" s="1"/>
  <c r="R769" i="18" s="1"/>
  <c r="S769" i="18" s="1"/>
  <c r="O667" i="18"/>
  <c r="L169" i="18"/>
  <c r="P251" i="18"/>
  <c r="Q251" i="18" s="1"/>
  <c r="P784" i="18"/>
  <c r="N577" i="18"/>
  <c r="O577" i="18" s="1"/>
  <c r="P577" i="18" s="1"/>
  <c r="Q577" i="18" s="1"/>
  <c r="R577" i="18" s="1"/>
  <c r="S158" i="18"/>
  <c r="T158" i="18" s="1"/>
  <c r="U158" i="18" s="1"/>
  <c r="V158" i="18" s="1"/>
  <c r="W158" i="18" s="1"/>
  <c r="X158" i="18" s="1"/>
  <c r="Y158" i="18" s="1"/>
  <c r="Z158" i="18" s="1"/>
  <c r="AA158" i="18" s="1"/>
  <c r="AB158" i="18" s="1"/>
  <c r="AC158" i="18" s="1"/>
  <c r="N680" i="18"/>
  <c r="O680" i="18" s="1"/>
  <c r="CX53" i="7942"/>
  <c r="CW86" i="7942"/>
  <c r="AJ55" i="7942"/>
  <c r="AI88" i="7942"/>
  <c r="Q601" i="18"/>
  <c r="R601" i="18" s="1"/>
  <c r="CW104" i="7942"/>
  <c r="CX71" i="7942"/>
  <c r="L557" i="18"/>
  <c r="AU53" i="7942"/>
  <c r="AT86" i="7942"/>
  <c r="AU63" i="7942"/>
  <c r="AT96" i="7942"/>
  <c r="Q717" i="18"/>
  <c r="R717" i="18" s="1"/>
  <c r="N757" i="18"/>
  <c r="O757" i="18" s="1"/>
  <c r="P757" i="18" s="1"/>
  <c r="CV107" i="7942"/>
  <c r="AA512" i="18"/>
  <c r="M616" i="18"/>
  <c r="N564" i="18"/>
  <c r="N824" i="18"/>
  <c r="M837" i="18"/>
  <c r="N837" i="18" s="1"/>
  <c r="M603" i="18"/>
  <c r="N603" i="18" s="1"/>
  <c r="O603" i="18" s="1"/>
  <c r="L609" i="18"/>
  <c r="AN93" i="18"/>
  <c r="AO93" i="18" s="1"/>
  <c r="AP93" i="18" s="1"/>
  <c r="BE86" i="7942"/>
  <c r="BF53" i="7942"/>
  <c r="DH101" i="7942"/>
  <c r="DI68" i="7942"/>
  <c r="M835" i="18"/>
  <c r="N835" i="18" s="1"/>
  <c r="L856" i="18"/>
  <c r="CB55" i="7942"/>
  <c r="CA88" i="7942"/>
  <c r="CA99" i="7942"/>
  <c r="CB66" i="7942"/>
  <c r="O770" i="18"/>
  <c r="AU48" i="7942"/>
  <c r="AT81" i="7942"/>
  <c r="L765" i="18"/>
  <c r="O133" i="18"/>
  <c r="P133" i="18" s="1"/>
  <c r="Q133" i="18" s="1"/>
  <c r="CL100" i="7942"/>
  <c r="CM67" i="7942"/>
  <c r="CM55" i="7942"/>
  <c r="CL88" i="7942"/>
  <c r="Q547" i="18"/>
  <c r="R547" i="18" s="1"/>
  <c r="S547" i="18" s="1"/>
  <c r="X90" i="7942"/>
  <c r="Y57" i="7942"/>
  <c r="N213" i="18"/>
  <c r="O382" i="18"/>
  <c r="P382" i="18" s="1"/>
  <c r="P132" i="18"/>
  <c r="N550" i="18"/>
  <c r="O550" i="18" s="1"/>
  <c r="AJ50" i="7942"/>
  <c r="AI83" i="7942"/>
  <c r="AJ65" i="7942"/>
  <c r="AI98" i="7942"/>
  <c r="DH99" i="7942"/>
  <c r="DI66" i="7942"/>
  <c r="CX61" i="7942"/>
  <c r="CW94" i="7942"/>
  <c r="CX57" i="7942"/>
  <c r="CW90" i="7942"/>
  <c r="N759" i="18"/>
  <c r="Q681" i="18"/>
  <c r="N551" i="18"/>
  <c r="M785" i="18"/>
  <c r="L778" i="18"/>
  <c r="T639" i="18"/>
  <c r="U639" i="18" s="1"/>
  <c r="V639" i="18" s="1"/>
  <c r="W639" i="18" s="1"/>
  <c r="X639" i="18" s="1"/>
  <c r="Y639" i="18" s="1"/>
  <c r="Z639" i="18" s="1"/>
  <c r="AA639" i="18" s="1"/>
  <c r="AB639" i="18" s="1"/>
  <c r="AC639" i="18" s="1"/>
  <c r="AD639" i="18" s="1"/>
  <c r="AE639" i="18" s="1"/>
  <c r="AF639" i="18" s="1"/>
  <c r="AG639" i="18" s="1"/>
  <c r="AH639" i="18" s="1"/>
  <c r="AI639" i="18" s="1"/>
  <c r="AJ639" i="18" s="1"/>
  <c r="AK639" i="18" s="1"/>
  <c r="AL639" i="18" s="1"/>
  <c r="AM639" i="18" s="1"/>
  <c r="AN639" i="18" s="1"/>
  <c r="AO639" i="18" s="1"/>
  <c r="AP639" i="18" s="1"/>
  <c r="AQ639" i="18" s="1"/>
  <c r="AR639" i="18" s="1"/>
  <c r="AS639" i="18" s="1"/>
  <c r="AT639" i="18" s="1"/>
  <c r="AU639" i="18" s="1"/>
  <c r="AV639" i="18" s="1"/>
  <c r="AW639" i="18" s="1"/>
  <c r="AX639" i="18" s="1"/>
  <c r="AY639" i="18" s="1"/>
  <c r="AZ639" i="18" s="1"/>
  <c r="BA639" i="18" s="1"/>
  <c r="BB639" i="18" s="1"/>
  <c r="BC639" i="18" s="1"/>
  <c r="BD639" i="18" s="1"/>
  <c r="BE639" i="18" s="1"/>
  <c r="BF639" i="18" s="1"/>
  <c r="BG639" i="18" s="1"/>
  <c r="BH639" i="18" s="1"/>
  <c r="BI639" i="18" s="1"/>
  <c r="M823" i="18"/>
  <c r="CW98" i="7942"/>
  <c r="CX65" i="7942"/>
  <c r="AJ56" i="7942"/>
  <c r="AI89" i="7942"/>
  <c r="BP83" i="7942"/>
  <c r="BQ50" i="7942"/>
  <c r="L830" i="18"/>
  <c r="DI49" i="7942"/>
  <c r="DH82" i="7942"/>
  <c r="Y67" i="7942"/>
  <c r="X100" i="7942"/>
  <c r="DI72" i="7942"/>
  <c r="DH105" i="7942"/>
  <c r="P536" i="18"/>
  <c r="Q536" i="18" s="1"/>
  <c r="X86" i="7942"/>
  <c r="Y53" i="7942"/>
  <c r="O693" i="18"/>
  <c r="P693" i="18" s="1"/>
  <c r="P652" i="18"/>
  <c r="Q652" i="18" s="1"/>
  <c r="P679" i="18"/>
  <c r="Q679" i="18" s="1"/>
  <c r="R679" i="18" s="1"/>
  <c r="AU73" i="7942"/>
  <c r="AT106" i="7942"/>
  <c r="AU72" i="7942"/>
  <c r="AT105" i="7942"/>
  <c r="M361" i="18"/>
  <c r="N351" i="18"/>
  <c r="AN80" i="18"/>
  <c r="AO80" i="18" s="1"/>
  <c r="AP80" i="18" s="1"/>
  <c r="O234" i="18"/>
  <c r="M24" i="2"/>
  <c r="M23" i="2"/>
  <c r="M25" i="2" s="1"/>
  <c r="O460" i="18"/>
  <c r="P460" i="18" s="1"/>
  <c r="N226" i="18"/>
  <c r="N291" i="18"/>
  <c r="AI103" i="7942"/>
  <c r="AJ70" i="7942"/>
  <c r="X97" i="7942"/>
  <c r="Y64" i="7942"/>
  <c r="AJ57" i="7942"/>
  <c r="AI90" i="7942"/>
  <c r="AT87" i="7942"/>
  <c r="AU54" i="7942"/>
  <c r="CW83" i="7942"/>
  <c r="CX50" i="7942"/>
  <c r="M706" i="18"/>
  <c r="L713" i="18"/>
  <c r="N758" i="18"/>
  <c r="O729" i="18"/>
  <c r="BE94" i="7942"/>
  <c r="BF61" i="7942"/>
  <c r="U406" i="18"/>
  <c r="V406" i="18" s="1"/>
  <c r="W406" i="18" s="1"/>
  <c r="X406" i="18" s="1"/>
  <c r="Y406" i="18" s="1"/>
  <c r="Z406" i="18" s="1"/>
  <c r="AA406" i="18" s="1"/>
  <c r="AB406" i="18" s="1"/>
  <c r="AC406" i="18" s="1"/>
  <c r="AD406" i="18" s="1"/>
  <c r="AE406" i="18" s="1"/>
  <c r="AF406" i="18" s="1"/>
  <c r="AG406" i="18" s="1"/>
  <c r="AH406" i="18" s="1"/>
  <c r="AI406" i="18" s="1"/>
  <c r="AJ406" i="18" s="1"/>
  <c r="AK406" i="18" s="1"/>
  <c r="AL406" i="18" s="1"/>
  <c r="AM406" i="18" s="1"/>
  <c r="AN406" i="18" s="1"/>
  <c r="AO406" i="18" s="1"/>
  <c r="AP406" i="18" s="1"/>
  <c r="AQ406" i="18" s="1"/>
  <c r="AR406" i="18" s="1"/>
  <c r="AS406" i="18" s="1"/>
  <c r="AT406" i="18" s="1"/>
  <c r="AU406" i="18" s="1"/>
  <c r="AV406" i="18" s="1"/>
  <c r="AW406" i="18" s="1"/>
  <c r="AX406" i="18" s="1"/>
  <c r="AY406" i="18" s="1"/>
  <c r="AZ406" i="18" s="1"/>
  <c r="BA406" i="18" s="1"/>
  <c r="BB406" i="18" s="1"/>
  <c r="BC406" i="18" s="1"/>
  <c r="BD406" i="18" s="1"/>
  <c r="BE406" i="18" s="1"/>
  <c r="BF406" i="18" s="1"/>
  <c r="BG406" i="18" s="1"/>
  <c r="BH406" i="18" s="1"/>
  <c r="BI406" i="18" s="1"/>
  <c r="BP106" i="7942"/>
  <c r="BQ73" i="7942"/>
  <c r="CA82" i="7942"/>
  <c r="CB49" i="7942"/>
  <c r="M102" i="7942"/>
  <c r="N69" i="7942"/>
  <c r="CM61" i="7942"/>
  <c r="CL94" i="7942"/>
  <c r="P262" i="18"/>
  <c r="O719" i="18"/>
  <c r="BP85" i="7942"/>
  <c r="BQ52" i="7942"/>
  <c r="BE93" i="7942"/>
  <c r="BF60" i="7942"/>
  <c r="S159" i="18"/>
  <c r="T159" i="18" s="1"/>
  <c r="U159" i="18" s="1"/>
  <c r="V159" i="18" s="1"/>
  <c r="W159" i="18" s="1"/>
  <c r="X159" i="18" s="1"/>
  <c r="Y159" i="18" s="1"/>
  <c r="Z159" i="18" s="1"/>
  <c r="AA159" i="18" s="1"/>
  <c r="AB159" i="18" s="1"/>
  <c r="AC159" i="18" s="1"/>
  <c r="AD159" i="18" s="1"/>
  <c r="AE159" i="18" s="1"/>
  <c r="AF159" i="18" s="1"/>
  <c r="AG159" i="18" s="1"/>
  <c r="AH159" i="18" s="1"/>
  <c r="AI159" i="18" s="1"/>
  <c r="AJ159" i="18" s="1"/>
  <c r="AK159" i="18" s="1"/>
  <c r="AL159" i="18" s="1"/>
  <c r="AM159" i="18" s="1"/>
  <c r="AN159" i="18" s="1"/>
  <c r="AO159" i="18" s="1"/>
  <c r="DH91" i="7942"/>
  <c r="DI58" i="7942"/>
  <c r="BP97" i="7942"/>
  <c r="BQ64" i="7942"/>
  <c r="CM69" i="7942"/>
  <c r="CL102" i="7942"/>
  <c r="M7" i="7943"/>
  <c r="M8" i="7943" s="1"/>
  <c r="M11" i="24"/>
  <c r="Q600" i="18"/>
  <c r="R600" i="18" s="1"/>
  <c r="P156" i="18"/>
  <c r="O200" i="18"/>
  <c r="P200" i="18" s="1"/>
  <c r="Q200" i="18" s="1"/>
  <c r="L42" i="18"/>
  <c r="L10" i="18"/>
  <c r="AO94" i="18"/>
  <c r="M218" i="18"/>
  <c r="AI93" i="7942"/>
  <c r="AJ60" i="7942"/>
  <c r="Q846" i="18"/>
  <c r="R846" i="18" s="1"/>
  <c r="N312" i="18"/>
  <c r="O312" i="18" s="1"/>
  <c r="N538" i="18"/>
  <c r="P861" i="18"/>
  <c r="O705" i="18"/>
  <c r="L726" i="18"/>
  <c r="M718" i="18"/>
  <c r="CB70" i="7942"/>
  <c r="CA103" i="7942"/>
  <c r="M374" i="18"/>
  <c r="O692" i="18"/>
  <c r="P692" i="18" s="1"/>
  <c r="CA85" i="7942"/>
  <c r="CB52" i="7942"/>
  <c r="AU70" i="7942"/>
  <c r="AT103" i="7942"/>
  <c r="N654" i="18"/>
  <c r="N768" i="18"/>
  <c r="N65" i="7942"/>
  <c r="M98" i="7942"/>
  <c r="M95" i="7942"/>
  <c r="N62" i="7942"/>
  <c r="R820" i="18"/>
  <c r="S820" i="18" s="1"/>
  <c r="S588" i="18"/>
  <c r="N848" i="18"/>
  <c r="BP88" i="7942"/>
  <c r="BQ55" i="7942"/>
  <c r="CX59" i="7942"/>
  <c r="CW92" i="7942"/>
  <c r="P146" i="18"/>
  <c r="Q146" i="18" s="1"/>
  <c r="L885" i="18"/>
  <c r="M589" i="18"/>
  <c r="N589" i="18" s="1"/>
  <c r="L596" i="18"/>
  <c r="M429" i="18"/>
  <c r="CL104" i="7942"/>
  <c r="CM71" i="7942"/>
  <c r="O704" i="18"/>
  <c r="P704" i="18" s="1"/>
  <c r="R834" i="18"/>
  <c r="BF69" i="7942"/>
  <c r="BE102" i="7942"/>
  <c r="H57" i="7946"/>
  <c r="P614" i="18"/>
  <c r="Q614" i="18" s="1"/>
  <c r="N343" i="18"/>
  <c r="L58" i="18"/>
  <c r="P366" i="18"/>
  <c r="Q366" i="18" s="1"/>
  <c r="Q171" i="18"/>
  <c r="R171" i="18" s="1"/>
  <c r="BE99" i="7942"/>
  <c r="BF66" i="7942"/>
  <c r="M627" i="18"/>
  <c r="L635" i="18"/>
  <c r="CB67" i="7942"/>
  <c r="CA100" i="7942"/>
  <c r="BF70" i="7942"/>
  <c r="BE103" i="7942"/>
  <c r="L884" i="18"/>
  <c r="M884" i="18" s="1"/>
  <c r="N884" i="18" s="1"/>
  <c r="CW89" i="7942"/>
  <c r="CX56" i="7942"/>
  <c r="L348" i="18"/>
  <c r="M338" i="18"/>
  <c r="AA499" i="18"/>
  <c r="AB499" i="18" s="1"/>
  <c r="N590" i="18"/>
  <c r="M733" i="18"/>
  <c r="O707" i="18"/>
  <c r="O746" i="18"/>
  <c r="L843" i="18"/>
  <c r="CX48" i="7942"/>
  <c r="CW81" i="7942"/>
  <c r="BQ63" i="7942"/>
  <c r="BP96" i="7942"/>
  <c r="AT101" i="7942"/>
  <c r="AU68" i="7942"/>
  <c r="BP103" i="7942"/>
  <c r="BQ70" i="7942"/>
  <c r="CK107" i="7942"/>
  <c r="AU64" i="7942"/>
  <c r="AT97" i="7942"/>
  <c r="BP82" i="7942"/>
  <c r="BQ49" i="7942"/>
  <c r="O586" i="18"/>
  <c r="N54" i="7942"/>
  <c r="M87" i="7942"/>
  <c r="Q522" i="18"/>
  <c r="BF65" i="7942"/>
  <c r="BE98" i="7942"/>
  <c r="AI86" i="7942"/>
  <c r="AJ53" i="7942"/>
  <c r="AU56" i="7942"/>
  <c r="AT89" i="7942"/>
  <c r="DI71" i="7942"/>
  <c r="DH104" i="7942"/>
  <c r="N797" i="18"/>
  <c r="O797" i="18" s="1"/>
  <c r="P797" i="18" s="1"/>
  <c r="BQ69" i="7942"/>
  <c r="BP102" i="7942"/>
  <c r="P535" i="18"/>
  <c r="R638" i="18"/>
  <c r="P783" i="18"/>
  <c r="N732" i="18"/>
  <c r="AC498" i="18"/>
  <c r="AD498" i="18" s="1"/>
  <c r="X85" i="7942"/>
  <c r="Y52" i="7942"/>
  <c r="L752" i="18"/>
  <c r="CW95" i="7942"/>
  <c r="CX62" i="7942"/>
  <c r="H82" i="7946"/>
  <c r="N211" i="18"/>
  <c r="BP84" i="7942"/>
  <c r="BQ51" i="7942"/>
  <c r="Q562" i="18"/>
  <c r="BE92" i="7942"/>
  <c r="BF59" i="7942"/>
  <c r="O120" i="18"/>
  <c r="P120" i="18" s="1"/>
  <c r="K74" i="7946"/>
  <c r="L74" i="7946" s="1"/>
  <c r="BE84" i="7942"/>
  <c r="BF51" i="7942"/>
  <c r="P148" i="18"/>
  <c r="Q148" i="18" s="1"/>
  <c r="R237" i="18"/>
  <c r="S237" i="18" s="1"/>
  <c r="P796" i="18"/>
  <c r="N549" i="18"/>
  <c r="L439" i="18"/>
  <c r="X88" i="7942"/>
  <c r="Y55" i="7942"/>
  <c r="BQ53" i="7942"/>
  <c r="BP86" i="7942"/>
  <c r="M655" i="18"/>
  <c r="M864" i="18"/>
  <c r="M604" i="18"/>
  <c r="M656" i="18"/>
  <c r="N656" i="18" s="1"/>
  <c r="M552" i="18"/>
  <c r="M557" i="18" s="1"/>
  <c r="M708" i="18"/>
  <c r="N708" i="18" s="1"/>
  <c r="O708" i="18" s="1"/>
  <c r="M526" i="18"/>
  <c r="N526" i="18" s="1"/>
  <c r="M734" i="18"/>
  <c r="N734" i="18" s="1"/>
  <c r="M721" i="18"/>
  <c r="N721" i="18" s="1"/>
  <c r="M812" i="18"/>
  <c r="N812" i="18" s="1"/>
  <c r="M643" i="18"/>
  <c r="N643" i="18" s="1"/>
  <c r="M617" i="18"/>
  <c r="N617" i="18" s="1"/>
  <c r="M487" i="18"/>
  <c r="M630" i="18"/>
  <c r="N630" i="18" s="1"/>
  <c r="M669" i="18"/>
  <c r="N669" i="18" s="1"/>
  <c r="M825" i="18"/>
  <c r="N825" i="18" s="1"/>
  <c r="O825" i="18" s="1"/>
  <c r="M695" i="18"/>
  <c r="N695" i="18" s="1"/>
  <c r="M747" i="18"/>
  <c r="N747" i="18" s="1"/>
  <c r="M773" i="18"/>
  <c r="N773" i="18" s="1"/>
  <c r="M760" i="18"/>
  <c r="M765" i="18" s="1"/>
  <c r="M786" i="18"/>
  <c r="N786" i="18" s="1"/>
  <c r="O786" i="18" s="1"/>
  <c r="M539" i="18"/>
  <c r="N539" i="18" s="1"/>
  <c r="M838" i="18"/>
  <c r="M7" i="18"/>
  <c r="M578" i="18"/>
  <c r="N578" i="18" s="1"/>
  <c r="M682" i="18"/>
  <c r="M687" i="18" s="1"/>
  <c r="M591" i="18"/>
  <c r="N591" i="18" s="1"/>
  <c r="M851" i="18"/>
  <c r="M856" i="18" s="1"/>
  <c r="M799" i="18"/>
  <c r="N799" i="18" s="1"/>
  <c r="M565" i="18"/>
  <c r="N565" i="18" s="1"/>
  <c r="O565" i="18" s="1"/>
  <c r="U513" i="18"/>
  <c r="P513" i="18"/>
  <c r="Q513" i="18"/>
  <c r="Z500" i="18"/>
  <c r="S513" i="18"/>
  <c r="W513" i="18"/>
  <c r="X513" i="18"/>
  <c r="S500" i="18"/>
  <c r="W500" i="18"/>
  <c r="N513" i="18"/>
  <c r="V513" i="18"/>
  <c r="P500" i="18"/>
  <c r="R500" i="18"/>
  <c r="R513" i="18"/>
  <c r="O513" i="18"/>
  <c r="U500" i="18"/>
  <c r="Y500" i="18"/>
  <c r="AA500" i="18"/>
  <c r="Y513" i="18"/>
  <c r="T513" i="18"/>
  <c r="Z513" i="18"/>
  <c r="V500" i="18"/>
  <c r="N500" i="18"/>
  <c r="T500" i="18"/>
  <c r="M513" i="18"/>
  <c r="M518" i="18" s="1"/>
  <c r="X500" i="18"/>
  <c r="Q500" i="18"/>
  <c r="O500" i="18"/>
  <c r="AA513" i="18"/>
  <c r="M500" i="18"/>
  <c r="AB496" i="18"/>
  <c r="AC496" i="18" s="1"/>
  <c r="AD496" i="18" s="1"/>
  <c r="AE496" i="18" s="1"/>
  <c r="AF496" i="18" s="1"/>
  <c r="AG496" i="18" s="1"/>
  <c r="AH496" i="18" s="1"/>
  <c r="AI496" i="18" s="1"/>
  <c r="AJ496" i="18" s="1"/>
  <c r="AK496" i="18" s="1"/>
  <c r="AL496" i="18" s="1"/>
  <c r="AM496" i="18" s="1"/>
  <c r="AN496" i="18" s="1"/>
  <c r="AO496" i="18" s="1"/>
  <c r="AP496" i="18" s="1"/>
  <c r="AQ496" i="18" s="1"/>
  <c r="AR496" i="18" s="1"/>
  <c r="AS496" i="18" s="1"/>
  <c r="AT496" i="18" s="1"/>
  <c r="AU496" i="18" s="1"/>
  <c r="AV496" i="18" s="1"/>
  <c r="AW496" i="18" s="1"/>
  <c r="AX496" i="18" s="1"/>
  <c r="AY496" i="18" s="1"/>
  <c r="AZ496" i="18" s="1"/>
  <c r="BA496" i="18" s="1"/>
  <c r="BB496" i="18" s="1"/>
  <c r="BC496" i="18" s="1"/>
  <c r="BD496" i="18" s="1"/>
  <c r="BE496" i="18" s="1"/>
  <c r="BF496" i="18" s="1"/>
  <c r="BG496" i="18" s="1"/>
  <c r="BH496" i="18" s="1"/>
  <c r="BI496" i="18" s="1"/>
  <c r="CM48" i="7942"/>
  <c r="CL81" i="7942"/>
  <c r="M288" i="18"/>
  <c r="L296" i="18"/>
  <c r="S484" i="18"/>
  <c r="AU69" i="7942"/>
  <c r="AT102" i="7942"/>
  <c r="T430" i="18"/>
  <c r="U430" i="18" s="1"/>
  <c r="V430" i="18" s="1"/>
  <c r="W430" i="18" s="1"/>
  <c r="X430" i="18" s="1"/>
  <c r="N641" i="18"/>
  <c r="P690" i="18"/>
  <c r="CX52" i="7942"/>
  <c r="CW85" i="7942"/>
  <c r="AU51" i="7942"/>
  <c r="AT84" i="7942"/>
  <c r="M628" i="18"/>
  <c r="N628" i="18" s="1"/>
  <c r="P742" i="18"/>
  <c r="O416" i="18"/>
  <c r="Q587" i="18"/>
  <c r="R587" i="18" s="1"/>
  <c r="S587" i="18" s="1"/>
  <c r="DH87" i="7942"/>
  <c r="DI54" i="7942"/>
  <c r="CM72" i="7942"/>
  <c r="CL105" i="7942"/>
  <c r="BQ67" i="7942"/>
  <c r="BP100" i="7942"/>
  <c r="Q755" i="18"/>
  <c r="N68" i="7942"/>
  <c r="M101" i="7942"/>
  <c r="L84" i="7946"/>
  <c r="M59" i="7946"/>
  <c r="M84" i="7946" s="1"/>
  <c r="BP81" i="7942"/>
  <c r="BQ48" i="7942"/>
  <c r="AU65" i="7942"/>
  <c r="AT98" i="7942"/>
  <c r="P561" i="18"/>
  <c r="Q561" i="18" s="1"/>
  <c r="R561" i="18" s="1"/>
  <c r="S561" i="18" s="1"/>
  <c r="O301" i="18"/>
  <c r="P408" i="18"/>
  <c r="Q408" i="18" s="1"/>
  <c r="L43" i="18"/>
  <c r="N252" i="18"/>
  <c r="O252" i="18" s="1"/>
  <c r="P252" i="18" s="1"/>
  <c r="CW101" i="7942"/>
  <c r="CX68" i="7942"/>
  <c r="AT94" i="7942"/>
  <c r="AU61" i="7942"/>
  <c r="Y65" i="7942"/>
  <c r="X98" i="7942"/>
  <c r="P523" i="18"/>
  <c r="AI104" i="7942"/>
  <c r="AJ71" i="7942"/>
  <c r="AB508" i="18"/>
  <c r="AC508" i="18" s="1"/>
  <c r="AD508" i="18" s="1"/>
  <c r="AE508" i="18" s="1"/>
  <c r="AF508" i="18" s="1"/>
  <c r="CM66" i="7942"/>
  <c r="CL99" i="7942"/>
  <c r="L322" i="18"/>
  <c r="O850" i="18"/>
  <c r="N772" i="18"/>
  <c r="AT99" i="7942"/>
  <c r="AU66" i="7942"/>
  <c r="AI91" i="7942"/>
  <c r="AJ58" i="7942"/>
  <c r="CL85" i="7942"/>
  <c r="CM52" i="7942"/>
  <c r="P821" i="18"/>
  <c r="DI69" i="7942"/>
  <c r="DH102" i="7942"/>
  <c r="Q393" i="18"/>
  <c r="R393" i="18" s="1"/>
  <c r="S393" i="18" s="1"/>
  <c r="O836" i="18"/>
  <c r="AA511" i="18"/>
  <c r="S666" i="18"/>
  <c r="M92" i="7942"/>
  <c r="N59" i="7942"/>
  <c r="R809" i="18"/>
  <c r="L687" i="18"/>
  <c r="Q575" i="18"/>
  <c r="N849" i="18"/>
  <c r="AB497" i="18"/>
  <c r="BF56" i="7942"/>
  <c r="BE89" i="7942"/>
  <c r="BE101" i="7942"/>
  <c r="BF68" i="7942"/>
  <c r="O730" i="18"/>
  <c r="Y61" i="7942"/>
  <c r="X94" i="7942"/>
  <c r="O117" i="18"/>
  <c r="P134" i="18"/>
  <c r="Q134" i="18" s="1"/>
  <c r="R134" i="18" s="1"/>
  <c r="S134" i="18" s="1"/>
  <c r="S432" i="18"/>
  <c r="I56" i="7946"/>
  <c r="I40" i="7946"/>
  <c r="X82" i="7942"/>
  <c r="Y49" i="7942"/>
  <c r="W107" i="7942"/>
  <c r="DH85" i="7942"/>
  <c r="DI52" i="7942"/>
  <c r="CW88" i="7942"/>
  <c r="CX55" i="7942"/>
  <c r="L71" i="18"/>
  <c r="DH88" i="7942"/>
  <c r="DI55" i="7942"/>
  <c r="M90" i="7942"/>
  <c r="N57" i="7942"/>
  <c r="V678" i="18"/>
  <c r="BQ71" i="7942"/>
  <c r="BP104" i="7942"/>
  <c r="DH94" i="7942"/>
  <c r="DI61" i="7942"/>
  <c r="N367" i="18"/>
  <c r="CA90" i="7942"/>
  <c r="CB57" i="7942"/>
  <c r="DH98" i="7942"/>
  <c r="DI65" i="7942"/>
  <c r="CX69" i="7942"/>
  <c r="CW102" i="7942"/>
  <c r="CB62" i="7942"/>
  <c r="CA95" i="7942"/>
  <c r="CB61" i="7942"/>
  <c r="CA94" i="7942"/>
  <c r="P602" i="18"/>
  <c r="N744" i="18"/>
  <c r="O744" i="18" s="1"/>
  <c r="BQ72" i="7942"/>
  <c r="BP105" i="7942"/>
  <c r="N665" i="18"/>
  <c r="O822" i="18"/>
  <c r="P822" i="18" s="1"/>
  <c r="CA89" i="7942"/>
  <c r="CB56" i="7942"/>
  <c r="M97" i="7942"/>
  <c r="N64" i="7942"/>
  <c r="O810" i="18"/>
  <c r="AS107" i="7942"/>
  <c r="M103" i="7942"/>
  <c r="N70" i="7942"/>
  <c r="CA81" i="7942"/>
  <c r="CB48" i="7942"/>
  <c r="O563" i="18"/>
  <c r="CM53" i="7942"/>
  <c r="CL86" i="7942"/>
  <c r="S248" i="18"/>
  <c r="T248" i="18" s="1"/>
  <c r="L56" i="18"/>
  <c r="I71" i="7946"/>
  <c r="Q147" i="18"/>
  <c r="R147" i="18" s="1"/>
  <c r="S147" i="18" s="1"/>
  <c r="Q185" i="18"/>
  <c r="R185" i="18" s="1"/>
  <c r="AO109" i="18"/>
  <c r="AP109" i="18" s="1"/>
  <c r="AQ109" i="18" s="1"/>
  <c r="L49" i="18"/>
  <c r="L50" i="18"/>
  <c r="CL84" i="7942"/>
  <c r="CM51" i="7942"/>
  <c r="CB51" i="7942"/>
  <c r="CA84" i="7942"/>
  <c r="CB60" i="7942"/>
  <c r="CA93" i="7942"/>
  <c r="CL92" i="7942"/>
  <c r="CM59" i="7942"/>
  <c r="BF48" i="7942"/>
  <c r="BE81" i="7942"/>
  <c r="O183" i="18"/>
  <c r="P183" i="18" s="1"/>
  <c r="BF63" i="7942"/>
  <c r="BE96" i="7942"/>
  <c r="Q574" i="18"/>
  <c r="R574" i="18" s="1"/>
  <c r="P328" i="18"/>
  <c r="Q328" i="18" s="1"/>
  <c r="R328" i="18" s="1"/>
  <c r="X261" i="18"/>
  <c r="Y261" i="18" s="1"/>
  <c r="Z261" i="18" s="1"/>
  <c r="AA261" i="18" s="1"/>
  <c r="AB261" i="18" s="1"/>
  <c r="AC261" i="18" s="1"/>
  <c r="AD261" i="18" s="1"/>
  <c r="AE261" i="18" s="1"/>
  <c r="AF261" i="18" s="1"/>
  <c r="AG261" i="18" s="1"/>
  <c r="AH261" i="18" s="1"/>
  <c r="AI261" i="18" s="1"/>
  <c r="AJ261" i="18" s="1"/>
  <c r="AK261" i="18" s="1"/>
  <c r="AL261" i="18" s="1"/>
  <c r="AM261" i="18" s="1"/>
  <c r="AN261" i="18" s="1"/>
  <c r="AO261" i="18" s="1"/>
  <c r="AP261" i="18" s="1"/>
  <c r="AQ261" i="18" s="1"/>
  <c r="AR261" i="18" s="1"/>
  <c r="AS261" i="18" s="1"/>
  <c r="AT261" i="18" s="1"/>
  <c r="AU261" i="18" s="1"/>
  <c r="AV261" i="18" s="1"/>
  <c r="AW261" i="18" s="1"/>
  <c r="AX261" i="18" s="1"/>
  <c r="AY261" i="18" s="1"/>
  <c r="AZ261" i="18" s="1"/>
  <c r="BA261" i="18" s="1"/>
  <c r="BB261" i="18" s="1"/>
  <c r="BC261" i="18" s="1"/>
  <c r="BD261" i="18" s="1"/>
  <c r="BE261" i="18" s="1"/>
  <c r="BF261" i="18" s="1"/>
  <c r="BG261" i="18" s="1"/>
  <c r="BH261" i="18" s="1"/>
  <c r="BI261" i="18" s="1"/>
  <c r="Y72" i="7942"/>
  <c r="X105" i="7942"/>
  <c r="L570" i="18"/>
  <c r="Q703" i="18"/>
  <c r="R703" i="18" s="1"/>
  <c r="AJ69" i="7942"/>
  <c r="AI102" i="7942"/>
  <c r="CA96" i="7942"/>
  <c r="CB63" i="7942"/>
  <c r="DH103" i="7942"/>
  <c r="DI70" i="7942"/>
  <c r="Q160" i="18"/>
  <c r="R160" i="18" s="1"/>
  <c r="CA98" i="7942"/>
  <c r="CB65" i="7942"/>
  <c r="CB53" i="7942"/>
  <c r="CA86" i="7942"/>
  <c r="Q405" i="18"/>
  <c r="O118" i="18"/>
  <c r="P118" i="18" s="1"/>
  <c r="Q118" i="18" s="1"/>
  <c r="BQ62" i="7942"/>
  <c r="BP95" i="7942"/>
  <c r="N121" i="18"/>
  <c r="K7" i="7942"/>
  <c r="K44" i="7943" s="1"/>
  <c r="K17" i="7946" s="1"/>
  <c r="AJ66" i="7942"/>
  <c r="AI99" i="7942"/>
  <c r="R433" i="18"/>
  <c r="S433" i="18" s="1"/>
  <c r="T433" i="18" s="1"/>
  <c r="U433" i="18" s="1"/>
  <c r="V433" i="18" s="1"/>
  <c r="W433" i="18" s="1"/>
  <c r="X433" i="18" s="1"/>
  <c r="Y433" i="18" s="1"/>
  <c r="Z433" i="18" s="1"/>
  <c r="AA433" i="18" s="1"/>
  <c r="AB433" i="18" s="1"/>
  <c r="AC433" i="18" s="1"/>
  <c r="AD433" i="18" s="1"/>
  <c r="AE433" i="18" s="1"/>
  <c r="AF433" i="18" s="1"/>
  <c r="AG433" i="18" s="1"/>
  <c r="AH433" i="18" s="1"/>
  <c r="AI433" i="18" s="1"/>
  <c r="AJ433" i="18" s="1"/>
  <c r="AK433" i="18" s="1"/>
  <c r="AL433" i="18" s="1"/>
  <c r="AM433" i="18" s="1"/>
  <c r="AN433" i="18" s="1"/>
  <c r="AO433" i="18" s="1"/>
  <c r="AP433" i="18" s="1"/>
  <c r="AQ433" i="18" s="1"/>
  <c r="AR433" i="18" s="1"/>
  <c r="AS433" i="18" s="1"/>
  <c r="AT433" i="18" s="1"/>
  <c r="AU433" i="18" s="1"/>
  <c r="AV433" i="18" s="1"/>
  <c r="AW433" i="18" s="1"/>
  <c r="AX433" i="18" s="1"/>
  <c r="AY433" i="18" s="1"/>
  <c r="AZ433" i="18" s="1"/>
  <c r="BA433" i="18" s="1"/>
  <c r="BB433" i="18" s="1"/>
  <c r="BC433" i="18" s="1"/>
  <c r="BD433" i="18" s="1"/>
  <c r="BE433" i="18" s="1"/>
  <c r="BF433" i="18" s="1"/>
  <c r="BG433" i="18" s="1"/>
  <c r="BH433" i="18" s="1"/>
  <c r="BI433" i="18" s="1"/>
  <c r="M89" i="7942"/>
  <c r="N56" i="7942"/>
  <c r="M100" i="7942"/>
  <c r="N67" i="7942"/>
  <c r="CM57" i="7942"/>
  <c r="CL90" i="7942"/>
  <c r="AJ59" i="7942"/>
  <c r="AI92" i="7942"/>
  <c r="N327" i="18"/>
  <c r="O394" i="18"/>
  <c r="P394" i="18" s="1"/>
  <c r="CA106" i="7942"/>
  <c r="CB73" i="7942"/>
  <c r="BZ107" i="7942"/>
  <c r="BP94" i="7942"/>
  <c r="BQ61" i="7942"/>
  <c r="Y70" i="7942"/>
  <c r="X103" i="7942"/>
  <c r="Y48" i="7942"/>
  <c r="X81" i="7942"/>
  <c r="CX58" i="7942"/>
  <c r="CW91" i="7942"/>
  <c r="O14" i="2"/>
  <c r="N10" i="24"/>
  <c r="N15" i="2"/>
  <c r="N19" i="2" s="1"/>
  <c r="N20" i="2"/>
  <c r="N21" i="2" s="1"/>
  <c r="N22" i="2"/>
  <c r="N18" i="2"/>
  <c r="CW105" i="7942"/>
  <c r="CX72" i="7942"/>
  <c r="AT104" i="7942"/>
  <c r="AU71" i="7942"/>
  <c r="P364" i="18"/>
  <c r="I10" i="7946"/>
  <c r="Q249" i="18"/>
  <c r="R249" i="18" s="1"/>
  <c r="S249" i="18" s="1"/>
  <c r="T249" i="18" s="1"/>
  <c r="U249" i="18" s="1"/>
  <c r="V249" i="18" s="1"/>
  <c r="W249" i="18" s="1"/>
  <c r="X249" i="18" s="1"/>
  <c r="Y249" i="18" s="1"/>
  <c r="Z249" i="18" s="1"/>
  <c r="AA249" i="18" s="1"/>
  <c r="AB249" i="18" s="1"/>
  <c r="AC249" i="18" s="1"/>
  <c r="AD249" i="18" s="1"/>
  <c r="AE249" i="18" s="1"/>
  <c r="AF249" i="18" s="1"/>
  <c r="AG249" i="18" s="1"/>
  <c r="AH249" i="18" s="1"/>
  <c r="AI249" i="18" s="1"/>
  <c r="AJ249" i="18" s="1"/>
  <c r="AK249" i="18" s="1"/>
  <c r="AL249" i="18" s="1"/>
  <c r="AM249" i="18" s="1"/>
  <c r="AN249" i="18" s="1"/>
  <c r="AO249" i="18" s="1"/>
  <c r="AP249" i="18" s="1"/>
  <c r="AQ249" i="18" s="1"/>
  <c r="AR249" i="18" s="1"/>
  <c r="AS249" i="18" s="1"/>
  <c r="AT249" i="18" s="1"/>
  <c r="AU249" i="18" s="1"/>
  <c r="AV249" i="18" s="1"/>
  <c r="AW249" i="18" s="1"/>
  <c r="AX249" i="18" s="1"/>
  <c r="AY249" i="18" s="1"/>
  <c r="AZ249" i="18" s="1"/>
  <c r="BA249" i="18" s="1"/>
  <c r="BB249" i="18" s="1"/>
  <c r="BC249" i="18" s="1"/>
  <c r="BD249" i="18" s="1"/>
  <c r="BE249" i="18" s="1"/>
  <c r="BF249" i="18" s="1"/>
  <c r="BG249" i="18" s="1"/>
  <c r="BH249" i="18" s="1"/>
  <c r="BI249" i="18" s="1"/>
  <c r="CA92" i="7942"/>
  <c r="CB59" i="7942"/>
  <c r="N187" i="18"/>
  <c r="O174" i="18"/>
  <c r="N161" i="18"/>
  <c r="L54" i="18"/>
  <c r="Q326" i="18"/>
  <c r="R326" i="18" s="1"/>
  <c r="S326" i="18" s="1"/>
  <c r="T326" i="18" s="1"/>
  <c r="CB71" i="7942"/>
  <c r="CA104" i="7942"/>
  <c r="AI87" i="7942"/>
  <c r="AJ54" i="7942"/>
  <c r="K85" i="7946"/>
  <c r="S537" i="18"/>
  <c r="I95" i="7946"/>
  <c r="I96" i="7946" s="1"/>
  <c r="CB58" i="7942"/>
  <c r="CA91" i="7942"/>
  <c r="AI95" i="7942"/>
  <c r="AJ62" i="7942"/>
  <c r="J44" i="7946"/>
  <c r="J63" i="7946"/>
  <c r="J88" i="7946" s="1"/>
  <c r="J89" i="7946" s="1"/>
  <c r="BQ66" i="7942"/>
  <c r="BP99" i="7942"/>
  <c r="L221" i="18"/>
  <c r="N260" i="18"/>
  <c r="O260" i="18" s="1"/>
  <c r="M195" i="18"/>
  <c r="M205" i="18" s="1"/>
  <c r="CM54" i="7942"/>
  <c r="CL87" i="7942"/>
  <c r="AO81" i="18"/>
  <c r="AP81" i="18" s="1"/>
  <c r="CM64" i="7942"/>
  <c r="CL97" i="7942"/>
  <c r="Q342" i="18"/>
  <c r="N73" i="7942"/>
  <c r="M106" i="7942"/>
  <c r="H67" i="7946"/>
  <c r="L452" i="18"/>
  <c r="L7" i="24"/>
  <c r="K49" i="24"/>
  <c r="K41" i="24"/>
  <c r="K32" i="24"/>
  <c r="K40" i="24"/>
  <c r="BC105" i="18"/>
  <c r="BD105" i="18" s="1"/>
  <c r="BE105" i="18" s="1"/>
  <c r="BF105" i="18" s="1"/>
  <c r="BG105" i="18" s="1"/>
  <c r="BH105" i="18" s="1"/>
  <c r="BI105" i="18" s="1"/>
  <c r="Q625" i="18"/>
  <c r="K66" i="24"/>
  <c r="K70" i="24"/>
  <c r="K133" i="24" s="1"/>
  <c r="CB72" i="7942"/>
  <c r="CA105" i="7942"/>
  <c r="S613" i="18"/>
  <c r="O170" i="18"/>
  <c r="Q691" i="18"/>
  <c r="P264" i="18"/>
  <c r="N50" i="7942"/>
  <c r="M83" i="7942"/>
  <c r="X83" i="7942"/>
  <c r="Y50" i="7942"/>
  <c r="CM49" i="7942"/>
  <c r="CL82" i="7942"/>
  <c r="X92" i="7942"/>
  <c r="Y59" i="7942"/>
  <c r="V250" i="18"/>
  <c r="W250" i="18" s="1"/>
  <c r="X250" i="18" s="1"/>
  <c r="Y250" i="18" s="1"/>
  <c r="Z250" i="18" s="1"/>
  <c r="AA250" i="18" s="1"/>
  <c r="AB250" i="18" s="1"/>
  <c r="AC250" i="18" s="1"/>
  <c r="AD250" i="18" s="1"/>
  <c r="AE250" i="18" s="1"/>
  <c r="AF250" i="18" s="1"/>
  <c r="AG250" i="18" s="1"/>
  <c r="AH250" i="18" s="1"/>
  <c r="AI250" i="18" s="1"/>
  <c r="AJ250" i="18" s="1"/>
  <c r="AK250" i="18" s="1"/>
  <c r="AL250" i="18" s="1"/>
  <c r="AM250" i="18" s="1"/>
  <c r="AN250" i="18" s="1"/>
  <c r="AO250" i="18" s="1"/>
  <c r="AP250" i="18" s="1"/>
  <c r="AQ250" i="18" s="1"/>
  <c r="AR250" i="18" s="1"/>
  <c r="AS250" i="18" s="1"/>
  <c r="AT250" i="18" s="1"/>
  <c r="AU250" i="18" s="1"/>
  <c r="AV250" i="18" s="1"/>
  <c r="AW250" i="18" s="1"/>
  <c r="AX250" i="18" s="1"/>
  <c r="AY250" i="18" s="1"/>
  <c r="AZ250" i="18" s="1"/>
  <c r="BA250" i="18" s="1"/>
  <c r="BB250" i="18" s="1"/>
  <c r="BC250" i="18" s="1"/>
  <c r="BD250" i="18" s="1"/>
  <c r="BE250" i="18" s="1"/>
  <c r="BF250" i="18" s="1"/>
  <c r="BG250" i="18" s="1"/>
  <c r="BH250" i="18" s="1"/>
  <c r="BI250" i="18" s="1"/>
  <c r="J13" i="24"/>
  <c r="K12" i="24"/>
  <c r="L62" i="18"/>
  <c r="L52" i="18"/>
  <c r="L65" i="18"/>
  <c r="L66" i="18"/>
  <c r="L59" i="18"/>
  <c r="L67" i="18"/>
  <c r="L68" i="18"/>
  <c r="CM68" i="7942"/>
  <c r="CL101" i="7942"/>
  <c r="O808" i="18"/>
  <c r="X89" i="7942"/>
  <c r="Y56" i="7942"/>
  <c r="S198" i="18"/>
  <c r="T198" i="18" s="1"/>
  <c r="U198" i="18" s="1"/>
  <c r="CM73" i="7942"/>
  <c r="CL106" i="7942"/>
  <c r="BF52" i="7942"/>
  <c r="BE85" i="7942"/>
  <c r="J70" i="24"/>
  <c r="J133" i="24" s="1"/>
  <c r="J66" i="24"/>
  <c r="L107" i="7942"/>
  <c r="H92" i="7946"/>
  <c r="M84" i="7942"/>
  <c r="N51" i="7942"/>
  <c r="BF55" i="7942"/>
  <c r="BE88" i="7942"/>
  <c r="CL83" i="7942"/>
  <c r="CM50" i="7942"/>
  <c r="Q612" i="18"/>
  <c r="R612" i="18" s="1"/>
  <c r="S612" i="18" s="1"/>
  <c r="DI62" i="7942"/>
  <c r="DH95" i="7942"/>
  <c r="DI50" i="7942"/>
  <c r="DH83" i="7942"/>
  <c r="AI84" i="7942"/>
  <c r="AJ51" i="7942"/>
  <c r="CM60" i="7942"/>
  <c r="CL93" i="7942"/>
  <c r="P377" i="18"/>
  <c r="Q377" i="18" s="1"/>
  <c r="CX54" i="7942"/>
  <c r="CW87" i="7942"/>
  <c r="O238" i="18"/>
  <c r="P238" i="18" s="1"/>
  <c r="M442" i="18"/>
  <c r="AT90" i="7942"/>
  <c r="AU57" i="7942"/>
  <c r="N60" i="7942"/>
  <c r="M93" i="7942"/>
  <c r="Q289" i="18"/>
  <c r="M94" i="7942"/>
  <c r="N61" i="7942"/>
  <c r="BE90" i="7942"/>
  <c r="BF57" i="7942"/>
  <c r="CM58" i="7942"/>
  <c r="CL91" i="7942"/>
  <c r="N240" i="18"/>
  <c r="O240" i="18" s="1"/>
  <c r="M27" i="18"/>
  <c r="AB84" i="18"/>
  <c r="AF84" i="18"/>
  <c r="N409" i="18"/>
  <c r="N383" i="18"/>
  <c r="N344" i="18"/>
  <c r="O344" i="18" s="1"/>
  <c r="AA84" i="18"/>
  <c r="M22" i="18"/>
  <c r="M30" i="18"/>
  <c r="N279" i="18"/>
  <c r="O279" i="18" s="1"/>
  <c r="M37" i="18"/>
  <c r="M14" i="18"/>
  <c r="M34" i="18"/>
  <c r="N253" i="18"/>
  <c r="O253" i="18" s="1"/>
  <c r="P253" i="18" s="1"/>
  <c r="R84" i="18"/>
  <c r="V84" i="18"/>
  <c r="N149" i="18"/>
  <c r="AM84" i="18"/>
  <c r="M26" i="18"/>
  <c r="AO84" i="18"/>
  <c r="N188" i="18"/>
  <c r="O188" i="18" s="1"/>
  <c r="AG84" i="18"/>
  <c r="N357" i="18"/>
  <c r="O357" i="18" s="1"/>
  <c r="AI84" i="18"/>
  <c r="N448" i="18"/>
  <c r="O448" i="18" s="1"/>
  <c r="AK84" i="18"/>
  <c r="Y84" i="18"/>
  <c r="M24" i="18"/>
  <c r="M20" i="18"/>
  <c r="N175" i="18"/>
  <c r="O175" i="18" s="1"/>
  <c r="M13" i="18"/>
  <c r="M21" i="18"/>
  <c r="M36" i="18"/>
  <c r="N370" i="18"/>
  <c r="O370" i="18" s="1"/>
  <c r="P370" i="18" s="1"/>
  <c r="Q370" i="18" s="1"/>
  <c r="Q84" i="18"/>
  <c r="N435" i="18"/>
  <c r="M35" i="18"/>
  <c r="N162" i="18"/>
  <c r="O162" i="18" s="1"/>
  <c r="Z84" i="18"/>
  <c r="M29" i="18"/>
  <c r="N123" i="18"/>
  <c r="O123" i="18" s="1"/>
  <c r="P84" i="18"/>
  <c r="U84" i="18"/>
  <c r="AH84" i="18"/>
  <c r="M32" i="18"/>
  <c r="M28" i="18"/>
  <c r="N84" i="18"/>
  <c r="N396" i="18"/>
  <c r="S84" i="18"/>
  <c r="M25" i="18"/>
  <c r="N136" i="18"/>
  <c r="M31" i="18"/>
  <c r="N318" i="18"/>
  <c r="O318" i="18" s="1"/>
  <c r="P318" i="18" s="1"/>
  <c r="M23" i="18"/>
  <c r="AN84" i="18"/>
  <c r="AE84" i="18"/>
  <c r="M11" i="18"/>
  <c r="M18" i="18"/>
  <c r="AL84" i="18"/>
  <c r="W84" i="18"/>
  <c r="O84" i="18"/>
  <c r="N305" i="18"/>
  <c r="O305" i="18" s="1"/>
  <c r="P305" i="18" s="1"/>
  <c r="AC84" i="18"/>
  <c r="M33" i="18"/>
  <c r="N201" i="18"/>
  <c r="O201" i="18" s="1"/>
  <c r="P201" i="18" s="1"/>
  <c r="N422" i="18"/>
  <c r="O422" i="18" s="1"/>
  <c r="P422" i="18" s="1"/>
  <c r="N214" i="18"/>
  <c r="AD84" i="18"/>
  <c r="M39" i="18"/>
  <c r="M40" i="18"/>
  <c r="N461" i="18"/>
  <c r="M16" i="18"/>
  <c r="AJ84" i="18"/>
  <c r="M17" i="18"/>
  <c r="N266" i="18"/>
  <c r="O266" i="18" s="1"/>
  <c r="N227" i="18"/>
  <c r="O227" i="18" s="1"/>
  <c r="M15" i="18"/>
  <c r="X84" i="18"/>
  <c r="N292" i="18"/>
  <c r="M19" i="18"/>
  <c r="T84" i="18"/>
  <c r="N331" i="18"/>
  <c r="O331" i="18" s="1"/>
  <c r="P331" i="18" s="1"/>
  <c r="M12" i="18"/>
  <c r="M38" i="18"/>
  <c r="AI110" i="18"/>
  <c r="AJ110" i="18"/>
  <c r="P110" i="18"/>
  <c r="Z97" i="18"/>
  <c r="AL97" i="18"/>
  <c r="AD97" i="18"/>
  <c r="AB97" i="18"/>
  <c r="AE97" i="18"/>
  <c r="AM97" i="18"/>
  <c r="AL110" i="18"/>
  <c r="W110" i="18"/>
  <c r="AB110" i="18"/>
  <c r="AK97" i="18"/>
  <c r="AH97" i="18"/>
  <c r="V110" i="18"/>
  <c r="AO110" i="18"/>
  <c r="Q110" i="18"/>
  <c r="Z110" i="18"/>
  <c r="W97" i="18"/>
  <c r="AG97" i="18"/>
  <c r="R110" i="18"/>
  <c r="AA110" i="18"/>
  <c r="Y110" i="18"/>
  <c r="AH110" i="18"/>
  <c r="Y97" i="18"/>
  <c r="AA97" i="18"/>
  <c r="AE110" i="18"/>
  <c r="T110" i="18"/>
  <c r="X110" i="18"/>
  <c r="AN110" i="18"/>
  <c r="N110" i="18"/>
  <c r="N114" i="18" s="1"/>
  <c r="Q97" i="18"/>
  <c r="AN97" i="18"/>
  <c r="U97" i="18"/>
  <c r="S110" i="18"/>
  <c r="U110" i="18"/>
  <c r="S97" i="18"/>
  <c r="O97" i="18"/>
  <c r="N97" i="18"/>
  <c r="AC110" i="18"/>
  <c r="O110" i="18"/>
  <c r="AC97" i="18"/>
  <c r="V97" i="18"/>
  <c r="AI97" i="18"/>
  <c r="AG110" i="18"/>
  <c r="P97" i="18"/>
  <c r="AJ97" i="18"/>
  <c r="AF97" i="18"/>
  <c r="X97" i="18"/>
  <c r="AO97" i="18"/>
  <c r="AD110" i="18"/>
  <c r="AK110" i="18"/>
  <c r="T97" i="18"/>
  <c r="R97" i="18"/>
  <c r="AM110" i="18"/>
  <c r="AF110" i="18"/>
  <c r="O395" i="18"/>
  <c r="P395" i="18" s="1"/>
  <c r="N447" i="18"/>
  <c r="O447" i="18" s="1"/>
  <c r="P330" i="18"/>
  <c r="L57" i="18"/>
  <c r="AO83" i="18"/>
  <c r="L55" i="18"/>
  <c r="O354" i="18"/>
  <c r="N71" i="7942"/>
  <c r="M104" i="7942"/>
  <c r="M88" i="7942"/>
  <c r="N55" i="7942"/>
  <c r="DI59" i="7942"/>
  <c r="DH92" i="7942"/>
  <c r="P599" i="18"/>
  <c r="Q599" i="18" s="1"/>
  <c r="R599" i="18" s="1"/>
  <c r="S847" i="18"/>
  <c r="T847" i="18" s="1"/>
  <c r="U847" i="18" s="1"/>
  <c r="V847" i="18" s="1"/>
  <c r="W847" i="18" s="1"/>
  <c r="X847" i="18" s="1"/>
  <c r="Y847" i="18" s="1"/>
  <c r="Z847" i="18" s="1"/>
  <c r="AA847" i="18" s="1"/>
  <c r="AB847" i="18" s="1"/>
  <c r="AC847" i="18" s="1"/>
  <c r="AD847" i="18" s="1"/>
  <c r="AE847" i="18" s="1"/>
  <c r="AF847" i="18" s="1"/>
  <c r="AG847" i="18" s="1"/>
  <c r="AH847" i="18" s="1"/>
  <c r="AI847" i="18" s="1"/>
  <c r="AJ847" i="18" s="1"/>
  <c r="AK847" i="18" s="1"/>
  <c r="AL847" i="18" s="1"/>
  <c r="AM847" i="18" s="1"/>
  <c r="AN847" i="18" s="1"/>
  <c r="AO847" i="18" s="1"/>
  <c r="AP847" i="18" s="1"/>
  <c r="AQ847" i="18" s="1"/>
  <c r="AR847" i="18" s="1"/>
  <c r="AS847" i="18" s="1"/>
  <c r="AT847" i="18" s="1"/>
  <c r="AU847" i="18" s="1"/>
  <c r="AV847" i="18" s="1"/>
  <c r="AW847" i="18" s="1"/>
  <c r="AX847" i="18" s="1"/>
  <c r="AY847" i="18" s="1"/>
  <c r="AZ847" i="18" s="1"/>
  <c r="BA847" i="18" s="1"/>
  <c r="BB847" i="18" s="1"/>
  <c r="BC847" i="18" s="1"/>
  <c r="BD847" i="18" s="1"/>
  <c r="BE847" i="18" s="1"/>
  <c r="BF847" i="18" s="1"/>
  <c r="BG847" i="18" s="1"/>
  <c r="BH847" i="18" s="1"/>
  <c r="BI847" i="18" s="1"/>
  <c r="AT82" i="7942"/>
  <c r="AU49" i="7942"/>
  <c r="BF73" i="7942"/>
  <c r="BE106" i="7942"/>
  <c r="CX64" i="7942"/>
  <c r="CW97" i="7942"/>
  <c r="M96" i="7942"/>
  <c r="N63" i="7942"/>
  <c r="M91" i="7942"/>
  <c r="N58" i="7942"/>
  <c r="CW103" i="7942"/>
  <c r="CX70" i="7942"/>
  <c r="BE91" i="7942"/>
  <c r="BF58" i="7942"/>
  <c r="Q132" i="18"/>
  <c r="R132" i="18" s="1"/>
  <c r="BF67" i="7942"/>
  <c r="BE100" i="7942"/>
  <c r="CM70" i="7942"/>
  <c r="CL103" i="7942"/>
  <c r="T302" i="18"/>
  <c r="U302" i="18" s="1"/>
  <c r="J70" i="7946"/>
  <c r="CW93" i="7942"/>
  <c r="CX60" i="7942"/>
  <c r="M81" i="7942"/>
  <c r="N48" i="7942"/>
  <c r="AT88" i="7942"/>
  <c r="AU55" i="7942"/>
  <c r="AO106" i="18"/>
  <c r="AP106" i="18" s="1"/>
  <c r="AQ106" i="18" s="1"/>
  <c r="AR106" i="18" s="1"/>
  <c r="AS106" i="18" s="1"/>
  <c r="AT106" i="18" s="1"/>
  <c r="AU106" i="18" s="1"/>
  <c r="AV106" i="18" s="1"/>
  <c r="AW106" i="18" s="1"/>
  <c r="AX106" i="18" s="1"/>
  <c r="AY106" i="18" s="1"/>
  <c r="AZ106" i="18" s="1"/>
  <c r="BA106" i="18" s="1"/>
  <c r="BB106" i="18" s="1"/>
  <c r="BC106" i="18" s="1"/>
  <c r="BD106" i="18" s="1"/>
  <c r="BE106" i="18" s="1"/>
  <c r="BF106" i="18" s="1"/>
  <c r="BG106" i="18" s="1"/>
  <c r="BH106" i="18" s="1"/>
  <c r="BI106" i="18" s="1"/>
  <c r="Y68" i="7942"/>
  <c r="X101" i="7942"/>
  <c r="Q795" i="18"/>
  <c r="R795" i="18" s="1"/>
  <c r="S795" i="18" s="1"/>
  <c r="BQ54" i="7942"/>
  <c r="BP87" i="7942"/>
  <c r="CW84" i="7942"/>
  <c r="CX51" i="7942"/>
  <c r="CL96" i="7942"/>
  <c r="CM63" i="7942"/>
  <c r="M86" i="7942"/>
  <c r="N53" i="7942"/>
  <c r="X91" i="7942"/>
  <c r="Y58" i="7942"/>
  <c r="N368" i="18"/>
  <c r="O368" i="18" s="1"/>
  <c r="Q208" i="18"/>
  <c r="I64" i="7946"/>
  <c r="BF49" i="7942"/>
  <c r="BE82" i="7942"/>
  <c r="P667" i="18"/>
  <c r="DH100" i="7942"/>
  <c r="DI67" i="7942"/>
  <c r="N277" i="18"/>
  <c r="M99" i="7942"/>
  <c r="N66" i="7942"/>
  <c r="AI81" i="7942"/>
  <c r="AJ48" i="7942"/>
  <c r="N420" i="18"/>
  <c r="P407" i="18"/>
  <c r="Q407" i="18" s="1"/>
  <c r="L804" i="18"/>
  <c r="CM56" i="7942"/>
  <c r="CL89" i="7942"/>
  <c r="L400" i="18"/>
  <c r="M390" i="18"/>
  <c r="BO107" i="7942"/>
  <c r="J56" i="7946"/>
  <c r="J81" i="7946" s="1"/>
  <c r="J40" i="7946"/>
  <c r="X87" i="7942"/>
  <c r="Y54" i="7942"/>
  <c r="BP101" i="7942"/>
  <c r="BQ68" i="7942"/>
  <c r="O286" i="18"/>
  <c r="BP89" i="7942"/>
  <c r="BQ56" i="7942"/>
  <c r="L51" i="18"/>
  <c r="L53" i="18"/>
  <c r="P304" i="18"/>
  <c r="Q304" i="18" s="1"/>
  <c r="L61" i="18"/>
  <c r="N443" i="18"/>
  <c r="Y71" i="7942"/>
  <c r="X104" i="7942"/>
  <c r="DI56" i="7942"/>
  <c r="DH89" i="7942"/>
  <c r="X96" i="7942"/>
  <c r="Y63" i="7942"/>
  <c r="N781" i="18"/>
  <c r="M313" i="18"/>
  <c r="N313" i="18" s="1"/>
  <c r="P247" i="18"/>
  <c r="M236" i="18"/>
  <c r="I8" i="7945"/>
  <c r="H151" i="24"/>
  <c r="I151" i="24" s="1"/>
  <c r="CA83" i="7942"/>
  <c r="CB50" i="7942"/>
  <c r="O419" i="18"/>
  <c r="M153" i="18"/>
  <c r="AT85" i="7942"/>
  <c r="AU52" i="7942"/>
  <c r="K231" i="18"/>
  <c r="CW82" i="7942"/>
  <c r="CX49" i="7942"/>
  <c r="AT91" i="7942"/>
  <c r="AU58" i="7942"/>
  <c r="AI82" i="7942"/>
  <c r="AJ49" i="7942"/>
  <c r="DH93" i="7942"/>
  <c r="DI60" i="7942"/>
  <c r="Y69" i="7942"/>
  <c r="X102" i="7942"/>
  <c r="K25" i="7946"/>
  <c r="K48" i="7946" s="1"/>
  <c r="O197" i="18"/>
  <c r="P197" i="18" s="1"/>
  <c r="M335" i="18"/>
  <c r="AJ68" i="7942"/>
  <c r="AI101" i="7942"/>
  <c r="L583" i="18"/>
  <c r="M192" i="18"/>
  <c r="I48" i="7946"/>
  <c r="CX67" i="7942"/>
  <c r="CW100" i="7942"/>
  <c r="AH107" i="7942"/>
  <c r="BP90" i="7942"/>
  <c r="BQ57" i="7942"/>
  <c r="Y73" i="7942"/>
  <c r="X106" i="7942"/>
  <c r="N290" i="18"/>
  <c r="O212" i="18"/>
  <c r="DI57" i="7942"/>
  <c r="DH90" i="7942"/>
  <c r="O664" i="18"/>
  <c r="P664" i="18" s="1"/>
  <c r="BP91" i="7942"/>
  <c r="BQ58" i="7942"/>
  <c r="R199" i="18"/>
  <c r="N173" i="18"/>
  <c r="Q145" i="18"/>
  <c r="P807" i="18"/>
  <c r="X99" i="7942"/>
  <c r="Y66" i="7942"/>
  <c r="L47" i="18"/>
  <c r="L60" i="18"/>
  <c r="L64" i="18"/>
  <c r="L46" i="18"/>
  <c r="L45" i="18"/>
  <c r="L70" i="18"/>
  <c r="L60" i="7946"/>
  <c r="M60" i="7946" s="1"/>
  <c r="M82" i="7942"/>
  <c r="N49" i="7942"/>
  <c r="DH84" i="7942"/>
  <c r="DI51" i="7942"/>
  <c r="BE83" i="7942"/>
  <c r="BF50" i="7942"/>
  <c r="DG107" i="7942"/>
  <c r="AJ64" i="7942"/>
  <c r="AI97" i="7942"/>
  <c r="P222" i="18"/>
  <c r="Q222" i="18" s="1"/>
  <c r="BP93" i="7942"/>
  <c r="BQ60" i="7942"/>
  <c r="M270" i="18"/>
  <c r="M859" i="18"/>
  <c r="O640" i="18"/>
  <c r="P640" i="18" s="1"/>
  <c r="K205" i="18"/>
  <c r="X93" i="7942"/>
  <c r="Y60" i="7942"/>
  <c r="BF54" i="7942"/>
  <c r="BE87" i="7942"/>
  <c r="AT95" i="7942"/>
  <c r="AU62" i="7942"/>
  <c r="P677" i="18"/>
  <c r="Q677" i="18" s="1"/>
  <c r="M573" i="18"/>
  <c r="N225" i="18"/>
  <c r="O225" i="18" s="1"/>
  <c r="P225" i="18" s="1"/>
  <c r="Q225" i="18" s="1"/>
  <c r="R225" i="18" s="1"/>
  <c r="S225" i="18" s="1"/>
  <c r="T225" i="18" s="1"/>
  <c r="U225" i="18" s="1"/>
  <c r="M85" i="7942"/>
  <c r="N52" i="7942"/>
  <c r="AJ61" i="7942"/>
  <c r="AI94" i="7942"/>
  <c r="M431" i="18"/>
  <c r="L309" i="18"/>
  <c r="M299" i="18"/>
  <c r="O446" i="18"/>
  <c r="R458" i="18"/>
  <c r="S458" i="18" s="1"/>
  <c r="T458" i="18" s="1"/>
  <c r="U458" i="18" s="1"/>
  <c r="V458" i="18" s="1"/>
  <c r="W458" i="18" s="1"/>
  <c r="X458" i="18" s="1"/>
  <c r="Y458" i="18" s="1"/>
  <c r="Z458" i="18" s="1"/>
  <c r="AA458" i="18" s="1"/>
  <c r="AB458" i="18" s="1"/>
  <c r="AC458" i="18" s="1"/>
  <c r="CW96" i="7942"/>
  <c r="CX63" i="7942"/>
  <c r="BP98" i="7942"/>
  <c r="BQ65" i="7942"/>
  <c r="Q314" i="18"/>
  <c r="R314" i="18" s="1"/>
  <c r="N379" i="18"/>
  <c r="BE104" i="7942"/>
  <c r="BF71" i="7942"/>
  <c r="BE105" i="7942"/>
  <c r="BF72" i="7942"/>
  <c r="AO96" i="18"/>
  <c r="AP96" i="18" s="1"/>
  <c r="AQ96" i="18" s="1"/>
  <c r="Q434" i="18"/>
  <c r="P239" i="18"/>
  <c r="O278" i="18"/>
  <c r="L63" i="18"/>
  <c r="L44" i="18"/>
  <c r="L48" i="18"/>
  <c r="L69" i="18"/>
  <c r="Y62" i="7942"/>
  <c r="X95" i="7942"/>
  <c r="CB54" i="7942"/>
  <c r="CA87" i="7942"/>
  <c r="AI100" i="7942"/>
  <c r="AJ67" i="7942"/>
  <c r="CW106" i="7942"/>
  <c r="CX73" i="7942"/>
  <c r="AT92" i="7942"/>
  <c r="AU59" i="7942"/>
  <c r="DH81" i="7942"/>
  <c r="DI48" i="7942"/>
  <c r="CM62" i="7942"/>
  <c r="CL95" i="7942"/>
  <c r="L273" i="18"/>
  <c r="K283" i="18"/>
  <c r="BE95" i="7942"/>
  <c r="BF62" i="7942"/>
  <c r="P184" i="18"/>
  <c r="Q184" i="18" s="1"/>
  <c r="R184" i="18" s="1"/>
  <c r="AJ63" i="7942"/>
  <c r="AI96" i="7942"/>
  <c r="AJ73" i="7942"/>
  <c r="AI106" i="7942"/>
  <c r="N72" i="7942"/>
  <c r="M105" i="7942"/>
  <c r="AU50" i="7942"/>
  <c r="AT83" i="7942"/>
  <c r="DI63" i="7942"/>
  <c r="DH96" i="7942"/>
  <c r="W483" i="18"/>
  <c r="Q782" i="18"/>
  <c r="O353" i="18"/>
  <c r="DH106" i="7942"/>
  <c r="DI73" i="7942"/>
  <c r="AI105" i="7942"/>
  <c r="AJ72" i="7942"/>
  <c r="N303" i="18"/>
  <c r="O303" i="18" s="1"/>
  <c r="P303" i="18" s="1"/>
  <c r="CA97" i="7942"/>
  <c r="CB64" i="7942"/>
  <c r="O275" i="18"/>
  <c r="P275" i="18" s="1"/>
  <c r="Q275" i="18" s="1"/>
  <c r="L192" i="18"/>
  <c r="R329" i="18"/>
  <c r="O833" i="18"/>
  <c r="BF64" i="7942"/>
  <c r="BE97" i="7942"/>
  <c r="BP92" i="7942"/>
  <c r="BQ59" i="7942"/>
  <c r="M60" i="7943"/>
  <c r="L21" i="7945"/>
  <c r="L21" i="7946"/>
  <c r="CA102" i="7942"/>
  <c r="CB69" i="7942"/>
  <c r="AI85" i="7942"/>
  <c r="AJ52" i="7942"/>
  <c r="CW99" i="7942"/>
  <c r="CX66" i="7942"/>
  <c r="BD107" i="7942"/>
  <c r="N153" i="18"/>
  <c r="L869" i="18"/>
  <c r="CB68" i="7942"/>
  <c r="CA101" i="7942"/>
  <c r="DH97" i="7942"/>
  <c r="DI64" i="7942"/>
  <c r="AT100" i="7942"/>
  <c r="AU67" i="7942"/>
  <c r="O327" i="18"/>
  <c r="P327" i="18" s="1"/>
  <c r="CM65" i="7942"/>
  <c r="CL98" i="7942"/>
  <c r="AT93" i="7942"/>
  <c r="AU60" i="7942"/>
  <c r="X84" i="7942"/>
  <c r="Y51" i="7942"/>
  <c r="J24" i="7945"/>
  <c r="R651" i="18"/>
  <c r="O143" i="18"/>
  <c r="DH86" i="7942"/>
  <c r="DI53" i="7942"/>
  <c r="P325" i="18"/>
  <c r="O521" i="18"/>
  <c r="O315" i="18"/>
  <c r="O392" i="18"/>
  <c r="AO95" i="18"/>
  <c r="AP95" i="18" s="1"/>
  <c r="AQ95" i="18" s="1"/>
  <c r="K44" i="7946"/>
  <c r="K63" i="7946"/>
  <c r="S731" i="18" l="1"/>
  <c r="T731" i="18" s="1"/>
  <c r="U731" i="18" s="1"/>
  <c r="V731" i="18" s="1"/>
  <c r="L73" i="7946"/>
  <c r="L98" i="7946" s="1"/>
  <c r="Q576" i="18"/>
  <c r="M44" i="18"/>
  <c r="M413" i="18"/>
  <c r="L413" i="18"/>
  <c r="N403" i="18"/>
  <c r="O403" i="18" s="1"/>
  <c r="P403" i="18" s="1"/>
  <c r="AP159" i="18"/>
  <c r="AQ159" i="18" s="1"/>
  <c r="AR159" i="18" s="1"/>
  <c r="AS159" i="18" s="1"/>
  <c r="AT159" i="18" s="1"/>
  <c r="AU159" i="18" s="1"/>
  <c r="AV159" i="18" s="1"/>
  <c r="AW159" i="18" s="1"/>
  <c r="AX159" i="18" s="1"/>
  <c r="AY159" i="18" s="1"/>
  <c r="AZ159" i="18" s="1"/>
  <c r="BA159" i="18" s="1"/>
  <c r="BB159" i="18" s="1"/>
  <c r="P720" i="18"/>
  <c r="Q720" i="18" s="1"/>
  <c r="R720" i="18" s="1"/>
  <c r="J10" i="7946"/>
  <c r="J33" i="7946" s="1"/>
  <c r="J875" i="18"/>
  <c r="Q863" i="18"/>
  <c r="Q421" i="18"/>
  <c r="R421" i="18" s="1"/>
  <c r="U378" i="18"/>
  <c r="V378" i="18" s="1"/>
  <c r="W378" i="18" s="1"/>
  <c r="X378" i="18" s="1"/>
  <c r="Y378" i="18" s="1"/>
  <c r="Z378" i="18" s="1"/>
  <c r="AA378" i="18" s="1"/>
  <c r="AB378" i="18" s="1"/>
  <c r="AC378" i="18" s="1"/>
  <c r="AD378" i="18" s="1"/>
  <c r="AE378" i="18" s="1"/>
  <c r="AF378" i="18" s="1"/>
  <c r="AG378" i="18" s="1"/>
  <c r="AH378" i="18" s="1"/>
  <c r="AI378" i="18" s="1"/>
  <c r="AJ378" i="18" s="1"/>
  <c r="AK378" i="18" s="1"/>
  <c r="AL378" i="18" s="1"/>
  <c r="AM378" i="18" s="1"/>
  <c r="AN378" i="18" s="1"/>
  <c r="AO378" i="18" s="1"/>
  <c r="AP378" i="18" s="1"/>
  <c r="AQ378" i="18" s="1"/>
  <c r="AR378" i="18" s="1"/>
  <c r="AS378" i="18" s="1"/>
  <c r="AT378" i="18" s="1"/>
  <c r="AU378" i="18" s="1"/>
  <c r="AV378" i="18" s="1"/>
  <c r="AW378" i="18" s="1"/>
  <c r="AX378" i="18" s="1"/>
  <c r="AY378" i="18" s="1"/>
  <c r="AZ378" i="18" s="1"/>
  <c r="BA378" i="18" s="1"/>
  <c r="BB378" i="18" s="1"/>
  <c r="BC378" i="18" s="1"/>
  <c r="BD378" i="18" s="1"/>
  <c r="BE378" i="18" s="1"/>
  <c r="BF378" i="18" s="1"/>
  <c r="BG378" i="18" s="1"/>
  <c r="BH378" i="18" s="1"/>
  <c r="BI378" i="18" s="1"/>
  <c r="R122" i="18"/>
  <c r="R200" i="18"/>
  <c r="S200" i="18" s="1"/>
  <c r="S417" i="18"/>
  <c r="T417" i="18" s="1"/>
  <c r="U417" i="18" s="1"/>
  <c r="V417" i="18" s="1"/>
  <c r="W417" i="18" s="1"/>
  <c r="X417" i="18" s="1"/>
  <c r="Y417" i="18" s="1"/>
  <c r="Z417" i="18" s="1"/>
  <c r="AA417" i="18" s="1"/>
  <c r="AB417" i="18" s="1"/>
  <c r="AC417" i="18" s="1"/>
  <c r="AD417" i="18" s="1"/>
  <c r="AE417" i="18" s="1"/>
  <c r="AF417" i="18" s="1"/>
  <c r="AG417" i="18" s="1"/>
  <c r="AH417" i="18" s="1"/>
  <c r="AI417" i="18" s="1"/>
  <c r="AJ417" i="18" s="1"/>
  <c r="AK417" i="18" s="1"/>
  <c r="AL417" i="18" s="1"/>
  <c r="AM417" i="18" s="1"/>
  <c r="AN417" i="18" s="1"/>
  <c r="AO417" i="18" s="1"/>
  <c r="AP417" i="18" s="1"/>
  <c r="AQ417" i="18" s="1"/>
  <c r="AR417" i="18" s="1"/>
  <c r="AS417" i="18" s="1"/>
  <c r="AT417" i="18" s="1"/>
  <c r="AU417" i="18" s="1"/>
  <c r="AV417" i="18" s="1"/>
  <c r="AW417" i="18" s="1"/>
  <c r="AX417" i="18" s="1"/>
  <c r="AY417" i="18" s="1"/>
  <c r="AZ417" i="18" s="1"/>
  <c r="BA417" i="18" s="1"/>
  <c r="BB417" i="18" s="1"/>
  <c r="BC417" i="18" s="1"/>
  <c r="BD417" i="18" s="1"/>
  <c r="BE417" i="18" s="1"/>
  <c r="BF417" i="18" s="1"/>
  <c r="BG417" i="18" s="1"/>
  <c r="BH417" i="18" s="1"/>
  <c r="BI417" i="18" s="1"/>
  <c r="U326" i="18"/>
  <c r="V326" i="18" s="1"/>
  <c r="W326" i="18" s="1"/>
  <c r="X326" i="18" s="1"/>
  <c r="Y326" i="18" s="1"/>
  <c r="Z326" i="18" s="1"/>
  <c r="AA326" i="18" s="1"/>
  <c r="AB326" i="18" s="1"/>
  <c r="AC326" i="18" s="1"/>
  <c r="AD326" i="18" s="1"/>
  <c r="AE326" i="18" s="1"/>
  <c r="AF326" i="18" s="1"/>
  <c r="AG326" i="18" s="1"/>
  <c r="AH326" i="18" s="1"/>
  <c r="AI326" i="18" s="1"/>
  <c r="AJ326" i="18" s="1"/>
  <c r="AK326" i="18" s="1"/>
  <c r="AL326" i="18" s="1"/>
  <c r="AM326" i="18" s="1"/>
  <c r="AN326" i="18" s="1"/>
  <c r="AO326" i="18" s="1"/>
  <c r="AP326" i="18" s="1"/>
  <c r="AQ326" i="18" s="1"/>
  <c r="AR326" i="18" s="1"/>
  <c r="AS326" i="18" s="1"/>
  <c r="AT326" i="18" s="1"/>
  <c r="AU326" i="18" s="1"/>
  <c r="AV326" i="18" s="1"/>
  <c r="AW326" i="18" s="1"/>
  <c r="AX326" i="18" s="1"/>
  <c r="AY326" i="18" s="1"/>
  <c r="AZ326" i="18" s="1"/>
  <c r="BA326" i="18" s="1"/>
  <c r="BB326" i="18" s="1"/>
  <c r="BC326" i="18" s="1"/>
  <c r="BD326" i="18" s="1"/>
  <c r="BE326" i="18" s="1"/>
  <c r="BF326" i="18" s="1"/>
  <c r="BG326" i="18" s="1"/>
  <c r="BH326" i="18" s="1"/>
  <c r="BI326" i="18" s="1"/>
  <c r="M700" i="18"/>
  <c r="M804" i="18"/>
  <c r="N682" i="18"/>
  <c r="M843" i="18"/>
  <c r="S574" i="18"/>
  <c r="T574" i="18" s="1"/>
  <c r="U574" i="18" s="1"/>
  <c r="K24" i="7945"/>
  <c r="L24" i="7945" s="1"/>
  <c r="M24" i="7945" s="1"/>
  <c r="J151" i="24"/>
  <c r="R148" i="18"/>
  <c r="M130" i="18"/>
  <c r="L140" i="18"/>
  <c r="M791" i="18"/>
  <c r="I67" i="7946"/>
  <c r="J66" i="7946"/>
  <c r="M817" i="18"/>
  <c r="P135" i="18"/>
  <c r="Q135" i="18" s="1"/>
  <c r="R135" i="18" s="1"/>
  <c r="AE235" i="18"/>
  <c r="AF235" i="18" s="1"/>
  <c r="AG235" i="18" s="1"/>
  <c r="AH235" i="18" s="1"/>
  <c r="AI235" i="18" s="1"/>
  <c r="AJ235" i="18" s="1"/>
  <c r="AK235" i="18" s="1"/>
  <c r="AL235" i="18" s="1"/>
  <c r="AM235" i="18" s="1"/>
  <c r="AN235" i="18" s="1"/>
  <c r="AO235" i="18" s="1"/>
  <c r="AP235" i="18" s="1"/>
  <c r="AQ235" i="18" s="1"/>
  <c r="AR235" i="18" s="1"/>
  <c r="AS235" i="18" s="1"/>
  <c r="AT235" i="18" s="1"/>
  <c r="AU235" i="18" s="1"/>
  <c r="AV235" i="18" s="1"/>
  <c r="AW235" i="18" s="1"/>
  <c r="AX235" i="18" s="1"/>
  <c r="AY235" i="18" s="1"/>
  <c r="AZ235" i="18" s="1"/>
  <c r="BA235" i="18" s="1"/>
  <c r="BB235" i="18" s="1"/>
  <c r="BC235" i="18" s="1"/>
  <c r="BD235" i="18" s="1"/>
  <c r="BE235" i="18" s="1"/>
  <c r="BF235" i="18" s="1"/>
  <c r="BG235" i="18" s="1"/>
  <c r="BH235" i="18" s="1"/>
  <c r="BI235" i="18" s="1"/>
  <c r="S171" i="18"/>
  <c r="T171" i="18" s="1"/>
  <c r="U171" i="18" s="1"/>
  <c r="N192" i="18"/>
  <c r="M53" i="18"/>
  <c r="O525" i="18"/>
  <c r="I92" i="7946"/>
  <c r="U743" i="18"/>
  <c r="P316" i="18"/>
  <c r="Q316" i="18" s="1"/>
  <c r="R316" i="18" s="1"/>
  <c r="L44" i="7943"/>
  <c r="M609" i="18"/>
  <c r="M46" i="18"/>
  <c r="M71" i="18"/>
  <c r="M54" i="18"/>
  <c r="M59" i="18"/>
  <c r="M69" i="18"/>
  <c r="M70" i="18"/>
  <c r="M63" i="18"/>
  <c r="M66" i="18"/>
  <c r="M51" i="18"/>
  <c r="U248" i="18"/>
  <c r="N760" i="18"/>
  <c r="O760" i="18" s="1"/>
  <c r="N838" i="18"/>
  <c r="O838" i="18" s="1"/>
  <c r="AR82" i="18"/>
  <c r="M43" i="18"/>
  <c r="M62" i="18"/>
  <c r="M55" i="18"/>
  <c r="M65" i="18"/>
  <c r="M674" i="18"/>
  <c r="Q524" i="18"/>
  <c r="R524" i="18" s="1"/>
  <c r="S186" i="18"/>
  <c r="M45" i="18"/>
  <c r="M48" i="18"/>
  <c r="R370" i="18"/>
  <c r="S370" i="18" s="1"/>
  <c r="M68" i="18"/>
  <c r="R224" i="18"/>
  <c r="S224" i="18" s="1"/>
  <c r="T224" i="18" s="1"/>
  <c r="M57" i="18"/>
  <c r="M49" i="18"/>
  <c r="M56" i="18"/>
  <c r="M50" i="18"/>
  <c r="M67" i="18"/>
  <c r="N127" i="18"/>
  <c r="P680" i="18"/>
  <c r="Q680" i="18" s="1"/>
  <c r="R680" i="18" s="1"/>
  <c r="S680" i="18" s="1"/>
  <c r="M492" i="18"/>
  <c r="P860" i="18"/>
  <c r="N195" i="18"/>
  <c r="N205" i="18" s="1"/>
  <c r="M47" i="18"/>
  <c r="M64" i="18"/>
  <c r="M60" i="18"/>
  <c r="M52" i="18"/>
  <c r="M61" i="18"/>
  <c r="M58" i="18"/>
  <c r="R459" i="18"/>
  <c r="S459" i="18" s="1"/>
  <c r="T459" i="18" s="1"/>
  <c r="U459" i="18" s="1"/>
  <c r="V459" i="18" s="1"/>
  <c r="W459" i="18" s="1"/>
  <c r="X459" i="18" s="1"/>
  <c r="Y459" i="18" s="1"/>
  <c r="Z459" i="18" s="1"/>
  <c r="AA459" i="18" s="1"/>
  <c r="AB459" i="18" s="1"/>
  <c r="AC459" i="18" s="1"/>
  <c r="AD459" i="18" s="1"/>
  <c r="AE459" i="18" s="1"/>
  <c r="AF459" i="18" s="1"/>
  <c r="AG459" i="18" s="1"/>
  <c r="AH459" i="18" s="1"/>
  <c r="AI459" i="18" s="1"/>
  <c r="AJ459" i="18" s="1"/>
  <c r="AK459" i="18" s="1"/>
  <c r="AL459" i="18" s="1"/>
  <c r="AM459" i="18" s="1"/>
  <c r="AN459" i="18" s="1"/>
  <c r="AO459" i="18" s="1"/>
  <c r="AP459" i="18" s="1"/>
  <c r="AQ459" i="18" s="1"/>
  <c r="AR459" i="18" s="1"/>
  <c r="AS459" i="18" s="1"/>
  <c r="AT459" i="18" s="1"/>
  <c r="AU459" i="18" s="1"/>
  <c r="AV459" i="18" s="1"/>
  <c r="AW459" i="18" s="1"/>
  <c r="AX459" i="18" s="1"/>
  <c r="AY459" i="18" s="1"/>
  <c r="AZ459" i="18" s="1"/>
  <c r="BA459" i="18" s="1"/>
  <c r="BB459" i="18" s="1"/>
  <c r="BC459" i="18" s="1"/>
  <c r="BD459" i="18" s="1"/>
  <c r="BE459" i="18" s="1"/>
  <c r="BF459" i="18" s="1"/>
  <c r="BG459" i="18" s="1"/>
  <c r="BH459" i="18" s="1"/>
  <c r="BI459" i="18" s="1"/>
  <c r="N78" i="7943"/>
  <c r="N73" i="7946" s="1"/>
  <c r="N98" i="7946" s="1"/>
  <c r="AQ104" i="18"/>
  <c r="AR104" i="18" s="1"/>
  <c r="AS104" i="18" s="1"/>
  <c r="P317" i="18"/>
  <c r="Q317" i="18" s="1"/>
  <c r="R317" i="18" s="1"/>
  <c r="S317" i="18" s="1"/>
  <c r="T317" i="18" s="1"/>
  <c r="U317" i="18" s="1"/>
  <c r="V317" i="18" s="1"/>
  <c r="W317" i="18" s="1"/>
  <c r="X317" i="18" s="1"/>
  <c r="Y317" i="18" s="1"/>
  <c r="Z317" i="18" s="1"/>
  <c r="AA317" i="18" s="1"/>
  <c r="AB317" i="18" s="1"/>
  <c r="AC317" i="18" s="1"/>
  <c r="AD317" i="18" s="1"/>
  <c r="AE317" i="18" s="1"/>
  <c r="AF317" i="18" s="1"/>
  <c r="AG317" i="18" s="1"/>
  <c r="AH317" i="18" s="1"/>
  <c r="AI317" i="18" s="1"/>
  <c r="AJ317" i="18" s="1"/>
  <c r="AK317" i="18" s="1"/>
  <c r="AL317" i="18" s="1"/>
  <c r="AM317" i="18" s="1"/>
  <c r="AN317" i="18" s="1"/>
  <c r="AO317" i="18" s="1"/>
  <c r="AP317" i="18" s="1"/>
  <c r="AD509" i="18"/>
  <c r="AE509" i="18" s="1"/>
  <c r="AF509" i="18" s="1"/>
  <c r="K99" i="7946"/>
  <c r="L99" i="7946" s="1"/>
  <c r="O628" i="18"/>
  <c r="P628" i="18" s="1"/>
  <c r="Q628" i="18" s="1"/>
  <c r="M648" i="18"/>
  <c r="T186" i="18"/>
  <c r="U186" i="18" s="1"/>
  <c r="V186" i="18" s="1"/>
  <c r="W186" i="18" s="1"/>
  <c r="X186" i="18" s="1"/>
  <c r="Y186" i="18" s="1"/>
  <c r="Z186" i="18" s="1"/>
  <c r="AA186" i="18" s="1"/>
  <c r="AB186" i="18" s="1"/>
  <c r="AC186" i="18" s="1"/>
  <c r="AD186" i="18" s="1"/>
  <c r="AE186" i="18" s="1"/>
  <c r="AF186" i="18" s="1"/>
  <c r="AG186" i="18" s="1"/>
  <c r="AH186" i="18" s="1"/>
  <c r="AI186" i="18" s="1"/>
  <c r="AJ186" i="18" s="1"/>
  <c r="AK186" i="18" s="1"/>
  <c r="AL186" i="18" s="1"/>
  <c r="AM186" i="18" s="1"/>
  <c r="AN186" i="18" s="1"/>
  <c r="AO186" i="18" s="1"/>
  <c r="AP186" i="18" s="1"/>
  <c r="AQ186" i="18" s="1"/>
  <c r="AR186" i="18" s="1"/>
  <c r="AS186" i="18" s="1"/>
  <c r="AT186" i="18" s="1"/>
  <c r="AU186" i="18" s="1"/>
  <c r="AV186" i="18" s="1"/>
  <c r="AW186" i="18" s="1"/>
  <c r="AX186" i="18" s="1"/>
  <c r="AY186" i="18" s="1"/>
  <c r="AZ186" i="18" s="1"/>
  <c r="BA186" i="18" s="1"/>
  <c r="BB186" i="18" s="1"/>
  <c r="BC186" i="18" s="1"/>
  <c r="BD186" i="18" s="1"/>
  <c r="BE186" i="18" s="1"/>
  <c r="BF186" i="18" s="1"/>
  <c r="BG186" i="18" s="1"/>
  <c r="BH186" i="18" s="1"/>
  <c r="BI186" i="18" s="1"/>
  <c r="T795" i="18"/>
  <c r="U795" i="18" s="1"/>
  <c r="V795" i="18" s="1"/>
  <c r="W795" i="18" s="1"/>
  <c r="X795" i="18" s="1"/>
  <c r="Y795" i="18" s="1"/>
  <c r="O409" i="18"/>
  <c r="P409" i="18" s="1"/>
  <c r="S196" i="18"/>
  <c r="T196" i="18" s="1"/>
  <c r="U196" i="18" s="1"/>
  <c r="V196" i="18" s="1"/>
  <c r="W196" i="18" s="1"/>
  <c r="X196" i="18" s="1"/>
  <c r="Y196" i="18" s="1"/>
  <c r="Z196" i="18" s="1"/>
  <c r="AA196" i="18" s="1"/>
  <c r="AB196" i="18" s="1"/>
  <c r="AC196" i="18" s="1"/>
  <c r="AD196" i="18" s="1"/>
  <c r="AE196" i="18" s="1"/>
  <c r="AF196" i="18" s="1"/>
  <c r="AG196" i="18" s="1"/>
  <c r="AH196" i="18" s="1"/>
  <c r="AI196" i="18" s="1"/>
  <c r="AJ196" i="18" s="1"/>
  <c r="AK196" i="18" s="1"/>
  <c r="AL196" i="18" s="1"/>
  <c r="AM196" i="18" s="1"/>
  <c r="AN196" i="18" s="1"/>
  <c r="AO196" i="18" s="1"/>
  <c r="AP196" i="18" s="1"/>
  <c r="AQ196" i="18" s="1"/>
  <c r="AR196" i="18" s="1"/>
  <c r="AS196" i="18" s="1"/>
  <c r="AT196" i="18" s="1"/>
  <c r="AU196" i="18" s="1"/>
  <c r="AV196" i="18" s="1"/>
  <c r="AW196" i="18" s="1"/>
  <c r="AX196" i="18" s="1"/>
  <c r="AY196" i="18" s="1"/>
  <c r="AZ196" i="18" s="1"/>
  <c r="BA196" i="18" s="1"/>
  <c r="BB196" i="18" s="1"/>
  <c r="BC196" i="18" s="1"/>
  <c r="BD196" i="18" s="1"/>
  <c r="BE196" i="18" s="1"/>
  <c r="BF196" i="18" s="1"/>
  <c r="BG196" i="18" s="1"/>
  <c r="BH196" i="18" s="1"/>
  <c r="BI196" i="18" s="1"/>
  <c r="R366" i="18"/>
  <c r="S366" i="18" s="1"/>
  <c r="O835" i="18"/>
  <c r="P835" i="18" s="1"/>
  <c r="Q615" i="18"/>
  <c r="R615" i="18" s="1"/>
  <c r="P862" i="18"/>
  <c r="Q862" i="18" s="1"/>
  <c r="R862" i="18" s="1"/>
  <c r="S862" i="18" s="1"/>
  <c r="Q252" i="18"/>
  <c r="R252" i="18" s="1"/>
  <c r="S252" i="18" s="1"/>
  <c r="R626" i="18"/>
  <c r="R144" i="18"/>
  <c r="S144" i="18" s="1"/>
  <c r="R340" i="18"/>
  <c r="S340" i="18" s="1"/>
  <c r="T340" i="18" s="1"/>
  <c r="U340" i="18" s="1"/>
  <c r="V340" i="18" s="1"/>
  <c r="K66" i="7946"/>
  <c r="L66" i="7946" s="1"/>
  <c r="L91" i="7946" s="1"/>
  <c r="S132" i="18"/>
  <c r="T132" i="18" s="1"/>
  <c r="R356" i="18"/>
  <c r="S356" i="18" s="1"/>
  <c r="M570" i="18"/>
  <c r="Q394" i="18"/>
  <c r="R394" i="18" s="1"/>
  <c r="M752" i="18"/>
  <c r="O747" i="18"/>
  <c r="P747" i="18" s="1"/>
  <c r="O812" i="18"/>
  <c r="P812" i="18" s="1"/>
  <c r="O794" i="18"/>
  <c r="P794" i="18" s="1"/>
  <c r="Q794" i="18" s="1"/>
  <c r="O119" i="18"/>
  <c r="P123" i="18"/>
  <c r="Q123" i="18" s="1"/>
  <c r="R123" i="18" s="1"/>
  <c r="P175" i="18"/>
  <c r="P266" i="18"/>
  <c r="Q266" i="18" s="1"/>
  <c r="R745" i="18"/>
  <c r="S745" i="18" s="1"/>
  <c r="T745" i="18" s="1"/>
  <c r="Q253" i="18"/>
  <c r="R253" i="18" s="1"/>
  <c r="S253" i="18" s="1"/>
  <c r="T253" i="18" s="1"/>
  <c r="S185" i="18"/>
  <c r="T185" i="18" s="1"/>
  <c r="L7" i="7942"/>
  <c r="N60" i="7946"/>
  <c r="O60" i="7946" s="1"/>
  <c r="P60" i="7946" s="1"/>
  <c r="AP84" i="18"/>
  <c r="AQ84" i="18" s="1"/>
  <c r="AR84" i="18" s="1"/>
  <c r="AP97" i="18"/>
  <c r="AQ97" i="18" s="1"/>
  <c r="AR97" i="18" s="1"/>
  <c r="AS97" i="18" s="1"/>
  <c r="AT97" i="18" s="1"/>
  <c r="AU97" i="18" s="1"/>
  <c r="AV97" i="18" s="1"/>
  <c r="AW97" i="18" s="1"/>
  <c r="AX97" i="18" s="1"/>
  <c r="AY97" i="18" s="1"/>
  <c r="AZ97" i="18" s="1"/>
  <c r="BA97" i="18" s="1"/>
  <c r="BB97" i="18" s="1"/>
  <c r="BC97" i="18" s="1"/>
  <c r="BD97" i="18" s="1"/>
  <c r="BE97" i="18" s="1"/>
  <c r="BF97" i="18" s="1"/>
  <c r="BG97" i="18" s="1"/>
  <c r="BH97" i="18" s="1"/>
  <c r="BI97" i="18" s="1"/>
  <c r="P188" i="18"/>
  <c r="O136" i="18"/>
  <c r="P136" i="18" s="1"/>
  <c r="Q136" i="18" s="1"/>
  <c r="P838" i="18"/>
  <c r="Q838" i="18" s="1"/>
  <c r="R210" i="18"/>
  <c r="S210" i="18" s="1"/>
  <c r="T210" i="18" s="1"/>
  <c r="L465" i="18"/>
  <c r="M455" i="18"/>
  <c r="Q305" i="18"/>
  <c r="O734" i="18"/>
  <c r="P734" i="18" s="1"/>
  <c r="O213" i="18"/>
  <c r="P213" i="18" s="1"/>
  <c r="Q213" i="18" s="1"/>
  <c r="R213" i="18" s="1"/>
  <c r="Q716" i="18"/>
  <c r="R716" i="18" s="1"/>
  <c r="S365" i="18"/>
  <c r="T365" i="18" s="1"/>
  <c r="U365" i="18" s="1"/>
  <c r="V365" i="18" s="1"/>
  <c r="P265" i="18"/>
  <c r="Q265" i="18" s="1"/>
  <c r="R265" i="18" s="1"/>
  <c r="N485" i="18"/>
  <c r="O485" i="18" s="1"/>
  <c r="Q201" i="18"/>
  <c r="R201" i="18" s="1"/>
  <c r="T587" i="18"/>
  <c r="U587" i="18" s="1"/>
  <c r="V587" i="18" s="1"/>
  <c r="W587" i="18" s="1"/>
  <c r="X587" i="18" s="1"/>
  <c r="Y587" i="18" s="1"/>
  <c r="Z587" i="18" s="1"/>
  <c r="AA587" i="18" s="1"/>
  <c r="AB587" i="18" s="1"/>
  <c r="AC587" i="18" s="1"/>
  <c r="AD587" i="18" s="1"/>
  <c r="AE587" i="18" s="1"/>
  <c r="AF587" i="18" s="1"/>
  <c r="AG587" i="18" s="1"/>
  <c r="AH587" i="18" s="1"/>
  <c r="AI587" i="18" s="1"/>
  <c r="AJ587" i="18" s="1"/>
  <c r="AK587" i="18" s="1"/>
  <c r="AL587" i="18" s="1"/>
  <c r="AM587" i="18" s="1"/>
  <c r="AN587" i="18" s="1"/>
  <c r="AO587" i="18" s="1"/>
  <c r="AP587" i="18" s="1"/>
  <c r="AQ587" i="18" s="1"/>
  <c r="AR587" i="18" s="1"/>
  <c r="AS587" i="18" s="1"/>
  <c r="AT587" i="18" s="1"/>
  <c r="AU587" i="18" s="1"/>
  <c r="AV587" i="18" s="1"/>
  <c r="AW587" i="18" s="1"/>
  <c r="AX587" i="18" s="1"/>
  <c r="AY587" i="18" s="1"/>
  <c r="AZ587" i="18" s="1"/>
  <c r="BA587" i="18" s="1"/>
  <c r="BB587" i="18" s="1"/>
  <c r="BC587" i="18" s="1"/>
  <c r="BD587" i="18" s="1"/>
  <c r="BE587" i="18" s="1"/>
  <c r="BF587" i="18" s="1"/>
  <c r="BG587" i="18" s="1"/>
  <c r="BH587" i="18" s="1"/>
  <c r="BI587" i="18" s="1"/>
  <c r="O773" i="18"/>
  <c r="P773" i="18" s="1"/>
  <c r="O630" i="18"/>
  <c r="P630" i="18" s="1"/>
  <c r="O226" i="18"/>
  <c r="P226" i="18" s="1"/>
  <c r="R652" i="18"/>
  <c r="S652" i="18" s="1"/>
  <c r="T652" i="18" s="1"/>
  <c r="O824" i="18"/>
  <c r="P824" i="18" s="1"/>
  <c r="P653" i="18"/>
  <c r="Q653" i="18" s="1"/>
  <c r="R653" i="18" s="1"/>
  <c r="O617" i="18"/>
  <c r="P617" i="18" s="1"/>
  <c r="AD158" i="18"/>
  <c r="R251" i="18"/>
  <c r="S251" i="18" s="1"/>
  <c r="T251" i="18" s="1"/>
  <c r="U251" i="18" s="1"/>
  <c r="V251" i="18" s="1"/>
  <c r="W251" i="18" s="1"/>
  <c r="X251" i="18" s="1"/>
  <c r="Y251" i="18" s="1"/>
  <c r="Z251" i="18" s="1"/>
  <c r="AA251" i="18" s="1"/>
  <c r="AB251" i="18" s="1"/>
  <c r="AC251" i="18" s="1"/>
  <c r="AD251" i="18" s="1"/>
  <c r="AE251" i="18" s="1"/>
  <c r="AF251" i="18" s="1"/>
  <c r="AG251" i="18" s="1"/>
  <c r="AH251" i="18" s="1"/>
  <c r="AI251" i="18" s="1"/>
  <c r="AJ251" i="18" s="1"/>
  <c r="AK251" i="18" s="1"/>
  <c r="AL251" i="18" s="1"/>
  <c r="AM251" i="18" s="1"/>
  <c r="AN251" i="18" s="1"/>
  <c r="AO251" i="18" s="1"/>
  <c r="AP251" i="18" s="1"/>
  <c r="AQ251" i="18" s="1"/>
  <c r="AR251" i="18" s="1"/>
  <c r="AS251" i="18" s="1"/>
  <c r="AT251" i="18" s="1"/>
  <c r="AU251" i="18" s="1"/>
  <c r="AV251" i="18" s="1"/>
  <c r="AW251" i="18" s="1"/>
  <c r="AX251" i="18" s="1"/>
  <c r="AY251" i="18" s="1"/>
  <c r="AZ251" i="18" s="1"/>
  <c r="BA251" i="18" s="1"/>
  <c r="BB251" i="18" s="1"/>
  <c r="BC251" i="18" s="1"/>
  <c r="BD251" i="18" s="1"/>
  <c r="BE251" i="18" s="1"/>
  <c r="BF251" i="18" s="1"/>
  <c r="BG251" i="18" s="1"/>
  <c r="BH251" i="18" s="1"/>
  <c r="BI251" i="18" s="1"/>
  <c r="T131" i="18"/>
  <c r="U131" i="18" s="1"/>
  <c r="V131" i="18" s="1"/>
  <c r="T445" i="18"/>
  <c r="U445" i="18" s="1"/>
  <c r="V445" i="18" s="1"/>
  <c r="W445" i="18" s="1"/>
  <c r="X445" i="18" s="1"/>
  <c r="Y445" i="18" s="1"/>
  <c r="Z445" i="18" s="1"/>
  <c r="AA445" i="18" s="1"/>
  <c r="AB445" i="18" s="1"/>
  <c r="AC445" i="18" s="1"/>
  <c r="AD445" i="18" s="1"/>
  <c r="AE445" i="18" s="1"/>
  <c r="AF445" i="18" s="1"/>
  <c r="AG445" i="18" s="1"/>
  <c r="AH445" i="18" s="1"/>
  <c r="AI445" i="18" s="1"/>
  <c r="AJ445" i="18" s="1"/>
  <c r="AK445" i="18" s="1"/>
  <c r="AL445" i="18" s="1"/>
  <c r="AM445" i="18" s="1"/>
  <c r="AN445" i="18" s="1"/>
  <c r="AO445" i="18" s="1"/>
  <c r="AP445" i="18" s="1"/>
  <c r="AQ445" i="18" s="1"/>
  <c r="AR445" i="18" s="1"/>
  <c r="AS445" i="18" s="1"/>
  <c r="AT445" i="18" s="1"/>
  <c r="AU445" i="18" s="1"/>
  <c r="AV445" i="18" s="1"/>
  <c r="AW445" i="18" s="1"/>
  <c r="AX445" i="18" s="1"/>
  <c r="AY445" i="18" s="1"/>
  <c r="AZ445" i="18" s="1"/>
  <c r="BA445" i="18" s="1"/>
  <c r="BB445" i="18" s="1"/>
  <c r="BC445" i="18" s="1"/>
  <c r="BD445" i="18" s="1"/>
  <c r="BE445" i="18" s="1"/>
  <c r="BF445" i="18" s="1"/>
  <c r="BG445" i="18" s="1"/>
  <c r="BH445" i="18" s="1"/>
  <c r="BI445" i="18" s="1"/>
  <c r="N457" i="18"/>
  <c r="O457" i="18" s="1"/>
  <c r="T200" i="18"/>
  <c r="U200" i="18" s="1"/>
  <c r="V200" i="18" s="1"/>
  <c r="W200" i="18" s="1"/>
  <c r="X200" i="18" s="1"/>
  <c r="Y200" i="18" s="1"/>
  <c r="Z200" i="18" s="1"/>
  <c r="AA200" i="18" s="1"/>
  <c r="AB200" i="18" s="1"/>
  <c r="AC200" i="18" s="1"/>
  <c r="AD200" i="18" s="1"/>
  <c r="AE200" i="18" s="1"/>
  <c r="AF200" i="18" s="1"/>
  <c r="AG200" i="18" s="1"/>
  <c r="AH200" i="18" s="1"/>
  <c r="AI200" i="18" s="1"/>
  <c r="AJ200" i="18" s="1"/>
  <c r="AK200" i="18" s="1"/>
  <c r="AL200" i="18" s="1"/>
  <c r="AM200" i="18" s="1"/>
  <c r="AN200" i="18" s="1"/>
  <c r="AO200" i="18" s="1"/>
  <c r="AP200" i="18" s="1"/>
  <c r="AQ200" i="18" s="1"/>
  <c r="AR200" i="18" s="1"/>
  <c r="AS200" i="18" s="1"/>
  <c r="AT200" i="18" s="1"/>
  <c r="AU200" i="18" s="1"/>
  <c r="AV200" i="18" s="1"/>
  <c r="AW200" i="18" s="1"/>
  <c r="AX200" i="18" s="1"/>
  <c r="AY200" i="18" s="1"/>
  <c r="AZ200" i="18" s="1"/>
  <c r="BA200" i="18" s="1"/>
  <c r="BB200" i="18" s="1"/>
  <c r="BC200" i="18" s="1"/>
  <c r="BD200" i="18" s="1"/>
  <c r="BE200" i="18" s="1"/>
  <c r="BF200" i="18" s="1"/>
  <c r="BG200" i="18" s="1"/>
  <c r="BH200" i="18" s="1"/>
  <c r="BI200" i="18" s="1"/>
  <c r="AB500" i="18"/>
  <c r="O643" i="18"/>
  <c r="P643" i="18" s="1"/>
  <c r="S638" i="18"/>
  <c r="T638" i="18" s="1"/>
  <c r="U638" i="18" s="1"/>
  <c r="Q704" i="18"/>
  <c r="R704" i="18" s="1"/>
  <c r="M169" i="18"/>
  <c r="L179" i="18"/>
  <c r="P352" i="18"/>
  <c r="Q352" i="18" s="1"/>
  <c r="AF510" i="18"/>
  <c r="AG510" i="18" s="1"/>
  <c r="AI287" i="18"/>
  <c r="AJ287" i="18" s="1"/>
  <c r="AK287" i="18" s="1"/>
  <c r="AL287" i="18" s="1"/>
  <c r="AM287" i="18" s="1"/>
  <c r="AN287" i="18" s="1"/>
  <c r="AO287" i="18" s="1"/>
  <c r="AP287" i="18" s="1"/>
  <c r="AQ287" i="18" s="1"/>
  <c r="AR287" i="18" s="1"/>
  <c r="AS287" i="18" s="1"/>
  <c r="AT287" i="18" s="1"/>
  <c r="AU287" i="18" s="1"/>
  <c r="AV287" i="18" s="1"/>
  <c r="AW287" i="18" s="1"/>
  <c r="AX287" i="18" s="1"/>
  <c r="AY287" i="18" s="1"/>
  <c r="AZ287" i="18" s="1"/>
  <c r="BA287" i="18" s="1"/>
  <c r="BB287" i="18" s="1"/>
  <c r="BC287" i="18" s="1"/>
  <c r="BD287" i="18" s="1"/>
  <c r="BE287" i="18" s="1"/>
  <c r="BF287" i="18" s="1"/>
  <c r="BG287" i="18" s="1"/>
  <c r="BH287" i="18" s="1"/>
  <c r="BI287" i="18" s="1"/>
  <c r="O367" i="18"/>
  <c r="P367" i="18" s="1"/>
  <c r="AP94" i="18"/>
  <c r="AQ94" i="18" s="1"/>
  <c r="Q482" i="18"/>
  <c r="Q784" i="18"/>
  <c r="R784" i="18" s="1"/>
  <c r="O369" i="18"/>
  <c r="P369" i="18" s="1"/>
  <c r="Q369" i="18" s="1"/>
  <c r="P227" i="18"/>
  <c r="Q227" i="18" s="1"/>
  <c r="R227" i="18" s="1"/>
  <c r="P357" i="18"/>
  <c r="Q357" i="18" s="1"/>
  <c r="P240" i="18"/>
  <c r="Q240" i="18" s="1"/>
  <c r="R240" i="18" s="1"/>
  <c r="AD458" i="18"/>
  <c r="AE458" i="18" s="1"/>
  <c r="AF458" i="18" s="1"/>
  <c r="AG458" i="18" s="1"/>
  <c r="AH458" i="18" s="1"/>
  <c r="AI458" i="18" s="1"/>
  <c r="AJ458" i="18" s="1"/>
  <c r="AK458" i="18" s="1"/>
  <c r="AL458" i="18" s="1"/>
  <c r="AM458" i="18" s="1"/>
  <c r="AN458" i="18" s="1"/>
  <c r="AO458" i="18" s="1"/>
  <c r="AP458" i="18" s="1"/>
  <c r="AQ458" i="18" s="1"/>
  <c r="AR458" i="18" s="1"/>
  <c r="AS458" i="18" s="1"/>
  <c r="AT458" i="18" s="1"/>
  <c r="AU458" i="18" s="1"/>
  <c r="AV458" i="18" s="1"/>
  <c r="AW458" i="18" s="1"/>
  <c r="AX458" i="18" s="1"/>
  <c r="AY458" i="18" s="1"/>
  <c r="AZ458" i="18" s="1"/>
  <c r="BA458" i="18" s="1"/>
  <c r="BB458" i="18" s="1"/>
  <c r="BC458" i="18" s="1"/>
  <c r="BD458" i="18" s="1"/>
  <c r="BE458" i="18" s="1"/>
  <c r="BF458" i="18" s="1"/>
  <c r="BG458" i="18" s="1"/>
  <c r="BH458" i="18" s="1"/>
  <c r="BI458" i="18" s="1"/>
  <c r="S328" i="18"/>
  <c r="T328" i="18" s="1"/>
  <c r="R377" i="18"/>
  <c r="P368" i="18"/>
  <c r="Q368" i="18" s="1"/>
  <c r="R368" i="18" s="1"/>
  <c r="S368" i="18" s="1"/>
  <c r="Q422" i="18"/>
  <c r="R422" i="18" s="1"/>
  <c r="S651" i="18"/>
  <c r="DJ51" i="7942"/>
  <c r="DI84" i="7942"/>
  <c r="CB102" i="7942"/>
  <c r="CC69" i="7942"/>
  <c r="AJ96" i="7942"/>
  <c r="AK63" i="7942"/>
  <c r="BG62" i="7942"/>
  <c r="BF95" i="7942"/>
  <c r="P212" i="18"/>
  <c r="DI97" i="7942"/>
  <c r="DJ64" i="7942"/>
  <c r="CC68" i="7942"/>
  <c r="CB101" i="7942"/>
  <c r="Q664" i="18"/>
  <c r="BG64" i="7942"/>
  <c r="BF97" i="7942"/>
  <c r="Q303" i="18"/>
  <c r="R303" i="18" s="1"/>
  <c r="J91" i="7946"/>
  <c r="J92" i="7946" s="1"/>
  <c r="CX96" i="7942"/>
  <c r="CY63" i="7942"/>
  <c r="BG54" i="7942"/>
  <c r="BF87" i="7942"/>
  <c r="Z60" i="7942"/>
  <c r="Y93" i="7942"/>
  <c r="O195" i="18"/>
  <c r="Q640" i="18"/>
  <c r="N390" i="18"/>
  <c r="O390" i="18" s="1"/>
  <c r="S314" i="18"/>
  <c r="T314" i="18" s="1"/>
  <c r="U314" i="18" s="1"/>
  <c r="V314" i="18" s="1"/>
  <c r="W314" i="18" s="1"/>
  <c r="X314" i="18" s="1"/>
  <c r="Y314" i="18" s="1"/>
  <c r="Z314" i="18" s="1"/>
  <c r="AA314" i="18" s="1"/>
  <c r="AB314" i="18" s="1"/>
  <c r="AC314" i="18" s="1"/>
  <c r="AD314" i="18" s="1"/>
  <c r="AE314" i="18" s="1"/>
  <c r="AF314" i="18" s="1"/>
  <c r="AG314" i="18" s="1"/>
  <c r="AH314" i="18" s="1"/>
  <c r="AI314" i="18" s="1"/>
  <c r="AJ314" i="18" s="1"/>
  <c r="AK314" i="18" s="1"/>
  <c r="AL314" i="18" s="1"/>
  <c r="AM314" i="18" s="1"/>
  <c r="AN314" i="18" s="1"/>
  <c r="AO314" i="18" s="1"/>
  <c r="AP314" i="18" s="1"/>
  <c r="AQ314" i="18" s="1"/>
  <c r="AR314" i="18" s="1"/>
  <c r="AS314" i="18" s="1"/>
  <c r="AT314" i="18" s="1"/>
  <c r="AU314" i="18" s="1"/>
  <c r="AV314" i="18" s="1"/>
  <c r="AW314" i="18" s="1"/>
  <c r="AX314" i="18" s="1"/>
  <c r="AY314" i="18" s="1"/>
  <c r="AZ314" i="18" s="1"/>
  <c r="BA314" i="18" s="1"/>
  <c r="BB314" i="18" s="1"/>
  <c r="BC314" i="18" s="1"/>
  <c r="BD314" i="18" s="1"/>
  <c r="BE314" i="18" s="1"/>
  <c r="BF314" i="18" s="1"/>
  <c r="BG314" i="18" s="1"/>
  <c r="BH314" i="18" s="1"/>
  <c r="BI314" i="18" s="1"/>
  <c r="AJ82" i="7942"/>
  <c r="AK49" i="7942"/>
  <c r="N236" i="18"/>
  <c r="M244" i="18"/>
  <c r="O313" i="18"/>
  <c r="P313" i="18" s="1"/>
  <c r="Q313" i="18" s="1"/>
  <c r="R313" i="18" s="1"/>
  <c r="R407" i="18"/>
  <c r="S407" i="18" s="1"/>
  <c r="AK48" i="7942"/>
  <c r="AJ81" i="7942"/>
  <c r="N91" i="7942"/>
  <c r="O58" i="7942"/>
  <c r="CY64" i="7942"/>
  <c r="CX97" i="7942"/>
  <c r="O55" i="7942"/>
  <c r="N88" i="7942"/>
  <c r="Q330" i="18"/>
  <c r="P344" i="18"/>
  <c r="Q344" i="18" s="1"/>
  <c r="R344" i="18" s="1"/>
  <c r="P448" i="18"/>
  <c r="P162" i="18"/>
  <c r="O435" i="18"/>
  <c r="P286" i="18"/>
  <c r="CY54" i="7942"/>
  <c r="CX87" i="7942"/>
  <c r="AK51" i="7942"/>
  <c r="AJ84" i="7942"/>
  <c r="CC72" i="7942"/>
  <c r="CB105" i="7942"/>
  <c r="CM87" i="7942"/>
  <c r="CN54" i="7942"/>
  <c r="N270" i="18"/>
  <c r="P260" i="18"/>
  <c r="AK62" i="7942"/>
  <c r="AJ95" i="7942"/>
  <c r="AK54" i="7942"/>
  <c r="AJ87" i="7942"/>
  <c r="CC59" i="7942"/>
  <c r="CB92" i="7942"/>
  <c r="CX105" i="7942"/>
  <c r="CY72" i="7942"/>
  <c r="R405" i="18"/>
  <c r="S160" i="18"/>
  <c r="AK69" i="7942"/>
  <c r="AJ102" i="7942"/>
  <c r="P392" i="18"/>
  <c r="CC51" i="7942"/>
  <c r="CB84" i="7942"/>
  <c r="O64" i="7942"/>
  <c r="N97" i="7942"/>
  <c r="P744" i="18"/>
  <c r="CY69" i="7942"/>
  <c r="CX102" i="7942"/>
  <c r="I81" i="7946"/>
  <c r="I82" i="7946" s="1"/>
  <c r="J82" i="7946" s="1"/>
  <c r="I57" i="7946"/>
  <c r="T134" i="18"/>
  <c r="U134" i="18" s="1"/>
  <c r="P117" i="18"/>
  <c r="P730" i="18"/>
  <c r="Q730" i="18" s="1"/>
  <c r="AB511" i="18"/>
  <c r="Y98" i="7942"/>
  <c r="Z65" i="7942"/>
  <c r="N257" i="18"/>
  <c r="T561" i="18"/>
  <c r="U561" i="18" s="1"/>
  <c r="V561" i="18" s="1"/>
  <c r="W561" i="18" s="1"/>
  <c r="X561" i="18" s="1"/>
  <c r="Y561" i="18" s="1"/>
  <c r="Z561" i="18" s="1"/>
  <c r="AA561" i="18" s="1"/>
  <c r="AB561" i="18" s="1"/>
  <c r="AC561" i="18" s="1"/>
  <c r="AD561" i="18" s="1"/>
  <c r="AE561" i="18" s="1"/>
  <c r="AF561" i="18" s="1"/>
  <c r="AG561" i="18" s="1"/>
  <c r="AH561" i="18" s="1"/>
  <c r="AI561" i="18" s="1"/>
  <c r="AJ561" i="18" s="1"/>
  <c r="AK561" i="18" s="1"/>
  <c r="AL561" i="18" s="1"/>
  <c r="AM561" i="18" s="1"/>
  <c r="AN561" i="18" s="1"/>
  <c r="AO561" i="18" s="1"/>
  <c r="AP561" i="18" s="1"/>
  <c r="AQ561" i="18" s="1"/>
  <c r="AR561" i="18" s="1"/>
  <c r="AS561" i="18" s="1"/>
  <c r="AT561" i="18" s="1"/>
  <c r="AU561" i="18" s="1"/>
  <c r="AV561" i="18" s="1"/>
  <c r="AW561" i="18" s="1"/>
  <c r="AX561" i="18" s="1"/>
  <c r="AY561" i="18" s="1"/>
  <c r="AZ561" i="18" s="1"/>
  <c r="BA561" i="18" s="1"/>
  <c r="BB561" i="18" s="1"/>
  <c r="BC561" i="18" s="1"/>
  <c r="BD561" i="18" s="1"/>
  <c r="BE561" i="18" s="1"/>
  <c r="BF561" i="18" s="1"/>
  <c r="BG561" i="18" s="1"/>
  <c r="BH561" i="18" s="1"/>
  <c r="BI561" i="18" s="1"/>
  <c r="N59" i="7946"/>
  <c r="R755" i="18"/>
  <c r="T484" i="18"/>
  <c r="U484" i="18" s="1"/>
  <c r="V484" i="18" s="1"/>
  <c r="W484" i="18" s="1"/>
  <c r="X484" i="18" s="1"/>
  <c r="Y484" i="18" s="1"/>
  <c r="Z484" i="18" s="1"/>
  <c r="AA484" i="18" s="1"/>
  <c r="AB484" i="18" s="1"/>
  <c r="AC484" i="18" s="1"/>
  <c r="AD484" i="18" s="1"/>
  <c r="AE484" i="18" s="1"/>
  <c r="AF484" i="18" s="1"/>
  <c r="AG484" i="18" s="1"/>
  <c r="AH484" i="18" s="1"/>
  <c r="AI484" i="18" s="1"/>
  <c r="AJ484" i="18" s="1"/>
  <c r="AK484" i="18" s="1"/>
  <c r="AL484" i="18" s="1"/>
  <c r="AM484" i="18" s="1"/>
  <c r="AN484" i="18" s="1"/>
  <c r="AO484" i="18" s="1"/>
  <c r="AP484" i="18" s="1"/>
  <c r="AQ484" i="18" s="1"/>
  <c r="AR484" i="18" s="1"/>
  <c r="AS484" i="18" s="1"/>
  <c r="AT484" i="18" s="1"/>
  <c r="AU484" i="18" s="1"/>
  <c r="AV484" i="18" s="1"/>
  <c r="AW484" i="18" s="1"/>
  <c r="AX484" i="18" s="1"/>
  <c r="AY484" i="18" s="1"/>
  <c r="AZ484" i="18" s="1"/>
  <c r="BA484" i="18" s="1"/>
  <c r="BB484" i="18" s="1"/>
  <c r="BC484" i="18" s="1"/>
  <c r="BD484" i="18" s="1"/>
  <c r="BE484" i="18" s="1"/>
  <c r="BF484" i="18" s="1"/>
  <c r="BG484" i="18" s="1"/>
  <c r="BH484" i="18" s="1"/>
  <c r="BI484" i="18" s="1"/>
  <c r="AJ85" i="7942"/>
  <c r="AK52" i="7942"/>
  <c r="BR65" i="7942"/>
  <c r="BQ98" i="7942"/>
  <c r="N431" i="18"/>
  <c r="P315" i="18"/>
  <c r="Q315" i="18" s="1"/>
  <c r="Q325" i="18"/>
  <c r="R325" i="18" s="1"/>
  <c r="S325" i="18" s="1"/>
  <c r="DI86" i="7942"/>
  <c r="DJ53" i="7942"/>
  <c r="M21" i="7945"/>
  <c r="M21" i="7946"/>
  <c r="N60" i="7943"/>
  <c r="DI106" i="7942"/>
  <c r="DJ73" i="7942"/>
  <c r="X483" i="18"/>
  <c r="Y483" i="18" s="1"/>
  <c r="Z483" i="18" s="1"/>
  <c r="AA483" i="18" s="1"/>
  <c r="AB483" i="18" s="1"/>
  <c r="AC483" i="18" s="1"/>
  <c r="AD483" i="18" s="1"/>
  <c r="AE483" i="18" s="1"/>
  <c r="AF483" i="18" s="1"/>
  <c r="AG483" i="18" s="1"/>
  <c r="AH483" i="18" s="1"/>
  <c r="AI483" i="18" s="1"/>
  <c r="AJ483" i="18" s="1"/>
  <c r="AK483" i="18" s="1"/>
  <c r="AL483" i="18" s="1"/>
  <c r="AM483" i="18" s="1"/>
  <c r="AN483" i="18" s="1"/>
  <c r="AO483" i="18" s="1"/>
  <c r="AP483" i="18" s="1"/>
  <c r="AQ483" i="18" s="1"/>
  <c r="AR483" i="18" s="1"/>
  <c r="AS483" i="18" s="1"/>
  <c r="AT483" i="18" s="1"/>
  <c r="AU483" i="18" s="1"/>
  <c r="AV483" i="18" s="1"/>
  <c r="AW483" i="18" s="1"/>
  <c r="AX483" i="18" s="1"/>
  <c r="AY483" i="18" s="1"/>
  <c r="AZ483" i="18" s="1"/>
  <c r="BA483" i="18" s="1"/>
  <c r="AJ106" i="7942"/>
  <c r="AK73" i="7942"/>
  <c r="CM95" i="7942"/>
  <c r="CN62" i="7942"/>
  <c r="AJ100" i="7942"/>
  <c r="AK67" i="7942"/>
  <c r="N218" i="18"/>
  <c r="V225" i="18"/>
  <c r="W225" i="18" s="1"/>
  <c r="X225" i="18" s="1"/>
  <c r="R782" i="18"/>
  <c r="P143" i="18"/>
  <c r="Q143" i="18" s="1"/>
  <c r="AK64" i="7942"/>
  <c r="AJ97" i="7942"/>
  <c r="R145" i="18"/>
  <c r="S145" i="18" s="1"/>
  <c r="Z73" i="7942"/>
  <c r="Y106" i="7942"/>
  <c r="CY67" i="7942"/>
  <c r="CX100" i="7942"/>
  <c r="T612" i="18"/>
  <c r="U612" i="18" s="1"/>
  <c r="V612" i="18" s="1"/>
  <c r="L25" i="7946"/>
  <c r="M80" i="7943"/>
  <c r="M322" i="18"/>
  <c r="O781" i="18"/>
  <c r="AR96" i="18"/>
  <c r="AS96" i="18" s="1"/>
  <c r="AT96" i="18" s="1"/>
  <c r="BG49" i="7942"/>
  <c r="BF82" i="7942"/>
  <c r="CY51" i="7942"/>
  <c r="CX84" i="7942"/>
  <c r="BQ87" i="7942"/>
  <c r="BR54" i="7942"/>
  <c r="AV55" i="7942"/>
  <c r="AU88" i="7942"/>
  <c r="CX93" i="7942"/>
  <c r="CY60" i="7942"/>
  <c r="CM103" i="7942"/>
  <c r="CN70" i="7942"/>
  <c r="BF100" i="7942"/>
  <c r="BG67" i="7942"/>
  <c r="P419" i="18"/>
  <c r="J8" i="7945"/>
  <c r="K8" i="7945" s="1"/>
  <c r="K32" i="7945" s="1"/>
  <c r="P279" i="18"/>
  <c r="Q331" i="18"/>
  <c r="R289" i="18"/>
  <c r="S289" i="18" s="1"/>
  <c r="T289" i="18" s="1"/>
  <c r="U289" i="18" s="1"/>
  <c r="V289" i="18" s="1"/>
  <c r="W289" i="18" s="1"/>
  <c r="X289" i="18" s="1"/>
  <c r="Y289" i="18" s="1"/>
  <c r="Z289" i="18" s="1"/>
  <c r="AA289" i="18" s="1"/>
  <c r="AB289" i="18" s="1"/>
  <c r="AC289" i="18" s="1"/>
  <c r="AD289" i="18" s="1"/>
  <c r="AE289" i="18" s="1"/>
  <c r="AF289" i="18" s="1"/>
  <c r="R381" i="18"/>
  <c r="S381" i="18" s="1"/>
  <c r="T381" i="18" s="1"/>
  <c r="U381" i="18" s="1"/>
  <c r="V381" i="18" s="1"/>
  <c r="W381" i="18" s="1"/>
  <c r="X381" i="18" s="1"/>
  <c r="Y381" i="18" s="1"/>
  <c r="Z381" i="18" s="1"/>
  <c r="AA381" i="18" s="1"/>
  <c r="AB381" i="18" s="1"/>
  <c r="AC381" i="18" s="1"/>
  <c r="AD381" i="18" s="1"/>
  <c r="AE381" i="18" s="1"/>
  <c r="AF381" i="18" s="1"/>
  <c r="AG381" i="18" s="1"/>
  <c r="AH381" i="18" s="1"/>
  <c r="AI381" i="18" s="1"/>
  <c r="AJ381" i="18" s="1"/>
  <c r="AK381" i="18" s="1"/>
  <c r="AL381" i="18" s="1"/>
  <c r="AM381" i="18" s="1"/>
  <c r="AN381" i="18" s="1"/>
  <c r="AO381" i="18" s="1"/>
  <c r="AP381" i="18" s="1"/>
  <c r="AQ381" i="18" s="1"/>
  <c r="AR381" i="18" s="1"/>
  <c r="AS381" i="18" s="1"/>
  <c r="AT381" i="18" s="1"/>
  <c r="AU381" i="18" s="1"/>
  <c r="AV381" i="18" s="1"/>
  <c r="AW381" i="18" s="1"/>
  <c r="AX381" i="18" s="1"/>
  <c r="AY381" i="18" s="1"/>
  <c r="AZ381" i="18" s="1"/>
  <c r="BA381" i="18" s="1"/>
  <c r="BB381" i="18" s="1"/>
  <c r="BC381" i="18" s="1"/>
  <c r="BD381" i="18" s="1"/>
  <c r="BE381" i="18" s="1"/>
  <c r="BF381" i="18" s="1"/>
  <c r="BG381" i="18" s="1"/>
  <c r="BH381" i="18" s="1"/>
  <c r="BI381" i="18" s="1"/>
  <c r="CM83" i="7942"/>
  <c r="CN50" i="7942"/>
  <c r="BF85" i="7942"/>
  <c r="BG52" i="7942"/>
  <c r="K70" i="7946"/>
  <c r="L70" i="7946" s="1"/>
  <c r="N442" i="18"/>
  <c r="O161" i="18"/>
  <c r="P161" i="18" s="1"/>
  <c r="Q161" i="18" s="1"/>
  <c r="R161" i="18" s="1"/>
  <c r="N166" i="18"/>
  <c r="CX91" i="7942"/>
  <c r="CY58" i="7942"/>
  <c r="CM90" i="7942"/>
  <c r="CN57" i="7942"/>
  <c r="O121" i="18"/>
  <c r="R222" i="18"/>
  <c r="S222" i="18" s="1"/>
  <c r="T222" i="18" s="1"/>
  <c r="CN59" i="7942"/>
  <c r="CM92" i="7942"/>
  <c r="CB93" i="7942"/>
  <c r="CC60" i="7942"/>
  <c r="CN51" i="7942"/>
  <c r="CM84" i="7942"/>
  <c r="CM86" i="7942"/>
  <c r="CN53" i="7942"/>
  <c r="Q822" i="18"/>
  <c r="BQ104" i="7942"/>
  <c r="BR71" i="7942"/>
  <c r="DI102" i="7942"/>
  <c r="DJ69" i="7942"/>
  <c r="P850" i="18"/>
  <c r="R536" i="18"/>
  <c r="S536" i="18" s="1"/>
  <c r="BF105" i="7942"/>
  <c r="BG72" i="7942"/>
  <c r="N85" i="7942"/>
  <c r="O52" i="7942"/>
  <c r="Y84" i="7942"/>
  <c r="Z51" i="7942"/>
  <c r="L44" i="7946"/>
  <c r="L63" i="7946"/>
  <c r="L88" i="7946" s="1"/>
  <c r="L283" i="18"/>
  <c r="M273" i="18"/>
  <c r="N273" i="18" s="1"/>
  <c r="N283" i="18" s="1"/>
  <c r="Q239" i="18"/>
  <c r="R239" i="18" s="1"/>
  <c r="S239" i="18" s="1"/>
  <c r="AV60" i="7942"/>
  <c r="AU93" i="7942"/>
  <c r="DI81" i="7942"/>
  <c r="DJ48" i="7942"/>
  <c r="AI107" i="7942"/>
  <c r="AV58" i="7942"/>
  <c r="AU91" i="7942"/>
  <c r="CX82" i="7942"/>
  <c r="CY49" i="7942"/>
  <c r="CB83" i="7942"/>
  <c r="CC50" i="7942"/>
  <c r="Y87" i="7942"/>
  <c r="Z54" i="7942"/>
  <c r="Q223" i="18"/>
  <c r="R223" i="18" s="1"/>
  <c r="S223" i="18" s="1"/>
  <c r="T223" i="18" s="1"/>
  <c r="U223" i="18" s="1"/>
  <c r="V223" i="18" s="1"/>
  <c r="W223" i="18" s="1"/>
  <c r="X223" i="18" s="1"/>
  <c r="Y223" i="18" s="1"/>
  <c r="Z223" i="18" s="1"/>
  <c r="AA223" i="18" s="1"/>
  <c r="AB223" i="18" s="1"/>
  <c r="AC223" i="18" s="1"/>
  <c r="AD223" i="18" s="1"/>
  <c r="AE223" i="18" s="1"/>
  <c r="AF223" i="18" s="1"/>
  <c r="AG223" i="18" s="1"/>
  <c r="AH223" i="18" s="1"/>
  <c r="AI223" i="18" s="1"/>
  <c r="AJ223" i="18" s="1"/>
  <c r="AK223" i="18" s="1"/>
  <c r="AL223" i="18" s="1"/>
  <c r="AM223" i="18" s="1"/>
  <c r="AN223" i="18" s="1"/>
  <c r="AO223" i="18" s="1"/>
  <c r="AP223" i="18" s="1"/>
  <c r="AQ223" i="18" s="1"/>
  <c r="AR223" i="18" s="1"/>
  <c r="AS223" i="18" s="1"/>
  <c r="AT223" i="18" s="1"/>
  <c r="AU223" i="18" s="1"/>
  <c r="AV223" i="18" s="1"/>
  <c r="AW223" i="18" s="1"/>
  <c r="AX223" i="18" s="1"/>
  <c r="AY223" i="18" s="1"/>
  <c r="AZ223" i="18" s="1"/>
  <c r="BA223" i="18" s="1"/>
  <c r="BB223" i="18" s="1"/>
  <c r="BC223" i="18" s="1"/>
  <c r="BD223" i="18" s="1"/>
  <c r="BE223" i="18" s="1"/>
  <c r="BF223" i="18" s="1"/>
  <c r="BG223" i="18" s="1"/>
  <c r="BH223" i="18" s="1"/>
  <c r="BI223" i="18" s="1"/>
  <c r="P354" i="18"/>
  <c r="R305" i="18"/>
  <c r="S305" i="18" s="1"/>
  <c r="O396" i="18"/>
  <c r="P396" i="18" s="1"/>
  <c r="M42" i="18"/>
  <c r="M10" i="18"/>
  <c r="P170" i="18"/>
  <c r="L49" i="24"/>
  <c r="L40" i="24"/>
  <c r="M7" i="24"/>
  <c r="L32" i="24"/>
  <c r="L163" i="24" s="1"/>
  <c r="L41" i="24"/>
  <c r="J67" i="7946"/>
  <c r="L231" i="18"/>
  <c r="M221" i="18"/>
  <c r="T769" i="18"/>
  <c r="U769" i="18" s="1"/>
  <c r="V769" i="18" s="1"/>
  <c r="W769" i="18" s="1"/>
  <c r="X769" i="18" s="1"/>
  <c r="Y769" i="18" s="1"/>
  <c r="Z769" i="18" s="1"/>
  <c r="AA769" i="18" s="1"/>
  <c r="AB769" i="18" s="1"/>
  <c r="AC769" i="18" s="1"/>
  <c r="AD769" i="18" s="1"/>
  <c r="AE769" i="18" s="1"/>
  <c r="AF769" i="18" s="1"/>
  <c r="AG769" i="18" s="1"/>
  <c r="AH769" i="18" s="1"/>
  <c r="AI769" i="18" s="1"/>
  <c r="AJ769" i="18" s="1"/>
  <c r="AK769" i="18" s="1"/>
  <c r="AL769" i="18" s="1"/>
  <c r="AM769" i="18" s="1"/>
  <c r="AN769" i="18" s="1"/>
  <c r="AO769" i="18" s="1"/>
  <c r="AP769" i="18" s="1"/>
  <c r="AQ769" i="18" s="1"/>
  <c r="AR769" i="18" s="1"/>
  <c r="AS769" i="18" s="1"/>
  <c r="AT769" i="18" s="1"/>
  <c r="AU769" i="18" s="1"/>
  <c r="AV769" i="18" s="1"/>
  <c r="AW769" i="18" s="1"/>
  <c r="AX769" i="18" s="1"/>
  <c r="AY769" i="18" s="1"/>
  <c r="AZ769" i="18" s="1"/>
  <c r="BA769" i="18" s="1"/>
  <c r="BB769" i="18" s="1"/>
  <c r="BC769" i="18" s="1"/>
  <c r="BD769" i="18" s="1"/>
  <c r="BE769" i="18" s="1"/>
  <c r="BF769" i="18" s="1"/>
  <c r="BG769" i="18" s="1"/>
  <c r="BH769" i="18" s="1"/>
  <c r="BI769" i="18" s="1"/>
  <c r="BQ99" i="7942"/>
  <c r="BR66" i="7942"/>
  <c r="P174" i="18"/>
  <c r="Q174" i="18" s="1"/>
  <c r="R174" i="18" s="1"/>
  <c r="N11" i="24"/>
  <c r="N7" i="7943"/>
  <c r="N8" i="7943" s="1"/>
  <c r="X107" i="7942"/>
  <c r="N335" i="18"/>
  <c r="Q327" i="18"/>
  <c r="BQ95" i="7942"/>
  <c r="BR62" i="7942"/>
  <c r="AR109" i="18"/>
  <c r="CC56" i="7942"/>
  <c r="CB89" i="7942"/>
  <c r="BQ105" i="7942"/>
  <c r="BR72" i="7942"/>
  <c r="CX88" i="7942"/>
  <c r="CY55" i="7942"/>
  <c r="BF101" i="7942"/>
  <c r="BG68" i="7942"/>
  <c r="CN66" i="7942"/>
  <c r="CM99" i="7942"/>
  <c r="Q523" i="18"/>
  <c r="R523" i="18" s="1"/>
  <c r="R408" i="18"/>
  <c r="S408" i="18" s="1"/>
  <c r="T408" i="18" s="1"/>
  <c r="Q630" i="18"/>
  <c r="R630" i="18" s="1"/>
  <c r="O379" i="18"/>
  <c r="N387" i="18"/>
  <c r="AJ94" i="7942"/>
  <c r="AK61" i="7942"/>
  <c r="AU95" i="7942"/>
  <c r="AV62" i="7942"/>
  <c r="BG50" i="7942"/>
  <c r="BF83" i="7942"/>
  <c r="Z66" i="7942"/>
  <c r="Y99" i="7942"/>
  <c r="O173" i="18"/>
  <c r="P173" i="18" s="1"/>
  <c r="Q173" i="18" s="1"/>
  <c r="O290" i="18"/>
  <c r="BR57" i="7942"/>
  <c r="BQ90" i="7942"/>
  <c r="AJ101" i="7942"/>
  <c r="AK68" i="7942"/>
  <c r="Y102" i="7942"/>
  <c r="Z69" i="7942"/>
  <c r="I32" i="7945"/>
  <c r="Q247" i="18"/>
  <c r="Y96" i="7942"/>
  <c r="Z63" i="7942"/>
  <c r="DI89" i="7942"/>
  <c r="DJ56" i="7942"/>
  <c r="R304" i="18"/>
  <c r="S304" i="18" s="1"/>
  <c r="O420" i="18"/>
  <c r="P420" i="18" s="1"/>
  <c r="Q420" i="18" s="1"/>
  <c r="J64" i="7946"/>
  <c r="K64" i="7946" s="1"/>
  <c r="Y91" i="7942"/>
  <c r="Z58" i="7942"/>
  <c r="O48" i="7942"/>
  <c r="N81" i="7942"/>
  <c r="J95" i="7946"/>
  <c r="J96" i="7946" s="1"/>
  <c r="S703" i="18"/>
  <c r="N104" i="7942"/>
  <c r="O71" i="7942"/>
  <c r="Q395" i="18"/>
  <c r="R395" i="18" s="1"/>
  <c r="O149" i="18"/>
  <c r="O214" i="18"/>
  <c r="M452" i="18"/>
  <c r="CN73" i="7942"/>
  <c r="CM106" i="7942"/>
  <c r="L12" i="24"/>
  <c r="K13" i="24"/>
  <c r="Z59" i="7942"/>
  <c r="Y92" i="7942"/>
  <c r="Q183" i="18"/>
  <c r="R183" i="18" s="1"/>
  <c r="S183" i="18" s="1"/>
  <c r="T183" i="18" s="1"/>
  <c r="U183" i="18" s="1"/>
  <c r="V183" i="18" s="1"/>
  <c r="W183" i="18" s="1"/>
  <c r="X183" i="18" s="1"/>
  <c r="Y183" i="18" s="1"/>
  <c r="Z183" i="18" s="1"/>
  <c r="AA183" i="18" s="1"/>
  <c r="AB183" i="18" s="1"/>
  <c r="AC183" i="18" s="1"/>
  <c r="AD183" i="18" s="1"/>
  <c r="AE183" i="18" s="1"/>
  <c r="AF183" i="18" s="1"/>
  <c r="AG183" i="18" s="1"/>
  <c r="AH183" i="18" s="1"/>
  <c r="AI183" i="18" s="1"/>
  <c r="AJ183" i="18" s="1"/>
  <c r="AK183" i="18" s="1"/>
  <c r="AL183" i="18" s="1"/>
  <c r="AM183" i="18" s="1"/>
  <c r="AN183" i="18" s="1"/>
  <c r="AO183" i="18" s="1"/>
  <c r="AP183" i="18" s="1"/>
  <c r="AQ183" i="18" s="1"/>
  <c r="AR183" i="18" s="1"/>
  <c r="AS183" i="18" s="1"/>
  <c r="AT183" i="18" s="1"/>
  <c r="AU183" i="18" s="1"/>
  <c r="AV183" i="18" s="1"/>
  <c r="AW183" i="18" s="1"/>
  <c r="AX183" i="18" s="1"/>
  <c r="AY183" i="18" s="1"/>
  <c r="AZ183" i="18" s="1"/>
  <c r="BA183" i="18" s="1"/>
  <c r="BB183" i="18" s="1"/>
  <c r="BC183" i="18" s="1"/>
  <c r="BD183" i="18" s="1"/>
  <c r="BE183" i="18" s="1"/>
  <c r="BF183" i="18" s="1"/>
  <c r="BG183" i="18" s="1"/>
  <c r="BH183" i="18" s="1"/>
  <c r="BI183" i="18" s="1"/>
  <c r="V157" i="18"/>
  <c r="R625" i="18"/>
  <c r="S625" i="18" s="1"/>
  <c r="CM97" i="7942"/>
  <c r="CN64" i="7942"/>
  <c r="O277" i="18"/>
  <c r="O187" i="18"/>
  <c r="N23" i="2"/>
  <c r="N25" i="2" s="1"/>
  <c r="N24" i="2"/>
  <c r="Z48" i="7942"/>
  <c r="Y81" i="7942"/>
  <c r="CC73" i="7942"/>
  <c r="CB106" i="7942"/>
  <c r="O56" i="7942"/>
  <c r="N89" i="7942"/>
  <c r="AJ99" i="7942"/>
  <c r="AK66" i="7942"/>
  <c r="P563" i="18"/>
  <c r="Q563" i="18" s="1"/>
  <c r="Q602" i="18"/>
  <c r="R602" i="18" s="1"/>
  <c r="DI98" i="7942"/>
  <c r="DJ65" i="7942"/>
  <c r="Z49" i="7942"/>
  <c r="Y82" i="7942"/>
  <c r="O849" i="18"/>
  <c r="R534" i="18"/>
  <c r="P836" i="18"/>
  <c r="AK58" i="7942"/>
  <c r="AJ91" i="7942"/>
  <c r="CX101" i="7942"/>
  <c r="CY68" i="7942"/>
  <c r="M296" i="18"/>
  <c r="N288" i="18"/>
  <c r="N296" i="18" s="1"/>
  <c r="CX99" i="7942"/>
  <c r="CY66" i="7942"/>
  <c r="P353" i="18"/>
  <c r="Q353" i="18" s="1"/>
  <c r="R353" i="18" s="1"/>
  <c r="S353" i="18" s="1"/>
  <c r="T353" i="18" s="1"/>
  <c r="U353" i="18" s="1"/>
  <c r="V353" i="18" s="1"/>
  <c r="W353" i="18" s="1"/>
  <c r="X353" i="18" s="1"/>
  <c r="Y353" i="18" s="1"/>
  <c r="Z353" i="18" s="1"/>
  <c r="AA353" i="18" s="1"/>
  <c r="AB353" i="18" s="1"/>
  <c r="AC353" i="18" s="1"/>
  <c r="AD353" i="18" s="1"/>
  <c r="AE353" i="18" s="1"/>
  <c r="AF353" i="18" s="1"/>
  <c r="AG353" i="18" s="1"/>
  <c r="AH353" i="18" s="1"/>
  <c r="AI353" i="18" s="1"/>
  <c r="AJ353" i="18" s="1"/>
  <c r="AK353" i="18" s="1"/>
  <c r="AL353" i="18" s="1"/>
  <c r="AM353" i="18" s="1"/>
  <c r="AN353" i="18" s="1"/>
  <c r="AO353" i="18" s="1"/>
  <c r="AP353" i="18" s="1"/>
  <c r="AQ353" i="18" s="1"/>
  <c r="AR353" i="18" s="1"/>
  <c r="AS353" i="18" s="1"/>
  <c r="AT353" i="18" s="1"/>
  <c r="AU353" i="18" s="1"/>
  <c r="AV353" i="18" s="1"/>
  <c r="AW353" i="18" s="1"/>
  <c r="AX353" i="18" s="1"/>
  <c r="AY353" i="18" s="1"/>
  <c r="AZ353" i="18" s="1"/>
  <c r="BA353" i="18" s="1"/>
  <c r="BB353" i="18" s="1"/>
  <c r="BC353" i="18" s="1"/>
  <c r="BD353" i="18" s="1"/>
  <c r="BE353" i="18" s="1"/>
  <c r="BF353" i="18" s="1"/>
  <c r="BG353" i="18" s="1"/>
  <c r="BH353" i="18" s="1"/>
  <c r="BI353" i="18" s="1"/>
  <c r="P833" i="18"/>
  <c r="P521" i="18"/>
  <c r="CC64" i="7942"/>
  <c r="CB97" i="7942"/>
  <c r="S599" i="18"/>
  <c r="N105" i="7942"/>
  <c r="O72" i="7942"/>
  <c r="Z62" i="7942"/>
  <c r="Y95" i="7942"/>
  <c r="M869" i="18"/>
  <c r="N859" i="18"/>
  <c r="O859" i="18" s="1"/>
  <c r="DI93" i="7942"/>
  <c r="DJ60" i="7942"/>
  <c r="V198" i="18"/>
  <c r="W198" i="18" s="1"/>
  <c r="X198" i="18" s="1"/>
  <c r="Y198" i="18" s="1"/>
  <c r="Z198" i="18" s="1"/>
  <c r="AA198" i="18" s="1"/>
  <c r="AB198" i="18" s="1"/>
  <c r="AC198" i="18" s="1"/>
  <c r="AD198" i="18" s="1"/>
  <c r="AE198" i="18" s="1"/>
  <c r="AF198" i="18" s="1"/>
  <c r="AG198" i="18" s="1"/>
  <c r="AH198" i="18" s="1"/>
  <c r="AI198" i="18" s="1"/>
  <c r="AJ198" i="18" s="1"/>
  <c r="AK198" i="18" s="1"/>
  <c r="AL198" i="18" s="1"/>
  <c r="AM198" i="18" s="1"/>
  <c r="AN198" i="18" s="1"/>
  <c r="AO198" i="18" s="1"/>
  <c r="AP198" i="18" s="1"/>
  <c r="AQ198" i="18" s="1"/>
  <c r="AR198" i="18" s="1"/>
  <c r="AS198" i="18" s="1"/>
  <c r="AT198" i="18" s="1"/>
  <c r="AU198" i="18" s="1"/>
  <c r="AV198" i="18" s="1"/>
  <c r="AW198" i="18" s="1"/>
  <c r="AX198" i="18" s="1"/>
  <c r="AY198" i="18" s="1"/>
  <c r="AZ198" i="18" s="1"/>
  <c r="BA198" i="18" s="1"/>
  <c r="BB198" i="18" s="1"/>
  <c r="BC198" i="18" s="1"/>
  <c r="BD198" i="18" s="1"/>
  <c r="BE198" i="18" s="1"/>
  <c r="BF198" i="18" s="1"/>
  <c r="BG198" i="18" s="1"/>
  <c r="BH198" i="18" s="1"/>
  <c r="BI198" i="18" s="1"/>
  <c r="DI100" i="7942"/>
  <c r="DJ67" i="7942"/>
  <c r="M107" i="7942"/>
  <c r="BG58" i="7942"/>
  <c r="BF91" i="7942"/>
  <c r="BF106" i="7942"/>
  <c r="BG73" i="7942"/>
  <c r="O292" i="18"/>
  <c r="P292" i="18" s="1"/>
  <c r="O383" i="18"/>
  <c r="P383" i="18" s="1"/>
  <c r="Q318" i="18"/>
  <c r="R318" i="18" s="1"/>
  <c r="S318" i="18" s="1"/>
  <c r="O461" i="18"/>
  <c r="CM91" i="7942"/>
  <c r="CN58" i="7942"/>
  <c r="N93" i="7942"/>
  <c r="O60" i="7942"/>
  <c r="AU90" i="7942"/>
  <c r="AV57" i="7942"/>
  <c r="DJ50" i="7942"/>
  <c r="DI83" i="7942"/>
  <c r="BG55" i="7942"/>
  <c r="BF88" i="7942"/>
  <c r="N83" i="7942"/>
  <c r="O50" i="7942"/>
  <c r="R691" i="18"/>
  <c r="CC58" i="7942"/>
  <c r="CB91" i="7942"/>
  <c r="I33" i="7946"/>
  <c r="AJ92" i="7942"/>
  <c r="AK59" i="7942"/>
  <c r="K56" i="7946"/>
  <c r="K40" i="7946"/>
  <c r="CB98" i="7942"/>
  <c r="CC65" i="7942"/>
  <c r="Z72" i="7942"/>
  <c r="Y105" i="7942"/>
  <c r="BG63" i="7942"/>
  <c r="BF96" i="7942"/>
  <c r="T147" i="18"/>
  <c r="CC48" i="7942"/>
  <c r="CB81" i="7942"/>
  <c r="T432" i="18"/>
  <c r="U432" i="18" s="1"/>
  <c r="V432" i="18" s="1"/>
  <c r="W432" i="18" s="1"/>
  <c r="X432" i="18" s="1"/>
  <c r="Y432" i="18" s="1"/>
  <c r="Z432" i="18" s="1"/>
  <c r="AA432" i="18" s="1"/>
  <c r="AB432" i="18" s="1"/>
  <c r="AC432" i="18" s="1"/>
  <c r="AD432" i="18" s="1"/>
  <c r="AE432" i="18" s="1"/>
  <c r="AF432" i="18" s="1"/>
  <c r="AG432" i="18" s="1"/>
  <c r="AH432" i="18" s="1"/>
  <c r="AI432" i="18" s="1"/>
  <c r="AJ432" i="18" s="1"/>
  <c r="AK432" i="18" s="1"/>
  <c r="AL432" i="18" s="1"/>
  <c r="AM432" i="18" s="1"/>
  <c r="AN432" i="18" s="1"/>
  <c r="AO432" i="18" s="1"/>
  <c r="AP432" i="18" s="1"/>
  <c r="AQ432" i="18" s="1"/>
  <c r="AR432" i="18" s="1"/>
  <c r="AS432" i="18" s="1"/>
  <c r="AT432" i="18" s="1"/>
  <c r="AU432" i="18" s="1"/>
  <c r="AV432" i="18" s="1"/>
  <c r="AW432" i="18" s="1"/>
  <c r="AX432" i="18" s="1"/>
  <c r="AY432" i="18" s="1"/>
  <c r="AZ432" i="18" s="1"/>
  <c r="BA432" i="18" s="1"/>
  <c r="BB432" i="18" s="1"/>
  <c r="BC432" i="18" s="1"/>
  <c r="BD432" i="18" s="1"/>
  <c r="BE432" i="18" s="1"/>
  <c r="BF432" i="18" s="1"/>
  <c r="BG432" i="18" s="1"/>
  <c r="BH432" i="18" s="1"/>
  <c r="BI432" i="18" s="1"/>
  <c r="T666" i="18"/>
  <c r="Q821" i="18"/>
  <c r="R821" i="18" s="1"/>
  <c r="R434" i="18"/>
  <c r="S434" i="18" s="1"/>
  <c r="R576" i="18"/>
  <c r="O641" i="18"/>
  <c r="P641" i="18" s="1"/>
  <c r="S122" i="18"/>
  <c r="T122" i="18" s="1"/>
  <c r="S199" i="18"/>
  <c r="T199" i="18" s="1"/>
  <c r="U199" i="18" s="1"/>
  <c r="V199" i="18" s="1"/>
  <c r="W199" i="18" s="1"/>
  <c r="X199" i="18" s="1"/>
  <c r="Y199" i="18" s="1"/>
  <c r="Z199" i="18" s="1"/>
  <c r="AA199" i="18" s="1"/>
  <c r="AB199" i="18" s="1"/>
  <c r="AC199" i="18" s="1"/>
  <c r="AD199" i="18" s="1"/>
  <c r="AE199" i="18" s="1"/>
  <c r="AF199" i="18" s="1"/>
  <c r="AG199" i="18" s="1"/>
  <c r="AH199" i="18" s="1"/>
  <c r="AI199" i="18" s="1"/>
  <c r="AJ199" i="18" s="1"/>
  <c r="AK199" i="18" s="1"/>
  <c r="AL199" i="18" s="1"/>
  <c r="AM199" i="18" s="1"/>
  <c r="AN199" i="18" s="1"/>
  <c r="AO199" i="18" s="1"/>
  <c r="AP199" i="18" s="1"/>
  <c r="AQ199" i="18" s="1"/>
  <c r="AR199" i="18" s="1"/>
  <c r="AS199" i="18" s="1"/>
  <c r="AT199" i="18" s="1"/>
  <c r="AU199" i="18" s="1"/>
  <c r="AV199" i="18" s="1"/>
  <c r="AW199" i="18" s="1"/>
  <c r="AX199" i="18" s="1"/>
  <c r="AY199" i="18" s="1"/>
  <c r="AZ199" i="18" s="1"/>
  <c r="BA199" i="18" s="1"/>
  <c r="BB199" i="18" s="1"/>
  <c r="BC199" i="18" s="1"/>
  <c r="BD199" i="18" s="1"/>
  <c r="BE199" i="18" s="1"/>
  <c r="BF199" i="18" s="1"/>
  <c r="BG199" i="18" s="1"/>
  <c r="BH199" i="18" s="1"/>
  <c r="BI199" i="18" s="1"/>
  <c r="N99" i="7942"/>
  <c r="O66" i="7942"/>
  <c r="R208" i="18"/>
  <c r="BG57" i="7942"/>
  <c r="BF90" i="7942"/>
  <c r="Y89" i="7942"/>
  <c r="Z56" i="7942"/>
  <c r="T355" i="18"/>
  <c r="T172" i="18"/>
  <c r="U172" i="18" s="1"/>
  <c r="V172" i="18" s="1"/>
  <c r="W172" i="18" s="1"/>
  <c r="X172" i="18" s="1"/>
  <c r="Y172" i="18" s="1"/>
  <c r="Z172" i="18" s="1"/>
  <c r="AA172" i="18" s="1"/>
  <c r="AB172" i="18" s="1"/>
  <c r="AC172" i="18" s="1"/>
  <c r="AD172" i="18" s="1"/>
  <c r="AE172" i="18" s="1"/>
  <c r="AF172" i="18" s="1"/>
  <c r="AG172" i="18" s="1"/>
  <c r="AH172" i="18" s="1"/>
  <c r="AI172" i="18" s="1"/>
  <c r="AJ172" i="18" s="1"/>
  <c r="AK172" i="18" s="1"/>
  <c r="AL172" i="18" s="1"/>
  <c r="AM172" i="18" s="1"/>
  <c r="AN172" i="18" s="1"/>
  <c r="AO172" i="18" s="1"/>
  <c r="AP172" i="18" s="1"/>
  <c r="AQ172" i="18" s="1"/>
  <c r="AR172" i="18" s="1"/>
  <c r="AS172" i="18" s="1"/>
  <c r="AT172" i="18" s="1"/>
  <c r="AU172" i="18" s="1"/>
  <c r="AV172" i="18" s="1"/>
  <c r="AW172" i="18" s="1"/>
  <c r="AX172" i="18" s="1"/>
  <c r="AY172" i="18" s="1"/>
  <c r="AZ172" i="18" s="1"/>
  <c r="BA172" i="18" s="1"/>
  <c r="BB172" i="18" s="1"/>
  <c r="BC172" i="18" s="1"/>
  <c r="BD172" i="18" s="1"/>
  <c r="BE172" i="18" s="1"/>
  <c r="BF172" i="18" s="1"/>
  <c r="BG172" i="18" s="1"/>
  <c r="BH172" i="18" s="1"/>
  <c r="BI172" i="18" s="1"/>
  <c r="R677" i="18"/>
  <c r="R342" i="18"/>
  <c r="T537" i="18"/>
  <c r="CC71" i="7942"/>
  <c r="CB104" i="7942"/>
  <c r="Q364" i="18"/>
  <c r="N21" i="18"/>
  <c r="O436" i="18"/>
  <c r="P436" i="18" s="1"/>
  <c r="Q436" i="18" s="1"/>
  <c r="AJ85" i="18"/>
  <c r="O280" i="18"/>
  <c r="P280" i="18" s="1"/>
  <c r="N40" i="18"/>
  <c r="S85" i="18"/>
  <c r="N34" i="18"/>
  <c r="N19" i="18"/>
  <c r="AA85" i="18"/>
  <c r="O293" i="18"/>
  <c r="N26" i="18"/>
  <c r="N13" i="18"/>
  <c r="N20" i="18"/>
  <c r="AM85" i="18"/>
  <c r="O306" i="18"/>
  <c r="N14" i="18"/>
  <c r="N27" i="18"/>
  <c r="W85" i="18"/>
  <c r="AG85" i="18"/>
  <c r="O462" i="18"/>
  <c r="P462" i="18" s="1"/>
  <c r="AE85" i="18"/>
  <c r="N37" i="18"/>
  <c r="O267" i="18"/>
  <c r="P267" i="18" s="1"/>
  <c r="R85" i="18"/>
  <c r="O163" i="18"/>
  <c r="O137" i="18"/>
  <c r="O150" i="18"/>
  <c r="N35" i="18"/>
  <c r="N38" i="18"/>
  <c r="O176" i="18"/>
  <c r="P306" i="18"/>
  <c r="AO85" i="18"/>
  <c r="N36" i="18"/>
  <c r="O319" i="18"/>
  <c r="O241" i="18"/>
  <c r="P241" i="18" s="1"/>
  <c r="X85" i="18"/>
  <c r="N29" i="18"/>
  <c r="N22" i="18"/>
  <c r="N33" i="18"/>
  <c r="AP85" i="18"/>
  <c r="V85" i="18"/>
  <c r="N11" i="18"/>
  <c r="O228" i="18"/>
  <c r="O397" i="18"/>
  <c r="AI85" i="18"/>
  <c r="N24" i="18"/>
  <c r="O85" i="18"/>
  <c r="N17" i="18"/>
  <c r="O384" i="18"/>
  <c r="P85" i="18"/>
  <c r="O345" i="18"/>
  <c r="P345" i="18" s="1"/>
  <c r="Z85" i="18"/>
  <c r="Y85" i="18"/>
  <c r="O189" i="18"/>
  <c r="P189" i="18" s="1"/>
  <c r="N18" i="18"/>
  <c r="O423" i="18"/>
  <c r="P423" i="18" s="1"/>
  <c r="AH85" i="18"/>
  <c r="N31" i="18"/>
  <c r="O358" i="18"/>
  <c r="N23" i="18"/>
  <c r="N12" i="18"/>
  <c r="N28" i="18"/>
  <c r="O254" i="18"/>
  <c r="O257" i="18" s="1"/>
  <c r="AD85" i="18"/>
  <c r="AB85" i="18"/>
  <c r="N15" i="18"/>
  <c r="N39" i="18"/>
  <c r="O202" i="18"/>
  <c r="P202" i="18" s="1"/>
  <c r="Q202" i="18" s="1"/>
  <c r="AC85" i="18"/>
  <c r="AN85" i="18"/>
  <c r="Q85" i="18"/>
  <c r="O371" i="18"/>
  <c r="O449" i="18"/>
  <c r="P449" i="18" s="1"/>
  <c r="Q449" i="18" s="1"/>
  <c r="N32" i="18"/>
  <c r="O410" i="18"/>
  <c r="O215" i="18"/>
  <c r="P215" i="18" s="1"/>
  <c r="O332" i="18"/>
  <c r="P332" i="18" s="1"/>
  <c r="AK85" i="18"/>
  <c r="U85" i="18"/>
  <c r="T85" i="18"/>
  <c r="N16" i="18"/>
  <c r="AF85" i="18"/>
  <c r="AL85" i="18"/>
  <c r="N30" i="18"/>
  <c r="N25" i="18"/>
  <c r="O124" i="18"/>
  <c r="P124" i="18" s="1"/>
  <c r="P254" i="18"/>
  <c r="P111" i="18"/>
  <c r="Y111" i="18"/>
  <c r="V111" i="18"/>
  <c r="AF98" i="18"/>
  <c r="AC98" i="18"/>
  <c r="Y98" i="18"/>
  <c r="AJ111" i="18"/>
  <c r="AF111" i="18"/>
  <c r="Z111" i="18"/>
  <c r="X111" i="18"/>
  <c r="AB98" i="18"/>
  <c r="AC111" i="18"/>
  <c r="AG111" i="18"/>
  <c r="AL111" i="18"/>
  <c r="AH111" i="18"/>
  <c r="S111" i="18"/>
  <c r="W111" i="18"/>
  <c r="AE111" i="18"/>
  <c r="AK111" i="18"/>
  <c r="U111" i="18"/>
  <c r="R111" i="18"/>
  <c r="AN111" i="18"/>
  <c r="AA111" i="18"/>
  <c r="V98" i="18"/>
  <c r="P98" i="18"/>
  <c r="S98" i="18"/>
  <c r="X98" i="18"/>
  <c r="AO111" i="18"/>
  <c r="AM111" i="18"/>
  <c r="AP98" i="18"/>
  <c r="AG98" i="18"/>
  <c r="AE98" i="18"/>
  <c r="Z98" i="18"/>
  <c r="AI111" i="18"/>
  <c r="AI98" i="18"/>
  <c r="AN98" i="18"/>
  <c r="AK98" i="18"/>
  <c r="AB111" i="18"/>
  <c r="R98" i="18"/>
  <c r="T98" i="18"/>
  <c r="U98" i="18"/>
  <c r="AJ98" i="18"/>
  <c r="AP111" i="18"/>
  <c r="W98" i="18"/>
  <c r="AM98" i="18"/>
  <c r="O111" i="18"/>
  <c r="O114" i="18" s="1"/>
  <c r="AA98" i="18"/>
  <c r="AH98" i="18"/>
  <c r="Q98" i="18"/>
  <c r="AO98" i="18"/>
  <c r="AD111" i="18"/>
  <c r="AD98" i="18"/>
  <c r="O98" i="18"/>
  <c r="AL98" i="18"/>
  <c r="Q111" i="18"/>
  <c r="T111" i="18"/>
  <c r="N100" i="7942"/>
  <c r="O67" i="7942"/>
  <c r="CC63" i="7942"/>
  <c r="CB96" i="7942"/>
  <c r="J71" i="7946"/>
  <c r="CB95" i="7942"/>
  <c r="CC62" i="7942"/>
  <c r="DJ61" i="7942"/>
  <c r="DI94" i="7942"/>
  <c r="W678" i="18"/>
  <c r="BG56" i="7942"/>
  <c r="BF89" i="7942"/>
  <c r="T393" i="18"/>
  <c r="U393" i="18" s="1"/>
  <c r="CN52" i="7942"/>
  <c r="CM85" i="7942"/>
  <c r="O772" i="18"/>
  <c r="N101" i="7942"/>
  <c r="O68" i="7942"/>
  <c r="Q629" i="18"/>
  <c r="R629" i="18" s="1"/>
  <c r="BQ92" i="7942"/>
  <c r="BR59" i="7942"/>
  <c r="M400" i="18"/>
  <c r="O53" i="7942"/>
  <c r="N86" i="7942"/>
  <c r="AU82" i="7942"/>
  <c r="AV49" i="7942"/>
  <c r="CN65" i="7942"/>
  <c r="CM98" i="7942"/>
  <c r="AV67" i="7942"/>
  <c r="AU100" i="7942"/>
  <c r="R275" i="18"/>
  <c r="S275" i="18" s="1"/>
  <c r="T275" i="18" s="1"/>
  <c r="U275" i="18" s="1"/>
  <c r="V275" i="18" s="1"/>
  <c r="W275" i="18" s="1"/>
  <c r="X275" i="18" s="1"/>
  <c r="Y275" i="18" s="1"/>
  <c r="Z275" i="18" s="1"/>
  <c r="AA275" i="18" s="1"/>
  <c r="AB275" i="18" s="1"/>
  <c r="AC275" i="18" s="1"/>
  <c r="AD275" i="18" s="1"/>
  <c r="AE275" i="18" s="1"/>
  <c r="AF275" i="18" s="1"/>
  <c r="AG275" i="18" s="1"/>
  <c r="AH275" i="18" s="1"/>
  <c r="AI275" i="18" s="1"/>
  <c r="AJ275" i="18" s="1"/>
  <c r="AK275" i="18" s="1"/>
  <c r="AL275" i="18" s="1"/>
  <c r="AM275" i="18" s="1"/>
  <c r="AN275" i="18" s="1"/>
  <c r="AO275" i="18" s="1"/>
  <c r="AP275" i="18" s="1"/>
  <c r="AQ275" i="18" s="1"/>
  <c r="AR275" i="18" s="1"/>
  <c r="AS275" i="18" s="1"/>
  <c r="AT275" i="18" s="1"/>
  <c r="AU275" i="18" s="1"/>
  <c r="AV275" i="18" s="1"/>
  <c r="AW275" i="18" s="1"/>
  <c r="AX275" i="18" s="1"/>
  <c r="AY275" i="18" s="1"/>
  <c r="AZ275" i="18" s="1"/>
  <c r="BA275" i="18" s="1"/>
  <c r="BB275" i="18" s="1"/>
  <c r="BC275" i="18" s="1"/>
  <c r="BD275" i="18" s="1"/>
  <c r="BE275" i="18" s="1"/>
  <c r="BF275" i="18" s="1"/>
  <c r="BG275" i="18" s="1"/>
  <c r="BH275" i="18" s="1"/>
  <c r="BI275" i="18" s="1"/>
  <c r="DJ63" i="7942"/>
  <c r="DI96" i="7942"/>
  <c r="AU83" i="7942"/>
  <c r="AV50" i="7942"/>
  <c r="AU92" i="7942"/>
  <c r="AV59" i="7942"/>
  <c r="CY73" i="7942"/>
  <c r="CX106" i="7942"/>
  <c r="P278" i="18"/>
  <c r="Q278" i="18" s="1"/>
  <c r="N299" i="18"/>
  <c r="M309" i="18"/>
  <c r="N573" i="18"/>
  <c r="M583" i="18"/>
  <c r="BR60" i="7942"/>
  <c r="BQ93" i="7942"/>
  <c r="Q560" i="18"/>
  <c r="DH107" i="7942"/>
  <c r="O49" i="7942"/>
  <c r="N82" i="7942"/>
  <c r="AR95" i="18"/>
  <c r="AS95" i="18" s="1"/>
  <c r="AT95" i="18" s="1"/>
  <c r="DJ57" i="7942"/>
  <c r="DI90" i="7942"/>
  <c r="R182" i="18"/>
  <c r="Q197" i="18"/>
  <c r="Y104" i="7942"/>
  <c r="Z71" i="7942"/>
  <c r="O443" i="18"/>
  <c r="BQ89" i="7942"/>
  <c r="BR56" i="7942"/>
  <c r="CN56" i="7942"/>
  <c r="CM89" i="7942"/>
  <c r="Z68" i="7942"/>
  <c r="Y101" i="7942"/>
  <c r="CY70" i="7942"/>
  <c r="CX103" i="7942"/>
  <c r="AT108" i="18"/>
  <c r="AU108" i="18" s="1"/>
  <c r="AV108" i="18" s="1"/>
  <c r="AP83" i="18"/>
  <c r="Q238" i="18"/>
  <c r="DJ62" i="7942"/>
  <c r="DI95" i="7942"/>
  <c r="O51" i="7942"/>
  <c r="N84" i="7942"/>
  <c r="V302" i="18"/>
  <c r="W302" i="18" s="1"/>
  <c r="X302" i="18" s="1"/>
  <c r="Y302" i="18" s="1"/>
  <c r="Z302" i="18" s="1"/>
  <c r="AA302" i="18" s="1"/>
  <c r="AB302" i="18" s="1"/>
  <c r="AC302" i="18" s="1"/>
  <c r="AD302" i="18" s="1"/>
  <c r="AE302" i="18" s="1"/>
  <c r="AF302" i="18" s="1"/>
  <c r="AG302" i="18" s="1"/>
  <c r="AH302" i="18" s="1"/>
  <c r="AI302" i="18" s="1"/>
  <c r="AJ302" i="18" s="1"/>
  <c r="AK302" i="18" s="1"/>
  <c r="AL302" i="18" s="1"/>
  <c r="AM302" i="18" s="1"/>
  <c r="AN302" i="18" s="1"/>
  <c r="AO302" i="18" s="1"/>
  <c r="AP302" i="18" s="1"/>
  <c r="AQ302" i="18" s="1"/>
  <c r="AR302" i="18" s="1"/>
  <c r="AS302" i="18" s="1"/>
  <c r="AT302" i="18" s="1"/>
  <c r="AU302" i="18" s="1"/>
  <c r="AV302" i="18" s="1"/>
  <c r="AW302" i="18" s="1"/>
  <c r="AX302" i="18" s="1"/>
  <c r="AY302" i="18" s="1"/>
  <c r="AZ302" i="18" s="1"/>
  <c r="BA302" i="18" s="1"/>
  <c r="BB302" i="18" s="1"/>
  <c r="BC302" i="18" s="1"/>
  <c r="BD302" i="18" s="1"/>
  <c r="BE302" i="18" s="1"/>
  <c r="BF302" i="18" s="1"/>
  <c r="BG302" i="18" s="1"/>
  <c r="BH302" i="18" s="1"/>
  <c r="BI302" i="18" s="1"/>
  <c r="Z50" i="7942"/>
  <c r="Y83" i="7942"/>
  <c r="Q264" i="18"/>
  <c r="R264" i="18" s="1"/>
  <c r="S264" i="18" s="1"/>
  <c r="T264" i="18" s="1"/>
  <c r="U264" i="18" s="1"/>
  <c r="V264" i="18" s="1"/>
  <c r="W264" i="18" s="1"/>
  <c r="X264" i="18" s="1"/>
  <c r="T613" i="18"/>
  <c r="O73" i="7942"/>
  <c r="N106" i="7942"/>
  <c r="AQ81" i="18"/>
  <c r="AR81" i="18" s="1"/>
  <c r="AS81" i="18" s="1"/>
  <c r="AT81" i="18" s="1"/>
  <c r="AU81" i="18" s="1"/>
  <c r="AV81" i="18" s="1"/>
  <c r="AW81" i="18" s="1"/>
  <c r="AX81" i="18" s="1"/>
  <c r="AY81" i="18" s="1"/>
  <c r="AZ81" i="18" s="1"/>
  <c r="BA81" i="18" s="1"/>
  <c r="BB81" i="18" s="1"/>
  <c r="BC81" i="18" s="1"/>
  <c r="BD81" i="18" s="1"/>
  <c r="BE81" i="18" s="1"/>
  <c r="BF81" i="18" s="1"/>
  <c r="BG81" i="18" s="1"/>
  <c r="BH81" i="18" s="1"/>
  <c r="BI81" i="18" s="1"/>
  <c r="AU104" i="7942"/>
  <c r="AV71" i="7942"/>
  <c r="Z70" i="7942"/>
  <c r="Y103" i="7942"/>
  <c r="DJ70" i="7942"/>
  <c r="DI103" i="7942"/>
  <c r="BE107" i="7942"/>
  <c r="V248" i="18"/>
  <c r="W248" i="18" s="1"/>
  <c r="X248" i="18" s="1"/>
  <c r="Y248" i="18" s="1"/>
  <c r="Z248" i="18" s="1"/>
  <c r="AA248" i="18" s="1"/>
  <c r="AB248" i="18" s="1"/>
  <c r="AC248" i="18" s="1"/>
  <c r="AD248" i="18" s="1"/>
  <c r="AE248" i="18" s="1"/>
  <c r="AF248" i="18" s="1"/>
  <c r="AG248" i="18" s="1"/>
  <c r="AH248" i="18" s="1"/>
  <c r="AI248" i="18" s="1"/>
  <c r="AJ248" i="18" s="1"/>
  <c r="AK248" i="18" s="1"/>
  <c r="AL248" i="18" s="1"/>
  <c r="AM248" i="18" s="1"/>
  <c r="AN248" i="18" s="1"/>
  <c r="AO248" i="18" s="1"/>
  <c r="AP248" i="18" s="1"/>
  <c r="AQ248" i="18" s="1"/>
  <c r="AR248" i="18" s="1"/>
  <c r="AS248" i="18" s="1"/>
  <c r="AT248" i="18" s="1"/>
  <c r="AU248" i="18" s="1"/>
  <c r="AV248" i="18" s="1"/>
  <c r="AW248" i="18" s="1"/>
  <c r="AX248" i="18" s="1"/>
  <c r="AY248" i="18" s="1"/>
  <c r="AZ248" i="18" s="1"/>
  <c r="BA248" i="18" s="1"/>
  <c r="BB248" i="18" s="1"/>
  <c r="BC248" i="18" s="1"/>
  <c r="BD248" i="18" s="1"/>
  <c r="BE248" i="18" s="1"/>
  <c r="BF248" i="18" s="1"/>
  <c r="BG248" i="18" s="1"/>
  <c r="BH248" i="18" s="1"/>
  <c r="BI248" i="18" s="1"/>
  <c r="CB94" i="7942"/>
  <c r="CC61" i="7942"/>
  <c r="CC57" i="7942"/>
  <c r="CB90" i="7942"/>
  <c r="N374" i="18"/>
  <c r="DI88" i="7942"/>
  <c r="DJ55" i="7942"/>
  <c r="S809" i="18"/>
  <c r="T809" i="18" s="1"/>
  <c r="U809" i="18" s="1"/>
  <c r="CN72" i="7942"/>
  <c r="CM105" i="7942"/>
  <c r="Q692" i="18"/>
  <c r="R692" i="18" s="1"/>
  <c r="S692" i="18" s="1"/>
  <c r="T692" i="18" s="1"/>
  <c r="U692" i="18" s="1"/>
  <c r="V692" i="18" s="1"/>
  <c r="W692" i="18" s="1"/>
  <c r="X692" i="18" s="1"/>
  <c r="Y692" i="18" s="1"/>
  <c r="P760" i="18"/>
  <c r="Q760" i="18" s="1"/>
  <c r="R760" i="18" s="1"/>
  <c r="T547" i="18"/>
  <c r="U547" i="18" s="1"/>
  <c r="S329" i="18"/>
  <c r="AK72" i="7942"/>
  <c r="AJ105" i="7942"/>
  <c r="CC54" i="7942"/>
  <c r="CB87" i="7942"/>
  <c r="P446" i="18"/>
  <c r="AV52" i="7942"/>
  <c r="AU85" i="7942"/>
  <c r="K88" i="7946"/>
  <c r="S63" i="7946"/>
  <c r="S64" i="7946" s="1"/>
  <c r="CA107" i="7942"/>
  <c r="S184" i="18"/>
  <c r="T184" i="18" s="1"/>
  <c r="U184" i="18" s="1"/>
  <c r="V184" i="18" s="1"/>
  <c r="W184" i="18" s="1"/>
  <c r="X184" i="18" s="1"/>
  <c r="Y184" i="18" s="1"/>
  <c r="Z184" i="18" s="1"/>
  <c r="AA184" i="18" s="1"/>
  <c r="AB184" i="18" s="1"/>
  <c r="AC184" i="18" s="1"/>
  <c r="AD184" i="18" s="1"/>
  <c r="AE184" i="18" s="1"/>
  <c r="AF184" i="18" s="1"/>
  <c r="AG184" i="18" s="1"/>
  <c r="AH184" i="18" s="1"/>
  <c r="AI184" i="18" s="1"/>
  <c r="AJ184" i="18" s="1"/>
  <c r="AK184" i="18" s="1"/>
  <c r="AL184" i="18" s="1"/>
  <c r="AM184" i="18" s="1"/>
  <c r="AN184" i="18" s="1"/>
  <c r="AO184" i="18" s="1"/>
  <c r="AP184" i="18" s="1"/>
  <c r="AQ184" i="18" s="1"/>
  <c r="AR184" i="18" s="1"/>
  <c r="AS184" i="18" s="1"/>
  <c r="AT184" i="18" s="1"/>
  <c r="AU184" i="18" s="1"/>
  <c r="AV184" i="18" s="1"/>
  <c r="AW184" i="18" s="1"/>
  <c r="AX184" i="18" s="1"/>
  <c r="AY184" i="18" s="1"/>
  <c r="AZ184" i="18" s="1"/>
  <c r="BA184" i="18" s="1"/>
  <c r="BB184" i="18" s="1"/>
  <c r="BC184" i="18" s="1"/>
  <c r="BD184" i="18" s="1"/>
  <c r="BE184" i="18" s="1"/>
  <c r="BF184" i="18" s="1"/>
  <c r="BG184" i="18" s="1"/>
  <c r="BH184" i="18" s="1"/>
  <c r="BI184" i="18" s="1"/>
  <c r="BG71" i="7942"/>
  <c r="BF104" i="7942"/>
  <c r="Q807" i="18"/>
  <c r="BR58" i="7942"/>
  <c r="BQ91" i="7942"/>
  <c r="BR68" i="7942"/>
  <c r="BQ101" i="7942"/>
  <c r="Q667" i="18"/>
  <c r="CM96" i="7942"/>
  <c r="CN63" i="7942"/>
  <c r="O63" i="7942"/>
  <c r="N96" i="7942"/>
  <c r="DJ59" i="7942"/>
  <c r="DI92" i="7942"/>
  <c r="AP110" i="18"/>
  <c r="N94" i="7942"/>
  <c r="O61" i="7942"/>
  <c r="T237" i="18"/>
  <c r="U237" i="18" s="1"/>
  <c r="V237" i="18" s="1"/>
  <c r="W237" i="18" s="1"/>
  <c r="X237" i="18" s="1"/>
  <c r="Y237" i="18" s="1"/>
  <c r="Z237" i="18" s="1"/>
  <c r="AA237" i="18" s="1"/>
  <c r="AB237" i="18" s="1"/>
  <c r="AC237" i="18" s="1"/>
  <c r="AD237" i="18" s="1"/>
  <c r="AE237" i="18" s="1"/>
  <c r="AF237" i="18" s="1"/>
  <c r="AG237" i="18" s="1"/>
  <c r="AH237" i="18" s="1"/>
  <c r="AI237" i="18" s="1"/>
  <c r="AJ237" i="18" s="1"/>
  <c r="AK237" i="18" s="1"/>
  <c r="AL237" i="18" s="1"/>
  <c r="AM237" i="18" s="1"/>
  <c r="AN237" i="18" s="1"/>
  <c r="AO237" i="18" s="1"/>
  <c r="AP237" i="18" s="1"/>
  <c r="AQ237" i="18" s="1"/>
  <c r="AR237" i="18" s="1"/>
  <c r="AS237" i="18" s="1"/>
  <c r="AT237" i="18" s="1"/>
  <c r="AU237" i="18" s="1"/>
  <c r="AV237" i="18" s="1"/>
  <c r="AW237" i="18" s="1"/>
  <c r="AX237" i="18" s="1"/>
  <c r="AY237" i="18" s="1"/>
  <c r="AZ237" i="18" s="1"/>
  <c r="BA237" i="18" s="1"/>
  <c r="BB237" i="18" s="1"/>
  <c r="BC237" i="18" s="1"/>
  <c r="BD237" i="18" s="1"/>
  <c r="BE237" i="18" s="1"/>
  <c r="BF237" i="18" s="1"/>
  <c r="BG237" i="18" s="1"/>
  <c r="BH237" i="18" s="1"/>
  <c r="BI237" i="18" s="1"/>
  <c r="CM93" i="7942"/>
  <c r="CN60" i="7942"/>
  <c r="P808" i="18"/>
  <c r="CN68" i="7942"/>
  <c r="CM101" i="7942"/>
  <c r="CN49" i="7942"/>
  <c r="CM82" i="7942"/>
  <c r="K163" i="24"/>
  <c r="K33" i="7943"/>
  <c r="L85" i="7946"/>
  <c r="M85" i="7946" s="1"/>
  <c r="N85" i="7946" s="1"/>
  <c r="O85" i="7946" s="1"/>
  <c r="P85" i="7946" s="1"/>
  <c r="O15" i="2"/>
  <c r="O19" i="2" s="1"/>
  <c r="P14" i="2"/>
  <c r="O10" i="24"/>
  <c r="O18" i="2"/>
  <c r="O20" i="2"/>
  <c r="O21" i="2" s="1"/>
  <c r="O22" i="2"/>
  <c r="BQ94" i="7942"/>
  <c r="BR61" i="7942"/>
  <c r="R118" i="18"/>
  <c r="S118" i="18" s="1"/>
  <c r="T118" i="18" s="1"/>
  <c r="U118" i="18" s="1"/>
  <c r="V118" i="18" s="1"/>
  <c r="W118" i="18" s="1"/>
  <c r="X118" i="18" s="1"/>
  <c r="Y118" i="18" s="1"/>
  <c r="Z118" i="18" s="1"/>
  <c r="AA118" i="18" s="1"/>
  <c r="AB118" i="18" s="1"/>
  <c r="AC118" i="18" s="1"/>
  <c r="AD118" i="18" s="1"/>
  <c r="AE118" i="18" s="1"/>
  <c r="AF118" i="18" s="1"/>
  <c r="AG118" i="18" s="1"/>
  <c r="AH118" i="18" s="1"/>
  <c r="AI118" i="18" s="1"/>
  <c r="AJ118" i="18" s="1"/>
  <c r="AK118" i="18" s="1"/>
  <c r="AL118" i="18" s="1"/>
  <c r="AM118" i="18" s="1"/>
  <c r="AN118" i="18" s="1"/>
  <c r="AO118" i="18" s="1"/>
  <c r="AP118" i="18" s="1"/>
  <c r="AQ118" i="18" s="1"/>
  <c r="AR118" i="18" s="1"/>
  <c r="AS118" i="18" s="1"/>
  <c r="AT118" i="18" s="1"/>
  <c r="AU118" i="18" s="1"/>
  <c r="AV118" i="18" s="1"/>
  <c r="AW118" i="18" s="1"/>
  <c r="AX118" i="18" s="1"/>
  <c r="AY118" i="18" s="1"/>
  <c r="AZ118" i="18" s="1"/>
  <c r="BA118" i="18" s="1"/>
  <c r="BB118" i="18" s="1"/>
  <c r="BC118" i="18" s="1"/>
  <c r="BD118" i="18" s="1"/>
  <c r="BE118" i="18" s="1"/>
  <c r="BF118" i="18" s="1"/>
  <c r="BG118" i="18" s="1"/>
  <c r="BH118" i="18" s="1"/>
  <c r="BI118" i="18" s="1"/>
  <c r="CC53" i="7942"/>
  <c r="CB86" i="7942"/>
  <c r="BG48" i="7942"/>
  <c r="BF81" i="7942"/>
  <c r="P447" i="18"/>
  <c r="N103" i="7942"/>
  <c r="O70" i="7942"/>
  <c r="P810" i="18"/>
  <c r="O665" i="18"/>
  <c r="O57" i="7942"/>
  <c r="N90" i="7942"/>
  <c r="DJ52" i="7942"/>
  <c r="DI85" i="7942"/>
  <c r="AC497" i="18"/>
  <c r="AD497" i="18" s="1"/>
  <c r="AE497" i="18" s="1"/>
  <c r="AF497" i="18" s="1"/>
  <c r="AG497" i="18" s="1"/>
  <c r="AH497" i="18" s="1"/>
  <c r="AI497" i="18" s="1"/>
  <c r="AJ497" i="18" s="1"/>
  <c r="AK497" i="18" s="1"/>
  <c r="AL497" i="18" s="1"/>
  <c r="AM497" i="18" s="1"/>
  <c r="AN497" i="18" s="1"/>
  <c r="AO497" i="18" s="1"/>
  <c r="AP497" i="18" s="1"/>
  <c r="AQ497" i="18" s="1"/>
  <c r="AR497" i="18" s="1"/>
  <c r="AS497" i="18" s="1"/>
  <c r="AT497" i="18" s="1"/>
  <c r="AU497" i="18" s="1"/>
  <c r="AV497" i="18" s="1"/>
  <c r="AW497" i="18" s="1"/>
  <c r="AX497" i="18" s="1"/>
  <c r="AY497" i="18" s="1"/>
  <c r="AZ497" i="18" s="1"/>
  <c r="BA497" i="18" s="1"/>
  <c r="BB497" i="18" s="1"/>
  <c r="BC497" i="18" s="1"/>
  <c r="BD497" i="18" s="1"/>
  <c r="BE497" i="18" s="1"/>
  <c r="BF497" i="18" s="1"/>
  <c r="BG497" i="18" s="1"/>
  <c r="BH497" i="18" s="1"/>
  <c r="BI497" i="18" s="1"/>
  <c r="R575" i="18"/>
  <c r="BQ81" i="7942"/>
  <c r="BR48" i="7942"/>
  <c r="DI87" i="7942"/>
  <c r="DJ54" i="7942"/>
  <c r="N426" i="18"/>
  <c r="AU84" i="7942"/>
  <c r="AV51" i="7942"/>
  <c r="S717" i="18"/>
  <c r="AC500" i="18"/>
  <c r="P825" i="18"/>
  <c r="P312" i="18"/>
  <c r="Q312" i="18" s="1"/>
  <c r="R312" i="18" s="1"/>
  <c r="AG508" i="18"/>
  <c r="AU94" i="7942"/>
  <c r="AV61" i="7942"/>
  <c r="P301" i="18"/>
  <c r="BP107" i="7942"/>
  <c r="Q742" i="18"/>
  <c r="CL107" i="7942"/>
  <c r="P565" i="18"/>
  <c r="Q565" i="18" s="1"/>
  <c r="P708" i="18"/>
  <c r="O799" i="18"/>
  <c r="P799" i="18" s="1"/>
  <c r="N487" i="18"/>
  <c r="N864" i="18"/>
  <c r="N604" i="18"/>
  <c r="O526" i="18"/>
  <c r="BF84" i="7942"/>
  <c r="BG51" i="7942"/>
  <c r="R133" i="18"/>
  <c r="S133" i="18" s="1"/>
  <c r="Q797" i="18"/>
  <c r="R797" i="18" s="1"/>
  <c r="S797" i="18" s="1"/>
  <c r="AV56" i="7942"/>
  <c r="AU89" i="7942"/>
  <c r="AV64" i="7942"/>
  <c r="AU97" i="7942"/>
  <c r="CB100" i="7942"/>
  <c r="CC67" i="7942"/>
  <c r="BF99" i="7942"/>
  <c r="BG66" i="7942"/>
  <c r="S834" i="18"/>
  <c r="T834" i="18" s="1"/>
  <c r="U834" i="18" s="1"/>
  <c r="V834" i="18" s="1"/>
  <c r="W834" i="18" s="1"/>
  <c r="X834" i="18" s="1"/>
  <c r="M439" i="18"/>
  <c r="O654" i="18"/>
  <c r="P654" i="18" s="1"/>
  <c r="M544" i="18"/>
  <c r="N322" i="18"/>
  <c r="CN69" i="7942"/>
  <c r="CM102" i="7942"/>
  <c r="Q262" i="18"/>
  <c r="CB82" i="7942"/>
  <c r="CC49" i="7942"/>
  <c r="O291" i="18"/>
  <c r="P291" i="18" s="1"/>
  <c r="Z53" i="7942"/>
  <c r="Y86" i="7942"/>
  <c r="DJ72" i="7942"/>
  <c r="DI105" i="7942"/>
  <c r="N785" i="18"/>
  <c r="W731" i="18"/>
  <c r="DJ68" i="7942"/>
  <c r="DI101" i="7942"/>
  <c r="O768" i="18"/>
  <c r="O837" i="18"/>
  <c r="CY71" i="7942"/>
  <c r="CX104" i="7942"/>
  <c r="O486" i="18"/>
  <c r="O549" i="18"/>
  <c r="V743" i="18"/>
  <c r="BR67" i="7942"/>
  <c r="BQ100" i="7942"/>
  <c r="P416" i="18"/>
  <c r="CY52" i="7942"/>
  <c r="CX85" i="7942"/>
  <c r="AV69" i="7942"/>
  <c r="AU102" i="7942"/>
  <c r="CM81" i="7942"/>
  <c r="CN48" i="7942"/>
  <c r="O682" i="18"/>
  <c r="O656" i="18"/>
  <c r="O669" i="18"/>
  <c r="P669" i="18" s="1"/>
  <c r="R562" i="18"/>
  <c r="S562" i="18" s="1"/>
  <c r="CX95" i="7942"/>
  <c r="CY62" i="7942"/>
  <c r="Q783" i="18"/>
  <c r="R783" i="18" s="1"/>
  <c r="AK53" i="7942"/>
  <c r="AJ86" i="7942"/>
  <c r="Y430" i="18"/>
  <c r="Z430" i="18" s="1"/>
  <c r="AA430" i="18" s="1"/>
  <c r="AB430" i="18" s="1"/>
  <c r="AC430" i="18" s="1"/>
  <c r="AD430" i="18" s="1"/>
  <c r="AE430" i="18" s="1"/>
  <c r="AF430" i="18" s="1"/>
  <c r="AG430" i="18" s="1"/>
  <c r="AH430" i="18" s="1"/>
  <c r="AI430" i="18" s="1"/>
  <c r="AJ430" i="18" s="1"/>
  <c r="AK430" i="18" s="1"/>
  <c r="AL430" i="18" s="1"/>
  <c r="AM430" i="18" s="1"/>
  <c r="AN430" i="18" s="1"/>
  <c r="AO430" i="18" s="1"/>
  <c r="AP430" i="18" s="1"/>
  <c r="AQ430" i="18" s="1"/>
  <c r="AR430" i="18" s="1"/>
  <c r="AS430" i="18" s="1"/>
  <c r="AT430" i="18" s="1"/>
  <c r="AU430" i="18" s="1"/>
  <c r="AV430" i="18" s="1"/>
  <c r="AW430" i="18" s="1"/>
  <c r="AX430" i="18" s="1"/>
  <c r="AY430" i="18" s="1"/>
  <c r="AZ430" i="18" s="1"/>
  <c r="BA430" i="18" s="1"/>
  <c r="BB430" i="18" s="1"/>
  <c r="BC430" i="18" s="1"/>
  <c r="BD430" i="18" s="1"/>
  <c r="BE430" i="18" s="1"/>
  <c r="BF430" i="18" s="1"/>
  <c r="BG430" i="18" s="1"/>
  <c r="BH430" i="18" s="1"/>
  <c r="BI430" i="18" s="1"/>
  <c r="M661" i="18"/>
  <c r="P705" i="18"/>
  <c r="Q705" i="18" s="1"/>
  <c r="S846" i="18"/>
  <c r="S679" i="18"/>
  <c r="BR64" i="7942"/>
  <c r="BQ97" i="7942"/>
  <c r="BR52" i="7942"/>
  <c r="BQ85" i="7942"/>
  <c r="P729" i="18"/>
  <c r="AQ80" i="18"/>
  <c r="AR80" i="18" s="1"/>
  <c r="AS80" i="18" s="1"/>
  <c r="AT80" i="18" s="1"/>
  <c r="AU80" i="18" s="1"/>
  <c r="AV80" i="18" s="1"/>
  <c r="AW80" i="18" s="1"/>
  <c r="AX80" i="18" s="1"/>
  <c r="AY80" i="18" s="1"/>
  <c r="AZ80" i="18" s="1"/>
  <c r="BA80" i="18" s="1"/>
  <c r="BB80" i="18" s="1"/>
  <c r="BC80" i="18" s="1"/>
  <c r="BD80" i="18" s="1"/>
  <c r="BE80" i="18" s="1"/>
  <c r="BF80" i="18" s="1"/>
  <c r="BG80" i="18" s="1"/>
  <c r="BH80" i="18" s="1"/>
  <c r="BI80" i="18" s="1"/>
  <c r="N823" i="18"/>
  <c r="O551" i="18"/>
  <c r="R863" i="18"/>
  <c r="DJ66" i="7942"/>
  <c r="DI99" i="7942"/>
  <c r="CN55" i="7942"/>
  <c r="CM88" i="7942"/>
  <c r="AE158" i="18"/>
  <c r="AF158" i="18" s="1"/>
  <c r="AG158" i="18" s="1"/>
  <c r="AH158" i="18" s="1"/>
  <c r="AI158" i="18" s="1"/>
  <c r="AJ158" i="18" s="1"/>
  <c r="AK158" i="18" s="1"/>
  <c r="AL158" i="18" s="1"/>
  <c r="AM158" i="18" s="1"/>
  <c r="AN158" i="18" s="1"/>
  <c r="AO158" i="18" s="1"/>
  <c r="AP158" i="18" s="1"/>
  <c r="AQ158" i="18" s="1"/>
  <c r="AR158" i="18" s="1"/>
  <c r="AS158" i="18" s="1"/>
  <c r="AT158" i="18" s="1"/>
  <c r="AU158" i="18" s="1"/>
  <c r="AV158" i="18" s="1"/>
  <c r="AW158" i="18" s="1"/>
  <c r="Q757" i="18"/>
  <c r="O695" i="18"/>
  <c r="N552" i="18"/>
  <c r="O578" i="18"/>
  <c r="Q535" i="18"/>
  <c r="R535" i="18" s="1"/>
  <c r="DJ71" i="7942"/>
  <c r="DI104" i="7942"/>
  <c r="AU101" i="7942"/>
  <c r="AV68" i="7942"/>
  <c r="P707" i="18"/>
  <c r="O694" i="18"/>
  <c r="S600" i="18"/>
  <c r="Q156" i="18"/>
  <c r="BF94" i="7942"/>
  <c r="BG61" i="7942"/>
  <c r="AK70" i="7942"/>
  <c r="AJ103" i="7942"/>
  <c r="AU105" i="7942"/>
  <c r="AV72" i="7942"/>
  <c r="M885" i="18"/>
  <c r="N885" i="18" s="1"/>
  <c r="O885" i="18" s="1"/>
  <c r="P885" i="18" s="1"/>
  <c r="DJ49" i="7942"/>
  <c r="DI82" i="7942"/>
  <c r="CX94" i="7942"/>
  <c r="CY61" i="7942"/>
  <c r="CM100" i="7942"/>
  <c r="CN67" i="7942"/>
  <c r="O759" i="18"/>
  <c r="P759" i="18" s="1"/>
  <c r="Q759" i="18" s="1"/>
  <c r="P525" i="18"/>
  <c r="Q525" i="18" s="1"/>
  <c r="N718" i="18"/>
  <c r="Y94" i="7942"/>
  <c r="Z61" i="7942"/>
  <c r="N92" i="7942"/>
  <c r="O59" i="7942"/>
  <c r="AV66" i="7942"/>
  <c r="AU99" i="7942"/>
  <c r="O642" i="18"/>
  <c r="P642" i="18" s="1"/>
  <c r="AK71" i="7942"/>
  <c r="AJ104" i="7942"/>
  <c r="AV65" i="7942"/>
  <c r="AU98" i="7942"/>
  <c r="Q690" i="18"/>
  <c r="R690" i="18" s="1"/>
  <c r="AB513" i="18"/>
  <c r="O591" i="18"/>
  <c r="O539" i="18"/>
  <c r="O721" i="18"/>
  <c r="P721" i="18" s="1"/>
  <c r="Q721" i="18" s="1"/>
  <c r="N851" i="18"/>
  <c r="BQ86" i="7942"/>
  <c r="BR53" i="7942"/>
  <c r="O884" i="18"/>
  <c r="P884" i="18" s="1"/>
  <c r="BQ84" i="7942"/>
  <c r="BR51" i="7942"/>
  <c r="P586" i="18"/>
  <c r="M739" i="18"/>
  <c r="S720" i="18"/>
  <c r="T720" i="18" s="1"/>
  <c r="BG70" i="7942"/>
  <c r="BF103" i="7942"/>
  <c r="O343" i="18"/>
  <c r="T820" i="18"/>
  <c r="AC499" i="18"/>
  <c r="AK60" i="7942"/>
  <c r="AJ93" i="7942"/>
  <c r="DJ58" i="7942"/>
  <c r="DI91" i="7942"/>
  <c r="BQ106" i="7942"/>
  <c r="BR73" i="7942"/>
  <c r="S626" i="18"/>
  <c r="O758" i="18"/>
  <c r="CX83" i="7942"/>
  <c r="CY50" i="7942"/>
  <c r="Q460" i="18"/>
  <c r="N361" i="18"/>
  <c r="O351" i="18"/>
  <c r="S524" i="18"/>
  <c r="P603" i="18"/>
  <c r="Q603" i="18" s="1"/>
  <c r="P550" i="18"/>
  <c r="Q382" i="18"/>
  <c r="R382" i="18" s="1"/>
  <c r="S382" i="18" s="1"/>
  <c r="M531" i="18"/>
  <c r="R522" i="18"/>
  <c r="AQ93" i="18"/>
  <c r="AR93" i="18" s="1"/>
  <c r="AS93" i="18" s="1"/>
  <c r="AT93" i="18" s="1"/>
  <c r="AU93" i="18" s="1"/>
  <c r="AV93" i="18" s="1"/>
  <c r="AW93" i="18" s="1"/>
  <c r="AX93" i="18" s="1"/>
  <c r="AY93" i="18" s="1"/>
  <c r="AZ93" i="18" s="1"/>
  <c r="BA93" i="18" s="1"/>
  <c r="BB93" i="18" s="1"/>
  <c r="BC93" i="18" s="1"/>
  <c r="BD93" i="18" s="1"/>
  <c r="BE93" i="18" s="1"/>
  <c r="BF93" i="18" s="1"/>
  <c r="BG93" i="18" s="1"/>
  <c r="BH93" i="18" s="1"/>
  <c r="BI93" i="18" s="1"/>
  <c r="M622" i="18"/>
  <c r="N616" i="18"/>
  <c r="O616" i="18" s="1"/>
  <c r="AU86" i="7942"/>
  <c r="AV53" i="7942"/>
  <c r="CX86" i="7942"/>
  <c r="CY53" i="7942"/>
  <c r="P549" i="18"/>
  <c r="M74" i="7946"/>
  <c r="N74" i="7946" s="1"/>
  <c r="BG65" i="7942"/>
  <c r="BF98" i="7942"/>
  <c r="BQ96" i="7942"/>
  <c r="BR63" i="7942"/>
  <c r="CY56" i="7942"/>
  <c r="CX89" i="7942"/>
  <c r="CN71" i="7942"/>
  <c r="CM104" i="7942"/>
  <c r="R146" i="18"/>
  <c r="S146" i="18" s="1"/>
  <c r="N95" i="7942"/>
  <c r="O62" i="7942"/>
  <c r="L41" i="18"/>
  <c r="M778" i="18"/>
  <c r="AV73" i="7942"/>
  <c r="AU106" i="7942"/>
  <c r="M830" i="18"/>
  <c r="R681" i="18"/>
  <c r="S681" i="18" s="1"/>
  <c r="T681" i="18" s="1"/>
  <c r="AK65" i="7942"/>
  <c r="AJ98" i="7942"/>
  <c r="AG456" i="18"/>
  <c r="AH456" i="18" s="1"/>
  <c r="AI456" i="18" s="1"/>
  <c r="AJ456" i="18" s="1"/>
  <c r="AK456" i="18" s="1"/>
  <c r="AL456" i="18" s="1"/>
  <c r="AM456" i="18" s="1"/>
  <c r="AN456" i="18" s="1"/>
  <c r="AO456" i="18" s="1"/>
  <c r="AP456" i="18" s="1"/>
  <c r="AQ456" i="18" s="1"/>
  <c r="AR456" i="18" s="1"/>
  <c r="AS456" i="18" s="1"/>
  <c r="AT456" i="18" s="1"/>
  <c r="AU456" i="18" s="1"/>
  <c r="AV456" i="18" s="1"/>
  <c r="AW456" i="18" s="1"/>
  <c r="AX456" i="18" s="1"/>
  <c r="AY456" i="18" s="1"/>
  <c r="AZ456" i="18" s="1"/>
  <c r="BA456" i="18" s="1"/>
  <c r="BB456" i="18" s="1"/>
  <c r="BC456" i="18" s="1"/>
  <c r="BD456" i="18" s="1"/>
  <c r="BE456" i="18" s="1"/>
  <c r="BF456" i="18" s="1"/>
  <c r="BG456" i="18" s="1"/>
  <c r="BH456" i="18" s="1"/>
  <c r="BI456" i="18" s="1"/>
  <c r="AT107" i="7942"/>
  <c r="CB99" i="7942"/>
  <c r="CC66" i="7942"/>
  <c r="U548" i="18"/>
  <c r="V548" i="18" s="1"/>
  <c r="W548" i="18" s="1"/>
  <c r="X548" i="18" s="1"/>
  <c r="Y548" i="18" s="1"/>
  <c r="Z548" i="18" s="1"/>
  <c r="AA548" i="18" s="1"/>
  <c r="AB548" i="18" s="1"/>
  <c r="AC548" i="18" s="1"/>
  <c r="AD548" i="18" s="1"/>
  <c r="AE548" i="18" s="1"/>
  <c r="AF548" i="18" s="1"/>
  <c r="AG548" i="18" s="1"/>
  <c r="AH548" i="18" s="1"/>
  <c r="AI548" i="18" s="1"/>
  <c r="AJ548" i="18" s="1"/>
  <c r="AK548" i="18" s="1"/>
  <c r="AL548" i="18" s="1"/>
  <c r="AM548" i="18" s="1"/>
  <c r="AN548" i="18" s="1"/>
  <c r="AO548" i="18" s="1"/>
  <c r="AP548" i="18" s="1"/>
  <c r="AQ548" i="18" s="1"/>
  <c r="AR548" i="18" s="1"/>
  <c r="AS548" i="18" s="1"/>
  <c r="AT548" i="18" s="1"/>
  <c r="AU548" i="18" s="1"/>
  <c r="AV548" i="18" s="1"/>
  <c r="AW548" i="18" s="1"/>
  <c r="AX548" i="18" s="1"/>
  <c r="AY548" i="18" s="1"/>
  <c r="AZ548" i="18" s="1"/>
  <c r="BA548" i="18" s="1"/>
  <c r="BB548" i="18" s="1"/>
  <c r="BC548" i="18" s="1"/>
  <c r="BD548" i="18" s="1"/>
  <c r="BE548" i="18" s="1"/>
  <c r="BF548" i="18" s="1"/>
  <c r="BG548" i="18" s="1"/>
  <c r="BH548" i="18" s="1"/>
  <c r="BI548" i="18" s="1"/>
  <c r="O811" i="18"/>
  <c r="AE498" i="18"/>
  <c r="AF498" i="18" s="1"/>
  <c r="AG498" i="18" s="1"/>
  <c r="AH498" i="18" s="1"/>
  <c r="AI498" i="18" s="1"/>
  <c r="AJ498" i="18" s="1"/>
  <c r="AK498" i="18" s="1"/>
  <c r="AL498" i="18" s="1"/>
  <c r="AM498" i="18" s="1"/>
  <c r="AN498" i="18" s="1"/>
  <c r="AO498" i="18" s="1"/>
  <c r="AP498" i="18" s="1"/>
  <c r="AQ498" i="18" s="1"/>
  <c r="AR498" i="18" s="1"/>
  <c r="AS498" i="18" s="1"/>
  <c r="AT498" i="18" s="1"/>
  <c r="AU498" i="18" s="1"/>
  <c r="AV498" i="18" s="1"/>
  <c r="AW498" i="18" s="1"/>
  <c r="AX498" i="18" s="1"/>
  <c r="AY498" i="18" s="1"/>
  <c r="AZ498" i="18" s="1"/>
  <c r="BA498" i="18" s="1"/>
  <c r="BB498" i="18" s="1"/>
  <c r="BC498" i="18" s="1"/>
  <c r="BD498" i="18" s="1"/>
  <c r="BE498" i="18" s="1"/>
  <c r="BF498" i="18" s="1"/>
  <c r="BG498" i="18" s="1"/>
  <c r="BH498" i="18" s="1"/>
  <c r="BI498" i="18" s="1"/>
  <c r="P786" i="18"/>
  <c r="Q786" i="18" s="1"/>
  <c r="N787" i="18"/>
  <c r="O787" i="18" s="1"/>
  <c r="N644" i="18"/>
  <c r="N709" i="18"/>
  <c r="O709" i="18" s="1"/>
  <c r="P709" i="18" s="1"/>
  <c r="N7" i="18"/>
  <c r="N618" i="18"/>
  <c r="O618" i="18" s="1"/>
  <c r="N852" i="18"/>
  <c r="N748" i="18"/>
  <c r="N752" i="18" s="1"/>
  <c r="N735" i="18"/>
  <c r="O735" i="18" s="1"/>
  <c r="N826" i="18"/>
  <c r="O826" i="18" s="1"/>
  <c r="N605" i="18"/>
  <c r="N527" i="18"/>
  <c r="N531" i="18" s="1"/>
  <c r="N761" i="18"/>
  <c r="N865" i="18"/>
  <c r="O865" i="18" s="1"/>
  <c r="P865" i="18" s="1"/>
  <c r="N696" i="18"/>
  <c r="N700" i="18" s="1"/>
  <c r="N657" i="18"/>
  <c r="O657" i="18" s="1"/>
  <c r="N579" i="18"/>
  <c r="O579" i="18" s="1"/>
  <c r="N566" i="18"/>
  <c r="N839" i="18"/>
  <c r="N843" i="18" s="1"/>
  <c r="N774" i="18"/>
  <c r="N778" i="18" s="1"/>
  <c r="N813" i="18"/>
  <c r="N553" i="18"/>
  <c r="O553" i="18" s="1"/>
  <c r="N488" i="18"/>
  <c r="O488" i="18" s="1"/>
  <c r="N540" i="18"/>
  <c r="N544" i="18" s="1"/>
  <c r="N683" i="18"/>
  <c r="N670" i="18"/>
  <c r="N800" i="18"/>
  <c r="O800" i="18" s="1"/>
  <c r="N631" i="18"/>
  <c r="N592" i="18"/>
  <c r="N722" i="18"/>
  <c r="O722" i="18" s="1"/>
  <c r="W514" i="18"/>
  <c r="S514" i="18"/>
  <c r="V514" i="18"/>
  <c r="N501" i="18"/>
  <c r="S501" i="18"/>
  <c r="Y514" i="18"/>
  <c r="O514" i="18"/>
  <c r="U514" i="18"/>
  <c r="R514" i="18"/>
  <c r="X514" i="18"/>
  <c r="Z501" i="18"/>
  <c r="AB501" i="18"/>
  <c r="P514" i="18"/>
  <c r="AB514" i="18"/>
  <c r="Q514" i="18"/>
  <c r="W501" i="18"/>
  <c r="N514" i="18"/>
  <c r="N518" i="18" s="1"/>
  <c r="T514" i="18"/>
  <c r="Q501" i="18"/>
  <c r="O501" i="18"/>
  <c r="R501" i="18"/>
  <c r="Z514" i="18"/>
  <c r="X501" i="18"/>
  <c r="P501" i="18"/>
  <c r="U501" i="18"/>
  <c r="AA501" i="18"/>
  <c r="AA514" i="18"/>
  <c r="T501" i="18"/>
  <c r="Y501" i="18"/>
  <c r="V501" i="18"/>
  <c r="S148" i="18"/>
  <c r="Q120" i="18"/>
  <c r="R120" i="18" s="1"/>
  <c r="BQ82" i="7942"/>
  <c r="BR49" i="7942"/>
  <c r="CW107" i="7942"/>
  <c r="O590" i="18"/>
  <c r="M348" i="18"/>
  <c r="N338" i="18"/>
  <c r="O338" i="18" s="1"/>
  <c r="BG69" i="7942"/>
  <c r="BF102" i="7942"/>
  <c r="O589" i="18"/>
  <c r="CY59" i="7942"/>
  <c r="CX92" i="7942"/>
  <c r="O65" i="7942"/>
  <c r="N98" i="7942"/>
  <c r="AU103" i="7942"/>
  <c r="AV70" i="7942"/>
  <c r="CB103" i="7942"/>
  <c r="CC70" i="7942"/>
  <c r="CN61" i="7942"/>
  <c r="CM94" i="7942"/>
  <c r="Q798" i="18"/>
  <c r="AJ90" i="7942"/>
  <c r="AK57" i="7942"/>
  <c r="P234" i="18"/>
  <c r="Y100" i="7942"/>
  <c r="Z67" i="7942"/>
  <c r="BR50" i="7942"/>
  <c r="BQ83" i="7942"/>
  <c r="AV48" i="7942"/>
  <c r="AU81" i="7942"/>
  <c r="S601" i="18"/>
  <c r="T601" i="18" s="1"/>
  <c r="U601" i="18" s="1"/>
  <c r="Q693" i="18"/>
  <c r="O668" i="18"/>
  <c r="Z52" i="7942"/>
  <c r="Y85" i="7942"/>
  <c r="BQ102" i="7942"/>
  <c r="BR69" i="7942"/>
  <c r="BQ103" i="7942"/>
  <c r="BR70" i="7942"/>
  <c r="CX81" i="7942"/>
  <c r="CY48" i="7942"/>
  <c r="P771" i="18"/>
  <c r="M635" i="18"/>
  <c r="N627" i="18"/>
  <c r="R614" i="18"/>
  <c r="BQ88" i="7942"/>
  <c r="BR55" i="7942"/>
  <c r="O848" i="18"/>
  <c r="O211" i="18"/>
  <c r="CC52" i="7942"/>
  <c r="CB85" i="7942"/>
  <c r="BF93" i="7942"/>
  <c r="BG60" i="7942"/>
  <c r="P719" i="18"/>
  <c r="O69" i="7942"/>
  <c r="N102" i="7942"/>
  <c r="Q861" i="18"/>
  <c r="M713" i="18"/>
  <c r="N706" i="18"/>
  <c r="Z64" i="7942"/>
  <c r="Y97" i="7942"/>
  <c r="O732" i="18"/>
  <c r="CY65" i="7942"/>
  <c r="CX98" i="7942"/>
  <c r="P746" i="18"/>
  <c r="AB512" i="18"/>
  <c r="N655" i="18"/>
  <c r="Y88" i="7942"/>
  <c r="Z55" i="7942"/>
  <c r="Q796" i="18"/>
  <c r="BG59" i="7942"/>
  <c r="BF92" i="7942"/>
  <c r="O54" i="7942"/>
  <c r="N87" i="7942"/>
  <c r="M596" i="18"/>
  <c r="T588" i="18"/>
  <c r="M726" i="18"/>
  <c r="AV54" i="7942"/>
  <c r="AU87" i="7942"/>
  <c r="AJ89" i="7942"/>
  <c r="AK56" i="7942"/>
  <c r="N429" i="18"/>
  <c r="O429" i="18" s="1"/>
  <c r="N733" i="18"/>
  <c r="CX90" i="7942"/>
  <c r="CY57" i="7942"/>
  <c r="AK50" i="7942"/>
  <c r="AJ83" i="7942"/>
  <c r="Y90" i="7942"/>
  <c r="Z57" i="7942"/>
  <c r="P770" i="18"/>
  <c r="Q770" i="18" s="1"/>
  <c r="R770" i="18" s="1"/>
  <c r="CB88" i="7942"/>
  <c r="CC55" i="7942"/>
  <c r="BF86" i="7942"/>
  <c r="BG53" i="7942"/>
  <c r="O538" i="18"/>
  <c r="AV63" i="7942"/>
  <c r="AU96" i="7942"/>
  <c r="AK55" i="7942"/>
  <c r="AJ88" i="7942"/>
  <c r="O564" i="18"/>
  <c r="BC159" i="18"/>
  <c r="BD159" i="18" s="1"/>
  <c r="BE159" i="18" s="1"/>
  <c r="BF159" i="18" s="1"/>
  <c r="BG159" i="18" s="1"/>
  <c r="BH159" i="18" s="1"/>
  <c r="BI159" i="18" s="1"/>
  <c r="S577" i="18"/>
  <c r="T577" i="18" s="1"/>
  <c r="U577" i="18" s="1"/>
  <c r="Z795" i="18" l="1"/>
  <c r="AA795" i="18" s="1"/>
  <c r="AB795" i="18" s="1"/>
  <c r="AC795" i="18" s="1"/>
  <c r="AD795" i="18" s="1"/>
  <c r="AE795" i="18" s="1"/>
  <c r="AF795" i="18" s="1"/>
  <c r="AG795" i="18" s="1"/>
  <c r="AH795" i="18" s="1"/>
  <c r="AI795" i="18" s="1"/>
  <c r="AJ795" i="18" s="1"/>
  <c r="AK795" i="18" s="1"/>
  <c r="AL795" i="18" s="1"/>
  <c r="AM795" i="18" s="1"/>
  <c r="AN795" i="18" s="1"/>
  <c r="AO795" i="18" s="1"/>
  <c r="AP795" i="18" s="1"/>
  <c r="AQ795" i="18" s="1"/>
  <c r="AR795" i="18" s="1"/>
  <c r="AS795" i="18" s="1"/>
  <c r="AT795" i="18" s="1"/>
  <c r="AU795" i="18" s="1"/>
  <c r="AV795" i="18" s="1"/>
  <c r="AW795" i="18" s="1"/>
  <c r="AX795" i="18" s="1"/>
  <c r="AY795" i="18" s="1"/>
  <c r="AZ795" i="18" s="1"/>
  <c r="BA795" i="18" s="1"/>
  <c r="BB795" i="18" s="1"/>
  <c r="BC795" i="18" s="1"/>
  <c r="BD795" i="18" s="1"/>
  <c r="BE795" i="18" s="1"/>
  <c r="BF795" i="18" s="1"/>
  <c r="BG795" i="18" s="1"/>
  <c r="BH795" i="18" s="1"/>
  <c r="BI795" i="18" s="1"/>
  <c r="M99" i="7946"/>
  <c r="N99" i="7946" s="1"/>
  <c r="T366" i="18"/>
  <c r="N413" i="18"/>
  <c r="O413" i="18"/>
  <c r="Q773" i="18"/>
  <c r="K875" i="18"/>
  <c r="T370" i="18"/>
  <c r="U370" i="18" s="1"/>
  <c r="V370" i="18" s="1"/>
  <c r="W370" i="18" s="1"/>
  <c r="V171" i="18"/>
  <c r="S394" i="18"/>
  <c r="S421" i="18"/>
  <c r="T356" i="18"/>
  <c r="U356" i="18" s="1"/>
  <c r="V356" i="18" s="1"/>
  <c r="Y225" i="18"/>
  <c r="Z225" i="18" s="1"/>
  <c r="AA225" i="18" s="1"/>
  <c r="AB225" i="18" s="1"/>
  <c r="AC225" i="18" s="1"/>
  <c r="AD225" i="18" s="1"/>
  <c r="AE225" i="18" s="1"/>
  <c r="AF225" i="18" s="1"/>
  <c r="AG225" i="18" s="1"/>
  <c r="AH225" i="18" s="1"/>
  <c r="AI225" i="18" s="1"/>
  <c r="AJ225" i="18" s="1"/>
  <c r="AK225" i="18" s="1"/>
  <c r="AL225" i="18" s="1"/>
  <c r="AM225" i="18" s="1"/>
  <c r="AN225" i="18" s="1"/>
  <c r="AO225" i="18" s="1"/>
  <c r="AP225" i="18" s="1"/>
  <c r="AQ225" i="18" s="1"/>
  <c r="AR225" i="18" s="1"/>
  <c r="AS225" i="18" s="1"/>
  <c r="AT225" i="18" s="1"/>
  <c r="AU225" i="18" s="1"/>
  <c r="AV225" i="18" s="1"/>
  <c r="AW225" i="18" s="1"/>
  <c r="AX225" i="18" s="1"/>
  <c r="AY225" i="18" s="1"/>
  <c r="AZ225" i="18" s="1"/>
  <c r="BA225" i="18" s="1"/>
  <c r="BB225" i="18" s="1"/>
  <c r="BC225" i="18" s="1"/>
  <c r="BD225" i="18" s="1"/>
  <c r="BE225" i="18" s="1"/>
  <c r="BF225" i="18" s="1"/>
  <c r="BG225" i="18" s="1"/>
  <c r="BH225" i="18" s="1"/>
  <c r="BI225" i="18" s="1"/>
  <c r="K151" i="24"/>
  <c r="L151" i="24" s="1"/>
  <c r="Q409" i="18"/>
  <c r="R409" i="18" s="1"/>
  <c r="N130" i="18"/>
  <c r="M140" i="18"/>
  <c r="O218" i="18"/>
  <c r="S704" i="18"/>
  <c r="T704" i="18" s="1"/>
  <c r="U704" i="18" s="1"/>
  <c r="V704" i="18" s="1"/>
  <c r="W704" i="18" s="1"/>
  <c r="X704" i="18" s="1"/>
  <c r="Y704" i="18" s="1"/>
  <c r="Z704" i="18" s="1"/>
  <c r="AA704" i="18" s="1"/>
  <c r="AB704" i="18" s="1"/>
  <c r="AC704" i="18" s="1"/>
  <c r="AD704" i="18" s="1"/>
  <c r="AE704" i="18" s="1"/>
  <c r="AF704" i="18" s="1"/>
  <c r="AG704" i="18" s="1"/>
  <c r="AH704" i="18" s="1"/>
  <c r="AI704" i="18" s="1"/>
  <c r="AJ704" i="18" s="1"/>
  <c r="AK704" i="18" s="1"/>
  <c r="AL704" i="18" s="1"/>
  <c r="AM704" i="18" s="1"/>
  <c r="AN704" i="18" s="1"/>
  <c r="AO704" i="18" s="1"/>
  <c r="AP704" i="18" s="1"/>
  <c r="AQ704" i="18" s="1"/>
  <c r="AR704" i="18" s="1"/>
  <c r="AS704" i="18" s="1"/>
  <c r="AT704" i="18" s="1"/>
  <c r="AU704" i="18" s="1"/>
  <c r="AV704" i="18" s="1"/>
  <c r="AW704" i="18" s="1"/>
  <c r="AX704" i="18" s="1"/>
  <c r="AY704" i="18" s="1"/>
  <c r="AZ704" i="18" s="1"/>
  <c r="BA704" i="18" s="1"/>
  <c r="BB704" i="18" s="1"/>
  <c r="BC704" i="18" s="1"/>
  <c r="BD704" i="18" s="1"/>
  <c r="BE704" i="18" s="1"/>
  <c r="BF704" i="18" s="1"/>
  <c r="BG704" i="18" s="1"/>
  <c r="BH704" i="18" s="1"/>
  <c r="BI704" i="18" s="1"/>
  <c r="S316" i="18"/>
  <c r="T316" i="18" s="1"/>
  <c r="M41" i="18"/>
  <c r="K91" i="7946"/>
  <c r="S91" i="7946" s="1"/>
  <c r="S92" i="7946" s="1"/>
  <c r="V574" i="18"/>
  <c r="W574" i="18" s="1"/>
  <c r="Q383" i="18"/>
  <c r="R383" i="18" s="1"/>
  <c r="S120" i="18"/>
  <c r="T120" i="18" s="1"/>
  <c r="U120" i="18" s="1"/>
  <c r="Q860" i="18"/>
  <c r="R860" i="18" s="1"/>
  <c r="Q291" i="18"/>
  <c r="R291" i="18" s="1"/>
  <c r="Q306" i="18"/>
  <c r="R306" i="18" s="1"/>
  <c r="U224" i="18"/>
  <c r="V224" i="18" s="1"/>
  <c r="W224" i="18" s="1"/>
  <c r="X224" i="18" s="1"/>
  <c r="Y224" i="18" s="1"/>
  <c r="Z224" i="18" s="1"/>
  <c r="AA224" i="18" s="1"/>
  <c r="AB224" i="18" s="1"/>
  <c r="AC224" i="18" s="1"/>
  <c r="AD224" i="18" s="1"/>
  <c r="AE224" i="18" s="1"/>
  <c r="AF224" i="18" s="1"/>
  <c r="AG224" i="18" s="1"/>
  <c r="AH224" i="18" s="1"/>
  <c r="AI224" i="18" s="1"/>
  <c r="AJ224" i="18" s="1"/>
  <c r="AK224" i="18" s="1"/>
  <c r="AL224" i="18" s="1"/>
  <c r="AM224" i="18" s="1"/>
  <c r="AN224" i="18" s="1"/>
  <c r="AO224" i="18" s="1"/>
  <c r="AP224" i="18" s="1"/>
  <c r="AQ224" i="18" s="1"/>
  <c r="AR224" i="18" s="1"/>
  <c r="AS224" i="18" s="1"/>
  <c r="AT224" i="18" s="1"/>
  <c r="AU224" i="18" s="1"/>
  <c r="AV224" i="18" s="1"/>
  <c r="AW224" i="18" s="1"/>
  <c r="AX224" i="18" s="1"/>
  <c r="AY224" i="18" s="1"/>
  <c r="AZ224" i="18" s="1"/>
  <c r="BA224" i="18" s="1"/>
  <c r="BB224" i="18" s="1"/>
  <c r="BC224" i="18" s="1"/>
  <c r="BD224" i="18" s="1"/>
  <c r="BE224" i="18" s="1"/>
  <c r="BF224" i="18" s="1"/>
  <c r="BG224" i="18" s="1"/>
  <c r="BH224" i="18" s="1"/>
  <c r="BI224" i="18" s="1"/>
  <c r="U132" i="18"/>
  <c r="P390" i="18"/>
  <c r="L17" i="7946"/>
  <c r="M44" i="7943"/>
  <c r="N804" i="18"/>
  <c r="O153" i="18"/>
  <c r="Q643" i="18"/>
  <c r="W340" i="18"/>
  <c r="X340" i="18" s="1"/>
  <c r="O78" i="7943"/>
  <c r="AS82" i="18"/>
  <c r="Q835" i="18"/>
  <c r="R835" i="18" s="1"/>
  <c r="P553" i="18"/>
  <c r="R794" i="18"/>
  <c r="S794" i="18" s="1"/>
  <c r="R705" i="18"/>
  <c r="S705" i="18" s="1"/>
  <c r="T705" i="18" s="1"/>
  <c r="T862" i="18"/>
  <c r="U862" i="18" s="1"/>
  <c r="V862" i="18" s="1"/>
  <c r="V134" i="18"/>
  <c r="W134" i="18" s="1"/>
  <c r="X134" i="18" s="1"/>
  <c r="Y134" i="18" s="1"/>
  <c r="Z134" i="18" s="1"/>
  <c r="AA134" i="18" s="1"/>
  <c r="AB134" i="18" s="1"/>
  <c r="AC134" i="18" s="1"/>
  <c r="AD134" i="18" s="1"/>
  <c r="AE134" i="18" s="1"/>
  <c r="AF134" i="18" s="1"/>
  <c r="AG134" i="18" s="1"/>
  <c r="AH134" i="18" s="1"/>
  <c r="AI134" i="18" s="1"/>
  <c r="AJ134" i="18" s="1"/>
  <c r="AK134" i="18" s="1"/>
  <c r="AL134" i="18" s="1"/>
  <c r="AM134" i="18" s="1"/>
  <c r="AN134" i="18" s="1"/>
  <c r="AO134" i="18" s="1"/>
  <c r="AP134" i="18" s="1"/>
  <c r="AQ134" i="18" s="1"/>
  <c r="AR134" i="18" s="1"/>
  <c r="AS134" i="18" s="1"/>
  <c r="AT134" i="18" s="1"/>
  <c r="AU134" i="18" s="1"/>
  <c r="AV134" i="18" s="1"/>
  <c r="AW134" i="18" s="1"/>
  <c r="AX134" i="18" s="1"/>
  <c r="AY134" i="18" s="1"/>
  <c r="AZ134" i="18" s="1"/>
  <c r="BA134" i="18" s="1"/>
  <c r="BB134" i="18" s="1"/>
  <c r="BC134" i="18" s="1"/>
  <c r="BD134" i="18" s="1"/>
  <c r="BE134" i="18" s="1"/>
  <c r="BF134" i="18" s="1"/>
  <c r="BG134" i="18" s="1"/>
  <c r="BH134" i="18" s="1"/>
  <c r="BI134" i="18" s="1"/>
  <c r="S66" i="7946"/>
  <c r="S67" i="7946" s="1"/>
  <c r="S265" i="18"/>
  <c r="T265" i="18" s="1"/>
  <c r="U265" i="18" s="1"/>
  <c r="P579" i="18"/>
  <c r="Q579" i="18" s="1"/>
  <c r="P826" i="18"/>
  <c r="O99" i="7946"/>
  <c r="P99" i="7946" s="1"/>
  <c r="S615" i="18"/>
  <c r="T615" i="18" s="1"/>
  <c r="U615" i="18" s="1"/>
  <c r="N557" i="18"/>
  <c r="O322" i="18"/>
  <c r="O374" i="18"/>
  <c r="U210" i="18"/>
  <c r="V210" i="18" s="1"/>
  <c r="W210" i="18" s="1"/>
  <c r="X210" i="18" s="1"/>
  <c r="Y210" i="18" s="1"/>
  <c r="Z210" i="18" s="1"/>
  <c r="AA210" i="18" s="1"/>
  <c r="AB210" i="18" s="1"/>
  <c r="AC210" i="18" s="1"/>
  <c r="AD210" i="18" s="1"/>
  <c r="AE210" i="18" s="1"/>
  <c r="AF210" i="18" s="1"/>
  <c r="AG210" i="18" s="1"/>
  <c r="AH210" i="18" s="1"/>
  <c r="AI210" i="18" s="1"/>
  <c r="AJ210" i="18" s="1"/>
  <c r="AK210" i="18" s="1"/>
  <c r="AL210" i="18" s="1"/>
  <c r="AM210" i="18" s="1"/>
  <c r="AN210" i="18" s="1"/>
  <c r="AO210" i="18" s="1"/>
  <c r="AP210" i="18" s="1"/>
  <c r="AQ210" i="18" s="1"/>
  <c r="AR210" i="18" s="1"/>
  <c r="AS210" i="18" s="1"/>
  <c r="AT210" i="18" s="1"/>
  <c r="AU210" i="18" s="1"/>
  <c r="AV210" i="18" s="1"/>
  <c r="AW210" i="18" s="1"/>
  <c r="AX210" i="18" s="1"/>
  <c r="AY210" i="18" s="1"/>
  <c r="AZ210" i="18" s="1"/>
  <c r="BA210" i="18" s="1"/>
  <c r="BB210" i="18" s="1"/>
  <c r="BC210" i="18" s="1"/>
  <c r="BD210" i="18" s="1"/>
  <c r="BE210" i="18" s="1"/>
  <c r="BF210" i="18" s="1"/>
  <c r="BG210" i="18" s="1"/>
  <c r="BH210" i="18" s="1"/>
  <c r="BI210" i="18" s="1"/>
  <c r="Q669" i="18"/>
  <c r="R669" i="18" s="1"/>
  <c r="S669" i="18" s="1"/>
  <c r="N24" i="7945"/>
  <c r="O24" i="7945" s="1"/>
  <c r="P24" i="7945" s="1"/>
  <c r="Q24" i="7945" s="1"/>
  <c r="M66" i="7946"/>
  <c r="M91" i="7946" s="1"/>
  <c r="R730" i="18"/>
  <c r="S730" i="18" s="1"/>
  <c r="T730" i="18" s="1"/>
  <c r="U730" i="18" s="1"/>
  <c r="V730" i="18" s="1"/>
  <c r="W730" i="18" s="1"/>
  <c r="X730" i="18" s="1"/>
  <c r="AX158" i="18"/>
  <c r="AY158" i="18" s="1"/>
  <c r="AZ158" i="18" s="1"/>
  <c r="BA158" i="18" s="1"/>
  <c r="BB158" i="18" s="1"/>
  <c r="BC158" i="18" s="1"/>
  <c r="BD158" i="18" s="1"/>
  <c r="BE158" i="18" s="1"/>
  <c r="BF158" i="18" s="1"/>
  <c r="BG158" i="18" s="1"/>
  <c r="BH158" i="18" s="1"/>
  <c r="BI158" i="18" s="1"/>
  <c r="P457" i="18"/>
  <c r="Q457" i="18" s="1"/>
  <c r="CB107" i="7942"/>
  <c r="O748" i="18"/>
  <c r="P748" i="18" s="1"/>
  <c r="Q748" i="18" s="1"/>
  <c r="R748" i="18" s="1"/>
  <c r="Q812" i="18"/>
  <c r="R812" i="18" s="1"/>
  <c r="T144" i="18"/>
  <c r="U144" i="18" s="1"/>
  <c r="V144" i="18" s="1"/>
  <c r="W144" i="18" s="1"/>
  <c r="X144" i="18" s="1"/>
  <c r="Y144" i="18" s="1"/>
  <c r="Z144" i="18" s="1"/>
  <c r="AA144" i="18" s="1"/>
  <c r="AB144" i="18" s="1"/>
  <c r="AC144" i="18" s="1"/>
  <c r="AD144" i="18" s="1"/>
  <c r="AE144" i="18" s="1"/>
  <c r="AF144" i="18" s="1"/>
  <c r="AG144" i="18" s="1"/>
  <c r="AH144" i="18" s="1"/>
  <c r="AI144" i="18" s="1"/>
  <c r="AJ144" i="18" s="1"/>
  <c r="AK144" i="18" s="1"/>
  <c r="AL144" i="18" s="1"/>
  <c r="AM144" i="18" s="1"/>
  <c r="AN144" i="18" s="1"/>
  <c r="AO144" i="18" s="1"/>
  <c r="AP144" i="18" s="1"/>
  <c r="AQ144" i="18" s="1"/>
  <c r="AR144" i="18" s="1"/>
  <c r="AS144" i="18" s="1"/>
  <c r="AT144" i="18" s="1"/>
  <c r="AU144" i="18" s="1"/>
  <c r="AV144" i="18" s="1"/>
  <c r="AW144" i="18" s="1"/>
  <c r="AX144" i="18" s="1"/>
  <c r="AY144" i="18" s="1"/>
  <c r="AZ144" i="18" s="1"/>
  <c r="BA144" i="18" s="1"/>
  <c r="BB144" i="18" s="1"/>
  <c r="BC144" i="18" s="1"/>
  <c r="BD144" i="18" s="1"/>
  <c r="BE144" i="18" s="1"/>
  <c r="BF144" i="18" s="1"/>
  <c r="BG144" i="18" s="1"/>
  <c r="BH144" i="18" s="1"/>
  <c r="BI144" i="18" s="1"/>
  <c r="P735" i="18"/>
  <c r="Q735" i="18" s="1"/>
  <c r="Q189" i="18"/>
  <c r="R189" i="18" s="1"/>
  <c r="U122" i="18"/>
  <c r="V122" i="18" s="1"/>
  <c r="U666" i="18"/>
  <c r="V666" i="18" s="1"/>
  <c r="P119" i="18"/>
  <c r="AU95" i="18"/>
  <c r="AV95" i="18" s="1"/>
  <c r="AW95" i="18" s="1"/>
  <c r="AX95" i="18" s="1"/>
  <c r="AY95" i="18" s="1"/>
  <c r="AZ95" i="18" s="1"/>
  <c r="BA95" i="18" s="1"/>
  <c r="BB95" i="18" s="1"/>
  <c r="BC95" i="18" s="1"/>
  <c r="BD95" i="18" s="1"/>
  <c r="BE95" i="18" s="1"/>
  <c r="BF95" i="18" s="1"/>
  <c r="BG95" i="18" s="1"/>
  <c r="BH95" i="18" s="1"/>
  <c r="BI95" i="18" s="1"/>
  <c r="AR94" i="18"/>
  <c r="AS94" i="18" s="1"/>
  <c r="Q367" i="18"/>
  <c r="R367" i="18" s="1"/>
  <c r="S367" i="18" s="1"/>
  <c r="T367" i="18" s="1"/>
  <c r="U367" i="18" s="1"/>
  <c r="R266" i="18"/>
  <c r="S266" i="18" s="1"/>
  <c r="T266" i="18" s="1"/>
  <c r="T536" i="18"/>
  <c r="U536" i="18" s="1"/>
  <c r="U185" i="18"/>
  <c r="V185" i="18" s="1"/>
  <c r="Q226" i="18"/>
  <c r="R226" i="18" s="1"/>
  <c r="S123" i="18"/>
  <c r="T123" i="18" s="1"/>
  <c r="U123" i="18" s="1"/>
  <c r="Q188" i="18"/>
  <c r="R188" i="18" s="1"/>
  <c r="R628" i="18"/>
  <c r="T680" i="18"/>
  <c r="U680" i="18" s="1"/>
  <c r="V680" i="18" s="1"/>
  <c r="W680" i="18" s="1"/>
  <c r="X680" i="18" s="1"/>
  <c r="Y680" i="18" s="1"/>
  <c r="Z680" i="18" s="1"/>
  <c r="AA680" i="18" s="1"/>
  <c r="AB680" i="18" s="1"/>
  <c r="AC680" i="18" s="1"/>
  <c r="AD680" i="18" s="1"/>
  <c r="AE680" i="18" s="1"/>
  <c r="AF680" i="18" s="1"/>
  <c r="AG680" i="18" s="1"/>
  <c r="AH680" i="18" s="1"/>
  <c r="AI680" i="18" s="1"/>
  <c r="AJ680" i="18" s="1"/>
  <c r="AK680" i="18" s="1"/>
  <c r="AL680" i="18" s="1"/>
  <c r="AM680" i="18" s="1"/>
  <c r="AN680" i="18" s="1"/>
  <c r="AO680" i="18" s="1"/>
  <c r="AP680" i="18" s="1"/>
  <c r="AQ680" i="18" s="1"/>
  <c r="AR680" i="18" s="1"/>
  <c r="AS680" i="18" s="1"/>
  <c r="AT680" i="18" s="1"/>
  <c r="AU680" i="18" s="1"/>
  <c r="AV680" i="18" s="1"/>
  <c r="AW680" i="18" s="1"/>
  <c r="AX680" i="18" s="1"/>
  <c r="AY680" i="18" s="1"/>
  <c r="AZ680" i="18" s="1"/>
  <c r="BA680" i="18" s="1"/>
  <c r="BB680" i="18" s="1"/>
  <c r="BC680" i="18" s="1"/>
  <c r="BD680" i="18" s="1"/>
  <c r="BE680" i="18" s="1"/>
  <c r="BF680" i="18" s="1"/>
  <c r="BG680" i="18" s="1"/>
  <c r="BH680" i="18" s="1"/>
  <c r="BI680" i="18" s="1"/>
  <c r="R278" i="18"/>
  <c r="T145" i="18"/>
  <c r="U145" i="18" s="1"/>
  <c r="V145" i="18" s="1"/>
  <c r="W145" i="18" s="1"/>
  <c r="X145" i="18" s="1"/>
  <c r="Y145" i="18" s="1"/>
  <c r="Z145" i="18" s="1"/>
  <c r="AA145" i="18" s="1"/>
  <c r="AB145" i="18" s="1"/>
  <c r="AC145" i="18" s="1"/>
  <c r="AD145" i="18" s="1"/>
  <c r="AE145" i="18" s="1"/>
  <c r="AF145" i="18" s="1"/>
  <c r="AG145" i="18" s="1"/>
  <c r="AH145" i="18" s="1"/>
  <c r="AI145" i="18" s="1"/>
  <c r="AJ145" i="18" s="1"/>
  <c r="AK145" i="18" s="1"/>
  <c r="AL145" i="18" s="1"/>
  <c r="AM145" i="18" s="1"/>
  <c r="AN145" i="18" s="1"/>
  <c r="AO145" i="18" s="1"/>
  <c r="AP145" i="18" s="1"/>
  <c r="AQ145" i="18" s="1"/>
  <c r="AR145" i="18" s="1"/>
  <c r="AS145" i="18" s="1"/>
  <c r="AT145" i="18" s="1"/>
  <c r="AU145" i="18" s="1"/>
  <c r="AV145" i="18" s="1"/>
  <c r="AW145" i="18" s="1"/>
  <c r="AX145" i="18" s="1"/>
  <c r="AY145" i="18" s="1"/>
  <c r="AZ145" i="18" s="1"/>
  <c r="BA145" i="18" s="1"/>
  <c r="BB145" i="18" s="1"/>
  <c r="BC145" i="18" s="1"/>
  <c r="BD145" i="18" s="1"/>
  <c r="BE145" i="18" s="1"/>
  <c r="BF145" i="18" s="1"/>
  <c r="BG145" i="18" s="1"/>
  <c r="BH145" i="18" s="1"/>
  <c r="BI145" i="18" s="1"/>
  <c r="W131" i="18"/>
  <c r="X131" i="18" s="1"/>
  <c r="Y131" i="18" s="1"/>
  <c r="Z131" i="18" s="1"/>
  <c r="AA131" i="18" s="1"/>
  <c r="AB131" i="18" s="1"/>
  <c r="AC131" i="18" s="1"/>
  <c r="AD131" i="18" s="1"/>
  <c r="AE131" i="18" s="1"/>
  <c r="AF131" i="18" s="1"/>
  <c r="AG131" i="18" s="1"/>
  <c r="AH131" i="18" s="1"/>
  <c r="AI131" i="18" s="1"/>
  <c r="AJ131" i="18" s="1"/>
  <c r="AK131" i="18" s="1"/>
  <c r="AL131" i="18" s="1"/>
  <c r="AM131" i="18" s="1"/>
  <c r="AN131" i="18" s="1"/>
  <c r="AO131" i="18" s="1"/>
  <c r="AP131" i="18" s="1"/>
  <c r="AQ131" i="18" s="1"/>
  <c r="AR131" i="18" s="1"/>
  <c r="AS131" i="18" s="1"/>
  <c r="AT131" i="18" s="1"/>
  <c r="AU131" i="18" s="1"/>
  <c r="AV131" i="18" s="1"/>
  <c r="AW131" i="18" s="1"/>
  <c r="AX131" i="18" s="1"/>
  <c r="AY131" i="18" s="1"/>
  <c r="AZ131" i="18" s="1"/>
  <c r="BA131" i="18" s="1"/>
  <c r="BB131" i="18" s="1"/>
  <c r="BC131" i="18" s="1"/>
  <c r="BD131" i="18" s="1"/>
  <c r="BE131" i="18" s="1"/>
  <c r="BF131" i="18" s="1"/>
  <c r="BG131" i="18" s="1"/>
  <c r="BH131" i="18" s="1"/>
  <c r="BI131" i="18" s="1"/>
  <c r="P485" i="18"/>
  <c r="W365" i="18"/>
  <c r="X365" i="18" s="1"/>
  <c r="Y365" i="18" s="1"/>
  <c r="Z365" i="18" s="1"/>
  <c r="AA365" i="18" s="1"/>
  <c r="AB365" i="18" s="1"/>
  <c r="AC365" i="18" s="1"/>
  <c r="AD365" i="18" s="1"/>
  <c r="AE365" i="18" s="1"/>
  <c r="AF365" i="18" s="1"/>
  <c r="AG365" i="18" s="1"/>
  <c r="AH365" i="18" s="1"/>
  <c r="AI365" i="18" s="1"/>
  <c r="AJ365" i="18" s="1"/>
  <c r="AK365" i="18" s="1"/>
  <c r="AL365" i="18" s="1"/>
  <c r="AM365" i="18" s="1"/>
  <c r="AN365" i="18" s="1"/>
  <c r="AO365" i="18" s="1"/>
  <c r="AP365" i="18" s="1"/>
  <c r="AQ365" i="18" s="1"/>
  <c r="AR365" i="18" s="1"/>
  <c r="AS365" i="18" s="1"/>
  <c r="AT365" i="18" s="1"/>
  <c r="AU365" i="18" s="1"/>
  <c r="AV365" i="18" s="1"/>
  <c r="AW365" i="18" s="1"/>
  <c r="AX365" i="18" s="1"/>
  <c r="AY365" i="18" s="1"/>
  <c r="AZ365" i="18" s="1"/>
  <c r="BA365" i="18" s="1"/>
  <c r="BB365" i="18" s="1"/>
  <c r="BC365" i="18" s="1"/>
  <c r="BD365" i="18" s="1"/>
  <c r="BE365" i="18" s="1"/>
  <c r="BF365" i="18" s="1"/>
  <c r="BG365" i="18" s="1"/>
  <c r="BH365" i="18" s="1"/>
  <c r="BI365" i="18" s="1"/>
  <c r="N455" i="18"/>
  <c r="M465" i="18"/>
  <c r="AH510" i="18"/>
  <c r="AI510" i="18" s="1"/>
  <c r="AJ510" i="18" s="1"/>
  <c r="AK510" i="18" s="1"/>
  <c r="T146" i="18"/>
  <c r="U146" i="18" s="1"/>
  <c r="V146" i="18" s="1"/>
  <c r="W146" i="18" s="1"/>
  <c r="O426" i="18"/>
  <c r="P149" i="18"/>
  <c r="Q149" i="18" s="1"/>
  <c r="R173" i="18"/>
  <c r="AG289" i="18"/>
  <c r="AH289" i="18" s="1"/>
  <c r="AI289" i="18" s="1"/>
  <c r="AJ289" i="18" s="1"/>
  <c r="AK289" i="18" s="1"/>
  <c r="AL289" i="18" s="1"/>
  <c r="AM289" i="18" s="1"/>
  <c r="AN289" i="18" s="1"/>
  <c r="U222" i="18"/>
  <c r="V222" i="18" s="1"/>
  <c r="W222" i="18" s="1"/>
  <c r="X222" i="18" s="1"/>
  <c r="Y222" i="18" s="1"/>
  <c r="Z222" i="18" s="1"/>
  <c r="AA222" i="18" s="1"/>
  <c r="AB222" i="18" s="1"/>
  <c r="AC222" i="18" s="1"/>
  <c r="AD222" i="18" s="1"/>
  <c r="AE222" i="18" s="1"/>
  <c r="AF222" i="18" s="1"/>
  <c r="AG222" i="18" s="1"/>
  <c r="AH222" i="18" s="1"/>
  <c r="AI222" i="18" s="1"/>
  <c r="AJ222" i="18" s="1"/>
  <c r="AK222" i="18" s="1"/>
  <c r="AL222" i="18" s="1"/>
  <c r="AM222" i="18" s="1"/>
  <c r="AN222" i="18" s="1"/>
  <c r="AO222" i="18" s="1"/>
  <c r="AP222" i="18" s="1"/>
  <c r="AQ222" i="18" s="1"/>
  <c r="AR222" i="18" s="1"/>
  <c r="AS222" i="18" s="1"/>
  <c r="AT222" i="18" s="1"/>
  <c r="AU222" i="18" s="1"/>
  <c r="AV222" i="18" s="1"/>
  <c r="AW222" i="18" s="1"/>
  <c r="AX222" i="18" s="1"/>
  <c r="AY222" i="18" s="1"/>
  <c r="AZ222" i="18" s="1"/>
  <c r="BA222" i="18" s="1"/>
  <c r="BB222" i="18" s="1"/>
  <c r="BC222" i="18" s="1"/>
  <c r="BD222" i="18" s="1"/>
  <c r="BE222" i="18" s="1"/>
  <c r="BF222" i="18" s="1"/>
  <c r="BG222" i="18" s="1"/>
  <c r="BH222" i="18" s="1"/>
  <c r="BI222" i="18" s="1"/>
  <c r="P137" i="18"/>
  <c r="Q137" i="18" s="1"/>
  <c r="T305" i="18"/>
  <c r="S602" i="18"/>
  <c r="R369" i="18"/>
  <c r="S369" i="18" s="1"/>
  <c r="T394" i="18"/>
  <c r="U394" i="18" s="1"/>
  <c r="P722" i="18"/>
  <c r="Q722" i="18" s="1"/>
  <c r="P800" i="18"/>
  <c r="Q396" i="18"/>
  <c r="R396" i="18" s="1"/>
  <c r="S784" i="18"/>
  <c r="R482" i="18"/>
  <c r="S482" i="18" s="1"/>
  <c r="T482" i="18" s="1"/>
  <c r="R603" i="18"/>
  <c r="S603" i="18" s="1"/>
  <c r="S716" i="18"/>
  <c r="R449" i="18"/>
  <c r="S449" i="18" s="1"/>
  <c r="T449" i="18" s="1"/>
  <c r="R352" i="18"/>
  <c r="S352" i="18" s="1"/>
  <c r="T352" i="18" s="1"/>
  <c r="U352" i="18" s="1"/>
  <c r="V352" i="18" s="1"/>
  <c r="W352" i="18" s="1"/>
  <c r="X352" i="18" s="1"/>
  <c r="Y352" i="18" s="1"/>
  <c r="Z352" i="18" s="1"/>
  <c r="AA352" i="18" s="1"/>
  <c r="AB352" i="18" s="1"/>
  <c r="AC352" i="18" s="1"/>
  <c r="AD352" i="18" s="1"/>
  <c r="AE352" i="18" s="1"/>
  <c r="AF352" i="18" s="1"/>
  <c r="AG352" i="18" s="1"/>
  <c r="AH352" i="18" s="1"/>
  <c r="AI352" i="18" s="1"/>
  <c r="AJ352" i="18" s="1"/>
  <c r="AK352" i="18" s="1"/>
  <c r="AL352" i="18" s="1"/>
  <c r="AM352" i="18" s="1"/>
  <c r="AN352" i="18" s="1"/>
  <c r="AO352" i="18" s="1"/>
  <c r="AP352" i="18" s="1"/>
  <c r="AQ352" i="18" s="1"/>
  <c r="AR352" i="18" s="1"/>
  <c r="AS352" i="18" s="1"/>
  <c r="AT352" i="18" s="1"/>
  <c r="AU352" i="18" s="1"/>
  <c r="Q175" i="18"/>
  <c r="O774" i="18"/>
  <c r="P774" i="18" s="1"/>
  <c r="AW108" i="18"/>
  <c r="AX108" i="18" s="1"/>
  <c r="AY108" i="18" s="1"/>
  <c r="AZ108" i="18" s="1"/>
  <c r="BA108" i="18" s="1"/>
  <c r="BB108" i="18" s="1"/>
  <c r="BC108" i="18" s="1"/>
  <c r="BD108" i="18" s="1"/>
  <c r="BE108" i="18" s="1"/>
  <c r="BF108" i="18" s="1"/>
  <c r="BG108" i="18" s="1"/>
  <c r="BH108" i="18" s="1"/>
  <c r="BI108" i="18" s="1"/>
  <c r="AQ98" i="18"/>
  <c r="AR98" i="18" s="1"/>
  <c r="AS98" i="18" s="1"/>
  <c r="AT98" i="18" s="1"/>
  <c r="AU98" i="18" s="1"/>
  <c r="AV98" i="18" s="1"/>
  <c r="AW98" i="18" s="1"/>
  <c r="AX98" i="18" s="1"/>
  <c r="AY98" i="18" s="1"/>
  <c r="AZ98" i="18" s="1"/>
  <c r="BA98" i="18" s="1"/>
  <c r="BB98" i="18" s="1"/>
  <c r="BC98" i="18" s="1"/>
  <c r="BD98" i="18" s="1"/>
  <c r="BE98" i="18" s="1"/>
  <c r="BF98" i="18" s="1"/>
  <c r="BG98" i="18" s="1"/>
  <c r="BH98" i="18" s="1"/>
  <c r="BI98" i="18" s="1"/>
  <c r="O696" i="18"/>
  <c r="P696" i="18" s="1"/>
  <c r="U720" i="18"/>
  <c r="V809" i="18"/>
  <c r="Q254" i="18"/>
  <c r="R254" i="18" s="1"/>
  <c r="T304" i="18"/>
  <c r="U304" i="18" s="1"/>
  <c r="S344" i="18"/>
  <c r="T344" i="18" s="1"/>
  <c r="M179" i="18"/>
  <c r="N169" i="18"/>
  <c r="S201" i="18"/>
  <c r="T201" i="18" s="1"/>
  <c r="U745" i="18"/>
  <c r="V745" i="18" s="1"/>
  <c r="Q824" i="18"/>
  <c r="R824" i="18" s="1"/>
  <c r="P564" i="18"/>
  <c r="AK93" i="7942"/>
  <c r="AL60" i="7942"/>
  <c r="AL93" i="7942" s="1"/>
  <c r="CC88" i="7942"/>
  <c r="CD55" i="7942"/>
  <c r="CD88" i="7942" s="1"/>
  <c r="CD70" i="7942"/>
  <c r="CD103" i="7942" s="1"/>
  <c r="CC103" i="7942"/>
  <c r="AK88" i="7942"/>
  <c r="AL55" i="7942"/>
  <c r="AL88" i="7942" s="1"/>
  <c r="BR103" i="7942"/>
  <c r="BS70" i="7942"/>
  <c r="BS103" i="7942" s="1"/>
  <c r="S770" i="18"/>
  <c r="T770" i="18" s="1"/>
  <c r="CZ57" i="7942"/>
  <c r="CZ90" i="7942" s="1"/>
  <c r="CY90" i="7942"/>
  <c r="O87" i="7942"/>
  <c r="P54" i="7942"/>
  <c r="P87" i="7942" s="1"/>
  <c r="Z88" i="7942"/>
  <c r="AA55" i="7942"/>
  <c r="AA88" i="7942" s="1"/>
  <c r="Q747" i="18"/>
  <c r="R747" i="18" s="1"/>
  <c r="T133" i="18"/>
  <c r="U133" i="18" s="1"/>
  <c r="V133" i="18" s="1"/>
  <c r="W133" i="18" s="1"/>
  <c r="X133" i="18" s="1"/>
  <c r="Y133" i="18" s="1"/>
  <c r="Z133" i="18" s="1"/>
  <c r="AA133" i="18" s="1"/>
  <c r="AB133" i="18" s="1"/>
  <c r="AC133" i="18" s="1"/>
  <c r="AD133" i="18" s="1"/>
  <c r="AE133" i="18" s="1"/>
  <c r="AF133" i="18" s="1"/>
  <c r="AG133" i="18" s="1"/>
  <c r="AH133" i="18" s="1"/>
  <c r="AI133" i="18" s="1"/>
  <c r="AJ133" i="18" s="1"/>
  <c r="AK133" i="18" s="1"/>
  <c r="AL133" i="18" s="1"/>
  <c r="AM133" i="18" s="1"/>
  <c r="AN133" i="18" s="1"/>
  <c r="AO133" i="18" s="1"/>
  <c r="AP133" i="18" s="1"/>
  <c r="AQ133" i="18" s="1"/>
  <c r="AR133" i="18" s="1"/>
  <c r="AS133" i="18" s="1"/>
  <c r="AT133" i="18" s="1"/>
  <c r="AU133" i="18" s="1"/>
  <c r="AV133" i="18" s="1"/>
  <c r="AW133" i="18" s="1"/>
  <c r="AX133" i="18" s="1"/>
  <c r="AY133" i="18" s="1"/>
  <c r="AZ133" i="18" s="1"/>
  <c r="BA133" i="18" s="1"/>
  <c r="BB133" i="18" s="1"/>
  <c r="BC133" i="18" s="1"/>
  <c r="BD133" i="18" s="1"/>
  <c r="BE133" i="18" s="1"/>
  <c r="BF133" i="18" s="1"/>
  <c r="BG133" i="18" s="1"/>
  <c r="BH133" i="18" s="1"/>
  <c r="BI133" i="18" s="1"/>
  <c r="BS50" i="7942"/>
  <c r="BS83" i="7942" s="1"/>
  <c r="BR83" i="7942"/>
  <c r="AL57" i="7942"/>
  <c r="AL90" i="7942" s="1"/>
  <c r="AK90" i="7942"/>
  <c r="AW70" i="7942"/>
  <c r="AW103" i="7942" s="1"/>
  <c r="AV103" i="7942"/>
  <c r="BS49" i="7942"/>
  <c r="BS82" i="7942" s="1"/>
  <c r="BR82" i="7942"/>
  <c r="AC501" i="18"/>
  <c r="AD501" i="18" s="1"/>
  <c r="O527" i="18"/>
  <c r="P527" i="18" s="1"/>
  <c r="P787" i="18"/>
  <c r="Q787" i="18" s="1"/>
  <c r="O813" i="18"/>
  <c r="N817" i="18"/>
  <c r="P618" i="18"/>
  <c r="V577" i="18"/>
  <c r="P811" i="18"/>
  <c r="O95" i="7942"/>
  <c r="P62" i="7942"/>
  <c r="P95" i="7942" s="1"/>
  <c r="BH65" i="7942"/>
  <c r="BH98" i="7942" s="1"/>
  <c r="BG98" i="7942"/>
  <c r="N765" i="18"/>
  <c r="S522" i="18"/>
  <c r="T522" i="18" s="1"/>
  <c r="U522" i="18" s="1"/>
  <c r="V522" i="18" s="1"/>
  <c r="Q550" i="18"/>
  <c r="R550" i="18" s="1"/>
  <c r="U820" i="18"/>
  <c r="O851" i="18"/>
  <c r="AA61" i="7942"/>
  <c r="AA94" i="7942" s="1"/>
  <c r="Z94" i="7942"/>
  <c r="CO67" i="7942"/>
  <c r="CO100" i="7942" s="1"/>
  <c r="CN100" i="7942"/>
  <c r="P694" i="18"/>
  <c r="S783" i="18"/>
  <c r="T783" i="18" s="1"/>
  <c r="T562" i="18"/>
  <c r="Q416" i="18"/>
  <c r="AW56" i="7942"/>
  <c r="AW89" i="7942" s="1"/>
  <c r="AV89" i="7942"/>
  <c r="Q708" i="18"/>
  <c r="R708" i="18" s="1"/>
  <c r="R565" i="18"/>
  <c r="S565" i="18" s="1"/>
  <c r="T565" i="18" s="1"/>
  <c r="O90" i="7942"/>
  <c r="P57" i="7942"/>
  <c r="P90" i="7942" s="1"/>
  <c r="S88" i="7946"/>
  <c r="S89" i="7946" s="1"/>
  <c r="K89" i="7946"/>
  <c r="AV104" i="7942"/>
  <c r="AW71" i="7942"/>
  <c r="AW104" i="7942" s="1"/>
  <c r="BS59" i="7942"/>
  <c r="BS92" i="7942" s="1"/>
  <c r="BR92" i="7942"/>
  <c r="P410" i="18"/>
  <c r="Q410" i="18" s="1"/>
  <c r="R410" i="18" s="1"/>
  <c r="Q267" i="18"/>
  <c r="R267" i="18" s="1"/>
  <c r="S267" i="18" s="1"/>
  <c r="T267" i="18" s="1"/>
  <c r="AV96" i="7942"/>
  <c r="AW63" i="7942"/>
  <c r="AW96" i="7942" s="1"/>
  <c r="AK83" i="7942"/>
  <c r="AL50" i="7942"/>
  <c r="AL83" i="7942" s="1"/>
  <c r="CO71" i="7942"/>
  <c r="CO104" i="7942" s="1"/>
  <c r="CN104" i="7942"/>
  <c r="AV86" i="7942"/>
  <c r="AW53" i="7942"/>
  <c r="AW86" i="7942" s="1"/>
  <c r="P343" i="18"/>
  <c r="P591" i="18"/>
  <c r="Q591" i="18" s="1"/>
  <c r="R591" i="18" s="1"/>
  <c r="AA57" i="7942"/>
  <c r="AA90" i="7942" s="1"/>
  <c r="Z90" i="7942"/>
  <c r="P538" i="18"/>
  <c r="Q538" i="18" s="1"/>
  <c r="Z100" i="7942"/>
  <c r="AA67" i="7942"/>
  <c r="AA100" i="7942" s="1"/>
  <c r="CN94" i="7942"/>
  <c r="CO61" i="7942"/>
  <c r="CO94" i="7942" s="1"/>
  <c r="Q709" i="18"/>
  <c r="R709" i="18" s="1"/>
  <c r="O761" i="18"/>
  <c r="O670" i="18"/>
  <c r="N674" i="18"/>
  <c r="P488" i="18"/>
  <c r="L70" i="24"/>
  <c r="L133" i="24" s="1"/>
  <c r="L66" i="24"/>
  <c r="P616" i="18"/>
  <c r="T626" i="18"/>
  <c r="AD499" i="18"/>
  <c r="BS51" i="7942"/>
  <c r="BS84" i="7942" s="1"/>
  <c r="BR84" i="7942"/>
  <c r="R721" i="18"/>
  <c r="S721" i="18" s="1"/>
  <c r="AL71" i="7942"/>
  <c r="AL104" i="7942" s="1"/>
  <c r="AK104" i="7942"/>
  <c r="AV105" i="7942"/>
  <c r="AW72" i="7942"/>
  <c r="AW105" i="7942" s="1"/>
  <c r="S535" i="18"/>
  <c r="O74" i="7946"/>
  <c r="P74" i="7946" s="1"/>
  <c r="S863" i="18"/>
  <c r="BR85" i="7942"/>
  <c r="BS52" i="7942"/>
  <c r="BS85" i="7942" s="1"/>
  <c r="P656" i="18"/>
  <c r="Q656" i="18" s="1"/>
  <c r="CM107" i="7942"/>
  <c r="O785" i="18"/>
  <c r="N791" i="18"/>
  <c r="R773" i="18"/>
  <c r="R742" i="18"/>
  <c r="BS48" i="7942"/>
  <c r="BS81" i="7942" s="1"/>
  <c r="BR81" i="7942"/>
  <c r="Q810" i="18"/>
  <c r="O103" i="7942"/>
  <c r="P70" i="7942"/>
  <c r="P103" i="7942" s="1"/>
  <c r="CO60" i="7942"/>
  <c r="CO93" i="7942" s="1"/>
  <c r="CN93" i="7942"/>
  <c r="O96" i="7942"/>
  <c r="P63" i="7942"/>
  <c r="P96" i="7942" s="1"/>
  <c r="N309" i="18"/>
  <c r="O299" i="18"/>
  <c r="P176" i="18"/>
  <c r="N68" i="18"/>
  <c r="U328" i="18"/>
  <c r="V328" i="18" s="1"/>
  <c r="W328" i="18" s="1"/>
  <c r="X328" i="18" s="1"/>
  <c r="Y328" i="18" s="1"/>
  <c r="Z328" i="18" s="1"/>
  <c r="BG86" i="7942"/>
  <c r="BH53" i="7942"/>
  <c r="BH86" i="7942" s="1"/>
  <c r="O706" i="18"/>
  <c r="N713" i="18"/>
  <c r="BH60" i="7942"/>
  <c r="BH93" i="7942" s="1"/>
  <c r="BG93" i="7942"/>
  <c r="BS55" i="7942"/>
  <c r="BS88" i="7942" s="1"/>
  <c r="BR88" i="7942"/>
  <c r="R693" i="18"/>
  <c r="S693" i="18" s="1"/>
  <c r="T693" i="18" s="1"/>
  <c r="U693" i="18" s="1"/>
  <c r="V693" i="18" s="1"/>
  <c r="W693" i="18" s="1"/>
  <c r="X693" i="18" s="1"/>
  <c r="Y693" i="18" s="1"/>
  <c r="Z693" i="18" s="1"/>
  <c r="N856" i="18"/>
  <c r="BG102" i="7942"/>
  <c r="BH69" i="7942"/>
  <c r="BH102" i="7942" s="1"/>
  <c r="O683" i="18"/>
  <c r="N687" i="18"/>
  <c r="O644" i="18"/>
  <c r="P644" i="18" s="1"/>
  <c r="Q644" i="18" s="1"/>
  <c r="R644" i="18" s="1"/>
  <c r="N648" i="18"/>
  <c r="AK98" i="7942"/>
  <c r="AL65" i="7942"/>
  <c r="AL98" i="7942" s="1"/>
  <c r="CZ56" i="7942"/>
  <c r="CZ89" i="7942" s="1"/>
  <c r="CY89" i="7942"/>
  <c r="CY86" i="7942"/>
  <c r="CZ53" i="7942"/>
  <c r="CZ86" i="7942" s="1"/>
  <c r="P695" i="18"/>
  <c r="Q695" i="18" s="1"/>
  <c r="R695" i="18" s="1"/>
  <c r="Q642" i="18"/>
  <c r="R525" i="18"/>
  <c r="DK71" i="7942"/>
  <c r="DK104" i="7942" s="1"/>
  <c r="DJ104" i="7942"/>
  <c r="P551" i="18"/>
  <c r="Q551" i="18" s="1"/>
  <c r="R551" i="18" s="1"/>
  <c r="W743" i="18"/>
  <c r="X743" i="18" s="1"/>
  <c r="Y743" i="18" s="1"/>
  <c r="X731" i="18"/>
  <c r="DK72" i="7942"/>
  <c r="DK105" i="7942" s="1"/>
  <c r="DJ105" i="7942"/>
  <c r="Y834" i="18"/>
  <c r="Z834" i="18" s="1"/>
  <c r="AA834" i="18" s="1"/>
  <c r="AB834" i="18" s="1"/>
  <c r="P526" i="18"/>
  <c r="R838" i="18"/>
  <c r="AD500" i="18"/>
  <c r="AE500" i="18" s="1"/>
  <c r="R667" i="18"/>
  <c r="Z692" i="18"/>
  <c r="AA692" i="18" s="1"/>
  <c r="AB692" i="18" s="1"/>
  <c r="AC692" i="18" s="1"/>
  <c r="AD692" i="18" s="1"/>
  <c r="AE692" i="18" s="1"/>
  <c r="AF692" i="18" s="1"/>
  <c r="AG692" i="18" s="1"/>
  <c r="AH692" i="18" s="1"/>
  <c r="AI692" i="18" s="1"/>
  <c r="AJ692" i="18" s="1"/>
  <c r="AK692" i="18" s="1"/>
  <c r="AL692" i="18" s="1"/>
  <c r="AM692" i="18" s="1"/>
  <c r="AN692" i="18" s="1"/>
  <c r="AO692" i="18" s="1"/>
  <c r="AP692" i="18" s="1"/>
  <c r="AQ692" i="18" s="1"/>
  <c r="AR692" i="18" s="1"/>
  <c r="AS692" i="18" s="1"/>
  <c r="AT692" i="18" s="1"/>
  <c r="AU692" i="18" s="1"/>
  <c r="AV692" i="18" s="1"/>
  <c r="AW692" i="18" s="1"/>
  <c r="AX692" i="18" s="1"/>
  <c r="AY692" i="18" s="1"/>
  <c r="AZ692" i="18" s="1"/>
  <c r="BA692" i="18" s="1"/>
  <c r="BB692" i="18" s="1"/>
  <c r="BC692" i="18" s="1"/>
  <c r="BD692" i="18" s="1"/>
  <c r="BE692" i="18" s="1"/>
  <c r="BF692" i="18" s="1"/>
  <c r="BG692" i="18" s="1"/>
  <c r="BH692" i="18" s="1"/>
  <c r="BI692" i="18" s="1"/>
  <c r="S629" i="18"/>
  <c r="T629" i="18" s="1"/>
  <c r="P69" i="7942"/>
  <c r="P102" i="7942" s="1"/>
  <c r="O102" i="7942"/>
  <c r="O592" i="18"/>
  <c r="N596" i="18"/>
  <c r="O566" i="18"/>
  <c r="N570" i="18"/>
  <c r="CC99" i="7942"/>
  <c r="CD66" i="7942"/>
  <c r="CD99" i="7942" s="1"/>
  <c r="AG509" i="18"/>
  <c r="AH509" i="18" s="1"/>
  <c r="AI509" i="18" s="1"/>
  <c r="AJ509" i="18" s="1"/>
  <c r="AK509" i="18" s="1"/>
  <c r="AL509" i="18" s="1"/>
  <c r="AM509" i="18" s="1"/>
  <c r="AN509" i="18" s="1"/>
  <c r="AO509" i="18" s="1"/>
  <c r="AP509" i="18" s="1"/>
  <c r="AQ509" i="18" s="1"/>
  <c r="AR509" i="18" s="1"/>
  <c r="AS509" i="18" s="1"/>
  <c r="AT509" i="18" s="1"/>
  <c r="AU509" i="18" s="1"/>
  <c r="AV509" i="18" s="1"/>
  <c r="AW509" i="18" s="1"/>
  <c r="AX509" i="18" s="1"/>
  <c r="AY509" i="18" s="1"/>
  <c r="AZ509" i="18" s="1"/>
  <c r="BA509" i="18" s="1"/>
  <c r="BB509" i="18" s="1"/>
  <c r="BC509" i="18" s="1"/>
  <c r="BD509" i="18" s="1"/>
  <c r="BE509" i="18" s="1"/>
  <c r="BF509" i="18" s="1"/>
  <c r="BG509" i="18" s="1"/>
  <c r="BH509" i="18" s="1"/>
  <c r="BI509" i="18" s="1"/>
  <c r="R861" i="18"/>
  <c r="S861" i="18" s="1"/>
  <c r="N622" i="18"/>
  <c r="CZ50" i="7942"/>
  <c r="CZ83" i="7942" s="1"/>
  <c r="CY83" i="7942"/>
  <c r="P539" i="18"/>
  <c r="Q539" i="18" s="1"/>
  <c r="AC513" i="18"/>
  <c r="AD513" i="18" s="1"/>
  <c r="S653" i="18"/>
  <c r="DK49" i="7942"/>
  <c r="DK82" i="7942" s="1"/>
  <c r="DJ82" i="7942"/>
  <c r="Q654" i="18"/>
  <c r="R654" i="18" s="1"/>
  <c r="S654" i="18" s="1"/>
  <c r="T654" i="18" s="1"/>
  <c r="P578" i="18"/>
  <c r="P682" i="18"/>
  <c r="Q682" i="18" s="1"/>
  <c r="AW69" i="7942"/>
  <c r="AW102" i="7942" s="1"/>
  <c r="AV102" i="7942"/>
  <c r="P486" i="18"/>
  <c r="Q486" i="18" s="1"/>
  <c r="P837" i="18"/>
  <c r="CN102" i="7942"/>
  <c r="CO69" i="7942"/>
  <c r="CO102" i="7942" s="1"/>
  <c r="BG99" i="7942"/>
  <c r="BH66" i="7942"/>
  <c r="BH99" i="7942" s="1"/>
  <c r="O604" i="18"/>
  <c r="N609" i="18"/>
  <c r="S630" i="18"/>
  <c r="T630" i="18" s="1"/>
  <c r="AV84" i="7942"/>
  <c r="AW51" i="7942"/>
  <c r="AW84" i="7942" s="1"/>
  <c r="Q447" i="18"/>
  <c r="R447" i="18" s="1"/>
  <c r="O7" i="7943"/>
  <c r="O8" i="7943" s="1"/>
  <c r="O11" i="24"/>
  <c r="CO49" i="7942"/>
  <c r="CO82" i="7942" s="1"/>
  <c r="CN82" i="7942"/>
  <c r="CN96" i="7942"/>
  <c r="CO63" i="7942"/>
  <c r="CO96" i="7942" s="1"/>
  <c r="BS58" i="7942"/>
  <c r="BS91" i="7942" s="1"/>
  <c r="BR91" i="7942"/>
  <c r="BH71" i="7942"/>
  <c r="BH104" i="7942" s="1"/>
  <c r="BG104" i="7942"/>
  <c r="AV85" i="7942"/>
  <c r="AW52" i="7942"/>
  <c r="AW85" i="7942" s="1"/>
  <c r="S760" i="18"/>
  <c r="S278" i="18"/>
  <c r="T278" i="18" s="1"/>
  <c r="AV82" i="7942"/>
  <c r="AW49" i="7942"/>
  <c r="AW82" i="7942" s="1"/>
  <c r="P772" i="18"/>
  <c r="Q772" i="18" s="1"/>
  <c r="R772" i="18" s="1"/>
  <c r="P397" i="18"/>
  <c r="Q462" i="18"/>
  <c r="R462" i="18" s="1"/>
  <c r="L95" i="7946"/>
  <c r="M70" i="7946"/>
  <c r="S313" i="18"/>
  <c r="T368" i="18"/>
  <c r="O348" i="18"/>
  <c r="P338" i="18"/>
  <c r="T148" i="18"/>
  <c r="U148" i="18" s="1"/>
  <c r="V148" i="18" s="1"/>
  <c r="W148" i="18" s="1"/>
  <c r="X148" i="18" s="1"/>
  <c r="Y148" i="18" s="1"/>
  <c r="Z148" i="18" s="1"/>
  <c r="AA148" i="18" s="1"/>
  <c r="AB148" i="18" s="1"/>
  <c r="AC148" i="18" s="1"/>
  <c r="AD148" i="18" s="1"/>
  <c r="AE148" i="18" s="1"/>
  <c r="AF148" i="18" s="1"/>
  <c r="AG148" i="18" s="1"/>
  <c r="AH148" i="18" s="1"/>
  <c r="AI148" i="18" s="1"/>
  <c r="AJ148" i="18" s="1"/>
  <c r="AK148" i="18" s="1"/>
  <c r="AL148" i="18" s="1"/>
  <c r="AM148" i="18" s="1"/>
  <c r="AN148" i="18" s="1"/>
  <c r="AO148" i="18" s="1"/>
  <c r="AP148" i="18" s="1"/>
  <c r="AQ148" i="18" s="1"/>
  <c r="AR148" i="18" s="1"/>
  <c r="AS148" i="18" s="1"/>
  <c r="AT148" i="18" s="1"/>
  <c r="AU148" i="18" s="1"/>
  <c r="AV148" i="18" s="1"/>
  <c r="AW148" i="18" s="1"/>
  <c r="AX148" i="18" s="1"/>
  <c r="AY148" i="18" s="1"/>
  <c r="AZ148" i="18" s="1"/>
  <c r="BA148" i="18" s="1"/>
  <c r="BB148" i="18" s="1"/>
  <c r="BC148" i="18" s="1"/>
  <c r="BD148" i="18" s="1"/>
  <c r="BE148" i="18" s="1"/>
  <c r="BF148" i="18" s="1"/>
  <c r="BG148" i="18" s="1"/>
  <c r="BH148" i="18" s="1"/>
  <c r="BI148" i="18" s="1"/>
  <c r="O733" i="18"/>
  <c r="AW54" i="7942"/>
  <c r="AW87" i="7942" s="1"/>
  <c r="AV87" i="7942"/>
  <c r="U588" i="18"/>
  <c r="S213" i="18"/>
  <c r="CY98" i="7942"/>
  <c r="CZ65" i="7942"/>
  <c r="CZ98" i="7942" s="1"/>
  <c r="T797" i="18"/>
  <c r="AA52" i="7942"/>
  <c r="AA85" i="7942" s="1"/>
  <c r="Z85" i="7942"/>
  <c r="O98" i="7942"/>
  <c r="P65" i="7942"/>
  <c r="P98" i="7942" s="1"/>
  <c r="CZ59" i="7942"/>
  <c r="CZ92" i="7942" s="1"/>
  <c r="CY92" i="7942"/>
  <c r="O852" i="18"/>
  <c r="O631" i="18"/>
  <c r="P657" i="18"/>
  <c r="Q657" i="18" s="1"/>
  <c r="O540" i="18"/>
  <c r="N739" i="18"/>
  <c r="Q549" i="18"/>
  <c r="U652" i="18"/>
  <c r="V652" i="18" s="1"/>
  <c r="O361" i="18"/>
  <c r="BR86" i="7942"/>
  <c r="BS53" i="7942"/>
  <c r="BS86" i="7942" s="1"/>
  <c r="S690" i="18"/>
  <c r="N726" i="18"/>
  <c r="O718" i="18"/>
  <c r="V601" i="18"/>
  <c r="W601" i="18" s="1"/>
  <c r="X601" i="18" s="1"/>
  <c r="Y601" i="18" s="1"/>
  <c r="Z601" i="18" s="1"/>
  <c r="AA601" i="18" s="1"/>
  <c r="AB601" i="18" s="1"/>
  <c r="AC601" i="18" s="1"/>
  <c r="AD601" i="18" s="1"/>
  <c r="AE601" i="18" s="1"/>
  <c r="AF601" i="18" s="1"/>
  <c r="AG601" i="18" s="1"/>
  <c r="AH601" i="18" s="1"/>
  <c r="AI601" i="18" s="1"/>
  <c r="AJ601" i="18" s="1"/>
  <c r="AK601" i="18" s="1"/>
  <c r="AL601" i="18" s="1"/>
  <c r="AM601" i="18" s="1"/>
  <c r="AN601" i="18" s="1"/>
  <c r="AO601" i="18" s="1"/>
  <c r="AP601" i="18" s="1"/>
  <c r="AQ601" i="18" s="1"/>
  <c r="AR601" i="18" s="1"/>
  <c r="AS601" i="18" s="1"/>
  <c r="AT601" i="18" s="1"/>
  <c r="AU601" i="18" s="1"/>
  <c r="AV601" i="18" s="1"/>
  <c r="AW601" i="18" s="1"/>
  <c r="AX601" i="18" s="1"/>
  <c r="AY601" i="18" s="1"/>
  <c r="AZ601" i="18" s="1"/>
  <c r="BA601" i="18" s="1"/>
  <c r="BB601" i="18" s="1"/>
  <c r="BC601" i="18" s="1"/>
  <c r="BD601" i="18" s="1"/>
  <c r="BE601" i="18" s="1"/>
  <c r="BF601" i="18" s="1"/>
  <c r="BG601" i="18" s="1"/>
  <c r="BH601" i="18" s="1"/>
  <c r="BI601" i="18" s="1"/>
  <c r="S312" i="18"/>
  <c r="R156" i="18"/>
  <c r="O552" i="18"/>
  <c r="P552" i="18" s="1"/>
  <c r="DK66" i="7942"/>
  <c r="DK99" i="7942" s="1"/>
  <c r="DJ99" i="7942"/>
  <c r="Q729" i="18"/>
  <c r="BR97" i="7942"/>
  <c r="BS64" i="7942"/>
  <c r="BS97" i="7942" s="1"/>
  <c r="T846" i="18"/>
  <c r="Q746" i="18"/>
  <c r="AK86" i="7942"/>
  <c r="AL53" i="7942"/>
  <c r="AL86" i="7942" s="1"/>
  <c r="O823" i="18"/>
  <c r="AA53" i="7942"/>
  <c r="AA86" i="7942" s="1"/>
  <c r="Z86" i="7942"/>
  <c r="CD49" i="7942"/>
  <c r="CD82" i="7942" s="1"/>
  <c r="CC82" i="7942"/>
  <c r="Q301" i="18"/>
  <c r="S575" i="18"/>
  <c r="DK55" i="7942"/>
  <c r="DK88" i="7942" s="1"/>
  <c r="DJ88" i="7942"/>
  <c r="R238" i="18"/>
  <c r="Z101" i="7942"/>
  <c r="AA68" i="7942"/>
  <c r="AA101" i="7942" s="1"/>
  <c r="AQ317" i="18"/>
  <c r="AR317" i="18" s="1"/>
  <c r="AS317" i="18" s="1"/>
  <c r="AT317" i="18" s="1"/>
  <c r="AU317" i="18" s="1"/>
  <c r="AV317" i="18" s="1"/>
  <c r="AW317" i="18" s="1"/>
  <c r="AX317" i="18" s="1"/>
  <c r="AY317" i="18" s="1"/>
  <c r="AZ317" i="18" s="1"/>
  <c r="BA317" i="18" s="1"/>
  <c r="BB317" i="18" s="1"/>
  <c r="BC317" i="18" s="1"/>
  <c r="BD317" i="18" s="1"/>
  <c r="BE317" i="18" s="1"/>
  <c r="BF317" i="18" s="1"/>
  <c r="BG317" i="18" s="1"/>
  <c r="BH317" i="18" s="1"/>
  <c r="BI317" i="18" s="1"/>
  <c r="Q241" i="18"/>
  <c r="BH59" i="7942"/>
  <c r="BH92" i="7942" s="1"/>
  <c r="BG92" i="7942"/>
  <c r="BR102" i="7942"/>
  <c r="BS69" i="7942"/>
  <c r="BS102" i="7942" s="1"/>
  <c r="T524" i="18"/>
  <c r="U524" i="18" s="1"/>
  <c r="AV99" i="7942"/>
  <c r="AW66" i="7942"/>
  <c r="AW99" i="7942" s="1"/>
  <c r="CY94" i="7942"/>
  <c r="CZ61" i="7942"/>
  <c r="CZ94" i="7942" s="1"/>
  <c r="AW68" i="7942"/>
  <c r="AW101" i="7942" s="1"/>
  <c r="AV101" i="7942"/>
  <c r="V120" i="18"/>
  <c r="W120" i="18" s="1"/>
  <c r="X120" i="18" s="1"/>
  <c r="Y120" i="18" s="1"/>
  <c r="Z120" i="18" s="1"/>
  <c r="AA120" i="18" s="1"/>
  <c r="AB120" i="18" s="1"/>
  <c r="AC120" i="18" s="1"/>
  <c r="AD120" i="18" s="1"/>
  <c r="AE120" i="18" s="1"/>
  <c r="AF120" i="18" s="1"/>
  <c r="AG120" i="18" s="1"/>
  <c r="AH120" i="18" s="1"/>
  <c r="AI120" i="18" s="1"/>
  <c r="T679" i="18"/>
  <c r="U679" i="18" s="1"/>
  <c r="Q734" i="18"/>
  <c r="R734" i="18" s="1"/>
  <c r="Q617" i="18"/>
  <c r="R617" i="18" s="1"/>
  <c r="CY85" i="7942"/>
  <c r="CZ52" i="7942"/>
  <c r="CZ85" i="7942" s="1"/>
  <c r="Q403" i="18"/>
  <c r="AW61" i="7942"/>
  <c r="AW94" i="7942" s="1"/>
  <c r="AV94" i="7942"/>
  <c r="Q825" i="18"/>
  <c r="R825" i="18" s="1"/>
  <c r="BF107" i="7942"/>
  <c r="V10" i="24"/>
  <c r="P10" i="24"/>
  <c r="R10" i="24"/>
  <c r="Z10" i="24"/>
  <c r="AS10" i="24"/>
  <c r="X10" i="24"/>
  <c r="AU10" i="24"/>
  <c r="BF10" i="24"/>
  <c r="AI10" i="24"/>
  <c r="AZ10" i="24"/>
  <c r="T10" i="24"/>
  <c r="Q10" i="24"/>
  <c r="BE10" i="24"/>
  <c r="AK10" i="24"/>
  <c r="AV10" i="24"/>
  <c r="AB10" i="24"/>
  <c r="AJ10" i="24"/>
  <c r="AQ10" i="24"/>
  <c r="AG10" i="24"/>
  <c r="AO10" i="24"/>
  <c r="AX10" i="24"/>
  <c r="BD10" i="24"/>
  <c r="BA10" i="24"/>
  <c r="AL10" i="24"/>
  <c r="AY10" i="24"/>
  <c r="BB10" i="24"/>
  <c r="AD10" i="24"/>
  <c r="BH10" i="24"/>
  <c r="U10" i="24"/>
  <c r="BC10" i="24"/>
  <c r="AH10" i="24"/>
  <c r="AT10" i="24"/>
  <c r="AA10" i="24"/>
  <c r="BG10" i="24"/>
  <c r="S10" i="24"/>
  <c r="W10" i="24"/>
  <c r="AF10" i="24"/>
  <c r="AM10" i="24"/>
  <c r="AW10" i="24"/>
  <c r="P15" i="2"/>
  <c r="P19" i="2" s="1"/>
  <c r="AR10" i="24"/>
  <c r="BI10" i="24"/>
  <c r="AC10" i="24"/>
  <c r="AE10" i="24"/>
  <c r="Y10" i="24"/>
  <c r="AN10" i="24"/>
  <c r="AP10" i="24"/>
  <c r="P18" i="2"/>
  <c r="P22" i="2"/>
  <c r="P20" i="2"/>
  <c r="P21" i="2" s="1"/>
  <c r="K10" i="7946"/>
  <c r="L33" i="7943"/>
  <c r="AQ110" i="18"/>
  <c r="AR110" i="18" s="1"/>
  <c r="Q446" i="18"/>
  <c r="R446" i="18" s="1"/>
  <c r="S446" i="18" s="1"/>
  <c r="T446" i="18" s="1"/>
  <c r="U446" i="18" s="1"/>
  <c r="V446" i="18" s="1"/>
  <c r="W446" i="18" s="1"/>
  <c r="X446" i="18" s="1"/>
  <c r="Y446" i="18" s="1"/>
  <c r="Z446" i="18" s="1"/>
  <c r="AA446" i="18" s="1"/>
  <c r="AB446" i="18" s="1"/>
  <c r="AC446" i="18" s="1"/>
  <c r="AD446" i="18" s="1"/>
  <c r="AE446" i="18" s="1"/>
  <c r="AF446" i="18" s="1"/>
  <c r="AG446" i="18" s="1"/>
  <c r="AH446" i="18" s="1"/>
  <c r="AI446" i="18" s="1"/>
  <c r="AJ446" i="18" s="1"/>
  <c r="AK446" i="18" s="1"/>
  <c r="AL446" i="18" s="1"/>
  <c r="AM446" i="18" s="1"/>
  <c r="AN446" i="18" s="1"/>
  <c r="AO446" i="18" s="1"/>
  <c r="AP446" i="18" s="1"/>
  <c r="AQ446" i="18" s="1"/>
  <c r="AR446" i="18" s="1"/>
  <c r="AS446" i="18" s="1"/>
  <c r="AT446" i="18" s="1"/>
  <c r="AU446" i="18" s="1"/>
  <c r="AV446" i="18" s="1"/>
  <c r="AW446" i="18" s="1"/>
  <c r="AX446" i="18" s="1"/>
  <c r="AY446" i="18" s="1"/>
  <c r="AZ446" i="18" s="1"/>
  <c r="BA446" i="18" s="1"/>
  <c r="BB446" i="18" s="1"/>
  <c r="BC446" i="18" s="1"/>
  <c r="BD446" i="18" s="1"/>
  <c r="BE446" i="18" s="1"/>
  <c r="BF446" i="18" s="1"/>
  <c r="BG446" i="18" s="1"/>
  <c r="BH446" i="18" s="1"/>
  <c r="BI446" i="18" s="1"/>
  <c r="R197" i="18"/>
  <c r="S197" i="18" s="1"/>
  <c r="T197" i="18" s="1"/>
  <c r="T239" i="18"/>
  <c r="U239" i="18" s="1"/>
  <c r="AC512" i="18"/>
  <c r="AK89" i="7942"/>
  <c r="AL56" i="7942"/>
  <c r="AL89" i="7942" s="1"/>
  <c r="O627" i="18"/>
  <c r="N635" i="18"/>
  <c r="S614" i="18"/>
  <c r="AU107" i="7942"/>
  <c r="AC514" i="18"/>
  <c r="O605" i="18"/>
  <c r="R786" i="18"/>
  <c r="U681" i="18"/>
  <c r="V681" i="18" s="1"/>
  <c r="W681" i="18" s="1"/>
  <c r="X681" i="18" s="1"/>
  <c r="Y681" i="18" s="1"/>
  <c r="Q771" i="18"/>
  <c r="P351" i="18"/>
  <c r="P758" i="18"/>
  <c r="BR106" i="7942"/>
  <c r="BS73" i="7942"/>
  <c r="BS106" i="7942" s="1"/>
  <c r="DJ91" i="7942"/>
  <c r="DK58" i="7942"/>
  <c r="DK91" i="7942" s="1"/>
  <c r="O92" i="7942"/>
  <c r="P59" i="7942"/>
  <c r="P92" i="7942" s="1"/>
  <c r="R798" i="18"/>
  <c r="CX107" i="7942"/>
  <c r="Q799" i="18"/>
  <c r="R799" i="18" s="1"/>
  <c r="P732" i="18"/>
  <c r="Q343" i="18"/>
  <c r="CY104" i="7942"/>
  <c r="CZ71" i="7942"/>
  <c r="CZ104" i="7942" s="1"/>
  <c r="O487" i="18"/>
  <c r="N492" i="18"/>
  <c r="BH48" i="7942"/>
  <c r="BH81" i="7942" s="1"/>
  <c r="BG81" i="7942"/>
  <c r="U366" i="18"/>
  <c r="V366" i="18" s="1"/>
  <c r="W366" i="18" s="1"/>
  <c r="X366" i="18" s="1"/>
  <c r="Y366" i="18" s="1"/>
  <c r="Z366" i="18" s="1"/>
  <c r="AA366" i="18" s="1"/>
  <c r="AB366" i="18" s="1"/>
  <c r="AC366" i="18" s="1"/>
  <c r="AD366" i="18" s="1"/>
  <c r="AE366" i="18" s="1"/>
  <c r="AF366" i="18" s="1"/>
  <c r="Q808" i="18"/>
  <c r="R808" i="18" s="1"/>
  <c r="S182" i="18"/>
  <c r="AV92" i="7942"/>
  <c r="AW59" i="7942"/>
  <c r="AW92" i="7942" s="1"/>
  <c r="P53" i="7942"/>
  <c r="P86" i="7942" s="1"/>
  <c r="O86" i="7942"/>
  <c r="X678" i="18"/>
  <c r="Y678" i="18" s="1"/>
  <c r="Z678" i="18" s="1"/>
  <c r="AA678" i="18" s="1"/>
  <c r="Q332" i="18"/>
  <c r="P384" i="18"/>
  <c r="P293" i="18"/>
  <c r="Q293" i="18" s="1"/>
  <c r="S303" i="18"/>
  <c r="T303" i="18" s="1"/>
  <c r="U303" i="18" s="1"/>
  <c r="V303" i="18" s="1"/>
  <c r="W303" i="18" s="1"/>
  <c r="X303" i="18" s="1"/>
  <c r="Y303" i="18" s="1"/>
  <c r="Z303" i="18" s="1"/>
  <c r="AA303" i="18" s="1"/>
  <c r="AB303" i="18" s="1"/>
  <c r="AC303" i="18" s="1"/>
  <c r="AD303" i="18" s="1"/>
  <c r="AE303" i="18" s="1"/>
  <c r="AF303" i="18" s="1"/>
  <c r="AG303" i="18" s="1"/>
  <c r="AH303" i="18" s="1"/>
  <c r="AI303" i="18" s="1"/>
  <c r="AJ303" i="18" s="1"/>
  <c r="AK303" i="18" s="1"/>
  <c r="AL303" i="18" s="1"/>
  <c r="AM303" i="18" s="1"/>
  <c r="AN303" i="18" s="1"/>
  <c r="AO303" i="18" s="1"/>
  <c r="AP303" i="18" s="1"/>
  <c r="AQ303" i="18" s="1"/>
  <c r="AR303" i="18" s="1"/>
  <c r="AS303" i="18" s="1"/>
  <c r="AT303" i="18" s="1"/>
  <c r="AU303" i="18" s="1"/>
  <c r="AV303" i="18" s="1"/>
  <c r="AW303" i="18" s="1"/>
  <c r="AX303" i="18" s="1"/>
  <c r="AY303" i="18" s="1"/>
  <c r="AZ303" i="18" s="1"/>
  <c r="BA303" i="18" s="1"/>
  <c r="BB303" i="18" s="1"/>
  <c r="BC303" i="18" s="1"/>
  <c r="BD303" i="18" s="1"/>
  <c r="BE303" i="18" s="1"/>
  <c r="BF303" i="18" s="1"/>
  <c r="BG303" i="18" s="1"/>
  <c r="BH303" i="18" s="1"/>
  <c r="BI303" i="18" s="1"/>
  <c r="R357" i="18"/>
  <c r="S357" i="18" s="1"/>
  <c r="N439" i="18"/>
  <c r="P429" i="18"/>
  <c r="Z97" i="7942"/>
  <c r="AA64" i="7942"/>
  <c r="AA97" i="7942" s="1"/>
  <c r="CC85" i="7942"/>
  <c r="CD52" i="7942"/>
  <c r="CD85" i="7942" s="1"/>
  <c r="CZ48" i="7942"/>
  <c r="CZ81" i="7942" s="1"/>
  <c r="CY81" i="7942"/>
  <c r="P668" i="18"/>
  <c r="BS63" i="7942"/>
  <c r="BS96" i="7942" s="1"/>
  <c r="BR96" i="7942"/>
  <c r="R460" i="18"/>
  <c r="S460" i="18" s="1"/>
  <c r="T460" i="18" s="1"/>
  <c r="U460" i="18" s="1"/>
  <c r="V460" i="18" s="1"/>
  <c r="W460" i="18" s="1"/>
  <c r="X460" i="18" s="1"/>
  <c r="Y460" i="18" s="1"/>
  <c r="Z460" i="18" s="1"/>
  <c r="AA460" i="18" s="1"/>
  <c r="AB460" i="18" s="1"/>
  <c r="AC460" i="18" s="1"/>
  <c r="AD460" i="18" s="1"/>
  <c r="AE460" i="18" s="1"/>
  <c r="AF460" i="18" s="1"/>
  <c r="AG460" i="18" s="1"/>
  <c r="AH460" i="18" s="1"/>
  <c r="AI460" i="18" s="1"/>
  <c r="AJ460" i="18" s="1"/>
  <c r="AK460" i="18" s="1"/>
  <c r="AL460" i="18" s="1"/>
  <c r="AM460" i="18" s="1"/>
  <c r="AN460" i="18" s="1"/>
  <c r="AO460" i="18" s="1"/>
  <c r="AP460" i="18" s="1"/>
  <c r="AQ460" i="18" s="1"/>
  <c r="AR460" i="18" s="1"/>
  <c r="AS460" i="18" s="1"/>
  <c r="AT460" i="18" s="1"/>
  <c r="AU460" i="18" s="1"/>
  <c r="AV460" i="18" s="1"/>
  <c r="AW460" i="18" s="1"/>
  <c r="AX460" i="18" s="1"/>
  <c r="AY460" i="18" s="1"/>
  <c r="AZ460" i="18" s="1"/>
  <c r="BA460" i="18" s="1"/>
  <c r="BB460" i="18" s="1"/>
  <c r="BC460" i="18" s="1"/>
  <c r="BD460" i="18" s="1"/>
  <c r="BE460" i="18" s="1"/>
  <c r="BF460" i="18" s="1"/>
  <c r="BG460" i="18" s="1"/>
  <c r="BH460" i="18" s="1"/>
  <c r="BI460" i="18" s="1"/>
  <c r="T600" i="18"/>
  <c r="U600" i="18" s="1"/>
  <c r="V600" i="18" s="1"/>
  <c r="W600" i="18" s="1"/>
  <c r="X600" i="18" s="1"/>
  <c r="Y600" i="18" s="1"/>
  <c r="Z600" i="18" s="1"/>
  <c r="AA600" i="18" s="1"/>
  <c r="AB600" i="18" s="1"/>
  <c r="AC600" i="18" s="1"/>
  <c r="AD600" i="18" s="1"/>
  <c r="AE600" i="18" s="1"/>
  <c r="AF600" i="18" s="1"/>
  <c r="AG600" i="18" s="1"/>
  <c r="AH600" i="18" s="1"/>
  <c r="AI600" i="18" s="1"/>
  <c r="Q234" i="18"/>
  <c r="P590" i="18"/>
  <c r="R796" i="18"/>
  <c r="Q719" i="18"/>
  <c r="S135" i="18"/>
  <c r="AV81" i="7942"/>
  <c r="AW48" i="7942"/>
  <c r="AW81" i="7942" s="1"/>
  <c r="P848" i="18"/>
  <c r="P589" i="18"/>
  <c r="N348" i="18"/>
  <c r="O839" i="18"/>
  <c r="Q826" i="18"/>
  <c r="Q865" i="18"/>
  <c r="O580" i="18"/>
  <c r="O619" i="18"/>
  <c r="O853" i="18"/>
  <c r="O723" i="18"/>
  <c r="O775" i="18"/>
  <c r="O840" i="18"/>
  <c r="P840" i="18" s="1"/>
  <c r="O632" i="18"/>
  <c r="P632" i="18" s="1"/>
  <c r="O658" i="18"/>
  <c r="P658" i="18" s="1"/>
  <c r="O736" i="18"/>
  <c r="P736" i="18" s="1"/>
  <c r="O827" i="18"/>
  <c r="P827" i="18" s="1"/>
  <c r="O788" i="18"/>
  <c r="P788" i="18" s="1"/>
  <c r="O554" i="18"/>
  <c r="O489" i="18"/>
  <c r="P489" i="18" s="1"/>
  <c r="O567" i="18"/>
  <c r="O710" i="18"/>
  <c r="P710" i="18" s="1"/>
  <c r="O749" i="18"/>
  <c r="O671" i="18"/>
  <c r="O606" i="18"/>
  <c r="O697" i="18"/>
  <c r="O700" i="18" s="1"/>
  <c r="O866" i="18"/>
  <c r="P866" i="18" s="1"/>
  <c r="O528" i="18"/>
  <c r="O541" i="18"/>
  <c r="O801" i="18"/>
  <c r="O804" i="18" s="1"/>
  <c r="O814" i="18"/>
  <c r="O593" i="18"/>
  <c r="P593" i="18" s="1"/>
  <c r="O7" i="18"/>
  <c r="O762" i="18"/>
  <c r="P762" i="18" s="1"/>
  <c r="O684" i="18"/>
  <c r="O645" i="18"/>
  <c r="R515" i="18"/>
  <c r="X515" i="18"/>
  <c r="Z515" i="18"/>
  <c r="Q502" i="18"/>
  <c r="W515" i="18"/>
  <c r="O515" i="18"/>
  <c r="O518" i="18" s="1"/>
  <c r="Y515" i="18"/>
  <c r="S502" i="18"/>
  <c r="V515" i="18"/>
  <c r="P515" i="18"/>
  <c r="O502" i="18"/>
  <c r="AB502" i="18"/>
  <c r="Q515" i="18"/>
  <c r="AA515" i="18"/>
  <c r="U502" i="18"/>
  <c r="X502" i="18"/>
  <c r="P502" i="18"/>
  <c r="U515" i="18"/>
  <c r="AA502" i="18"/>
  <c r="R502" i="18"/>
  <c r="Y502" i="18"/>
  <c r="AB515" i="18"/>
  <c r="V502" i="18"/>
  <c r="T515" i="18"/>
  <c r="W502" i="18"/>
  <c r="AC515" i="18"/>
  <c r="Z502" i="18"/>
  <c r="T502" i="18"/>
  <c r="AC502" i="18"/>
  <c r="S515" i="18"/>
  <c r="AW73" i="7942"/>
  <c r="AW106" i="7942" s="1"/>
  <c r="AV106" i="7942"/>
  <c r="T382" i="18"/>
  <c r="U382" i="18" s="1"/>
  <c r="V382" i="18" s="1"/>
  <c r="W382" i="18" s="1"/>
  <c r="X382" i="18" s="1"/>
  <c r="Y382" i="18" s="1"/>
  <c r="Z382" i="18" s="1"/>
  <c r="AA382" i="18" s="1"/>
  <c r="AB382" i="18" s="1"/>
  <c r="AC382" i="18" s="1"/>
  <c r="AD382" i="18" s="1"/>
  <c r="AE382" i="18" s="1"/>
  <c r="AF382" i="18" s="1"/>
  <c r="AG382" i="18" s="1"/>
  <c r="AH382" i="18" s="1"/>
  <c r="AI382" i="18" s="1"/>
  <c r="AJ382" i="18" s="1"/>
  <c r="AK382" i="18" s="1"/>
  <c r="AL382" i="18" s="1"/>
  <c r="AM382" i="18" s="1"/>
  <c r="AN382" i="18" s="1"/>
  <c r="AO382" i="18" s="1"/>
  <c r="AP382" i="18" s="1"/>
  <c r="AQ382" i="18" s="1"/>
  <c r="AR382" i="18" s="1"/>
  <c r="AS382" i="18" s="1"/>
  <c r="AT382" i="18" s="1"/>
  <c r="AU382" i="18" s="1"/>
  <c r="AV382" i="18" s="1"/>
  <c r="AW382" i="18" s="1"/>
  <c r="AX382" i="18" s="1"/>
  <c r="AY382" i="18" s="1"/>
  <c r="AZ382" i="18" s="1"/>
  <c r="BA382" i="18" s="1"/>
  <c r="BB382" i="18" s="1"/>
  <c r="BC382" i="18" s="1"/>
  <c r="BD382" i="18" s="1"/>
  <c r="BE382" i="18" s="1"/>
  <c r="BF382" i="18" s="1"/>
  <c r="BG382" i="18" s="1"/>
  <c r="BH382" i="18" s="1"/>
  <c r="BI382" i="18" s="1"/>
  <c r="Q586" i="18"/>
  <c r="BG103" i="7942"/>
  <c r="BH70" i="7942"/>
  <c r="BH103" i="7942" s="1"/>
  <c r="O655" i="18"/>
  <c r="AW65" i="7942"/>
  <c r="AW98" i="7942" s="1"/>
  <c r="AV98" i="7942"/>
  <c r="R759" i="18"/>
  <c r="S759" i="18" s="1"/>
  <c r="AK103" i="7942"/>
  <c r="AL70" i="7942"/>
  <c r="AL103" i="7942" s="1"/>
  <c r="BH61" i="7942"/>
  <c r="BH94" i="7942" s="1"/>
  <c r="BG94" i="7942"/>
  <c r="Q707" i="18"/>
  <c r="R707" i="18" s="1"/>
  <c r="R757" i="18"/>
  <c r="CO55" i="7942"/>
  <c r="CO88" i="7942" s="1"/>
  <c r="CN88" i="7942"/>
  <c r="N830" i="18"/>
  <c r="V638" i="18"/>
  <c r="BR100" i="7942"/>
  <c r="BS67" i="7942"/>
  <c r="BS100" i="7942" s="1"/>
  <c r="N661" i="18"/>
  <c r="P768" i="18"/>
  <c r="R262" i="18"/>
  <c r="S262" i="18" s="1"/>
  <c r="T262" i="18" s="1"/>
  <c r="P211" i="18"/>
  <c r="AH508" i="18"/>
  <c r="BS61" i="7942"/>
  <c r="BS94" i="7942" s="1"/>
  <c r="BR94" i="7942"/>
  <c r="T329" i="18"/>
  <c r="DK59" i="7942"/>
  <c r="DK92" i="7942" s="1"/>
  <c r="DJ92" i="7942"/>
  <c r="CC87" i="7942"/>
  <c r="CD54" i="7942"/>
  <c r="CD87" i="7942" s="1"/>
  <c r="AW67" i="7942"/>
  <c r="AW100" i="7942" s="1"/>
  <c r="AV100" i="7942"/>
  <c r="N59" i="18"/>
  <c r="N64" i="18"/>
  <c r="Q345" i="18"/>
  <c r="P163" i="18"/>
  <c r="N51" i="18"/>
  <c r="N52" i="18"/>
  <c r="CD48" i="7942"/>
  <c r="CD81" i="7942" s="1"/>
  <c r="CC81" i="7942"/>
  <c r="DK50" i="7942"/>
  <c r="DK83" i="7942" s="1"/>
  <c r="DJ83" i="7942"/>
  <c r="DK67" i="7942"/>
  <c r="DK100" i="7942" s="1"/>
  <c r="DJ100" i="7942"/>
  <c r="AT104" i="18"/>
  <c r="T602" i="18"/>
  <c r="AK99" i="7942"/>
  <c r="AL66" i="7942"/>
  <c r="AL99" i="7942" s="1"/>
  <c r="CD73" i="7942"/>
  <c r="CD106" i="7942" s="1"/>
  <c r="CC106" i="7942"/>
  <c r="P277" i="18"/>
  <c r="Q277" i="18" s="1"/>
  <c r="Z92" i="7942"/>
  <c r="AA59" i="7942"/>
  <c r="AA92" i="7942" s="1"/>
  <c r="S395" i="18"/>
  <c r="T395" i="18" s="1"/>
  <c r="U395" i="18" s="1"/>
  <c r="V395" i="18" s="1"/>
  <c r="W395" i="18" s="1"/>
  <c r="DJ89" i="7942"/>
  <c r="DK56" i="7942"/>
  <c r="DK89" i="7942" s="1"/>
  <c r="BR95" i="7942"/>
  <c r="BS62" i="7942"/>
  <c r="BS95" i="7942" s="1"/>
  <c r="AA54" i="7942"/>
  <c r="AA87" i="7942" s="1"/>
  <c r="Z87" i="7942"/>
  <c r="DJ81" i="7942"/>
  <c r="DK48" i="7942"/>
  <c r="DK81" i="7942" s="1"/>
  <c r="M283" i="18"/>
  <c r="Q850" i="18"/>
  <c r="R850" i="18" s="1"/>
  <c r="S850" i="18" s="1"/>
  <c r="CN90" i="7942"/>
  <c r="CO57" i="7942"/>
  <c r="CO90" i="7942" s="1"/>
  <c r="CO50" i="7942"/>
  <c r="CO83" i="7942" s="1"/>
  <c r="CN83" i="7942"/>
  <c r="O400" i="18"/>
  <c r="CZ60" i="7942"/>
  <c r="CZ93" i="7942" s="1"/>
  <c r="CY93" i="7942"/>
  <c r="CZ51" i="7942"/>
  <c r="CZ84" i="7942" s="1"/>
  <c r="CY84" i="7942"/>
  <c r="AU96" i="18"/>
  <c r="AV96" i="18" s="1"/>
  <c r="AW96" i="18" s="1"/>
  <c r="AX96" i="18" s="1"/>
  <c r="AY96" i="18" s="1"/>
  <c r="AZ96" i="18" s="1"/>
  <c r="BA96" i="18" s="1"/>
  <c r="BB96" i="18" s="1"/>
  <c r="BC96" i="18" s="1"/>
  <c r="BD96" i="18" s="1"/>
  <c r="BE96" i="18" s="1"/>
  <c r="BF96" i="18" s="1"/>
  <c r="BG96" i="18" s="1"/>
  <c r="BH96" i="18" s="1"/>
  <c r="BI96" i="18" s="1"/>
  <c r="AL67" i="7942"/>
  <c r="AL100" i="7942" s="1"/>
  <c r="AK100" i="7942"/>
  <c r="S755" i="18"/>
  <c r="CY105" i="7942"/>
  <c r="CZ72" i="7942"/>
  <c r="CZ105" i="7942" s="1"/>
  <c r="AK87" i="7942"/>
  <c r="AL54" i="7942"/>
  <c r="AL87" i="7942" s="1"/>
  <c r="P435" i="18"/>
  <c r="Q435" i="18" s="1"/>
  <c r="P58" i="7942"/>
  <c r="P91" i="7942" s="1"/>
  <c r="O91" i="7942"/>
  <c r="BG87" i="7942"/>
  <c r="BH54" i="7942"/>
  <c r="BH87" i="7942" s="1"/>
  <c r="BH64" i="7942"/>
  <c r="BH97" i="7942" s="1"/>
  <c r="BG97" i="7942"/>
  <c r="DK64" i="7942"/>
  <c r="DK97" i="7942" s="1"/>
  <c r="DJ97" i="7942"/>
  <c r="S409" i="18"/>
  <c r="P665" i="18"/>
  <c r="Q665" i="18" s="1"/>
  <c r="R665" i="18" s="1"/>
  <c r="S665" i="18" s="1"/>
  <c r="CC86" i="7942"/>
  <c r="CD53" i="7942"/>
  <c r="CD86" i="7942" s="1"/>
  <c r="O34" i="18"/>
  <c r="P242" i="18"/>
  <c r="AM86" i="18"/>
  <c r="P294" i="18"/>
  <c r="O40" i="18"/>
  <c r="O16" i="18"/>
  <c r="P320" i="18"/>
  <c r="AQ86" i="18"/>
  <c r="P346" i="18"/>
  <c r="Q346" i="18" s="1"/>
  <c r="R346" i="18" s="1"/>
  <c r="AD86" i="18"/>
  <c r="O25" i="18"/>
  <c r="O18" i="18"/>
  <c r="AF86" i="18"/>
  <c r="P385" i="18"/>
  <c r="Q385" i="18" s="1"/>
  <c r="X86" i="18"/>
  <c r="P307" i="18"/>
  <c r="O26" i="18"/>
  <c r="O19" i="18"/>
  <c r="R86" i="18"/>
  <c r="AL86" i="18"/>
  <c r="O11" i="18"/>
  <c r="O33" i="18"/>
  <c r="P86" i="18"/>
  <c r="Z86" i="18"/>
  <c r="O35" i="18"/>
  <c r="P268" i="18"/>
  <c r="Q268" i="18" s="1"/>
  <c r="O39" i="18"/>
  <c r="AH86" i="18"/>
  <c r="AE86" i="18"/>
  <c r="P151" i="18"/>
  <c r="Q151" i="18" s="1"/>
  <c r="O14" i="18"/>
  <c r="P125" i="18"/>
  <c r="O29" i="18"/>
  <c r="AN86" i="18"/>
  <c r="O32" i="18"/>
  <c r="AC86" i="18"/>
  <c r="Q86" i="18"/>
  <c r="P437" i="18"/>
  <c r="O27" i="18"/>
  <c r="AA86" i="18"/>
  <c r="S86" i="18"/>
  <c r="P424" i="18"/>
  <c r="AJ86" i="18"/>
  <c r="AB86" i="18"/>
  <c r="O21" i="18"/>
  <c r="Q437" i="18"/>
  <c r="AK86" i="18"/>
  <c r="P255" i="18"/>
  <c r="P257" i="18" s="1"/>
  <c r="U86" i="18"/>
  <c r="P372" i="18"/>
  <c r="Q372" i="18" s="1"/>
  <c r="R372" i="18" s="1"/>
  <c r="O20" i="18"/>
  <c r="Q294" i="18"/>
  <c r="P229" i="18"/>
  <c r="O12" i="18"/>
  <c r="P450" i="18"/>
  <c r="AP86" i="18"/>
  <c r="P398" i="18"/>
  <c r="O24" i="18"/>
  <c r="P333" i="18"/>
  <c r="W86" i="18"/>
  <c r="P216" i="18"/>
  <c r="AG86" i="18"/>
  <c r="O36" i="18"/>
  <c r="AI86" i="18"/>
  <c r="O37" i="18"/>
  <c r="P164" i="18"/>
  <c r="Q164" i="18" s="1"/>
  <c r="R164" i="18" s="1"/>
  <c r="P411" i="18"/>
  <c r="O17" i="18"/>
  <c r="P138" i="18"/>
  <c r="O30" i="18"/>
  <c r="O31" i="18"/>
  <c r="AO86" i="18"/>
  <c r="O38" i="18"/>
  <c r="P281" i="18"/>
  <c r="Q281" i="18" s="1"/>
  <c r="R281" i="18" s="1"/>
  <c r="O13" i="18"/>
  <c r="O23" i="18"/>
  <c r="P463" i="18"/>
  <c r="Q463" i="18" s="1"/>
  <c r="P359" i="18"/>
  <c r="Q359" i="18" s="1"/>
  <c r="O28" i="18"/>
  <c r="Y86" i="18"/>
  <c r="P177" i="18"/>
  <c r="P203" i="18"/>
  <c r="Q203" i="18" s="1"/>
  <c r="V86" i="18"/>
  <c r="P190" i="18"/>
  <c r="T86" i="18"/>
  <c r="O15" i="18"/>
  <c r="O46" i="18" s="1"/>
  <c r="O22" i="18"/>
  <c r="AP112" i="18"/>
  <c r="AQ112" i="18"/>
  <c r="AC112" i="18"/>
  <c r="AM99" i="18"/>
  <c r="AD99" i="18"/>
  <c r="AB99" i="18"/>
  <c r="R99" i="18"/>
  <c r="AJ112" i="18"/>
  <c r="AD112" i="18"/>
  <c r="AB112" i="18"/>
  <c r="Q112" i="18"/>
  <c r="AM112" i="18"/>
  <c r="X112" i="18"/>
  <c r="AN112" i="18"/>
  <c r="AL112" i="18"/>
  <c r="AI112" i="18"/>
  <c r="AO112" i="18"/>
  <c r="U112" i="18"/>
  <c r="AH112" i="18"/>
  <c r="Y112" i="18"/>
  <c r="V112" i="18"/>
  <c r="W112" i="18"/>
  <c r="AF112" i="18"/>
  <c r="Z99" i="18"/>
  <c r="AC99" i="18"/>
  <c r="AL99" i="18"/>
  <c r="AF99" i="18"/>
  <c r="AI99" i="18"/>
  <c r="R112" i="18"/>
  <c r="AA112" i="18"/>
  <c r="P99" i="18"/>
  <c r="AP99" i="18"/>
  <c r="AH99" i="18"/>
  <c r="AG99" i="18"/>
  <c r="AJ99" i="18"/>
  <c r="AK99" i="18"/>
  <c r="AN99" i="18"/>
  <c r="AK112" i="18"/>
  <c r="P112" i="18"/>
  <c r="P114" i="18" s="1"/>
  <c r="W99" i="18"/>
  <c r="AQ99" i="18"/>
  <c r="AA99" i="18"/>
  <c r="AG112" i="18"/>
  <c r="AE99" i="18"/>
  <c r="Q99" i="18"/>
  <c r="S112" i="18"/>
  <c r="U99" i="18"/>
  <c r="T112" i="18"/>
  <c r="AO99" i="18"/>
  <c r="T99" i="18"/>
  <c r="Z112" i="18"/>
  <c r="Y99" i="18"/>
  <c r="S99" i="18"/>
  <c r="X99" i="18"/>
  <c r="AE112" i="18"/>
  <c r="V99" i="18"/>
  <c r="O94" i="7942"/>
  <c r="P61" i="7942"/>
  <c r="P94" i="7942" s="1"/>
  <c r="BS68" i="7942"/>
  <c r="BS101" i="7942" s="1"/>
  <c r="BR101" i="7942"/>
  <c r="CC90" i="7942"/>
  <c r="CD57" i="7942"/>
  <c r="CD90" i="7942" s="1"/>
  <c r="Z83" i="7942"/>
  <c r="AA50" i="7942"/>
  <c r="AA83" i="7942" s="1"/>
  <c r="BS56" i="7942"/>
  <c r="BS89" i="7942" s="1"/>
  <c r="BR89" i="7942"/>
  <c r="AQ111" i="18"/>
  <c r="S189" i="18"/>
  <c r="T189" i="18" s="1"/>
  <c r="U189" i="18" s="1"/>
  <c r="Q215" i="18"/>
  <c r="R215" i="18" s="1"/>
  <c r="S215" i="18" s="1"/>
  <c r="T215" i="18" s="1"/>
  <c r="P358" i="18"/>
  <c r="N53" i="18"/>
  <c r="P319" i="18"/>
  <c r="R202" i="18"/>
  <c r="N44" i="18"/>
  <c r="N50" i="18"/>
  <c r="AA56" i="7942"/>
  <c r="AA89" i="7942" s="1"/>
  <c r="Z89" i="7942"/>
  <c r="BG90" i="7942"/>
  <c r="BH57" i="7942"/>
  <c r="BH90" i="7942" s="1"/>
  <c r="S56" i="7946"/>
  <c r="S57" i="7946" s="1"/>
  <c r="K81" i="7946"/>
  <c r="S81" i="7946" s="1"/>
  <c r="S82" i="7946" s="1"/>
  <c r="P50" i="7942"/>
  <c r="P83" i="7942" s="1"/>
  <c r="O83" i="7942"/>
  <c r="CO58" i="7942"/>
  <c r="CO91" i="7942" s="1"/>
  <c r="CN91" i="7942"/>
  <c r="N869" i="18"/>
  <c r="Q521" i="18"/>
  <c r="Q833" i="18"/>
  <c r="DK65" i="7942"/>
  <c r="DK98" i="7942" s="1"/>
  <c r="DJ98" i="7942"/>
  <c r="P48" i="7942"/>
  <c r="P81" i="7942" s="1"/>
  <c r="O81" i="7942"/>
  <c r="AV95" i="7942"/>
  <c r="AW62" i="7942"/>
  <c r="AW95" i="7942" s="1"/>
  <c r="S523" i="18"/>
  <c r="T523" i="18" s="1"/>
  <c r="U523" i="18" s="1"/>
  <c r="V523" i="18" s="1"/>
  <c r="W523" i="18" s="1"/>
  <c r="X523" i="18" s="1"/>
  <c r="BG101" i="7942"/>
  <c r="BH68" i="7942"/>
  <c r="BH101" i="7942" s="1"/>
  <c r="U147" i="18"/>
  <c r="M41" i="24"/>
  <c r="M32" i="24"/>
  <c r="M163" i="24" s="1"/>
  <c r="M40" i="24"/>
  <c r="N7" i="24"/>
  <c r="M49" i="24"/>
  <c r="CY82" i="7942"/>
  <c r="CZ49" i="7942"/>
  <c r="CZ82" i="7942" s="1"/>
  <c r="P290" i="18"/>
  <c r="Q290" i="18" s="1"/>
  <c r="R143" i="18"/>
  <c r="DI107" i="7942"/>
  <c r="CO51" i="7942"/>
  <c r="CO84" i="7942" s="1"/>
  <c r="CN84" i="7942"/>
  <c r="O166" i="18"/>
  <c r="S782" i="18"/>
  <c r="BB483" i="18"/>
  <c r="BC483" i="18" s="1"/>
  <c r="BD483" i="18" s="1"/>
  <c r="BE483" i="18" s="1"/>
  <c r="BF483" i="18" s="1"/>
  <c r="BG483" i="18" s="1"/>
  <c r="BH483" i="18" s="1"/>
  <c r="BI483" i="18" s="1"/>
  <c r="O60" i="7943"/>
  <c r="P60" i="7943" s="1"/>
  <c r="DJ86" i="7942"/>
  <c r="DK53" i="7942"/>
  <c r="DK86" i="7942" s="1"/>
  <c r="J57" i="7946"/>
  <c r="P64" i="7942"/>
  <c r="P97" i="7942" s="1"/>
  <c r="O97" i="7942"/>
  <c r="AJ107" i="7942"/>
  <c r="CC102" i="7942"/>
  <c r="CD69" i="7942"/>
  <c r="CD102" i="7942" s="1"/>
  <c r="S227" i="18"/>
  <c r="T227" i="18" s="1"/>
  <c r="U227" i="18" s="1"/>
  <c r="V227" i="18" s="1"/>
  <c r="W227" i="18" s="1"/>
  <c r="X227" i="18" s="1"/>
  <c r="Y227" i="18" s="1"/>
  <c r="Z227" i="18" s="1"/>
  <c r="AA227" i="18" s="1"/>
  <c r="AB227" i="18" s="1"/>
  <c r="AC227" i="18" s="1"/>
  <c r="AD227" i="18" s="1"/>
  <c r="AE227" i="18" s="1"/>
  <c r="AF227" i="18" s="1"/>
  <c r="AG227" i="18" s="1"/>
  <c r="AH227" i="18" s="1"/>
  <c r="AI227" i="18" s="1"/>
  <c r="AJ227" i="18" s="1"/>
  <c r="AK227" i="18" s="1"/>
  <c r="AL227" i="18" s="1"/>
  <c r="AM227" i="18" s="1"/>
  <c r="AN227" i="18" s="1"/>
  <c r="AO227" i="18" s="1"/>
  <c r="AP227" i="18" s="1"/>
  <c r="AQ227" i="18" s="1"/>
  <c r="AR227" i="18" s="1"/>
  <c r="AS227" i="18" s="1"/>
  <c r="AT227" i="18" s="1"/>
  <c r="AU227" i="18" s="1"/>
  <c r="AV227" i="18" s="1"/>
  <c r="AW227" i="18" s="1"/>
  <c r="AX227" i="18" s="1"/>
  <c r="AY227" i="18" s="1"/>
  <c r="AZ227" i="18" s="1"/>
  <c r="BA227" i="18" s="1"/>
  <c r="BB227" i="18" s="1"/>
  <c r="BC227" i="18" s="1"/>
  <c r="BD227" i="18" s="1"/>
  <c r="BE227" i="18" s="1"/>
  <c r="BF227" i="18" s="1"/>
  <c r="BG227" i="18" s="1"/>
  <c r="BH227" i="18" s="1"/>
  <c r="BI227" i="18" s="1"/>
  <c r="Z103" i="7942"/>
  <c r="AA70" i="7942"/>
  <c r="AA103" i="7942" s="1"/>
  <c r="O106" i="7942"/>
  <c r="P73" i="7942"/>
  <c r="P106" i="7942" s="1"/>
  <c r="DK62" i="7942"/>
  <c r="DK95" i="7942" s="1"/>
  <c r="DJ95" i="7942"/>
  <c r="R560" i="18"/>
  <c r="N583" i="18"/>
  <c r="O573" i="18"/>
  <c r="CZ73" i="7942"/>
  <c r="CZ106" i="7942" s="1"/>
  <c r="CY106" i="7942"/>
  <c r="DJ96" i="7942"/>
  <c r="DK63" i="7942"/>
  <c r="DK96" i="7942" s="1"/>
  <c r="CN98" i="7942"/>
  <c r="CO65" i="7942"/>
  <c r="CO98" i="7942" s="1"/>
  <c r="BH56" i="7942"/>
  <c r="BH89" i="7942" s="1"/>
  <c r="BG89" i="7942"/>
  <c r="N47" i="18"/>
  <c r="Q423" i="18"/>
  <c r="N60" i="18"/>
  <c r="N57" i="18"/>
  <c r="N65" i="18"/>
  <c r="O270" i="18"/>
  <c r="N107" i="7942"/>
  <c r="BH55" i="7942"/>
  <c r="BH88" i="7942" s="1"/>
  <c r="BG88" i="7942"/>
  <c r="DK60" i="7942"/>
  <c r="DK93" i="7942" s="1"/>
  <c r="DJ93" i="7942"/>
  <c r="S534" i="18"/>
  <c r="Z81" i="7942"/>
  <c r="AA48" i="7942"/>
  <c r="AA81" i="7942" s="1"/>
  <c r="L13" i="24"/>
  <c r="M12" i="24"/>
  <c r="T703" i="18"/>
  <c r="Z96" i="7942"/>
  <c r="AA63" i="7942"/>
  <c r="AA96" i="7942" s="1"/>
  <c r="R247" i="18"/>
  <c r="BR90" i="7942"/>
  <c r="BS57" i="7942"/>
  <c r="BS90" i="7942" s="1"/>
  <c r="BS66" i="7942"/>
  <c r="BS99" i="7942" s="1"/>
  <c r="BR99" i="7942"/>
  <c r="O273" i="18"/>
  <c r="Z84" i="7942"/>
  <c r="AA51" i="7942"/>
  <c r="AA84" i="7942" s="1"/>
  <c r="R327" i="18"/>
  <c r="S327" i="18" s="1"/>
  <c r="O442" i="18"/>
  <c r="P442" i="18" s="1"/>
  <c r="Q442" i="18" s="1"/>
  <c r="N452" i="18"/>
  <c r="J32" i="7945"/>
  <c r="O431" i="18"/>
  <c r="T252" i="18"/>
  <c r="CY102" i="7942"/>
  <c r="CZ69" i="7942"/>
  <c r="CZ102" i="7942" s="1"/>
  <c r="S405" i="18"/>
  <c r="CO54" i="7942"/>
  <c r="CO87" i="7942" s="1"/>
  <c r="CN87" i="7942"/>
  <c r="CY87" i="7942"/>
  <c r="CZ54" i="7942"/>
  <c r="CZ87" i="7942" s="1"/>
  <c r="Q162" i="18"/>
  <c r="R162" i="18" s="1"/>
  <c r="AL48" i="7942"/>
  <c r="AL81" i="7942" s="1"/>
  <c r="AK81" i="7942"/>
  <c r="R640" i="18"/>
  <c r="T651" i="18"/>
  <c r="R364" i="18"/>
  <c r="S364" i="18" s="1"/>
  <c r="AS84" i="18"/>
  <c r="AT84" i="18" s="1"/>
  <c r="AU84" i="18" s="1"/>
  <c r="AV84" i="18" s="1"/>
  <c r="AW84" i="18" s="1"/>
  <c r="AX84" i="18" s="1"/>
  <c r="AY84" i="18" s="1"/>
  <c r="AZ84" i="18" s="1"/>
  <c r="BA84" i="18" s="1"/>
  <c r="BB84" i="18" s="1"/>
  <c r="BC84" i="18" s="1"/>
  <c r="BD84" i="18" s="1"/>
  <c r="BE84" i="18" s="1"/>
  <c r="BF84" i="18" s="1"/>
  <c r="BG84" i="18" s="1"/>
  <c r="BH84" i="18" s="1"/>
  <c r="BI84" i="18" s="1"/>
  <c r="S422" i="18"/>
  <c r="T369" i="18"/>
  <c r="R136" i="18"/>
  <c r="P66" i="7942"/>
  <c r="P99" i="7942" s="1"/>
  <c r="O99" i="7942"/>
  <c r="AW57" i="7942"/>
  <c r="AW90" i="7942" s="1"/>
  <c r="AV90" i="7942"/>
  <c r="P461" i="18"/>
  <c r="AK91" i="7942"/>
  <c r="AL58" i="7942"/>
  <c r="AL91" i="7942" s="1"/>
  <c r="Q836" i="18"/>
  <c r="O89" i="7942"/>
  <c r="P56" i="7942"/>
  <c r="P89" i="7942" s="1"/>
  <c r="CO64" i="7942"/>
  <c r="CO97" i="7942" s="1"/>
  <c r="CN97" i="7942"/>
  <c r="W157" i="18"/>
  <c r="X157" i="18" s="1"/>
  <c r="Y157" i="18" s="1"/>
  <c r="Z157" i="18" s="1"/>
  <c r="AA157" i="18" s="1"/>
  <c r="AB157" i="18" s="1"/>
  <c r="AC157" i="18" s="1"/>
  <c r="AD157" i="18" s="1"/>
  <c r="AE157" i="18" s="1"/>
  <c r="AA58" i="7942"/>
  <c r="AA91" i="7942" s="1"/>
  <c r="Z91" i="7942"/>
  <c r="T325" i="18"/>
  <c r="AL61" i="7942"/>
  <c r="AL94" i="7942" s="1"/>
  <c r="AK94" i="7942"/>
  <c r="O387" i="18"/>
  <c r="Q170" i="18"/>
  <c r="R170" i="18" s="1"/>
  <c r="BR104" i="7942"/>
  <c r="BS71" i="7942"/>
  <c r="BS104" i="7942" s="1"/>
  <c r="CC93" i="7942"/>
  <c r="CD60" i="7942"/>
  <c r="CD93" i="7942" s="1"/>
  <c r="Q390" i="18"/>
  <c r="R390" i="18" s="1"/>
  <c r="S390" i="18" s="1"/>
  <c r="W171" i="18"/>
  <c r="X171" i="18" s="1"/>
  <c r="Y171" i="18" s="1"/>
  <c r="Z171" i="18" s="1"/>
  <c r="AA171" i="18" s="1"/>
  <c r="AB171" i="18" s="1"/>
  <c r="AC171" i="18" s="1"/>
  <c r="AD171" i="18" s="1"/>
  <c r="AE171" i="18" s="1"/>
  <c r="AF171" i="18" s="1"/>
  <c r="AG171" i="18" s="1"/>
  <c r="AH171" i="18" s="1"/>
  <c r="AI171" i="18" s="1"/>
  <c r="AJ171" i="18" s="1"/>
  <c r="AK171" i="18" s="1"/>
  <c r="AL171" i="18" s="1"/>
  <c r="Q419" i="18"/>
  <c r="R419" i="18" s="1"/>
  <c r="AV88" i="7942"/>
  <c r="AW55" i="7942"/>
  <c r="AW88" i="7942" s="1"/>
  <c r="BH49" i="7942"/>
  <c r="BH82" i="7942" s="1"/>
  <c r="BG82" i="7942"/>
  <c r="P379" i="18"/>
  <c r="CZ67" i="7942"/>
  <c r="CZ100" i="7942" s="1"/>
  <c r="CY100" i="7942"/>
  <c r="S677" i="18"/>
  <c r="N21" i="7945"/>
  <c r="N21" i="7946"/>
  <c r="AK95" i="7942"/>
  <c r="AL62" i="7942"/>
  <c r="AL95" i="7942" s="1"/>
  <c r="CD72" i="7942"/>
  <c r="CD105" i="7942" s="1"/>
  <c r="CC105" i="7942"/>
  <c r="T407" i="18"/>
  <c r="U407" i="18" s="1"/>
  <c r="V407" i="18" s="1"/>
  <c r="W407" i="18" s="1"/>
  <c r="X407" i="18" s="1"/>
  <c r="Y407" i="18" s="1"/>
  <c r="Z407" i="18" s="1"/>
  <c r="AA407" i="18" s="1"/>
  <c r="AB407" i="18" s="1"/>
  <c r="AC407" i="18" s="1"/>
  <c r="AD407" i="18" s="1"/>
  <c r="AE407" i="18" s="1"/>
  <c r="AF407" i="18" s="1"/>
  <c r="AG407" i="18" s="1"/>
  <c r="AH407" i="18" s="1"/>
  <c r="AI407" i="18" s="1"/>
  <c r="AJ407" i="18" s="1"/>
  <c r="AK407" i="18" s="1"/>
  <c r="AL407" i="18" s="1"/>
  <c r="O236" i="18"/>
  <c r="N244" i="18"/>
  <c r="Q212" i="18"/>
  <c r="R212" i="18" s="1"/>
  <c r="O288" i="18"/>
  <c r="O864" i="18"/>
  <c r="P864" i="18" s="1"/>
  <c r="DJ87" i="7942"/>
  <c r="DK54" i="7942"/>
  <c r="DK87" i="7942" s="1"/>
  <c r="DK52" i="7942"/>
  <c r="DK85" i="7942" s="1"/>
  <c r="DJ85" i="7942"/>
  <c r="O24" i="2"/>
  <c r="O23" i="2"/>
  <c r="O25" i="2" s="1"/>
  <c r="CN105" i="7942"/>
  <c r="CO72" i="7942"/>
  <c r="CO105" i="7942" s="1"/>
  <c r="CD61" i="7942"/>
  <c r="CD94" i="7942" s="1"/>
  <c r="CC94" i="7942"/>
  <c r="Y264" i="18"/>
  <c r="Z264" i="18" s="1"/>
  <c r="AA264" i="18" s="1"/>
  <c r="AB264" i="18" s="1"/>
  <c r="AC264" i="18" s="1"/>
  <c r="AD264" i="18" s="1"/>
  <c r="AE264" i="18" s="1"/>
  <c r="AF264" i="18" s="1"/>
  <c r="AG264" i="18" s="1"/>
  <c r="AH264" i="18" s="1"/>
  <c r="AI264" i="18" s="1"/>
  <c r="AJ264" i="18" s="1"/>
  <c r="AK264" i="18" s="1"/>
  <c r="AL264" i="18" s="1"/>
  <c r="AM264" i="18" s="1"/>
  <c r="AN264" i="18" s="1"/>
  <c r="AO264" i="18" s="1"/>
  <c r="AP264" i="18" s="1"/>
  <c r="AQ264" i="18" s="1"/>
  <c r="AR264" i="18" s="1"/>
  <c r="AS264" i="18" s="1"/>
  <c r="AT264" i="18" s="1"/>
  <c r="AU264" i="18" s="1"/>
  <c r="AV264" i="18" s="1"/>
  <c r="AW264" i="18" s="1"/>
  <c r="AX264" i="18" s="1"/>
  <c r="AY264" i="18" s="1"/>
  <c r="AZ264" i="18" s="1"/>
  <c r="BA264" i="18" s="1"/>
  <c r="BB264" i="18" s="1"/>
  <c r="BC264" i="18" s="1"/>
  <c r="BD264" i="18" s="1"/>
  <c r="BE264" i="18" s="1"/>
  <c r="BF264" i="18" s="1"/>
  <c r="BG264" i="18" s="1"/>
  <c r="BH264" i="18" s="1"/>
  <c r="BI264" i="18" s="1"/>
  <c r="CZ70" i="7942"/>
  <c r="CZ103" i="7942" s="1"/>
  <c r="CY103" i="7942"/>
  <c r="P443" i="18"/>
  <c r="DK57" i="7942"/>
  <c r="DK90" i="7942" s="1"/>
  <c r="DJ90" i="7942"/>
  <c r="BS60" i="7942"/>
  <c r="BS93" i="7942" s="1"/>
  <c r="BR93" i="7942"/>
  <c r="DJ94" i="7942"/>
  <c r="DK61" i="7942"/>
  <c r="DK94" i="7942" s="1"/>
  <c r="P67" i="7942"/>
  <c r="P100" i="7942" s="1"/>
  <c r="O100" i="7942"/>
  <c r="Q280" i="18"/>
  <c r="N63" i="18"/>
  <c r="P150" i="18"/>
  <c r="Q150" i="18" s="1"/>
  <c r="N43" i="18"/>
  <c r="N48" i="18"/>
  <c r="N69" i="18"/>
  <c r="N58" i="18"/>
  <c r="N71" i="18"/>
  <c r="U537" i="18"/>
  <c r="U355" i="18"/>
  <c r="Q641" i="18"/>
  <c r="S576" i="18"/>
  <c r="T434" i="18"/>
  <c r="U434" i="18" s="1"/>
  <c r="V434" i="18" s="1"/>
  <c r="W434" i="18" s="1"/>
  <c r="X434" i="18" s="1"/>
  <c r="Y434" i="18" s="1"/>
  <c r="Z434" i="18" s="1"/>
  <c r="AA434" i="18" s="1"/>
  <c r="AB434" i="18" s="1"/>
  <c r="AC434" i="18" s="1"/>
  <c r="AD434" i="18" s="1"/>
  <c r="AE434" i="18" s="1"/>
  <c r="AF434" i="18" s="1"/>
  <c r="AG434" i="18" s="1"/>
  <c r="AH434" i="18" s="1"/>
  <c r="AI434" i="18" s="1"/>
  <c r="AJ434" i="18" s="1"/>
  <c r="AK434" i="18" s="1"/>
  <c r="AL434" i="18" s="1"/>
  <c r="AM434" i="18" s="1"/>
  <c r="AN434" i="18" s="1"/>
  <c r="AO434" i="18" s="1"/>
  <c r="AP434" i="18" s="1"/>
  <c r="AQ434" i="18" s="1"/>
  <c r="AR434" i="18" s="1"/>
  <c r="AS434" i="18" s="1"/>
  <c r="AT434" i="18" s="1"/>
  <c r="AU434" i="18" s="1"/>
  <c r="AV434" i="18" s="1"/>
  <c r="AW434" i="18" s="1"/>
  <c r="AX434" i="18" s="1"/>
  <c r="AY434" i="18" s="1"/>
  <c r="AZ434" i="18" s="1"/>
  <c r="BA434" i="18" s="1"/>
  <c r="BB434" i="18" s="1"/>
  <c r="BC434" i="18" s="1"/>
  <c r="BD434" i="18" s="1"/>
  <c r="BE434" i="18" s="1"/>
  <c r="BF434" i="18" s="1"/>
  <c r="BG434" i="18" s="1"/>
  <c r="BH434" i="18" s="1"/>
  <c r="BI434" i="18" s="1"/>
  <c r="S821" i="18"/>
  <c r="CD65" i="7942"/>
  <c r="CD98" i="7942" s="1"/>
  <c r="CC98" i="7942"/>
  <c r="BH58" i="7942"/>
  <c r="BH91" i="7942" s="1"/>
  <c r="BG91" i="7942"/>
  <c r="X574" i="18"/>
  <c r="Y574" i="18" s="1"/>
  <c r="Z574" i="18" s="1"/>
  <c r="P72" i="7942"/>
  <c r="P105" i="7942" s="1"/>
  <c r="O105" i="7942"/>
  <c r="CZ66" i="7942"/>
  <c r="CZ99" i="7942" s="1"/>
  <c r="CY99" i="7942"/>
  <c r="U408" i="18"/>
  <c r="V408" i="18" s="1"/>
  <c r="W408" i="18" s="1"/>
  <c r="X408" i="18" s="1"/>
  <c r="Y408" i="18" s="1"/>
  <c r="Z408" i="18" s="1"/>
  <c r="AA408" i="18" s="1"/>
  <c r="AB408" i="18" s="1"/>
  <c r="AC408" i="18" s="1"/>
  <c r="AD408" i="18" s="1"/>
  <c r="AE408" i="18" s="1"/>
  <c r="AF408" i="18" s="1"/>
  <c r="AG408" i="18" s="1"/>
  <c r="AH408" i="18" s="1"/>
  <c r="AI408" i="18" s="1"/>
  <c r="AJ408" i="18" s="1"/>
  <c r="AK408" i="18" s="1"/>
  <c r="AL408" i="18" s="1"/>
  <c r="AM408" i="18" s="1"/>
  <c r="AN408" i="18" s="1"/>
  <c r="AO408" i="18" s="1"/>
  <c r="AP408" i="18" s="1"/>
  <c r="AQ408" i="18" s="1"/>
  <c r="AR408" i="18" s="1"/>
  <c r="AS408" i="18" s="1"/>
  <c r="AT408" i="18" s="1"/>
  <c r="AU408" i="18" s="1"/>
  <c r="AV408" i="18" s="1"/>
  <c r="AW408" i="18" s="1"/>
  <c r="AX408" i="18" s="1"/>
  <c r="AY408" i="18" s="1"/>
  <c r="AZ408" i="18" s="1"/>
  <c r="BA408" i="18" s="1"/>
  <c r="BB408" i="18" s="1"/>
  <c r="BC408" i="18" s="1"/>
  <c r="BD408" i="18" s="1"/>
  <c r="BE408" i="18" s="1"/>
  <c r="BF408" i="18" s="1"/>
  <c r="BG408" i="18" s="1"/>
  <c r="BH408" i="18" s="1"/>
  <c r="BI408" i="18" s="1"/>
  <c r="Z82" i="7942"/>
  <c r="AA49" i="7942"/>
  <c r="AA82" i="7942" s="1"/>
  <c r="P187" i="18"/>
  <c r="Q187" i="18" s="1"/>
  <c r="Z102" i="7942"/>
  <c r="AA69" i="7942"/>
  <c r="AA102" i="7942" s="1"/>
  <c r="Z99" i="7942"/>
  <c r="AA66" i="7942"/>
  <c r="AA99" i="7942" s="1"/>
  <c r="CY88" i="7942"/>
  <c r="CZ55" i="7942"/>
  <c r="CZ88" i="7942" s="1"/>
  <c r="CC89" i="7942"/>
  <c r="CD56" i="7942"/>
  <c r="CD89" i="7942" s="1"/>
  <c r="S174" i="18"/>
  <c r="Q7" i="1"/>
  <c r="M70" i="24"/>
  <c r="M133" i="24" s="1"/>
  <c r="M66" i="24"/>
  <c r="Q354" i="18"/>
  <c r="O335" i="18"/>
  <c r="AV91" i="7942"/>
  <c r="AW58" i="7942"/>
  <c r="AW91" i="7942" s="1"/>
  <c r="P52" i="7942"/>
  <c r="P85" i="7942" s="1"/>
  <c r="O85" i="7942"/>
  <c r="P121" i="18"/>
  <c r="K95" i="7946"/>
  <c r="S70" i="7946"/>
  <c r="S71" i="7946" s="1"/>
  <c r="R420" i="18"/>
  <c r="S420" i="18" s="1"/>
  <c r="U253" i="18"/>
  <c r="BH67" i="7942"/>
  <c r="BH100" i="7942" s="1"/>
  <c r="BG100" i="7942"/>
  <c r="M25" i="7946"/>
  <c r="M48" i="7946" s="1"/>
  <c r="N80" i="7943"/>
  <c r="AK97" i="7942"/>
  <c r="AL64" i="7942"/>
  <c r="AL97" i="7942" s="1"/>
  <c r="CN95" i="7942"/>
  <c r="CO62" i="7942"/>
  <c r="CO95" i="7942" s="1"/>
  <c r="DK73" i="7942"/>
  <c r="DK106" i="7942" s="1"/>
  <c r="DJ106" i="7942"/>
  <c r="M63" i="7946"/>
  <c r="M88" i="7946" s="1"/>
  <c r="M44" i="7946"/>
  <c r="BR98" i="7942"/>
  <c r="BS65" i="7942"/>
  <c r="BS98" i="7942" s="1"/>
  <c r="Z98" i="7942"/>
  <c r="AA65" i="7942"/>
  <c r="AA98" i="7942" s="1"/>
  <c r="AC511" i="18"/>
  <c r="AD511" i="18" s="1"/>
  <c r="AE511" i="18" s="1"/>
  <c r="AF511" i="18" s="1"/>
  <c r="CD59" i="7942"/>
  <c r="CD92" i="7942" s="1"/>
  <c r="CC92" i="7942"/>
  <c r="Q286" i="18"/>
  <c r="T318" i="18"/>
  <c r="O88" i="7942"/>
  <c r="P55" i="7942"/>
  <c r="P88" i="7942" s="1"/>
  <c r="O205" i="18"/>
  <c r="P195" i="18"/>
  <c r="N66" i="7946"/>
  <c r="S377" i="18"/>
  <c r="U305" i="18"/>
  <c r="O192" i="18"/>
  <c r="L8" i="7945"/>
  <c r="AQ83" i="18"/>
  <c r="AR83" i="18" s="1"/>
  <c r="CN85" i="7942"/>
  <c r="CO52" i="7942"/>
  <c r="CO85" i="7942" s="1"/>
  <c r="CD62" i="7942"/>
  <c r="CD95" i="7942" s="1"/>
  <c r="CC95" i="7942"/>
  <c r="N56" i="18"/>
  <c r="R436" i="18"/>
  <c r="N54" i="18"/>
  <c r="N49" i="18"/>
  <c r="N10" i="18"/>
  <c r="N42" i="18"/>
  <c r="N66" i="18"/>
  <c r="N45" i="18"/>
  <c r="BG96" i="7942"/>
  <c r="BH63" i="7942"/>
  <c r="BH96" i="7942" s="1"/>
  <c r="AL59" i="7942"/>
  <c r="AL92" i="7942" s="1"/>
  <c r="AK92" i="7942"/>
  <c r="S691" i="18"/>
  <c r="T691" i="18" s="1"/>
  <c r="U691" i="18" s="1"/>
  <c r="V691" i="18" s="1"/>
  <c r="W691" i="18" s="1"/>
  <c r="X691" i="18" s="1"/>
  <c r="CC97" i="7942"/>
  <c r="CD64" i="7942"/>
  <c r="CD97" i="7942" s="1"/>
  <c r="Y107" i="7942"/>
  <c r="BS72" i="7942"/>
  <c r="BS105" i="7942" s="1"/>
  <c r="BR105" i="7942"/>
  <c r="AS109" i="18"/>
  <c r="BG85" i="7942"/>
  <c r="BH52" i="7942"/>
  <c r="BH85" i="7942" s="1"/>
  <c r="BS54" i="7942"/>
  <c r="BS87" i="7942" s="1"/>
  <c r="BR87" i="7942"/>
  <c r="Z106" i="7942"/>
  <c r="AA73" i="7942"/>
  <c r="AA106" i="7942" s="1"/>
  <c r="AK85" i="7942"/>
  <c r="AL52" i="7942"/>
  <c r="AL85" i="7942" s="1"/>
  <c r="N84" i="7946"/>
  <c r="O59" i="7946"/>
  <c r="AK102" i="7942"/>
  <c r="AL69" i="7942"/>
  <c r="AL102" i="7942" s="1"/>
  <c r="R664" i="18"/>
  <c r="BG95" i="7942"/>
  <c r="BH62" i="7942"/>
  <c r="BH95" i="7942" s="1"/>
  <c r="L64" i="7946"/>
  <c r="Q279" i="18"/>
  <c r="DJ103" i="7942"/>
  <c r="DK70" i="7942"/>
  <c r="DK103" i="7942" s="1"/>
  <c r="U613" i="18"/>
  <c r="V613" i="18" s="1"/>
  <c r="W613" i="18" s="1"/>
  <c r="X613" i="18" s="1"/>
  <c r="Y613" i="18" s="1"/>
  <c r="Z613" i="18" s="1"/>
  <c r="AA613" i="18" s="1"/>
  <c r="CN89" i="7942"/>
  <c r="CO56" i="7942"/>
  <c r="CO89" i="7942" s="1"/>
  <c r="AA71" i="7942"/>
  <c r="AA104" i="7942" s="1"/>
  <c r="Z104" i="7942"/>
  <c r="N61" i="18"/>
  <c r="N70" i="18"/>
  <c r="N55" i="18"/>
  <c r="AQ85" i="18"/>
  <c r="AR85" i="18" s="1"/>
  <c r="AS85" i="18" s="1"/>
  <c r="AT85" i="18" s="1"/>
  <c r="N67" i="18"/>
  <c r="CC104" i="7942"/>
  <c r="CD71" i="7942"/>
  <c r="CD104" i="7942" s="1"/>
  <c r="S342" i="18"/>
  <c r="T342" i="18" s="1"/>
  <c r="R643" i="18"/>
  <c r="CD58" i="7942"/>
  <c r="CD91" i="7942" s="1"/>
  <c r="CC91" i="7942"/>
  <c r="Q292" i="18"/>
  <c r="R292" i="18" s="1"/>
  <c r="S292" i="18" s="1"/>
  <c r="M7" i="7942"/>
  <c r="T599" i="18"/>
  <c r="U599" i="18" s="1"/>
  <c r="P849" i="18"/>
  <c r="Q849" i="18" s="1"/>
  <c r="R849" i="18" s="1"/>
  <c r="P214" i="18"/>
  <c r="Q214" i="18" s="1"/>
  <c r="R214" i="18" s="1"/>
  <c r="O104" i="7942"/>
  <c r="P71" i="7942"/>
  <c r="P104" i="7942" s="1"/>
  <c r="W612" i="18"/>
  <c r="BG83" i="7942"/>
  <c r="BH50" i="7942"/>
  <c r="BH83" i="7942" s="1"/>
  <c r="CN99" i="7942"/>
  <c r="CO66" i="7942"/>
  <c r="CO99" i="7942" s="1"/>
  <c r="M231" i="18"/>
  <c r="N221" i="18"/>
  <c r="AV93" i="7942"/>
  <c r="AW60" i="7942"/>
  <c r="AW93" i="7942" s="1"/>
  <c r="BH72" i="7942"/>
  <c r="BH105" i="7942" s="1"/>
  <c r="BG105" i="7942"/>
  <c r="DJ102" i="7942"/>
  <c r="DK69" i="7942"/>
  <c r="DK102" i="7942" s="1"/>
  <c r="CN92" i="7942"/>
  <c r="CO59" i="7942"/>
  <c r="CO92" i="7942" s="1"/>
  <c r="S208" i="18"/>
  <c r="CO70" i="7942"/>
  <c r="CO103" i="7942" s="1"/>
  <c r="CN103" i="7942"/>
  <c r="P781" i="18"/>
  <c r="L48" i="7946"/>
  <c r="R315" i="18"/>
  <c r="Q744" i="18"/>
  <c r="T160" i="18"/>
  <c r="U160" i="18" s="1"/>
  <c r="V160" i="18" s="1"/>
  <c r="W160" i="18" s="1"/>
  <c r="X160" i="18" s="1"/>
  <c r="Y160" i="18" s="1"/>
  <c r="Z160" i="18" s="1"/>
  <c r="AA160" i="18" s="1"/>
  <c r="AB160" i="18" s="1"/>
  <c r="AC160" i="18" s="1"/>
  <c r="AD160" i="18" s="1"/>
  <c r="AE160" i="18" s="1"/>
  <c r="AF160" i="18" s="1"/>
  <c r="AG160" i="18" s="1"/>
  <c r="AH160" i="18" s="1"/>
  <c r="AI160" i="18" s="1"/>
  <c r="AJ160" i="18" s="1"/>
  <c r="AK160" i="18" s="1"/>
  <c r="AL160" i="18" s="1"/>
  <c r="AM160" i="18" s="1"/>
  <c r="AN160" i="18" s="1"/>
  <c r="AO160" i="18" s="1"/>
  <c r="AP160" i="18" s="1"/>
  <c r="AQ160" i="18" s="1"/>
  <c r="AR160" i="18" s="1"/>
  <c r="AS160" i="18" s="1"/>
  <c r="AT160" i="18" s="1"/>
  <c r="AU160" i="18" s="1"/>
  <c r="AV160" i="18" s="1"/>
  <c r="AW160" i="18" s="1"/>
  <c r="AX160" i="18" s="1"/>
  <c r="AY160" i="18" s="1"/>
  <c r="AZ160" i="18" s="1"/>
  <c r="BA160" i="18" s="1"/>
  <c r="BB160" i="18" s="1"/>
  <c r="BC160" i="18" s="1"/>
  <c r="BD160" i="18" s="1"/>
  <c r="BE160" i="18" s="1"/>
  <c r="BF160" i="18" s="1"/>
  <c r="BG160" i="18" s="1"/>
  <c r="BH160" i="18" s="1"/>
  <c r="BI160" i="18" s="1"/>
  <c r="AK84" i="7942"/>
  <c r="AL51" i="7942"/>
  <c r="AL84" i="7942" s="1"/>
  <c r="Q448" i="18"/>
  <c r="R448" i="18" s="1"/>
  <c r="R330" i="18"/>
  <c r="N400" i="18"/>
  <c r="AA60" i="7942"/>
  <c r="AA93" i="7942" s="1"/>
  <c r="Z93" i="7942"/>
  <c r="AL63" i="7942"/>
  <c r="AL96" i="7942" s="1"/>
  <c r="AK96" i="7942"/>
  <c r="DJ84" i="7942"/>
  <c r="DK51" i="7942"/>
  <c r="DK84" i="7942" s="1"/>
  <c r="R822" i="18"/>
  <c r="S822" i="18" s="1"/>
  <c r="T822" i="18" s="1"/>
  <c r="U822" i="18" s="1"/>
  <c r="V822" i="18" s="1"/>
  <c r="W822" i="18" s="1"/>
  <c r="X822" i="18" s="1"/>
  <c r="Y822" i="18" s="1"/>
  <c r="S240" i="18"/>
  <c r="CY95" i="7942"/>
  <c r="CZ62" i="7942"/>
  <c r="CZ95" i="7942" s="1"/>
  <c r="CN81" i="7942"/>
  <c r="CO48" i="7942"/>
  <c r="CO81" i="7942" s="1"/>
  <c r="DK68" i="7942"/>
  <c r="DK101" i="7942" s="1"/>
  <c r="DJ101" i="7942"/>
  <c r="V547" i="18"/>
  <c r="CC100" i="7942"/>
  <c r="CD67" i="7942"/>
  <c r="CD100" i="7942" s="1"/>
  <c r="AV97" i="7942"/>
  <c r="AW64" i="7942"/>
  <c r="AW97" i="7942" s="1"/>
  <c r="BH51" i="7942"/>
  <c r="BH84" i="7942" s="1"/>
  <c r="BG84" i="7942"/>
  <c r="T717" i="18"/>
  <c r="U717" i="18" s="1"/>
  <c r="V717" i="18" s="1"/>
  <c r="W717" i="18" s="1"/>
  <c r="X717" i="18" s="1"/>
  <c r="Y717" i="18" s="1"/>
  <c r="Z717" i="18" s="1"/>
  <c r="AA717" i="18" s="1"/>
  <c r="AB717" i="18" s="1"/>
  <c r="AC717" i="18" s="1"/>
  <c r="AD717" i="18" s="1"/>
  <c r="AE717" i="18" s="1"/>
  <c r="AF717" i="18" s="1"/>
  <c r="AG717" i="18" s="1"/>
  <c r="AH717" i="18" s="1"/>
  <c r="AI717" i="18" s="1"/>
  <c r="AJ717" i="18" s="1"/>
  <c r="AK717" i="18" s="1"/>
  <c r="AL717" i="18" s="1"/>
  <c r="AM717" i="18" s="1"/>
  <c r="AN717" i="18" s="1"/>
  <c r="AO717" i="18" s="1"/>
  <c r="AP717" i="18" s="1"/>
  <c r="AQ717" i="18" s="1"/>
  <c r="AR717" i="18" s="1"/>
  <c r="AS717" i="18" s="1"/>
  <c r="AT717" i="18" s="1"/>
  <c r="AU717" i="18" s="1"/>
  <c r="AV717" i="18" s="1"/>
  <c r="AW717" i="18" s="1"/>
  <c r="AX717" i="18" s="1"/>
  <c r="AY717" i="18" s="1"/>
  <c r="AZ717" i="18" s="1"/>
  <c r="BA717" i="18" s="1"/>
  <c r="BB717" i="18" s="1"/>
  <c r="BC717" i="18" s="1"/>
  <c r="BD717" i="18" s="1"/>
  <c r="BE717" i="18" s="1"/>
  <c r="BF717" i="18" s="1"/>
  <c r="BG717" i="18" s="1"/>
  <c r="BH717" i="18" s="1"/>
  <c r="BI717" i="18" s="1"/>
  <c r="BQ107" i="7942"/>
  <c r="CO68" i="7942"/>
  <c r="CO101" i="7942" s="1"/>
  <c r="CN101" i="7942"/>
  <c r="R807" i="18"/>
  <c r="AL72" i="7942"/>
  <c r="AL105" i="7942" s="1"/>
  <c r="AK105" i="7942"/>
  <c r="O84" i="7942"/>
  <c r="P51" i="7942"/>
  <c r="P84" i="7942" s="1"/>
  <c r="P49" i="7942"/>
  <c r="P82" i="7942" s="1"/>
  <c r="O82" i="7942"/>
  <c r="AW50" i="7942"/>
  <c r="AW83" i="7942" s="1"/>
  <c r="AV83" i="7942"/>
  <c r="O101" i="7942"/>
  <c r="P68" i="7942"/>
  <c r="P101" i="7942" s="1"/>
  <c r="V393" i="18"/>
  <c r="W393" i="18" s="1"/>
  <c r="X393" i="18" s="1"/>
  <c r="Y393" i="18" s="1"/>
  <c r="Z393" i="18" s="1"/>
  <c r="AA393" i="18" s="1"/>
  <c r="AB393" i="18" s="1"/>
  <c r="AC393" i="18" s="1"/>
  <c r="AD393" i="18" s="1"/>
  <c r="AE393" i="18" s="1"/>
  <c r="AF393" i="18" s="1"/>
  <c r="AG393" i="18" s="1"/>
  <c r="AH393" i="18" s="1"/>
  <c r="AI393" i="18" s="1"/>
  <c r="AJ393" i="18" s="1"/>
  <c r="AK393" i="18" s="1"/>
  <c r="AL393" i="18" s="1"/>
  <c r="AM393" i="18" s="1"/>
  <c r="AN393" i="18" s="1"/>
  <c r="AO393" i="18" s="1"/>
  <c r="AP393" i="18" s="1"/>
  <c r="AQ393" i="18" s="1"/>
  <c r="AR393" i="18" s="1"/>
  <c r="AS393" i="18" s="1"/>
  <c r="AT393" i="18" s="1"/>
  <c r="AU393" i="18" s="1"/>
  <c r="AV393" i="18" s="1"/>
  <c r="AW393" i="18" s="1"/>
  <c r="AX393" i="18" s="1"/>
  <c r="AY393" i="18" s="1"/>
  <c r="AZ393" i="18" s="1"/>
  <c r="BA393" i="18" s="1"/>
  <c r="BB393" i="18" s="1"/>
  <c r="BC393" i="18" s="1"/>
  <c r="BD393" i="18" s="1"/>
  <c r="BE393" i="18" s="1"/>
  <c r="BF393" i="18" s="1"/>
  <c r="BG393" i="18" s="1"/>
  <c r="BH393" i="18" s="1"/>
  <c r="BI393" i="18" s="1"/>
  <c r="K71" i="7946"/>
  <c r="L71" i="7946" s="1"/>
  <c r="CC96" i="7942"/>
  <c r="CD63" i="7942"/>
  <c r="CD96" i="7942" s="1"/>
  <c r="Q124" i="18"/>
  <c r="P228" i="18"/>
  <c r="N46" i="18"/>
  <c r="N62" i="18"/>
  <c r="P371" i="18"/>
  <c r="Z105" i="7942"/>
  <c r="AA72" i="7942"/>
  <c r="AA105" i="7942" s="1"/>
  <c r="O93" i="7942"/>
  <c r="P60" i="7942"/>
  <c r="P93" i="7942" s="1"/>
  <c r="BG106" i="7942"/>
  <c r="BH73" i="7942"/>
  <c r="BH106" i="7942" s="1"/>
  <c r="P859" i="18"/>
  <c r="AA62" i="7942"/>
  <c r="AA95" i="7942" s="1"/>
  <c r="Z95" i="7942"/>
  <c r="CY101" i="7942"/>
  <c r="CZ68" i="7942"/>
  <c r="CZ101" i="7942" s="1"/>
  <c r="R563" i="18"/>
  <c r="T625" i="18"/>
  <c r="CN106" i="7942"/>
  <c r="CO73" i="7942"/>
  <c r="CO106" i="7942" s="1"/>
  <c r="AK101" i="7942"/>
  <c r="AL68" i="7942"/>
  <c r="AL101" i="7942" s="1"/>
  <c r="CC83" i="7942"/>
  <c r="CD50" i="7942"/>
  <c r="CD83" i="7942" s="1"/>
  <c r="CN86" i="7942"/>
  <c r="CO53" i="7942"/>
  <c r="CO86" i="7942" s="1"/>
  <c r="CY91" i="7942"/>
  <c r="CZ58" i="7942"/>
  <c r="CZ91" i="7942" s="1"/>
  <c r="S161" i="18"/>
  <c r="K67" i="7946"/>
  <c r="AO289" i="18"/>
  <c r="AP289" i="18" s="1"/>
  <c r="AQ289" i="18" s="1"/>
  <c r="AR289" i="18" s="1"/>
  <c r="AS289" i="18" s="1"/>
  <c r="AT289" i="18" s="1"/>
  <c r="AU289" i="18" s="1"/>
  <c r="AV289" i="18" s="1"/>
  <c r="AW289" i="18" s="1"/>
  <c r="AX289" i="18" s="1"/>
  <c r="AY289" i="18" s="1"/>
  <c r="AZ289" i="18" s="1"/>
  <c r="BA289" i="18" s="1"/>
  <c r="BB289" i="18" s="1"/>
  <c r="BC289" i="18" s="1"/>
  <c r="BD289" i="18" s="1"/>
  <c r="BE289" i="18" s="1"/>
  <c r="BF289" i="18" s="1"/>
  <c r="BG289" i="18" s="1"/>
  <c r="BH289" i="18" s="1"/>
  <c r="BI289" i="18" s="1"/>
  <c r="AL73" i="7942"/>
  <c r="AL106" i="7942" s="1"/>
  <c r="AK106" i="7942"/>
  <c r="Q117" i="18"/>
  <c r="O127" i="18"/>
  <c r="CC84" i="7942"/>
  <c r="CD51" i="7942"/>
  <c r="CD84" i="7942" s="1"/>
  <c r="Q260" i="18"/>
  <c r="R260" i="18" s="1"/>
  <c r="CY97" i="7942"/>
  <c r="CZ64" i="7942"/>
  <c r="CZ97" i="7942" s="1"/>
  <c r="AK82" i="7942"/>
  <c r="AL49" i="7942"/>
  <c r="AL82" i="7942" s="1"/>
  <c r="CY96" i="7942"/>
  <c r="CZ63" i="7942"/>
  <c r="CZ96" i="7942" s="1"/>
  <c r="CC101" i="7942"/>
  <c r="CD68" i="7942"/>
  <c r="CD101" i="7942" s="1"/>
  <c r="R331" i="18"/>
  <c r="Q392" i="18"/>
  <c r="R392" i="18" s="1"/>
  <c r="S392" i="18" s="1"/>
  <c r="T392" i="18" s="1"/>
  <c r="U392" i="18" s="1"/>
  <c r="V392" i="18" s="1"/>
  <c r="W392" i="18" s="1"/>
  <c r="X392" i="18" s="1"/>
  <c r="Y392" i="18" s="1"/>
  <c r="Z392" i="18" s="1"/>
  <c r="AA392" i="18" s="1"/>
  <c r="AB392" i="18" s="1"/>
  <c r="AC392" i="18" s="1"/>
  <c r="AD392" i="18" s="1"/>
  <c r="AE392" i="18" s="1"/>
  <c r="AF392" i="18" s="1"/>
  <c r="AG392" i="18" s="1"/>
  <c r="AH392" i="18" s="1"/>
  <c r="AI392" i="18" s="1"/>
  <c r="AJ392" i="18" s="1"/>
  <c r="AK392" i="18" s="1"/>
  <c r="AL392" i="18" s="1"/>
  <c r="AM392" i="18" s="1"/>
  <c r="AN392" i="18" s="1"/>
  <c r="AO392" i="18" s="1"/>
  <c r="AP392" i="18" s="1"/>
  <c r="AQ392" i="18" s="1"/>
  <c r="AR392" i="18" s="1"/>
  <c r="AS392" i="18" s="1"/>
  <c r="AT392" i="18" s="1"/>
  <c r="AU392" i="18" s="1"/>
  <c r="AV392" i="18" s="1"/>
  <c r="AW392" i="18" s="1"/>
  <c r="AX392" i="18" s="1"/>
  <c r="AY392" i="18" s="1"/>
  <c r="AZ392" i="18" s="1"/>
  <c r="BA392" i="18" s="1"/>
  <c r="BB392" i="18" s="1"/>
  <c r="BC392" i="18" s="1"/>
  <c r="BD392" i="18" s="1"/>
  <c r="BE392" i="18" s="1"/>
  <c r="BF392" i="18" s="1"/>
  <c r="BG392" i="18" s="1"/>
  <c r="BH392" i="18" s="1"/>
  <c r="BI392" i="18" s="1"/>
  <c r="S383" i="18" l="1"/>
  <c r="T383" i="18" s="1"/>
  <c r="W122" i="18"/>
  <c r="X122" i="18" s="1"/>
  <c r="Y122" i="18" s="1"/>
  <c r="Z122" i="18" s="1"/>
  <c r="AA122" i="18" s="1"/>
  <c r="AB122" i="18" s="1"/>
  <c r="AC122" i="18" s="1"/>
  <c r="AD122" i="18" s="1"/>
  <c r="AE122" i="18" s="1"/>
  <c r="AF122" i="18" s="1"/>
  <c r="AG122" i="18" s="1"/>
  <c r="AH122" i="18" s="1"/>
  <c r="AI122" i="18" s="1"/>
  <c r="W745" i="18"/>
  <c r="O674" i="18"/>
  <c r="AB678" i="18"/>
  <c r="AC678" i="18" s="1"/>
  <c r="AD678" i="18" s="1"/>
  <c r="AE678" i="18" s="1"/>
  <c r="AF678" i="18" s="1"/>
  <c r="AG678" i="18" s="1"/>
  <c r="AH678" i="18" s="1"/>
  <c r="AI678" i="18" s="1"/>
  <c r="AJ678" i="18" s="1"/>
  <c r="AK678" i="18" s="1"/>
  <c r="AL678" i="18" s="1"/>
  <c r="AM678" i="18" s="1"/>
  <c r="AN678" i="18" s="1"/>
  <c r="AO678" i="18" s="1"/>
  <c r="AP678" i="18" s="1"/>
  <c r="S291" i="18"/>
  <c r="P413" i="18"/>
  <c r="U316" i="18"/>
  <c r="V316" i="18" s="1"/>
  <c r="W316" i="18" s="1"/>
  <c r="X316" i="18" s="1"/>
  <c r="Y316" i="18" s="1"/>
  <c r="Z316" i="18" s="1"/>
  <c r="AA316" i="18" s="1"/>
  <c r="AB316" i="18" s="1"/>
  <c r="R457" i="18"/>
  <c r="S457" i="18" s="1"/>
  <c r="T457" i="18" s="1"/>
  <c r="U457" i="18" s="1"/>
  <c r="V457" i="18" s="1"/>
  <c r="W457" i="18" s="1"/>
  <c r="X457" i="18" s="1"/>
  <c r="Y457" i="18" s="1"/>
  <c r="Z457" i="18" s="1"/>
  <c r="AA457" i="18" s="1"/>
  <c r="AB457" i="18" s="1"/>
  <c r="AC457" i="18" s="1"/>
  <c r="AD457" i="18" s="1"/>
  <c r="AE457" i="18" s="1"/>
  <c r="AF457" i="18" s="1"/>
  <c r="AG457" i="18" s="1"/>
  <c r="AH457" i="18" s="1"/>
  <c r="AI457" i="18" s="1"/>
  <c r="AJ457" i="18" s="1"/>
  <c r="AK457" i="18" s="1"/>
  <c r="AL457" i="18" s="1"/>
  <c r="AM457" i="18" s="1"/>
  <c r="AN457" i="18" s="1"/>
  <c r="AO457" i="18" s="1"/>
  <c r="AP457" i="18" s="1"/>
  <c r="AQ457" i="18" s="1"/>
  <c r="AR457" i="18" s="1"/>
  <c r="AS457" i="18" s="1"/>
  <c r="AT457" i="18" s="1"/>
  <c r="AU457" i="18" s="1"/>
  <c r="AV457" i="18" s="1"/>
  <c r="AW457" i="18" s="1"/>
  <c r="AX457" i="18" s="1"/>
  <c r="AY457" i="18" s="1"/>
  <c r="AZ457" i="18" s="1"/>
  <c r="BA457" i="18" s="1"/>
  <c r="BB457" i="18" s="1"/>
  <c r="BC457" i="18" s="1"/>
  <c r="BD457" i="18" s="1"/>
  <c r="BE457" i="18" s="1"/>
  <c r="BF457" i="18" s="1"/>
  <c r="BG457" i="18" s="1"/>
  <c r="BH457" i="18" s="1"/>
  <c r="BI457" i="18" s="1"/>
  <c r="L875" i="18"/>
  <c r="AA574" i="18"/>
  <c r="AB574" i="18" s="1"/>
  <c r="AC574" i="18" s="1"/>
  <c r="AD574" i="18" s="1"/>
  <c r="AE574" i="18" s="1"/>
  <c r="AF574" i="18" s="1"/>
  <c r="AG574" i="18" s="1"/>
  <c r="Q762" i="18"/>
  <c r="T421" i="18"/>
  <c r="K92" i="7946"/>
  <c r="Y730" i="18"/>
  <c r="Z730" i="18" s="1"/>
  <c r="AA730" i="18" s="1"/>
  <c r="AB730" i="18" s="1"/>
  <c r="AC730" i="18" s="1"/>
  <c r="AD730" i="18" s="1"/>
  <c r="AE730" i="18" s="1"/>
  <c r="AF730" i="18" s="1"/>
  <c r="AG730" i="18" s="1"/>
  <c r="AH730" i="18" s="1"/>
  <c r="AI730" i="18" s="1"/>
  <c r="AJ730" i="18" s="1"/>
  <c r="AK730" i="18" s="1"/>
  <c r="AL730" i="18" s="1"/>
  <c r="AM730" i="18" s="1"/>
  <c r="AN730" i="18" s="1"/>
  <c r="AO730" i="18" s="1"/>
  <c r="AP730" i="18" s="1"/>
  <c r="AQ730" i="18" s="1"/>
  <c r="AR730" i="18" s="1"/>
  <c r="AS730" i="18" s="1"/>
  <c r="AT730" i="18" s="1"/>
  <c r="AU730" i="18" s="1"/>
  <c r="AV730" i="18" s="1"/>
  <c r="AW730" i="18" s="1"/>
  <c r="AX730" i="18" s="1"/>
  <c r="AY730" i="18" s="1"/>
  <c r="AZ730" i="18" s="1"/>
  <c r="BA730" i="18" s="1"/>
  <c r="BB730" i="18" s="1"/>
  <c r="BC730" i="18" s="1"/>
  <c r="BD730" i="18" s="1"/>
  <c r="BE730" i="18" s="1"/>
  <c r="BF730" i="18" s="1"/>
  <c r="BG730" i="18" s="1"/>
  <c r="BH730" i="18" s="1"/>
  <c r="BI730" i="18" s="1"/>
  <c r="R722" i="18"/>
  <c r="S722" i="18" s="1"/>
  <c r="T722" i="18" s="1"/>
  <c r="W862" i="18"/>
  <c r="X862" i="18" s="1"/>
  <c r="Y862" i="18" s="1"/>
  <c r="Z862" i="18" s="1"/>
  <c r="AA862" i="18" s="1"/>
  <c r="AB862" i="18" s="1"/>
  <c r="AC862" i="18" s="1"/>
  <c r="AD862" i="18" s="1"/>
  <c r="AE862" i="18" s="1"/>
  <c r="AF862" i="18" s="1"/>
  <c r="AG862" i="18" s="1"/>
  <c r="AH862" i="18" s="1"/>
  <c r="AI862" i="18" s="1"/>
  <c r="AJ862" i="18" s="1"/>
  <c r="AK862" i="18" s="1"/>
  <c r="AL862" i="18" s="1"/>
  <c r="AM862" i="18" s="1"/>
  <c r="AN862" i="18" s="1"/>
  <c r="AO862" i="18" s="1"/>
  <c r="AP862" i="18" s="1"/>
  <c r="AQ862" i="18" s="1"/>
  <c r="AR862" i="18" s="1"/>
  <c r="AS862" i="18" s="1"/>
  <c r="AT862" i="18" s="1"/>
  <c r="AU862" i="18" s="1"/>
  <c r="AV862" i="18" s="1"/>
  <c r="AW862" i="18" s="1"/>
  <c r="AX862" i="18" s="1"/>
  <c r="AY862" i="18" s="1"/>
  <c r="AZ862" i="18" s="1"/>
  <c r="BA862" i="18" s="1"/>
  <c r="BB862" i="18" s="1"/>
  <c r="BC862" i="18" s="1"/>
  <c r="BD862" i="18" s="1"/>
  <c r="BE862" i="18" s="1"/>
  <c r="BF862" i="18" s="1"/>
  <c r="BG862" i="18" s="1"/>
  <c r="BH862" i="18" s="1"/>
  <c r="BI862" i="18" s="1"/>
  <c r="U344" i="18"/>
  <c r="V344" i="18" s="1"/>
  <c r="V615" i="18"/>
  <c r="W615" i="18" s="1"/>
  <c r="X615" i="18" s="1"/>
  <c r="Y615" i="18" s="1"/>
  <c r="Z615" i="18" s="1"/>
  <c r="AA615" i="18" s="1"/>
  <c r="AB615" i="18" s="1"/>
  <c r="AC615" i="18" s="1"/>
  <c r="AD615" i="18" s="1"/>
  <c r="AE615" i="18" s="1"/>
  <c r="AF615" i="18" s="1"/>
  <c r="AG615" i="18" s="1"/>
  <c r="AH615" i="18" s="1"/>
  <c r="AI615" i="18" s="1"/>
  <c r="AJ615" i="18" s="1"/>
  <c r="AK615" i="18" s="1"/>
  <c r="AL615" i="18" s="1"/>
  <c r="AM615" i="18" s="1"/>
  <c r="AN615" i="18" s="1"/>
  <c r="AO615" i="18" s="1"/>
  <c r="AP615" i="18" s="1"/>
  <c r="AQ615" i="18" s="1"/>
  <c r="AR615" i="18" s="1"/>
  <c r="AS615" i="18" s="1"/>
  <c r="AT615" i="18" s="1"/>
  <c r="AU615" i="18" s="1"/>
  <c r="AV615" i="18" s="1"/>
  <c r="AW615" i="18" s="1"/>
  <c r="AX615" i="18" s="1"/>
  <c r="AY615" i="18" s="1"/>
  <c r="AZ615" i="18" s="1"/>
  <c r="BA615" i="18" s="1"/>
  <c r="BB615" i="18" s="1"/>
  <c r="BC615" i="18" s="1"/>
  <c r="BD615" i="18" s="1"/>
  <c r="BE615" i="18" s="1"/>
  <c r="BF615" i="18" s="1"/>
  <c r="BG615" i="18" s="1"/>
  <c r="BH615" i="18" s="1"/>
  <c r="BI615" i="18" s="1"/>
  <c r="R735" i="18"/>
  <c r="O778" i="18"/>
  <c r="Q736" i="18"/>
  <c r="P697" i="18"/>
  <c r="Q697" i="18" s="1"/>
  <c r="R697" i="18" s="1"/>
  <c r="M151" i="24"/>
  <c r="O130" i="18"/>
  <c r="N140" i="18"/>
  <c r="O817" i="18"/>
  <c r="O648" i="18"/>
  <c r="AE513" i="18"/>
  <c r="S170" i="18"/>
  <c r="T170" i="18" s="1"/>
  <c r="U170" i="18" s="1"/>
  <c r="V170" i="18" s="1"/>
  <c r="W170" i="18" s="1"/>
  <c r="X170" i="18" s="1"/>
  <c r="Y170" i="18" s="1"/>
  <c r="Z170" i="18" s="1"/>
  <c r="AA170" i="18" s="1"/>
  <c r="AB170" i="18" s="1"/>
  <c r="AC170" i="18" s="1"/>
  <c r="AD170" i="18" s="1"/>
  <c r="AE170" i="18" s="1"/>
  <c r="AF170" i="18" s="1"/>
  <c r="AG170" i="18" s="1"/>
  <c r="AH170" i="18" s="1"/>
  <c r="AI170" i="18" s="1"/>
  <c r="AJ170" i="18" s="1"/>
  <c r="AK170" i="18" s="1"/>
  <c r="AL170" i="18" s="1"/>
  <c r="AM170" i="18" s="1"/>
  <c r="AN170" i="18" s="1"/>
  <c r="AO170" i="18" s="1"/>
  <c r="AP170" i="18" s="1"/>
  <c r="AQ170" i="18" s="1"/>
  <c r="AR170" i="18" s="1"/>
  <c r="AS170" i="18" s="1"/>
  <c r="AT170" i="18" s="1"/>
  <c r="AU170" i="18" s="1"/>
  <c r="AV170" i="18" s="1"/>
  <c r="AW170" i="18" s="1"/>
  <c r="AX170" i="18" s="1"/>
  <c r="AY170" i="18" s="1"/>
  <c r="AZ170" i="18" s="1"/>
  <c r="BA170" i="18" s="1"/>
  <c r="BB170" i="18" s="1"/>
  <c r="BC170" i="18" s="1"/>
  <c r="BD170" i="18" s="1"/>
  <c r="BE170" i="18" s="1"/>
  <c r="BF170" i="18" s="1"/>
  <c r="BG170" i="18" s="1"/>
  <c r="BH170" i="18" s="1"/>
  <c r="BI170" i="18" s="1"/>
  <c r="Q411" i="18"/>
  <c r="R411" i="18" s="1"/>
  <c r="AT82" i="18"/>
  <c r="AU82" i="18" s="1"/>
  <c r="AG366" i="18"/>
  <c r="AH366" i="18" s="1"/>
  <c r="AI366" i="18" s="1"/>
  <c r="AJ366" i="18" s="1"/>
  <c r="AK366" i="18" s="1"/>
  <c r="AL366" i="18" s="1"/>
  <c r="AM366" i="18" s="1"/>
  <c r="AN366" i="18" s="1"/>
  <c r="AO366" i="18" s="1"/>
  <c r="AP366" i="18" s="1"/>
  <c r="AQ366" i="18" s="1"/>
  <c r="AR366" i="18" s="1"/>
  <c r="AS366" i="18" s="1"/>
  <c r="AT366" i="18" s="1"/>
  <c r="AU366" i="18" s="1"/>
  <c r="AV366" i="18" s="1"/>
  <c r="AW366" i="18" s="1"/>
  <c r="AX366" i="18" s="1"/>
  <c r="AY366" i="18" s="1"/>
  <c r="AZ366" i="18" s="1"/>
  <c r="BA366" i="18" s="1"/>
  <c r="BB366" i="18" s="1"/>
  <c r="BC366" i="18" s="1"/>
  <c r="BD366" i="18" s="1"/>
  <c r="BE366" i="18" s="1"/>
  <c r="BF366" i="18" s="1"/>
  <c r="BG366" i="18" s="1"/>
  <c r="BH366" i="18" s="1"/>
  <c r="BI366" i="18" s="1"/>
  <c r="L40" i="7946"/>
  <c r="L56" i="7946"/>
  <c r="L81" i="7946" s="1"/>
  <c r="U783" i="18"/>
  <c r="O73" i="7946"/>
  <c r="O98" i="7946" s="1"/>
  <c r="P78" i="7943"/>
  <c r="P73" i="7946" s="1"/>
  <c r="P98" i="7946" s="1"/>
  <c r="V132" i="18"/>
  <c r="W132" i="18" s="1"/>
  <c r="X132" i="18" s="1"/>
  <c r="Y132" i="18" s="1"/>
  <c r="R359" i="18"/>
  <c r="S359" i="18" s="1"/>
  <c r="R437" i="18"/>
  <c r="Y340" i="18"/>
  <c r="Z340" i="18" s="1"/>
  <c r="AA340" i="18" s="1"/>
  <c r="AB340" i="18" s="1"/>
  <c r="AC340" i="18" s="1"/>
  <c r="AD340" i="18" s="1"/>
  <c r="AE340" i="18" s="1"/>
  <c r="AF340" i="18" s="1"/>
  <c r="AG340" i="18" s="1"/>
  <c r="AH340" i="18" s="1"/>
  <c r="AI340" i="18" s="1"/>
  <c r="AJ340" i="18" s="1"/>
  <c r="AK340" i="18" s="1"/>
  <c r="AL340" i="18" s="1"/>
  <c r="AM340" i="18" s="1"/>
  <c r="AN340" i="18" s="1"/>
  <c r="AO340" i="18" s="1"/>
  <c r="AP340" i="18" s="1"/>
  <c r="AQ340" i="18" s="1"/>
  <c r="AR340" i="18" s="1"/>
  <c r="AS340" i="18" s="1"/>
  <c r="AT340" i="18" s="1"/>
  <c r="AU340" i="18" s="1"/>
  <c r="AV340" i="18" s="1"/>
  <c r="AW340" i="18" s="1"/>
  <c r="AX340" i="18" s="1"/>
  <c r="AY340" i="18" s="1"/>
  <c r="AZ340" i="18" s="1"/>
  <c r="BA340" i="18" s="1"/>
  <c r="BB340" i="18" s="1"/>
  <c r="BC340" i="18" s="1"/>
  <c r="BD340" i="18" s="1"/>
  <c r="BE340" i="18" s="1"/>
  <c r="BF340" i="18" s="1"/>
  <c r="BG340" i="18" s="1"/>
  <c r="BH340" i="18" s="1"/>
  <c r="BI340" i="18" s="1"/>
  <c r="P645" i="18"/>
  <c r="Q645" i="18" s="1"/>
  <c r="S835" i="18"/>
  <c r="T835" i="18" s="1"/>
  <c r="Q658" i="18"/>
  <c r="R658" i="18" s="1"/>
  <c r="M17" i="7946"/>
  <c r="N44" i="7943"/>
  <c r="N17" i="7946" s="1"/>
  <c r="S860" i="18"/>
  <c r="W356" i="18"/>
  <c r="X356" i="18" s="1"/>
  <c r="Y356" i="18" s="1"/>
  <c r="Z356" i="18" s="1"/>
  <c r="AA356" i="18" s="1"/>
  <c r="AB356" i="18" s="1"/>
  <c r="AC356" i="18" s="1"/>
  <c r="AD356" i="18" s="1"/>
  <c r="AE356" i="18" s="1"/>
  <c r="AF356" i="18" s="1"/>
  <c r="AG356" i="18" s="1"/>
  <c r="AH356" i="18" s="1"/>
  <c r="AI356" i="18" s="1"/>
  <c r="AJ356" i="18" s="1"/>
  <c r="AK356" i="18" s="1"/>
  <c r="AL356" i="18" s="1"/>
  <c r="AM356" i="18" s="1"/>
  <c r="AN356" i="18" s="1"/>
  <c r="AO356" i="18" s="1"/>
  <c r="AP356" i="18" s="1"/>
  <c r="AQ356" i="18" s="1"/>
  <c r="AR356" i="18" s="1"/>
  <c r="AS356" i="18" s="1"/>
  <c r="AT356" i="18" s="1"/>
  <c r="AU356" i="18" s="1"/>
  <c r="AV356" i="18" s="1"/>
  <c r="AW356" i="18" s="1"/>
  <c r="AX356" i="18" s="1"/>
  <c r="AY356" i="18" s="1"/>
  <c r="AZ356" i="18" s="1"/>
  <c r="BA356" i="18" s="1"/>
  <c r="BB356" i="18" s="1"/>
  <c r="BC356" i="18" s="1"/>
  <c r="BD356" i="18" s="1"/>
  <c r="BE356" i="18" s="1"/>
  <c r="BF356" i="18" s="1"/>
  <c r="BG356" i="18" s="1"/>
  <c r="BH356" i="18" s="1"/>
  <c r="BI356" i="18" s="1"/>
  <c r="AL510" i="18"/>
  <c r="AM510" i="18" s="1"/>
  <c r="O67" i="18"/>
  <c r="O61" i="18"/>
  <c r="O64" i="18"/>
  <c r="R579" i="18"/>
  <c r="S579" i="18" s="1"/>
  <c r="P322" i="18"/>
  <c r="Q190" i="18"/>
  <c r="R190" i="18" s="1"/>
  <c r="S190" i="18" s="1"/>
  <c r="O52" i="18"/>
  <c r="O71" i="18"/>
  <c r="Q710" i="18"/>
  <c r="R710" i="18" s="1"/>
  <c r="Q553" i="18"/>
  <c r="R553" i="18" s="1"/>
  <c r="S553" i="18" s="1"/>
  <c r="Q800" i="18"/>
  <c r="W666" i="18"/>
  <c r="O58" i="18"/>
  <c r="O47" i="18"/>
  <c r="Q255" i="18"/>
  <c r="O48" i="18"/>
  <c r="R682" i="18"/>
  <c r="S682" i="18" s="1"/>
  <c r="T682" i="18" s="1"/>
  <c r="O45" i="18"/>
  <c r="P127" i="18"/>
  <c r="X666" i="18"/>
  <c r="Y666" i="18" s="1"/>
  <c r="Z666" i="18" s="1"/>
  <c r="R290" i="18"/>
  <c r="S290" i="18" s="1"/>
  <c r="X395" i="18"/>
  <c r="Y395" i="18" s="1"/>
  <c r="Z395" i="18" s="1"/>
  <c r="AA395" i="18" s="1"/>
  <c r="AB395" i="18" s="1"/>
  <c r="AC395" i="18" s="1"/>
  <c r="AD395" i="18" s="1"/>
  <c r="AE395" i="18" s="1"/>
  <c r="AF395" i="18" s="1"/>
  <c r="AG395" i="18" s="1"/>
  <c r="AH395" i="18" s="1"/>
  <c r="AI395" i="18" s="1"/>
  <c r="AJ395" i="18" s="1"/>
  <c r="AK395" i="18" s="1"/>
  <c r="AL395" i="18" s="1"/>
  <c r="AM395" i="18" s="1"/>
  <c r="AN395" i="18" s="1"/>
  <c r="AO395" i="18" s="1"/>
  <c r="AP395" i="18" s="1"/>
  <c r="AQ395" i="18" s="1"/>
  <c r="O44" i="18"/>
  <c r="O56" i="18"/>
  <c r="T603" i="18"/>
  <c r="U603" i="18" s="1"/>
  <c r="W185" i="18"/>
  <c r="X185" i="18" s="1"/>
  <c r="Y185" i="18" s="1"/>
  <c r="Z185" i="18" s="1"/>
  <c r="AA185" i="18" s="1"/>
  <c r="AB185" i="18" s="1"/>
  <c r="AC185" i="18" s="1"/>
  <c r="AD185" i="18" s="1"/>
  <c r="AE185" i="18" s="1"/>
  <c r="AF185" i="18" s="1"/>
  <c r="AG185" i="18" s="1"/>
  <c r="AH185" i="18" s="1"/>
  <c r="AI185" i="18" s="1"/>
  <c r="AJ185" i="18" s="1"/>
  <c r="AK185" i="18" s="1"/>
  <c r="AL185" i="18" s="1"/>
  <c r="AM185" i="18" s="1"/>
  <c r="AN185" i="18" s="1"/>
  <c r="AO185" i="18" s="1"/>
  <c r="AP185" i="18" s="1"/>
  <c r="AQ185" i="18" s="1"/>
  <c r="AR185" i="18" s="1"/>
  <c r="AS185" i="18" s="1"/>
  <c r="AT185" i="18" s="1"/>
  <c r="AU185" i="18" s="1"/>
  <c r="AV185" i="18" s="1"/>
  <c r="AW185" i="18" s="1"/>
  <c r="AX185" i="18" s="1"/>
  <c r="AY185" i="18" s="1"/>
  <c r="AZ185" i="18" s="1"/>
  <c r="BA185" i="18" s="1"/>
  <c r="BB185" i="18" s="1"/>
  <c r="BC185" i="18" s="1"/>
  <c r="BD185" i="18" s="1"/>
  <c r="BE185" i="18" s="1"/>
  <c r="BF185" i="18" s="1"/>
  <c r="BG185" i="18" s="1"/>
  <c r="BH185" i="18" s="1"/>
  <c r="BI185" i="18" s="1"/>
  <c r="Q119" i="18"/>
  <c r="R119" i="18" s="1"/>
  <c r="W809" i="18"/>
  <c r="X809" i="18" s="1"/>
  <c r="Y809" i="18" s="1"/>
  <c r="Z809" i="18" s="1"/>
  <c r="AA809" i="18" s="1"/>
  <c r="AB809" i="18" s="1"/>
  <c r="AC809" i="18" s="1"/>
  <c r="AD809" i="18" s="1"/>
  <c r="AE809" i="18" s="1"/>
  <c r="AF809" i="18" s="1"/>
  <c r="AG809" i="18" s="1"/>
  <c r="AH809" i="18" s="1"/>
  <c r="AI809" i="18" s="1"/>
  <c r="AJ809" i="18" s="1"/>
  <c r="AK809" i="18" s="1"/>
  <c r="AL809" i="18" s="1"/>
  <c r="AM809" i="18" s="1"/>
  <c r="AN809" i="18" s="1"/>
  <c r="AO809" i="18" s="1"/>
  <c r="AP809" i="18" s="1"/>
  <c r="AQ809" i="18" s="1"/>
  <c r="AR809" i="18" s="1"/>
  <c r="AS809" i="18" s="1"/>
  <c r="AT809" i="18" s="1"/>
  <c r="AU809" i="18" s="1"/>
  <c r="AV809" i="18" s="1"/>
  <c r="AW809" i="18" s="1"/>
  <c r="AX809" i="18" s="1"/>
  <c r="AY809" i="18" s="1"/>
  <c r="AZ809" i="18" s="1"/>
  <c r="BA809" i="18" s="1"/>
  <c r="BB809" i="18" s="1"/>
  <c r="BC809" i="18" s="1"/>
  <c r="BD809" i="18" s="1"/>
  <c r="BE809" i="18" s="1"/>
  <c r="BF809" i="18" s="1"/>
  <c r="BG809" i="18" s="1"/>
  <c r="BH809" i="18" s="1"/>
  <c r="BI809" i="18" s="1"/>
  <c r="W652" i="18"/>
  <c r="X652" i="18" s="1"/>
  <c r="U266" i="18"/>
  <c r="V266" i="18" s="1"/>
  <c r="Q320" i="18"/>
  <c r="R320" i="18" s="1"/>
  <c r="O55" i="18"/>
  <c r="O50" i="18"/>
  <c r="P270" i="18"/>
  <c r="O59" i="18"/>
  <c r="O69" i="18"/>
  <c r="O68" i="18"/>
  <c r="P400" i="18"/>
  <c r="O60" i="18"/>
  <c r="O66" i="18"/>
  <c r="O65" i="18"/>
  <c r="T135" i="18"/>
  <c r="U135" i="18" s="1"/>
  <c r="Q384" i="18"/>
  <c r="R384" i="18" s="1"/>
  <c r="Q616" i="18"/>
  <c r="R616" i="18" s="1"/>
  <c r="S616" i="18" s="1"/>
  <c r="T616" i="18" s="1"/>
  <c r="AA328" i="18"/>
  <c r="AB328" i="18" s="1"/>
  <c r="AC328" i="18" s="1"/>
  <c r="AD328" i="18" s="1"/>
  <c r="AE328" i="18" s="1"/>
  <c r="AF328" i="18" s="1"/>
  <c r="AG328" i="18" s="1"/>
  <c r="AH328" i="18" s="1"/>
  <c r="AI328" i="18" s="1"/>
  <c r="AJ328" i="18" s="1"/>
  <c r="AK328" i="18" s="1"/>
  <c r="AL328" i="18" s="1"/>
  <c r="AM328" i="18" s="1"/>
  <c r="AN328" i="18" s="1"/>
  <c r="AO328" i="18" s="1"/>
  <c r="AP328" i="18" s="1"/>
  <c r="AQ328" i="18" s="1"/>
  <c r="AR328" i="18" s="1"/>
  <c r="AS328" i="18" s="1"/>
  <c r="AT328" i="18" s="1"/>
  <c r="AU328" i="18" s="1"/>
  <c r="AV328" i="18" s="1"/>
  <c r="AW328" i="18" s="1"/>
  <c r="AX328" i="18" s="1"/>
  <c r="AY328" i="18" s="1"/>
  <c r="AZ328" i="18" s="1"/>
  <c r="BA328" i="18" s="1"/>
  <c r="BB328" i="18" s="1"/>
  <c r="BC328" i="18" s="1"/>
  <c r="BD328" i="18" s="1"/>
  <c r="BE328" i="18" s="1"/>
  <c r="BF328" i="18" s="1"/>
  <c r="BG328" i="18" s="1"/>
  <c r="BH328" i="18" s="1"/>
  <c r="BI328" i="18" s="1"/>
  <c r="S824" i="18"/>
  <c r="T824" i="18" s="1"/>
  <c r="AT94" i="18"/>
  <c r="AU94" i="18" s="1"/>
  <c r="AV94" i="18" s="1"/>
  <c r="AW94" i="18" s="1"/>
  <c r="AX94" i="18" s="1"/>
  <c r="AY94" i="18" s="1"/>
  <c r="AZ94" i="18" s="1"/>
  <c r="BA94" i="18" s="1"/>
  <c r="BB94" i="18" s="1"/>
  <c r="BC94" i="18" s="1"/>
  <c r="BD94" i="18" s="1"/>
  <c r="BE94" i="18" s="1"/>
  <c r="BF94" i="18" s="1"/>
  <c r="BG94" i="18" s="1"/>
  <c r="BH94" i="18" s="1"/>
  <c r="BI94" i="18" s="1"/>
  <c r="S226" i="18"/>
  <c r="T226" i="18" s="1"/>
  <c r="U226" i="18" s="1"/>
  <c r="V226" i="18" s="1"/>
  <c r="W226" i="18" s="1"/>
  <c r="X226" i="18" s="1"/>
  <c r="Y226" i="18" s="1"/>
  <c r="Z226" i="18" s="1"/>
  <c r="AA226" i="18" s="1"/>
  <c r="AB226" i="18" s="1"/>
  <c r="AC226" i="18" s="1"/>
  <c r="AD226" i="18" s="1"/>
  <c r="AE226" i="18" s="1"/>
  <c r="AF226" i="18" s="1"/>
  <c r="AG226" i="18" s="1"/>
  <c r="AH226" i="18" s="1"/>
  <c r="AI226" i="18" s="1"/>
  <c r="AJ226" i="18" s="1"/>
  <c r="AK226" i="18" s="1"/>
  <c r="AL226" i="18" s="1"/>
  <c r="AM226" i="18" s="1"/>
  <c r="AN226" i="18" s="1"/>
  <c r="AO226" i="18" s="1"/>
  <c r="AP226" i="18" s="1"/>
  <c r="AQ226" i="18" s="1"/>
  <c r="AR226" i="18" s="1"/>
  <c r="AS226" i="18" s="1"/>
  <c r="AT226" i="18" s="1"/>
  <c r="AU226" i="18" s="1"/>
  <c r="AV226" i="18" s="1"/>
  <c r="AW226" i="18" s="1"/>
  <c r="AX226" i="18" s="1"/>
  <c r="AY226" i="18" s="1"/>
  <c r="AZ226" i="18" s="1"/>
  <c r="BA226" i="18" s="1"/>
  <c r="BB226" i="18" s="1"/>
  <c r="BC226" i="18" s="1"/>
  <c r="BD226" i="18" s="1"/>
  <c r="BE226" i="18" s="1"/>
  <c r="BF226" i="18" s="1"/>
  <c r="BG226" i="18" s="1"/>
  <c r="BH226" i="18" s="1"/>
  <c r="BI226" i="18" s="1"/>
  <c r="S808" i="18"/>
  <c r="T808" i="18" s="1"/>
  <c r="U808" i="18" s="1"/>
  <c r="S410" i="18"/>
  <c r="T410" i="18" s="1"/>
  <c r="S188" i="18"/>
  <c r="T188" i="18" s="1"/>
  <c r="R149" i="18"/>
  <c r="S149" i="18" s="1"/>
  <c r="R539" i="18"/>
  <c r="S539" i="18" s="1"/>
  <c r="U201" i="18"/>
  <c r="AF157" i="18"/>
  <c r="AG157" i="18" s="1"/>
  <c r="AH157" i="18" s="1"/>
  <c r="AI157" i="18" s="1"/>
  <c r="AJ157" i="18" s="1"/>
  <c r="AK157" i="18" s="1"/>
  <c r="AL157" i="18" s="1"/>
  <c r="T665" i="18"/>
  <c r="U665" i="18" s="1"/>
  <c r="V665" i="18" s="1"/>
  <c r="W665" i="18" s="1"/>
  <c r="AD502" i="18"/>
  <c r="T313" i="18"/>
  <c r="U313" i="18" s="1"/>
  <c r="V313" i="18" s="1"/>
  <c r="W313" i="18" s="1"/>
  <c r="X313" i="18" s="1"/>
  <c r="Y313" i="18" s="1"/>
  <c r="Z313" i="18" s="1"/>
  <c r="AA313" i="18" s="1"/>
  <c r="AB313" i="18" s="1"/>
  <c r="AC313" i="18" s="1"/>
  <c r="AD313" i="18" s="1"/>
  <c r="AE313" i="18" s="1"/>
  <c r="Z743" i="18"/>
  <c r="AA743" i="18" s="1"/>
  <c r="AB743" i="18" s="1"/>
  <c r="AC743" i="18" s="1"/>
  <c r="AD743" i="18" s="1"/>
  <c r="U797" i="18"/>
  <c r="V797" i="18" s="1"/>
  <c r="U342" i="18"/>
  <c r="V342" i="18" s="1"/>
  <c r="W342" i="18" s="1"/>
  <c r="X342" i="18" s="1"/>
  <c r="U267" i="18"/>
  <c r="V267" i="18" s="1"/>
  <c r="W267" i="18" s="1"/>
  <c r="X267" i="18" s="1"/>
  <c r="Y267" i="18" s="1"/>
  <c r="Z267" i="18" s="1"/>
  <c r="AA267" i="18" s="1"/>
  <c r="AB267" i="18" s="1"/>
  <c r="AC267" i="18" s="1"/>
  <c r="AD267" i="18" s="1"/>
  <c r="AE267" i="18" s="1"/>
  <c r="AF267" i="18" s="1"/>
  <c r="AG267" i="18" s="1"/>
  <c r="AH267" i="18" s="1"/>
  <c r="AI267" i="18" s="1"/>
  <c r="AJ267" i="18" s="1"/>
  <c r="AK267" i="18" s="1"/>
  <c r="AL267" i="18" s="1"/>
  <c r="AM267" i="18" s="1"/>
  <c r="AN267" i="18" s="1"/>
  <c r="AO267" i="18" s="1"/>
  <c r="AP267" i="18" s="1"/>
  <c r="AQ267" i="18" s="1"/>
  <c r="AR267" i="18" s="1"/>
  <c r="AS267" i="18" s="1"/>
  <c r="AT267" i="18" s="1"/>
  <c r="AU267" i="18" s="1"/>
  <c r="AV267" i="18" s="1"/>
  <c r="AW267" i="18" s="1"/>
  <c r="AX267" i="18" s="1"/>
  <c r="AY267" i="18" s="1"/>
  <c r="AZ267" i="18" s="1"/>
  <c r="BA267" i="18" s="1"/>
  <c r="BB267" i="18" s="1"/>
  <c r="BC267" i="18" s="1"/>
  <c r="BD267" i="18" s="1"/>
  <c r="BE267" i="18" s="1"/>
  <c r="BF267" i="18" s="1"/>
  <c r="BG267" i="18" s="1"/>
  <c r="BH267" i="18" s="1"/>
  <c r="BI267" i="18" s="1"/>
  <c r="R268" i="18"/>
  <c r="S268" i="18" s="1"/>
  <c r="S164" i="18"/>
  <c r="T164" i="18" s="1"/>
  <c r="O62" i="18"/>
  <c r="O57" i="18"/>
  <c r="U565" i="18"/>
  <c r="Q552" i="18"/>
  <c r="R552" i="18" s="1"/>
  <c r="AE501" i="18"/>
  <c r="AF501" i="18" s="1"/>
  <c r="AG501" i="18" s="1"/>
  <c r="O169" i="18"/>
  <c r="N179" i="18"/>
  <c r="V304" i="18"/>
  <c r="W304" i="18" s="1"/>
  <c r="T716" i="18"/>
  <c r="S173" i="18"/>
  <c r="T173" i="18" s="1"/>
  <c r="R137" i="18"/>
  <c r="S137" i="18" s="1"/>
  <c r="S330" i="18"/>
  <c r="T330" i="18" s="1"/>
  <c r="CY107" i="7942"/>
  <c r="O791" i="18"/>
  <c r="S396" i="18"/>
  <c r="T396" i="18" s="1"/>
  <c r="AU85" i="18"/>
  <c r="AV85" i="18" s="1"/>
  <c r="P153" i="18"/>
  <c r="K57" i="7946"/>
  <c r="R385" i="18"/>
  <c r="S385" i="18" s="1"/>
  <c r="O54" i="18"/>
  <c r="O43" i="18"/>
  <c r="R277" i="18"/>
  <c r="S277" i="18" s="1"/>
  <c r="Q866" i="18"/>
  <c r="R866" i="18" s="1"/>
  <c r="S866" i="18" s="1"/>
  <c r="O492" i="18"/>
  <c r="S747" i="18"/>
  <c r="V720" i="18"/>
  <c r="T784" i="18"/>
  <c r="N465" i="18"/>
  <c r="O455" i="18"/>
  <c r="V265" i="18"/>
  <c r="V536" i="18"/>
  <c r="W536" i="18" s="1"/>
  <c r="X536" i="18" s="1"/>
  <c r="Y536" i="18" s="1"/>
  <c r="Z536" i="18" s="1"/>
  <c r="AA536" i="18" s="1"/>
  <c r="AB536" i="18" s="1"/>
  <c r="AC536" i="18" s="1"/>
  <c r="AD536" i="18" s="1"/>
  <c r="AE536" i="18" s="1"/>
  <c r="AF536" i="18" s="1"/>
  <c r="AG536" i="18" s="1"/>
  <c r="AH536" i="18" s="1"/>
  <c r="AI536" i="18" s="1"/>
  <c r="AJ536" i="18" s="1"/>
  <c r="AK536" i="18" s="1"/>
  <c r="AL536" i="18" s="1"/>
  <c r="AM536" i="18" s="1"/>
  <c r="AN536" i="18" s="1"/>
  <c r="AO536" i="18" s="1"/>
  <c r="AP536" i="18" s="1"/>
  <c r="AQ536" i="18" s="1"/>
  <c r="AR536" i="18" s="1"/>
  <c r="AS536" i="18" s="1"/>
  <c r="AT536" i="18" s="1"/>
  <c r="AU536" i="18" s="1"/>
  <c r="AV536" i="18" s="1"/>
  <c r="AW536" i="18" s="1"/>
  <c r="AX536" i="18" s="1"/>
  <c r="AY536" i="18" s="1"/>
  <c r="AZ536" i="18" s="1"/>
  <c r="BA536" i="18" s="1"/>
  <c r="BB536" i="18" s="1"/>
  <c r="BC536" i="18" s="1"/>
  <c r="BD536" i="18" s="1"/>
  <c r="BE536" i="18" s="1"/>
  <c r="BF536" i="18" s="1"/>
  <c r="BG536" i="18" s="1"/>
  <c r="BH536" i="18" s="1"/>
  <c r="BI536" i="18" s="1"/>
  <c r="V367" i="18"/>
  <c r="W367" i="18" s="1"/>
  <c r="X367" i="18" s="1"/>
  <c r="Y367" i="18" s="1"/>
  <c r="Z367" i="18" s="1"/>
  <c r="AA367" i="18" s="1"/>
  <c r="AB367" i="18" s="1"/>
  <c r="AC367" i="18" s="1"/>
  <c r="AD367" i="18" s="1"/>
  <c r="AE367" i="18" s="1"/>
  <c r="AF367" i="18" s="1"/>
  <c r="AG367" i="18" s="1"/>
  <c r="AH367" i="18" s="1"/>
  <c r="AI367" i="18" s="1"/>
  <c r="AJ367" i="18" s="1"/>
  <c r="AK367" i="18" s="1"/>
  <c r="AL367" i="18" s="1"/>
  <c r="AM367" i="18" s="1"/>
  <c r="AN367" i="18" s="1"/>
  <c r="AO367" i="18" s="1"/>
  <c r="AP367" i="18" s="1"/>
  <c r="AQ367" i="18" s="1"/>
  <c r="AR367" i="18" s="1"/>
  <c r="AS367" i="18" s="1"/>
  <c r="AT367" i="18" s="1"/>
  <c r="AU367" i="18" s="1"/>
  <c r="AV367" i="18" s="1"/>
  <c r="AW367" i="18" s="1"/>
  <c r="AX367" i="18" s="1"/>
  <c r="AY367" i="18" s="1"/>
  <c r="AZ367" i="18" s="1"/>
  <c r="BA367" i="18" s="1"/>
  <c r="BB367" i="18" s="1"/>
  <c r="BC367" i="18" s="1"/>
  <c r="BD367" i="18" s="1"/>
  <c r="BE367" i="18" s="1"/>
  <c r="BF367" i="18" s="1"/>
  <c r="BG367" i="18" s="1"/>
  <c r="BH367" i="18" s="1"/>
  <c r="BI367" i="18" s="1"/>
  <c r="AV352" i="18"/>
  <c r="AW352" i="18" s="1"/>
  <c r="AX352" i="18" s="1"/>
  <c r="AY352" i="18" s="1"/>
  <c r="AZ352" i="18" s="1"/>
  <c r="BA352" i="18" s="1"/>
  <c r="BB352" i="18" s="1"/>
  <c r="BC352" i="18" s="1"/>
  <c r="BD352" i="18" s="1"/>
  <c r="BE352" i="18" s="1"/>
  <c r="BF352" i="18" s="1"/>
  <c r="BG352" i="18" s="1"/>
  <c r="BH352" i="18" s="1"/>
  <c r="BI352" i="18" s="1"/>
  <c r="S628" i="18"/>
  <c r="T628" i="18" s="1"/>
  <c r="U602" i="18"/>
  <c r="Q398" i="18"/>
  <c r="R398" i="18" s="1"/>
  <c r="Q489" i="18"/>
  <c r="R489" i="18" s="1"/>
  <c r="V239" i="18"/>
  <c r="V679" i="18"/>
  <c r="W679" i="18" s="1"/>
  <c r="X679" i="18" s="1"/>
  <c r="Y679" i="18" s="1"/>
  <c r="Z679" i="18" s="1"/>
  <c r="AA679" i="18" s="1"/>
  <c r="AB679" i="18" s="1"/>
  <c r="AC679" i="18" s="1"/>
  <c r="AD679" i="18" s="1"/>
  <c r="AE679" i="18" s="1"/>
  <c r="AF679" i="18" s="1"/>
  <c r="AG679" i="18" s="1"/>
  <c r="AH679" i="18" s="1"/>
  <c r="AI679" i="18" s="1"/>
  <c r="AJ679" i="18" s="1"/>
  <c r="AK679" i="18" s="1"/>
  <c r="AL679" i="18" s="1"/>
  <c r="AM679" i="18" s="1"/>
  <c r="AN679" i="18" s="1"/>
  <c r="AO679" i="18" s="1"/>
  <c r="AP679" i="18" s="1"/>
  <c r="AQ679" i="18" s="1"/>
  <c r="AR679" i="18" s="1"/>
  <c r="AS679" i="18" s="1"/>
  <c r="AT679" i="18" s="1"/>
  <c r="AU679" i="18" s="1"/>
  <c r="AV679" i="18" s="1"/>
  <c r="AW679" i="18" s="1"/>
  <c r="AX679" i="18" s="1"/>
  <c r="AY679" i="18" s="1"/>
  <c r="AZ679" i="18" s="1"/>
  <c r="BA679" i="18" s="1"/>
  <c r="BB679" i="18" s="1"/>
  <c r="BC679" i="18" s="1"/>
  <c r="BD679" i="18" s="1"/>
  <c r="BE679" i="18" s="1"/>
  <c r="BF679" i="18" s="1"/>
  <c r="BG679" i="18" s="1"/>
  <c r="BH679" i="18" s="1"/>
  <c r="BI679" i="18" s="1"/>
  <c r="X370" i="18"/>
  <c r="Y370" i="18" s="1"/>
  <c r="Z370" i="18" s="1"/>
  <c r="AA370" i="18" s="1"/>
  <c r="AB370" i="18" s="1"/>
  <c r="AC370" i="18" s="1"/>
  <c r="AD370" i="18" s="1"/>
  <c r="AE370" i="18" s="1"/>
  <c r="AF370" i="18" s="1"/>
  <c r="AG370" i="18" s="1"/>
  <c r="AH370" i="18" s="1"/>
  <c r="AI370" i="18" s="1"/>
  <c r="AJ370" i="18" s="1"/>
  <c r="AK370" i="18" s="1"/>
  <c r="AL370" i="18" s="1"/>
  <c r="AM370" i="18" s="1"/>
  <c r="AN370" i="18" s="1"/>
  <c r="AO370" i="18" s="1"/>
  <c r="AP370" i="18" s="1"/>
  <c r="AQ370" i="18" s="1"/>
  <c r="AR370" i="18" s="1"/>
  <c r="AS370" i="18" s="1"/>
  <c r="AT370" i="18" s="1"/>
  <c r="AU370" i="18" s="1"/>
  <c r="AV370" i="18" s="1"/>
  <c r="AW370" i="18" s="1"/>
  <c r="AX370" i="18" s="1"/>
  <c r="AY370" i="18" s="1"/>
  <c r="AZ370" i="18" s="1"/>
  <c r="BA370" i="18" s="1"/>
  <c r="BB370" i="18" s="1"/>
  <c r="BC370" i="18" s="1"/>
  <c r="BD370" i="18" s="1"/>
  <c r="BE370" i="18" s="1"/>
  <c r="BF370" i="18" s="1"/>
  <c r="BG370" i="18" s="1"/>
  <c r="BH370" i="18" s="1"/>
  <c r="BI370" i="18" s="1"/>
  <c r="V394" i="18"/>
  <c r="W394" i="18" s="1"/>
  <c r="X394" i="18" s="1"/>
  <c r="Y394" i="18" s="1"/>
  <c r="Z394" i="18" s="1"/>
  <c r="AA394" i="18" s="1"/>
  <c r="AB394" i="18" s="1"/>
  <c r="AC394" i="18" s="1"/>
  <c r="AD394" i="18" s="1"/>
  <c r="AE394" i="18" s="1"/>
  <c r="AF394" i="18" s="1"/>
  <c r="AG394" i="18" s="1"/>
  <c r="AH394" i="18" s="1"/>
  <c r="AI394" i="18" s="1"/>
  <c r="AJ394" i="18" s="1"/>
  <c r="AK394" i="18" s="1"/>
  <c r="AL394" i="18" s="1"/>
  <c r="AM394" i="18" s="1"/>
  <c r="AN394" i="18" s="1"/>
  <c r="AO394" i="18" s="1"/>
  <c r="AP394" i="18" s="1"/>
  <c r="AQ394" i="18" s="1"/>
  <c r="AR394" i="18" s="1"/>
  <c r="AS394" i="18" s="1"/>
  <c r="AT394" i="18" s="1"/>
  <c r="AU394" i="18" s="1"/>
  <c r="AV394" i="18" s="1"/>
  <c r="AW394" i="18" s="1"/>
  <c r="AX394" i="18" s="1"/>
  <c r="AY394" i="18" s="1"/>
  <c r="AZ394" i="18" s="1"/>
  <c r="BA394" i="18" s="1"/>
  <c r="BB394" i="18" s="1"/>
  <c r="BC394" i="18" s="1"/>
  <c r="BD394" i="18" s="1"/>
  <c r="BE394" i="18" s="1"/>
  <c r="BF394" i="18" s="1"/>
  <c r="BG394" i="18" s="1"/>
  <c r="BH394" i="18" s="1"/>
  <c r="BI394" i="18" s="1"/>
  <c r="S419" i="18"/>
  <c r="T419" i="18" s="1"/>
  <c r="U419" i="18" s="1"/>
  <c r="V419" i="18" s="1"/>
  <c r="W419" i="18" s="1"/>
  <c r="X419" i="18" s="1"/>
  <c r="Y419" i="18" s="1"/>
  <c r="Z419" i="18" s="1"/>
  <c r="AA419" i="18" s="1"/>
  <c r="AB419" i="18" s="1"/>
  <c r="AC419" i="18" s="1"/>
  <c r="AD419" i="18" s="1"/>
  <c r="AE419" i="18" s="1"/>
  <c r="AF419" i="18" s="1"/>
  <c r="AG419" i="18" s="1"/>
  <c r="AH419" i="18" s="1"/>
  <c r="AI419" i="18" s="1"/>
  <c r="AJ419" i="18" s="1"/>
  <c r="AK419" i="18" s="1"/>
  <c r="AL419" i="18" s="1"/>
  <c r="AM419" i="18" s="1"/>
  <c r="AN419" i="18" s="1"/>
  <c r="AO419" i="18" s="1"/>
  <c r="AP419" i="18" s="1"/>
  <c r="AQ419" i="18" s="1"/>
  <c r="AR419" i="18" s="1"/>
  <c r="AS419" i="18" s="1"/>
  <c r="AT419" i="18" s="1"/>
  <c r="AU419" i="18" s="1"/>
  <c r="AV419" i="18" s="1"/>
  <c r="AW419" i="18" s="1"/>
  <c r="AX419" i="18" s="1"/>
  <c r="AY419" i="18" s="1"/>
  <c r="AZ419" i="18" s="1"/>
  <c r="BA419" i="18" s="1"/>
  <c r="BB419" i="18" s="1"/>
  <c r="BC419" i="18" s="1"/>
  <c r="BD419" i="18" s="1"/>
  <c r="BE419" i="18" s="1"/>
  <c r="BF419" i="18" s="1"/>
  <c r="BG419" i="18" s="1"/>
  <c r="BH419" i="18" s="1"/>
  <c r="BI419" i="18" s="1"/>
  <c r="O53" i="18"/>
  <c r="O51" i="18"/>
  <c r="O63" i="18"/>
  <c r="O70" i="18"/>
  <c r="O49" i="18"/>
  <c r="P775" i="18"/>
  <c r="Q775" i="18" s="1"/>
  <c r="Q632" i="18"/>
  <c r="R632" i="18" s="1"/>
  <c r="S632" i="18" s="1"/>
  <c r="T632" i="18" s="1"/>
  <c r="Q696" i="18"/>
  <c r="R696" i="18" s="1"/>
  <c r="X146" i="18"/>
  <c r="Y146" i="18" s="1"/>
  <c r="Z146" i="18" s="1"/>
  <c r="AA146" i="18" s="1"/>
  <c r="AB146" i="18" s="1"/>
  <c r="AC146" i="18" s="1"/>
  <c r="AD146" i="18" s="1"/>
  <c r="AE146" i="18" s="1"/>
  <c r="AF146" i="18" s="1"/>
  <c r="AG146" i="18" s="1"/>
  <c r="AH146" i="18" s="1"/>
  <c r="AI146" i="18" s="1"/>
  <c r="AJ146" i="18" s="1"/>
  <c r="AK146" i="18" s="1"/>
  <c r="AL146" i="18" s="1"/>
  <c r="AM146" i="18" s="1"/>
  <c r="AN146" i="18" s="1"/>
  <c r="AO146" i="18" s="1"/>
  <c r="AP146" i="18" s="1"/>
  <c r="AQ146" i="18" s="1"/>
  <c r="AR146" i="18" s="1"/>
  <c r="AS146" i="18" s="1"/>
  <c r="AT146" i="18" s="1"/>
  <c r="AU146" i="18" s="1"/>
  <c r="AV146" i="18" s="1"/>
  <c r="AW146" i="18" s="1"/>
  <c r="AX146" i="18" s="1"/>
  <c r="AY146" i="18" s="1"/>
  <c r="AZ146" i="18" s="1"/>
  <c r="BA146" i="18" s="1"/>
  <c r="BB146" i="18" s="1"/>
  <c r="BC146" i="18" s="1"/>
  <c r="BD146" i="18" s="1"/>
  <c r="BE146" i="18" s="1"/>
  <c r="BF146" i="18" s="1"/>
  <c r="BG146" i="18" s="1"/>
  <c r="BH146" i="18" s="1"/>
  <c r="BI146" i="18" s="1"/>
  <c r="R175" i="18"/>
  <c r="Q485" i="18"/>
  <c r="P814" i="18"/>
  <c r="Q814" i="18" s="1"/>
  <c r="R814" i="18" s="1"/>
  <c r="S814" i="18" s="1"/>
  <c r="T814" i="18" s="1"/>
  <c r="U814" i="18" s="1"/>
  <c r="V524" i="18"/>
  <c r="W524" i="18" s="1"/>
  <c r="G40" i="1"/>
  <c r="E5" i="1"/>
  <c r="V599" i="18"/>
  <c r="AB613" i="18"/>
  <c r="AC613" i="18" s="1"/>
  <c r="AD613" i="18" s="1"/>
  <c r="AE613" i="18" s="1"/>
  <c r="AF613" i="18" s="1"/>
  <c r="AG613" i="18" s="1"/>
  <c r="AH613" i="18" s="1"/>
  <c r="AI613" i="18" s="1"/>
  <c r="AJ613" i="18" s="1"/>
  <c r="AK613" i="18" s="1"/>
  <c r="AL613" i="18" s="1"/>
  <c r="AM613" i="18" s="1"/>
  <c r="AN613" i="18" s="1"/>
  <c r="AO613" i="18" s="1"/>
  <c r="R151" i="18"/>
  <c r="S151" i="18" s="1"/>
  <c r="P21" i="7946"/>
  <c r="P21" i="7945"/>
  <c r="S260" i="18"/>
  <c r="T327" i="18"/>
  <c r="U327" i="18" s="1"/>
  <c r="V327" i="18" s="1"/>
  <c r="W327" i="18" s="1"/>
  <c r="X327" i="18" s="1"/>
  <c r="Y327" i="18" s="1"/>
  <c r="Z327" i="18" s="1"/>
  <c r="AA327" i="18" s="1"/>
  <c r="AB327" i="18" s="1"/>
  <c r="AC327" i="18" s="1"/>
  <c r="AD327" i="18" s="1"/>
  <c r="AE327" i="18" s="1"/>
  <c r="AF327" i="18" s="1"/>
  <c r="AG327" i="18" s="1"/>
  <c r="AH327" i="18" s="1"/>
  <c r="AI327" i="18" s="1"/>
  <c r="AJ327" i="18" s="1"/>
  <c r="AK327" i="18" s="1"/>
  <c r="AL327" i="18" s="1"/>
  <c r="AM327" i="18" s="1"/>
  <c r="AN327" i="18" s="1"/>
  <c r="AO327" i="18" s="1"/>
  <c r="AP327" i="18" s="1"/>
  <c r="AQ327" i="18" s="1"/>
  <c r="AR327" i="18" s="1"/>
  <c r="AS327" i="18" s="1"/>
  <c r="AT327" i="18" s="1"/>
  <c r="AU327" i="18" s="1"/>
  <c r="AV327" i="18" s="1"/>
  <c r="AW327" i="18" s="1"/>
  <c r="AX327" i="18" s="1"/>
  <c r="AY327" i="18" s="1"/>
  <c r="AZ327" i="18" s="1"/>
  <c r="BA327" i="18" s="1"/>
  <c r="BB327" i="18" s="1"/>
  <c r="BC327" i="18" s="1"/>
  <c r="BD327" i="18" s="1"/>
  <c r="BE327" i="18" s="1"/>
  <c r="BF327" i="18" s="1"/>
  <c r="BG327" i="18" s="1"/>
  <c r="BH327" i="18" s="1"/>
  <c r="BI327" i="18" s="1"/>
  <c r="S372" i="18"/>
  <c r="T372" i="18" s="1"/>
  <c r="AQ678" i="18"/>
  <c r="AR678" i="18" s="1"/>
  <c r="AS678" i="18" s="1"/>
  <c r="AT678" i="18" s="1"/>
  <c r="AU678" i="18" s="1"/>
  <c r="AV678" i="18" s="1"/>
  <c r="AW678" i="18" s="1"/>
  <c r="AX678" i="18" s="1"/>
  <c r="AY678" i="18" s="1"/>
  <c r="AZ678" i="18" s="1"/>
  <c r="BA678" i="18" s="1"/>
  <c r="BB678" i="18" s="1"/>
  <c r="BC678" i="18" s="1"/>
  <c r="BD678" i="18" s="1"/>
  <c r="BE678" i="18" s="1"/>
  <c r="BF678" i="18" s="1"/>
  <c r="BG678" i="18" s="1"/>
  <c r="BH678" i="18" s="1"/>
  <c r="BI678" i="18" s="1"/>
  <c r="V355" i="18"/>
  <c r="W355" i="18" s="1"/>
  <c r="X355" i="18" s="1"/>
  <c r="Y355" i="18" s="1"/>
  <c r="Z355" i="18" s="1"/>
  <c r="AA355" i="18" s="1"/>
  <c r="U383" i="18"/>
  <c r="V383" i="18" s="1"/>
  <c r="W383" i="18" s="1"/>
  <c r="X383" i="18" s="1"/>
  <c r="Y383" i="18" s="1"/>
  <c r="Z383" i="18" s="1"/>
  <c r="AA383" i="18" s="1"/>
  <c r="AB383" i="18" s="1"/>
  <c r="AC383" i="18" s="1"/>
  <c r="AD383" i="18" s="1"/>
  <c r="AE383" i="18" s="1"/>
  <c r="AF383" i="18" s="1"/>
  <c r="AG383" i="18" s="1"/>
  <c r="AH383" i="18" s="1"/>
  <c r="AI383" i="18" s="1"/>
  <c r="AJ383" i="18" s="1"/>
  <c r="AK383" i="18" s="1"/>
  <c r="AL383" i="18" s="1"/>
  <c r="AM383" i="18" s="1"/>
  <c r="AN383" i="18" s="1"/>
  <c r="AO383" i="18" s="1"/>
  <c r="AP383" i="18" s="1"/>
  <c r="AQ383" i="18" s="1"/>
  <c r="AR383" i="18" s="1"/>
  <c r="AS383" i="18" s="1"/>
  <c r="AT383" i="18" s="1"/>
  <c r="AU383" i="18" s="1"/>
  <c r="AV383" i="18" s="1"/>
  <c r="AW383" i="18" s="1"/>
  <c r="AX383" i="18" s="1"/>
  <c r="AY383" i="18" s="1"/>
  <c r="AZ383" i="18" s="1"/>
  <c r="BA383" i="18" s="1"/>
  <c r="BB383" i="18" s="1"/>
  <c r="BC383" i="18" s="1"/>
  <c r="BD383" i="18" s="1"/>
  <c r="BE383" i="18" s="1"/>
  <c r="BF383" i="18" s="1"/>
  <c r="BG383" i="18" s="1"/>
  <c r="BH383" i="18" s="1"/>
  <c r="BI383" i="18" s="1"/>
  <c r="T174" i="18"/>
  <c r="U174" i="18" s="1"/>
  <c r="Q371" i="18"/>
  <c r="P374" i="18"/>
  <c r="R744" i="18"/>
  <c r="S744" i="18" s="1"/>
  <c r="T744" i="18" s="1"/>
  <c r="U744" i="18" s="1"/>
  <c r="V744" i="18" s="1"/>
  <c r="W744" i="18" s="1"/>
  <c r="X744" i="18" s="1"/>
  <c r="Y744" i="18" s="1"/>
  <c r="Z744" i="18" s="1"/>
  <c r="AA744" i="18" s="1"/>
  <c r="AB744" i="18" s="1"/>
  <c r="AC744" i="18" s="1"/>
  <c r="AD744" i="18" s="1"/>
  <c r="AE744" i="18" s="1"/>
  <c r="AF744" i="18" s="1"/>
  <c r="AG744" i="18" s="1"/>
  <c r="AH744" i="18" s="1"/>
  <c r="AI744" i="18" s="1"/>
  <c r="AJ744" i="18" s="1"/>
  <c r="AK744" i="18" s="1"/>
  <c r="AL744" i="18" s="1"/>
  <c r="AM744" i="18" s="1"/>
  <c r="AN744" i="18" s="1"/>
  <c r="AO744" i="18" s="1"/>
  <c r="AP744" i="18" s="1"/>
  <c r="AQ744" i="18" s="1"/>
  <c r="AR744" i="18" s="1"/>
  <c r="AS744" i="18" s="1"/>
  <c r="AT744" i="18" s="1"/>
  <c r="AU744" i="18" s="1"/>
  <c r="AV744" i="18" s="1"/>
  <c r="AW744" i="18" s="1"/>
  <c r="AX744" i="18" s="1"/>
  <c r="AY744" i="18" s="1"/>
  <c r="AZ744" i="18" s="1"/>
  <c r="BA744" i="18" s="1"/>
  <c r="BB744" i="18" s="1"/>
  <c r="BC744" i="18" s="1"/>
  <c r="BD744" i="18" s="1"/>
  <c r="BE744" i="18" s="1"/>
  <c r="BF744" i="18" s="1"/>
  <c r="BG744" i="18" s="1"/>
  <c r="BH744" i="18" s="1"/>
  <c r="BI744" i="18" s="1"/>
  <c r="T850" i="18"/>
  <c r="U850" i="18" s="1"/>
  <c r="V850" i="18" s="1"/>
  <c r="W850" i="18" s="1"/>
  <c r="R279" i="18"/>
  <c r="S279" i="18" s="1"/>
  <c r="T377" i="18"/>
  <c r="P205" i="18"/>
  <c r="Q195" i="18"/>
  <c r="R286" i="18"/>
  <c r="Q443" i="18"/>
  <c r="R443" i="18" s="1"/>
  <c r="P288" i="18"/>
  <c r="O296" i="18"/>
  <c r="AS83" i="18"/>
  <c r="T240" i="18"/>
  <c r="U240" i="18" s="1"/>
  <c r="V240" i="18" s="1"/>
  <c r="W240" i="18" s="1"/>
  <c r="X240" i="18" s="1"/>
  <c r="Y240" i="18" s="1"/>
  <c r="Z240" i="18" s="1"/>
  <c r="AA240" i="18" s="1"/>
  <c r="AB240" i="18" s="1"/>
  <c r="AC240" i="18" s="1"/>
  <c r="AD240" i="18" s="1"/>
  <c r="AE240" i="18" s="1"/>
  <c r="AF240" i="18" s="1"/>
  <c r="AG240" i="18" s="1"/>
  <c r="AH240" i="18" s="1"/>
  <c r="AI240" i="18" s="1"/>
  <c r="AJ240" i="18" s="1"/>
  <c r="AK240" i="18" s="1"/>
  <c r="AL240" i="18" s="1"/>
  <c r="AM240" i="18" s="1"/>
  <c r="AN240" i="18" s="1"/>
  <c r="AO240" i="18" s="1"/>
  <c r="AP240" i="18" s="1"/>
  <c r="AQ240" i="18" s="1"/>
  <c r="AR240" i="18" s="1"/>
  <c r="AS240" i="18" s="1"/>
  <c r="AT240" i="18" s="1"/>
  <c r="AU240" i="18" s="1"/>
  <c r="AV240" i="18" s="1"/>
  <c r="AW240" i="18" s="1"/>
  <c r="AX240" i="18" s="1"/>
  <c r="AY240" i="18" s="1"/>
  <c r="AZ240" i="18" s="1"/>
  <c r="BA240" i="18" s="1"/>
  <c r="BB240" i="18" s="1"/>
  <c r="BC240" i="18" s="1"/>
  <c r="BD240" i="18" s="1"/>
  <c r="BE240" i="18" s="1"/>
  <c r="BF240" i="18" s="1"/>
  <c r="BG240" i="18" s="1"/>
  <c r="BH240" i="18" s="1"/>
  <c r="BI240" i="18" s="1"/>
  <c r="S448" i="18"/>
  <c r="T448" i="18" s="1"/>
  <c r="T208" i="18"/>
  <c r="N25" i="7946"/>
  <c r="O80" i="7943"/>
  <c r="O25" i="7946" s="1"/>
  <c r="O48" i="7946" s="1"/>
  <c r="S95" i="7946"/>
  <c r="S96" i="7946" s="1"/>
  <c r="K96" i="7946"/>
  <c r="T290" i="18"/>
  <c r="U290" i="18" s="1"/>
  <c r="P192" i="18"/>
  <c r="T821" i="18"/>
  <c r="R150" i="18"/>
  <c r="S150" i="18" s="1"/>
  <c r="Q379" i="18"/>
  <c r="P387" i="18"/>
  <c r="V253" i="18"/>
  <c r="W253" i="18" s="1"/>
  <c r="X253" i="18" s="1"/>
  <c r="Y253" i="18" s="1"/>
  <c r="AL107" i="7942"/>
  <c r="K82" i="7946"/>
  <c r="S212" i="18"/>
  <c r="T212" i="18" s="1"/>
  <c r="U212" i="18" s="1"/>
  <c r="V212" i="18" s="1"/>
  <c r="W212" i="18" s="1"/>
  <c r="X212" i="18" s="1"/>
  <c r="Y212" i="18" s="1"/>
  <c r="Z212" i="18" s="1"/>
  <c r="AA212" i="18" s="1"/>
  <c r="AB212" i="18" s="1"/>
  <c r="AC212" i="18" s="1"/>
  <c r="AD212" i="18" s="1"/>
  <c r="AE212" i="18" s="1"/>
  <c r="AF212" i="18" s="1"/>
  <c r="AG212" i="18" s="1"/>
  <c r="AH212" i="18" s="1"/>
  <c r="AI212" i="18" s="1"/>
  <c r="AJ212" i="18" s="1"/>
  <c r="AK212" i="18" s="1"/>
  <c r="AL212" i="18" s="1"/>
  <c r="AM212" i="18" s="1"/>
  <c r="AN212" i="18" s="1"/>
  <c r="AO212" i="18" s="1"/>
  <c r="AP212" i="18" s="1"/>
  <c r="AQ212" i="18" s="1"/>
  <c r="AR212" i="18" s="1"/>
  <c r="AS212" i="18" s="1"/>
  <c r="AT212" i="18" s="1"/>
  <c r="AU212" i="18" s="1"/>
  <c r="AV212" i="18" s="1"/>
  <c r="AW212" i="18" s="1"/>
  <c r="AX212" i="18" s="1"/>
  <c r="AY212" i="18" s="1"/>
  <c r="AZ212" i="18" s="1"/>
  <c r="BA212" i="18" s="1"/>
  <c r="BB212" i="18" s="1"/>
  <c r="BC212" i="18" s="1"/>
  <c r="BD212" i="18" s="1"/>
  <c r="BE212" i="18" s="1"/>
  <c r="BF212" i="18" s="1"/>
  <c r="BG212" i="18" s="1"/>
  <c r="BH212" i="18" s="1"/>
  <c r="BI212" i="18" s="1"/>
  <c r="P107" i="7942"/>
  <c r="U449" i="18"/>
  <c r="V449" i="18" s="1"/>
  <c r="S281" i="18"/>
  <c r="T281" i="18" s="1"/>
  <c r="Q333" i="18"/>
  <c r="P335" i="18"/>
  <c r="O869" i="18"/>
  <c r="P606" i="18"/>
  <c r="P723" i="18"/>
  <c r="Q723" i="18" s="1"/>
  <c r="Q589" i="18"/>
  <c r="R589" i="18" s="1"/>
  <c r="R719" i="18"/>
  <c r="S719" i="18" s="1"/>
  <c r="T719" i="18" s="1"/>
  <c r="S617" i="18"/>
  <c r="T617" i="18" s="1"/>
  <c r="P631" i="18"/>
  <c r="U630" i="18"/>
  <c r="Q618" i="18"/>
  <c r="U625" i="18"/>
  <c r="Q781" i="18"/>
  <c r="S664" i="18"/>
  <c r="O84" i="7946"/>
  <c r="P59" i="7946"/>
  <c r="P84" i="7946" s="1"/>
  <c r="U318" i="18"/>
  <c r="O244" i="18"/>
  <c r="P236" i="18"/>
  <c r="Q236" i="18" s="1"/>
  <c r="AM171" i="18"/>
  <c r="AN171" i="18" s="1"/>
  <c r="AO171" i="18" s="1"/>
  <c r="AP171" i="18" s="1"/>
  <c r="AQ171" i="18" s="1"/>
  <c r="AR171" i="18" s="1"/>
  <c r="AS171" i="18" s="1"/>
  <c r="AT171" i="18" s="1"/>
  <c r="AU171" i="18" s="1"/>
  <c r="AV171" i="18" s="1"/>
  <c r="AW171" i="18" s="1"/>
  <c r="AX171" i="18" s="1"/>
  <c r="AY171" i="18" s="1"/>
  <c r="AZ171" i="18" s="1"/>
  <c r="BA171" i="18" s="1"/>
  <c r="BB171" i="18" s="1"/>
  <c r="BC171" i="18" s="1"/>
  <c r="BD171" i="18" s="1"/>
  <c r="BE171" i="18" s="1"/>
  <c r="BF171" i="18" s="1"/>
  <c r="BG171" i="18" s="1"/>
  <c r="BH171" i="18" s="1"/>
  <c r="BI171" i="18" s="1"/>
  <c r="U482" i="18"/>
  <c r="U651" i="18"/>
  <c r="M13" i="24"/>
  <c r="N12" i="24"/>
  <c r="T534" i="18"/>
  <c r="S560" i="18"/>
  <c r="Y523" i="18"/>
  <c r="Z523" i="18" s="1"/>
  <c r="AA523" i="18" s="1"/>
  <c r="AB523" i="18" s="1"/>
  <c r="AC523" i="18" s="1"/>
  <c r="AD523" i="18" s="1"/>
  <c r="AE523" i="18" s="1"/>
  <c r="AF523" i="18" s="1"/>
  <c r="AG523" i="18" s="1"/>
  <c r="AH523" i="18" s="1"/>
  <c r="AI523" i="18" s="1"/>
  <c r="AJ523" i="18" s="1"/>
  <c r="AK523" i="18" s="1"/>
  <c r="AL523" i="18" s="1"/>
  <c r="AM523" i="18" s="1"/>
  <c r="AN523" i="18" s="1"/>
  <c r="AO523" i="18" s="1"/>
  <c r="AP523" i="18" s="1"/>
  <c r="AQ523" i="18" s="1"/>
  <c r="AR523" i="18" s="1"/>
  <c r="AS523" i="18" s="1"/>
  <c r="AT523" i="18" s="1"/>
  <c r="AU523" i="18" s="1"/>
  <c r="AV523" i="18" s="1"/>
  <c r="AW523" i="18" s="1"/>
  <c r="AX523" i="18" s="1"/>
  <c r="AY523" i="18" s="1"/>
  <c r="AZ523" i="18" s="1"/>
  <c r="BA523" i="18" s="1"/>
  <c r="BB523" i="18" s="1"/>
  <c r="BC523" i="18" s="1"/>
  <c r="BD523" i="18" s="1"/>
  <c r="BE523" i="18" s="1"/>
  <c r="BF523" i="18" s="1"/>
  <c r="BG523" i="18" s="1"/>
  <c r="BH523" i="18" s="1"/>
  <c r="BI523" i="18" s="1"/>
  <c r="X745" i="18"/>
  <c r="Y745" i="18" s="1"/>
  <c r="S254" i="18"/>
  <c r="T254" i="18" s="1"/>
  <c r="R463" i="18"/>
  <c r="P554" i="18"/>
  <c r="Q554" i="18" s="1"/>
  <c r="R554" i="18" s="1"/>
  <c r="AD514" i="18"/>
  <c r="T575" i="18"/>
  <c r="U575" i="18" s="1"/>
  <c r="V575" i="18" s="1"/>
  <c r="W575" i="18" s="1"/>
  <c r="X575" i="18" s="1"/>
  <c r="Y575" i="18" s="1"/>
  <c r="Z575" i="18" s="1"/>
  <c r="AA575" i="18" s="1"/>
  <c r="AB575" i="18" s="1"/>
  <c r="AC575" i="18" s="1"/>
  <c r="AD575" i="18" s="1"/>
  <c r="AE575" i="18" s="1"/>
  <c r="AF575" i="18" s="1"/>
  <c r="AG575" i="18" s="1"/>
  <c r="AH575" i="18" s="1"/>
  <c r="AI575" i="18" s="1"/>
  <c r="AJ575" i="18" s="1"/>
  <c r="AK575" i="18" s="1"/>
  <c r="AL575" i="18" s="1"/>
  <c r="AM575" i="18" s="1"/>
  <c r="AN575" i="18" s="1"/>
  <c r="AO575" i="18" s="1"/>
  <c r="AP575" i="18" s="1"/>
  <c r="AQ575" i="18" s="1"/>
  <c r="AR575" i="18" s="1"/>
  <c r="AS575" i="18" s="1"/>
  <c r="AT575" i="18" s="1"/>
  <c r="AU575" i="18" s="1"/>
  <c r="AV575" i="18" s="1"/>
  <c r="AW575" i="18" s="1"/>
  <c r="AX575" i="18" s="1"/>
  <c r="AY575" i="18" s="1"/>
  <c r="AZ575" i="18" s="1"/>
  <c r="BA575" i="18" s="1"/>
  <c r="BB575" i="18" s="1"/>
  <c r="BC575" i="18" s="1"/>
  <c r="BD575" i="18" s="1"/>
  <c r="BE575" i="18" s="1"/>
  <c r="BF575" i="18" s="1"/>
  <c r="T291" i="18"/>
  <c r="U291" i="18" s="1"/>
  <c r="R549" i="18"/>
  <c r="O739" i="18"/>
  <c r="P733" i="18"/>
  <c r="S772" i="18"/>
  <c r="T772" i="18" s="1"/>
  <c r="U772" i="18" s="1"/>
  <c r="V772" i="18" s="1"/>
  <c r="W772" i="18" s="1"/>
  <c r="X772" i="18" s="1"/>
  <c r="Y772" i="18" s="1"/>
  <c r="Z772" i="18" s="1"/>
  <c r="AA772" i="18" s="1"/>
  <c r="AB772" i="18" s="1"/>
  <c r="AC772" i="18" s="1"/>
  <c r="AD772" i="18" s="1"/>
  <c r="AE772" i="18" s="1"/>
  <c r="AF772" i="18" s="1"/>
  <c r="AG772" i="18" s="1"/>
  <c r="AH772" i="18" s="1"/>
  <c r="AI772" i="18" s="1"/>
  <c r="AJ772" i="18" s="1"/>
  <c r="AK772" i="18" s="1"/>
  <c r="AL772" i="18" s="1"/>
  <c r="AM772" i="18" s="1"/>
  <c r="AN772" i="18" s="1"/>
  <c r="AO772" i="18" s="1"/>
  <c r="AP772" i="18" s="1"/>
  <c r="AQ772" i="18" s="1"/>
  <c r="AR772" i="18" s="1"/>
  <c r="AS772" i="18" s="1"/>
  <c r="AT772" i="18" s="1"/>
  <c r="AU772" i="18" s="1"/>
  <c r="AV772" i="18" s="1"/>
  <c r="AW772" i="18" s="1"/>
  <c r="AX772" i="18" s="1"/>
  <c r="AY772" i="18" s="1"/>
  <c r="AZ772" i="18" s="1"/>
  <c r="BA772" i="18" s="1"/>
  <c r="BB772" i="18" s="1"/>
  <c r="BC772" i="18" s="1"/>
  <c r="BD772" i="18" s="1"/>
  <c r="BE772" i="18" s="1"/>
  <c r="BF772" i="18" s="1"/>
  <c r="BG772" i="18" s="1"/>
  <c r="BH772" i="18" s="1"/>
  <c r="BI772" i="18" s="1"/>
  <c r="BS107" i="7942"/>
  <c r="AK107" i="7942"/>
  <c r="U369" i="18"/>
  <c r="V369" i="18" s="1"/>
  <c r="W369" i="18" s="1"/>
  <c r="X369" i="18" s="1"/>
  <c r="S162" i="18"/>
  <c r="T162" i="18" s="1"/>
  <c r="U252" i="18"/>
  <c r="O583" i="18"/>
  <c r="P573" i="18"/>
  <c r="V123" i="18"/>
  <c r="W123" i="18" s="1"/>
  <c r="X123" i="18" s="1"/>
  <c r="R833" i="18"/>
  <c r="Q358" i="18"/>
  <c r="R358" i="18" s="1"/>
  <c r="T409" i="18"/>
  <c r="U409" i="18" s="1"/>
  <c r="V409" i="18" s="1"/>
  <c r="W409" i="18" s="1"/>
  <c r="X409" i="18" s="1"/>
  <c r="Y409" i="18" s="1"/>
  <c r="Z409" i="18" s="1"/>
  <c r="AA409" i="18" s="1"/>
  <c r="AB409" i="18" s="1"/>
  <c r="AC409" i="18" s="1"/>
  <c r="AD409" i="18" s="1"/>
  <c r="AE409" i="18" s="1"/>
  <c r="AF409" i="18" s="1"/>
  <c r="AG409" i="18" s="1"/>
  <c r="AH409" i="18" s="1"/>
  <c r="AI409" i="18" s="1"/>
  <c r="AJ409" i="18" s="1"/>
  <c r="AK409" i="18" s="1"/>
  <c r="AL409" i="18" s="1"/>
  <c r="AM409" i="18" s="1"/>
  <c r="AN409" i="18" s="1"/>
  <c r="AO409" i="18" s="1"/>
  <c r="AP409" i="18" s="1"/>
  <c r="AQ409" i="18" s="1"/>
  <c r="AR409" i="18" s="1"/>
  <c r="AS409" i="18" s="1"/>
  <c r="AT409" i="18" s="1"/>
  <c r="AU409" i="18" s="1"/>
  <c r="AV409" i="18" s="1"/>
  <c r="AW409" i="18" s="1"/>
  <c r="AX409" i="18" s="1"/>
  <c r="AY409" i="18" s="1"/>
  <c r="AZ409" i="18" s="1"/>
  <c r="BA409" i="18" s="1"/>
  <c r="BB409" i="18" s="1"/>
  <c r="BC409" i="18" s="1"/>
  <c r="BD409" i="18" s="1"/>
  <c r="BE409" i="18" s="1"/>
  <c r="BF409" i="18" s="1"/>
  <c r="BG409" i="18" s="1"/>
  <c r="BH409" i="18" s="1"/>
  <c r="BI409" i="18" s="1"/>
  <c r="V537" i="18"/>
  <c r="AI508" i="18"/>
  <c r="S757" i="18"/>
  <c r="T757" i="18" s="1"/>
  <c r="U757" i="18" s="1"/>
  <c r="V757" i="18" s="1"/>
  <c r="W757" i="18" s="1"/>
  <c r="X757" i="18" s="1"/>
  <c r="Y757" i="18" s="1"/>
  <c r="Z757" i="18" s="1"/>
  <c r="AA757" i="18" s="1"/>
  <c r="AB757" i="18" s="1"/>
  <c r="AC757" i="18" s="1"/>
  <c r="AD757" i="18" s="1"/>
  <c r="AE757" i="18" s="1"/>
  <c r="AF757" i="18" s="1"/>
  <c r="AG757" i="18" s="1"/>
  <c r="AH757" i="18" s="1"/>
  <c r="AI757" i="18" s="1"/>
  <c r="AJ757" i="18" s="1"/>
  <c r="AK757" i="18" s="1"/>
  <c r="AL757" i="18" s="1"/>
  <c r="AM757" i="18" s="1"/>
  <c r="AN757" i="18" s="1"/>
  <c r="AO757" i="18" s="1"/>
  <c r="AP757" i="18" s="1"/>
  <c r="AQ757" i="18" s="1"/>
  <c r="AR757" i="18" s="1"/>
  <c r="AS757" i="18" s="1"/>
  <c r="AT757" i="18" s="1"/>
  <c r="AU757" i="18" s="1"/>
  <c r="AV757" i="18" s="1"/>
  <c r="AW757" i="18" s="1"/>
  <c r="AX757" i="18" s="1"/>
  <c r="AY757" i="18" s="1"/>
  <c r="AZ757" i="18" s="1"/>
  <c r="BA757" i="18" s="1"/>
  <c r="BB757" i="18" s="1"/>
  <c r="BC757" i="18" s="1"/>
  <c r="BD757" i="18" s="1"/>
  <c r="BE757" i="18" s="1"/>
  <c r="BF757" i="18" s="1"/>
  <c r="BG757" i="18" s="1"/>
  <c r="BH757" i="18" s="1"/>
  <c r="BI757" i="18" s="1"/>
  <c r="P749" i="18"/>
  <c r="Q749" i="18" s="1"/>
  <c r="O752" i="18"/>
  <c r="Q593" i="18"/>
  <c r="P619" i="18"/>
  <c r="Q619" i="18" s="1"/>
  <c r="O622" i="18"/>
  <c r="S734" i="18"/>
  <c r="T734" i="18" s="1"/>
  <c r="S695" i="18"/>
  <c r="T695" i="18" s="1"/>
  <c r="U695" i="18" s="1"/>
  <c r="V695" i="18" s="1"/>
  <c r="R746" i="18"/>
  <c r="S746" i="18" s="1"/>
  <c r="T746" i="18" s="1"/>
  <c r="U746" i="18" s="1"/>
  <c r="V746" i="18" s="1"/>
  <c r="Q228" i="18"/>
  <c r="R228" i="18" s="1"/>
  <c r="N41" i="18"/>
  <c r="N91" i="7946"/>
  <c r="O66" i="7946"/>
  <c r="CO107" i="7942"/>
  <c r="T782" i="18"/>
  <c r="Q125" i="18"/>
  <c r="R125" i="18" s="1"/>
  <c r="U329" i="18"/>
  <c r="V329" i="18" s="1"/>
  <c r="W329" i="18" s="1"/>
  <c r="X329" i="18" s="1"/>
  <c r="R586" i="18"/>
  <c r="R538" i="18"/>
  <c r="S538" i="18" s="1"/>
  <c r="P361" i="18"/>
  <c r="Q351" i="18"/>
  <c r="U705" i="18"/>
  <c r="S591" i="18"/>
  <c r="T591" i="18" s="1"/>
  <c r="N70" i="7946"/>
  <c r="N95" i="7946" s="1"/>
  <c r="M95" i="7946"/>
  <c r="W344" i="18"/>
  <c r="X344" i="18" s="1"/>
  <c r="Y344" i="18" s="1"/>
  <c r="Z344" i="18" s="1"/>
  <c r="AA344" i="18" s="1"/>
  <c r="AB344" i="18" s="1"/>
  <c r="AC344" i="18" s="1"/>
  <c r="AD344" i="18" s="1"/>
  <c r="AE344" i="18" s="1"/>
  <c r="AF344" i="18" s="1"/>
  <c r="AG344" i="18" s="1"/>
  <c r="AH344" i="18" s="1"/>
  <c r="AI344" i="18" s="1"/>
  <c r="AJ344" i="18" s="1"/>
  <c r="AK344" i="18" s="1"/>
  <c r="AL344" i="18" s="1"/>
  <c r="AM344" i="18" s="1"/>
  <c r="AN344" i="18" s="1"/>
  <c r="AO344" i="18" s="1"/>
  <c r="AP344" i="18" s="1"/>
  <c r="AQ344" i="18" s="1"/>
  <c r="AR344" i="18" s="1"/>
  <c r="AS344" i="18" s="1"/>
  <c r="AT344" i="18" s="1"/>
  <c r="AU344" i="18" s="1"/>
  <c r="AV344" i="18" s="1"/>
  <c r="AW344" i="18" s="1"/>
  <c r="AX344" i="18" s="1"/>
  <c r="AY344" i="18" s="1"/>
  <c r="AZ344" i="18" s="1"/>
  <c r="BA344" i="18" s="1"/>
  <c r="BB344" i="18" s="1"/>
  <c r="BC344" i="18" s="1"/>
  <c r="BD344" i="18" s="1"/>
  <c r="BE344" i="18" s="1"/>
  <c r="BF344" i="18" s="1"/>
  <c r="BG344" i="18" s="1"/>
  <c r="BH344" i="18" s="1"/>
  <c r="BI344" i="18" s="1"/>
  <c r="AF500" i="18"/>
  <c r="U770" i="18"/>
  <c r="V770" i="18" s="1"/>
  <c r="W770" i="18" s="1"/>
  <c r="S315" i="18"/>
  <c r="T315" i="18" s="1"/>
  <c r="U315" i="18" s="1"/>
  <c r="V315" i="18" s="1"/>
  <c r="W315" i="18" s="1"/>
  <c r="X315" i="18" s="1"/>
  <c r="Y315" i="18" s="1"/>
  <c r="Z315" i="18" s="1"/>
  <c r="AA315" i="18" s="1"/>
  <c r="AB315" i="18" s="1"/>
  <c r="AC315" i="18" s="1"/>
  <c r="AD315" i="18" s="1"/>
  <c r="AE315" i="18" s="1"/>
  <c r="AF315" i="18" s="1"/>
  <c r="AG315" i="18" s="1"/>
  <c r="AH315" i="18" s="1"/>
  <c r="AI315" i="18" s="1"/>
  <c r="AJ315" i="18" s="1"/>
  <c r="AK315" i="18" s="1"/>
  <c r="AL315" i="18" s="1"/>
  <c r="AM315" i="18" s="1"/>
  <c r="AN315" i="18" s="1"/>
  <c r="AO315" i="18" s="1"/>
  <c r="AP315" i="18" s="1"/>
  <c r="AQ315" i="18" s="1"/>
  <c r="AR315" i="18" s="1"/>
  <c r="AS315" i="18" s="1"/>
  <c r="AT315" i="18" s="1"/>
  <c r="AU315" i="18" s="1"/>
  <c r="AV315" i="18" s="1"/>
  <c r="AW315" i="18" s="1"/>
  <c r="AX315" i="18" s="1"/>
  <c r="AY315" i="18" s="1"/>
  <c r="AZ315" i="18" s="1"/>
  <c r="BA315" i="18" s="1"/>
  <c r="BB315" i="18" s="1"/>
  <c r="BC315" i="18" s="1"/>
  <c r="BD315" i="18" s="1"/>
  <c r="BE315" i="18" s="1"/>
  <c r="BF315" i="18" s="1"/>
  <c r="BG315" i="18" s="1"/>
  <c r="BH315" i="18" s="1"/>
  <c r="BI315" i="18" s="1"/>
  <c r="Y691" i="18"/>
  <c r="Z691" i="18" s="1"/>
  <c r="AA691" i="18" s="1"/>
  <c r="AB691" i="18" s="1"/>
  <c r="AC691" i="18" s="1"/>
  <c r="AD691" i="18" s="1"/>
  <c r="AE691" i="18" s="1"/>
  <c r="AF691" i="18" s="1"/>
  <c r="AG691" i="18" s="1"/>
  <c r="AH691" i="18" s="1"/>
  <c r="AI691" i="18" s="1"/>
  <c r="AJ691" i="18" s="1"/>
  <c r="AK691" i="18" s="1"/>
  <c r="AL691" i="18" s="1"/>
  <c r="AM691" i="18" s="1"/>
  <c r="AN691" i="18" s="1"/>
  <c r="AO691" i="18" s="1"/>
  <c r="AP691" i="18" s="1"/>
  <c r="AQ691" i="18" s="1"/>
  <c r="AR691" i="18" s="1"/>
  <c r="AS691" i="18" s="1"/>
  <c r="AT691" i="18" s="1"/>
  <c r="AU691" i="18" s="1"/>
  <c r="AV691" i="18" s="1"/>
  <c r="AW691" i="18" s="1"/>
  <c r="AX691" i="18" s="1"/>
  <c r="AY691" i="18" s="1"/>
  <c r="AZ691" i="18" s="1"/>
  <c r="BA691" i="18" s="1"/>
  <c r="BB691" i="18" s="1"/>
  <c r="BC691" i="18" s="1"/>
  <c r="BD691" i="18" s="1"/>
  <c r="BE691" i="18" s="1"/>
  <c r="BF691" i="18" s="1"/>
  <c r="BG691" i="18" s="1"/>
  <c r="BH691" i="18" s="1"/>
  <c r="BI691" i="18" s="1"/>
  <c r="R124" i="18"/>
  <c r="S124" i="18" s="1"/>
  <c r="S643" i="18"/>
  <c r="T643" i="18" s="1"/>
  <c r="U643" i="18" s="1"/>
  <c r="AT109" i="18"/>
  <c r="AU109" i="18" s="1"/>
  <c r="AV109" i="18" s="1"/>
  <c r="AW109" i="18" s="1"/>
  <c r="AX109" i="18" s="1"/>
  <c r="AY109" i="18" s="1"/>
  <c r="AZ109" i="18" s="1"/>
  <c r="BA109" i="18" s="1"/>
  <c r="BB109" i="18" s="1"/>
  <c r="BC109" i="18" s="1"/>
  <c r="BD109" i="18" s="1"/>
  <c r="BE109" i="18" s="1"/>
  <c r="BF109" i="18" s="1"/>
  <c r="BG109" i="18" s="1"/>
  <c r="BH109" i="18" s="1"/>
  <c r="BI109" i="18" s="1"/>
  <c r="Q121" i="18"/>
  <c r="R121" i="18" s="1"/>
  <c r="S121" i="18" s="1"/>
  <c r="T121" i="18" s="1"/>
  <c r="U121" i="18" s="1"/>
  <c r="V121" i="18" s="1"/>
  <c r="W121" i="18" s="1"/>
  <c r="X121" i="18" s="1"/>
  <c r="Y121" i="18" s="1"/>
  <c r="Z121" i="18" s="1"/>
  <c r="AA121" i="18" s="1"/>
  <c r="AB121" i="18" s="1"/>
  <c r="AC121" i="18" s="1"/>
  <c r="AD121" i="18" s="1"/>
  <c r="AE121" i="18" s="1"/>
  <c r="AF121" i="18" s="1"/>
  <c r="AG121" i="18" s="1"/>
  <c r="AH121" i="18" s="1"/>
  <c r="AI121" i="18" s="1"/>
  <c r="AJ121" i="18" s="1"/>
  <c r="AK121" i="18" s="1"/>
  <c r="AL121" i="18" s="1"/>
  <c r="AM121" i="18" s="1"/>
  <c r="AN121" i="18" s="1"/>
  <c r="AO121" i="18" s="1"/>
  <c r="AP121" i="18" s="1"/>
  <c r="AQ121" i="18" s="1"/>
  <c r="AR121" i="18" s="1"/>
  <c r="AS121" i="18" s="1"/>
  <c r="AT121" i="18" s="1"/>
  <c r="AU121" i="18" s="1"/>
  <c r="AV121" i="18" s="1"/>
  <c r="AW121" i="18" s="1"/>
  <c r="AX121" i="18" s="1"/>
  <c r="AY121" i="18" s="1"/>
  <c r="AZ121" i="18" s="1"/>
  <c r="BA121" i="18" s="1"/>
  <c r="BB121" i="18" s="1"/>
  <c r="BC121" i="18" s="1"/>
  <c r="BD121" i="18" s="1"/>
  <c r="BE121" i="18" s="1"/>
  <c r="BF121" i="18" s="1"/>
  <c r="BG121" i="18" s="1"/>
  <c r="BH121" i="18" s="1"/>
  <c r="BI121" i="18" s="1"/>
  <c r="T576" i="18"/>
  <c r="U576" i="18" s="1"/>
  <c r="V576" i="18" s="1"/>
  <c r="W576" i="18" s="1"/>
  <c r="X576" i="18" s="1"/>
  <c r="S462" i="18"/>
  <c r="T462" i="18" s="1"/>
  <c r="AM407" i="18"/>
  <c r="AN407" i="18" s="1"/>
  <c r="AO407" i="18" s="1"/>
  <c r="AP407" i="18" s="1"/>
  <c r="AQ407" i="18" s="1"/>
  <c r="AR407" i="18" s="1"/>
  <c r="AS407" i="18" s="1"/>
  <c r="AT407" i="18" s="1"/>
  <c r="AU407" i="18" s="1"/>
  <c r="AV407" i="18" s="1"/>
  <c r="AW407" i="18" s="1"/>
  <c r="AX407" i="18" s="1"/>
  <c r="AY407" i="18" s="1"/>
  <c r="AZ407" i="18" s="1"/>
  <c r="BA407" i="18" s="1"/>
  <c r="BB407" i="18" s="1"/>
  <c r="BC407" i="18" s="1"/>
  <c r="BD407" i="18" s="1"/>
  <c r="BE407" i="18" s="1"/>
  <c r="BF407" i="18" s="1"/>
  <c r="BG407" i="18" s="1"/>
  <c r="BH407" i="18" s="1"/>
  <c r="BI407" i="18" s="1"/>
  <c r="N44" i="7946"/>
  <c r="N63" i="7946"/>
  <c r="N88" i="7946" s="1"/>
  <c r="S214" i="18"/>
  <c r="T214" i="18" s="1"/>
  <c r="U214" i="18" s="1"/>
  <c r="V214" i="18" s="1"/>
  <c r="R117" i="18"/>
  <c r="S563" i="18"/>
  <c r="Q859" i="18"/>
  <c r="CN107" i="7942"/>
  <c r="Z822" i="18"/>
  <c r="AA822" i="18" s="1"/>
  <c r="AB822" i="18" s="1"/>
  <c r="AC822" i="18" s="1"/>
  <c r="AD822" i="18" s="1"/>
  <c r="AE822" i="18" s="1"/>
  <c r="AF822" i="18" s="1"/>
  <c r="AG822" i="18" s="1"/>
  <c r="AH822" i="18" s="1"/>
  <c r="AI822" i="18" s="1"/>
  <c r="AJ822" i="18" s="1"/>
  <c r="AK822" i="18" s="1"/>
  <c r="AL822" i="18" s="1"/>
  <c r="AM822" i="18" s="1"/>
  <c r="AN822" i="18" s="1"/>
  <c r="AO822" i="18" s="1"/>
  <c r="AP822" i="18" s="1"/>
  <c r="AQ822" i="18" s="1"/>
  <c r="AR822" i="18" s="1"/>
  <c r="AS822" i="18" s="1"/>
  <c r="AT822" i="18" s="1"/>
  <c r="AU822" i="18" s="1"/>
  <c r="AV822" i="18" s="1"/>
  <c r="AW822" i="18" s="1"/>
  <c r="AX822" i="18" s="1"/>
  <c r="AY822" i="18" s="1"/>
  <c r="AZ822" i="18" s="1"/>
  <c r="BA822" i="18" s="1"/>
  <c r="BB822" i="18" s="1"/>
  <c r="BC822" i="18" s="1"/>
  <c r="BD822" i="18" s="1"/>
  <c r="BE822" i="18" s="1"/>
  <c r="BF822" i="18" s="1"/>
  <c r="BG822" i="18" s="1"/>
  <c r="BH822" i="18" s="1"/>
  <c r="BI822" i="18" s="1"/>
  <c r="T292" i="18"/>
  <c r="AJ122" i="18"/>
  <c r="AK122" i="18" s="1"/>
  <c r="AL122" i="18" s="1"/>
  <c r="AM122" i="18" s="1"/>
  <c r="AN122" i="18" s="1"/>
  <c r="AO122" i="18" s="1"/>
  <c r="AP122" i="18" s="1"/>
  <c r="AQ122" i="18" s="1"/>
  <c r="AR122" i="18" s="1"/>
  <c r="AS122" i="18" s="1"/>
  <c r="AT122" i="18" s="1"/>
  <c r="AU122" i="18" s="1"/>
  <c r="AV122" i="18" s="1"/>
  <c r="AW122" i="18" s="1"/>
  <c r="AX122" i="18" s="1"/>
  <c r="AY122" i="18" s="1"/>
  <c r="AZ122" i="18" s="1"/>
  <c r="BA122" i="18" s="1"/>
  <c r="BB122" i="18" s="1"/>
  <c r="BC122" i="18" s="1"/>
  <c r="BD122" i="18" s="1"/>
  <c r="BE122" i="18" s="1"/>
  <c r="BF122" i="18" s="1"/>
  <c r="BG122" i="18" s="1"/>
  <c r="BH122" i="18" s="1"/>
  <c r="BI122" i="18" s="1"/>
  <c r="L32" i="7945"/>
  <c r="M8" i="7945"/>
  <c r="N8" i="7945" s="1"/>
  <c r="N32" i="7945" s="1"/>
  <c r="R354" i="18"/>
  <c r="S354" i="18" s="1"/>
  <c r="R641" i="18"/>
  <c r="Q864" i="18"/>
  <c r="T161" i="18"/>
  <c r="U325" i="18"/>
  <c r="Q461" i="18"/>
  <c r="V305" i="18"/>
  <c r="P452" i="18"/>
  <c r="O452" i="18"/>
  <c r="R442" i="18"/>
  <c r="N7" i="7942"/>
  <c r="R187" i="18"/>
  <c r="S849" i="18"/>
  <c r="R521" i="18"/>
  <c r="R280" i="18"/>
  <c r="Q450" i="18"/>
  <c r="R294" i="18"/>
  <c r="S294" i="18" s="1"/>
  <c r="R345" i="18"/>
  <c r="W638" i="18"/>
  <c r="X638" i="18" s="1"/>
  <c r="Q840" i="18"/>
  <c r="R840" i="18" s="1"/>
  <c r="O687" i="18"/>
  <c r="P684" i="18"/>
  <c r="P541" i="18"/>
  <c r="O544" i="18"/>
  <c r="P567" i="18"/>
  <c r="R332" i="18"/>
  <c r="V783" i="18"/>
  <c r="W783" i="18" s="1"/>
  <c r="S238" i="18"/>
  <c r="T238" i="18" s="1"/>
  <c r="U238" i="18" s="1"/>
  <c r="V238" i="18" s="1"/>
  <c r="R729" i="18"/>
  <c r="Q578" i="18"/>
  <c r="R578" i="18" s="1"/>
  <c r="S578" i="18" s="1"/>
  <c r="X612" i="18"/>
  <c r="T677" i="18"/>
  <c r="T390" i="18"/>
  <c r="S640" i="18"/>
  <c r="P431" i="18"/>
  <c r="Q431" i="18" s="1"/>
  <c r="R431" i="18" s="1"/>
  <c r="S431" i="18" s="1"/>
  <c r="T431" i="18" s="1"/>
  <c r="U431" i="18" s="1"/>
  <c r="V431" i="18" s="1"/>
  <c r="W431" i="18" s="1"/>
  <c r="X431" i="18" s="1"/>
  <c r="Y431" i="18" s="1"/>
  <c r="Z431" i="18" s="1"/>
  <c r="AA431" i="18" s="1"/>
  <c r="AB431" i="18" s="1"/>
  <c r="AC431" i="18" s="1"/>
  <c r="AD431" i="18" s="1"/>
  <c r="AE431" i="18" s="1"/>
  <c r="AF431" i="18" s="1"/>
  <c r="AG431" i="18" s="1"/>
  <c r="AH431" i="18" s="1"/>
  <c r="AI431" i="18" s="1"/>
  <c r="AJ431" i="18" s="1"/>
  <c r="AK431" i="18" s="1"/>
  <c r="AL431" i="18" s="1"/>
  <c r="AM431" i="18" s="1"/>
  <c r="AN431" i="18" s="1"/>
  <c r="AO431" i="18" s="1"/>
  <c r="AP431" i="18" s="1"/>
  <c r="AQ431" i="18" s="1"/>
  <c r="AR431" i="18" s="1"/>
  <c r="AS431" i="18" s="1"/>
  <c r="AT431" i="18" s="1"/>
  <c r="AU431" i="18" s="1"/>
  <c r="AV431" i="18" s="1"/>
  <c r="AW431" i="18" s="1"/>
  <c r="AX431" i="18" s="1"/>
  <c r="AY431" i="18" s="1"/>
  <c r="AZ431" i="18" s="1"/>
  <c r="BA431" i="18" s="1"/>
  <c r="BB431" i="18" s="1"/>
  <c r="BC431" i="18" s="1"/>
  <c r="BD431" i="18" s="1"/>
  <c r="BE431" i="18" s="1"/>
  <c r="BF431" i="18" s="1"/>
  <c r="BG431" i="18" s="1"/>
  <c r="BH431" i="18" s="1"/>
  <c r="BI431" i="18" s="1"/>
  <c r="O439" i="18"/>
  <c r="O21" i="7946"/>
  <c r="O21" i="7945"/>
  <c r="S143" i="18"/>
  <c r="N49" i="24"/>
  <c r="N41" i="24"/>
  <c r="O7" i="24"/>
  <c r="N40" i="24"/>
  <c r="N32" i="24"/>
  <c r="N163" i="24" s="1"/>
  <c r="V147" i="18"/>
  <c r="W147" i="18" s="1"/>
  <c r="X147" i="18" s="1"/>
  <c r="AA107" i="7942"/>
  <c r="AR99" i="18"/>
  <c r="S437" i="18"/>
  <c r="T437" i="18" s="1"/>
  <c r="Q307" i="18"/>
  <c r="T405" i="18"/>
  <c r="U405" i="18" s="1"/>
  <c r="V405" i="18" s="1"/>
  <c r="W405" i="18" s="1"/>
  <c r="X405" i="18" s="1"/>
  <c r="Y405" i="18" s="1"/>
  <c r="Z405" i="18" s="1"/>
  <c r="AA405" i="18" s="1"/>
  <c r="AB405" i="18" s="1"/>
  <c r="AC405" i="18" s="1"/>
  <c r="AD405" i="18" s="1"/>
  <c r="AE405" i="18" s="1"/>
  <c r="AF405" i="18" s="1"/>
  <c r="AG405" i="18" s="1"/>
  <c r="AH405" i="18" s="1"/>
  <c r="AI405" i="18" s="1"/>
  <c r="AJ405" i="18" s="1"/>
  <c r="AK405" i="18" s="1"/>
  <c r="AL405" i="18" s="1"/>
  <c r="AM405" i="18" s="1"/>
  <c r="AN405" i="18" s="1"/>
  <c r="AO405" i="18" s="1"/>
  <c r="AP405" i="18" s="1"/>
  <c r="AQ405" i="18" s="1"/>
  <c r="AR405" i="18" s="1"/>
  <c r="AS405" i="18" s="1"/>
  <c r="AT405" i="18" s="1"/>
  <c r="AU405" i="18" s="1"/>
  <c r="AV405" i="18" s="1"/>
  <c r="AW405" i="18" s="1"/>
  <c r="AX405" i="18" s="1"/>
  <c r="AY405" i="18" s="1"/>
  <c r="AZ405" i="18" s="1"/>
  <c r="BA405" i="18" s="1"/>
  <c r="BB405" i="18" s="1"/>
  <c r="BC405" i="18" s="1"/>
  <c r="BD405" i="18" s="1"/>
  <c r="BE405" i="18" s="1"/>
  <c r="BF405" i="18" s="1"/>
  <c r="BG405" i="18" s="1"/>
  <c r="BH405" i="18" s="1"/>
  <c r="BI405" i="18" s="1"/>
  <c r="R836" i="18"/>
  <c r="S707" i="18"/>
  <c r="T707" i="18" s="1"/>
  <c r="R762" i="18"/>
  <c r="S762" i="18" s="1"/>
  <c r="T762" i="18" s="1"/>
  <c r="M64" i="7946"/>
  <c r="N64" i="7946" s="1"/>
  <c r="O64" i="7946" s="1"/>
  <c r="P64" i="7946" s="1"/>
  <c r="AS110" i="18"/>
  <c r="AT110" i="18" s="1"/>
  <c r="V565" i="18"/>
  <c r="W565" i="18" s="1"/>
  <c r="O557" i="18"/>
  <c r="S447" i="18"/>
  <c r="T447" i="18" s="1"/>
  <c r="U447" i="18" s="1"/>
  <c r="V447" i="18" s="1"/>
  <c r="AF513" i="18"/>
  <c r="AG513" i="18" s="1"/>
  <c r="R810" i="18"/>
  <c r="Q811" i="18"/>
  <c r="S331" i="18"/>
  <c r="T331" i="18" s="1"/>
  <c r="U331" i="18" s="1"/>
  <c r="V331" i="18" s="1"/>
  <c r="M71" i="7946"/>
  <c r="N71" i="7946" s="1"/>
  <c r="O71" i="7946" s="1"/>
  <c r="P71" i="7946" s="1"/>
  <c r="S436" i="18"/>
  <c r="T422" i="18"/>
  <c r="U422" i="18" s="1"/>
  <c r="V422" i="18" s="1"/>
  <c r="W422" i="18" s="1"/>
  <c r="T420" i="18"/>
  <c r="U420" i="18" s="1"/>
  <c r="V420" i="18" s="1"/>
  <c r="W420" i="18" s="1"/>
  <c r="X420" i="18" s="1"/>
  <c r="Y420" i="18" s="1"/>
  <c r="Z420" i="18" s="1"/>
  <c r="AA420" i="18" s="1"/>
  <c r="AB420" i="18" s="1"/>
  <c r="AC420" i="18" s="1"/>
  <c r="AD420" i="18" s="1"/>
  <c r="AE420" i="18" s="1"/>
  <c r="AF420" i="18" s="1"/>
  <c r="AG420" i="18" s="1"/>
  <c r="AH420" i="18" s="1"/>
  <c r="AI420" i="18" s="1"/>
  <c r="AJ420" i="18" s="1"/>
  <c r="AK420" i="18" s="1"/>
  <c r="AL420" i="18" s="1"/>
  <c r="AM420" i="18" s="1"/>
  <c r="AN420" i="18" s="1"/>
  <c r="AO420" i="18" s="1"/>
  <c r="AP420" i="18" s="1"/>
  <c r="AQ420" i="18" s="1"/>
  <c r="AR420" i="18" s="1"/>
  <c r="AS420" i="18" s="1"/>
  <c r="AT420" i="18" s="1"/>
  <c r="AU420" i="18" s="1"/>
  <c r="AV420" i="18" s="1"/>
  <c r="AW420" i="18" s="1"/>
  <c r="AX420" i="18" s="1"/>
  <c r="AY420" i="18" s="1"/>
  <c r="AZ420" i="18" s="1"/>
  <c r="BA420" i="18" s="1"/>
  <c r="BB420" i="18" s="1"/>
  <c r="BC420" i="18" s="1"/>
  <c r="BD420" i="18" s="1"/>
  <c r="BE420" i="18" s="1"/>
  <c r="BF420" i="18" s="1"/>
  <c r="BG420" i="18" s="1"/>
  <c r="BH420" i="18" s="1"/>
  <c r="BI420" i="18" s="1"/>
  <c r="P273" i="18"/>
  <c r="O283" i="18"/>
  <c r="S247" i="18"/>
  <c r="U215" i="18"/>
  <c r="AR111" i="18"/>
  <c r="AR112" i="18"/>
  <c r="Q138" i="18"/>
  <c r="R138" i="18" s="1"/>
  <c r="R255" i="18"/>
  <c r="Q216" i="18"/>
  <c r="Q229" i="18"/>
  <c r="S346" i="18"/>
  <c r="T346" i="18" s="1"/>
  <c r="R203" i="18"/>
  <c r="Q242" i="18"/>
  <c r="R242" i="18" s="1"/>
  <c r="S242" i="18" s="1"/>
  <c r="CC107" i="7942"/>
  <c r="P218" i="18"/>
  <c r="Q211" i="18"/>
  <c r="P655" i="18"/>
  <c r="O661" i="18"/>
  <c r="T794" i="18"/>
  <c r="P839" i="18"/>
  <c r="O843" i="18"/>
  <c r="AD512" i="18"/>
  <c r="AE512" i="18" s="1"/>
  <c r="AF512" i="18" s="1"/>
  <c r="S748" i="18"/>
  <c r="N231" i="18"/>
  <c r="L67" i="7946"/>
  <c r="M67" i="7946" s="1"/>
  <c r="N67" i="7946" s="1"/>
  <c r="O67" i="7946" s="1"/>
  <c r="AG511" i="18"/>
  <c r="S807" i="18"/>
  <c r="W547" i="18"/>
  <c r="O221" i="18"/>
  <c r="S136" i="18"/>
  <c r="U703" i="18"/>
  <c r="Z107" i="7942"/>
  <c r="R423" i="18"/>
  <c r="O107" i="7942"/>
  <c r="T364" i="18"/>
  <c r="Q319" i="18"/>
  <c r="V189" i="18"/>
  <c r="W189" i="18" s="1"/>
  <c r="Q177" i="18"/>
  <c r="AR86" i="18"/>
  <c r="CD107" i="7942"/>
  <c r="T759" i="18"/>
  <c r="T669" i="18"/>
  <c r="U368" i="18"/>
  <c r="V368" i="18" s="1"/>
  <c r="W368" i="18" s="1"/>
  <c r="X368" i="18" s="1"/>
  <c r="Y368" i="18" s="1"/>
  <c r="Z368" i="18" s="1"/>
  <c r="AA368" i="18" s="1"/>
  <c r="AB368" i="18" s="1"/>
  <c r="AC368" i="18" s="1"/>
  <c r="AD368" i="18" s="1"/>
  <c r="AE368" i="18" s="1"/>
  <c r="AF368" i="18" s="1"/>
  <c r="AG368" i="18" s="1"/>
  <c r="AH368" i="18" s="1"/>
  <c r="AI368" i="18" s="1"/>
  <c r="AJ368" i="18" s="1"/>
  <c r="AK368" i="18" s="1"/>
  <c r="AL368" i="18" s="1"/>
  <c r="AM368" i="18" s="1"/>
  <c r="AN368" i="18" s="1"/>
  <c r="AO368" i="18" s="1"/>
  <c r="AP368" i="18" s="1"/>
  <c r="AQ368" i="18" s="1"/>
  <c r="AR368" i="18" s="1"/>
  <c r="AS368" i="18" s="1"/>
  <c r="AT368" i="18" s="1"/>
  <c r="AU368" i="18" s="1"/>
  <c r="AV368" i="18" s="1"/>
  <c r="AW368" i="18" s="1"/>
  <c r="AX368" i="18" s="1"/>
  <c r="AY368" i="18" s="1"/>
  <c r="AZ368" i="18" s="1"/>
  <c r="BA368" i="18" s="1"/>
  <c r="BB368" i="18" s="1"/>
  <c r="BC368" i="18" s="1"/>
  <c r="BD368" i="18" s="1"/>
  <c r="BE368" i="18" s="1"/>
  <c r="BF368" i="18" s="1"/>
  <c r="BG368" i="18" s="1"/>
  <c r="BH368" i="18" s="1"/>
  <c r="BI368" i="18" s="1"/>
  <c r="Y731" i="18"/>
  <c r="Z731" i="18" s="1"/>
  <c r="AA731" i="18" s="1"/>
  <c r="AB731" i="18" s="1"/>
  <c r="AC731" i="18" s="1"/>
  <c r="AD731" i="18" s="1"/>
  <c r="AE731" i="18" s="1"/>
  <c r="AF731" i="18" s="1"/>
  <c r="AG731" i="18" s="1"/>
  <c r="AH731" i="18" s="1"/>
  <c r="AI731" i="18" s="1"/>
  <c r="AJ731" i="18" s="1"/>
  <c r="AK731" i="18" s="1"/>
  <c r="AL731" i="18" s="1"/>
  <c r="AM731" i="18" s="1"/>
  <c r="AN731" i="18" s="1"/>
  <c r="AO731" i="18" s="1"/>
  <c r="AP731" i="18" s="1"/>
  <c r="AQ731" i="18" s="1"/>
  <c r="AR731" i="18" s="1"/>
  <c r="AS731" i="18" s="1"/>
  <c r="AT731" i="18" s="1"/>
  <c r="AU731" i="18" s="1"/>
  <c r="AV731" i="18" s="1"/>
  <c r="AW731" i="18" s="1"/>
  <c r="AX731" i="18" s="1"/>
  <c r="AY731" i="18" s="1"/>
  <c r="AZ731" i="18" s="1"/>
  <c r="BA731" i="18" s="1"/>
  <c r="BB731" i="18" s="1"/>
  <c r="BC731" i="18" s="1"/>
  <c r="BD731" i="18" s="1"/>
  <c r="BE731" i="18" s="1"/>
  <c r="BF731" i="18" s="1"/>
  <c r="BG731" i="18" s="1"/>
  <c r="BH731" i="18" s="1"/>
  <c r="BI731" i="18" s="1"/>
  <c r="Q488" i="18"/>
  <c r="R488" i="18" s="1"/>
  <c r="S812" i="18"/>
  <c r="T812" i="18" s="1"/>
  <c r="T747" i="18"/>
  <c r="Q564" i="18"/>
  <c r="R564" i="18" s="1"/>
  <c r="S564" i="18" s="1"/>
  <c r="S735" i="18"/>
  <c r="O309" i="18"/>
  <c r="S773" i="18"/>
  <c r="P670" i="18"/>
  <c r="R343" i="18"/>
  <c r="P851" i="18"/>
  <c r="P813" i="18"/>
  <c r="Q813" i="18" s="1"/>
  <c r="W577" i="18"/>
  <c r="X577" i="18" s="1"/>
  <c r="Y577" i="18" s="1"/>
  <c r="Z577" i="18" s="1"/>
  <c r="AA577" i="18" s="1"/>
  <c r="AB577" i="18" s="1"/>
  <c r="AC577" i="18" s="1"/>
  <c r="AD577" i="18" s="1"/>
  <c r="AE577" i="18" s="1"/>
  <c r="AF577" i="18" s="1"/>
  <c r="AG577" i="18" s="1"/>
  <c r="AH577" i="18" s="1"/>
  <c r="AI577" i="18" s="1"/>
  <c r="AJ577" i="18" s="1"/>
  <c r="AK577" i="18" s="1"/>
  <c r="AL577" i="18" s="1"/>
  <c r="AM577" i="18" s="1"/>
  <c r="AN577" i="18" s="1"/>
  <c r="AO577" i="18" s="1"/>
  <c r="AP577" i="18" s="1"/>
  <c r="AQ577" i="18" s="1"/>
  <c r="AR577" i="18" s="1"/>
  <c r="AS577" i="18" s="1"/>
  <c r="AT577" i="18" s="1"/>
  <c r="AU577" i="18" s="1"/>
  <c r="AV577" i="18" s="1"/>
  <c r="AW577" i="18" s="1"/>
  <c r="AX577" i="18" s="1"/>
  <c r="AY577" i="18" s="1"/>
  <c r="AZ577" i="18" s="1"/>
  <c r="BA577" i="18" s="1"/>
  <c r="BB577" i="18" s="1"/>
  <c r="BC577" i="18" s="1"/>
  <c r="BD577" i="18" s="1"/>
  <c r="BE577" i="18" s="1"/>
  <c r="BF577" i="18" s="1"/>
  <c r="BG577" i="18" s="1"/>
  <c r="BH577" i="18" s="1"/>
  <c r="BI577" i="18" s="1"/>
  <c r="AW107" i="7942"/>
  <c r="T182" i="18"/>
  <c r="O635" i="18"/>
  <c r="P823" i="18"/>
  <c r="Q823" i="18" s="1"/>
  <c r="O830" i="18"/>
  <c r="O726" i="18"/>
  <c r="T690" i="18"/>
  <c r="Q397" i="18"/>
  <c r="R397" i="18" s="1"/>
  <c r="S397" i="18" s="1"/>
  <c r="U629" i="18"/>
  <c r="V629" i="18" s="1"/>
  <c r="T861" i="18"/>
  <c r="U861" i="18" s="1"/>
  <c r="V861" i="18" s="1"/>
  <c r="W861" i="18" s="1"/>
  <c r="X861" i="18" s="1"/>
  <c r="Y861" i="18" s="1"/>
  <c r="Z861" i="18" s="1"/>
  <c r="AA861" i="18" s="1"/>
  <c r="AB861" i="18" s="1"/>
  <c r="AC861" i="18" s="1"/>
  <c r="AD861" i="18" s="1"/>
  <c r="AE861" i="18" s="1"/>
  <c r="AF861" i="18" s="1"/>
  <c r="AG861" i="18" s="1"/>
  <c r="AH861" i="18" s="1"/>
  <c r="AI861" i="18" s="1"/>
  <c r="AJ861" i="18" s="1"/>
  <c r="AK861" i="18" s="1"/>
  <c r="AL861" i="18" s="1"/>
  <c r="AM861" i="18" s="1"/>
  <c r="AN861" i="18" s="1"/>
  <c r="AO861" i="18" s="1"/>
  <c r="AP861" i="18" s="1"/>
  <c r="AQ861" i="18" s="1"/>
  <c r="AR861" i="18" s="1"/>
  <c r="AS861" i="18" s="1"/>
  <c r="AT861" i="18" s="1"/>
  <c r="AU861" i="18" s="1"/>
  <c r="AV861" i="18" s="1"/>
  <c r="AW861" i="18" s="1"/>
  <c r="AX861" i="18" s="1"/>
  <c r="AY861" i="18" s="1"/>
  <c r="AZ861" i="18" s="1"/>
  <c r="BA861" i="18" s="1"/>
  <c r="BB861" i="18" s="1"/>
  <c r="BC861" i="18" s="1"/>
  <c r="BD861" i="18" s="1"/>
  <c r="BE861" i="18" s="1"/>
  <c r="BF861" i="18" s="1"/>
  <c r="BG861" i="18" s="1"/>
  <c r="BH861" i="18" s="1"/>
  <c r="BI861" i="18" s="1"/>
  <c r="S838" i="18"/>
  <c r="AA693" i="18"/>
  <c r="AB693" i="18" s="1"/>
  <c r="AC693" i="18" s="1"/>
  <c r="AD693" i="18" s="1"/>
  <c r="AE693" i="18" s="1"/>
  <c r="AF693" i="18" s="1"/>
  <c r="AG693" i="18" s="1"/>
  <c r="AH693" i="18" s="1"/>
  <c r="AI693" i="18" s="1"/>
  <c r="AJ693" i="18" s="1"/>
  <c r="AK693" i="18" s="1"/>
  <c r="AL693" i="18" s="1"/>
  <c r="AM693" i="18" s="1"/>
  <c r="AN693" i="18" s="1"/>
  <c r="AO693" i="18" s="1"/>
  <c r="AP693" i="18" s="1"/>
  <c r="AQ693" i="18" s="1"/>
  <c r="AR693" i="18" s="1"/>
  <c r="AS693" i="18" s="1"/>
  <c r="AT693" i="18" s="1"/>
  <c r="AU693" i="18" s="1"/>
  <c r="AV693" i="18" s="1"/>
  <c r="AW693" i="18" s="1"/>
  <c r="AX693" i="18" s="1"/>
  <c r="AY693" i="18" s="1"/>
  <c r="AZ693" i="18" s="1"/>
  <c r="BA693" i="18" s="1"/>
  <c r="BB693" i="18" s="1"/>
  <c r="BC693" i="18" s="1"/>
  <c r="BD693" i="18" s="1"/>
  <c r="BE693" i="18" s="1"/>
  <c r="BF693" i="18" s="1"/>
  <c r="BG693" i="18" s="1"/>
  <c r="BH693" i="18" s="1"/>
  <c r="BI693" i="18" s="1"/>
  <c r="P761" i="18"/>
  <c r="Q761" i="18" s="1"/>
  <c r="P426" i="18"/>
  <c r="Z681" i="18"/>
  <c r="AA681" i="18" s="1"/>
  <c r="AB681" i="18" s="1"/>
  <c r="AC681" i="18" s="1"/>
  <c r="AD681" i="18" s="1"/>
  <c r="AE681" i="18" s="1"/>
  <c r="AF681" i="18" s="1"/>
  <c r="AG681" i="18" s="1"/>
  <c r="AH681" i="18" s="1"/>
  <c r="AI681" i="18" s="1"/>
  <c r="AJ681" i="18" s="1"/>
  <c r="AK681" i="18" s="1"/>
  <c r="AL681" i="18" s="1"/>
  <c r="AM681" i="18" s="1"/>
  <c r="AN681" i="18" s="1"/>
  <c r="AO681" i="18" s="1"/>
  <c r="AP681" i="18" s="1"/>
  <c r="AQ681" i="18" s="1"/>
  <c r="AR681" i="18" s="1"/>
  <c r="AS681" i="18" s="1"/>
  <c r="AT681" i="18" s="1"/>
  <c r="AU681" i="18" s="1"/>
  <c r="AV681" i="18" s="1"/>
  <c r="AW681" i="18" s="1"/>
  <c r="AX681" i="18" s="1"/>
  <c r="AY681" i="18" s="1"/>
  <c r="AZ681" i="18" s="1"/>
  <c r="BA681" i="18" s="1"/>
  <c r="BB681" i="18" s="1"/>
  <c r="BC681" i="18" s="1"/>
  <c r="BD681" i="18" s="1"/>
  <c r="BE681" i="18" s="1"/>
  <c r="BF681" i="18" s="1"/>
  <c r="BG681" i="18" s="1"/>
  <c r="BH681" i="18" s="1"/>
  <c r="BI681" i="18" s="1"/>
  <c r="R787" i="18"/>
  <c r="R771" i="18"/>
  <c r="S771" i="18" s="1"/>
  <c r="T771" i="18" s="1"/>
  <c r="U771" i="18" s="1"/>
  <c r="V771" i="18" s="1"/>
  <c r="W771" i="18" s="1"/>
  <c r="X771" i="18" s="1"/>
  <c r="Y771" i="18" s="1"/>
  <c r="Z771" i="18" s="1"/>
  <c r="AA771" i="18" s="1"/>
  <c r="AB771" i="18" s="1"/>
  <c r="AC771" i="18" s="1"/>
  <c r="AD771" i="18" s="1"/>
  <c r="AE771" i="18" s="1"/>
  <c r="U835" i="18"/>
  <c r="R435" i="18"/>
  <c r="DK107" i="7942"/>
  <c r="AU104" i="18"/>
  <c r="U262" i="18"/>
  <c r="V262" i="18" s="1"/>
  <c r="W262" i="18" s="1"/>
  <c r="X262" i="18" s="1"/>
  <c r="Y262" i="18" s="1"/>
  <c r="Z262" i="18" s="1"/>
  <c r="AA262" i="18" s="1"/>
  <c r="AB262" i="18" s="1"/>
  <c r="AC262" i="18" s="1"/>
  <c r="AD262" i="18" s="1"/>
  <c r="AE262" i="18" s="1"/>
  <c r="AF262" i="18" s="1"/>
  <c r="AG262" i="18" s="1"/>
  <c r="AH262" i="18" s="1"/>
  <c r="AI262" i="18" s="1"/>
  <c r="AJ262" i="18" s="1"/>
  <c r="AK262" i="18" s="1"/>
  <c r="AL262" i="18" s="1"/>
  <c r="AM262" i="18" s="1"/>
  <c r="AN262" i="18" s="1"/>
  <c r="AO262" i="18" s="1"/>
  <c r="AP262" i="18" s="1"/>
  <c r="AQ262" i="18" s="1"/>
  <c r="AR262" i="18" s="1"/>
  <c r="AS262" i="18" s="1"/>
  <c r="AT262" i="18" s="1"/>
  <c r="AU262" i="18" s="1"/>
  <c r="AV262" i="18" s="1"/>
  <c r="AW262" i="18" s="1"/>
  <c r="AX262" i="18" s="1"/>
  <c r="AY262" i="18" s="1"/>
  <c r="AZ262" i="18" s="1"/>
  <c r="BA262" i="18" s="1"/>
  <c r="BB262" i="18" s="1"/>
  <c r="BC262" i="18" s="1"/>
  <c r="BD262" i="18" s="1"/>
  <c r="BE262" i="18" s="1"/>
  <c r="BF262" i="18" s="1"/>
  <c r="BG262" i="18" s="1"/>
  <c r="BH262" i="18" s="1"/>
  <c r="BI262" i="18" s="1"/>
  <c r="S658" i="18"/>
  <c r="T658" i="18" s="1"/>
  <c r="U658" i="18" s="1"/>
  <c r="V658" i="18" s="1"/>
  <c r="P801" i="18"/>
  <c r="P737" i="18"/>
  <c r="P711" i="18"/>
  <c r="Q711" i="18" s="1"/>
  <c r="P724" i="18"/>
  <c r="Q724" i="18" s="1"/>
  <c r="P750" i="18"/>
  <c r="Q750" i="18" s="1"/>
  <c r="P490" i="18"/>
  <c r="Q490" i="18" s="1"/>
  <c r="P815" i="18"/>
  <c r="Q815" i="18" s="1"/>
  <c r="P7" i="18"/>
  <c r="P789" i="18"/>
  <c r="P633" i="18"/>
  <c r="Q633" i="18" s="1"/>
  <c r="P555" i="18"/>
  <c r="P841" i="18"/>
  <c r="Q841" i="18" s="1"/>
  <c r="P698" i="18"/>
  <c r="Q698" i="18" s="1"/>
  <c r="P685" i="18"/>
  <c r="Q685" i="18" s="1"/>
  <c r="P828" i="18"/>
  <c r="P802" i="18"/>
  <c r="Q802" i="18" s="1"/>
  <c r="P620" i="18"/>
  <c r="Q620" i="18" s="1"/>
  <c r="P542" i="18"/>
  <c r="Q542" i="18" s="1"/>
  <c r="P581" i="18"/>
  <c r="Q581" i="18" s="1"/>
  <c r="P607" i="18"/>
  <c r="P867" i="18"/>
  <c r="P869" i="18" s="1"/>
  <c r="P659" i="18"/>
  <c r="P594" i="18"/>
  <c r="Q594" i="18" s="1"/>
  <c r="P529" i="18"/>
  <c r="P854" i="18"/>
  <c r="Q854" i="18" s="1"/>
  <c r="P568" i="18"/>
  <c r="Q568" i="18" s="1"/>
  <c r="P763" i="18"/>
  <c r="Q763" i="18" s="1"/>
  <c r="R763" i="18" s="1"/>
  <c r="P672" i="18"/>
  <c r="P646" i="18"/>
  <c r="P776" i="18"/>
  <c r="R516" i="18"/>
  <c r="T516" i="18"/>
  <c r="Q503" i="18"/>
  <c r="S516" i="18"/>
  <c r="Y503" i="18"/>
  <c r="AB503" i="18"/>
  <c r="AC503" i="18"/>
  <c r="AB516" i="18"/>
  <c r="U516" i="18"/>
  <c r="P503" i="18"/>
  <c r="V503" i="18"/>
  <c r="S503" i="18"/>
  <c r="Q516" i="18"/>
  <c r="Y516" i="18"/>
  <c r="Z503" i="18"/>
  <c r="W503" i="18"/>
  <c r="AA516" i="18"/>
  <c r="X516" i="18"/>
  <c r="X503" i="18"/>
  <c r="AC516" i="18"/>
  <c r="T503" i="18"/>
  <c r="U503" i="18"/>
  <c r="AA503" i="18"/>
  <c r="AD503" i="18"/>
  <c r="V516" i="18"/>
  <c r="AD516" i="18"/>
  <c r="W516" i="18"/>
  <c r="P516" i="18"/>
  <c r="R503" i="18"/>
  <c r="Z516" i="18"/>
  <c r="P580" i="18"/>
  <c r="P528" i="18"/>
  <c r="R865" i="18"/>
  <c r="S865" i="18" s="1"/>
  <c r="AV107" i="7942"/>
  <c r="Q429" i="18"/>
  <c r="R293" i="18"/>
  <c r="S825" i="18"/>
  <c r="S799" i="18"/>
  <c r="Q758" i="18"/>
  <c r="S786" i="18"/>
  <c r="U197" i="18"/>
  <c r="K33" i="7946"/>
  <c r="R241" i="18"/>
  <c r="T213" i="18"/>
  <c r="P718" i="18"/>
  <c r="Q718" i="18" s="1"/>
  <c r="V588" i="18"/>
  <c r="W588" i="18" s="1"/>
  <c r="X588" i="18" s="1"/>
  <c r="Y588" i="18" s="1"/>
  <c r="Z588" i="18" s="1"/>
  <c r="AA588" i="18" s="1"/>
  <c r="AB588" i="18" s="1"/>
  <c r="AC588" i="18" s="1"/>
  <c r="AD588" i="18" s="1"/>
  <c r="AE588" i="18" s="1"/>
  <c r="AF588" i="18" s="1"/>
  <c r="AG588" i="18" s="1"/>
  <c r="AH588" i="18" s="1"/>
  <c r="AI588" i="18" s="1"/>
  <c r="AJ588" i="18" s="1"/>
  <c r="AK588" i="18" s="1"/>
  <c r="AL588" i="18" s="1"/>
  <c r="AM588" i="18" s="1"/>
  <c r="AN588" i="18" s="1"/>
  <c r="AO588" i="18" s="1"/>
  <c r="AP588" i="18" s="1"/>
  <c r="AQ588" i="18" s="1"/>
  <c r="AR588" i="18" s="1"/>
  <c r="AS588" i="18" s="1"/>
  <c r="AT588" i="18" s="1"/>
  <c r="AU588" i="18" s="1"/>
  <c r="AV588" i="18" s="1"/>
  <c r="AW588" i="18" s="1"/>
  <c r="AX588" i="18" s="1"/>
  <c r="AY588" i="18" s="1"/>
  <c r="AZ588" i="18" s="1"/>
  <c r="BA588" i="18" s="1"/>
  <c r="BB588" i="18" s="1"/>
  <c r="BC588" i="18" s="1"/>
  <c r="BD588" i="18" s="1"/>
  <c r="BE588" i="18" s="1"/>
  <c r="BF588" i="18" s="1"/>
  <c r="BG588" i="18" s="1"/>
  <c r="BH588" i="18" s="1"/>
  <c r="BI588" i="18" s="1"/>
  <c r="P348" i="18"/>
  <c r="Q338" i="18"/>
  <c r="T760" i="18"/>
  <c r="P604" i="18"/>
  <c r="O609" i="18"/>
  <c r="U654" i="18"/>
  <c r="V654" i="18" s="1"/>
  <c r="W654" i="18" s="1"/>
  <c r="X654" i="18" s="1"/>
  <c r="Y654" i="18" s="1"/>
  <c r="Z654" i="18" s="1"/>
  <c r="AA654" i="18" s="1"/>
  <c r="AB654" i="18" s="1"/>
  <c r="AC654" i="18" s="1"/>
  <c r="AD654" i="18" s="1"/>
  <c r="AE654" i="18" s="1"/>
  <c r="AF654" i="18" s="1"/>
  <c r="AG654" i="18" s="1"/>
  <c r="AH654" i="18" s="1"/>
  <c r="AI654" i="18" s="1"/>
  <c r="AJ654" i="18" s="1"/>
  <c r="AK654" i="18" s="1"/>
  <c r="O531" i="18"/>
  <c r="AC834" i="18"/>
  <c r="P852" i="18"/>
  <c r="O713" i="18"/>
  <c r="P299" i="18"/>
  <c r="Q299" i="18" s="1"/>
  <c r="S742" i="18"/>
  <c r="P785" i="18"/>
  <c r="R656" i="18"/>
  <c r="Q848" i="18"/>
  <c r="S550" i="18"/>
  <c r="S306" i="18"/>
  <c r="Q424" i="18"/>
  <c r="O10" i="18"/>
  <c r="O42" i="18"/>
  <c r="DJ107" i="7942"/>
  <c r="S202" i="18"/>
  <c r="AD515" i="18"/>
  <c r="AE515" i="18" s="1"/>
  <c r="R736" i="18"/>
  <c r="P853" i="18"/>
  <c r="Q853" i="18" s="1"/>
  <c r="P671" i="18"/>
  <c r="O765" i="18"/>
  <c r="T614" i="18"/>
  <c r="U614" i="18" s="1"/>
  <c r="V614" i="18" s="1"/>
  <c r="CZ107" i="7942"/>
  <c r="R301" i="18"/>
  <c r="S301" i="18" s="1"/>
  <c r="T301" i="18" s="1"/>
  <c r="U301" i="18" s="1"/>
  <c r="V301" i="18" s="1"/>
  <c r="W301" i="18" s="1"/>
  <c r="X301" i="18" s="1"/>
  <c r="Y301" i="18" s="1"/>
  <c r="Z301" i="18" s="1"/>
  <c r="AA301" i="18" s="1"/>
  <c r="AB301" i="18" s="1"/>
  <c r="AC301" i="18" s="1"/>
  <c r="AD301" i="18" s="1"/>
  <c r="AE301" i="18" s="1"/>
  <c r="AF301" i="18" s="1"/>
  <c r="AG301" i="18" s="1"/>
  <c r="AH301" i="18" s="1"/>
  <c r="AI301" i="18" s="1"/>
  <c r="AJ301" i="18" s="1"/>
  <c r="AK301" i="18" s="1"/>
  <c r="AL301" i="18" s="1"/>
  <c r="AM301" i="18" s="1"/>
  <c r="AN301" i="18" s="1"/>
  <c r="AO301" i="18" s="1"/>
  <c r="AP301" i="18" s="1"/>
  <c r="AQ301" i="18" s="1"/>
  <c r="AR301" i="18" s="1"/>
  <c r="AS301" i="18" s="1"/>
  <c r="AT301" i="18" s="1"/>
  <c r="AU301" i="18" s="1"/>
  <c r="AV301" i="18" s="1"/>
  <c r="AW301" i="18" s="1"/>
  <c r="AX301" i="18" s="1"/>
  <c r="AY301" i="18" s="1"/>
  <c r="AZ301" i="18" s="1"/>
  <c r="BA301" i="18" s="1"/>
  <c r="BB301" i="18" s="1"/>
  <c r="BC301" i="18" s="1"/>
  <c r="BD301" i="18" s="1"/>
  <c r="BE301" i="18" s="1"/>
  <c r="BF301" i="18" s="1"/>
  <c r="BG301" i="18" s="1"/>
  <c r="BH301" i="18" s="1"/>
  <c r="BI301" i="18" s="1"/>
  <c r="T312" i="18"/>
  <c r="T653" i="18"/>
  <c r="U653" i="18" s="1"/>
  <c r="V653" i="18" s="1"/>
  <c r="W653" i="18" s="1"/>
  <c r="X653" i="18" s="1"/>
  <c r="Y653" i="18" s="1"/>
  <c r="Z653" i="18" s="1"/>
  <c r="AA653" i="18" s="1"/>
  <c r="AB653" i="18" s="1"/>
  <c r="AC653" i="18" s="1"/>
  <c r="AD653" i="18" s="1"/>
  <c r="AE653" i="18" s="1"/>
  <c r="AF653" i="18" s="1"/>
  <c r="AG653" i="18" s="1"/>
  <c r="AH653" i="18" s="1"/>
  <c r="AI653" i="18" s="1"/>
  <c r="AJ653" i="18" s="1"/>
  <c r="AK653" i="18" s="1"/>
  <c r="AL653" i="18" s="1"/>
  <c r="AM653" i="18" s="1"/>
  <c r="AN653" i="18" s="1"/>
  <c r="AO653" i="18" s="1"/>
  <c r="AP653" i="18" s="1"/>
  <c r="AQ653" i="18" s="1"/>
  <c r="AR653" i="18" s="1"/>
  <c r="AS653" i="18" s="1"/>
  <c r="AT653" i="18" s="1"/>
  <c r="AU653" i="18" s="1"/>
  <c r="AV653" i="18" s="1"/>
  <c r="AW653" i="18" s="1"/>
  <c r="AX653" i="18" s="1"/>
  <c r="AY653" i="18" s="1"/>
  <c r="AZ653" i="18" s="1"/>
  <c r="BA653" i="18" s="1"/>
  <c r="BB653" i="18" s="1"/>
  <c r="BC653" i="18" s="1"/>
  <c r="BD653" i="18" s="1"/>
  <c r="BE653" i="18" s="1"/>
  <c r="BF653" i="18" s="1"/>
  <c r="BG653" i="18" s="1"/>
  <c r="BH653" i="18" s="1"/>
  <c r="BI653" i="18" s="1"/>
  <c r="AJ120" i="18"/>
  <c r="AK120" i="18" s="1"/>
  <c r="AL120" i="18" s="1"/>
  <c r="AM120" i="18" s="1"/>
  <c r="AN120" i="18" s="1"/>
  <c r="AO120" i="18" s="1"/>
  <c r="AP120" i="18" s="1"/>
  <c r="AQ120" i="18" s="1"/>
  <c r="AR120" i="18" s="1"/>
  <c r="AS120" i="18" s="1"/>
  <c r="AT120" i="18" s="1"/>
  <c r="AU120" i="18" s="1"/>
  <c r="AV120" i="18" s="1"/>
  <c r="AW120" i="18" s="1"/>
  <c r="AX120" i="18" s="1"/>
  <c r="AY120" i="18" s="1"/>
  <c r="AZ120" i="18" s="1"/>
  <c r="BA120" i="18" s="1"/>
  <c r="BB120" i="18" s="1"/>
  <c r="BC120" i="18" s="1"/>
  <c r="BD120" i="18" s="1"/>
  <c r="BE120" i="18" s="1"/>
  <c r="BF120" i="18" s="1"/>
  <c r="BG120" i="18" s="1"/>
  <c r="BH120" i="18" s="1"/>
  <c r="BI120" i="18" s="1"/>
  <c r="L89" i="7946"/>
  <c r="Q527" i="18"/>
  <c r="R527" i="18" s="1"/>
  <c r="S527" i="18" s="1"/>
  <c r="T755" i="18"/>
  <c r="Q788" i="18"/>
  <c r="R826" i="18"/>
  <c r="S796" i="18"/>
  <c r="T796" i="18" s="1"/>
  <c r="U796" i="18" s="1"/>
  <c r="V796" i="18" s="1"/>
  <c r="W796" i="18" s="1"/>
  <c r="X796" i="18" s="1"/>
  <c r="Y796" i="18" s="1"/>
  <c r="Z796" i="18" s="1"/>
  <c r="AA796" i="18" s="1"/>
  <c r="AB796" i="18" s="1"/>
  <c r="AC796" i="18" s="1"/>
  <c r="AD796" i="18" s="1"/>
  <c r="AE796" i="18" s="1"/>
  <c r="AF796" i="18" s="1"/>
  <c r="AG796" i="18" s="1"/>
  <c r="AH796" i="18" s="1"/>
  <c r="AI796" i="18" s="1"/>
  <c r="AJ796" i="18" s="1"/>
  <c r="AK796" i="18" s="1"/>
  <c r="AL796" i="18" s="1"/>
  <c r="AM796" i="18" s="1"/>
  <c r="AN796" i="18" s="1"/>
  <c r="AO796" i="18" s="1"/>
  <c r="AP796" i="18" s="1"/>
  <c r="AQ796" i="18" s="1"/>
  <c r="AR796" i="18" s="1"/>
  <c r="AS796" i="18" s="1"/>
  <c r="AT796" i="18" s="1"/>
  <c r="AU796" i="18" s="1"/>
  <c r="AV796" i="18" s="1"/>
  <c r="AW796" i="18" s="1"/>
  <c r="AX796" i="18" s="1"/>
  <c r="AY796" i="18" s="1"/>
  <c r="AZ796" i="18" s="1"/>
  <c r="BA796" i="18" s="1"/>
  <c r="BB796" i="18" s="1"/>
  <c r="BC796" i="18" s="1"/>
  <c r="BD796" i="18" s="1"/>
  <c r="BE796" i="18" s="1"/>
  <c r="BF796" i="18" s="1"/>
  <c r="BG796" i="18" s="1"/>
  <c r="BH796" i="18" s="1"/>
  <c r="BI796" i="18" s="1"/>
  <c r="Q590" i="18"/>
  <c r="R590" i="18" s="1"/>
  <c r="S590" i="18" s="1"/>
  <c r="T590" i="18" s="1"/>
  <c r="U590" i="18" s="1"/>
  <c r="Q668" i="18"/>
  <c r="BG107" i="7942"/>
  <c r="O596" i="18"/>
  <c r="P23" i="2"/>
  <c r="P25" i="2" s="1"/>
  <c r="P24" i="2"/>
  <c r="U846" i="18"/>
  <c r="P540" i="18"/>
  <c r="P627" i="18"/>
  <c r="Q837" i="18"/>
  <c r="R486" i="18"/>
  <c r="S486" i="18" s="1"/>
  <c r="Q526" i="18"/>
  <c r="R642" i="18"/>
  <c r="Q176" i="18"/>
  <c r="S709" i="18"/>
  <c r="Q694" i="18"/>
  <c r="R694" i="18" s="1"/>
  <c r="P605" i="18"/>
  <c r="Q605" i="18" s="1"/>
  <c r="O570" i="18"/>
  <c r="P487" i="18"/>
  <c r="X665" i="18"/>
  <c r="Q163" i="18"/>
  <c r="R163" i="18" s="1"/>
  <c r="S163" i="18" s="1"/>
  <c r="P166" i="18"/>
  <c r="Q768" i="18"/>
  <c r="Q827" i="18"/>
  <c r="R234" i="18"/>
  <c r="AJ600" i="18"/>
  <c r="AK600" i="18" s="1"/>
  <c r="T357" i="18"/>
  <c r="BH107" i="7942"/>
  <c r="AD11" i="24"/>
  <c r="AK11" i="24"/>
  <c r="Y11" i="24"/>
  <c r="Z11" i="24"/>
  <c r="AB11" i="24"/>
  <c r="AZ11" i="24"/>
  <c r="BI11" i="24"/>
  <c r="AO11" i="24"/>
  <c r="BE11" i="24"/>
  <c r="AM11" i="24"/>
  <c r="R11" i="24"/>
  <c r="T11" i="24"/>
  <c r="U11" i="24"/>
  <c r="BD11" i="24"/>
  <c r="BH11" i="24"/>
  <c r="W11" i="24"/>
  <c r="P11" i="24"/>
  <c r="S11" i="24"/>
  <c r="AL11" i="24"/>
  <c r="AG11" i="24"/>
  <c r="AR11" i="24"/>
  <c r="AX11" i="24"/>
  <c r="AY11" i="24"/>
  <c r="Q11" i="24"/>
  <c r="BF11" i="24"/>
  <c r="AA11" i="24"/>
  <c r="AW11" i="24"/>
  <c r="X11" i="24"/>
  <c r="AH11" i="24"/>
  <c r="AT11" i="24"/>
  <c r="AI11" i="24"/>
  <c r="V11" i="24"/>
  <c r="AQ11" i="24"/>
  <c r="AV11" i="24"/>
  <c r="P7" i="7943"/>
  <c r="P8" i="7943" s="1"/>
  <c r="AP11" i="24"/>
  <c r="BC11" i="24"/>
  <c r="AC11" i="24"/>
  <c r="AJ11" i="24"/>
  <c r="AF11" i="24"/>
  <c r="AS11" i="24"/>
  <c r="BA11" i="24"/>
  <c r="BG11" i="24"/>
  <c r="AU11" i="24"/>
  <c r="AN11" i="24"/>
  <c r="BB11" i="24"/>
  <c r="AE11" i="24"/>
  <c r="AE87" i="18"/>
  <c r="P39" i="18"/>
  <c r="P37" i="18"/>
  <c r="Q451" i="18"/>
  <c r="AM87" i="18"/>
  <c r="V87" i="18"/>
  <c r="AG87" i="18"/>
  <c r="Q412" i="18"/>
  <c r="R412" i="18" s="1"/>
  <c r="Q217" i="18"/>
  <c r="R217" i="18" s="1"/>
  <c r="S217" i="18" s="1"/>
  <c r="AI87" i="18"/>
  <c r="Q139" i="18"/>
  <c r="R139" i="18" s="1"/>
  <c r="AO87" i="18"/>
  <c r="P16" i="18"/>
  <c r="P38" i="18"/>
  <c r="Q373" i="18"/>
  <c r="P15" i="18"/>
  <c r="S87" i="18"/>
  <c r="P27" i="18"/>
  <c r="P30" i="18"/>
  <c r="AK87" i="18"/>
  <c r="Q464" i="18"/>
  <c r="R464" i="18" s="1"/>
  <c r="X87" i="18"/>
  <c r="AD87" i="18"/>
  <c r="Q230" i="18"/>
  <c r="R230" i="18" s="1"/>
  <c r="AN87" i="18"/>
  <c r="R87" i="18"/>
  <c r="Q191" i="18"/>
  <c r="P29" i="18"/>
  <c r="Q295" i="18"/>
  <c r="R295" i="18" s="1"/>
  <c r="P11" i="18"/>
  <c r="AR87" i="18"/>
  <c r="Q178" i="18"/>
  <c r="Q386" i="18"/>
  <c r="Q282" i="18"/>
  <c r="Q256" i="18"/>
  <c r="P23" i="18"/>
  <c r="Q243" i="18"/>
  <c r="P21" i="18"/>
  <c r="Q269" i="18"/>
  <c r="W87" i="18"/>
  <c r="Q347" i="18"/>
  <c r="R347" i="18" s="1"/>
  <c r="Q87" i="18"/>
  <c r="AB87" i="18"/>
  <c r="P33" i="18"/>
  <c r="P31" i="18"/>
  <c r="P17" i="18"/>
  <c r="Q321" i="18"/>
  <c r="AC87" i="18"/>
  <c r="P34" i="18"/>
  <c r="U87" i="18"/>
  <c r="P36" i="18"/>
  <c r="AF87" i="18"/>
  <c r="P32" i="18"/>
  <c r="AJ87" i="18"/>
  <c r="T87" i="18"/>
  <c r="P24" i="18"/>
  <c r="Q438" i="18"/>
  <c r="P28" i="18"/>
  <c r="Q425" i="18"/>
  <c r="R425" i="18" s="1"/>
  <c r="AQ87" i="18"/>
  <c r="AA87" i="18"/>
  <c r="P18" i="18"/>
  <c r="Q165" i="18"/>
  <c r="R165" i="18" s="1"/>
  <c r="S165" i="18" s="1"/>
  <c r="P25" i="18"/>
  <c r="P22" i="18"/>
  <c r="P35" i="18"/>
  <c r="AL87" i="18"/>
  <c r="AH87" i="18"/>
  <c r="AP87" i="18"/>
  <c r="Q308" i="18"/>
  <c r="P26" i="18"/>
  <c r="P14" i="18"/>
  <c r="Z87" i="18"/>
  <c r="Y87" i="18"/>
  <c r="Q126" i="18"/>
  <c r="R126" i="18" s="1"/>
  <c r="S126" i="18" s="1"/>
  <c r="P12" i="18"/>
  <c r="P19" i="18"/>
  <c r="P40" i="18"/>
  <c r="Q399" i="18"/>
  <c r="Q334" i="18"/>
  <c r="R334" i="18" s="1"/>
  <c r="Q360" i="18"/>
  <c r="R360" i="18" s="1"/>
  <c r="P13" i="18"/>
  <c r="Q152" i="18"/>
  <c r="Q153" i="18" s="1"/>
  <c r="Q204" i="18"/>
  <c r="R204" i="18" s="1"/>
  <c r="S204" i="18" s="1"/>
  <c r="P20" i="18"/>
  <c r="T113" i="18"/>
  <c r="T114" i="18" s="1"/>
  <c r="AM113" i="18"/>
  <c r="AM114" i="18" s="1"/>
  <c r="X113" i="18"/>
  <c r="X114" i="18" s="1"/>
  <c r="S100" i="18"/>
  <c r="AA100" i="18"/>
  <c r="AN100" i="18"/>
  <c r="AE113" i="18"/>
  <c r="AE114" i="18" s="1"/>
  <c r="V113" i="18"/>
  <c r="V114" i="18" s="1"/>
  <c r="AQ113" i="18"/>
  <c r="AQ114" i="18" s="1"/>
  <c r="AO113" i="18"/>
  <c r="AO114" i="18" s="1"/>
  <c r="AB113" i="18"/>
  <c r="AB114" i="18" s="1"/>
  <c r="AJ113" i="18"/>
  <c r="AJ114" i="18" s="1"/>
  <c r="AF113" i="18"/>
  <c r="AF114" i="18" s="1"/>
  <c r="Z113" i="18"/>
  <c r="Z114" i="18" s="1"/>
  <c r="Y113" i="18"/>
  <c r="Y114" i="18" s="1"/>
  <c r="AL113" i="18"/>
  <c r="AL114" i="18" s="1"/>
  <c r="AK113" i="18"/>
  <c r="AK114" i="18" s="1"/>
  <c r="S113" i="18"/>
  <c r="S114" i="18" s="1"/>
  <c r="AR113" i="18"/>
  <c r="AP113" i="18"/>
  <c r="AP114" i="18" s="1"/>
  <c r="AA113" i="18"/>
  <c r="AA114" i="18" s="1"/>
  <c r="AH113" i="18"/>
  <c r="AH114" i="18" s="1"/>
  <c r="R113" i="18"/>
  <c r="R114" i="18" s="1"/>
  <c r="AC113" i="18"/>
  <c r="AC114" i="18" s="1"/>
  <c r="AR100" i="18"/>
  <c r="T100" i="18"/>
  <c r="AD100" i="18"/>
  <c r="X100" i="18"/>
  <c r="AB100" i="18"/>
  <c r="AE100" i="18"/>
  <c r="V100" i="18"/>
  <c r="AG113" i="18"/>
  <c r="AG114" i="18" s="1"/>
  <c r="AO100" i="18"/>
  <c r="Z100" i="18"/>
  <c r="AH100" i="18"/>
  <c r="AP100" i="18"/>
  <c r="R100" i="18"/>
  <c r="AG100" i="18"/>
  <c r="AM100" i="18"/>
  <c r="AD113" i="18"/>
  <c r="AD114" i="18" s="1"/>
  <c r="AI113" i="18"/>
  <c r="AI114" i="18" s="1"/>
  <c r="Q113" i="18"/>
  <c r="U100" i="18"/>
  <c r="AC100" i="18"/>
  <c r="Y100" i="18"/>
  <c r="W113" i="18"/>
  <c r="W114" i="18" s="1"/>
  <c r="AJ100" i="18"/>
  <c r="AK100" i="18"/>
  <c r="AN113" i="18"/>
  <c r="AN114" i="18" s="1"/>
  <c r="W100" i="18"/>
  <c r="AF100" i="18"/>
  <c r="AI100" i="18"/>
  <c r="AQ100" i="18"/>
  <c r="AL100" i="18"/>
  <c r="Q100" i="18"/>
  <c r="U113" i="18"/>
  <c r="U114" i="18" s="1"/>
  <c r="S156" i="18"/>
  <c r="R657" i="18"/>
  <c r="Q732" i="18"/>
  <c r="S667" i="18"/>
  <c r="S644" i="18"/>
  <c r="BR107" i="7942"/>
  <c r="T721" i="18"/>
  <c r="AE499" i="18"/>
  <c r="Q774" i="18"/>
  <c r="S708" i="18"/>
  <c r="V820" i="18"/>
  <c r="W522" i="18"/>
  <c r="X522" i="18" s="1"/>
  <c r="Y522" i="18" s="1"/>
  <c r="Z522" i="18" s="1"/>
  <c r="AA522" i="18" s="1"/>
  <c r="AB522" i="18" s="1"/>
  <c r="AC522" i="18" s="1"/>
  <c r="AD522" i="18" s="1"/>
  <c r="AE522" i="18" s="1"/>
  <c r="AF522" i="18" s="1"/>
  <c r="AG522" i="18" s="1"/>
  <c r="P566" i="18"/>
  <c r="P592" i="18"/>
  <c r="S798" i="18"/>
  <c r="M33" i="7943"/>
  <c r="L10" i="7946"/>
  <c r="R403" i="18"/>
  <c r="U278" i="18"/>
  <c r="V278" i="18" s="1"/>
  <c r="W278" i="18" s="1"/>
  <c r="X278" i="18" s="1"/>
  <c r="Y278" i="18" s="1"/>
  <c r="Z278" i="18" s="1"/>
  <c r="AA278" i="18" s="1"/>
  <c r="AB278" i="18" s="1"/>
  <c r="AC278" i="18" s="1"/>
  <c r="AD278" i="18" s="1"/>
  <c r="AE278" i="18" s="1"/>
  <c r="AF278" i="18" s="1"/>
  <c r="AG278" i="18" s="1"/>
  <c r="AH278" i="18" s="1"/>
  <c r="AI278" i="18" s="1"/>
  <c r="AJ278" i="18" s="1"/>
  <c r="AK278" i="18" s="1"/>
  <c r="AL278" i="18" s="1"/>
  <c r="AM278" i="18" s="1"/>
  <c r="AN278" i="18" s="1"/>
  <c r="AO278" i="18" s="1"/>
  <c r="AP278" i="18" s="1"/>
  <c r="AQ278" i="18" s="1"/>
  <c r="AR278" i="18" s="1"/>
  <c r="AS278" i="18" s="1"/>
  <c r="AT278" i="18" s="1"/>
  <c r="AU278" i="18" s="1"/>
  <c r="AV278" i="18" s="1"/>
  <c r="AW278" i="18" s="1"/>
  <c r="AX278" i="18" s="1"/>
  <c r="AY278" i="18" s="1"/>
  <c r="AZ278" i="18" s="1"/>
  <c r="BA278" i="18" s="1"/>
  <c r="BB278" i="18" s="1"/>
  <c r="BC278" i="18" s="1"/>
  <c r="BD278" i="18" s="1"/>
  <c r="BE278" i="18" s="1"/>
  <c r="BF278" i="18" s="1"/>
  <c r="BG278" i="18" s="1"/>
  <c r="BH278" i="18" s="1"/>
  <c r="BI278" i="18" s="1"/>
  <c r="S551" i="18"/>
  <c r="S525" i="18"/>
  <c r="P683" i="18"/>
  <c r="T863" i="18"/>
  <c r="T535" i="18"/>
  <c r="U626" i="18"/>
  <c r="V626" i="18" s="1"/>
  <c r="W626" i="18" s="1"/>
  <c r="X626" i="18" s="1"/>
  <c r="Y626" i="18" s="1"/>
  <c r="Z626" i="18" s="1"/>
  <c r="AA626" i="18" s="1"/>
  <c r="AB626" i="18" s="1"/>
  <c r="AC626" i="18" s="1"/>
  <c r="AD626" i="18" s="1"/>
  <c r="AE626" i="18" s="1"/>
  <c r="AF626" i="18" s="1"/>
  <c r="AG626" i="18" s="1"/>
  <c r="AH626" i="18" s="1"/>
  <c r="AI626" i="18" s="1"/>
  <c r="AJ626" i="18" s="1"/>
  <c r="AK626" i="18" s="1"/>
  <c r="AL626" i="18" s="1"/>
  <c r="AM626" i="18" s="1"/>
  <c r="AN626" i="18" s="1"/>
  <c r="AO626" i="18" s="1"/>
  <c r="AP626" i="18" s="1"/>
  <c r="AQ626" i="18" s="1"/>
  <c r="AR626" i="18" s="1"/>
  <c r="AS626" i="18" s="1"/>
  <c r="AT626" i="18" s="1"/>
  <c r="AU626" i="18" s="1"/>
  <c r="AV626" i="18" s="1"/>
  <c r="AW626" i="18" s="1"/>
  <c r="AX626" i="18" s="1"/>
  <c r="AY626" i="18" s="1"/>
  <c r="AZ626" i="18" s="1"/>
  <c r="BA626" i="18" s="1"/>
  <c r="BB626" i="18" s="1"/>
  <c r="BC626" i="18" s="1"/>
  <c r="BD626" i="18" s="1"/>
  <c r="BE626" i="18" s="1"/>
  <c r="BF626" i="18" s="1"/>
  <c r="BG626" i="18" s="1"/>
  <c r="BH626" i="18" s="1"/>
  <c r="BI626" i="18" s="1"/>
  <c r="O856" i="18"/>
  <c r="R416" i="18"/>
  <c r="S416" i="18" s="1"/>
  <c r="U562" i="18"/>
  <c r="V562" i="18" s="1"/>
  <c r="P706" i="18"/>
  <c r="S697" i="18" l="1"/>
  <c r="T697" i="18" s="1"/>
  <c r="U697" i="18" s="1"/>
  <c r="AC316" i="18"/>
  <c r="AD316" i="18" s="1"/>
  <c r="AE316" i="18" s="1"/>
  <c r="AF316" i="18" s="1"/>
  <c r="AG316" i="18" s="1"/>
  <c r="AH316" i="18" s="1"/>
  <c r="AI316" i="18" s="1"/>
  <c r="AJ316" i="18" s="1"/>
  <c r="AK316" i="18" s="1"/>
  <c r="AL316" i="18" s="1"/>
  <c r="AM316" i="18" s="1"/>
  <c r="AN316" i="18" s="1"/>
  <c r="AO316" i="18" s="1"/>
  <c r="AP316" i="18" s="1"/>
  <c r="AQ316" i="18" s="1"/>
  <c r="AR316" i="18" s="1"/>
  <c r="AS316" i="18" s="1"/>
  <c r="AT316" i="18" s="1"/>
  <c r="AU316" i="18" s="1"/>
  <c r="AV316" i="18" s="1"/>
  <c r="AW316" i="18" s="1"/>
  <c r="AX316" i="18" s="1"/>
  <c r="AY316" i="18" s="1"/>
  <c r="AZ316" i="18" s="1"/>
  <c r="BA316" i="18" s="1"/>
  <c r="BB316" i="18" s="1"/>
  <c r="BC316" i="18" s="1"/>
  <c r="BD316" i="18" s="1"/>
  <c r="BE316" i="18" s="1"/>
  <c r="BF316" i="18" s="1"/>
  <c r="BG316" i="18" s="1"/>
  <c r="BH316" i="18" s="1"/>
  <c r="BI316" i="18" s="1"/>
  <c r="S710" i="18"/>
  <c r="T710" i="18" s="1"/>
  <c r="AH574" i="18"/>
  <c r="AI574" i="18" s="1"/>
  <c r="AJ574" i="18" s="1"/>
  <c r="AK574" i="18" s="1"/>
  <c r="AL574" i="18" s="1"/>
  <c r="AM574" i="18" s="1"/>
  <c r="AN574" i="18" s="1"/>
  <c r="AO574" i="18" s="1"/>
  <c r="AP574" i="18" s="1"/>
  <c r="AQ574" i="18" s="1"/>
  <c r="AR574" i="18" s="1"/>
  <c r="AS574" i="18" s="1"/>
  <c r="AT574" i="18" s="1"/>
  <c r="AU574" i="18" s="1"/>
  <c r="AV574" i="18" s="1"/>
  <c r="AW574" i="18" s="1"/>
  <c r="AX574" i="18" s="1"/>
  <c r="AY574" i="18" s="1"/>
  <c r="AZ574" i="18" s="1"/>
  <c r="BA574" i="18" s="1"/>
  <c r="BB574" i="18" s="1"/>
  <c r="BC574" i="18" s="1"/>
  <c r="BD574" i="18" s="1"/>
  <c r="BE574" i="18" s="1"/>
  <c r="BF574" i="18" s="1"/>
  <c r="BG574" i="18" s="1"/>
  <c r="BH574" i="18" s="1"/>
  <c r="BI574" i="18" s="1"/>
  <c r="AR395" i="18"/>
  <c r="AS395" i="18" s="1"/>
  <c r="AT395" i="18" s="1"/>
  <c r="AU395" i="18" s="1"/>
  <c r="AV395" i="18" s="1"/>
  <c r="AW395" i="18" s="1"/>
  <c r="AX395" i="18" s="1"/>
  <c r="AY395" i="18" s="1"/>
  <c r="AZ395" i="18" s="1"/>
  <c r="BA395" i="18" s="1"/>
  <c r="BB395" i="18" s="1"/>
  <c r="BC395" i="18" s="1"/>
  <c r="BD395" i="18" s="1"/>
  <c r="BE395" i="18" s="1"/>
  <c r="T359" i="18"/>
  <c r="U359" i="18" s="1"/>
  <c r="V359" i="18" s="1"/>
  <c r="M875" i="18"/>
  <c r="N875" i="18" s="1"/>
  <c r="O875" i="18" s="1"/>
  <c r="P875" i="18" s="1"/>
  <c r="P69" i="18"/>
  <c r="P49" i="18"/>
  <c r="P62" i="18"/>
  <c r="P439" i="18"/>
  <c r="X304" i="18"/>
  <c r="U707" i="18"/>
  <c r="V707" i="18" s="1"/>
  <c r="L92" i="7946"/>
  <c r="U421" i="18"/>
  <c r="T149" i="18"/>
  <c r="U149" i="18" s="1"/>
  <c r="V149" i="18" s="1"/>
  <c r="W149" i="18" s="1"/>
  <c r="X149" i="18" s="1"/>
  <c r="U164" i="18"/>
  <c r="N151" i="24"/>
  <c r="O151" i="24" s="1"/>
  <c r="P44" i="18"/>
  <c r="P58" i="18"/>
  <c r="AA666" i="18"/>
  <c r="AB666" i="18" s="1"/>
  <c r="AC666" i="18" s="1"/>
  <c r="AD666" i="18" s="1"/>
  <c r="AE666" i="18" s="1"/>
  <c r="AF666" i="18" s="1"/>
  <c r="AG666" i="18" s="1"/>
  <c r="AH666" i="18" s="1"/>
  <c r="AI666" i="18" s="1"/>
  <c r="AJ666" i="18" s="1"/>
  <c r="AK666" i="18" s="1"/>
  <c r="AL666" i="18" s="1"/>
  <c r="AM666" i="18" s="1"/>
  <c r="AN666" i="18" s="1"/>
  <c r="AO666" i="18" s="1"/>
  <c r="AP666" i="18" s="1"/>
  <c r="AQ666" i="18" s="1"/>
  <c r="AR666" i="18" s="1"/>
  <c r="AS666" i="18" s="1"/>
  <c r="AT666" i="18" s="1"/>
  <c r="AU666" i="18" s="1"/>
  <c r="AV666" i="18" s="1"/>
  <c r="AW666" i="18" s="1"/>
  <c r="AX666" i="18" s="1"/>
  <c r="AY666" i="18" s="1"/>
  <c r="AZ666" i="18" s="1"/>
  <c r="BA666" i="18" s="1"/>
  <c r="BB666" i="18" s="1"/>
  <c r="BC666" i="18" s="1"/>
  <c r="BD666" i="18" s="1"/>
  <c r="BE666" i="18" s="1"/>
  <c r="BF666" i="18" s="1"/>
  <c r="BG666" i="18" s="1"/>
  <c r="BH666" i="18" s="1"/>
  <c r="BI666" i="18" s="1"/>
  <c r="S411" i="18"/>
  <c r="T411" i="18" s="1"/>
  <c r="U722" i="18"/>
  <c r="V722" i="18" s="1"/>
  <c r="W722" i="18" s="1"/>
  <c r="T579" i="18"/>
  <c r="U579" i="18" s="1"/>
  <c r="P700" i="18"/>
  <c r="AP613" i="18"/>
  <c r="AQ613" i="18" s="1"/>
  <c r="AR613" i="18" s="1"/>
  <c r="AS613" i="18" s="1"/>
  <c r="AT613" i="18" s="1"/>
  <c r="AU613" i="18" s="1"/>
  <c r="AV613" i="18" s="1"/>
  <c r="AW613" i="18" s="1"/>
  <c r="AX613" i="18" s="1"/>
  <c r="AY613" i="18" s="1"/>
  <c r="AZ613" i="18" s="1"/>
  <c r="BA613" i="18" s="1"/>
  <c r="BB613" i="18" s="1"/>
  <c r="BC613" i="18" s="1"/>
  <c r="BD613" i="18" s="1"/>
  <c r="BE613" i="18" s="1"/>
  <c r="BF613" i="18" s="1"/>
  <c r="BG613" i="18" s="1"/>
  <c r="BH613" i="18" s="1"/>
  <c r="BI613" i="18" s="1"/>
  <c r="P130" i="18"/>
  <c r="Q130" i="18" s="1"/>
  <c r="R130" i="18" s="1"/>
  <c r="R140" i="18" s="1"/>
  <c r="O140" i="18"/>
  <c r="AV82" i="18"/>
  <c r="U762" i="18"/>
  <c r="V762" i="18" s="1"/>
  <c r="W762" i="18" s="1"/>
  <c r="P856" i="18"/>
  <c r="R698" i="18"/>
  <c r="S698" i="18" s="1"/>
  <c r="BF395" i="18"/>
  <c r="BG395" i="18" s="1"/>
  <c r="BH395" i="18" s="1"/>
  <c r="BI395" i="18" s="1"/>
  <c r="P492" i="18"/>
  <c r="T860" i="18"/>
  <c r="U860" i="18" s="1"/>
  <c r="S320" i="18"/>
  <c r="T320" i="18" s="1"/>
  <c r="U320" i="18" s="1"/>
  <c r="U188" i="18"/>
  <c r="V188" i="18" s="1"/>
  <c r="W188" i="18" s="1"/>
  <c r="X188" i="18" s="1"/>
  <c r="S119" i="18"/>
  <c r="T119" i="18" s="1"/>
  <c r="U119" i="18" s="1"/>
  <c r="V119" i="18" s="1"/>
  <c r="W119" i="18" s="1"/>
  <c r="X119" i="18" s="1"/>
  <c r="Y119" i="18" s="1"/>
  <c r="Z119" i="18" s="1"/>
  <c r="AA119" i="18" s="1"/>
  <c r="AB119" i="18" s="1"/>
  <c r="AC119" i="18" s="1"/>
  <c r="AD119" i="18" s="1"/>
  <c r="AE119" i="18" s="1"/>
  <c r="AF119" i="18" s="1"/>
  <c r="AG119" i="18" s="1"/>
  <c r="AH119" i="18" s="1"/>
  <c r="AI119" i="18" s="1"/>
  <c r="AJ119" i="18" s="1"/>
  <c r="AK119" i="18" s="1"/>
  <c r="AL119" i="18" s="1"/>
  <c r="AM119" i="18" s="1"/>
  <c r="AN119" i="18" s="1"/>
  <c r="AO119" i="18" s="1"/>
  <c r="AP119" i="18" s="1"/>
  <c r="AQ119" i="18" s="1"/>
  <c r="AR119" i="18" s="1"/>
  <c r="AS119" i="18" s="1"/>
  <c r="AT119" i="18" s="1"/>
  <c r="AU119" i="18" s="1"/>
  <c r="AV119" i="18" s="1"/>
  <c r="AW119" i="18" s="1"/>
  <c r="AX119" i="18" s="1"/>
  <c r="AY119" i="18" s="1"/>
  <c r="AZ119" i="18" s="1"/>
  <c r="BA119" i="18" s="1"/>
  <c r="BB119" i="18" s="1"/>
  <c r="BC119" i="18" s="1"/>
  <c r="BD119" i="18" s="1"/>
  <c r="BE119" i="18" s="1"/>
  <c r="BF119" i="18" s="1"/>
  <c r="BG119" i="18" s="1"/>
  <c r="BH119" i="18" s="1"/>
  <c r="BI119" i="18" s="1"/>
  <c r="R620" i="18"/>
  <c r="S620" i="18" s="1"/>
  <c r="T620" i="18" s="1"/>
  <c r="V603" i="18"/>
  <c r="W603" i="18" s="1"/>
  <c r="X603" i="18" s="1"/>
  <c r="Y603" i="18" s="1"/>
  <c r="Z603" i="18" s="1"/>
  <c r="AA603" i="18" s="1"/>
  <c r="AB603" i="18" s="1"/>
  <c r="AC603" i="18" s="1"/>
  <c r="AD603" i="18" s="1"/>
  <c r="AE603" i="18" s="1"/>
  <c r="AF603" i="18" s="1"/>
  <c r="AG603" i="18" s="1"/>
  <c r="AH603" i="18" s="1"/>
  <c r="AI603" i="18" s="1"/>
  <c r="AJ603" i="18" s="1"/>
  <c r="AK603" i="18" s="1"/>
  <c r="AL603" i="18" s="1"/>
  <c r="AM603" i="18" s="1"/>
  <c r="AN603" i="18" s="1"/>
  <c r="AO603" i="18" s="1"/>
  <c r="AP603" i="18" s="1"/>
  <c r="AQ603" i="18" s="1"/>
  <c r="AR603" i="18" s="1"/>
  <c r="AS603" i="18" s="1"/>
  <c r="AT603" i="18" s="1"/>
  <c r="AU603" i="18" s="1"/>
  <c r="AV603" i="18" s="1"/>
  <c r="AW603" i="18" s="1"/>
  <c r="AX603" i="18" s="1"/>
  <c r="AY603" i="18" s="1"/>
  <c r="AZ603" i="18" s="1"/>
  <c r="BA603" i="18" s="1"/>
  <c r="BB603" i="18" s="1"/>
  <c r="BC603" i="18" s="1"/>
  <c r="BD603" i="18" s="1"/>
  <c r="BE603" i="18" s="1"/>
  <c r="BF603" i="18" s="1"/>
  <c r="BG603" i="18" s="1"/>
  <c r="BH603" i="18" s="1"/>
  <c r="BI603" i="18" s="1"/>
  <c r="U734" i="18"/>
  <c r="V734" i="18" s="1"/>
  <c r="W734" i="18" s="1"/>
  <c r="X734" i="18" s="1"/>
  <c r="Y734" i="18" s="1"/>
  <c r="S696" i="18"/>
  <c r="T696" i="18" s="1"/>
  <c r="U696" i="18" s="1"/>
  <c r="V696" i="18" s="1"/>
  <c r="W696" i="18" s="1"/>
  <c r="N40" i="7946"/>
  <c r="N56" i="7946"/>
  <c r="N81" i="7946" s="1"/>
  <c r="S228" i="18"/>
  <c r="T228" i="18" s="1"/>
  <c r="U228" i="18" s="1"/>
  <c r="P60" i="18"/>
  <c r="P674" i="18"/>
  <c r="O44" i="7943"/>
  <c r="O17" i="7946" s="1"/>
  <c r="Q413" i="18"/>
  <c r="P61" i="18"/>
  <c r="P68" i="18"/>
  <c r="Q426" i="18"/>
  <c r="R645" i="18"/>
  <c r="T397" i="18"/>
  <c r="U397" i="18" s="1"/>
  <c r="V397" i="18" s="1"/>
  <c r="S255" i="18"/>
  <c r="M56" i="7946"/>
  <c r="M81" i="7946" s="1"/>
  <c r="M40" i="7946"/>
  <c r="Z132" i="18"/>
  <c r="AA132" i="18" s="1"/>
  <c r="AB132" i="18" s="1"/>
  <c r="AC132" i="18" s="1"/>
  <c r="AD132" i="18" s="1"/>
  <c r="AE132" i="18" s="1"/>
  <c r="AF132" i="18" s="1"/>
  <c r="AG132" i="18" s="1"/>
  <c r="AH132" i="18" s="1"/>
  <c r="AI132" i="18" s="1"/>
  <c r="AJ132" i="18" s="1"/>
  <c r="AK132" i="18" s="1"/>
  <c r="AL132" i="18" s="1"/>
  <c r="AM132" i="18" s="1"/>
  <c r="AN132" i="18" s="1"/>
  <c r="AO132" i="18" s="1"/>
  <c r="AP132" i="18" s="1"/>
  <c r="AQ132" i="18" s="1"/>
  <c r="AR132" i="18" s="1"/>
  <c r="AS132" i="18" s="1"/>
  <c r="AT132" i="18" s="1"/>
  <c r="AU132" i="18" s="1"/>
  <c r="AV132" i="18" s="1"/>
  <c r="AW132" i="18" s="1"/>
  <c r="AX132" i="18" s="1"/>
  <c r="AY132" i="18" s="1"/>
  <c r="AZ132" i="18" s="1"/>
  <c r="BA132" i="18" s="1"/>
  <c r="BB132" i="18" s="1"/>
  <c r="BC132" i="18" s="1"/>
  <c r="BD132" i="18" s="1"/>
  <c r="BE132" i="18" s="1"/>
  <c r="BF132" i="18" s="1"/>
  <c r="BG132" i="18" s="1"/>
  <c r="BH132" i="18" s="1"/>
  <c r="BI132" i="18" s="1"/>
  <c r="V135" i="18"/>
  <c r="W135" i="18" s="1"/>
  <c r="X135" i="18" s="1"/>
  <c r="Y135" i="18" s="1"/>
  <c r="Z135" i="18" s="1"/>
  <c r="AA135" i="18" s="1"/>
  <c r="AB135" i="18" s="1"/>
  <c r="AC135" i="18" s="1"/>
  <c r="AD135" i="18" s="1"/>
  <c r="AE135" i="18" s="1"/>
  <c r="AF135" i="18" s="1"/>
  <c r="AG135" i="18" s="1"/>
  <c r="AH135" i="18" s="1"/>
  <c r="AI135" i="18" s="1"/>
  <c r="AJ135" i="18" s="1"/>
  <c r="AK135" i="18" s="1"/>
  <c r="AL135" i="18" s="1"/>
  <c r="AM135" i="18" s="1"/>
  <c r="AN135" i="18" s="1"/>
  <c r="AO135" i="18" s="1"/>
  <c r="AP135" i="18" s="1"/>
  <c r="AQ135" i="18" s="1"/>
  <c r="AR135" i="18" s="1"/>
  <c r="AS135" i="18" s="1"/>
  <c r="AT135" i="18" s="1"/>
  <c r="AU135" i="18" s="1"/>
  <c r="AV135" i="18" s="1"/>
  <c r="AW135" i="18" s="1"/>
  <c r="AX135" i="18" s="1"/>
  <c r="AY135" i="18" s="1"/>
  <c r="AZ135" i="18" s="1"/>
  <c r="BA135" i="18" s="1"/>
  <c r="BB135" i="18" s="1"/>
  <c r="BC135" i="18" s="1"/>
  <c r="BD135" i="18" s="1"/>
  <c r="BE135" i="18" s="1"/>
  <c r="BF135" i="18" s="1"/>
  <c r="BG135" i="18" s="1"/>
  <c r="BH135" i="18" s="1"/>
  <c r="BI135" i="18" s="1"/>
  <c r="AN510" i="18"/>
  <c r="AO510" i="18" s="1"/>
  <c r="AP510" i="18" s="1"/>
  <c r="AQ510" i="18" s="1"/>
  <c r="AR510" i="18" s="1"/>
  <c r="AS510" i="18" s="1"/>
  <c r="AT510" i="18" s="1"/>
  <c r="AU510" i="18" s="1"/>
  <c r="AV510" i="18" s="1"/>
  <c r="AW510" i="18" s="1"/>
  <c r="AX510" i="18" s="1"/>
  <c r="AY510" i="18" s="1"/>
  <c r="AZ510" i="18" s="1"/>
  <c r="BA510" i="18" s="1"/>
  <c r="BB510" i="18" s="1"/>
  <c r="BC510" i="18" s="1"/>
  <c r="BD510" i="18" s="1"/>
  <c r="BE510" i="18" s="1"/>
  <c r="BF510" i="18" s="1"/>
  <c r="BG510" i="18" s="1"/>
  <c r="BH510" i="18" s="1"/>
  <c r="R800" i="18"/>
  <c r="S800" i="18"/>
  <c r="T800" i="18" s="1"/>
  <c r="Q670" i="18"/>
  <c r="U616" i="18"/>
  <c r="V616" i="18" s="1"/>
  <c r="W616" i="18" s="1"/>
  <c r="X616" i="18" s="1"/>
  <c r="Y616" i="18" s="1"/>
  <c r="Z616" i="18" s="1"/>
  <c r="AA616" i="18" s="1"/>
  <c r="AB616" i="18" s="1"/>
  <c r="AC616" i="18" s="1"/>
  <c r="AD616" i="18" s="1"/>
  <c r="AE616" i="18" s="1"/>
  <c r="AF616" i="18" s="1"/>
  <c r="AG616" i="18" s="1"/>
  <c r="AH616" i="18" s="1"/>
  <c r="AI616" i="18" s="1"/>
  <c r="AJ616" i="18" s="1"/>
  <c r="AK616" i="18" s="1"/>
  <c r="AL616" i="18" s="1"/>
  <c r="AM616" i="18" s="1"/>
  <c r="AN616" i="18" s="1"/>
  <c r="AO616" i="18" s="1"/>
  <c r="AP616" i="18" s="1"/>
  <c r="AQ616" i="18" s="1"/>
  <c r="AR616" i="18" s="1"/>
  <c r="AS616" i="18" s="1"/>
  <c r="AT616" i="18" s="1"/>
  <c r="AU616" i="18" s="1"/>
  <c r="AV616" i="18" s="1"/>
  <c r="AW616" i="18" s="1"/>
  <c r="AX616" i="18" s="1"/>
  <c r="AY616" i="18" s="1"/>
  <c r="AZ616" i="18" s="1"/>
  <c r="BA616" i="18" s="1"/>
  <c r="BB616" i="18" s="1"/>
  <c r="BC616" i="18" s="1"/>
  <c r="BD616" i="18" s="1"/>
  <c r="BE616" i="18" s="1"/>
  <c r="BF616" i="18" s="1"/>
  <c r="BG616" i="18" s="1"/>
  <c r="BH616" i="18" s="1"/>
  <c r="BI616" i="18" s="1"/>
  <c r="W238" i="18"/>
  <c r="X238" i="18" s="1"/>
  <c r="W266" i="18"/>
  <c r="U747" i="18"/>
  <c r="V747" i="18" s="1"/>
  <c r="Q400" i="18"/>
  <c r="R451" i="18"/>
  <c r="S451" i="18" s="1"/>
  <c r="S589" i="18"/>
  <c r="T589" i="18" s="1"/>
  <c r="U589" i="18" s="1"/>
  <c r="V589" i="18" s="1"/>
  <c r="W589" i="18" s="1"/>
  <c r="X589" i="18" s="1"/>
  <c r="Y589" i="18" s="1"/>
  <c r="Z589" i="18" s="1"/>
  <c r="AA589" i="18" s="1"/>
  <c r="AH522" i="18"/>
  <c r="AI522" i="18" s="1"/>
  <c r="AJ522" i="18" s="1"/>
  <c r="AK522" i="18" s="1"/>
  <c r="AL522" i="18" s="1"/>
  <c r="AM522" i="18" s="1"/>
  <c r="AN522" i="18" s="1"/>
  <c r="AO522" i="18" s="1"/>
  <c r="AP522" i="18" s="1"/>
  <c r="AQ522" i="18" s="1"/>
  <c r="AR522" i="18" s="1"/>
  <c r="AS522" i="18" s="1"/>
  <c r="AT522" i="18" s="1"/>
  <c r="AU522" i="18" s="1"/>
  <c r="AV522" i="18" s="1"/>
  <c r="AW522" i="18" s="1"/>
  <c r="AX522" i="18" s="1"/>
  <c r="AY522" i="18" s="1"/>
  <c r="AZ522" i="18" s="1"/>
  <c r="BA522" i="18" s="1"/>
  <c r="BB522" i="18" s="1"/>
  <c r="BC522" i="18" s="1"/>
  <c r="BD522" i="18" s="1"/>
  <c r="BE522" i="18" s="1"/>
  <c r="BF522" i="18" s="1"/>
  <c r="BG522" i="18" s="1"/>
  <c r="BH522" i="18" s="1"/>
  <c r="BI522" i="18" s="1"/>
  <c r="S384" i="18"/>
  <c r="T384" i="18" s="1"/>
  <c r="U384" i="18" s="1"/>
  <c r="V384" i="18" s="1"/>
  <c r="W384" i="18" s="1"/>
  <c r="X384" i="18" s="1"/>
  <c r="Y384" i="18" s="1"/>
  <c r="Z384" i="18" s="1"/>
  <c r="O41" i="18"/>
  <c r="O66" i="24" s="1"/>
  <c r="P765" i="18"/>
  <c r="P622" i="18"/>
  <c r="V290" i="18"/>
  <c r="W290" i="18" s="1"/>
  <c r="X290" i="18" s="1"/>
  <c r="Y290" i="18" s="1"/>
  <c r="Z290" i="18" s="1"/>
  <c r="AA290" i="18" s="1"/>
  <c r="AB290" i="18" s="1"/>
  <c r="AC290" i="18" s="1"/>
  <c r="AD290" i="18" s="1"/>
  <c r="AE290" i="18" s="1"/>
  <c r="AF290" i="18" s="1"/>
  <c r="AG290" i="18" s="1"/>
  <c r="AH290" i="18" s="1"/>
  <c r="AI290" i="18" s="1"/>
  <c r="AJ290" i="18" s="1"/>
  <c r="AK290" i="18" s="1"/>
  <c r="AL290" i="18" s="1"/>
  <c r="AM290" i="18" s="1"/>
  <c r="AN290" i="18" s="1"/>
  <c r="AO290" i="18" s="1"/>
  <c r="AP290" i="18" s="1"/>
  <c r="AQ290" i="18" s="1"/>
  <c r="AR290" i="18" s="1"/>
  <c r="AS290" i="18" s="1"/>
  <c r="AT290" i="18" s="1"/>
  <c r="AU290" i="18" s="1"/>
  <c r="AV290" i="18" s="1"/>
  <c r="AW290" i="18" s="1"/>
  <c r="AX290" i="18" s="1"/>
  <c r="AY290" i="18" s="1"/>
  <c r="AZ290" i="18" s="1"/>
  <c r="BA290" i="18" s="1"/>
  <c r="BB290" i="18" s="1"/>
  <c r="BC290" i="18" s="1"/>
  <c r="BD290" i="18" s="1"/>
  <c r="BE290" i="18" s="1"/>
  <c r="BF290" i="18" s="1"/>
  <c r="BG290" i="18" s="1"/>
  <c r="BH290" i="18" s="1"/>
  <c r="BI290" i="18" s="1"/>
  <c r="Y342" i="18"/>
  <c r="Z342" i="18" s="1"/>
  <c r="AA342" i="18" s="1"/>
  <c r="AB342" i="18" s="1"/>
  <c r="AC342" i="18" s="1"/>
  <c r="AD342" i="18" s="1"/>
  <c r="AE342" i="18" s="1"/>
  <c r="AF342" i="18" s="1"/>
  <c r="AG342" i="18" s="1"/>
  <c r="AH342" i="18" s="1"/>
  <c r="AI342" i="18" s="1"/>
  <c r="AJ342" i="18" s="1"/>
  <c r="AK342" i="18" s="1"/>
  <c r="AL342" i="18" s="1"/>
  <c r="AM342" i="18" s="1"/>
  <c r="AN342" i="18" s="1"/>
  <c r="AO342" i="18" s="1"/>
  <c r="AP342" i="18" s="1"/>
  <c r="AQ342" i="18" s="1"/>
  <c r="AR342" i="18" s="1"/>
  <c r="AS342" i="18" s="1"/>
  <c r="AT342" i="18" s="1"/>
  <c r="AU342" i="18" s="1"/>
  <c r="AV342" i="18" s="1"/>
  <c r="AW342" i="18" s="1"/>
  <c r="AX342" i="18" s="1"/>
  <c r="AY342" i="18" s="1"/>
  <c r="AZ342" i="18" s="1"/>
  <c r="BA342" i="18" s="1"/>
  <c r="BB342" i="18" s="1"/>
  <c r="BC342" i="18" s="1"/>
  <c r="BD342" i="18" s="1"/>
  <c r="BE342" i="18" s="1"/>
  <c r="BF342" i="18" s="1"/>
  <c r="BG342" i="18" s="1"/>
  <c r="BH342" i="18" s="1"/>
  <c r="BI342" i="18" s="1"/>
  <c r="P791" i="18"/>
  <c r="AH513" i="18"/>
  <c r="AI513" i="18" s="1"/>
  <c r="U824" i="18"/>
  <c r="R568" i="18"/>
  <c r="S568" i="18" s="1"/>
  <c r="T568" i="18" s="1"/>
  <c r="U292" i="18"/>
  <c r="V292" i="18" s="1"/>
  <c r="W629" i="18"/>
  <c r="X629" i="18" s="1"/>
  <c r="Y629" i="18" s="1"/>
  <c r="Z629" i="18" s="1"/>
  <c r="U462" i="18"/>
  <c r="V462" i="18" s="1"/>
  <c r="W462" i="18" s="1"/>
  <c r="X462" i="18" s="1"/>
  <c r="Y462" i="18" s="1"/>
  <c r="Z462" i="18" s="1"/>
  <c r="AA462" i="18" s="1"/>
  <c r="AB462" i="18" s="1"/>
  <c r="AC462" i="18" s="1"/>
  <c r="AD462" i="18" s="1"/>
  <c r="AE462" i="18" s="1"/>
  <c r="AF462" i="18" s="1"/>
  <c r="AG462" i="18" s="1"/>
  <c r="AH462" i="18" s="1"/>
  <c r="AI462" i="18" s="1"/>
  <c r="AJ462" i="18" s="1"/>
  <c r="AK462" i="18" s="1"/>
  <c r="AL462" i="18" s="1"/>
  <c r="AM462" i="18" s="1"/>
  <c r="AN462" i="18" s="1"/>
  <c r="AO462" i="18" s="1"/>
  <c r="AP462" i="18" s="1"/>
  <c r="AQ462" i="18" s="1"/>
  <c r="Z745" i="18"/>
  <c r="AA745" i="18" s="1"/>
  <c r="AB745" i="18" s="1"/>
  <c r="AC745" i="18" s="1"/>
  <c r="V201" i="18"/>
  <c r="W201" i="18" s="1"/>
  <c r="X201" i="18" s="1"/>
  <c r="Y201" i="18" s="1"/>
  <c r="Z201" i="18" s="1"/>
  <c r="U716" i="18"/>
  <c r="V716" i="18" s="1"/>
  <c r="R399" i="18"/>
  <c r="S399" i="18" s="1"/>
  <c r="AW85" i="18"/>
  <c r="AX85" i="18" s="1"/>
  <c r="AE743" i="18"/>
  <c r="AF743" i="18" s="1"/>
  <c r="AG743" i="18" s="1"/>
  <c r="AH743" i="18" s="1"/>
  <c r="AI743" i="18" s="1"/>
  <c r="AJ743" i="18" s="1"/>
  <c r="AK743" i="18" s="1"/>
  <c r="AL743" i="18" s="1"/>
  <c r="AM743" i="18" s="1"/>
  <c r="AN743" i="18" s="1"/>
  <c r="AO743" i="18" s="1"/>
  <c r="T553" i="18"/>
  <c r="U553" i="18" s="1"/>
  <c r="V553" i="18" s="1"/>
  <c r="AF313" i="18"/>
  <c r="AG313" i="18" s="1"/>
  <c r="AH313" i="18" s="1"/>
  <c r="AI313" i="18" s="1"/>
  <c r="AJ313" i="18" s="1"/>
  <c r="AK313" i="18" s="1"/>
  <c r="AL313" i="18" s="1"/>
  <c r="AM313" i="18" s="1"/>
  <c r="AN313" i="18" s="1"/>
  <c r="AO313" i="18" s="1"/>
  <c r="AP313" i="18" s="1"/>
  <c r="AQ313" i="18" s="1"/>
  <c r="AR313" i="18" s="1"/>
  <c r="AS313" i="18" s="1"/>
  <c r="AT313" i="18" s="1"/>
  <c r="AU313" i="18" s="1"/>
  <c r="AV313" i="18" s="1"/>
  <c r="AW313" i="18" s="1"/>
  <c r="AX313" i="18" s="1"/>
  <c r="AY313" i="18" s="1"/>
  <c r="AZ313" i="18" s="1"/>
  <c r="BA313" i="18" s="1"/>
  <c r="BB313" i="18" s="1"/>
  <c r="BC313" i="18" s="1"/>
  <c r="BD313" i="18" s="1"/>
  <c r="BE313" i="18" s="1"/>
  <c r="BF313" i="18" s="1"/>
  <c r="BG313" i="18" s="1"/>
  <c r="BH313" i="18" s="1"/>
  <c r="BI313" i="18" s="1"/>
  <c r="AS100" i="18"/>
  <c r="AT100" i="18" s="1"/>
  <c r="AU100" i="18" s="1"/>
  <c r="T277" i="18"/>
  <c r="U277" i="18" s="1"/>
  <c r="V277" i="18" s="1"/>
  <c r="W277" i="18" s="1"/>
  <c r="X277" i="18" s="1"/>
  <c r="Y277" i="18" s="1"/>
  <c r="Z277" i="18" s="1"/>
  <c r="AA277" i="18" s="1"/>
  <c r="AB277" i="18" s="1"/>
  <c r="AC277" i="18" s="1"/>
  <c r="AD277" i="18" s="1"/>
  <c r="AE277" i="18" s="1"/>
  <c r="AF277" i="18" s="1"/>
  <c r="AG277" i="18" s="1"/>
  <c r="AH277" i="18" s="1"/>
  <c r="AI277" i="18" s="1"/>
  <c r="AJ277" i="18" s="1"/>
  <c r="AK277" i="18" s="1"/>
  <c r="AL277" i="18" s="1"/>
  <c r="AM277" i="18" s="1"/>
  <c r="AN277" i="18" s="1"/>
  <c r="AO277" i="18" s="1"/>
  <c r="AP277" i="18" s="1"/>
  <c r="AQ277" i="18" s="1"/>
  <c r="AR277" i="18" s="1"/>
  <c r="AS277" i="18" s="1"/>
  <c r="AT277" i="18" s="1"/>
  <c r="AU277" i="18" s="1"/>
  <c r="AV277" i="18" s="1"/>
  <c r="AW277" i="18" s="1"/>
  <c r="AX277" i="18" s="1"/>
  <c r="AY277" i="18" s="1"/>
  <c r="AZ277" i="18" s="1"/>
  <c r="BA277" i="18" s="1"/>
  <c r="BB277" i="18" s="1"/>
  <c r="BC277" i="18" s="1"/>
  <c r="BD277" i="18" s="1"/>
  <c r="BE277" i="18" s="1"/>
  <c r="BF277" i="18" s="1"/>
  <c r="BG277" i="18" s="1"/>
  <c r="BH277" i="18" s="1"/>
  <c r="BI277" i="18" s="1"/>
  <c r="U396" i="18"/>
  <c r="V396" i="18" s="1"/>
  <c r="W396" i="18" s="1"/>
  <c r="W797" i="18"/>
  <c r="X797" i="18" s="1"/>
  <c r="Y797" i="18" s="1"/>
  <c r="Z797" i="18" s="1"/>
  <c r="AA797" i="18" s="1"/>
  <c r="AB797" i="18" s="1"/>
  <c r="AC797" i="18" s="1"/>
  <c r="X524" i="18"/>
  <c r="Y524" i="18" s="1"/>
  <c r="Z524" i="18" s="1"/>
  <c r="AA524" i="18" s="1"/>
  <c r="AB524" i="18" s="1"/>
  <c r="AC524" i="18" s="1"/>
  <c r="AD524" i="18" s="1"/>
  <c r="AE524" i="18" s="1"/>
  <c r="AF524" i="18" s="1"/>
  <c r="AG524" i="18" s="1"/>
  <c r="AH524" i="18" s="1"/>
  <c r="AI524" i="18" s="1"/>
  <c r="AJ524" i="18" s="1"/>
  <c r="AK524" i="18" s="1"/>
  <c r="AL524" i="18" s="1"/>
  <c r="AM524" i="18" s="1"/>
  <c r="AN524" i="18" s="1"/>
  <c r="AO524" i="18" s="1"/>
  <c r="AP524" i="18" s="1"/>
  <c r="AQ524" i="18" s="1"/>
  <c r="AR524" i="18" s="1"/>
  <c r="AS524" i="18" s="1"/>
  <c r="AT524" i="18" s="1"/>
  <c r="AU524" i="18" s="1"/>
  <c r="AV524" i="18" s="1"/>
  <c r="AW524" i="18" s="1"/>
  <c r="AX524" i="18" s="1"/>
  <c r="AY524" i="18" s="1"/>
  <c r="AZ524" i="18" s="1"/>
  <c r="BA524" i="18" s="1"/>
  <c r="BB524" i="18" s="1"/>
  <c r="BC524" i="18" s="1"/>
  <c r="BD524" i="18" s="1"/>
  <c r="BE524" i="18" s="1"/>
  <c r="BF524" i="18" s="1"/>
  <c r="BG524" i="18" s="1"/>
  <c r="R775" i="18"/>
  <c r="S775" i="18" s="1"/>
  <c r="T775" i="18" s="1"/>
  <c r="U775" i="18" s="1"/>
  <c r="AU110" i="18"/>
  <c r="AV110" i="18" s="1"/>
  <c r="AW110" i="18" s="1"/>
  <c r="AX110" i="18" s="1"/>
  <c r="AY110" i="18" s="1"/>
  <c r="AZ110" i="18" s="1"/>
  <c r="BA110" i="18" s="1"/>
  <c r="BB110" i="18" s="1"/>
  <c r="BC110" i="18" s="1"/>
  <c r="BD110" i="18" s="1"/>
  <c r="BE110" i="18" s="1"/>
  <c r="BF110" i="18" s="1"/>
  <c r="BG110" i="18" s="1"/>
  <c r="BH110" i="18" s="1"/>
  <c r="BI110" i="18" s="1"/>
  <c r="R815" i="18"/>
  <c r="S815" i="18" s="1"/>
  <c r="X770" i="18"/>
  <c r="Y770" i="18" s="1"/>
  <c r="Z770" i="18" s="1"/>
  <c r="AA770" i="18" s="1"/>
  <c r="AB770" i="18" s="1"/>
  <c r="AC770" i="18" s="1"/>
  <c r="AD770" i="18" s="1"/>
  <c r="AE770" i="18" s="1"/>
  <c r="AF770" i="18" s="1"/>
  <c r="AG770" i="18" s="1"/>
  <c r="AH770" i="18" s="1"/>
  <c r="AI770" i="18" s="1"/>
  <c r="AJ770" i="18" s="1"/>
  <c r="AK770" i="18" s="1"/>
  <c r="AL770" i="18" s="1"/>
  <c r="AM770" i="18" s="1"/>
  <c r="AN770" i="18" s="1"/>
  <c r="AO770" i="18" s="1"/>
  <c r="AP770" i="18" s="1"/>
  <c r="AQ770" i="18" s="1"/>
  <c r="AR770" i="18" s="1"/>
  <c r="AS770" i="18" s="1"/>
  <c r="AT770" i="18" s="1"/>
  <c r="AU770" i="18" s="1"/>
  <c r="AV770" i="18" s="1"/>
  <c r="AW770" i="18" s="1"/>
  <c r="AX770" i="18" s="1"/>
  <c r="AY770" i="18" s="1"/>
  <c r="AZ770" i="18" s="1"/>
  <c r="BA770" i="18" s="1"/>
  <c r="BB770" i="18" s="1"/>
  <c r="BC770" i="18" s="1"/>
  <c r="BD770" i="18" s="1"/>
  <c r="BE770" i="18" s="1"/>
  <c r="BF770" i="18" s="1"/>
  <c r="BG770" i="18" s="1"/>
  <c r="BH770" i="18" s="1"/>
  <c r="BI770" i="18" s="1"/>
  <c r="S125" i="18"/>
  <c r="T125" i="18" s="1"/>
  <c r="U125" i="18" s="1"/>
  <c r="V125" i="18" s="1"/>
  <c r="W125" i="18" s="1"/>
  <c r="R593" i="18"/>
  <c r="S593" i="18" s="1"/>
  <c r="T151" i="18"/>
  <c r="U151" i="18" s="1"/>
  <c r="V151" i="18" s="1"/>
  <c r="W151" i="18" s="1"/>
  <c r="X151" i="18" s="1"/>
  <c r="Y151" i="18" s="1"/>
  <c r="Z151" i="18" s="1"/>
  <c r="AA151" i="18" s="1"/>
  <c r="AB151" i="18" s="1"/>
  <c r="AC151" i="18" s="1"/>
  <c r="AD151" i="18" s="1"/>
  <c r="AE151" i="18" s="1"/>
  <c r="AF151" i="18" s="1"/>
  <c r="AG151" i="18" s="1"/>
  <c r="AH151" i="18" s="1"/>
  <c r="AI151" i="18" s="1"/>
  <c r="AJ151" i="18" s="1"/>
  <c r="AK151" i="18" s="1"/>
  <c r="AL151" i="18" s="1"/>
  <c r="AM151" i="18" s="1"/>
  <c r="AN151" i="18" s="1"/>
  <c r="AO151" i="18" s="1"/>
  <c r="AP151" i="18" s="1"/>
  <c r="AQ151" i="18" s="1"/>
  <c r="AR151" i="18" s="1"/>
  <c r="AS151" i="18" s="1"/>
  <c r="AT151" i="18" s="1"/>
  <c r="AU151" i="18" s="1"/>
  <c r="AV151" i="18" s="1"/>
  <c r="AW151" i="18" s="1"/>
  <c r="AX151" i="18" s="1"/>
  <c r="AY151" i="18" s="1"/>
  <c r="AZ151" i="18" s="1"/>
  <c r="BA151" i="18" s="1"/>
  <c r="BB151" i="18" s="1"/>
  <c r="BC151" i="18" s="1"/>
  <c r="BD151" i="18" s="1"/>
  <c r="BE151" i="18" s="1"/>
  <c r="BF151" i="18" s="1"/>
  <c r="BG151" i="18" s="1"/>
  <c r="BH151" i="18" s="1"/>
  <c r="BI151" i="18" s="1"/>
  <c r="U632" i="18"/>
  <c r="V632" i="18" s="1"/>
  <c r="W632" i="18" s="1"/>
  <c r="X632" i="18" s="1"/>
  <c r="Y632" i="18" s="1"/>
  <c r="Z632" i="18" s="1"/>
  <c r="AA632" i="18" s="1"/>
  <c r="AB632" i="18" s="1"/>
  <c r="AC632" i="18" s="1"/>
  <c r="AD632" i="18" s="1"/>
  <c r="AE632" i="18" s="1"/>
  <c r="AF632" i="18" s="1"/>
  <c r="AG632" i="18" s="1"/>
  <c r="AH632" i="18" s="1"/>
  <c r="AI632" i="18" s="1"/>
  <c r="AJ632" i="18" s="1"/>
  <c r="AK632" i="18" s="1"/>
  <c r="AL632" i="18" s="1"/>
  <c r="AM632" i="18" s="1"/>
  <c r="AN632" i="18" s="1"/>
  <c r="AO632" i="18" s="1"/>
  <c r="AP632" i="18" s="1"/>
  <c r="AQ632" i="18" s="1"/>
  <c r="AR632" i="18" s="1"/>
  <c r="AS632" i="18" s="1"/>
  <c r="AT632" i="18" s="1"/>
  <c r="AU632" i="18" s="1"/>
  <c r="AV632" i="18" s="1"/>
  <c r="AW632" i="18" s="1"/>
  <c r="AX632" i="18" s="1"/>
  <c r="AY632" i="18" s="1"/>
  <c r="AZ632" i="18" s="1"/>
  <c r="BA632" i="18" s="1"/>
  <c r="BB632" i="18" s="1"/>
  <c r="BC632" i="18" s="1"/>
  <c r="BD632" i="18" s="1"/>
  <c r="BE632" i="18" s="1"/>
  <c r="BF632" i="18" s="1"/>
  <c r="BG632" i="18" s="1"/>
  <c r="BH632" i="18" s="1"/>
  <c r="BI632" i="18" s="1"/>
  <c r="W265" i="18"/>
  <c r="X265" i="18" s="1"/>
  <c r="Y265" i="18" s="1"/>
  <c r="Z265" i="18" s="1"/>
  <c r="P169" i="18"/>
  <c r="O179" i="18"/>
  <c r="S175" i="18"/>
  <c r="T175" i="18" s="1"/>
  <c r="W658" i="18"/>
  <c r="X658" i="18" s="1"/>
  <c r="O465" i="18"/>
  <c r="P455" i="18"/>
  <c r="V602" i="18"/>
  <c r="W602" i="18" s="1"/>
  <c r="T268" i="18"/>
  <c r="U182" i="18"/>
  <c r="V182" i="18" s="1"/>
  <c r="W182" i="18" s="1"/>
  <c r="Q867" i="18"/>
  <c r="R867" i="18" s="1"/>
  <c r="S867" i="18" s="1"/>
  <c r="W695" i="18"/>
  <c r="X695" i="18" s="1"/>
  <c r="S425" i="18"/>
  <c r="T425" i="18" s="1"/>
  <c r="AE502" i="18"/>
  <c r="AF502" i="18" s="1"/>
  <c r="S763" i="18"/>
  <c r="T763" i="18" s="1"/>
  <c r="S840" i="18"/>
  <c r="T840" i="18" s="1"/>
  <c r="Y147" i="18"/>
  <c r="Z147" i="18" s="1"/>
  <c r="AA147" i="18" s="1"/>
  <c r="AB147" i="18" s="1"/>
  <c r="AC147" i="18" s="1"/>
  <c r="AD147" i="18" s="1"/>
  <c r="AE147" i="18" s="1"/>
  <c r="AF147" i="18" s="1"/>
  <c r="AG147" i="18" s="1"/>
  <c r="AH147" i="18" s="1"/>
  <c r="AI147" i="18" s="1"/>
  <c r="AJ147" i="18" s="1"/>
  <c r="AK147" i="18" s="1"/>
  <c r="AL147" i="18" s="1"/>
  <c r="AM147" i="18" s="1"/>
  <c r="AN147" i="18" s="1"/>
  <c r="AO147" i="18" s="1"/>
  <c r="AP147" i="18" s="1"/>
  <c r="AQ147" i="18" s="1"/>
  <c r="AR147" i="18" s="1"/>
  <c r="AS147" i="18" s="1"/>
  <c r="AT147" i="18" s="1"/>
  <c r="AU147" i="18" s="1"/>
  <c r="AV147" i="18" s="1"/>
  <c r="AW147" i="18" s="1"/>
  <c r="AX147" i="18" s="1"/>
  <c r="AY147" i="18" s="1"/>
  <c r="AZ147" i="18" s="1"/>
  <c r="BA147" i="18" s="1"/>
  <c r="BB147" i="18" s="1"/>
  <c r="BC147" i="18" s="1"/>
  <c r="BD147" i="18" s="1"/>
  <c r="BE147" i="18" s="1"/>
  <c r="BF147" i="18" s="1"/>
  <c r="BG147" i="18" s="1"/>
  <c r="BH147" i="18" s="1"/>
  <c r="BI147" i="18" s="1"/>
  <c r="Q733" i="18"/>
  <c r="R733" i="18" s="1"/>
  <c r="R485" i="18"/>
  <c r="U628" i="18"/>
  <c r="T137" i="18"/>
  <c r="U137" i="18" s="1"/>
  <c r="L57" i="7946"/>
  <c r="M57" i="7946" s="1"/>
  <c r="R308" i="18"/>
  <c r="S308" i="18" s="1"/>
  <c r="R854" i="18"/>
  <c r="P67" i="7946"/>
  <c r="U330" i="18"/>
  <c r="V808" i="18"/>
  <c r="X850" i="18"/>
  <c r="Y850" i="18" s="1"/>
  <c r="Z850" i="18" s="1"/>
  <c r="AA850" i="18" s="1"/>
  <c r="AB850" i="18" s="1"/>
  <c r="AC850" i="18" s="1"/>
  <c r="AD850" i="18" s="1"/>
  <c r="AE850" i="18" s="1"/>
  <c r="AF850" i="18" s="1"/>
  <c r="AG850" i="18" s="1"/>
  <c r="AH850" i="18" s="1"/>
  <c r="AI850" i="18" s="1"/>
  <c r="AJ850" i="18" s="1"/>
  <c r="AK850" i="18" s="1"/>
  <c r="AL850" i="18" s="1"/>
  <c r="AM850" i="18" s="1"/>
  <c r="AN850" i="18" s="1"/>
  <c r="AO850" i="18" s="1"/>
  <c r="AP850" i="18" s="1"/>
  <c r="AQ850" i="18" s="1"/>
  <c r="AR850" i="18" s="1"/>
  <c r="AS850" i="18" s="1"/>
  <c r="AT850" i="18" s="1"/>
  <c r="AU850" i="18" s="1"/>
  <c r="AV850" i="18" s="1"/>
  <c r="AW850" i="18" s="1"/>
  <c r="AX850" i="18" s="1"/>
  <c r="AY850" i="18" s="1"/>
  <c r="AZ850" i="18" s="1"/>
  <c r="BA850" i="18" s="1"/>
  <c r="BB850" i="18" s="1"/>
  <c r="BC850" i="18" s="1"/>
  <c r="BD850" i="18" s="1"/>
  <c r="BE850" i="18" s="1"/>
  <c r="BF850" i="18" s="1"/>
  <c r="BG850" i="18" s="1"/>
  <c r="BH850" i="18" s="1"/>
  <c r="BI850" i="18" s="1"/>
  <c r="O70" i="7946"/>
  <c r="O95" i="7946" s="1"/>
  <c r="W239" i="18"/>
  <c r="X239" i="18" s="1"/>
  <c r="Y239" i="18" s="1"/>
  <c r="Z239" i="18" s="1"/>
  <c r="AA239" i="18" s="1"/>
  <c r="AB239" i="18" s="1"/>
  <c r="AC239" i="18" s="1"/>
  <c r="AD239" i="18" s="1"/>
  <c r="AE239" i="18" s="1"/>
  <c r="AF239" i="18" s="1"/>
  <c r="AG239" i="18" s="1"/>
  <c r="AH239" i="18" s="1"/>
  <c r="AI239" i="18" s="1"/>
  <c r="AJ239" i="18" s="1"/>
  <c r="AK239" i="18" s="1"/>
  <c r="AL239" i="18" s="1"/>
  <c r="AM239" i="18" s="1"/>
  <c r="AN239" i="18" s="1"/>
  <c r="AO239" i="18" s="1"/>
  <c r="AP239" i="18" s="1"/>
  <c r="AQ239" i="18" s="1"/>
  <c r="AR239" i="18" s="1"/>
  <c r="AS239" i="18" s="1"/>
  <c r="AT239" i="18" s="1"/>
  <c r="AU239" i="18" s="1"/>
  <c r="AV239" i="18" s="1"/>
  <c r="AW239" i="18" s="1"/>
  <c r="AX239" i="18" s="1"/>
  <c r="AY239" i="18" s="1"/>
  <c r="AZ239" i="18" s="1"/>
  <c r="BA239" i="18" s="1"/>
  <c r="BB239" i="18" s="1"/>
  <c r="BC239" i="18" s="1"/>
  <c r="BD239" i="18" s="1"/>
  <c r="BE239" i="18" s="1"/>
  <c r="BF239" i="18" s="1"/>
  <c r="BG239" i="18" s="1"/>
  <c r="BH239" i="18" s="1"/>
  <c r="BI239" i="18" s="1"/>
  <c r="U173" i="18"/>
  <c r="V173" i="18" s="1"/>
  <c r="W173" i="18" s="1"/>
  <c r="X173" i="18" s="1"/>
  <c r="Y173" i="18" s="1"/>
  <c r="Z173" i="18" s="1"/>
  <c r="AA173" i="18" s="1"/>
  <c r="AB173" i="18" s="1"/>
  <c r="AC173" i="18" s="1"/>
  <c r="AD173" i="18" s="1"/>
  <c r="AE173" i="18" s="1"/>
  <c r="AF173" i="18" s="1"/>
  <c r="AG173" i="18" s="1"/>
  <c r="AH173" i="18" s="1"/>
  <c r="AI173" i="18" s="1"/>
  <c r="AJ173" i="18" s="1"/>
  <c r="AK173" i="18" s="1"/>
  <c r="AL173" i="18" s="1"/>
  <c r="AM173" i="18" s="1"/>
  <c r="AN173" i="18" s="1"/>
  <c r="AO173" i="18" s="1"/>
  <c r="AP173" i="18" s="1"/>
  <c r="AQ173" i="18" s="1"/>
  <c r="AR173" i="18" s="1"/>
  <c r="AS173" i="18" s="1"/>
  <c r="AT173" i="18" s="1"/>
  <c r="AU173" i="18" s="1"/>
  <c r="AV173" i="18" s="1"/>
  <c r="AW173" i="18" s="1"/>
  <c r="AX173" i="18" s="1"/>
  <c r="AY173" i="18" s="1"/>
  <c r="AZ173" i="18" s="1"/>
  <c r="BA173" i="18" s="1"/>
  <c r="BB173" i="18" s="1"/>
  <c r="BC173" i="18" s="1"/>
  <c r="BD173" i="18" s="1"/>
  <c r="BE173" i="18" s="1"/>
  <c r="BF173" i="18" s="1"/>
  <c r="BG173" i="18" s="1"/>
  <c r="BH173" i="18" s="1"/>
  <c r="BI173" i="18" s="1"/>
  <c r="W562" i="18"/>
  <c r="X562" i="18" s="1"/>
  <c r="Y562" i="18" s="1"/>
  <c r="Z562" i="18" s="1"/>
  <c r="AA562" i="18" s="1"/>
  <c r="AB562" i="18" s="1"/>
  <c r="AC562" i="18" s="1"/>
  <c r="AD562" i="18" s="1"/>
  <c r="AE562" i="18" s="1"/>
  <c r="AF562" i="18" s="1"/>
  <c r="AG562" i="18" s="1"/>
  <c r="AH562" i="18" s="1"/>
  <c r="AI562" i="18" s="1"/>
  <c r="AJ562" i="18" s="1"/>
  <c r="AK562" i="18" s="1"/>
  <c r="AL562" i="18" s="1"/>
  <c r="AM562" i="18" s="1"/>
  <c r="AN562" i="18" s="1"/>
  <c r="AO562" i="18" s="1"/>
  <c r="AP562" i="18" s="1"/>
  <c r="AQ562" i="18" s="1"/>
  <c r="AR562" i="18" s="1"/>
  <c r="AS562" i="18" s="1"/>
  <c r="AT562" i="18" s="1"/>
  <c r="AU562" i="18" s="1"/>
  <c r="AV562" i="18" s="1"/>
  <c r="AW562" i="18" s="1"/>
  <c r="AX562" i="18" s="1"/>
  <c r="AY562" i="18" s="1"/>
  <c r="AZ562" i="18" s="1"/>
  <c r="BA562" i="18" s="1"/>
  <c r="BB562" i="18" s="1"/>
  <c r="BC562" i="18" s="1"/>
  <c r="BD562" i="18" s="1"/>
  <c r="BE562" i="18" s="1"/>
  <c r="BF562" i="18" s="1"/>
  <c r="BG562" i="18" s="1"/>
  <c r="BH562" i="18" s="1"/>
  <c r="BI562" i="18" s="1"/>
  <c r="R176" i="18"/>
  <c r="S176" i="18" s="1"/>
  <c r="S230" i="18"/>
  <c r="AL600" i="18"/>
  <c r="AM600" i="18" s="1"/>
  <c r="AN600" i="18" s="1"/>
  <c r="AO600" i="18" s="1"/>
  <c r="AP600" i="18" s="1"/>
  <c r="AQ600" i="18" s="1"/>
  <c r="AR600" i="18" s="1"/>
  <c r="AS600" i="18" s="1"/>
  <c r="AT600" i="18" s="1"/>
  <c r="AU600" i="18" s="1"/>
  <c r="AV600" i="18" s="1"/>
  <c r="AW600" i="18" s="1"/>
  <c r="AX600" i="18" s="1"/>
  <c r="AY600" i="18" s="1"/>
  <c r="AZ600" i="18" s="1"/>
  <c r="BA600" i="18" s="1"/>
  <c r="BB600" i="18" s="1"/>
  <c r="BC600" i="18" s="1"/>
  <c r="BD600" i="18" s="1"/>
  <c r="BE600" i="18" s="1"/>
  <c r="BF600" i="18" s="1"/>
  <c r="BG600" i="18" s="1"/>
  <c r="BH600" i="18" s="1"/>
  <c r="BI600" i="18" s="1"/>
  <c r="R542" i="18"/>
  <c r="S542" i="18" s="1"/>
  <c r="T542" i="18" s="1"/>
  <c r="Y369" i="18"/>
  <c r="Z369" i="18" s="1"/>
  <c r="T539" i="18"/>
  <c r="U539" i="18" s="1"/>
  <c r="V539" i="18" s="1"/>
  <c r="R619" i="18"/>
  <c r="S619" i="18" s="1"/>
  <c r="T619" i="18" s="1"/>
  <c r="BG575" i="18"/>
  <c r="BH575" i="18" s="1"/>
  <c r="BI575" i="18" s="1"/>
  <c r="W720" i="18"/>
  <c r="U784" i="18"/>
  <c r="AM157" i="18"/>
  <c r="AN157" i="18" s="1"/>
  <c r="AO157" i="18" s="1"/>
  <c r="AP157" i="18" s="1"/>
  <c r="AQ157" i="18" s="1"/>
  <c r="AR157" i="18" s="1"/>
  <c r="AS157" i="18" s="1"/>
  <c r="AT157" i="18" s="1"/>
  <c r="AU157" i="18" s="1"/>
  <c r="AV157" i="18" s="1"/>
  <c r="AW157" i="18" s="1"/>
  <c r="AX157" i="18" s="1"/>
  <c r="AY157" i="18" s="1"/>
  <c r="AZ157" i="18" s="1"/>
  <c r="BA157" i="18" s="1"/>
  <c r="BB157" i="18" s="1"/>
  <c r="BC157" i="18" s="1"/>
  <c r="BD157" i="18" s="1"/>
  <c r="BE157" i="18" s="1"/>
  <c r="BF157" i="18" s="1"/>
  <c r="BG157" i="18" s="1"/>
  <c r="BH157" i="18" s="1"/>
  <c r="BI157" i="18" s="1"/>
  <c r="T204" i="18"/>
  <c r="U204" i="18" s="1"/>
  <c r="T165" i="18"/>
  <c r="U165" i="18" s="1"/>
  <c r="V165" i="18" s="1"/>
  <c r="T486" i="18"/>
  <c r="U486" i="18" s="1"/>
  <c r="Q566" i="18"/>
  <c r="P570" i="18"/>
  <c r="Q683" i="18"/>
  <c r="R683" i="18" s="1"/>
  <c r="R413" i="18"/>
  <c r="S403" i="18"/>
  <c r="T644" i="18"/>
  <c r="S657" i="18"/>
  <c r="S347" i="18"/>
  <c r="T347" i="18" s="1"/>
  <c r="R282" i="18"/>
  <c r="R373" i="18"/>
  <c r="S373" i="18" s="1"/>
  <c r="R60" i="7943"/>
  <c r="S642" i="18"/>
  <c r="Q627" i="18"/>
  <c r="P635" i="18"/>
  <c r="R718" i="18"/>
  <c r="AF771" i="18"/>
  <c r="AG771" i="18" s="1"/>
  <c r="AH771" i="18" s="1"/>
  <c r="AI771" i="18" s="1"/>
  <c r="AJ771" i="18" s="1"/>
  <c r="AK771" i="18" s="1"/>
  <c r="AL771" i="18" s="1"/>
  <c r="AM771" i="18" s="1"/>
  <c r="AN771" i="18" s="1"/>
  <c r="AO771" i="18" s="1"/>
  <c r="AP771" i="18" s="1"/>
  <c r="AQ771" i="18" s="1"/>
  <c r="AR771" i="18" s="1"/>
  <c r="AS771" i="18" s="1"/>
  <c r="AT771" i="18" s="1"/>
  <c r="AU771" i="18" s="1"/>
  <c r="AV771" i="18" s="1"/>
  <c r="AW771" i="18" s="1"/>
  <c r="AX771" i="18" s="1"/>
  <c r="AY771" i="18" s="1"/>
  <c r="AZ771" i="18" s="1"/>
  <c r="BA771" i="18" s="1"/>
  <c r="BB771" i="18" s="1"/>
  <c r="BC771" i="18" s="1"/>
  <c r="BD771" i="18" s="1"/>
  <c r="BE771" i="18" s="1"/>
  <c r="BF771" i="18" s="1"/>
  <c r="BG771" i="18" s="1"/>
  <c r="BH771" i="18" s="1"/>
  <c r="BI771" i="18" s="1"/>
  <c r="T786" i="18"/>
  <c r="U786" i="18" s="1"/>
  <c r="P518" i="18"/>
  <c r="AE516" i="18"/>
  <c r="Q789" i="18"/>
  <c r="R789" i="18" s="1"/>
  <c r="U690" i="18"/>
  <c r="U759" i="18"/>
  <c r="R811" i="18"/>
  <c r="S811" i="18" s="1"/>
  <c r="S489" i="18"/>
  <c r="T489" i="18" s="1"/>
  <c r="U489" i="18" s="1"/>
  <c r="V489" i="18" s="1"/>
  <c r="S358" i="18"/>
  <c r="T358" i="18" s="1"/>
  <c r="U358" i="18" s="1"/>
  <c r="V358" i="18" s="1"/>
  <c r="U617" i="18"/>
  <c r="U535" i="18"/>
  <c r="V535" i="18" s="1"/>
  <c r="W535" i="18" s="1"/>
  <c r="X535" i="18" s="1"/>
  <c r="Y535" i="18" s="1"/>
  <c r="Z535" i="18" s="1"/>
  <c r="AA535" i="18" s="1"/>
  <c r="AB535" i="18" s="1"/>
  <c r="AC535" i="18" s="1"/>
  <c r="AD535" i="18" s="1"/>
  <c r="AE535" i="18" s="1"/>
  <c r="AF535" i="18" s="1"/>
  <c r="AG535" i="18" s="1"/>
  <c r="AH535" i="18" s="1"/>
  <c r="AI535" i="18" s="1"/>
  <c r="AJ535" i="18" s="1"/>
  <c r="AK535" i="18" s="1"/>
  <c r="AL535" i="18" s="1"/>
  <c r="AM535" i="18" s="1"/>
  <c r="AN535" i="18" s="1"/>
  <c r="AO535" i="18" s="1"/>
  <c r="AP535" i="18" s="1"/>
  <c r="AQ535" i="18" s="1"/>
  <c r="AR535" i="18" s="1"/>
  <c r="AS535" i="18" s="1"/>
  <c r="AT535" i="18" s="1"/>
  <c r="AU535" i="18" s="1"/>
  <c r="AV535" i="18" s="1"/>
  <c r="AW535" i="18" s="1"/>
  <c r="AX535" i="18" s="1"/>
  <c r="AY535" i="18" s="1"/>
  <c r="AZ535" i="18" s="1"/>
  <c r="BA535" i="18" s="1"/>
  <c r="BB535" i="18" s="1"/>
  <c r="BC535" i="18" s="1"/>
  <c r="BD535" i="18" s="1"/>
  <c r="BE535" i="18" s="1"/>
  <c r="BF535" i="18" s="1"/>
  <c r="BG535" i="18" s="1"/>
  <c r="BH535" i="18" s="1"/>
  <c r="BI535" i="18" s="1"/>
  <c r="Q309" i="18"/>
  <c r="R299" i="18"/>
  <c r="R438" i="18"/>
  <c r="S438" i="18" s="1"/>
  <c r="R424" i="18"/>
  <c r="S424" i="18" s="1"/>
  <c r="R848" i="18"/>
  <c r="S848" i="18" s="1"/>
  <c r="AD834" i="18"/>
  <c r="P687" i="18"/>
  <c r="R758" i="18"/>
  <c r="S758" i="18" s="1"/>
  <c r="Q607" i="18"/>
  <c r="R607" i="18" s="1"/>
  <c r="S607" i="18" s="1"/>
  <c r="Q569" i="18"/>
  <c r="R569" i="18" s="1"/>
  <c r="Q647" i="18"/>
  <c r="R647" i="18" s="1"/>
  <c r="Q582" i="18"/>
  <c r="R582" i="18" s="1"/>
  <c r="Q751" i="18"/>
  <c r="R751" i="18" s="1"/>
  <c r="Q673" i="18"/>
  <c r="R673" i="18" s="1"/>
  <c r="Q855" i="18"/>
  <c r="R855" i="18" s="1"/>
  <c r="Q725" i="18"/>
  <c r="R725" i="18" s="1"/>
  <c r="Q634" i="18"/>
  <c r="R634" i="18" s="1"/>
  <c r="Q7" i="18"/>
  <c r="R7" i="18" s="1"/>
  <c r="S7" i="18" s="1"/>
  <c r="T7" i="18" s="1"/>
  <c r="U7" i="18" s="1"/>
  <c r="V7" i="18" s="1"/>
  <c r="W7" i="18" s="1"/>
  <c r="X7" i="18" s="1"/>
  <c r="Y7" i="18" s="1"/>
  <c r="Z7" i="18" s="1"/>
  <c r="AA7" i="18" s="1"/>
  <c r="AB7" i="18" s="1"/>
  <c r="AC7" i="18" s="1"/>
  <c r="AD7" i="18" s="1"/>
  <c r="AE7" i="18" s="1"/>
  <c r="AF7" i="18" s="1"/>
  <c r="AG7" i="18" s="1"/>
  <c r="AH7" i="18" s="1"/>
  <c r="AI7" i="18" s="1"/>
  <c r="AJ7" i="18" s="1"/>
  <c r="AK7" i="18" s="1"/>
  <c r="AL7" i="18" s="1"/>
  <c r="AM7" i="18" s="1"/>
  <c r="AN7" i="18" s="1"/>
  <c r="AO7" i="18" s="1"/>
  <c r="AP7" i="18" s="1"/>
  <c r="AQ7" i="18" s="1"/>
  <c r="AR7" i="18" s="1"/>
  <c r="AS7" i="18" s="1"/>
  <c r="AT7" i="18" s="1"/>
  <c r="AU7" i="18" s="1"/>
  <c r="AV7" i="18" s="1"/>
  <c r="AW7" i="18" s="1"/>
  <c r="AX7" i="18" s="1"/>
  <c r="AY7" i="18" s="1"/>
  <c r="AZ7" i="18" s="1"/>
  <c r="BA7" i="18" s="1"/>
  <c r="BB7" i="18" s="1"/>
  <c r="BC7" i="18" s="1"/>
  <c r="BD7" i="18" s="1"/>
  <c r="BE7" i="18" s="1"/>
  <c r="BF7" i="18" s="1"/>
  <c r="BG7" i="18" s="1"/>
  <c r="BH7" i="18" s="1"/>
  <c r="BI7" i="18" s="1"/>
  <c r="Q699" i="18"/>
  <c r="R699" i="18" s="1"/>
  <c r="Q790" i="18"/>
  <c r="R790" i="18" s="1"/>
  <c r="Q660" i="18"/>
  <c r="R660" i="18" s="1"/>
  <c r="S660" i="18" s="1"/>
  <c r="Q816" i="18"/>
  <c r="R816" i="18" s="1"/>
  <c r="Q491" i="18"/>
  <c r="R491" i="18" s="1"/>
  <c r="Q764" i="18"/>
  <c r="R764" i="18" s="1"/>
  <c r="Q777" i="18"/>
  <c r="R777" i="18" s="1"/>
  <c r="Q595" i="18"/>
  <c r="R595" i="18" s="1"/>
  <c r="Q738" i="18"/>
  <c r="R738" i="18" s="1"/>
  <c r="Q621" i="18"/>
  <c r="Q622" i="18" s="1"/>
  <c r="Q868" i="18"/>
  <c r="Q530" i="18"/>
  <c r="R530" i="18" s="1"/>
  <c r="Q608" i="18"/>
  <c r="R608" i="18" s="1"/>
  <c r="S608" i="18" s="1"/>
  <c r="Q829" i="18"/>
  <c r="R829" i="18" s="1"/>
  <c r="Q556" i="18"/>
  <c r="R556" i="18" s="1"/>
  <c r="S556" i="18" s="1"/>
  <c r="Q803" i="18"/>
  <c r="R803" i="18" s="1"/>
  <c r="Q543" i="18"/>
  <c r="R543" i="18" s="1"/>
  <c r="S543" i="18" s="1"/>
  <c r="Q686" i="18"/>
  <c r="R686" i="18" s="1"/>
  <c r="S686" i="18" s="1"/>
  <c r="Q842" i="18"/>
  <c r="Q712" i="18"/>
  <c r="R712" i="18" s="1"/>
  <c r="AD517" i="18"/>
  <c r="AD518" i="18" s="1"/>
  <c r="AE517" i="18"/>
  <c r="AD504" i="18"/>
  <c r="U504" i="18"/>
  <c r="S517" i="18"/>
  <c r="S518" i="18" s="1"/>
  <c r="Z517" i="18"/>
  <c r="Z518" i="18" s="1"/>
  <c r="T504" i="18"/>
  <c r="AB504" i="18"/>
  <c r="Q517" i="18"/>
  <c r="Q518" i="18" s="1"/>
  <c r="X517" i="18"/>
  <c r="X518" i="18" s="1"/>
  <c r="AE504" i="18"/>
  <c r="V504" i="18"/>
  <c r="V517" i="18"/>
  <c r="V518" i="18" s="1"/>
  <c r="AC517" i="18"/>
  <c r="AC518" i="18" s="1"/>
  <c r="T517" i="18"/>
  <c r="T518" i="18" s="1"/>
  <c r="R504" i="18"/>
  <c r="W504" i="18"/>
  <c r="R517" i="18"/>
  <c r="R518" i="18" s="1"/>
  <c r="Q504" i="18"/>
  <c r="Z504" i="18"/>
  <c r="X504" i="18"/>
  <c r="AC504" i="18"/>
  <c r="AA504" i="18"/>
  <c r="AB517" i="18"/>
  <c r="AB518" i="18" s="1"/>
  <c r="S504" i="18"/>
  <c r="AA517" i="18"/>
  <c r="AA518" i="18" s="1"/>
  <c r="W517" i="18"/>
  <c r="W518" i="18" s="1"/>
  <c r="Y517" i="18"/>
  <c r="Y518" i="18" s="1"/>
  <c r="Y504" i="18"/>
  <c r="U517" i="18"/>
  <c r="U518" i="18" s="1"/>
  <c r="Q737" i="18"/>
  <c r="R737" i="18" s="1"/>
  <c r="R761" i="18"/>
  <c r="S761" i="18" s="1"/>
  <c r="T761" i="18" s="1"/>
  <c r="U761" i="18" s="1"/>
  <c r="V164" i="18"/>
  <c r="W164" i="18" s="1"/>
  <c r="X565" i="18"/>
  <c r="Y565" i="18" s="1"/>
  <c r="Z565" i="18" s="1"/>
  <c r="AA565" i="18" s="1"/>
  <c r="AB565" i="18" s="1"/>
  <c r="Z253" i="18"/>
  <c r="AA253" i="18" s="1"/>
  <c r="AB253" i="18" s="1"/>
  <c r="AC253" i="18" s="1"/>
  <c r="T578" i="18"/>
  <c r="U578" i="18" s="1"/>
  <c r="V578" i="18" s="1"/>
  <c r="W578" i="18" s="1"/>
  <c r="U161" i="18"/>
  <c r="V161" i="18" s="1"/>
  <c r="W161" i="18" s="1"/>
  <c r="Y652" i="18"/>
  <c r="Z652" i="18" s="1"/>
  <c r="AA652" i="18" s="1"/>
  <c r="AB652" i="18" s="1"/>
  <c r="AC652" i="18" s="1"/>
  <c r="AD652" i="18" s="1"/>
  <c r="AE652" i="18" s="1"/>
  <c r="AF652" i="18" s="1"/>
  <c r="AG652" i="18" s="1"/>
  <c r="AH652" i="18" s="1"/>
  <c r="AI652" i="18" s="1"/>
  <c r="AJ652" i="18" s="1"/>
  <c r="AK652" i="18" s="1"/>
  <c r="AL652" i="18" s="1"/>
  <c r="AM652" i="18" s="1"/>
  <c r="AN652" i="18" s="1"/>
  <c r="AO652" i="18" s="1"/>
  <c r="AP652" i="18" s="1"/>
  <c r="AQ652" i="18" s="1"/>
  <c r="AR652" i="18" s="1"/>
  <c r="AS652" i="18" s="1"/>
  <c r="AT652" i="18" s="1"/>
  <c r="AU652" i="18" s="1"/>
  <c r="AV652" i="18" s="1"/>
  <c r="AW652" i="18" s="1"/>
  <c r="AX652" i="18" s="1"/>
  <c r="AY652" i="18" s="1"/>
  <c r="AZ652" i="18" s="1"/>
  <c r="BA652" i="18" s="1"/>
  <c r="BB652" i="18" s="1"/>
  <c r="BC652" i="18" s="1"/>
  <c r="BD652" i="18" s="1"/>
  <c r="BE652" i="18" s="1"/>
  <c r="BF652" i="18" s="1"/>
  <c r="BG652" i="18" s="1"/>
  <c r="BH652" i="18" s="1"/>
  <c r="BI652" i="18" s="1"/>
  <c r="R236" i="18"/>
  <c r="Q244" i="18"/>
  <c r="R774" i="18"/>
  <c r="S774" i="18" s="1"/>
  <c r="Q192" i="18"/>
  <c r="T798" i="18"/>
  <c r="U798" i="18" s="1"/>
  <c r="P596" i="18"/>
  <c r="Q592" i="18"/>
  <c r="R592" i="18" s="1"/>
  <c r="AF499" i="18"/>
  <c r="AG499" i="18" s="1"/>
  <c r="AH499" i="18" s="1"/>
  <c r="AI499" i="18" s="1"/>
  <c r="AJ499" i="18" s="1"/>
  <c r="AK499" i="18" s="1"/>
  <c r="AL499" i="18" s="1"/>
  <c r="AM499" i="18" s="1"/>
  <c r="AN499" i="18" s="1"/>
  <c r="AO499" i="18" s="1"/>
  <c r="AP499" i="18" s="1"/>
  <c r="AQ499" i="18" s="1"/>
  <c r="AR499" i="18" s="1"/>
  <c r="AS499" i="18" s="1"/>
  <c r="AT499" i="18" s="1"/>
  <c r="AU499" i="18" s="1"/>
  <c r="AV499" i="18" s="1"/>
  <c r="AW499" i="18" s="1"/>
  <c r="AX499" i="18" s="1"/>
  <c r="AY499" i="18" s="1"/>
  <c r="AZ499" i="18" s="1"/>
  <c r="BA499" i="18" s="1"/>
  <c r="BB499" i="18" s="1"/>
  <c r="BC499" i="18" s="1"/>
  <c r="BD499" i="18" s="1"/>
  <c r="BE499" i="18" s="1"/>
  <c r="BF499" i="18" s="1"/>
  <c r="BG499" i="18" s="1"/>
  <c r="BH499" i="18" s="1"/>
  <c r="BI499" i="18" s="1"/>
  <c r="U682" i="18"/>
  <c r="V682" i="18" s="1"/>
  <c r="W682" i="18" s="1"/>
  <c r="X682" i="18" s="1"/>
  <c r="Y682" i="18" s="1"/>
  <c r="Z682" i="18" s="1"/>
  <c r="AS113" i="18"/>
  <c r="S412" i="18"/>
  <c r="T412" i="18" s="1"/>
  <c r="P55" i="18"/>
  <c r="S139" i="18"/>
  <c r="T139" i="18" s="1"/>
  <c r="U139" i="18" s="1"/>
  <c r="P64" i="18"/>
  <c r="R178" i="18"/>
  <c r="AS87" i="18"/>
  <c r="AT87" i="18" s="1"/>
  <c r="R191" i="18"/>
  <c r="R192" i="18" s="1"/>
  <c r="P47" i="18"/>
  <c r="P70" i="18"/>
  <c r="S234" i="18"/>
  <c r="T709" i="18"/>
  <c r="Q540" i="18"/>
  <c r="P544" i="18"/>
  <c r="M89" i="7946"/>
  <c r="N89" i="7946" s="1"/>
  <c r="S241" i="18"/>
  <c r="T241" i="18" s="1"/>
  <c r="U241" i="18" s="1"/>
  <c r="Q439" i="18"/>
  <c r="R429" i="18"/>
  <c r="R853" i="18"/>
  <c r="S853" i="18" s="1"/>
  <c r="R802" i="18"/>
  <c r="S802" i="18" s="1"/>
  <c r="Q776" i="18"/>
  <c r="P778" i="18"/>
  <c r="R581" i="18"/>
  <c r="AV104" i="18"/>
  <c r="P830" i="18"/>
  <c r="U364" i="18"/>
  <c r="V252" i="18"/>
  <c r="W252" i="18" s="1"/>
  <c r="X252" i="18" s="1"/>
  <c r="S826" i="18"/>
  <c r="T826" i="18" s="1"/>
  <c r="T550" i="18"/>
  <c r="Q529" i="18"/>
  <c r="R529" i="18" s="1"/>
  <c r="S529" i="18" s="1"/>
  <c r="T529" i="18" s="1"/>
  <c r="AS111" i="18"/>
  <c r="AR114" i="18"/>
  <c r="AE514" i="18"/>
  <c r="AF514" i="18" s="1"/>
  <c r="L33" i="7946"/>
  <c r="AA629" i="18"/>
  <c r="AB629" i="18" s="1"/>
  <c r="AC629" i="18" s="1"/>
  <c r="AD629" i="18" s="1"/>
  <c r="AE629" i="18" s="1"/>
  <c r="AF629" i="18" s="1"/>
  <c r="AG629" i="18" s="1"/>
  <c r="AH629" i="18" s="1"/>
  <c r="AI629" i="18" s="1"/>
  <c r="AJ629" i="18" s="1"/>
  <c r="AK629" i="18" s="1"/>
  <c r="AL629" i="18" s="1"/>
  <c r="AM629" i="18" s="1"/>
  <c r="AN629" i="18" s="1"/>
  <c r="AO629" i="18" s="1"/>
  <c r="AP629" i="18" s="1"/>
  <c r="AQ629" i="18" s="1"/>
  <c r="AR629" i="18" s="1"/>
  <c r="AS629" i="18" s="1"/>
  <c r="AT629" i="18" s="1"/>
  <c r="AU629" i="18" s="1"/>
  <c r="AV629" i="18" s="1"/>
  <c r="AW629" i="18" s="1"/>
  <c r="AX629" i="18" s="1"/>
  <c r="AY629" i="18" s="1"/>
  <c r="AZ629" i="18" s="1"/>
  <c r="BA629" i="18" s="1"/>
  <c r="BB629" i="18" s="1"/>
  <c r="BC629" i="18" s="1"/>
  <c r="BD629" i="18" s="1"/>
  <c r="BE629" i="18" s="1"/>
  <c r="BF629" i="18" s="1"/>
  <c r="BG629" i="18" s="1"/>
  <c r="BH629" i="18" s="1"/>
  <c r="BI629" i="18" s="1"/>
  <c r="Q270" i="18"/>
  <c r="Q706" i="18"/>
  <c r="P713" i="18"/>
  <c r="M10" i="7946"/>
  <c r="M33" i="7946" s="1"/>
  <c r="N33" i="7943"/>
  <c r="N10" i="7946" s="1"/>
  <c r="N33" i="7946" s="1"/>
  <c r="W820" i="18"/>
  <c r="R269" i="18"/>
  <c r="R270" i="18" s="1"/>
  <c r="S334" i="18"/>
  <c r="AF515" i="18"/>
  <c r="R837" i="18"/>
  <c r="S837" i="18" s="1"/>
  <c r="Q671" i="18"/>
  <c r="R671" i="18" s="1"/>
  <c r="S671" i="18" s="1"/>
  <c r="T742" i="18"/>
  <c r="T799" i="18"/>
  <c r="U799" i="18" s="1"/>
  <c r="Q580" i="18"/>
  <c r="Q672" i="18"/>
  <c r="R672" i="18" s="1"/>
  <c r="R724" i="18"/>
  <c r="S435" i="18"/>
  <c r="R670" i="18"/>
  <c r="S398" i="18"/>
  <c r="R307" i="18"/>
  <c r="Y123" i="18"/>
  <c r="Z123" i="18" s="1"/>
  <c r="AA123" i="18" s="1"/>
  <c r="AB123" i="18" s="1"/>
  <c r="AC123" i="18" s="1"/>
  <c r="U721" i="18"/>
  <c r="R386" i="18"/>
  <c r="R526" i="18"/>
  <c r="R633" i="18"/>
  <c r="S633" i="18" s="1"/>
  <c r="R594" i="18"/>
  <c r="S594" i="18" s="1"/>
  <c r="Q555" i="18"/>
  <c r="R823" i="18"/>
  <c r="U669" i="18"/>
  <c r="Q839" i="18"/>
  <c r="R839" i="18" s="1"/>
  <c r="P843" i="18"/>
  <c r="W447" i="18"/>
  <c r="T143" i="18"/>
  <c r="T416" i="18"/>
  <c r="U710" i="18"/>
  <c r="R732" i="18"/>
  <c r="S166" i="18"/>
  <c r="T156" i="18"/>
  <c r="T217" i="18"/>
  <c r="U217" i="18" s="1"/>
  <c r="R152" i="18"/>
  <c r="P71" i="18"/>
  <c r="P45" i="18"/>
  <c r="P53" i="18"/>
  <c r="R321" i="18"/>
  <c r="Q322" i="18"/>
  <c r="S360" i="18"/>
  <c r="P54" i="18"/>
  <c r="U357" i="18"/>
  <c r="V357" i="18" s="1"/>
  <c r="W357" i="18" s="1"/>
  <c r="S694" i="18"/>
  <c r="T694" i="18" s="1"/>
  <c r="U694" i="18" s="1"/>
  <c r="T667" i="18"/>
  <c r="U667" i="18" s="1"/>
  <c r="U312" i="18"/>
  <c r="V697" i="18"/>
  <c r="S656" i="18"/>
  <c r="P726" i="18"/>
  <c r="V197" i="18"/>
  <c r="W197" i="18" s="1"/>
  <c r="X197" i="18" s="1"/>
  <c r="Y197" i="18" s="1"/>
  <c r="Z197" i="18" s="1"/>
  <c r="AA197" i="18" s="1"/>
  <c r="AB197" i="18" s="1"/>
  <c r="AC197" i="18" s="1"/>
  <c r="AD197" i="18" s="1"/>
  <c r="AE197" i="18" s="1"/>
  <c r="AF197" i="18" s="1"/>
  <c r="AG197" i="18" s="1"/>
  <c r="AH197" i="18" s="1"/>
  <c r="AI197" i="18" s="1"/>
  <c r="AJ197" i="18" s="1"/>
  <c r="AK197" i="18" s="1"/>
  <c r="AL197" i="18" s="1"/>
  <c r="AM197" i="18" s="1"/>
  <c r="AN197" i="18" s="1"/>
  <c r="AO197" i="18" s="1"/>
  <c r="AP197" i="18" s="1"/>
  <c r="AQ197" i="18" s="1"/>
  <c r="AR197" i="18" s="1"/>
  <c r="AS197" i="18" s="1"/>
  <c r="AT197" i="18" s="1"/>
  <c r="AU197" i="18" s="1"/>
  <c r="AV197" i="18" s="1"/>
  <c r="AW197" i="18" s="1"/>
  <c r="AX197" i="18" s="1"/>
  <c r="AY197" i="18" s="1"/>
  <c r="AZ197" i="18" s="1"/>
  <c r="BA197" i="18" s="1"/>
  <c r="BB197" i="18" s="1"/>
  <c r="BC197" i="18" s="1"/>
  <c r="BD197" i="18" s="1"/>
  <c r="BE197" i="18" s="1"/>
  <c r="BF197" i="18" s="1"/>
  <c r="BG197" i="18" s="1"/>
  <c r="BH197" i="18" s="1"/>
  <c r="BI197" i="18" s="1"/>
  <c r="R685" i="18"/>
  <c r="Q659" i="18"/>
  <c r="R659" i="18" s="1"/>
  <c r="R750" i="18"/>
  <c r="S750" i="18" s="1"/>
  <c r="X189" i="18"/>
  <c r="Y189" i="18" s="1"/>
  <c r="Z189" i="18" s="1"/>
  <c r="AA189" i="18" s="1"/>
  <c r="AB189" i="18" s="1"/>
  <c r="AC189" i="18" s="1"/>
  <c r="AD189" i="18" s="1"/>
  <c r="AE189" i="18" s="1"/>
  <c r="AF189" i="18" s="1"/>
  <c r="AG189" i="18" s="1"/>
  <c r="AH189" i="18" s="1"/>
  <c r="AI189" i="18" s="1"/>
  <c r="AJ189" i="18" s="1"/>
  <c r="AK189" i="18" s="1"/>
  <c r="AL189" i="18" s="1"/>
  <c r="AM189" i="18" s="1"/>
  <c r="AN189" i="18" s="1"/>
  <c r="AO189" i="18" s="1"/>
  <c r="AP189" i="18" s="1"/>
  <c r="AQ189" i="18" s="1"/>
  <c r="AR189" i="18" s="1"/>
  <c r="AS189" i="18" s="1"/>
  <c r="AT189" i="18" s="1"/>
  <c r="AU189" i="18" s="1"/>
  <c r="AV189" i="18" s="1"/>
  <c r="AW189" i="18" s="1"/>
  <c r="AX189" i="18" s="1"/>
  <c r="AY189" i="18" s="1"/>
  <c r="AZ189" i="18" s="1"/>
  <c r="BA189" i="18" s="1"/>
  <c r="BB189" i="18" s="1"/>
  <c r="BC189" i="18" s="1"/>
  <c r="BD189" i="18" s="1"/>
  <c r="BE189" i="18" s="1"/>
  <c r="BF189" i="18" s="1"/>
  <c r="BG189" i="18" s="1"/>
  <c r="BH189" i="18" s="1"/>
  <c r="BI189" i="18" s="1"/>
  <c r="R450" i="18"/>
  <c r="S450" i="18" s="1"/>
  <c r="Q452" i="18"/>
  <c r="T124" i="18"/>
  <c r="U124" i="18" s="1"/>
  <c r="U591" i="18"/>
  <c r="V591" i="18" s="1"/>
  <c r="W591" i="18" s="1"/>
  <c r="X591" i="18" s="1"/>
  <c r="Y591" i="18" s="1"/>
  <c r="V291" i="18"/>
  <c r="S463" i="18"/>
  <c r="T463" i="18" s="1"/>
  <c r="U463" i="18" s="1"/>
  <c r="W449" i="18"/>
  <c r="X449" i="18" s="1"/>
  <c r="Y449" i="18" s="1"/>
  <c r="Z449" i="18" s="1"/>
  <c r="AA449" i="18" s="1"/>
  <c r="AB449" i="18" s="1"/>
  <c r="AC449" i="18" s="1"/>
  <c r="AD449" i="18" s="1"/>
  <c r="AE449" i="18" s="1"/>
  <c r="AF449" i="18" s="1"/>
  <c r="AG449" i="18" s="1"/>
  <c r="AH449" i="18" s="1"/>
  <c r="T279" i="18"/>
  <c r="U279" i="18" s="1"/>
  <c r="V174" i="18"/>
  <c r="W174" i="18" s="1"/>
  <c r="X174" i="18" s="1"/>
  <c r="Y174" i="18" s="1"/>
  <c r="Z174" i="18" s="1"/>
  <c r="AA174" i="18" s="1"/>
  <c r="AB174" i="18" s="1"/>
  <c r="AC174" i="18" s="1"/>
  <c r="AD174" i="18" s="1"/>
  <c r="AE174" i="18" s="1"/>
  <c r="AF174" i="18" s="1"/>
  <c r="AG174" i="18" s="1"/>
  <c r="AH174" i="18" s="1"/>
  <c r="AI174" i="18" s="1"/>
  <c r="AJ174" i="18" s="1"/>
  <c r="AK174" i="18" s="1"/>
  <c r="AL174" i="18" s="1"/>
  <c r="AM174" i="18" s="1"/>
  <c r="AN174" i="18" s="1"/>
  <c r="AO174" i="18" s="1"/>
  <c r="AP174" i="18" s="1"/>
  <c r="AQ174" i="18" s="1"/>
  <c r="AR174" i="18" s="1"/>
  <c r="AS174" i="18" s="1"/>
  <c r="AT174" i="18" s="1"/>
  <c r="AU174" i="18" s="1"/>
  <c r="AV174" i="18" s="1"/>
  <c r="AW174" i="18" s="1"/>
  <c r="AX174" i="18" s="1"/>
  <c r="AY174" i="18" s="1"/>
  <c r="AZ174" i="18" s="1"/>
  <c r="BA174" i="18" s="1"/>
  <c r="BB174" i="18" s="1"/>
  <c r="BC174" i="18" s="1"/>
  <c r="BD174" i="18" s="1"/>
  <c r="BE174" i="18" s="1"/>
  <c r="BF174" i="18" s="1"/>
  <c r="BG174" i="18" s="1"/>
  <c r="BH174" i="18" s="1"/>
  <c r="BI174" i="18" s="1"/>
  <c r="T525" i="18"/>
  <c r="U525" i="18" s="1"/>
  <c r="V525" i="18" s="1"/>
  <c r="W525" i="18" s="1"/>
  <c r="X525" i="18" s="1"/>
  <c r="Y525" i="18" s="1"/>
  <c r="Z525" i="18" s="1"/>
  <c r="AA525" i="18" s="1"/>
  <c r="AB525" i="18" s="1"/>
  <c r="AC525" i="18" s="1"/>
  <c r="AD525" i="18" s="1"/>
  <c r="AE525" i="18" s="1"/>
  <c r="AF525" i="18" s="1"/>
  <c r="AG525" i="18" s="1"/>
  <c r="AH525" i="18" s="1"/>
  <c r="AI525" i="18" s="1"/>
  <c r="AJ525" i="18" s="1"/>
  <c r="AK525" i="18" s="1"/>
  <c r="AL525" i="18" s="1"/>
  <c r="AM525" i="18" s="1"/>
  <c r="AN525" i="18" s="1"/>
  <c r="AO525" i="18" s="1"/>
  <c r="AP525" i="18" s="1"/>
  <c r="AQ525" i="18" s="1"/>
  <c r="AR525" i="18" s="1"/>
  <c r="AS525" i="18" s="1"/>
  <c r="AT525" i="18" s="1"/>
  <c r="AU525" i="18" s="1"/>
  <c r="AV525" i="18" s="1"/>
  <c r="AW525" i="18" s="1"/>
  <c r="AX525" i="18" s="1"/>
  <c r="AY525" i="18" s="1"/>
  <c r="AZ525" i="18" s="1"/>
  <c r="BA525" i="18" s="1"/>
  <c r="BB525" i="18" s="1"/>
  <c r="BC525" i="18" s="1"/>
  <c r="BD525" i="18" s="1"/>
  <c r="BE525" i="18" s="1"/>
  <c r="BF525" i="18" s="1"/>
  <c r="BG525" i="18" s="1"/>
  <c r="BH525" i="18" s="1"/>
  <c r="BI525" i="18" s="1"/>
  <c r="Q114" i="18"/>
  <c r="T126" i="18"/>
  <c r="P10" i="18"/>
  <c r="P42" i="18"/>
  <c r="T163" i="18"/>
  <c r="U163" i="18" s="1"/>
  <c r="U863" i="18"/>
  <c r="T551" i="18"/>
  <c r="U551" i="18" s="1"/>
  <c r="T708" i="18"/>
  <c r="U708" i="18" s="1"/>
  <c r="V708" i="18" s="1"/>
  <c r="W708" i="18" s="1"/>
  <c r="X708" i="18" s="1"/>
  <c r="Y708" i="18" s="1"/>
  <c r="Z708" i="18" s="1"/>
  <c r="AA708" i="18" s="1"/>
  <c r="AB708" i="18" s="1"/>
  <c r="AC708" i="18" s="1"/>
  <c r="AD708" i="18" s="1"/>
  <c r="AE708" i="18" s="1"/>
  <c r="AF708" i="18" s="1"/>
  <c r="AG708" i="18" s="1"/>
  <c r="AH708" i="18" s="1"/>
  <c r="AI708" i="18" s="1"/>
  <c r="AJ708" i="18" s="1"/>
  <c r="AK708" i="18" s="1"/>
  <c r="AL708" i="18" s="1"/>
  <c r="AM708" i="18" s="1"/>
  <c r="AN708" i="18" s="1"/>
  <c r="AO708" i="18" s="1"/>
  <c r="AP708" i="18" s="1"/>
  <c r="AQ708" i="18" s="1"/>
  <c r="AR708" i="18" s="1"/>
  <c r="AS708" i="18" s="1"/>
  <c r="AT708" i="18" s="1"/>
  <c r="AU708" i="18" s="1"/>
  <c r="AV708" i="18" s="1"/>
  <c r="AW708" i="18" s="1"/>
  <c r="AX708" i="18" s="1"/>
  <c r="AY708" i="18" s="1"/>
  <c r="AZ708" i="18" s="1"/>
  <c r="BA708" i="18" s="1"/>
  <c r="BB708" i="18" s="1"/>
  <c r="BC708" i="18" s="1"/>
  <c r="BD708" i="18" s="1"/>
  <c r="BE708" i="18" s="1"/>
  <c r="BF708" i="18" s="1"/>
  <c r="BG708" i="18" s="1"/>
  <c r="BH708" i="18" s="1"/>
  <c r="BI708" i="18" s="1"/>
  <c r="R166" i="18"/>
  <c r="S295" i="18"/>
  <c r="P51" i="18"/>
  <c r="P50" i="18"/>
  <c r="R243" i="18"/>
  <c r="P56" i="18"/>
  <c r="P67" i="18"/>
  <c r="S464" i="18"/>
  <c r="T464" i="18" s="1"/>
  <c r="P46" i="18"/>
  <c r="R827" i="18"/>
  <c r="S827" i="18" s="1"/>
  <c r="R768" i="18"/>
  <c r="U213" i="18"/>
  <c r="V213" i="18" s="1"/>
  <c r="W213" i="18" s="1"/>
  <c r="X213" i="18" s="1"/>
  <c r="Y213" i="18" s="1"/>
  <c r="Z213" i="18" s="1"/>
  <c r="AA213" i="18" s="1"/>
  <c r="AB213" i="18" s="1"/>
  <c r="AC213" i="18" s="1"/>
  <c r="AD213" i="18" s="1"/>
  <c r="AE213" i="18" s="1"/>
  <c r="AF213" i="18" s="1"/>
  <c r="AG213" i="18" s="1"/>
  <c r="AH213" i="18" s="1"/>
  <c r="AI213" i="18" s="1"/>
  <c r="AJ213" i="18" s="1"/>
  <c r="AK213" i="18" s="1"/>
  <c r="AL213" i="18" s="1"/>
  <c r="AM213" i="18" s="1"/>
  <c r="AN213" i="18" s="1"/>
  <c r="AO213" i="18" s="1"/>
  <c r="AP213" i="18" s="1"/>
  <c r="AQ213" i="18" s="1"/>
  <c r="AR213" i="18" s="1"/>
  <c r="AS213" i="18" s="1"/>
  <c r="AT213" i="18" s="1"/>
  <c r="AU213" i="18" s="1"/>
  <c r="AV213" i="18" s="1"/>
  <c r="AW213" i="18" s="1"/>
  <c r="AX213" i="18" s="1"/>
  <c r="AY213" i="18" s="1"/>
  <c r="AZ213" i="18" s="1"/>
  <c r="BA213" i="18" s="1"/>
  <c r="BB213" i="18" s="1"/>
  <c r="BC213" i="18" s="1"/>
  <c r="BD213" i="18" s="1"/>
  <c r="BE213" i="18" s="1"/>
  <c r="BF213" i="18" s="1"/>
  <c r="BG213" i="18" s="1"/>
  <c r="BH213" i="18" s="1"/>
  <c r="BI213" i="18" s="1"/>
  <c r="V590" i="18"/>
  <c r="W590" i="18" s="1"/>
  <c r="X590" i="18" s="1"/>
  <c r="Y590" i="18" s="1"/>
  <c r="Z590" i="18" s="1"/>
  <c r="AA590" i="18" s="1"/>
  <c r="AB590" i="18" s="1"/>
  <c r="AC590" i="18" s="1"/>
  <c r="AD590" i="18" s="1"/>
  <c r="AE590" i="18" s="1"/>
  <c r="AF590" i="18" s="1"/>
  <c r="AG590" i="18" s="1"/>
  <c r="AH590" i="18" s="1"/>
  <c r="AI590" i="18" s="1"/>
  <c r="AJ590" i="18" s="1"/>
  <c r="AK590" i="18" s="1"/>
  <c r="AL590" i="18" s="1"/>
  <c r="AM590" i="18" s="1"/>
  <c r="AN590" i="18" s="1"/>
  <c r="AO590" i="18" s="1"/>
  <c r="AP590" i="18" s="1"/>
  <c r="AQ590" i="18" s="1"/>
  <c r="AR590" i="18" s="1"/>
  <c r="AS590" i="18" s="1"/>
  <c r="AT590" i="18" s="1"/>
  <c r="AU590" i="18" s="1"/>
  <c r="AV590" i="18" s="1"/>
  <c r="AW590" i="18" s="1"/>
  <c r="AX590" i="18" s="1"/>
  <c r="AY590" i="18" s="1"/>
  <c r="AZ590" i="18" s="1"/>
  <c r="BA590" i="18" s="1"/>
  <c r="BB590" i="18" s="1"/>
  <c r="BC590" i="18" s="1"/>
  <c r="BD590" i="18" s="1"/>
  <c r="BE590" i="18" s="1"/>
  <c r="BF590" i="18" s="1"/>
  <c r="BG590" i="18" s="1"/>
  <c r="BH590" i="18" s="1"/>
  <c r="BI590" i="18" s="1"/>
  <c r="T825" i="18"/>
  <c r="T527" i="18"/>
  <c r="AL654" i="18"/>
  <c r="AM654" i="18" s="1"/>
  <c r="AN654" i="18" s="1"/>
  <c r="AO654" i="18" s="1"/>
  <c r="AP654" i="18" s="1"/>
  <c r="AQ654" i="18" s="1"/>
  <c r="AR654" i="18" s="1"/>
  <c r="AS654" i="18" s="1"/>
  <c r="AT654" i="18" s="1"/>
  <c r="AU654" i="18" s="1"/>
  <c r="AV654" i="18" s="1"/>
  <c r="AW654" i="18" s="1"/>
  <c r="AX654" i="18" s="1"/>
  <c r="AY654" i="18" s="1"/>
  <c r="AZ654" i="18" s="1"/>
  <c r="BA654" i="18" s="1"/>
  <c r="BB654" i="18" s="1"/>
  <c r="BC654" i="18" s="1"/>
  <c r="BD654" i="18" s="1"/>
  <c r="BE654" i="18" s="1"/>
  <c r="BF654" i="18" s="1"/>
  <c r="BG654" i="18" s="1"/>
  <c r="BH654" i="18" s="1"/>
  <c r="BI654" i="18" s="1"/>
  <c r="S552" i="18"/>
  <c r="T552" i="18" s="1"/>
  <c r="AE503" i="18"/>
  <c r="Q828" i="18"/>
  <c r="R828" i="18" s="1"/>
  <c r="T202" i="18"/>
  <c r="U202" i="18" s="1"/>
  <c r="X547" i="18"/>
  <c r="AG512" i="18"/>
  <c r="AH512" i="18" s="1"/>
  <c r="AI512" i="18" s="1"/>
  <c r="AJ512" i="18" s="1"/>
  <c r="AK512" i="18" s="1"/>
  <c r="AL512" i="18" s="1"/>
  <c r="AM512" i="18" s="1"/>
  <c r="AN512" i="18" s="1"/>
  <c r="AO512" i="18" s="1"/>
  <c r="AP512" i="18" s="1"/>
  <c r="AQ512" i="18" s="1"/>
  <c r="AR512" i="18" s="1"/>
  <c r="AS512" i="18" s="1"/>
  <c r="AT512" i="18" s="1"/>
  <c r="AU512" i="18" s="1"/>
  <c r="AV512" i="18" s="1"/>
  <c r="AW512" i="18" s="1"/>
  <c r="AX512" i="18" s="1"/>
  <c r="AY512" i="18" s="1"/>
  <c r="AZ512" i="18" s="1"/>
  <c r="BA512" i="18" s="1"/>
  <c r="BB512" i="18" s="1"/>
  <c r="BC512" i="18" s="1"/>
  <c r="BD512" i="18" s="1"/>
  <c r="BE512" i="18" s="1"/>
  <c r="BF512" i="18" s="1"/>
  <c r="BG512" i="18" s="1"/>
  <c r="BH512" i="18" s="1"/>
  <c r="BI512" i="18" s="1"/>
  <c r="T866" i="18"/>
  <c r="U866" i="18" s="1"/>
  <c r="S736" i="18"/>
  <c r="S21" i="7946"/>
  <c r="U410" i="18"/>
  <c r="R461" i="18"/>
  <c r="W214" i="18"/>
  <c r="X214" i="18" s="1"/>
  <c r="Y214" i="18" s="1"/>
  <c r="Z214" i="18" s="1"/>
  <c r="AA214" i="18" s="1"/>
  <c r="AB214" i="18" s="1"/>
  <c r="AC214" i="18" s="1"/>
  <c r="AD214" i="18" s="1"/>
  <c r="AE214" i="18" s="1"/>
  <c r="AF214" i="18" s="1"/>
  <c r="AG214" i="18" s="1"/>
  <c r="AH214" i="18" s="1"/>
  <c r="AI214" i="18" s="1"/>
  <c r="AJ214" i="18" s="1"/>
  <c r="AK214" i="18" s="1"/>
  <c r="AL214" i="18" s="1"/>
  <c r="AM214" i="18" s="1"/>
  <c r="AN214" i="18" s="1"/>
  <c r="AO214" i="18" s="1"/>
  <c r="AP214" i="18" s="1"/>
  <c r="AQ214" i="18" s="1"/>
  <c r="AR214" i="18" s="1"/>
  <c r="AS214" i="18" s="1"/>
  <c r="AT214" i="18" s="1"/>
  <c r="AU214" i="18" s="1"/>
  <c r="AV214" i="18" s="1"/>
  <c r="AW214" i="18" s="1"/>
  <c r="AX214" i="18" s="1"/>
  <c r="AY214" i="18" s="1"/>
  <c r="AZ214" i="18" s="1"/>
  <c r="BA214" i="18" s="1"/>
  <c r="BB214" i="18" s="1"/>
  <c r="BC214" i="18" s="1"/>
  <c r="BD214" i="18" s="1"/>
  <c r="BE214" i="18" s="1"/>
  <c r="BF214" i="18" s="1"/>
  <c r="BG214" i="18" s="1"/>
  <c r="BH214" i="18" s="1"/>
  <c r="BI214" i="18" s="1"/>
  <c r="Q127" i="18"/>
  <c r="U782" i="18"/>
  <c r="V782" i="18" s="1"/>
  <c r="W782" i="18" s="1"/>
  <c r="X782" i="18" s="1"/>
  <c r="Y782" i="18" s="1"/>
  <c r="Z782" i="18" s="1"/>
  <c r="AA782" i="18" s="1"/>
  <c r="AB782" i="18" s="1"/>
  <c r="AC782" i="18" s="1"/>
  <c r="AD782" i="18" s="1"/>
  <c r="AE782" i="18" s="1"/>
  <c r="AF782" i="18" s="1"/>
  <c r="AG782" i="18" s="1"/>
  <c r="AH782" i="18" s="1"/>
  <c r="AI782" i="18" s="1"/>
  <c r="AJ782" i="18" s="1"/>
  <c r="AK782" i="18" s="1"/>
  <c r="AL782" i="18" s="1"/>
  <c r="AM782" i="18" s="1"/>
  <c r="AN782" i="18" s="1"/>
  <c r="AO782" i="18" s="1"/>
  <c r="AP782" i="18" s="1"/>
  <c r="AQ782" i="18" s="1"/>
  <c r="AR782" i="18" s="1"/>
  <c r="AS782" i="18" s="1"/>
  <c r="AT782" i="18" s="1"/>
  <c r="AU782" i="18" s="1"/>
  <c r="AV782" i="18" s="1"/>
  <c r="AW782" i="18" s="1"/>
  <c r="AX782" i="18" s="1"/>
  <c r="AY782" i="18" s="1"/>
  <c r="AZ782" i="18" s="1"/>
  <c r="BA782" i="18" s="1"/>
  <c r="BB782" i="18" s="1"/>
  <c r="BC782" i="18" s="1"/>
  <c r="BD782" i="18" s="1"/>
  <c r="BE782" i="18" s="1"/>
  <c r="BF782" i="18" s="1"/>
  <c r="BG782" i="18" s="1"/>
  <c r="BH782" i="18" s="1"/>
  <c r="BI782" i="18" s="1"/>
  <c r="AH511" i="18"/>
  <c r="P661" i="18"/>
  <c r="T247" i="18"/>
  <c r="P283" i="18"/>
  <c r="Q273" i="18"/>
  <c r="O40" i="24"/>
  <c r="O41" i="24"/>
  <c r="O32" i="24"/>
  <c r="O163" i="24" s="1"/>
  <c r="O49" i="24"/>
  <c r="P7" i="24"/>
  <c r="Y612" i="18"/>
  <c r="AS99" i="18"/>
  <c r="AT99" i="18" s="1"/>
  <c r="AU99" i="18" s="1"/>
  <c r="V325" i="18"/>
  <c r="T563" i="18"/>
  <c r="U563" i="18" s="1"/>
  <c r="S549" i="18"/>
  <c r="T560" i="18"/>
  <c r="U719" i="18"/>
  <c r="V719" i="18" s="1"/>
  <c r="W719" i="18" s="1"/>
  <c r="X719" i="18" s="1"/>
  <c r="Y719" i="18" s="1"/>
  <c r="Z719" i="18" s="1"/>
  <c r="AA719" i="18" s="1"/>
  <c r="AB719" i="18" s="1"/>
  <c r="AC719" i="18" s="1"/>
  <c r="AD719" i="18" s="1"/>
  <c r="AE719" i="18" s="1"/>
  <c r="AF719" i="18" s="1"/>
  <c r="AG719" i="18" s="1"/>
  <c r="AH719" i="18" s="1"/>
  <c r="AI719" i="18" s="1"/>
  <c r="AJ719" i="18" s="1"/>
  <c r="AK719" i="18" s="1"/>
  <c r="AL719" i="18" s="1"/>
  <c r="AM719" i="18" s="1"/>
  <c r="AN719" i="18" s="1"/>
  <c r="AO719" i="18" s="1"/>
  <c r="AP719" i="18" s="1"/>
  <c r="AQ719" i="18" s="1"/>
  <c r="AR719" i="18" s="1"/>
  <c r="AS719" i="18" s="1"/>
  <c r="AT719" i="18" s="1"/>
  <c r="AU719" i="18" s="1"/>
  <c r="AV719" i="18" s="1"/>
  <c r="AW719" i="18" s="1"/>
  <c r="AX719" i="18" s="1"/>
  <c r="AY719" i="18" s="1"/>
  <c r="AZ719" i="18" s="1"/>
  <c r="BA719" i="18" s="1"/>
  <c r="BB719" i="18" s="1"/>
  <c r="BC719" i="18" s="1"/>
  <c r="BD719" i="18" s="1"/>
  <c r="BE719" i="18" s="1"/>
  <c r="BF719" i="18" s="1"/>
  <c r="BG719" i="18" s="1"/>
  <c r="BH719" i="18" s="1"/>
  <c r="BI719" i="18" s="1"/>
  <c r="Q335" i="18"/>
  <c r="P7" i="7942"/>
  <c r="L82" i="7946"/>
  <c r="M82" i="7946" s="1"/>
  <c r="T150" i="18"/>
  <c r="U150" i="18" s="1"/>
  <c r="V150" i="18" s="1"/>
  <c r="Y304" i="18"/>
  <c r="Z304" i="18" s="1"/>
  <c r="AA304" i="18" s="1"/>
  <c r="AB304" i="18" s="1"/>
  <c r="AC304" i="18" s="1"/>
  <c r="S203" i="18"/>
  <c r="P43" i="18"/>
  <c r="P57" i="18"/>
  <c r="P59" i="18"/>
  <c r="P48" i="18"/>
  <c r="R256" i="18"/>
  <c r="R257" i="18" s="1"/>
  <c r="Q257" i="18"/>
  <c r="V846" i="18"/>
  <c r="R668" i="18"/>
  <c r="Q852" i="18"/>
  <c r="T306" i="18"/>
  <c r="U306" i="18" s="1"/>
  <c r="V306" i="18" s="1"/>
  <c r="W306" i="18" s="1"/>
  <c r="Q785" i="18"/>
  <c r="Q604" i="18"/>
  <c r="R604" i="18" s="1"/>
  <c r="P609" i="18"/>
  <c r="Q348" i="18"/>
  <c r="R338" i="18"/>
  <c r="R711" i="18"/>
  <c r="T838" i="18"/>
  <c r="U812" i="18"/>
  <c r="R319" i="18"/>
  <c r="O231" i="18"/>
  <c r="P221" i="18"/>
  <c r="S138" i="18"/>
  <c r="T138" i="18" s="1"/>
  <c r="P817" i="18"/>
  <c r="U677" i="18"/>
  <c r="Q567" i="18"/>
  <c r="R567" i="18" s="1"/>
  <c r="Y638" i="18"/>
  <c r="V215" i="18"/>
  <c r="W215" i="18" s="1"/>
  <c r="X215" i="18" s="1"/>
  <c r="T849" i="18"/>
  <c r="U849" i="18" s="1"/>
  <c r="V849" i="18" s="1"/>
  <c r="W849" i="18" s="1"/>
  <c r="X849" i="18" s="1"/>
  <c r="Y849" i="18" s="1"/>
  <c r="Z849" i="18" s="1"/>
  <c r="AA849" i="18" s="1"/>
  <c r="AB849" i="18" s="1"/>
  <c r="AC849" i="18" s="1"/>
  <c r="AD849" i="18" s="1"/>
  <c r="AE849" i="18" s="1"/>
  <c r="AF849" i="18" s="1"/>
  <c r="AG849" i="18" s="1"/>
  <c r="AH849" i="18" s="1"/>
  <c r="AI849" i="18" s="1"/>
  <c r="AJ849" i="18" s="1"/>
  <c r="AK849" i="18" s="1"/>
  <c r="AL849" i="18" s="1"/>
  <c r="AM849" i="18" s="1"/>
  <c r="AN849" i="18" s="1"/>
  <c r="AO849" i="18" s="1"/>
  <c r="AP849" i="18" s="1"/>
  <c r="AQ849" i="18" s="1"/>
  <c r="AR849" i="18" s="1"/>
  <c r="AS849" i="18" s="1"/>
  <c r="AT849" i="18" s="1"/>
  <c r="AU849" i="18" s="1"/>
  <c r="AV849" i="18" s="1"/>
  <c r="AW849" i="18" s="1"/>
  <c r="AX849" i="18" s="1"/>
  <c r="AY849" i="18" s="1"/>
  <c r="AZ849" i="18" s="1"/>
  <c r="BA849" i="18" s="1"/>
  <c r="BB849" i="18" s="1"/>
  <c r="BC849" i="18" s="1"/>
  <c r="BD849" i="18" s="1"/>
  <c r="BE849" i="18" s="1"/>
  <c r="BF849" i="18" s="1"/>
  <c r="BG849" i="18" s="1"/>
  <c r="BH849" i="18" s="1"/>
  <c r="BI849" i="18" s="1"/>
  <c r="Y329" i="18"/>
  <c r="Z329" i="18" s="1"/>
  <c r="AA329" i="18" s="1"/>
  <c r="AB329" i="18" s="1"/>
  <c r="AC329" i="18" s="1"/>
  <c r="AD329" i="18" s="1"/>
  <c r="AE329" i="18" s="1"/>
  <c r="AF329" i="18" s="1"/>
  <c r="AG329" i="18" s="1"/>
  <c r="AH329" i="18" s="1"/>
  <c r="AI329" i="18" s="1"/>
  <c r="AJ329" i="18" s="1"/>
  <c r="AK329" i="18" s="1"/>
  <c r="AL329" i="18" s="1"/>
  <c r="AM329" i="18" s="1"/>
  <c r="AN329" i="18" s="1"/>
  <c r="AO329" i="18" s="1"/>
  <c r="AP329" i="18" s="1"/>
  <c r="AQ329" i="18" s="1"/>
  <c r="AR329" i="18" s="1"/>
  <c r="AS329" i="18" s="1"/>
  <c r="AT329" i="18" s="1"/>
  <c r="AU329" i="18" s="1"/>
  <c r="AV329" i="18" s="1"/>
  <c r="AW329" i="18" s="1"/>
  <c r="AX329" i="18" s="1"/>
  <c r="AY329" i="18" s="1"/>
  <c r="AZ329" i="18" s="1"/>
  <c r="BA329" i="18" s="1"/>
  <c r="BB329" i="18" s="1"/>
  <c r="BC329" i="18" s="1"/>
  <c r="BD329" i="18" s="1"/>
  <c r="BE329" i="18" s="1"/>
  <c r="BF329" i="18" s="1"/>
  <c r="BG329" i="18" s="1"/>
  <c r="BH329" i="18" s="1"/>
  <c r="BI329" i="18" s="1"/>
  <c r="S836" i="18"/>
  <c r="T836" i="18" s="1"/>
  <c r="AJ508" i="18"/>
  <c r="S833" i="18"/>
  <c r="P557" i="18"/>
  <c r="T385" i="18"/>
  <c r="R781" i="18"/>
  <c r="R723" i="18"/>
  <c r="L96" i="7946"/>
  <c r="M96" i="7946" s="1"/>
  <c r="N96" i="7946" s="1"/>
  <c r="U208" i="18"/>
  <c r="S443" i="18"/>
  <c r="T443" i="18" s="1"/>
  <c r="U443" i="18" s="1"/>
  <c r="V443" i="18" s="1"/>
  <c r="W443" i="18" s="1"/>
  <c r="X443" i="18" s="1"/>
  <c r="Y443" i="18" s="1"/>
  <c r="Z443" i="18" s="1"/>
  <c r="AA443" i="18" s="1"/>
  <c r="AB443" i="18" s="1"/>
  <c r="AC443" i="18" s="1"/>
  <c r="AD443" i="18" s="1"/>
  <c r="AE443" i="18" s="1"/>
  <c r="AF443" i="18" s="1"/>
  <c r="AG443" i="18" s="1"/>
  <c r="AH443" i="18" s="1"/>
  <c r="AI443" i="18" s="1"/>
  <c r="AJ443" i="18" s="1"/>
  <c r="AK443" i="18" s="1"/>
  <c r="AL443" i="18" s="1"/>
  <c r="AM443" i="18" s="1"/>
  <c r="AN443" i="18" s="1"/>
  <c r="AO443" i="18" s="1"/>
  <c r="AP443" i="18" s="1"/>
  <c r="AQ443" i="18" s="1"/>
  <c r="AR443" i="18" s="1"/>
  <c r="AS443" i="18" s="1"/>
  <c r="AT443" i="18" s="1"/>
  <c r="AU443" i="18" s="1"/>
  <c r="AV443" i="18" s="1"/>
  <c r="AW443" i="18" s="1"/>
  <c r="AX443" i="18" s="1"/>
  <c r="AY443" i="18" s="1"/>
  <c r="AZ443" i="18" s="1"/>
  <c r="BA443" i="18" s="1"/>
  <c r="BB443" i="18" s="1"/>
  <c r="BC443" i="18" s="1"/>
  <c r="BD443" i="18" s="1"/>
  <c r="BE443" i="18" s="1"/>
  <c r="BF443" i="18" s="1"/>
  <c r="BG443" i="18" s="1"/>
  <c r="BH443" i="18" s="1"/>
  <c r="BI443" i="18" s="1"/>
  <c r="U372" i="18"/>
  <c r="Q21" i="7945"/>
  <c r="R749" i="18"/>
  <c r="S343" i="18"/>
  <c r="R177" i="18"/>
  <c r="O7" i="7942"/>
  <c r="T748" i="18"/>
  <c r="U748" i="18" s="1"/>
  <c r="R216" i="18"/>
  <c r="U390" i="18"/>
  <c r="AH501" i="18"/>
  <c r="AI501" i="18" s="1"/>
  <c r="X783" i="18"/>
  <c r="Y783" i="18" s="1"/>
  <c r="Z783" i="18" s="1"/>
  <c r="AA783" i="18" s="1"/>
  <c r="AB783" i="18" s="1"/>
  <c r="AC783" i="18" s="1"/>
  <c r="AD783" i="18" s="1"/>
  <c r="AE783" i="18" s="1"/>
  <c r="AF783" i="18" s="1"/>
  <c r="AG783" i="18" s="1"/>
  <c r="AH783" i="18" s="1"/>
  <c r="AI783" i="18" s="1"/>
  <c r="AJ783" i="18" s="1"/>
  <c r="AK783" i="18" s="1"/>
  <c r="AL783" i="18" s="1"/>
  <c r="AM783" i="18" s="1"/>
  <c r="AN783" i="18" s="1"/>
  <c r="AO783" i="18" s="1"/>
  <c r="AP783" i="18" s="1"/>
  <c r="AQ783" i="18" s="1"/>
  <c r="AR783" i="18" s="1"/>
  <c r="AS783" i="18" s="1"/>
  <c r="AT783" i="18" s="1"/>
  <c r="AU783" i="18" s="1"/>
  <c r="AV783" i="18" s="1"/>
  <c r="AW783" i="18" s="1"/>
  <c r="AX783" i="18" s="1"/>
  <c r="AY783" i="18" s="1"/>
  <c r="AZ783" i="18" s="1"/>
  <c r="BA783" i="18" s="1"/>
  <c r="BB783" i="18" s="1"/>
  <c r="BC783" i="18" s="1"/>
  <c r="BD783" i="18" s="1"/>
  <c r="BE783" i="18" s="1"/>
  <c r="BF783" i="18" s="1"/>
  <c r="BG783" i="18" s="1"/>
  <c r="BH783" i="18" s="1"/>
  <c r="BI783" i="18" s="1"/>
  <c r="S332" i="18"/>
  <c r="T332" i="18" s="1"/>
  <c r="S345" i="18"/>
  <c r="T345" i="18" s="1"/>
  <c r="U345" i="18" s="1"/>
  <c r="V345" i="18" s="1"/>
  <c r="S280" i="18"/>
  <c r="R127" i="18"/>
  <c r="S117" i="18"/>
  <c r="W746" i="18"/>
  <c r="X746" i="18" s="1"/>
  <c r="Y746" i="18" s="1"/>
  <c r="Z746" i="18" s="1"/>
  <c r="AA746" i="18" s="1"/>
  <c r="AB746" i="18" s="1"/>
  <c r="AC746" i="18" s="1"/>
  <c r="AD746" i="18" s="1"/>
  <c r="AE746" i="18" s="1"/>
  <c r="AF746" i="18" s="1"/>
  <c r="AG746" i="18" s="1"/>
  <c r="AH746" i="18" s="1"/>
  <c r="AI746" i="18" s="1"/>
  <c r="AJ746" i="18" s="1"/>
  <c r="AK746" i="18" s="1"/>
  <c r="AL746" i="18" s="1"/>
  <c r="AM746" i="18" s="1"/>
  <c r="AN746" i="18" s="1"/>
  <c r="AO746" i="18" s="1"/>
  <c r="AP746" i="18" s="1"/>
  <c r="AQ746" i="18" s="1"/>
  <c r="AR746" i="18" s="1"/>
  <c r="AS746" i="18" s="1"/>
  <c r="AT746" i="18" s="1"/>
  <c r="AU746" i="18" s="1"/>
  <c r="AV746" i="18" s="1"/>
  <c r="AW746" i="18" s="1"/>
  <c r="AX746" i="18" s="1"/>
  <c r="AY746" i="18" s="1"/>
  <c r="AZ746" i="18" s="1"/>
  <c r="BA746" i="18" s="1"/>
  <c r="BB746" i="18" s="1"/>
  <c r="BC746" i="18" s="1"/>
  <c r="BD746" i="18" s="1"/>
  <c r="BE746" i="18" s="1"/>
  <c r="BF746" i="18" s="1"/>
  <c r="BG746" i="18" s="1"/>
  <c r="BH746" i="18" s="1"/>
  <c r="BI746" i="18" s="1"/>
  <c r="V318" i="18"/>
  <c r="U411" i="18"/>
  <c r="V411" i="18" s="1"/>
  <c r="P44" i="7946"/>
  <c r="P63" i="7946"/>
  <c r="P88" i="7946" s="1"/>
  <c r="Q21" i="7946"/>
  <c r="V651" i="18"/>
  <c r="W651" i="18" s="1"/>
  <c r="P244" i="18"/>
  <c r="S236" i="18"/>
  <c r="T236" i="18" s="1"/>
  <c r="U236" i="18" s="1"/>
  <c r="V236" i="18" s="1"/>
  <c r="W236" i="18" s="1"/>
  <c r="X236" i="18" s="1"/>
  <c r="Y236" i="18" s="1"/>
  <c r="Z236" i="18" s="1"/>
  <c r="AA236" i="18" s="1"/>
  <c r="AB236" i="18" s="1"/>
  <c r="AC236" i="18" s="1"/>
  <c r="AD236" i="18" s="1"/>
  <c r="AE236" i="18" s="1"/>
  <c r="AF236" i="18" s="1"/>
  <c r="AG236" i="18" s="1"/>
  <c r="AH236" i="18" s="1"/>
  <c r="AI236" i="18" s="1"/>
  <c r="AJ236" i="18" s="1"/>
  <c r="AK236" i="18" s="1"/>
  <c r="AL236" i="18" s="1"/>
  <c r="AM236" i="18" s="1"/>
  <c r="AN236" i="18" s="1"/>
  <c r="AO236" i="18" s="1"/>
  <c r="AP236" i="18" s="1"/>
  <c r="AQ236" i="18" s="1"/>
  <c r="AR236" i="18" s="1"/>
  <c r="AS236" i="18" s="1"/>
  <c r="AT236" i="18" s="1"/>
  <c r="AU236" i="18" s="1"/>
  <c r="AV236" i="18" s="1"/>
  <c r="AW236" i="18" s="1"/>
  <c r="AX236" i="18" s="1"/>
  <c r="AY236" i="18" s="1"/>
  <c r="AZ236" i="18" s="1"/>
  <c r="BA236" i="18" s="1"/>
  <c r="BB236" i="18" s="1"/>
  <c r="BC236" i="18" s="1"/>
  <c r="BD236" i="18" s="1"/>
  <c r="BE236" i="18" s="1"/>
  <c r="BF236" i="18" s="1"/>
  <c r="BG236" i="18" s="1"/>
  <c r="BH236" i="18" s="1"/>
  <c r="BI236" i="18" s="1"/>
  <c r="U281" i="18"/>
  <c r="Q387" i="18"/>
  <c r="R379" i="18"/>
  <c r="U162" i="18"/>
  <c r="U448" i="18"/>
  <c r="V448" i="18" s="1"/>
  <c r="W448" i="18" s="1"/>
  <c r="X448" i="18" s="1"/>
  <c r="Y448" i="18" s="1"/>
  <c r="Z448" i="18" s="1"/>
  <c r="AA448" i="18" s="1"/>
  <c r="AB448" i="18" s="1"/>
  <c r="AC448" i="18" s="1"/>
  <c r="AD448" i="18" s="1"/>
  <c r="AE448" i="18" s="1"/>
  <c r="AF448" i="18" s="1"/>
  <c r="AG448" i="18" s="1"/>
  <c r="AH448" i="18" s="1"/>
  <c r="AI448" i="18" s="1"/>
  <c r="AJ448" i="18" s="1"/>
  <c r="AK448" i="18" s="1"/>
  <c r="AL448" i="18" s="1"/>
  <c r="AM448" i="18" s="1"/>
  <c r="AN448" i="18" s="1"/>
  <c r="AO448" i="18" s="1"/>
  <c r="AP448" i="18" s="1"/>
  <c r="AQ448" i="18" s="1"/>
  <c r="AR448" i="18" s="1"/>
  <c r="AS448" i="18" s="1"/>
  <c r="AT448" i="18" s="1"/>
  <c r="AU448" i="18" s="1"/>
  <c r="AV448" i="18" s="1"/>
  <c r="AW448" i="18" s="1"/>
  <c r="AX448" i="18" s="1"/>
  <c r="AY448" i="18" s="1"/>
  <c r="AZ448" i="18" s="1"/>
  <c r="BA448" i="18" s="1"/>
  <c r="BB448" i="18" s="1"/>
  <c r="BC448" i="18" s="1"/>
  <c r="BD448" i="18" s="1"/>
  <c r="BE448" i="18" s="1"/>
  <c r="BF448" i="18" s="1"/>
  <c r="BG448" i="18" s="1"/>
  <c r="BH448" i="18" s="1"/>
  <c r="BI448" i="18" s="1"/>
  <c r="Q487" i="18"/>
  <c r="R605" i="18"/>
  <c r="S605" i="18" s="1"/>
  <c r="W614" i="18"/>
  <c r="R788" i="18"/>
  <c r="U760" i="18"/>
  <c r="V760" i="18" s="1"/>
  <c r="T865" i="18"/>
  <c r="R490" i="18"/>
  <c r="V710" i="18"/>
  <c r="V814" i="18"/>
  <c r="W814" i="18" s="1"/>
  <c r="X814" i="18" s="1"/>
  <c r="Y814" i="18" s="1"/>
  <c r="Z814" i="18" s="1"/>
  <c r="AA814" i="18" s="1"/>
  <c r="V835" i="18"/>
  <c r="W835" i="18" s="1"/>
  <c r="X835" i="18" s="1"/>
  <c r="T773" i="18"/>
  <c r="S488" i="18"/>
  <c r="AS86" i="18"/>
  <c r="AT86" i="18" s="1"/>
  <c r="T242" i="18"/>
  <c r="U346" i="18"/>
  <c r="S729" i="18"/>
  <c r="S442" i="18"/>
  <c r="S641" i="18"/>
  <c r="M32" i="7945"/>
  <c r="O8" i="7945"/>
  <c r="P8" i="7945" s="1"/>
  <c r="P32" i="7945" s="1"/>
  <c r="Y576" i="18"/>
  <c r="Z576" i="18" s="1"/>
  <c r="AA576" i="18" s="1"/>
  <c r="AB576" i="18" s="1"/>
  <c r="AC576" i="18" s="1"/>
  <c r="AD576" i="18" s="1"/>
  <c r="AE576" i="18" s="1"/>
  <c r="AF576" i="18" s="1"/>
  <c r="AG576" i="18" s="1"/>
  <c r="AH576" i="18" s="1"/>
  <c r="AI576" i="18" s="1"/>
  <c r="AJ576" i="18" s="1"/>
  <c r="AK576" i="18" s="1"/>
  <c r="AL576" i="18" s="1"/>
  <c r="AM576" i="18" s="1"/>
  <c r="AN576" i="18" s="1"/>
  <c r="AO576" i="18" s="1"/>
  <c r="AP576" i="18" s="1"/>
  <c r="AQ576" i="18" s="1"/>
  <c r="AR576" i="18" s="1"/>
  <c r="AS576" i="18" s="1"/>
  <c r="AT576" i="18" s="1"/>
  <c r="AU576" i="18" s="1"/>
  <c r="AV576" i="18" s="1"/>
  <c r="AW576" i="18" s="1"/>
  <c r="AX576" i="18" s="1"/>
  <c r="AY576" i="18" s="1"/>
  <c r="AZ576" i="18" s="1"/>
  <c r="BA576" i="18" s="1"/>
  <c r="BB576" i="18" s="1"/>
  <c r="BC576" i="18" s="1"/>
  <c r="BD576" i="18" s="1"/>
  <c r="BE576" i="18" s="1"/>
  <c r="BF576" i="18" s="1"/>
  <c r="BG576" i="18" s="1"/>
  <c r="BH576" i="18" s="1"/>
  <c r="BI576" i="18" s="1"/>
  <c r="V643" i="18"/>
  <c r="W643" i="18" s="1"/>
  <c r="X643" i="18" s="1"/>
  <c r="Y643" i="18" s="1"/>
  <c r="Z643" i="18" s="1"/>
  <c r="AA643" i="18" s="1"/>
  <c r="AB643" i="18" s="1"/>
  <c r="AC643" i="18" s="1"/>
  <c r="AD643" i="18" s="1"/>
  <c r="AE643" i="18" s="1"/>
  <c r="AF643" i="18" s="1"/>
  <c r="AG643" i="18" s="1"/>
  <c r="AH643" i="18" s="1"/>
  <c r="AI643" i="18" s="1"/>
  <c r="AJ643" i="18" s="1"/>
  <c r="AK643" i="18" s="1"/>
  <c r="AL643" i="18" s="1"/>
  <c r="AM643" i="18" s="1"/>
  <c r="AN643" i="18" s="1"/>
  <c r="AO643" i="18" s="1"/>
  <c r="AP643" i="18" s="1"/>
  <c r="AQ643" i="18" s="1"/>
  <c r="AR643" i="18" s="1"/>
  <c r="AS643" i="18" s="1"/>
  <c r="AT643" i="18" s="1"/>
  <c r="AU643" i="18" s="1"/>
  <c r="AV643" i="18" s="1"/>
  <c r="AW643" i="18" s="1"/>
  <c r="AX643" i="18" s="1"/>
  <c r="AY643" i="18" s="1"/>
  <c r="AZ643" i="18" s="1"/>
  <c r="BA643" i="18" s="1"/>
  <c r="BB643" i="18" s="1"/>
  <c r="BC643" i="18" s="1"/>
  <c r="BD643" i="18" s="1"/>
  <c r="BE643" i="18" s="1"/>
  <c r="BF643" i="18" s="1"/>
  <c r="BG643" i="18" s="1"/>
  <c r="BH643" i="18" s="1"/>
  <c r="BI643" i="18" s="1"/>
  <c r="V705" i="18"/>
  <c r="S586" i="18"/>
  <c r="Q573" i="18"/>
  <c r="P583" i="18"/>
  <c r="U254" i="18"/>
  <c r="U534" i="18"/>
  <c r="V482" i="18"/>
  <c r="Q631" i="18"/>
  <c r="P80" i="7943"/>
  <c r="S286" i="18"/>
  <c r="U437" i="18"/>
  <c r="V437" i="18" s="1"/>
  <c r="W305" i="18"/>
  <c r="X305" i="18" s="1"/>
  <c r="Y305" i="18" s="1"/>
  <c r="T735" i="18"/>
  <c r="S645" i="18"/>
  <c r="T136" i="18"/>
  <c r="T807" i="18"/>
  <c r="U794" i="18"/>
  <c r="Q218" i="18"/>
  <c r="R211" i="18"/>
  <c r="Q684" i="18"/>
  <c r="X422" i="18"/>
  <c r="Y422" i="18" s="1"/>
  <c r="Z422" i="18" s="1"/>
  <c r="AA422" i="18" s="1"/>
  <c r="AB422" i="18" s="1"/>
  <c r="AC422" i="18" s="1"/>
  <c r="AD422" i="18" s="1"/>
  <c r="AE422" i="18" s="1"/>
  <c r="AF422" i="18" s="1"/>
  <c r="AG422" i="18" s="1"/>
  <c r="AH422" i="18" s="1"/>
  <c r="AI422" i="18" s="1"/>
  <c r="AJ422" i="18" s="1"/>
  <c r="AK422" i="18" s="1"/>
  <c r="AL422" i="18" s="1"/>
  <c r="AM422" i="18" s="1"/>
  <c r="AN422" i="18" s="1"/>
  <c r="AO422" i="18" s="1"/>
  <c r="AP422" i="18" s="1"/>
  <c r="AQ422" i="18" s="1"/>
  <c r="AR422" i="18" s="1"/>
  <c r="AS422" i="18" s="1"/>
  <c r="AT422" i="18" s="1"/>
  <c r="AU422" i="18" s="1"/>
  <c r="AV422" i="18" s="1"/>
  <c r="AW422" i="18" s="1"/>
  <c r="AX422" i="18" s="1"/>
  <c r="AY422" i="18" s="1"/>
  <c r="AZ422" i="18" s="1"/>
  <c r="BA422" i="18" s="1"/>
  <c r="BB422" i="18" s="1"/>
  <c r="BC422" i="18" s="1"/>
  <c r="BD422" i="18" s="1"/>
  <c r="BE422" i="18" s="1"/>
  <c r="BF422" i="18" s="1"/>
  <c r="BG422" i="18" s="1"/>
  <c r="BH422" i="18" s="1"/>
  <c r="BI422" i="18" s="1"/>
  <c r="T354" i="18"/>
  <c r="U354" i="18" s="1"/>
  <c r="V354" i="18" s="1"/>
  <c r="W354" i="18" s="1"/>
  <c r="R859" i="18"/>
  <c r="Q361" i="18"/>
  <c r="R351" i="18"/>
  <c r="O91" i="7946"/>
  <c r="P66" i="7946"/>
  <c r="P91" i="7946" s="1"/>
  <c r="S554" i="18"/>
  <c r="T554" i="18" s="1"/>
  <c r="W537" i="18"/>
  <c r="X537" i="18" s="1"/>
  <c r="Y537" i="18" s="1"/>
  <c r="Z537" i="18" s="1"/>
  <c r="AA537" i="18" s="1"/>
  <c r="AB537" i="18" s="1"/>
  <c r="AC537" i="18" s="1"/>
  <c r="AD537" i="18" s="1"/>
  <c r="AE537" i="18" s="1"/>
  <c r="AF537" i="18" s="1"/>
  <c r="AG537" i="18" s="1"/>
  <c r="AH537" i="18" s="1"/>
  <c r="AI537" i="18" s="1"/>
  <c r="AJ537" i="18" s="1"/>
  <c r="AK537" i="18" s="1"/>
  <c r="AL537" i="18" s="1"/>
  <c r="AM537" i="18" s="1"/>
  <c r="AN537" i="18" s="1"/>
  <c r="AO537" i="18" s="1"/>
  <c r="AP537" i="18" s="1"/>
  <c r="AQ537" i="18" s="1"/>
  <c r="AR537" i="18" s="1"/>
  <c r="AS537" i="18" s="1"/>
  <c r="AT537" i="18" s="1"/>
  <c r="AU537" i="18" s="1"/>
  <c r="AV537" i="18" s="1"/>
  <c r="AW537" i="18" s="1"/>
  <c r="AX537" i="18" s="1"/>
  <c r="AY537" i="18" s="1"/>
  <c r="AZ537" i="18" s="1"/>
  <c r="BA537" i="18" s="1"/>
  <c r="BB537" i="18" s="1"/>
  <c r="BC537" i="18" s="1"/>
  <c r="BD537" i="18" s="1"/>
  <c r="BE537" i="18" s="1"/>
  <c r="BF537" i="18" s="1"/>
  <c r="BG537" i="18" s="1"/>
  <c r="BH537" i="18" s="1"/>
  <c r="BI537" i="18" s="1"/>
  <c r="T664" i="18"/>
  <c r="V625" i="18"/>
  <c r="V630" i="18"/>
  <c r="W630" i="18" s="1"/>
  <c r="X630" i="18" s="1"/>
  <c r="Y630" i="18" s="1"/>
  <c r="Z630" i="18" s="1"/>
  <c r="AA630" i="18" s="1"/>
  <c r="AB630" i="18" s="1"/>
  <c r="AC630" i="18" s="1"/>
  <c r="AD630" i="18" s="1"/>
  <c r="AE630" i="18" s="1"/>
  <c r="R333" i="18"/>
  <c r="X266" i="18"/>
  <c r="Y266" i="18" s="1"/>
  <c r="Z266" i="18" s="1"/>
  <c r="AA266" i="18" s="1"/>
  <c r="Q288" i="18"/>
  <c r="P296" i="18"/>
  <c r="U377" i="18"/>
  <c r="R371" i="18"/>
  <c r="Q374" i="18"/>
  <c r="P66" i="18"/>
  <c r="P63" i="18"/>
  <c r="P65" i="18"/>
  <c r="P52" i="18"/>
  <c r="Y665" i="18"/>
  <c r="Z665" i="18" s="1"/>
  <c r="AA665" i="18" s="1"/>
  <c r="AB665" i="18" s="1"/>
  <c r="AC665" i="18" s="1"/>
  <c r="AD665" i="18" s="1"/>
  <c r="AE665" i="18" s="1"/>
  <c r="AF665" i="18" s="1"/>
  <c r="AG665" i="18" s="1"/>
  <c r="AH665" i="18" s="1"/>
  <c r="AI665" i="18" s="1"/>
  <c r="AJ665" i="18" s="1"/>
  <c r="AK665" i="18" s="1"/>
  <c r="AL665" i="18" s="1"/>
  <c r="AM665" i="18" s="1"/>
  <c r="AN665" i="18" s="1"/>
  <c r="AO665" i="18" s="1"/>
  <c r="AP665" i="18" s="1"/>
  <c r="AQ665" i="18" s="1"/>
  <c r="AR665" i="18" s="1"/>
  <c r="AS665" i="18" s="1"/>
  <c r="AT665" i="18" s="1"/>
  <c r="AU665" i="18" s="1"/>
  <c r="AV665" i="18" s="1"/>
  <c r="AW665" i="18" s="1"/>
  <c r="AX665" i="18" s="1"/>
  <c r="AY665" i="18" s="1"/>
  <c r="AZ665" i="18" s="1"/>
  <c r="BA665" i="18" s="1"/>
  <c r="BB665" i="18" s="1"/>
  <c r="BC665" i="18" s="1"/>
  <c r="BD665" i="18" s="1"/>
  <c r="BE665" i="18" s="1"/>
  <c r="BF665" i="18" s="1"/>
  <c r="BG665" i="18" s="1"/>
  <c r="BH665" i="18" s="1"/>
  <c r="BI665" i="18" s="1"/>
  <c r="U755" i="18"/>
  <c r="V755" i="18" s="1"/>
  <c r="P309" i="18"/>
  <c r="Q528" i="18"/>
  <c r="P531" i="18"/>
  <c r="Q646" i="18"/>
  <c r="P648" i="18"/>
  <c r="R841" i="18"/>
  <c r="R813" i="18"/>
  <c r="S813" i="18" s="1"/>
  <c r="T564" i="18"/>
  <c r="S423" i="18"/>
  <c r="T423" i="18" s="1"/>
  <c r="V703" i="18"/>
  <c r="R229" i="18"/>
  <c r="T436" i="18"/>
  <c r="W331" i="18"/>
  <c r="X331" i="18" s="1"/>
  <c r="Y331" i="18" s="1"/>
  <c r="Z331" i="18" s="1"/>
  <c r="AA331" i="18" s="1"/>
  <c r="AB331" i="18" s="1"/>
  <c r="AC331" i="18" s="1"/>
  <c r="AD331" i="18" s="1"/>
  <c r="AE331" i="18" s="1"/>
  <c r="AF331" i="18" s="1"/>
  <c r="AG331" i="18" s="1"/>
  <c r="AH331" i="18" s="1"/>
  <c r="AI331" i="18" s="1"/>
  <c r="AJ331" i="18" s="1"/>
  <c r="AK331" i="18" s="1"/>
  <c r="AL331" i="18" s="1"/>
  <c r="AM331" i="18" s="1"/>
  <c r="AN331" i="18" s="1"/>
  <c r="AO331" i="18" s="1"/>
  <c r="AP331" i="18" s="1"/>
  <c r="AQ331" i="18" s="1"/>
  <c r="AR331" i="18" s="1"/>
  <c r="AS331" i="18" s="1"/>
  <c r="AT331" i="18" s="1"/>
  <c r="AU331" i="18" s="1"/>
  <c r="AV331" i="18" s="1"/>
  <c r="AW331" i="18" s="1"/>
  <c r="AX331" i="18" s="1"/>
  <c r="AY331" i="18" s="1"/>
  <c r="AZ331" i="18" s="1"/>
  <c r="BA331" i="18" s="1"/>
  <c r="BB331" i="18" s="1"/>
  <c r="BC331" i="18" s="1"/>
  <c r="BD331" i="18" s="1"/>
  <c r="BE331" i="18" s="1"/>
  <c r="BF331" i="18" s="1"/>
  <c r="BG331" i="18" s="1"/>
  <c r="BH331" i="18" s="1"/>
  <c r="BI331" i="18" s="1"/>
  <c r="S810" i="18"/>
  <c r="O44" i="7946"/>
  <c r="O63" i="7946"/>
  <c r="O88" i="7946" s="1"/>
  <c r="T640" i="18"/>
  <c r="T294" i="18"/>
  <c r="R864" i="18"/>
  <c r="AG500" i="18"/>
  <c r="N13" i="24"/>
  <c r="O12" i="24"/>
  <c r="Q166" i="18"/>
  <c r="U821" i="18"/>
  <c r="S187" i="18"/>
  <c r="N48" i="7946"/>
  <c r="T190" i="18"/>
  <c r="Q541" i="18"/>
  <c r="Q801" i="18"/>
  <c r="P804" i="18"/>
  <c r="S787" i="18"/>
  <c r="Q851" i="18"/>
  <c r="Q655" i="18"/>
  <c r="R655" i="18" s="1"/>
  <c r="W707" i="18"/>
  <c r="S521" i="18"/>
  <c r="T538" i="18"/>
  <c r="U538" i="18" s="1"/>
  <c r="V538" i="18" s="1"/>
  <c r="W538" i="18" s="1"/>
  <c r="X538" i="18" s="1"/>
  <c r="Y538" i="18" s="1"/>
  <c r="Z538" i="18" s="1"/>
  <c r="AA538" i="18" s="1"/>
  <c r="AB538" i="18" s="1"/>
  <c r="AC538" i="18" s="1"/>
  <c r="AD538" i="18" s="1"/>
  <c r="AE538" i="18" s="1"/>
  <c r="AF538" i="18" s="1"/>
  <c r="AG538" i="18" s="1"/>
  <c r="N66" i="24"/>
  <c r="N70" i="24"/>
  <c r="N133" i="24" s="1"/>
  <c r="S293" i="18"/>
  <c r="T293" i="18" s="1"/>
  <c r="P752" i="18"/>
  <c r="W359" i="18"/>
  <c r="P739" i="18"/>
  <c r="R618" i="18"/>
  <c r="Q606" i="18"/>
  <c r="AT83" i="18"/>
  <c r="AU83" i="18" s="1"/>
  <c r="AV83" i="18" s="1"/>
  <c r="AW83" i="18" s="1"/>
  <c r="Q205" i="18"/>
  <c r="R195" i="18"/>
  <c r="AB355" i="18"/>
  <c r="AC355" i="18" s="1"/>
  <c r="T260" i="18"/>
  <c r="AS112" i="18"/>
  <c r="AT112" i="18" s="1"/>
  <c r="AU112" i="18" s="1"/>
  <c r="W599" i="18"/>
  <c r="G176" i="1"/>
  <c r="H40" i="1"/>
  <c r="G208" i="1"/>
  <c r="G142" i="1"/>
  <c r="G190" i="1"/>
  <c r="G4" i="18"/>
  <c r="G241" i="1"/>
  <c r="G74" i="1"/>
  <c r="G108" i="1" s="1"/>
  <c r="G221" i="1"/>
  <c r="G223" i="1" s="1"/>
  <c r="G4" i="2"/>
  <c r="T815" i="18" l="1"/>
  <c r="AD745" i="18"/>
  <c r="AE745" i="18" s="1"/>
  <c r="AF745" i="18" s="1"/>
  <c r="AG745" i="18" s="1"/>
  <c r="AH745" i="18" s="1"/>
  <c r="X762" i="18"/>
  <c r="Y762" i="18" s="1"/>
  <c r="R700" i="18"/>
  <c r="V579" i="18"/>
  <c r="W579" i="18" s="1"/>
  <c r="X579" i="18" s="1"/>
  <c r="Y579" i="18" s="1"/>
  <c r="P70" i="7946"/>
  <c r="P95" i="7946" s="1"/>
  <c r="W397" i="18"/>
  <c r="X397" i="18" s="1"/>
  <c r="R426" i="18"/>
  <c r="T698" i="18"/>
  <c r="U698" i="18" s="1"/>
  <c r="Y149" i="18"/>
  <c r="Z149" i="18" s="1"/>
  <c r="AA149" i="18" s="1"/>
  <c r="AB149" i="18" s="1"/>
  <c r="AC149" i="18" s="1"/>
  <c r="AD149" i="18" s="1"/>
  <c r="AE149" i="18" s="1"/>
  <c r="AF149" i="18" s="1"/>
  <c r="AG149" i="18" s="1"/>
  <c r="AH149" i="18" s="1"/>
  <c r="AI149" i="18" s="1"/>
  <c r="AJ149" i="18" s="1"/>
  <c r="AK149" i="18" s="1"/>
  <c r="AL149" i="18" s="1"/>
  <c r="AM149" i="18" s="1"/>
  <c r="AN149" i="18" s="1"/>
  <c r="AO149" i="18" s="1"/>
  <c r="AP149" i="18" s="1"/>
  <c r="AQ149" i="18" s="1"/>
  <c r="AR149" i="18" s="1"/>
  <c r="AS149" i="18" s="1"/>
  <c r="AT149" i="18" s="1"/>
  <c r="AU149" i="18" s="1"/>
  <c r="AV149" i="18" s="1"/>
  <c r="AW149" i="18" s="1"/>
  <c r="AX149" i="18" s="1"/>
  <c r="AY149" i="18" s="1"/>
  <c r="AZ149" i="18" s="1"/>
  <c r="BA149" i="18" s="1"/>
  <c r="BB149" i="18" s="1"/>
  <c r="BC149" i="18" s="1"/>
  <c r="BD149" i="18" s="1"/>
  <c r="BE149" i="18" s="1"/>
  <c r="BF149" i="18" s="1"/>
  <c r="BG149" i="18" s="1"/>
  <c r="BH149" i="18" s="1"/>
  <c r="BI149" i="18" s="1"/>
  <c r="R439" i="18"/>
  <c r="X722" i="18"/>
  <c r="Y722" i="18" s="1"/>
  <c r="P151" i="24"/>
  <c r="M92" i="7946"/>
  <c r="V421" i="18"/>
  <c r="W421" i="18" s="1"/>
  <c r="X421" i="18" s="1"/>
  <c r="Y421" i="18" s="1"/>
  <c r="AA369" i="18"/>
  <c r="AB369" i="18" s="1"/>
  <c r="AC369" i="18" s="1"/>
  <c r="AD369" i="18" s="1"/>
  <c r="AE369" i="18" s="1"/>
  <c r="AF369" i="18" s="1"/>
  <c r="AG369" i="18" s="1"/>
  <c r="AH369" i="18" s="1"/>
  <c r="AI369" i="18" s="1"/>
  <c r="AJ369" i="18" s="1"/>
  <c r="AK369" i="18" s="1"/>
  <c r="AL369" i="18" s="1"/>
  <c r="AM369" i="18" s="1"/>
  <c r="AN369" i="18" s="1"/>
  <c r="AO369" i="18" s="1"/>
  <c r="AP369" i="18" s="1"/>
  <c r="AQ369" i="18" s="1"/>
  <c r="AR369" i="18" s="1"/>
  <c r="AS369" i="18" s="1"/>
  <c r="AT369" i="18" s="1"/>
  <c r="AU369" i="18" s="1"/>
  <c r="AV369" i="18" s="1"/>
  <c r="AW369" i="18" s="1"/>
  <c r="AX369" i="18" s="1"/>
  <c r="AY369" i="18" s="1"/>
  <c r="AZ369" i="18" s="1"/>
  <c r="BA369" i="18" s="1"/>
  <c r="BB369" i="18" s="1"/>
  <c r="BC369" i="18" s="1"/>
  <c r="BD369" i="18" s="1"/>
  <c r="BE369" i="18" s="1"/>
  <c r="BF369" i="18" s="1"/>
  <c r="BG369" i="18" s="1"/>
  <c r="BH369" i="18" s="1"/>
  <c r="BI369" i="18" s="1"/>
  <c r="Q140" i="18"/>
  <c r="O70" i="24"/>
  <c r="O133" i="24" s="1"/>
  <c r="S130" i="18"/>
  <c r="T130" i="18" s="1"/>
  <c r="U130" i="18" s="1"/>
  <c r="Q700" i="18"/>
  <c r="P140" i="18"/>
  <c r="S647" i="18"/>
  <c r="V799" i="18"/>
  <c r="W799" i="18" s="1"/>
  <c r="X799" i="18" s="1"/>
  <c r="Y799" i="18" s="1"/>
  <c r="Z799" i="18" s="1"/>
  <c r="AA799" i="18" s="1"/>
  <c r="AB799" i="18" s="1"/>
  <c r="AC799" i="18" s="1"/>
  <c r="AD799" i="18" s="1"/>
  <c r="AE799" i="18" s="1"/>
  <c r="AF799" i="18" s="1"/>
  <c r="AG799" i="18" s="1"/>
  <c r="AH799" i="18" s="1"/>
  <c r="AI799" i="18" s="1"/>
  <c r="AJ799" i="18" s="1"/>
  <c r="AK799" i="18" s="1"/>
  <c r="AL799" i="18" s="1"/>
  <c r="AM799" i="18" s="1"/>
  <c r="AN799" i="18" s="1"/>
  <c r="AO799" i="18" s="1"/>
  <c r="AP799" i="18" s="1"/>
  <c r="AQ799" i="18" s="1"/>
  <c r="AR799" i="18" s="1"/>
  <c r="AS799" i="18" s="1"/>
  <c r="AT799" i="18" s="1"/>
  <c r="AU799" i="18" s="1"/>
  <c r="AV799" i="18" s="1"/>
  <c r="AW799" i="18" s="1"/>
  <c r="AX799" i="18" s="1"/>
  <c r="AY799" i="18" s="1"/>
  <c r="AZ799" i="18" s="1"/>
  <c r="BA799" i="18" s="1"/>
  <c r="BB799" i="18" s="1"/>
  <c r="BC799" i="18" s="1"/>
  <c r="BD799" i="18" s="1"/>
  <c r="BE799" i="18" s="1"/>
  <c r="BF799" i="18" s="1"/>
  <c r="BG799" i="18" s="1"/>
  <c r="BH799" i="18" s="1"/>
  <c r="BI799" i="18" s="1"/>
  <c r="X602" i="18"/>
  <c r="U620" i="18"/>
  <c r="V620" i="18" s="1"/>
  <c r="W620" i="18" s="1"/>
  <c r="AA201" i="18"/>
  <c r="AB201" i="18" s="1"/>
  <c r="AC201" i="18" s="1"/>
  <c r="AD201" i="18" s="1"/>
  <c r="AE201" i="18" s="1"/>
  <c r="AF201" i="18" s="1"/>
  <c r="AG201" i="18" s="1"/>
  <c r="AH201" i="18" s="1"/>
  <c r="AI201" i="18" s="1"/>
  <c r="AJ201" i="18" s="1"/>
  <c r="AK201" i="18" s="1"/>
  <c r="AL201" i="18" s="1"/>
  <c r="AM201" i="18" s="1"/>
  <c r="AN201" i="18" s="1"/>
  <c r="AO201" i="18" s="1"/>
  <c r="AP201" i="18" s="1"/>
  <c r="AQ201" i="18" s="1"/>
  <c r="AR201" i="18" s="1"/>
  <c r="AS201" i="18" s="1"/>
  <c r="AT201" i="18" s="1"/>
  <c r="AU201" i="18" s="1"/>
  <c r="AV201" i="18" s="1"/>
  <c r="AW201" i="18" s="1"/>
  <c r="AX201" i="18" s="1"/>
  <c r="AY201" i="18" s="1"/>
  <c r="AZ201" i="18" s="1"/>
  <c r="BA201" i="18" s="1"/>
  <c r="BB201" i="18" s="1"/>
  <c r="BC201" i="18" s="1"/>
  <c r="BD201" i="18" s="1"/>
  <c r="BE201" i="18" s="1"/>
  <c r="BF201" i="18" s="1"/>
  <c r="BG201" i="18" s="1"/>
  <c r="BH201" i="18" s="1"/>
  <c r="BI201" i="18" s="1"/>
  <c r="W292" i="18"/>
  <c r="X292" i="18" s="1"/>
  <c r="Y292" i="18" s="1"/>
  <c r="Z292" i="18" s="1"/>
  <c r="AA292" i="18" s="1"/>
  <c r="AB292" i="18" s="1"/>
  <c r="AC292" i="18" s="1"/>
  <c r="AD292" i="18" s="1"/>
  <c r="AE292" i="18" s="1"/>
  <c r="AF292" i="18" s="1"/>
  <c r="AG292" i="18" s="1"/>
  <c r="AH292" i="18" s="1"/>
  <c r="AI292" i="18" s="1"/>
  <c r="AJ292" i="18" s="1"/>
  <c r="AK292" i="18" s="1"/>
  <c r="AL292" i="18" s="1"/>
  <c r="AM292" i="18" s="1"/>
  <c r="AN292" i="18" s="1"/>
  <c r="AO292" i="18" s="1"/>
  <c r="AP292" i="18" s="1"/>
  <c r="AQ292" i="18" s="1"/>
  <c r="AR292" i="18" s="1"/>
  <c r="AS292" i="18" s="1"/>
  <c r="AT292" i="18" s="1"/>
  <c r="AU292" i="18" s="1"/>
  <c r="AV292" i="18" s="1"/>
  <c r="AW292" i="18" s="1"/>
  <c r="AX292" i="18" s="1"/>
  <c r="AY292" i="18" s="1"/>
  <c r="AZ292" i="18" s="1"/>
  <c r="BA292" i="18" s="1"/>
  <c r="BB292" i="18" s="1"/>
  <c r="BC292" i="18" s="1"/>
  <c r="BD292" i="18" s="1"/>
  <c r="BE292" i="18" s="1"/>
  <c r="BF292" i="18" s="1"/>
  <c r="BG292" i="18" s="1"/>
  <c r="BH292" i="18" s="1"/>
  <c r="BI292" i="18" s="1"/>
  <c r="P44" i="7943"/>
  <c r="P17" i="7946" s="1"/>
  <c r="Q17" i="7946" s="1"/>
  <c r="R452" i="18"/>
  <c r="U800" i="18"/>
  <c r="V800" i="18" s="1"/>
  <c r="AW82" i="18"/>
  <c r="AX82" i="18" s="1"/>
  <c r="AY82" i="18" s="1"/>
  <c r="Q778" i="18"/>
  <c r="N57" i="7946"/>
  <c r="O57" i="7946" s="1"/>
  <c r="P57" i="7946" s="1"/>
  <c r="V860" i="18"/>
  <c r="W860" i="18" s="1"/>
  <c r="Y238" i="18"/>
  <c r="Z238" i="18" s="1"/>
  <c r="W553" i="18"/>
  <c r="X553" i="18" s="1"/>
  <c r="Z734" i="18"/>
  <c r="AA734" i="18" s="1"/>
  <c r="AB734" i="18" s="1"/>
  <c r="AC734" i="18" s="1"/>
  <c r="AD734" i="18" s="1"/>
  <c r="AE734" i="18" s="1"/>
  <c r="AF734" i="18" s="1"/>
  <c r="T176" i="18"/>
  <c r="U176" i="18" s="1"/>
  <c r="Q869" i="18"/>
  <c r="AD355" i="18"/>
  <c r="AE355" i="18" s="1"/>
  <c r="AF355" i="18" s="1"/>
  <c r="AG355" i="18" s="1"/>
  <c r="AH355" i="18" s="1"/>
  <c r="AI355" i="18" s="1"/>
  <c r="AJ355" i="18" s="1"/>
  <c r="AK355" i="18" s="1"/>
  <c r="AL355" i="18" s="1"/>
  <c r="AM355" i="18" s="1"/>
  <c r="AN355" i="18" s="1"/>
  <c r="AO355" i="18" s="1"/>
  <c r="AP355" i="18" s="1"/>
  <c r="AQ355" i="18" s="1"/>
  <c r="AR355" i="18" s="1"/>
  <c r="AS355" i="18" s="1"/>
  <c r="AT355" i="18" s="1"/>
  <c r="AU355" i="18" s="1"/>
  <c r="AV355" i="18" s="1"/>
  <c r="AW355" i="18" s="1"/>
  <c r="AX355" i="18" s="1"/>
  <c r="AY355" i="18" s="1"/>
  <c r="AZ355" i="18" s="1"/>
  <c r="BA355" i="18" s="1"/>
  <c r="BB355" i="18" s="1"/>
  <c r="BC355" i="18" s="1"/>
  <c r="BD355" i="18" s="1"/>
  <c r="BE355" i="18" s="1"/>
  <c r="BF355" i="18" s="1"/>
  <c r="BG355" i="18" s="1"/>
  <c r="BH355" i="18" s="1"/>
  <c r="BI355" i="18" s="1"/>
  <c r="AR462" i="18"/>
  <c r="AS462" i="18" s="1"/>
  <c r="AT462" i="18" s="1"/>
  <c r="AU462" i="18" s="1"/>
  <c r="AV462" i="18" s="1"/>
  <c r="AW462" i="18" s="1"/>
  <c r="AX462" i="18" s="1"/>
  <c r="AY462" i="18" s="1"/>
  <c r="AZ462" i="18" s="1"/>
  <c r="BA462" i="18" s="1"/>
  <c r="BB462" i="18" s="1"/>
  <c r="BC462" i="18" s="1"/>
  <c r="BD462" i="18" s="1"/>
  <c r="BE462" i="18" s="1"/>
  <c r="BF462" i="18" s="1"/>
  <c r="BG462" i="18" s="1"/>
  <c r="BH462" i="18" s="1"/>
  <c r="BI462" i="18" s="1"/>
  <c r="Z762" i="18"/>
  <c r="AA762" i="18" s="1"/>
  <c r="AB762" i="18" s="1"/>
  <c r="AC762" i="18" s="1"/>
  <c r="AD762" i="18" s="1"/>
  <c r="AE762" i="18" s="1"/>
  <c r="AF762" i="18" s="1"/>
  <c r="AG762" i="18" s="1"/>
  <c r="AH762" i="18" s="1"/>
  <c r="AI762" i="18" s="1"/>
  <c r="AJ762" i="18" s="1"/>
  <c r="AK762" i="18" s="1"/>
  <c r="AL762" i="18" s="1"/>
  <c r="AM762" i="18" s="1"/>
  <c r="AN762" i="18" s="1"/>
  <c r="AO762" i="18" s="1"/>
  <c r="AP762" i="18" s="1"/>
  <c r="AQ762" i="18" s="1"/>
  <c r="AR762" i="18" s="1"/>
  <c r="AS762" i="18" s="1"/>
  <c r="AT762" i="18" s="1"/>
  <c r="AU762" i="18" s="1"/>
  <c r="AV762" i="18" s="1"/>
  <c r="AW762" i="18" s="1"/>
  <c r="AX762" i="18" s="1"/>
  <c r="AY762" i="18" s="1"/>
  <c r="AZ762" i="18" s="1"/>
  <c r="BA762" i="18" s="1"/>
  <c r="BB762" i="18" s="1"/>
  <c r="BC762" i="18" s="1"/>
  <c r="BD762" i="18" s="1"/>
  <c r="BE762" i="18" s="1"/>
  <c r="BF762" i="18" s="1"/>
  <c r="BG762" i="18" s="1"/>
  <c r="BH762" i="18" s="1"/>
  <c r="BI762" i="18" s="1"/>
  <c r="R621" i="18"/>
  <c r="S621" i="18" s="1"/>
  <c r="S854" i="18"/>
  <c r="T854" i="18" s="1"/>
  <c r="AJ513" i="18"/>
  <c r="AK513" i="18" s="1"/>
  <c r="AL513" i="18" s="1"/>
  <c r="AM513" i="18" s="1"/>
  <c r="AN513" i="18" s="1"/>
  <c r="AO513" i="18" s="1"/>
  <c r="AP513" i="18" s="1"/>
  <c r="AQ513" i="18" s="1"/>
  <c r="AR513" i="18" s="1"/>
  <c r="AS513" i="18" s="1"/>
  <c r="AT513" i="18" s="1"/>
  <c r="AU513" i="18" s="1"/>
  <c r="AV513" i="18" s="1"/>
  <c r="AW513" i="18" s="1"/>
  <c r="AX513" i="18" s="1"/>
  <c r="AY513" i="18" s="1"/>
  <c r="AZ513" i="18" s="1"/>
  <c r="BA513" i="18" s="1"/>
  <c r="BB513" i="18" s="1"/>
  <c r="BC513" i="18" s="1"/>
  <c r="T255" i="18"/>
  <c r="U255" i="18" s="1"/>
  <c r="AD123" i="18"/>
  <c r="AE123" i="18" s="1"/>
  <c r="AF123" i="18" s="1"/>
  <c r="AG123" i="18" s="1"/>
  <c r="AH123" i="18" s="1"/>
  <c r="AI123" i="18" s="1"/>
  <c r="AJ123" i="18" s="1"/>
  <c r="AK123" i="18" s="1"/>
  <c r="AL123" i="18" s="1"/>
  <c r="AM123" i="18" s="1"/>
  <c r="AN123" i="18" s="1"/>
  <c r="AO123" i="18" s="1"/>
  <c r="AP123" i="18" s="1"/>
  <c r="AQ123" i="18" s="1"/>
  <c r="AR123" i="18" s="1"/>
  <c r="AS123" i="18" s="1"/>
  <c r="AT123" i="18" s="1"/>
  <c r="AU123" i="18" s="1"/>
  <c r="AV123" i="18" s="1"/>
  <c r="AW123" i="18" s="1"/>
  <c r="AX123" i="18" s="1"/>
  <c r="AY123" i="18" s="1"/>
  <c r="AZ123" i="18" s="1"/>
  <c r="BA123" i="18" s="1"/>
  <c r="BB123" i="18" s="1"/>
  <c r="BC123" i="18" s="1"/>
  <c r="BD123" i="18" s="1"/>
  <c r="BE123" i="18" s="1"/>
  <c r="BF123" i="18" s="1"/>
  <c r="BG123" i="18" s="1"/>
  <c r="BH123" i="18" s="1"/>
  <c r="BI123" i="18" s="1"/>
  <c r="N82" i="7946"/>
  <c r="O82" i="7946" s="1"/>
  <c r="P82" i="7946" s="1"/>
  <c r="V563" i="18"/>
  <c r="W563" i="18" s="1"/>
  <c r="X563" i="18" s="1"/>
  <c r="Y563" i="18" s="1"/>
  <c r="Z563" i="18" s="1"/>
  <c r="AA563" i="18" s="1"/>
  <c r="AB563" i="18" s="1"/>
  <c r="AC563" i="18" s="1"/>
  <c r="AD563" i="18" s="1"/>
  <c r="AE563" i="18" s="1"/>
  <c r="AF563" i="18" s="1"/>
  <c r="AG563" i="18" s="1"/>
  <c r="AH563" i="18" s="1"/>
  <c r="AI563" i="18" s="1"/>
  <c r="AJ563" i="18" s="1"/>
  <c r="AK563" i="18" s="1"/>
  <c r="AL563" i="18" s="1"/>
  <c r="AM563" i="18" s="1"/>
  <c r="AN563" i="18" s="1"/>
  <c r="AO563" i="18" s="1"/>
  <c r="AP563" i="18" s="1"/>
  <c r="AQ563" i="18" s="1"/>
  <c r="AR563" i="18" s="1"/>
  <c r="AS563" i="18" s="1"/>
  <c r="AT563" i="18" s="1"/>
  <c r="AU563" i="18" s="1"/>
  <c r="AV563" i="18" s="1"/>
  <c r="AW563" i="18" s="1"/>
  <c r="AX563" i="18" s="1"/>
  <c r="AY563" i="18" s="1"/>
  <c r="AZ563" i="18" s="1"/>
  <c r="BA563" i="18" s="1"/>
  <c r="BB563" i="18" s="1"/>
  <c r="BC563" i="18" s="1"/>
  <c r="BD563" i="18" s="1"/>
  <c r="BE563" i="18" s="1"/>
  <c r="BF563" i="18" s="1"/>
  <c r="BG563" i="18" s="1"/>
  <c r="BH563" i="18" s="1"/>
  <c r="BI563" i="18" s="1"/>
  <c r="V137" i="18"/>
  <c r="W137" i="18" s="1"/>
  <c r="X137" i="18" s="1"/>
  <c r="S699" i="18"/>
  <c r="V786" i="18"/>
  <c r="W786" i="18" s="1"/>
  <c r="X786" i="18" s="1"/>
  <c r="O40" i="7946"/>
  <c r="O56" i="7946"/>
  <c r="O81" i="7946" s="1"/>
  <c r="W716" i="18"/>
  <c r="X716" i="18" s="1"/>
  <c r="Y716" i="18" s="1"/>
  <c r="T451" i="18"/>
  <c r="U451" i="18" s="1"/>
  <c r="V451" i="18" s="1"/>
  <c r="AY85" i="18"/>
  <c r="AZ85" i="18" s="1"/>
  <c r="BA85" i="18" s="1"/>
  <c r="BB85" i="18" s="1"/>
  <c r="BC85" i="18" s="1"/>
  <c r="BD85" i="18" s="1"/>
  <c r="BE85" i="18" s="1"/>
  <c r="Q856" i="18"/>
  <c r="Y397" i="18"/>
  <c r="Z397" i="18" s="1"/>
  <c r="AA397" i="18" s="1"/>
  <c r="AB397" i="18" s="1"/>
  <c r="AC397" i="18" s="1"/>
  <c r="AD397" i="18" s="1"/>
  <c r="AE397" i="18" s="1"/>
  <c r="AF397" i="18" s="1"/>
  <c r="AG397" i="18" s="1"/>
  <c r="AH397" i="18" s="1"/>
  <c r="AI397" i="18" s="1"/>
  <c r="AJ397" i="18" s="1"/>
  <c r="AK397" i="18" s="1"/>
  <c r="AL397" i="18" s="1"/>
  <c r="AM397" i="18" s="1"/>
  <c r="AN397" i="18" s="1"/>
  <c r="AO397" i="18" s="1"/>
  <c r="AP397" i="18" s="1"/>
  <c r="AQ397" i="18" s="1"/>
  <c r="AR397" i="18" s="1"/>
  <c r="AS397" i="18" s="1"/>
  <c r="AT397" i="18" s="1"/>
  <c r="AU397" i="18" s="1"/>
  <c r="AV397" i="18" s="1"/>
  <c r="AW397" i="18" s="1"/>
  <c r="AX397" i="18" s="1"/>
  <c r="AY397" i="18" s="1"/>
  <c r="AZ397" i="18" s="1"/>
  <c r="BA397" i="18" s="1"/>
  <c r="BB397" i="18" s="1"/>
  <c r="BC397" i="18" s="1"/>
  <c r="BD397" i="18" s="1"/>
  <c r="BE397" i="18" s="1"/>
  <c r="BF397" i="18" s="1"/>
  <c r="BG397" i="18" s="1"/>
  <c r="BH397" i="18" s="1"/>
  <c r="BI397" i="18" s="1"/>
  <c r="Y835" i="18"/>
  <c r="Z835" i="18" s="1"/>
  <c r="AA835" i="18" s="1"/>
  <c r="AB835" i="18" s="1"/>
  <c r="AC835" i="18" s="1"/>
  <c r="AD835" i="18" s="1"/>
  <c r="AE835" i="18" s="1"/>
  <c r="AF835" i="18" s="1"/>
  <c r="AG835" i="18" s="1"/>
  <c r="AH835" i="18" s="1"/>
  <c r="AI835" i="18" s="1"/>
  <c r="AJ835" i="18" s="1"/>
  <c r="AK835" i="18" s="1"/>
  <c r="AL835" i="18" s="1"/>
  <c r="AM835" i="18" s="1"/>
  <c r="AN835" i="18" s="1"/>
  <c r="AO835" i="18" s="1"/>
  <c r="AP835" i="18" s="1"/>
  <c r="AQ835" i="18" s="1"/>
  <c r="AR835" i="18" s="1"/>
  <c r="AS835" i="18" s="1"/>
  <c r="AT835" i="18" s="1"/>
  <c r="AU835" i="18" s="1"/>
  <c r="AV835" i="18" s="1"/>
  <c r="AW835" i="18" s="1"/>
  <c r="AX835" i="18" s="1"/>
  <c r="AY835" i="18" s="1"/>
  <c r="AZ835" i="18" s="1"/>
  <c r="BA835" i="18" s="1"/>
  <c r="BB835" i="18" s="1"/>
  <c r="BC835" i="18" s="1"/>
  <c r="BD835" i="18" s="1"/>
  <c r="BE835" i="18" s="1"/>
  <c r="BF835" i="18" s="1"/>
  <c r="BG835" i="18" s="1"/>
  <c r="BH835" i="18" s="1"/>
  <c r="BI835" i="18" s="1"/>
  <c r="AB589" i="18"/>
  <c r="AC589" i="18" s="1"/>
  <c r="AD589" i="18" s="1"/>
  <c r="AE589" i="18" s="1"/>
  <c r="AF589" i="18" s="1"/>
  <c r="AG589" i="18" s="1"/>
  <c r="AH589" i="18" s="1"/>
  <c r="AI589" i="18" s="1"/>
  <c r="AJ589" i="18" s="1"/>
  <c r="AK589" i="18" s="1"/>
  <c r="AL589" i="18" s="1"/>
  <c r="AM589" i="18" s="1"/>
  <c r="AN589" i="18" s="1"/>
  <c r="AO589" i="18" s="1"/>
  <c r="AP589" i="18" s="1"/>
  <c r="AQ589" i="18" s="1"/>
  <c r="AR589" i="18" s="1"/>
  <c r="AS589" i="18" s="1"/>
  <c r="AT589" i="18" s="1"/>
  <c r="AU589" i="18" s="1"/>
  <c r="AV589" i="18" s="1"/>
  <c r="AW589" i="18" s="1"/>
  <c r="AX589" i="18" s="1"/>
  <c r="AY589" i="18" s="1"/>
  <c r="AZ589" i="18" s="1"/>
  <c r="BA589" i="18" s="1"/>
  <c r="BB589" i="18" s="1"/>
  <c r="BC589" i="18" s="1"/>
  <c r="BD589" i="18" s="1"/>
  <c r="BE589" i="18" s="1"/>
  <c r="BF589" i="18" s="1"/>
  <c r="BG589" i="18" s="1"/>
  <c r="BH589" i="18" s="1"/>
  <c r="BI589" i="18" s="1"/>
  <c r="U552" i="18"/>
  <c r="V552" i="18" s="1"/>
  <c r="AT111" i="18"/>
  <c r="AU111" i="18" s="1"/>
  <c r="AV111" i="18" s="1"/>
  <c r="AW111" i="18" s="1"/>
  <c r="AX111" i="18" s="1"/>
  <c r="AY111" i="18" s="1"/>
  <c r="AZ111" i="18" s="1"/>
  <c r="BA111" i="18" s="1"/>
  <c r="BB111" i="18" s="1"/>
  <c r="BC111" i="18" s="1"/>
  <c r="BD111" i="18" s="1"/>
  <c r="BE111" i="18" s="1"/>
  <c r="BF111" i="18" s="1"/>
  <c r="BG111" i="18" s="1"/>
  <c r="BH111" i="18" s="1"/>
  <c r="BI111" i="18" s="1"/>
  <c r="S737" i="18"/>
  <c r="T737" i="18" s="1"/>
  <c r="Z579" i="18"/>
  <c r="AA579" i="18" s="1"/>
  <c r="AB579" i="18" s="1"/>
  <c r="V628" i="18"/>
  <c r="W628" i="18" s="1"/>
  <c r="X628" i="18" s="1"/>
  <c r="Y628" i="18" s="1"/>
  <c r="BI510" i="18"/>
  <c r="T399" i="18"/>
  <c r="U399" i="18" s="1"/>
  <c r="X720" i="18"/>
  <c r="Y720" i="18" s="1"/>
  <c r="Y188" i="18"/>
  <c r="Z188" i="18" s="1"/>
  <c r="Q791" i="18"/>
  <c r="W747" i="18"/>
  <c r="S400" i="18"/>
  <c r="R400" i="18"/>
  <c r="AB814" i="18"/>
  <c r="AC814" i="18" s="1"/>
  <c r="V163" i="18"/>
  <c r="W163" i="18" s="1"/>
  <c r="X163" i="18" s="1"/>
  <c r="Y163" i="18" s="1"/>
  <c r="Z163" i="18" s="1"/>
  <c r="AA163" i="18" s="1"/>
  <c r="AB163" i="18" s="1"/>
  <c r="AC163" i="18" s="1"/>
  <c r="AD163" i="18" s="1"/>
  <c r="AE163" i="18" s="1"/>
  <c r="AF163" i="18" s="1"/>
  <c r="AG163" i="18" s="1"/>
  <c r="AH163" i="18" s="1"/>
  <c r="AI163" i="18" s="1"/>
  <c r="AJ163" i="18" s="1"/>
  <c r="AK163" i="18" s="1"/>
  <c r="AL163" i="18" s="1"/>
  <c r="AM163" i="18" s="1"/>
  <c r="AN163" i="18" s="1"/>
  <c r="AO163" i="18" s="1"/>
  <c r="AP163" i="18" s="1"/>
  <c r="AQ163" i="18" s="1"/>
  <c r="AR163" i="18" s="1"/>
  <c r="AS163" i="18" s="1"/>
  <c r="AT163" i="18" s="1"/>
  <c r="AU163" i="18" s="1"/>
  <c r="AV163" i="18" s="1"/>
  <c r="AW163" i="18" s="1"/>
  <c r="AX163" i="18" s="1"/>
  <c r="AY163" i="18" s="1"/>
  <c r="AZ163" i="18" s="1"/>
  <c r="BA163" i="18" s="1"/>
  <c r="BB163" i="18" s="1"/>
  <c r="BC163" i="18" s="1"/>
  <c r="BD163" i="18" s="1"/>
  <c r="BE163" i="18" s="1"/>
  <c r="BF163" i="18" s="1"/>
  <c r="BG163" i="18" s="1"/>
  <c r="BH163" i="18" s="1"/>
  <c r="BI163" i="18" s="1"/>
  <c r="T438" i="18"/>
  <c r="U438" i="18" s="1"/>
  <c r="V438" i="18" s="1"/>
  <c r="W438" i="18" s="1"/>
  <c r="X438" i="18" s="1"/>
  <c r="X357" i="18"/>
  <c r="Y357" i="18" s="1"/>
  <c r="R739" i="18"/>
  <c r="Z722" i="18"/>
  <c r="AP743" i="18"/>
  <c r="AQ743" i="18" s="1"/>
  <c r="AR743" i="18" s="1"/>
  <c r="AS743" i="18" s="1"/>
  <c r="AT743" i="18" s="1"/>
  <c r="V824" i="18"/>
  <c r="W824" i="18" s="1"/>
  <c r="W710" i="18"/>
  <c r="S733" i="18"/>
  <c r="T733" i="18" s="1"/>
  <c r="W165" i="18"/>
  <c r="X165" i="18" s="1"/>
  <c r="Y165" i="18" s="1"/>
  <c r="Z165" i="18" s="1"/>
  <c r="AA165" i="18" s="1"/>
  <c r="AB165" i="18" s="1"/>
  <c r="AC165" i="18" s="1"/>
  <c r="AD165" i="18" s="1"/>
  <c r="AE165" i="18" s="1"/>
  <c r="AF165" i="18" s="1"/>
  <c r="AG165" i="18" s="1"/>
  <c r="AH165" i="18" s="1"/>
  <c r="AI165" i="18" s="1"/>
  <c r="AJ165" i="18" s="1"/>
  <c r="AK165" i="18" s="1"/>
  <c r="AL165" i="18" s="1"/>
  <c r="AM165" i="18" s="1"/>
  <c r="AN165" i="18" s="1"/>
  <c r="AO165" i="18" s="1"/>
  <c r="AP165" i="18" s="1"/>
  <c r="AQ165" i="18" s="1"/>
  <c r="AR165" i="18" s="1"/>
  <c r="AS165" i="18" s="1"/>
  <c r="AT165" i="18" s="1"/>
  <c r="AU165" i="18" s="1"/>
  <c r="AV165" i="18" s="1"/>
  <c r="AW165" i="18" s="1"/>
  <c r="AX165" i="18" s="1"/>
  <c r="AY165" i="18" s="1"/>
  <c r="AZ165" i="18" s="1"/>
  <c r="BA165" i="18" s="1"/>
  <c r="BB165" i="18" s="1"/>
  <c r="BC165" i="18" s="1"/>
  <c r="BD165" i="18" s="1"/>
  <c r="BE165" i="18" s="1"/>
  <c r="BF165" i="18" s="1"/>
  <c r="BG165" i="18" s="1"/>
  <c r="BH165" i="18" s="1"/>
  <c r="BI165" i="18" s="1"/>
  <c r="R801" i="18"/>
  <c r="R804" i="18" s="1"/>
  <c r="Q674" i="18"/>
  <c r="Q596" i="18"/>
  <c r="Q752" i="18"/>
  <c r="X164" i="18"/>
  <c r="Y164" i="18" s="1"/>
  <c r="Z164" i="18" s="1"/>
  <c r="AV100" i="18"/>
  <c r="AW100" i="18" s="1"/>
  <c r="AX100" i="18" s="1"/>
  <c r="AY100" i="18" s="1"/>
  <c r="AZ100" i="18" s="1"/>
  <c r="V486" i="18"/>
  <c r="W486" i="18" s="1"/>
  <c r="U763" i="18"/>
  <c r="V763" i="18" s="1"/>
  <c r="T450" i="18"/>
  <c r="T308" i="18"/>
  <c r="U308" i="18" s="1"/>
  <c r="U175" i="18"/>
  <c r="V175" i="18" s="1"/>
  <c r="Y695" i="18"/>
  <c r="Z695" i="18" s="1"/>
  <c r="AA695" i="18" s="1"/>
  <c r="AB695" i="18" s="1"/>
  <c r="AC695" i="18" s="1"/>
  <c r="T837" i="18"/>
  <c r="U837" i="18" s="1"/>
  <c r="P465" i="18"/>
  <c r="Q455" i="18"/>
  <c r="Q465" i="18" s="1"/>
  <c r="Z305" i="18"/>
  <c r="AA305" i="18" s="1"/>
  <c r="AB305" i="18" s="1"/>
  <c r="AC305" i="18" s="1"/>
  <c r="AD305" i="18" s="1"/>
  <c r="AE305" i="18" s="1"/>
  <c r="AF305" i="18" s="1"/>
  <c r="AG305" i="18" s="1"/>
  <c r="AH305" i="18" s="1"/>
  <c r="AI305" i="18" s="1"/>
  <c r="AJ305" i="18" s="1"/>
  <c r="AK305" i="18" s="1"/>
  <c r="AL305" i="18" s="1"/>
  <c r="AM305" i="18" s="1"/>
  <c r="AN305" i="18" s="1"/>
  <c r="AO305" i="18" s="1"/>
  <c r="AP305" i="18" s="1"/>
  <c r="AQ305" i="18" s="1"/>
  <c r="AR305" i="18" s="1"/>
  <c r="AS305" i="18" s="1"/>
  <c r="AT305" i="18" s="1"/>
  <c r="AU305" i="18" s="1"/>
  <c r="AV305" i="18" s="1"/>
  <c r="AW305" i="18" s="1"/>
  <c r="AX305" i="18" s="1"/>
  <c r="AY305" i="18" s="1"/>
  <c r="AZ305" i="18" s="1"/>
  <c r="BA305" i="18" s="1"/>
  <c r="BB305" i="18" s="1"/>
  <c r="BC305" i="18" s="1"/>
  <c r="BD305" i="18" s="1"/>
  <c r="BE305" i="18" s="1"/>
  <c r="BF305" i="18" s="1"/>
  <c r="BG305" i="18" s="1"/>
  <c r="BH305" i="18" s="1"/>
  <c r="BI305" i="18" s="1"/>
  <c r="AV99" i="18"/>
  <c r="AW99" i="18" s="1"/>
  <c r="AX99" i="18" s="1"/>
  <c r="AY99" i="18" s="1"/>
  <c r="AZ99" i="18" s="1"/>
  <c r="BA99" i="18" s="1"/>
  <c r="S461" i="18"/>
  <c r="T461" i="18" s="1"/>
  <c r="S732" i="18"/>
  <c r="T732" i="18" s="1"/>
  <c r="U732" i="18" s="1"/>
  <c r="V732" i="18" s="1"/>
  <c r="W732" i="18" s="1"/>
  <c r="X732" i="18" s="1"/>
  <c r="Y732" i="18" s="1"/>
  <c r="Z732" i="18" s="1"/>
  <c r="AA732" i="18" s="1"/>
  <c r="AB732" i="18" s="1"/>
  <c r="AC732" i="18" s="1"/>
  <c r="AD732" i="18" s="1"/>
  <c r="AE732" i="18" s="1"/>
  <c r="AF732" i="18" s="1"/>
  <c r="AG732" i="18" s="1"/>
  <c r="AH732" i="18" s="1"/>
  <c r="AI732" i="18" s="1"/>
  <c r="AJ732" i="18" s="1"/>
  <c r="AK732" i="18" s="1"/>
  <c r="AL732" i="18" s="1"/>
  <c r="AM732" i="18" s="1"/>
  <c r="AN732" i="18" s="1"/>
  <c r="AO732" i="18" s="1"/>
  <c r="AP732" i="18" s="1"/>
  <c r="AQ732" i="18" s="1"/>
  <c r="AR732" i="18" s="1"/>
  <c r="AS732" i="18" s="1"/>
  <c r="AT732" i="18" s="1"/>
  <c r="AU732" i="18" s="1"/>
  <c r="AV732" i="18" s="1"/>
  <c r="AW732" i="18" s="1"/>
  <c r="AX732" i="18" s="1"/>
  <c r="AY732" i="18" s="1"/>
  <c r="AZ732" i="18" s="1"/>
  <c r="BA732" i="18" s="1"/>
  <c r="BB732" i="18" s="1"/>
  <c r="BC732" i="18" s="1"/>
  <c r="BD732" i="18" s="1"/>
  <c r="BE732" i="18" s="1"/>
  <c r="BF732" i="18" s="1"/>
  <c r="BG732" i="18" s="1"/>
  <c r="BH732" i="18" s="1"/>
  <c r="BI732" i="18" s="1"/>
  <c r="P179" i="18"/>
  <c r="AD797" i="18"/>
  <c r="U436" i="18"/>
  <c r="O96" i="7946"/>
  <c r="P96" i="7946" s="1"/>
  <c r="AD304" i="18"/>
  <c r="AE304" i="18" s="1"/>
  <c r="AF304" i="18" s="1"/>
  <c r="AG304" i="18" s="1"/>
  <c r="AH304" i="18" s="1"/>
  <c r="AI304" i="18" s="1"/>
  <c r="AJ304" i="18" s="1"/>
  <c r="AK304" i="18" s="1"/>
  <c r="V667" i="18"/>
  <c r="W667" i="18" s="1"/>
  <c r="X667" i="18" s="1"/>
  <c r="Y667" i="18" s="1"/>
  <c r="Z667" i="18" s="1"/>
  <c r="AA667" i="18" s="1"/>
  <c r="AB667" i="18" s="1"/>
  <c r="AC667" i="18" s="1"/>
  <c r="AD667" i="18" s="1"/>
  <c r="AE667" i="18" s="1"/>
  <c r="AF667" i="18" s="1"/>
  <c r="AG667" i="18" s="1"/>
  <c r="AH667" i="18" s="1"/>
  <c r="AI667" i="18" s="1"/>
  <c r="AJ667" i="18" s="1"/>
  <c r="AK667" i="18" s="1"/>
  <c r="AL667" i="18" s="1"/>
  <c r="AM667" i="18" s="1"/>
  <c r="AN667" i="18" s="1"/>
  <c r="AO667" i="18" s="1"/>
  <c r="AP667" i="18" s="1"/>
  <c r="AQ667" i="18" s="1"/>
  <c r="AR667" i="18" s="1"/>
  <c r="AS667" i="18" s="1"/>
  <c r="AT667" i="18" s="1"/>
  <c r="AU667" i="18" s="1"/>
  <c r="AV667" i="18" s="1"/>
  <c r="AW667" i="18" s="1"/>
  <c r="AX667" i="18" s="1"/>
  <c r="AY667" i="18" s="1"/>
  <c r="AZ667" i="18" s="1"/>
  <c r="BA667" i="18" s="1"/>
  <c r="BB667" i="18" s="1"/>
  <c r="BC667" i="18" s="1"/>
  <c r="BD667" i="18" s="1"/>
  <c r="BE667" i="18" s="1"/>
  <c r="BF667" i="18" s="1"/>
  <c r="BG667" i="18" s="1"/>
  <c r="BH667" i="18" s="1"/>
  <c r="BI667" i="18" s="1"/>
  <c r="BH524" i="18"/>
  <c r="BI524" i="18" s="1"/>
  <c r="T593" i="18"/>
  <c r="U593" i="18" s="1"/>
  <c r="X396" i="18"/>
  <c r="Y396" i="18" s="1"/>
  <c r="Z396" i="18" s="1"/>
  <c r="AA396" i="18" s="1"/>
  <c r="AB396" i="18" s="1"/>
  <c r="AC396" i="18" s="1"/>
  <c r="AD396" i="18" s="1"/>
  <c r="AE396" i="18" s="1"/>
  <c r="AF396" i="18" s="1"/>
  <c r="AG396" i="18" s="1"/>
  <c r="AH396" i="18" s="1"/>
  <c r="AI396" i="18" s="1"/>
  <c r="AJ396" i="18" s="1"/>
  <c r="AK396" i="18" s="1"/>
  <c r="AL396" i="18" s="1"/>
  <c r="AM396" i="18" s="1"/>
  <c r="AN396" i="18" s="1"/>
  <c r="AO396" i="18" s="1"/>
  <c r="AP396" i="18" s="1"/>
  <c r="AQ396" i="18" s="1"/>
  <c r="AR396" i="18" s="1"/>
  <c r="AS396" i="18" s="1"/>
  <c r="AT396" i="18" s="1"/>
  <c r="AU396" i="18" s="1"/>
  <c r="AV396" i="18" s="1"/>
  <c r="AW396" i="18" s="1"/>
  <c r="AX396" i="18" s="1"/>
  <c r="AY396" i="18" s="1"/>
  <c r="AZ396" i="18" s="1"/>
  <c r="BA396" i="18" s="1"/>
  <c r="BB396" i="18" s="1"/>
  <c r="BC396" i="18" s="1"/>
  <c r="BD396" i="18" s="1"/>
  <c r="BE396" i="18" s="1"/>
  <c r="BF396" i="18" s="1"/>
  <c r="BG396" i="18" s="1"/>
  <c r="BH396" i="18" s="1"/>
  <c r="BI396" i="18" s="1"/>
  <c r="Q570" i="18"/>
  <c r="W437" i="18"/>
  <c r="X437" i="18" s="1"/>
  <c r="Y437" i="18" s="1"/>
  <c r="Y658" i="18"/>
  <c r="Z658" i="18" s="1"/>
  <c r="AG734" i="18"/>
  <c r="AH734" i="18" s="1"/>
  <c r="AI734" i="18" s="1"/>
  <c r="AJ734" i="18" s="1"/>
  <c r="AK734" i="18" s="1"/>
  <c r="AL734" i="18" s="1"/>
  <c r="AM734" i="18" s="1"/>
  <c r="AN734" i="18" s="1"/>
  <c r="AO734" i="18" s="1"/>
  <c r="AP734" i="18" s="1"/>
  <c r="AQ734" i="18" s="1"/>
  <c r="AR734" i="18" s="1"/>
  <c r="AS734" i="18" s="1"/>
  <c r="AT734" i="18" s="1"/>
  <c r="AU734" i="18" s="1"/>
  <c r="AV734" i="18" s="1"/>
  <c r="AW734" i="18" s="1"/>
  <c r="AX734" i="18" s="1"/>
  <c r="AY734" i="18" s="1"/>
  <c r="AZ734" i="18" s="1"/>
  <c r="BA734" i="18" s="1"/>
  <c r="BB734" i="18" s="1"/>
  <c r="BC734" i="18" s="1"/>
  <c r="BD734" i="18" s="1"/>
  <c r="BE734" i="18" s="1"/>
  <c r="BF734" i="18" s="1"/>
  <c r="BG734" i="18" s="1"/>
  <c r="BH734" i="18" s="1"/>
  <c r="BI734" i="18" s="1"/>
  <c r="Q739" i="18"/>
  <c r="T556" i="18"/>
  <c r="U556" i="18" s="1"/>
  <c r="S855" i="18"/>
  <c r="T855" i="18" s="1"/>
  <c r="U855" i="18" s="1"/>
  <c r="AG502" i="18"/>
  <c r="AA265" i="18"/>
  <c r="AB265" i="18" s="1"/>
  <c r="AC265" i="18" s="1"/>
  <c r="AD265" i="18" s="1"/>
  <c r="AE265" i="18" s="1"/>
  <c r="AF265" i="18" s="1"/>
  <c r="AG265" i="18" s="1"/>
  <c r="AH265" i="18" s="1"/>
  <c r="AI265" i="18" s="1"/>
  <c r="AJ265" i="18" s="1"/>
  <c r="AK265" i="18" s="1"/>
  <c r="AL265" i="18" s="1"/>
  <c r="AM265" i="18" s="1"/>
  <c r="AN265" i="18" s="1"/>
  <c r="AO265" i="18" s="1"/>
  <c r="AP265" i="18" s="1"/>
  <c r="AQ265" i="18" s="1"/>
  <c r="AR265" i="18" s="1"/>
  <c r="AS265" i="18" s="1"/>
  <c r="AT265" i="18" s="1"/>
  <c r="AU265" i="18" s="1"/>
  <c r="AV265" i="18" s="1"/>
  <c r="AW265" i="18" s="1"/>
  <c r="AX265" i="18" s="1"/>
  <c r="AY265" i="18" s="1"/>
  <c r="AZ265" i="18" s="1"/>
  <c r="BA265" i="18" s="1"/>
  <c r="BB265" i="18" s="1"/>
  <c r="BC265" i="18" s="1"/>
  <c r="BD265" i="18" s="1"/>
  <c r="BE265" i="18" s="1"/>
  <c r="BF265" i="18" s="1"/>
  <c r="BG265" i="18" s="1"/>
  <c r="BH265" i="18" s="1"/>
  <c r="BI265" i="18" s="1"/>
  <c r="X125" i="18"/>
  <c r="Y125" i="18" s="1"/>
  <c r="Z125" i="18" s="1"/>
  <c r="AA125" i="18" s="1"/>
  <c r="AB125" i="18" s="1"/>
  <c r="AC125" i="18" s="1"/>
  <c r="AD125" i="18" s="1"/>
  <c r="AE125" i="18" s="1"/>
  <c r="AF125" i="18" s="1"/>
  <c r="AG125" i="18" s="1"/>
  <c r="AH125" i="18" s="1"/>
  <c r="AI125" i="18" s="1"/>
  <c r="AJ125" i="18" s="1"/>
  <c r="AK125" i="18" s="1"/>
  <c r="AL125" i="18" s="1"/>
  <c r="AM125" i="18" s="1"/>
  <c r="AN125" i="18" s="1"/>
  <c r="AO125" i="18" s="1"/>
  <c r="AP125" i="18" s="1"/>
  <c r="AQ125" i="18" s="1"/>
  <c r="AR125" i="18" s="1"/>
  <c r="AS125" i="18" s="1"/>
  <c r="AT125" i="18" s="1"/>
  <c r="AU125" i="18" s="1"/>
  <c r="AV125" i="18" s="1"/>
  <c r="AW125" i="18" s="1"/>
  <c r="AX125" i="18" s="1"/>
  <c r="AY125" i="18" s="1"/>
  <c r="AZ125" i="18" s="1"/>
  <c r="BA125" i="18" s="1"/>
  <c r="BB125" i="18" s="1"/>
  <c r="BC125" i="18" s="1"/>
  <c r="BD125" i="18" s="1"/>
  <c r="BE125" i="18" s="1"/>
  <c r="BF125" i="18" s="1"/>
  <c r="BG125" i="18" s="1"/>
  <c r="BH125" i="18" s="1"/>
  <c r="BI125" i="18" s="1"/>
  <c r="Y602" i="18"/>
  <c r="T230" i="18"/>
  <c r="W808" i="18"/>
  <c r="X808" i="18" s="1"/>
  <c r="Y808" i="18" s="1"/>
  <c r="Z808" i="18" s="1"/>
  <c r="AA808" i="18" s="1"/>
  <c r="AB808" i="18" s="1"/>
  <c r="AC808" i="18" s="1"/>
  <c r="AD808" i="18" s="1"/>
  <c r="AE808" i="18" s="1"/>
  <c r="AF808" i="18" s="1"/>
  <c r="AG808" i="18" s="1"/>
  <c r="AH808" i="18" s="1"/>
  <c r="AI808" i="18" s="1"/>
  <c r="AJ808" i="18" s="1"/>
  <c r="AK808" i="18" s="1"/>
  <c r="AL808" i="18" s="1"/>
  <c r="AM808" i="18" s="1"/>
  <c r="AN808" i="18" s="1"/>
  <c r="AO808" i="18" s="1"/>
  <c r="AP808" i="18" s="1"/>
  <c r="AQ808" i="18" s="1"/>
  <c r="AR808" i="18" s="1"/>
  <c r="X696" i="18"/>
  <c r="V798" i="18"/>
  <c r="W798" i="18" s="1"/>
  <c r="X798" i="18" s="1"/>
  <c r="Y798" i="18" s="1"/>
  <c r="Z798" i="18" s="1"/>
  <c r="AA798" i="18" s="1"/>
  <c r="AB798" i="18" s="1"/>
  <c r="AC798" i="18" s="1"/>
  <c r="AD798" i="18" s="1"/>
  <c r="AE798" i="18" s="1"/>
  <c r="AF798" i="18" s="1"/>
  <c r="AG798" i="18" s="1"/>
  <c r="AH798" i="18" s="1"/>
  <c r="AI798" i="18" s="1"/>
  <c r="AJ798" i="18" s="1"/>
  <c r="AK798" i="18" s="1"/>
  <c r="AL798" i="18" s="1"/>
  <c r="AM798" i="18" s="1"/>
  <c r="AN798" i="18" s="1"/>
  <c r="AO798" i="18" s="1"/>
  <c r="AP798" i="18" s="1"/>
  <c r="AQ798" i="18" s="1"/>
  <c r="AR798" i="18" s="1"/>
  <c r="AS798" i="18" s="1"/>
  <c r="AT798" i="18" s="1"/>
  <c r="AU798" i="18" s="1"/>
  <c r="AV798" i="18" s="1"/>
  <c r="AW798" i="18" s="1"/>
  <c r="AX798" i="18" s="1"/>
  <c r="AY798" i="18" s="1"/>
  <c r="AZ798" i="18" s="1"/>
  <c r="BA798" i="18" s="1"/>
  <c r="BB798" i="18" s="1"/>
  <c r="BC798" i="18" s="1"/>
  <c r="BD798" i="18" s="1"/>
  <c r="BE798" i="18" s="1"/>
  <c r="BF798" i="18" s="1"/>
  <c r="BG798" i="18" s="1"/>
  <c r="BH798" i="18" s="1"/>
  <c r="BI798" i="18" s="1"/>
  <c r="T608" i="18"/>
  <c r="T424" i="18"/>
  <c r="U424" i="18" s="1"/>
  <c r="V424" i="18" s="1"/>
  <c r="S485" i="18"/>
  <c r="U268" i="18"/>
  <c r="V268" i="18" s="1"/>
  <c r="W268" i="18" s="1"/>
  <c r="X354" i="18"/>
  <c r="Y354" i="18" s="1"/>
  <c r="Z354" i="18" s="1"/>
  <c r="AA354" i="18" s="1"/>
  <c r="AB354" i="18" s="1"/>
  <c r="AC354" i="18" s="1"/>
  <c r="AD354" i="18" s="1"/>
  <c r="AE354" i="18" s="1"/>
  <c r="AF354" i="18" s="1"/>
  <c r="AG354" i="18" s="1"/>
  <c r="AH354" i="18" s="1"/>
  <c r="AI354" i="18" s="1"/>
  <c r="AJ354" i="18" s="1"/>
  <c r="AK354" i="18" s="1"/>
  <c r="AL354" i="18" s="1"/>
  <c r="AM354" i="18" s="1"/>
  <c r="AN354" i="18" s="1"/>
  <c r="AO354" i="18" s="1"/>
  <c r="AP354" i="18" s="1"/>
  <c r="AQ354" i="18" s="1"/>
  <c r="AR354" i="18" s="1"/>
  <c r="AS354" i="18" s="1"/>
  <c r="AT354" i="18" s="1"/>
  <c r="AU354" i="18" s="1"/>
  <c r="AV354" i="18" s="1"/>
  <c r="AW354" i="18" s="1"/>
  <c r="AX354" i="18" s="1"/>
  <c r="AY354" i="18" s="1"/>
  <c r="AZ354" i="18" s="1"/>
  <c r="BA354" i="18" s="1"/>
  <c r="BB354" i="18" s="1"/>
  <c r="BC354" i="18" s="1"/>
  <c r="BD354" i="18" s="1"/>
  <c r="BE354" i="18" s="1"/>
  <c r="BF354" i="18" s="1"/>
  <c r="BG354" i="18" s="1"/>
  <c r="BH354" i="18" s="1"/>
  <c r="BI354" i="18" s="1"/>
  <c r="AU86" i="18"/>
  <c r="AV86" i="18" s="1"/>
  <c r="AW86" i="18" s="1"/>
  <c r="AI745" i="18"/>
  <c r="AJ745" i="18" s="1"/>
  <c r="AK745" i="18" s="1"/>
  <c r="AL745" i="18" s="1"/>
  <c r="AM745" i="18" s="1"/>
  <c r="AN745" i="18" s="1"/>
  <c r="AO745" i="18" s="1"/>
  <c r="AP745" i="18" s="1"/>
  <c r="AQ745" i="18" s="1"/>
  <c r="AR745" i="18" s="1"/>
  <c r="AS745" i="18" s="1"/>
  <c r="AT745" i="18" s="1"/>
  <c r="AU745" i="18" s="1"/>
  <c r="AV745" i="18" s="1"/>
  <c r="AW745" i="18" s="1"/>
  <c r="AX745" i="18" s="1"/>
  <c r="AY745" i="18" s="1"/>
  <c r="AZ745" i="18" s="1"/>
  <c r="BA745" i="18" s="1"/>
  <c r="BB745" i="18" s="1"/>
  <c r="BC745" i="18" s="1"/>
  <c r="BD745" i="18" s="1"/>
  <c r="BE745" i="18" s="1"/>
  <c r="BF745" i="18" s="1"/>
  <c r="BG745" i="18" s="1"/>
  <c r="BH745" i="18" s="1"/>
  <c r="BI745" i="18" s="1"/>
  <c r="S711" i="18"/>
  <c r="T711" i="18" s="1"/>
  <c r="U711" i="18" s="1"/>
  <c r="S269" i="18"/>
  <c r="S738" i="18"/>
  <c r="T738" i="18" s="1"/>
  <c r="V784" i="18"/>
  <c r="W539" i="18"/>
  <c r="X539" i="18" s="1"/>
  <c r="V330" i="18"/>
  <c r="W330" i="18" s="1"/>
  <c r="Q169" i="18"/>
  <c r="R169" i="18" s="1"/>
  <c r="W411" i="18"/>
  <c r="X411" i="18" s="1"/>
  <c r="Y411" i="18" s="1"/>
  <c r="Z411" i="18" s="1"/>
  <c r="AA411" i="18" s="1"/>
  <c r="AB411" i="18" s="1"/>
  <c r="AC411" i="18" s="1"/>
  <c r="AD411" i="18" s="1"/>
  <c r="V202" i="18"/>
  <c r="W202" i="18" s="1"/>
  <c r="X202" i="18" s="1"/>
  <c r="Y202" i="18" s="1"/>
  <c r="Z202" i="18" s="1"/>
  <c r="AA202" i="18" s="1"/>
  <c r="AB202" i="18" s="1"/>
  <c r="AC202" i="18" s="1"/>
  <c r="AD202" i="18" s="1"/>
  <c r="AE202" i="18" s="1"/>
  <c r="AF202" i="18" s="1"/>
  <c r="AG202" i="18" s="1"/>
  <c r="T633" i="18"/>
  <c r="U633" i="18" s="1"/>
  <c r="V633" i="18" s="1"/>
  <c r="AC565" i="18"/>
  <c r="AD565" i="18" s="1"/>
  <c r="S789" i="18"/>
  <c r="AD253" i="18"/>
  <c r="AE253" i="18" s="1"/>
  <c r="AF253" i="18" s="1"/>
  <c r="AG253" i="18" s="1"/>
  <c r="AH253" i="18" s="1"/>
  <c r="AI253" i="18" s="1"/>
  <c r="AJ253" i="18" s="1"/>
  <c r="AK253" i="18" s="1"/>
  <c r="AL253" i="18" s="1"/>
  <c r="AM253" i="18" s="1"/>
  <c r="AN253" i="18" s="1"/>
  <c r="AO253" i="18" s="1"/>
  <c r="AP253" i="18" s="1"/>
  <c r="AQ253" i="18" s="1"/>
  <c r="AR253" i="18" s="1"/>
  <c r="AS253" i="18" s="1"/>
  <c r="AT253" i="18" s="1"/>
  <c r="AU253" i="18" s="1"/>
  <c r="AV253" i="18" s="1"/>
  <c r="AW253" i="18" s="1"/>
  <c r="AX253" i="18" s="1"/>
  <c r="AY253" i="18" s="1"/>
  <c r="AZ253" i="18" s="1"/>
  <c r="BA253" i="18" s="1"/>
  <c r="BB253" i="18" s="1"/>
  <c r="BC253" i="18" s="1"/>
  <c r="BD253" i="18" s="1"/>
  <c r="BE253" i="18" s="1"/>
  <c r="BF253" i="18" s="1"/>
  <c r="BG253" i="18" s="1"/>
  <c r="BH253" i="18" s="1"/>
  <c r="BI253" i="18" s="1"/>
  <c r="U464" i="18"/>
  <c r="V464" i="18" s="1"/>
  <c r="W464" i="18" s="1"/>
  <c r="X464" i="18" s="1"/>
  <c r="AF630" i="18"/>
  <c r="AG630" i="18" s="1"/>
  <c r="AH630" i="18" s="1"/>
  <c r="AI630" i="18" s="1"/>
  <c r="AJ630" i="18" s="1"/>
  <c r="AK630" i="18" s="1"/>
  <c r="AL630" i="18" s="1"/>
  <c r="AM630" i="18" s="1"/>
  <c r="AN630" i="18" s="1"/>
  <c r="AO630" i="18" s="1"/>
  <c r="AP630" i="18" s="1"/>
  <c r="AQ630" i="18" s="1"/>
  <c r="AR630" i="18" s="1"/>
  <c r="AS630" i="18" s="1"/>
  <c r="AT630" i="18" s="1"/>
  <c r="AU630" i="18" s="1"/>
  <c r="AV630" i="18" s="1"/>
  <c r="AW630" i="18" s="1"/>
  <c r="AX630" i="18" s="1"/>
  <c r="AY630" i="18" s="1"/>
  <c r="AZ630" i="18" s="1"/>
  <c r="BA630" i="18" s="1"/>
  <c r="BB630" i="18" s="1"/>
  <c r="BC630" i="18" s="1"/>
  <c r="BD630" i="18" s="1"/>
  <c r="BE630" i="18" s="1"/>
  <c r="BF630" i="18" s="1"/>
  <c r="BG630" i="18" s="1"/>
  <c r="BH630" i="18" s="1"/>
  <c r="BI630" i="18" s="1"/>
  <c r="S839" i="18"/>
  <c r="T839" i="18" s="1"/>
  <c r="U839" i="18" s="1"/>
  <c r="S659" i="18"/>
  <c r="AU87" i="18"/>
  <c r="AV87" i="18" s="1"/>
  <c r="AW87" i="18" s="1"/>
  <c r="AG514" i="18"/>
  <c r="X161" i="18"/>
  <c r="Y161" i="18" s="1"/>
  <c r="Z161" i="18" s="1"/>
  <c r="AA161" i="18" s="1"/>
  <c r="AB161" i="18" s="1"/>
  <c r="AC161" i="18" s="1"/>
  <c r="AD161" i="18" s="1"/>
  <c r="AE161" i="18" s="1"/>
  <c r="AF161" i="18" s="1"/>
  <c r="AG161" i="18" s="1"/>
  <c r="S790" i="18"/>
  <c r="S673" i="18"/>
  <c r="T673" i="18" s="1"/>
  <c r="W150" i="18"/>
  <c r="X150" i="18" s="1"/>
  <c r="Y150" i="18" s="1"/>
  <c r="Z150" i="18" s="1"/>
  <c r="AA150" i="18" s="1"/>
  <c r="AB150" i="18" s="1"/>
  <c r="AC150" i="18" s="1"/>
  <c r="AD150" i="18" s="1"/>
  <c r="AE150" i="18" s="1"/>
  <c r="AF150" i="18" s="1"/>
  <c r="AG150" i="18" s="1"/>
  <c r="AH150" i="18" s="1"/>
  <c r="AI150" i="18" s="1"/>
  <c r="S592" i="18"/>
  <c r="T592" i="18" s="1"/>
  <c r="U592" i="18" s="1"/>
  <c r="R596" i="18"/>
  <c r="S777" i="18"/>
  <c r="R374" i="18"/>
  <c r="Q583" i="18"/>
  <c r="R573" i="18"/>
  <c r="V372" i="18"/>
  <c r="W372" i="18" s="1"/>
  <c r="U836" i="18"/>
  <c r="S140" i="18"/>
  <c r="G4" i="7942"/>
  <c r="G278" i="1"/>
  <c r="M278" i="1" s="1"/>
  <c r="S278" i="1" s="1"/>
  <c r="Y278" i="1" s="1"/>
  <c r="AE278" i="1" s="1"/>
  <c r="AK278" i="1" s="1"/>
  <c r="AQ278" i="1" s="1"/>
  <c r="AW278" i="1" s="1"/>
  <c r="BC278" i="1" s="1"/>
  <c r="BI278" i="1" s="1"/>
  <c r="G4" i="7943"/>
  <c r="F241" i="1"/>
  <c r="F247" i="1"/>
  <c r="G4" i="7946"/>
  <c r="AX83" i="18"/>
  <c r="AY83" i="18" s="1"/>
  <c r="AZ83" i="18" s="1"/>
  <c r="BA83" i="18" s="1"/>
  <c r="BB83" i="18" s="1"/>
  <c r="BC83" i="18" s="1"/>
  <c r="BD83" i="18" s="1"/>
  <c r="BE83" i="18" s="1"/>
  <c r="BF83" i="18" s="1"/>
  <c r="BG83" i="18" s="1"/>
  <c r="BH83" i="18" s="1"/>
  <c r="BI83" i="18" s="1"/>
  <c r="AV112" i="18"/>
  <c r="AW112" i="18" s="1"/>
  <c r="AX112" i="18" s="1"/>
  <c r="Q804" i="18"/>
  <c r="T853" i="18"/>
  <c r="S655" i="18"/>
  <c r="R661" i="18"/>
  <c r="T645" i="18"/>
  <c r="U645" i="18" s="1"/>
  <c r="S333" i="18"/>
  <c r="T333" i="18" s="1"/>
  <c r="V534" i="18"/>
  <c r="W534" i="18" s="1"/>
  <c r="G4" i="24"/>
  <c r="G4" i="7945"/>
  <c r="R541" i="18"/>
  <c r="V821" i="18"/>
  <c r="S841" i="18"/>
  <c r="S177" i="18"/>
  <c r="T177" i="18" s="1"/>
  <c r="AB266" i="18"/>
  <c r="AC266" i="18" s="1"/>
  <c r="AD266" i="18" s="1"/>
  <c r="AE266" i="18" s="1"/>
  <c r="AF266" i="18" s="1"/>
  <c r="AG266" i="18" s="1"/>
  <c r="AH266" i="18" s="1"/>
  <c r="AI266" i="18" s="1"/>
  <c r="AJ266" i="18" s="1"/>
  <c r="AK266" i="18" s="1"/>
  <c r="AL266" i="18" s="1"/>
  <c r="AM266" i="18" s="1"/>
  <c r="AN266" i="18" s="1"/>
  <c r="AO266" i="18" s="1"/>
  <c r="AP266" i="18" s="1"/>
  <c r="AQ266" i="18" s="1"/>
  <c r="AR266" i="18" s="1"/>
  <c r="AS266" i="18" s="1"/>
  <c r="AT266" i="18" s="1"/>
  <c r="AU266" i="18" s="1"/>
  <c r="AV266" i="18" s="1"/>
  <c r="AW266" i="18" s="1"/>
  <c r="AX266" i="18" s="1"/>
  <c r="AY266" i="18" s="1"/>
  <c r="AZ266" i="18" s="1"/>
  <c r="BA266" i="18" s="1"/>
  <c r="BB266" i="18" s="1"/>
  <c r="BC266" i="18" s="1"/>
  <c r="BD266" i="18" s="1"/>
  <c r="BE266" i="18" s="1"/>
  <c r="BF266" i="18" s="1"/>
  <c r="BG266" i="18" s="1"/>
  <c r="BH266" i="18" s="1"/>
  <c r="BI266" i="18" s="1"/>
  <c r="V794" i="18"/>
  <c r="AH538" i="18"/>
  <c r="AI538" i="18" s="1"/>
  <c r="AJ538" i="18" s="1"/>
  <c r="AK538" i="18" s="1"/>
  <c r="AL538" i="18" s="1"/>
  <c r="AM538" i="18" s="1"/>
  <c r="AN538" i="18" s="1"/>
  <c r="AO538" i="18" s="1"/>
  <c r="AP538" i="18" s="1"/>
  <c r="AQ538" i="18" s="1"/>
  <c r="AR538" i="18" s="1"/>
  <c r="AS538" i="18" s="1"/>
  <c r="AT538" i="18" s="1"/>
  <c r="AU538" i="18" s="1"/>
  <c r="AV538" i="18" s="1"/>
  <c r="AW538" i="18" s="1"/>
  <c r="AX538" i="18" s="1"/>
  <c r="AY538" i="18" s="1"/>
  <c r="AZ538" i="18" s="1"/>
  <c r="BA538" i="18" s="1"/>
  <c r="BB538" i="18" s="1"/>
  <c r="BC538" i="18" s="1"/>
  <c r="BD538" i="18" s="1"/>
  <c r="BE538" i="18" s="1"/>
  <c r="BF538" i="18" s="1"/>
  <c r="BG538" i="18" s="1"/>
  <c r="BH538" i="18" s="1"/>
  <c r="BI538" i="18" s="1"/>
  <c r="S452" i="18"/>
  <c r="T442" i="18"/>
  <c r="W760" i="18"/>
  <c r="X760" i="18" s="1"/>
  <c r="Y760" i="18" s="1"/>
  <c r="Z760" i="18" s="1"/>
  <c r="AA760" i="18" s="1"/>
  <c r="X614" i="18"/>
  <c r="T280" i="18"/>
  <c r="U280" i="18" s="1"/>
  <c r="V280" i="18" s="1"/>
  <c r="S319" i="18"/>
  <c r="R322" i="18"/>
  <c r="R785" i="18"/>
  <c r="R791" i="18" s="1"/>
  <c r="S567" i="18"/>
  <c r="V410" i="18"/>
  <c r="W410" i="18" s="1"/>
  <c r="X410" i="18" s="1"/>
  <c r="Y410" i="18" s="1"/>
  <c r="Z410" i="18" s="1"/>
  <c r="AA410" i="18" s="1"/>
  <c r="T736" i="18"/>
  <c r="U736" i="18" s="1"/>
  <c r="U412" i="18"/>
  <c r="V551" i="18"/>
  <c r="W551" i="18" s="1"/>
  <c r="X551" i="18" s="1"/>
  <c r="Y551" i="18" s="1"/>
  <c r="Z551" i="18" s="1"/>
  <c r="AA551" i="18" s="1"/>
  <c r="AB551" i="18" s="1"/>
  <c r="AC551" i="18" s="1"/>
  <c r="AD551" i="18" s="1"/>
  <c r="AE551" i="18" s="1"/>
  <c r="AF551" i="18" s="1"/>
  <c r="AG551" i="18" s="1"/>
  <c r="AH551" i="18" s="1"/>
  <c r="AI551" i="18" s="1"/>
  <c r="AJ551" i="18" s="1"/>
  <c r="AK551" i="18" s="1"/>
  <c r="AL551" i="18" s="1"/>
  <c r="AM551" i="18" s="1"/>
  <c r="AN551" i="18" s="1"/>
  <c r="AO551" i="18" s="1"/>
  <c r="AP551" i="18" s="1"/>
  <c r="AQ551" i="18" s="1"/>
  <c r="AR551" i="18" s="1"/>
  <c r="AS551" i="18" s="1"/>
  <c r="AT551" i="18" s="1"/>
  <c r="AU551" i="18" s="1"/>
  <c r="AV551" i="18" s="1"/>
  <c r="AW551" i="18" s="1"/>
  <c r="AX551" i="18" s="1"/>
  <c r="AY551" i="18" s="1"/>
  <c r="AZ551" i="18" s="1"/>
  <c r="BA551" i="18" s="1"/>
  <c r="BB551" i="18" s="1"/>
  <c r="BC551" i="18" s="1"/>
  <c r="BD551" i="18" s="1"/>
  <c r="BE551" i="18" s="1"/>
  <c r="BF551" i="18" s="1"/>
  <c r="BG551" i="18" s="1"/>
  <c r="BH551" i="18" s="1"/>
  <c r="BI551" i="18" s="1"/>
  <c r="U529" i="18"/>
  <c r="V529" i="18" s="1"/>
  <c r="W529" i="18" s="1"/>
  <c r="T166" i="18"/>
  <c r="U156" i="18"/>
  <c r="X710" i="18"/>
  <c r="Y710" i="18" s="1"/>
  <c r="Z710" i="18" s="1"/>
  <c r="S371" i="18"/>
  <c r="S374" i="18" s="1"/>
  <c r="X447" i="18"/>
  <c r="Y447" i="18" s="1"/>
  <c r="Z447" i="18" s="1"/>
  <c r="AA447" i="18" s="1"/>
  <c r="AB447" i="18" s="1"/>
  <c r="AC447" i="18" s="1"/>
  <c r="AD447" i="18" s="1"/>
  <c r="AE447" i="18" s="1"/>
  <c r="AF447" i="18" s="1"/>
  <c r="AG447" i="18" s="1"/>
  <c r="AH447" i="18" s="1"/>
  <c r="AI447" i="18" s="1"/>
  <c r="AJ447" i="18" s="1"/>
  <c r="AK447" i="18" s="1"/>
  <c r="AL447" i="18" s="1"/>
  <c r="AM447" i="18" s="1"/>
  <c r="AN447" i="18" s="1"/>
  <c r="AO447" i="18" s="1"/>
  <c r="AP447" i="18" s="1"/>
  <c r="AQ447" i="18" s="1"/>
  <c r="AR447" i="18" s="1"/>
  <c r="AS447" i="18" s="1"/>
  <c r="AT447" i="18" s="1"/>
  <c r="AU447" i="18" s="1"/>
  <c r="AV447" i="18" s="1"/>
  <c r="AW447" i="18" s="1"/>
  <c r="AX447" i="18" s="1"/>
  <c r="AY447" i="18" s="1"/>
  <c r="AZ447" i="18" s="1"/>
  <c r="BA447" i="18" s="1"/>
  <c r="BB447" i="18" s="1"/>
  <c r="BC447" i="18" s="1"/>
  <c r="BD447" i="18" s="1"/>
  <c r="BE447" i="18" s="1"/>
  <c r="BF447" i="18" s="1"/>
  <c r="BG447" i="18" s="1"/>
  <c r="BH447" i="18" s="1"/>
  <c r="BI447" i="18" s="1"/>
  <c r="Q830" i="18"/>
  <c r="S526" i="18"/>
  <c r="S307" i="18"/>
  <c r="T660" i="18"/>
  <c r="S764" i="18"/>
  <c r="T764" i="18" s="1"/>
  <c r="S751" i="18"/>
  <c r="T751" i="18" s="1"/>
  <c r="S569" i="18"/>
  <c r="S725" i="18"/>
  <c r="T725" i="18" s="1"/>
  <c r="U725" i="18" s="1"/>
  <c r="S829" i="18"/>
  <c r="T607" i="18"/>
  <c r="U607" i="18" s="1"/>
  <c r="Q765" i="18"/>
  <c r="T811" i="18"/>
  <c r="U811" i="18" s="1"/>
  <c r="V811" i="18" s="1"/>
  <c r="R726" i="18"/>
  <c r="S718" i="18"/>
  <c r="T642" i="18"/>
  <c r="T373" i="18"/>
  <c r="U347" i="18"/>
  <c r="V347" i="18" s="1"/>
  <c r="W347" i="18" s="1"/>
  <c r="AT113" i="18"/>
  <c r="AT114" i="18" s="1"/>
  <c r="V721" i="18"/>
  <c r="R851" i="18"/>
  <c r="S851" i="18" s="1"/>
  <c r="Y215" i="18"/>
  <c r="Z215" i="18" s="1"/>
  <c r="AA215" i="18" s="1"/>
  <c r="AB215" i="18" s="1"/>
  <c r="AC215" i="18" s="1"/>
  <c r="AD215" i="18" s="1"/>
  <c r="AE215" i="18" s="1"/>
  <c r="V228" i="18"/>
  <c r="W228" i="18" s="1"/>
  <c r="W625" i="18"/>
  <c r="R361" i="18"/>
  <c r="S351" i="18"/>
  <c r="T286" i="18"/>
  <c r="O32" i="7945"/>
  <c r="Q32" i="7945" s="1"/>
  <c r="Q8" i="7945"/>
  <c r="T605" i="18"/>
  <c r="U605" i="18" s="1"/>
  <c r="Q44" i="7946"/>
  <c r="V761" i="18"/>
  <c r="W761" i="18" s="1"/>
  <c r="V208" i="18"/>
  <c r="U385" i="18"/>
  <c r="V385" i="18" s="1"/>
  <c r="X578" i="18"/>
  <c r="Y578" i="18" s="1"/>
  <c r="Z578" i="18" s="1"/>
  <c r="AA578" i="18" s="1"/>
  <c r="R852" i="18"/>
  <c r="S852" i="18" s="1"/>
  <c r="T852" i="18" s="1"/>
  <c r="S668" i="18"/>
  <c r="R674" i="18"/>
  <c r="S256" i="18"/>
  <c r="T549" i="18"/>
  <c r="Z612" i="18"/>
  <c r="X707" i="18"/>
  <c r="Y707" i="18" s="1"/>
  <c r="Z707" i="18" s="1"/>
  <c r="AA707" i="18" s="1"/>
  <c r="AB707" i="18" s="1"/>
  <c r="AC707" i="18" s="1"/>
  <c r="AD707" i="18" s="1"/>
  <c r="AE707" i="18" s="1"/>
  <c r="AF707" i="18" s="1"/>
  <c r="AG707" i="18" s="1"/>
  <c r="AH707" i="18" s="1"/>
  <c r="AI707" i="18" s="1"/>
  <c r="AJ707" i="18" s="1"/>
  <c r="AK707" i="18" s="1"/>
  <c r="AL707" i="18" s="1"/>
  <c r="AM707" i="18" s="1"/>
  <c r="S828" i="18"/>
  <c r="T828" i="18" s="1"/>
  <c r="U828" i="18" s="1"/>
  <c r="V463" i="18"/>
  <c r="W463" i="18" s="1"/>
  <c r="Z591" i="18"/>
  <c r="AA591" i="18" s="1"/>
  <c r="AB591" i="18" s="1"/>
  <c r="AC591" i="18" s="1"/>
  <c r="AD591" i="18" s="1"/>
  <c r="AE591" i="18" s="1"/>
  <c r="AF591" i="18" s="1"/>
  <c r="AG591" i="18" s="1"/>
  <c r="AH591" i="18" s="1"/>
  <c r="AI591" i="18" s="1"/>
  <c r="AJ591" i="18" s="1"/>
  <c r="AK591" i="18" s="1"/>
  <c r="AL591" i="18" s="1"/>
  <c r="AM591" i="18" s="1"/>
  <c r="AN591" i="18" s="1"/>
  <c r="AO591" i="18" s="1"/>
  <c r="AP591" i="18" s="1"/>
  <c r="AQ591" i="18" s="1"/>
  <c r="AR591" i="18" s="1"/>
  <c r="AS591" i="18" s="1"/>
  <c r="AT591" i="18" s="1"/>
  <c r="AU591" i="18" s="1"/>
  <c r="AV591" i="18" s="1"/>
  <c r="AW591" i="18" s="1"/>
  <c r="AX591" i="18" s="1"/>
  <c r="AY591" i="18" s="1"/>
  <c r="AZ591" i="18" s="1"/>
  <c r="BA591" i="18" s="1"/>
  <c r="BB591" i="18" s="1"/>
  <c r="BC591" i="18" s="1"/>
  <c r="BD591" i="18" s="1"/>
  <c r="BE591" i="18" s="1"/>
  <c r="BF591" i="18" s="1"/>
  <c r="BG591" i="18" s="1"/>
  <c r="BH591" i="18" s="1"/>
  <c r="BI591" i="18" s="1"/>
  <c r="V694" i="18"/>
  <c r="W694" i="18" s="1"/>
  <c r="X694" i="18" s="1"/>
  <c r="Y694" i="18" s="1"/>
  <c r="Z694" i="18" s="1"/>
  <c r="AA694" i="18" s="1"/>
  <c r="AB694" i="18" s="1"/>
  <c r="AC694" i="18" s="1"/>
  <c r="AD694" i="18" s="1"/>
  <c r="AE694" i="18" s="1"/>
  <c r="AF694" i="18" s="1"/>
  <c r="AG694" i="18" s="1"/>
  <c r="AH694" i="18" s="1"/>
  <c r="AI694" i="18" s="1"/>
  <c r="AJ694" i="18" s="1"/>
  <c r="AK694" i="18" s="1"/>
  <c r="AL694" i="18" s="1"/>
  <c r="AM694" i="18" s="1"/>
  <c r="AN694" i="18" s="1"/>
  <c r="AO694" i="18" s="1"/>
  <c r="AP694" i="18" s="1"/>
  <c r="AQ694" i="18" s="1"/>
  <c r="AR694" i="18" s="1"/>
  <c r="AS694" i="18" s="1"/>
  <c r="AT694" i="18" s="1"/>
  <c r="AU694" i="18" s="1"/>
  <c r="AV694" i="18" s="1"/>
  <c r="AW694" i="18" s="1"/>
  <c r="AX694" i="18" s="1"/>
  <c r="AY694" i="18" s="1"/>
  <c r="AZ694" i="18" s="1"/>
  <c r="BA694" i="18" s="1"/>
  <c r="BB694" i="18" s="1"/>
  <c r="BC694" i="18" s="1"/>
  <c r="BD694" i="18" s="1"/>
  <c r="BE694" i="18" s="1"/>
  <c r="BF694" i="18" s="1"/>
  <c r="BG694" i="18" s="1"/>
  <c r="BH694" i="18" s="1"/>
  <c r="BI694" i="18" s="1"/>
  <c r="R830" i="18"/>
  <c r="S386" i="18"/>
  <c r="T386" i="18" s="1"/>
  <c r="T435" i="18"/>
  <c r="U742" i="18"/>
  <c r="T867" i="18"/>
  <c r="S595" i="18"/>
  <c r="R765" i="18"/>
  <c r="W489" i="18"/>
  <c r="Q726" i="18"/>
  <c r="T360" i="18"/>
  <c r="S618" i="18"/>
  <c r="T810" i="18"/>
  <c r="U810" i="18" s="1"/>
  <c r="V810" i="18" s="1"/>
  <c r="W810" i="18" s="1"/>
  <c r="X810" i="18" s="1"/>
  <c r="Y810" i="18" s="1"/>
  <c r="Z810" i="18" s="1"/>
  <c r="AA810" i="18" s="1"/>
  <c r="AB810" i="18" s="1"/>
  <c r="AC810" i="18" s="1"/>
  <c r="AD810" i="18" s="1"/>
  <c r="AE810" i="18" s="1"/>
  <c r="AF810" i="18" s="1"/>
  <c r="AG810" i="18" s="1"/>
  <c r="AH810" i="18" s="1"/>
  <c r="AI810" i="18" s="1"/>
  <c r="AJ810" i="18" s="1"/>
  <c r="AK810" i="18" s="1"/>
  <c r="AL810" i="18" s="1"/>
  <c r="AM810" i="18" s="1"/>
  <c r="AN810" i="18" s="1"/>
  <c r="AO810" i="18" s="1"/>
  <c r="AP810" i="18" s="1"/>
  <c r="AQ810" i="18" s="1"/>
  <c r="AR810" i="18" s="1"/>
  <c r="AS810" i="18" s="1"/>
  <c r="AT810" i="18" s="1"/>
  <c r="AU810" i="18" s="1"/>
  <c r="AV810" i="18" s="1"/>
  <c r="AW810" i="18" s="1"/>
  <c r="AX810" i="18" s="1"/>
  <c r="AY810" i="18" s="1"/>
  <c r="AZ810" i="18" s="1"/>
  <c r="BA810" i="18" s="1"/>
  <c r="BB810" i="18" s="1"/>
  <c r="BC810" i="18" s="1"/>
  <c r="BD810" i="18" s="1"/>
  <c r="BE810" i="18" s="1"/>
  <c r="BF810" i="18" s="1"/>
  <c r="BG810" i="18" s="1"/>
  <c r="BH810" i="18" s="1"/>
  <c r="BI810" i="18" s="1"/>
  <c r="Q648" i="18"/>
  <c r="R646" i="18"/>
  <c r="R648" i="18" s="1"/>
  <c r="U807" i="18"/>
  <c r="U735" i="18"/>
  <c r="V162" i="18"/>
  <c r="W162" i="18" s="1"/>
  <c r="X162" i="18" s="1"/>
  <c r="V281" i="18"/>
  <c r="X651" i="18"/>
  <c r="S127" i="18"/>
  <c r="T117" i="18"/>
  <c r="AJ501" i="18"/>
  <c r="AK501" i="18" s="1"/>
  <c r="AL501" i="18" s="1"/>
  <c r="AM501" i="18" s="1"/>
  <c r="AN501" i="18" s="1"/>
  <c r="AO501" i="18" s="1"/>
  <c r="AP501" i="18" s="1"/>
  <c r="AQ501" i="18" s="1"/>
  <c r="AR501" i="18" s="1"/>
  <c r="AS501" i="18" s="1"/>
  <c r="AT501" i="18" s="1"/>
  <c r="AU501" i="18" s="1"/>
  <c r="AV501" i="18" s="1"/>
  <c r="AW501" i="18" s="1"/>
  <c r="AX501" i="18" s="1"/>
  <c r="AY501" i="18" s="1"/>
  <c r="AZ501" i="18" s="1"/>
  <c r="BA501" i="18" s="1"/>
  <c r="BB501" i="18" s="1"/>
  <c r="BC501" i="18" s="1"/>
  <c r="BD501" i="18" s="1"/>
  <c r="BE501" i="18" s="1"/>
  <c r="BF501" i="18" s="1"/>
  <c r="BG501" i="18" s="1"/>
  <c r="BH501" i="18" s="1"/>
  <c r="BI501" i="18" s="1"/>
  <c r="AK508" i="18"/>
  <c r="AL508" i="18" s="1"/>
  <c r="V677" i="18"/>
  <c r="W677" i="18" s="1"/>
  <c r="X677" i="18" s="1"/>
  <c r="U838" i="18"/>
  <c r="V698" i="18"/>
  <c r="W698" i="18" s="1"/>
  <c r="X698" i="18" s="1"/>
  <c r="W846" i="18"/>
  <c r="W325" i="18"/>
  <c r="V320" i="18"/>
  <c r="S243" i="18"/>
  <c r="S244" i="18" s="1"/>
  <c r="R153" i="18"/>
  <c r="T750" i="18"/>
  <c r="T398" i="18"/>
  <c r="S670" i="18"/>
  <c r="X820" i="18"/>
  <c r="AE518" i="18"/>
  <c r="T686" i="18"/>
  <c r="R842" i="18"/>
  <c r="T802" i="18"/>
  <c r="T657" i="18"/>
  <c r="U527" i="18"/>
  <c r="V527" i="18" s="1"/>
  <c r="W527" i="18" s="1"/>
  <c r="X527" i="18" s="1"/>
  <c r="V124" i="18"/>
  <c r="W124" i="18" s="1"/>
  <c r="X124" i="18" s="1"/>
  <c r="Y124" i="18" s="1"/>
  <c r="Z124" i="18" s="1"/>
  <c r="AA124" i="18" s="1"/>
  <c r="AB124" i="18" s="1"/>
  <c r="AC124" i="18" s="1"/>
  <c r="AD124" i="18" s="1"/>
  <c r="AE124" i="18" s="1"/>
  <c r="AF124" i="18" s="1"/>
  <c r="AG124" i="18" s="1"/>
  <c r="AH124" i="18" s="1"/>
  <c r="AI124" i="18" s="1"/>
  <c r="AJ124" i="18" s="1"/>
  <c r="AK124" i="18" s="1"/>
  <c r="AL124" i="18" s="1"/>
  <c r="AM124" i="18" s="1"/>
  <c r="AN124" i="18" s="1"/>
  <c r="AO124" i="18" s="1"/>
  <c r="AP124" i="18" s="1"/>
  <c r="AQ124" i="18" s="1"/>
  <c r="AR124" i="18" s="1"/>
  <c r="AS124" i="18" s="1"/>
  <c r="AT124" i="18" s="1"/>
  <c r="AU124" i="18" s="1"/>
  <c r="AV124" i="18" s="1"/>
  <c r="AW124" i="18" s="1"/>
  <c r="AX124" i="18" s="1"/>
  <c r="AY124" i="18" s="1"/>
  <c r="AZ124" i="18" s="1"/>
  <c r="BA124" i="18" s="1"/>
  <c r="BB124" i="18" s="1"/>
  <c r="BC124" i="18" s="1"/>
  <c r="BD124" i="18" s="1"/>
  <c r="BE124" i="18" s="1"/>
  <c r="BF124" i="18" s="1"/>
  <c r="BG124" i="18" s="1"/>
  <c r="BH124" i="18" s="1"/>
  <c r="BI124" i="18" s="1"/>
  <c r="U425" i="18"/>
  <c r="V425" i="18" s="1"/>
  <c r="V669" i="18"/>
  <c r="W669" i="18" s="1"/>
  <c r="X669" i="18" s="1"/>
  <c r="Y669" i="18" s="1"/>
  <c r="Z669" i="18" s="1"/>
  <c r="AA669" i="18" s="1"/>
  <c r="AB669" i="18" s="1"/>
  <c r="AC669" i="18" s="1"/>
  <c r="AD669" i="18" s="1"/>
  <c r="AE669" i="18" s="1"/>
  <c r="AF669" i="18" s="1"/>
  <c r="AG669" i="18" s="1"/>
  <c r="AH669" i="18" s="1"/>
  <c r="AI669" i="18" s="1"/>
  <c r="AJ669" i="18" s="1"/>
  <c r="AK669" i="18" s="1"/>
  <c r="AL669" i="18" s="1"/>
  <c r="AM669" i="18" s="1"/>
  <c r="AN669" i="18" s="1"/>
  <c r="AO669" i="18" s="1"/>
  <c r="AP669" i="18" s="1"/>
  <c r="AQ669" i="18" s="1"/>
  <c r="AR669" i="18" s="1"/>
  <c r="AS669" i="18" s="1"/>
  <c r="AT669" i="18" s="1"/>
  <c r="AU669" i="18" s="1"/>
  <c r="AV669" i="18" s="1"/>
  <c r="AW669" i="18" s="1"/>
  <c r="AX669" i="18" s="1"/>
  <c r="AY669" i="18" s="1"/>
  <c r="AZ669" i="18" s="1"/>
  <c r="BA669" i="18" s="1"/>
  <c r="BB669" i="18" s="1"/>
  <c r="BC669" i="18" s="1"/>
  <c r="BD669" i="18" s="1"/>
  <c r="BE669" i="18" s="1"/>
  <c r="BF669" i="18" s="1"/>
  <c r="BG669" i="18" s="1"/>
  <c r="BH669" i="18" s="1"/>
  <c r="BI669" i="18" s="1"/>
  <c r="R555" i="18"/>
  <c r="S555" i="18" s="1"/>
  <c r="S557" i="18" s="1"/>
  <c r="U826" i="18"/>
  <c r="U709" i="18"/>
  <c r="V709" i="18" s="1"/>
  <c r="S178" i="18"/>
  <c r="AA682" i="18"/>
  <c r="AB682" i="18" s="1"/>
  <c r="AC682" i="18" s="1"/>
  <c r="AD682" i="18" s="1"/>
  <c r="AE682" i="18" s="1"/>
  <c r="AF682" i="18" s="1"/>
  <c r="AG682" i="18" s="1"/>
  <c r="AH682" i="18" s="1"/>
  <c r="AI682" i="18" s="1"/>
  <c r="AJ682" i="18" s="1"/>
  <c r="AK682" i="18" s="1"/>
  <c r="AL682" i="18" s="1"/>
  <c r="AM682" i="18" s="1"/>
  <c r="AN682" i="18" s="1"/>
  <c r="AO682" i="18" s="1"/>
  <c r="AP682" i="18" s="1"/>
  <c r="AQ682" i="18" s="1"/>
  <c r="AR682" i="18" s="1"/>
  <c r="AS682" i="18" s="1"/>
  <c r="AT682" i="18" s="1"/>
  <c r="AU682" i="18" s="1"/>
  <c r="AV682" i="18" s="1"/>
  <c r="AW682" i="18" s="1"/>
  <c r="AX682" i="18" s="1"/>
  <c r="AY682" i="18" s="1"/>
  <c r="AZ682" i="18" s="1"/>
  <c r="BA682" i="18" s="1"/>
  <c r="BB682" i="18" s="1"/>
  <c r="BC682" i="18" s="1"/>
  <c r="BD682" i="18" s="1"/>
  <c r="BE682" i="18" s="1"/>
  <c r="BF682" i="18" s="1"/>
  <c r="BG682" i="18" s="1"/>
  <c r="BH682" i="18" s="1"/>
  <c r="BI682" i="18" s="1"/>
  <c r="S152" i="18"/>
  <c r="T152" i="18" s="1"/>
  <c r="T153" i="18" s="1"/>
  <c r="R868" i="18"/>
  <c r="V690" i="18"/>
  <c r="R205" i="18"/>
  <c r="S195" i="18"/>
  <c r="U190" i="18"/>
  <c r="V190" i="18" s="1"/>
  <c r="P12" i="24"/>
  <c r="O13" i="24"/>
  <c r="T813" i="18"/>
  <c r="U813" i="18" s="1"/>
  <c r="R684" i="18"/>
  <c r="S684" i="18" s="1"/>
  <c r="T684" i="18" s="1"/>
  <c r="P25" i="7946"/>
  <c r="R80" i="7943"/>
  <c r="T488" i="18"/>
  <c r="U488" i="18" s="1"/>
  <c r="Q492" i="18"/>
  <c r="R487" i="18"/>
  <c r="R492" i="18" s="1"/>
  <c r="V390" i="18"/>
  <c r="R752" i="18"/>
  <c r="S749" i="18"/>
  <c r="T203" i="18"/>
  <c r="U203" i="18" s="1"/>
  <c r="P40" i="24"/>
  <c r="P41" i="24"/>
  <c r="P32" i="24"/>
  <c r="P163" i="24" s="1"/>
  <c r="Q7" i="24"/>
  <c r="R7" i="24" s="1"/>
  <c r="S7" i="24" s="1"/>
  <c r="T7" i="24" s="1"/>
  <c r="U7" i="24" s="1"/>
  <c r="V7" i="24" s="1"/>
  <c r="W7" i="24" s="1"/>
  <c r="X7" i="24" s="1"/>
  <c r="Y7" i="24" s="1"/>
  <c r="Z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AY7" i="24" s="1"/>
  <c r="AZ7" i="24" s="1"/>
  <c r="BA7" i="24" s="1"/>
  <c r="BB7" i="24" s="1"/>
  <c r="BC7" i="24" s="1"/>
  <c r="BD7" i="24" s="1"/>
  <c r="BE7" i="24" s="1"/>
  <c r="BF7" i="24" s="1"/>
  <c r="BG7" i="24" s="1"/>
  <c r="BH7" i="24" s="1"/>
  <c r="BI7" i="24" s="1"/>
  <c r="P49" i="24"/>
  <c r="V346" i="18"/>
  <c r="W346" i="18" s="1"/>
  <c r="X346" i="18" s="1"/>
  <c r="Y346" i="18" s="1"/>
  <c r="Z346" i="18" s="1"/>
  <c r="AA346" i="18" s="1"/>
  <c r="AB346" i="18" s="1"/>
  <c r="AC346" i="18" s="1"/>
  <c r="AD346" i="18" s="1"/>
  <c r="AE346" i="18" s="1"/>
  <c r="AF346" i="18" s="1"/>
  <c r="AG346" i="18" s="1"/>
  <c r="AH346" i="18" s="1"/>
  <c r="AI346" i="18" s="1"/>
  <c r="AJ346" i="18" s="1"/>
  <c r="AK346" i="18" s="1"/>
  <c r="AL346" i="18" s="1"/>
  <c r="AM346" i="18" s="1"/>
  <c r="AN346" i="18" s="1"/>
  <c r="AO346" i="18" s="1"/>
  <c r="AP346" i="18" s="1"/>
  <c r="AQ346" i="18" s="1"/>
  <c r="AR346" i="18" s="1"/>
  <c r="AS346" i="18" s="1"/>
  <c r="AT346" i="18" s="1"/>
  <c r="AU346" i="18" s="1"/>
  <c r="AV346" i="18" s="1"/>
  <c r="AW346" i="18" s="1"/>
  <c r="AX346" i="18" s="1"/>
  <c r="AY346" i="18" s="1"/>
  <c r="AZ346" i="18" s="1"/>
  <c r="BA346" i="18" s="1"/>
  <c r="BB346" i="18" s="1"/>
  <c r="BC346" i="18" s="1"/>
  <c r="BD346" i="18" s="1"/>
  <c r="BE346" i="18" s="1"/>
  <c r="BF346" i="18" s="1"/>
  <c r="BG346" i="18" s="1"/>
  <c r="BH346" i="18" s="1"/>
  <c r="BI346" i="18" s="1"/>
  <c r="S768" i="18"/>
  <c r="AI449" i="18"/>
  <c r="AJ449" i="18" s="1"/>
  <c r="AK449" i="18" s="1"/>
  <c r="AL449" i="18" s="1"/>
  <c r="AM449" i="18" s="1"/>
  <c r="AN449" i="18" s="1"/>
  <c r="AO449" i="18" s="1"/>
  <c r="AP449" i="18" s="1"/>
  <c r="AQ449" i="18" s="1"/>
  <c r="AR449" i="18" s="1"/>
  <c r="AS449" i="18" s="1"/>
  <c r="AT449" i="18" s="1"/>
  <c r="AU449" i="18" s="1"/>
  <c r="AV449" i="18" s="1"/>
  <c r="AW449" i="18" s="1"/>
  <c r="AX449" i="18" s="1"/>
  <c r="AY449" i="18" s="1"/>
  <c r="AZ449" i="18" s="1"/>
  <c r="BA449" i="18" s="1"/>
  <c r="BB449" i="18" s="1"/>
  <c r="BC449" i="18" s="1"/>
  <c r="BD449" i="18" s="1"/>
  <c r="BE449" i="18" s="1"/>
  <c r="BF449" i="18" s="1"/>
  <c r="BG449" i="18" s="1"/>
  <c r="BH449" i="18" s="1"/>
  <c r="BI449" i="18" s="1"/>
  <c r="H74" i="1"/>
  <c r="H108" i="1" s="1"/>
  <c r="H176" i="1"/>
  <c r="H241" i="1"/>
  <c r="I40" i="1"/>
  <c r="H208" i="1"/>
  <c r="H221" i="1"/>
  <c r="H223" i="1" s="1"/>
  <c r="H4" i="2"/>
  <c r="H190" i="1"/>
  <c r="H142" i="1"/>
  <c r="H4" i="18"/>
  <c r="U242" i="18"/>
  <c r="Q661" i="18"/>
  <c r="U554" i="18"/>
  <c r="U294" i="18"/>
  <c r="V294" i="18" s="1"/>
  <c r="AH500" i="18"/>
  <c r="AI500" i="18" s="1"/>
  <c r="AJ500" i="18" s="1"/>
  <c r="AK500" i="18" s="1"/>
  <c r="AL500" i="18" s="1"/>
  <c r="AM500" i="18" s="1"/>
  <c r="AN500" i="18" s="1"/>
  <c r="AO500" i="18" s="1"/>
  <c r="AP500" i="18" s="1"/>
  <c r="AQ500" i="18" s="1"/>
  <c r="AR500" i="18" s="1"/>
  <c r="AS500" i="18" s="1"/>
  <c r="AT500" i="18" s="1"/>
  <c r="AU500" i="18" s="1"/>
  <c r="AV500" i="18" s="1"/>
  <c r="AW500" i="18" s="1"/>
  <c r="AX500" i="18" s="1"/>
  <c r="AY500" i="18" s="1"/>
  <c r="AZ500" i="18" s="1"/>
  <c r="BA500" i="18" s="1"/>
  <c r="BB500" i="18" s="1"/>
  <c r="BC500" i="18" s="1"/>
  <c r="BD500" i="18" s="1"/>
  <c r="BE500" i="18" s="1"/>
  <c r="BF500" i="18" s="1"/>
  <c r="BG500" i="18" s="1"/>
  <c r="BH500" i="18" s="1"/>
  <c r="BI500" i="18" s="1"/>
  <c r="W703" i="18"/>
  <c r="S229" i="18"/>
  <c r="T187" i="18"/>
  <c r="W705" i="18"/>
  <c r="X705" i="18" s="1"/>
  <c r="Y705" i="18" s="1"/>
  <c r="Z705" i="18" s="1"/>
  <c r="AA705" i="18" s="1"/>
  <c r="AB705" i="18" s="1"/>
  <c r="AC705" i="18" s="1"/>
  <c r="AD705" i="18" s="1"/>
  <c r="AE705" i="18" s="1"/>
  <c r="AF705" i="18" s="1"/>
  <c r="AG705" i="18" s="1"/>
  <c r="AH705" i="18" s="1"/>
  <c r="AI705" i="18" s="1"/>
  <c r="AJ705" i="18" s="1"/>
  <c r="AK705" i="18" s="1"/>
  <c r="AL705" i="18" s="1"/>
  <c r="AM705" i="18" s="1"/>
  <c r="AN705" i="18" s="1"/>
  <c r="AO705" i="18" s="1"/>
  <c r="AP705" i="18" s="1"/>
  <c r="AQ705" i="18" s="1"/>
  <c r="AR705" i="18" s="1"/>
  <c r="AS705" i="18" s="1"/>
  <c r="AT705" i="18" s="1"/>
  <c r="AU705" i="18" s="1"/>
  <c r="AV705" i="18" s="1"/>
  <c r="AW705" i="18" s="1"/>
  <c r="AX705" i="18" s="1"/>
  <c r="AY705" i="18" s="1"/>
  <c r="AZ705" i="18" s="1"/>
  <c r="BA705" i="18" s="1"/>
  <c r="BB705" i="18" s="1"/>
  <c r="BC705" i="18" s="1"/>
  <c r="BD705" i="18" s="1"/>
  <c r="BE705" i="18" s="1"/>
  <c r="BF705" i="18" s="1"/>
  <c r="BG705" i="18" s="1"/>
  <c r="X620" i="18"/>
  <c r="U865" i="18"/>
  <c r="W318" i="18"/>
  <c r="T787" i="18"/>
  <c r="U787" i="18" s="1"/>
  <c r="V787" i="18" s="1"/>
  <c r="S781" i="18"/>
  <c r="T781" i="18" s="1"/>
  <c r="Z638" i="18"/>
  <c r="V812" i="18"/>
  <c r="W812" i="18" s="1"/>
  <c r="U293" i="18"/>
  <c r="X306" i="18"/>
  <c r="Y306" i="18" s="1"/>
  <c r="Z306" i="18" s="1"/>
  <c r="AA306" i="18" s="1"/>
  <c r="AB306" i="18" s="1"/>
  <c r="AC306" i="18" s="1"/>
  <c r="AD306" i="18" s="1"/>
  <c r="AE306" i="18" s="1"/>
  <c r="AF306" i="18" s="1"/>
  <c r="AG306" i="18" s="1"/>
  <c r="AH306" i="18" s="1"/>
  <c r="AI306" i="18" s="1"/>
  <c r="AJ306" i="18" s="1"/>
  <c r="AK306" i="18" s="1"/>
  <c r="AL306" i="18" s="1"/>
  <c r="AM306" i="18" s="1"/>
  <c r="AN306" i="18" s="1"/>
  <c r="AO306" i="18" s="1"/>
  <c r="AP306" i="18" s="1"/>
  <c r="AQ306" i="18" s="1"/>
  <c r="AR306" i="18" s="1"/>
  <c r="AS306" i="18" s="1"/>
  <c r="AT306" i="18" s="1"/>
  <c r="AU306" i="18" s="1"/>
  <c r="AV306" i="18" s="1"/>
  <c r="AW306" i="18" s="1"/>
  <c r="AX306" i="18" s="1"/>
  <c r="AY306" i="18" s="1"/>
  <c r="AZ306" i="18" s="1"/>
  <c r="BA306" i="18" s="1"/>
  <c r="BB306" i="18" s="1"/>
  <c r="BC306" i="18" s="1"/>
  <c r="BD306" i="18" s="1"/>
  <c r="BE306" i="18" s="1"/>
  <c r="BF306" i="18" s="1"/>
  <c r="BG306" i="18" s="1"/>
  <c r="BH306" i="18" s="1"/>
  <c r="BI306" i="18" s="1"/>
  <c r="R335" i="18"/>
  <c r="T656" i="18"/>
  <c r="U656" i="18" s="1"/>
  <c r="S672" i="18"/>
  <c r="T594" i="18"/>
  <c r="U594" i="18" s="1"/>
  <c r="O33" i="7943"/>
  <c r="R706" i="18"/>
  <c r="Q713" i="18"/>
  <c r="S823" i="18"/>
  <c r="S429" i="18"/>
  <c r="T543" i="18"/>
  <c r="U543" i="18" s="1"/>
  <c r="V543" i="18" s="1"/>
  <c r="S582" i="18"/>
  <c r="T582" i="18" s="1"/>
  <c r="S712" i="18"/>
  <c r="S685" i="18"/>
  <c r="R606" i="18"/>
  <c r="R609" i="18" s="1"/>
  <c r="W358" i="18"/>
  <c r="X358" i="18" s="1"/>
  <c r="Y358" i="18" s="1"/>
  <c r="Z358" i="18" s="1"/>
  <c r="AA358" i="18" s="1"/>
  <c r="AB358" i="18" s="1"/>
  <c r="AC358" i="18" s="1"/>
  <c r="AD358" i="18" s="1"/>
  <c r="AE358" i="18" s="1"/>
  <c r="AF358" i="18" s="1"/>
  <c r="AG358" i="18" s="1"/>
  <c r="AH358" i="18" s="1"/>
  <c r="AI358" i="18" s="1"/>
  <c r="AJ358" i="18" s="1"/>
  <c r="AK358" i="18" s="1"/>
  <c r="AL358" i="18" s="1"/>
  <c r="AM358" i="18" s="1"/>
  <c r="AN358" i="18" s="1"/>
  <c r="AO358" i="18" s="1"/>
  <c r="AP358" i="18" s="1"/>
  <c r="AQ358" i="18" s="1"/>
  <c r="AR358" i="18" s="1"/>
  <c r="AS358" i="18" s="1"/>
  <c r="AT358" i="18" s="1"/>
  <c r="AU358" i="18" s="1"/>
  <c r="AV358" i="18" s="1"/>
  <c r="AW358" i="18" s="1"/>
  <c r="AX358" i="18" s="1"/>
  <c r="AY358" i="18" s="1"/>
  <c r="AZ358" i="18" s="1"/>
  <c r="BA358" i="18" s="1"/>
  <c r="BB358" i="18" s="1"/>
  <c r="BC358" i="18" s="1"/>
  <c r="BD358" i="18" s="1"/>
  <c r="BE358" i="18" s="1"/>
  <c r="BF358" i="18" s="1"/>
  <c r="BG358" i="18" s="1"/>
  <c r="BH358" i="18" s="1"/>
  <c r="BI358" i="18" s="1"/>
  <c r="Q817" i="18"/>
  <c r="Q635" i="18"/>
  <c r="R627" i="18"/>
  <c r="S282" i="18"/>
  <c r="U644" i="18"/>
  <c r="V644" i="18" s="1"/>
  <c r="S413" i="18"/>
  <c r="T403" i="18"/>
  <c r="T827" i="18"/>
  <c r="U827" i="18" s="1"/>
  <c r="V204" i="18"/>
  <c r="W204" i="18" s="1"/>
  <c r="X204" i="18" s="1"/>
  <c r="U260" i="18"/>
  <c r="X359" i="18"/>
  <c r="Y359" i="18" s="1"/>
  <c r="T521" i="18"/>
  <c r="S216" i="18"/>
  <c r="T216" i="18" s="1"/>
  <c r="U216" i="18" s="1"/>
  <c r="U423" i="18"/>
  <c r="V423" i="18" s="1"/>
  <c r="S211" i="18"/>
  <c r="R218" i="18"/>
  <c r="U136" i="18"/>
  <c r="S864" i="18"/>
  <c r="W482" i="18"/>
  <c r="T586" i="18"/>
  <c r="T729" i="18"/>
  <c r="U773" i="18"/>
  <c r="U815" i="18"/>
  <c r="V815" i="18" s="1"/>
  <c r="U619" i="18"/>
  <c r="V619" i="18" s="1"/>
  <c r="U332" i="18"/>
  <c r="U138" i="18"/>
  <c r="V138" i="18" s="1"/>
  <c r="Q609" i="18"/>
  <c r="U560" i="18"/>
  <c r="R273" i="18"/>
  <c r="Q283" i="18"/>
  <c r="AI511" i="18"/>
  <c r="AA384" i="18"/>
  <c r="AB384" i="18" s="1"/>
  <c r="AC384" i="18" s="1"/>
  <c r="AD384" i="18" s="1"/>
  <c r="AE384" i="18" s="1"/>
  <c r="AF384" i="18" s="1"/>
  <c r="AG384" i="18" s="1"/>
  <c r="AH384" i="18" s="1"/>
  <c r="AI384" i="18" s="1"/>
  <c r="AJ384" i="18" s="1"/>
  <c r="AK384" i="18" s="1"/>
  <c r="AL384" i="18" s="1"/>
  <c r="AM384" i="18" s="1"/>
  <c r="AN384" i="18" s="1"/>
  <c r="AO384" i="18" s="1"/>
  <c r="AP384" i="18" s="1"/>
  <c r="AQ384" i="18" s="1"/>
  <c r="AR384" i="18" s="1"/>
  <c r="AS384" i="18" s="1"/>
  <c r="AT384" i="18" s="1"/>
  <c r="AU384" i="18" s="1"/>
  <c r="AV384" i="18" s="1"/>
  <c r="AW384" i="18" s="1"/>
  <c r="AX384" i="18" s="1"/>
  <c r="AY384" i="18" s="1"/>
  <c r="AZ384" i="18" s="1"/>
  <c r="BA384" i="18" s="1"/>
  <c r="BB384" i="18" s="1"/>
  <c r="BC384" i="18" s="1"/>
  <c r="BD384" i="18" s="1"/>
  <c r="BE384" i="18" s="1"/>
  <c r="BF384" i="18" s="1"/>
  <c r="BG384" i="18" s="1"/>
  <c r="BH384" i="18" s="1"/>
  <c r="BI384" i="18" s="1"/>
  <c r="U825" i="18"/>
  <c r="V825" i="18" s="1"/>
  <c r="W825" i="18" s="1"/>
  <c r="X825" i="18" s="1"/>
  <c r="Y825" i="18" s="1"/>
  <c r="Z825" i="18" s="1"/>
  <c r="AA825" i="18" s="1"/>
  <c r="AB825" i="18" s="1"/>
  <c r="AC825" i="18" s="1"/>
  <c r="AD825" i="18" s="1"/>
  <c r="AE825" i="18" s="1"/>
  <c r="AF825" i="18" s="1"/>
  <c r="AG825" i="18" s="1"/>
  <c r="AH825" i="18" s="1"/>
  <c r="AI825" i="18" s="1"/>
  <c r="AJ825" i="18" s="1"/>
  <c r="AK825" i="18" s="1"/>
  <c r="AL825" i="18" s="1"/>
  <c r="AM825" i="18" s="1"/>
  <c r="AN825" i="18" s="1"/>
  <c r="AO825" i="18" s="1"/>
  <c r="AP825" i="18" s="1"/>
  <c r="AQ825" i="18" s="1"/>
  <c r="AR825" i="18" s="1"/>
  <c r="AS825" i="18" s="1"/>
  <c r="AT825" i="18" s="1"/>
  <c r="AU825" i="18" s="1"/>
  <c r="AV825" i="18" s="1"/>
  <c r="AW825" i="18" s="1"/>
  <c r="AX825" i="18" s="1"/>
  <c r="AY825" i="18" s="1"/>
  <c r="AZ825" i="18" s="1"/>
  <c r="BA825" i="18" s="1"/>
  <c r="BB825" i="18" s="1"/>
  <c r="BC825" i="18" s="1"/>
  <c r="BD825" i="18" s="1"/>
  <c r="BE825" i="18" s="1"/>
  <c r="BF825" i="18" s="1"/>
  <c r="BG825" i="18" s="1"/>
  <c r="BH825" i="18" s="1"/>
  <c r="BI825" i="18" s="1"/>
  <c r="S723" i="18"/>
  <c r="W291" i="18"/>
  <c r="X291" i="18" s="1"/>
  <c r="V312" i="18"/>
  <c r="U550" i="18"/>
  <c r="U416" i="18"/>
  <c r="U143" i="18"/>
  <c r="X747" i="18"/>
  <c r="S724" i="18"/>
  <c r="T724" i="18" s="1"/>
  <c r="AF503" i="18"/>
  <c r="T671" i="18"/>
  <c r="AG515" i="18"/>
  <c r="AH515" i="18" s="1"/>
  <c r="AI515" i="18" s="1"/>
  <c r="AJ515" i="18" s="1"/>
  <c r="AK515" i="18" s="1"/>
  <c r="AL515" i="18" s="1"/>
  <c r="X182" i="18"/>
  <c r="AS114" i="18"/>
  <c r="V775" i="18"/>
  <c r="V863" i="18"/>
  <c r="W863" i="18" s="1"/>
  <c r="X863" i="18" s="1"/>
  <c r="Y863" i="18" s="1"/>
  <c r="Z863" i="18" s="1"/>
  <c r="AA863" i="18" s="1"/>
  <c r="AB863" i="18" s="1"/>
  <c r="AC863" i="18" s="1"/>
  <c r="AD863" i="18" s="1"/>
  <c r="AE863" i="18" s="1"/>
  <c r="AF863" i="18" s="1"/>
  <c r="AG863" i="18" s="1"/>
  <c r="AH863" i="18" s="1"/>
  <c r="AI863" i="18" s="1"/>
  <c r="AJ863" i="18" s="1"/>
  <c r="AK863" i="18" s="1"/>
  <c r="AL863" i="18" s="1"/>
  <c r="AM863" i="18" s="1"/>
  <c r="AN863" i="18" s="1"/>
  <c r="AO863" i="18" s="1"/>
  <c r="AP863" i="18" s="1"/>
  <c r="AQ863" i="18" s="1"/>
  <c r="AR863" i="18" s="1"/>
  <c r="AS863" i="18" s="1"/>
  <c r="AT863" i="18" s="1"/>
  <c r="AU863" i="18" s="1"/>
  <c r="AV863" i="18" s="1"/>
  <c r="AW863" i="18" s="1"/>
  <c r="AX863" i="18" s="1"/>
  <c r="AY863" i="18" s="1"/>
  <c r="AZ863" i="18" s="1"/>
  <c r="BA863" i="18" s="1"/>
  <c r="BB863" i="18" s="1"/>
  <c r="BC863" i="18" s="1"/>
  <c r="BD863" i="18" s="1"/>
  <c r="BE863" i="18" s="1"/>
  <c r="BF863" i="18" s="1"/>
  <c r="BG863" i="18" s="1"/>
  <c r="BH863" i="18" s="1"/>
  <c r="BI863" i="18" s="1"/>
  <c r="R776" i="18"/>
  <c r="O89" i="7946"/>
  <c r="P89" i="7946" s="1"/>
  <c r="T234" i="18"/>
  <c r="V139" i="18"/>
  <c r="W139" i="18" s="1"/>
  <c r="AF517" i="18"/>
  <c r="AG517" i="18" s="1"/>
  <c r="T647" i="18"/>
  <c r="T758" i="18"/>
  <c r="AE834" i="18"/>
  <c r="AF834" i="18" s="1"/>
  <c r="R309" i="18"/>
  <c r="S299" i="18"/>
  <c r="V759" i="18"/>
  <c r="W759" i="18" s="1"/>
  <c r="X759" i="18" s="1"/>
  <c r="Y759" i="18" s="1"/>
  <c r="Z759" i="18" s="1"/>
  <c r="AA759" i="18" s="1"/>
  <c r="AB759" i="18" s="1"/>
  <c r="AC759" i="18" s="1"/>
  <c r="AD759" i="18" s="1"/>
  <c r="AE759" i="18" s="1"/>
  <c r="AF759" i="18" s="1"/>
  <c r="AG759" i="18" s="1"/>
  <c r="AH759" i="18" s="1"/>
  <c r="AI759" i="18" s="1"/>
  <c r="AJ759" i="18" s="1"/>
  <c r="AK759" i="18" s="1"/>
  <c r="AL759" i="18" s="1"/>
  <c r="AM759" i="18" s="1"/>
  <c r="AN759" i="18" s="1"/>
  <c r="AO759" i="18" s="1"/>
  <c r="AP759" i="18" s="1"/>
  <c r="AQ759" i="18" s="1"/>
  <c r="AR759" i="18" s="1"/>
  <c r="AS759" i="18" s="1"/>
  <c r="AT759" i="18" s="1"/>
  <c r="AU759" i="18" s="1"/>
  <c r="AV759" i="18" s="1"/>
  <c r="AW759" i="18" s="1"/>
  <c r="AX759" i="18" s="1"/>
  <c r="AY759" i="18" s="1"/>
  <c r="AZ759" i="18" s="1"/>
  <c r="BA759" i="18" s="1"/>
  <c r="BB759" i="18" s="1"/>
  <c r="BC759" i="18" s="1"/>
  <c r="BD759" i="18" s="1"/>
  <c r="BE759" i="18" s="1"/>
  <c r="BF759" i="18" s="1"/>
  <c r="BG759" i="18" s="1"/>
  <c r="BH759" i="18" s="1"/>
  <c r="BI759" i="18" s="1"/>
  <c r="W697" i="18"/>
  <c r="X697" i="18" s="1"/>
  <c r="Y697" i="18" s="1"/>
  <c r="R566" i="18"/>
  <c r="T641" i="18"/>
  <c r="U641" i="18" s="1"/>
  <c r="V641" i="18" s="1"/>
  <c r="W641" i="18" s="1"/>
  <c r="X641" i="18" s="1"/>
  <c r="Y641" i="18" s="1"/>
  <c r="Z641" i="18" s="1"/>
  <c r="AA641" i="18" s="1"/>
  <c r="AB641" i="18" s="1"/>
  <c r="AC641" i="18" s="1"/>
  <c r="AD641" i="18" s="1"/>
  <c r="AE641" i="18" s="1"/>
  <c r="AF641" i="18" s="1"/>
  <c r="AG641" i="18" s="1"/>
  <c r="AH641" i="18" s="1"/>
  <c r="AI641" i="18" s="1"/>
  <c r="AJ641" i="18" s="1"/>
  <c r="AK641" i="18" s="1"/>
  <c r="AL641" i="18" s="1"/>
  <c r="AM641" i="18" s="1"/>
  <c r="AN641" i="18" s="1"/>
  <c r="AO641" i="18" s="1"/>
  <c r="AP641" i="18" s="1"/>
  <c r="AQ641" i="18" s="1"/>
  <c r="AR641" i="18" s="1"/>
  <c r="AS641" i="18" s="1"/>
  <c r="AT641" i="18" s="1"/>
  <c r="AU641" i="18" s="1"/>
  <c r="AV641" i="18" s="1"/>
  <c r="AW641" i="18" s="1"/>
  <c r="AX641" i="18" s="1"/>
  <c r="AY641" i="18" s="1"/>
  <c r="AZ641" i="18" s="1"/>
  <c r="BA641" i="18" s="1"/>
  <c r="BB641" i="18" s="1"/>
  <c r="BC641" i="18" s="1"/>
  <c r="BD641" i="18" s="1"/>
  <c r="BE641" i="18" s="1"/>
  <c r="BF641" i="18" s="1"/>
  <c r="BG641" i="18" s="1"/>
  <c r="BH641" i="18" s="1"/>
  <c r="BI641" i="18" s="1"/>
  <c r="S490" i="18"/>
  <c r="P231" i="18"/>
  <c r="Q221" i="18"/>
  <c r="R631" i="18"/>
  <c r="S631" i="18" s="1"/>
  <c r="T631" i="18" s="1"/>
  <c r="Y547" i="18"/>
  <c r="S321" i="18"/>
  <c r="T321" i="18" s="1"/>
  <c r="V217" i="18"/>
  <c r="Q843" i="18"/>
  <c r="R540" i="18"/>
  <c r="Q544" i="18"/>
  <c r="R244" i="18"/>
  <c r="AF504" i="18"/>
  <c r="S530" i="18"/>
  <c r="T530" i="18" s="1"/>
  <c r="S803" i="18"/>
  <c r="T803" i="18" s="1"/>
  <c r="U803" i="18" s="1"/>
  <c r="S634" i="18"/>
  <c r="V736" i="18"/>
  <c r="V617" i="18"/>
  <c r="W617" i="18" s="1"/>
  <c r="X617" i="18" s="1"/>
  <c r="Y617" i="18" s="1"/>
  <c r="Z617" i="18" s="1"/>
  <c r="AA617" i="18" s="1"/>
  <c r="AB617" i="18" s="1"/>
  <c r="AC617" i="18" s="1"/>
  <c r="AD617" i="18" s="1"/>
  <c r="AE617" i="18" s="1"/>
  <c r="AF617" i="18" s="1"/>
  <c r="AG617" i="18" s="1"/>
  <c r="AH617" i="18" s="1"/>
  <c r="AI617" i="18" s="1"/>
  <c r="AJ617" i="18" s="1"/>
  <c r="AK617" i="18" s="1"/>
  <c r="AL617" i="18" s="1"/>
  <c r="AM617" i="18" s="1"/>
  <c r="S683" i="18"/>
  <c r="W755" i="18"/>
  <c r="R288" i="18"/>
  <c r="Q296" i="18"/>
  <c r="U664" i="18"/>
  <c r="R869" i="18"/>
  <c r="S859" i="18"/>
  <c r="S788" i="18"/>
  <c r="T788" i="18" s="1"/>
  <c r="U788" i="18" s="1"/>
  <c r="V788" i="18" s="1"/>
  <c r="S604" i="18"/>
  <c r="X599" i="18"/>
  <c r="U640" i="18"/>
  <c r="U564" i="18"/>
  <c r="V564" i="18" s="1"/>
  <c r="R528" i="18"/>
  <c r="V377" i="18"/>
  <c r="S379" i="18"/>
  <c r="R387" i="18"/>
  <c r="R817" i="18"/>
  <c r="V748" i="18"/>
  <c r="T343" i="18"/>
  <c r="U343" i="18" s="1"/>
  <c r="V343" i="18" s="1"/>
  <c r="W343" i="18" s="1"/>
  <c r="X343" i="18" s="1"/>
  <c r="Y343" i="18" s="1"/>
  <c r="Z343" i="18" s="1"/>
  <c r="AA343" i="18" s="1"/>
  <c r="AB343" i="18" s="1"/>
  <c r="AC343" i="18" s="1"/>
  <c r="AD343" i="18" s="1"/>
  <c r="AE343" i="18" s="1"/>
  <c r="AF343" i="18" s="1"/>
  <c r="AG343" i="18" s="1"/>
  <c r="AH343" i="18" s="1"/>
  <c r="AI343" i="18" s="1"/>
  <c r="AJ343" i="18" s="1"/>
  <c r="AK343" i="18" s="1"/>
  <c r="AL343" i="18" s="1"/>
  <c r="AM343" i="18" s="1"/>
  <c r="AN343" i="18" s="1"/>
  <c r="AO343" i="18" s="1"/>
  <c r="AP343" i="18" s="1"/>
  <c r="AQ343" i="18" s="1"/>
  <c r="AR343" i="18" s="1"/>
  <c r="AS343" i="18" s="1"/>
  <c r="AT343" i="18" s="1"/>
  <c r="AU343" i="18" s="1"/>
  <c r="AV343" i="18" s="1"/>
  <c r="AW343" i="18" s="1"/>
  <c r="AX343" i="18" s="1"/>
  <c r="AY343" i="18" s="1"/>
  <c r="AZ343" i="18" s="1"/>
  <c r="BA343" i="18" s="1"/>
  <c r="BB343" i="18" s="1"/>
  <c r="BC343" i="18" s="1"/>
  <c r="BD343" i="18" s="1"/>
  <c r="BE343" i="18" s="1"/>
  <c r="BF343" i="18" s="1"/>
  <c r="BG343" i="18" s="1"/>
  <c r="BH343" i="18" s="1"/>
  <c r="BI343" i="18" s="1"/>
  <c r="T833" i="18"/>
  <c r="R348" i="18"/>
  <c r="S338" i="18"/>
  <c r="AL304" i="18"/>
  <c r="AM304" i="18" s="1"/>
  <c r="AN304" i="18" s="1"/>
  <c r="AO304" i="18" s="1"/>
  <c r="AP304" i="18" s="1"/>
  <c r="AQ304" i="18" s="1"/>
  <c r="AR304" i="18" s="1"/>
  <c r="AS304" i="18" s="1"/>
  <c r="AT304" i="18" s="1"/>
  <c r="AU304" i="18" s="1"/>
  <c r="AV304" i="18" s="1"/>
  <c r="AW304" i="18" s="1"/>
  <c r="AX304" i="18" s="1"/>
  <c r="AY304" i="18" s="1"/>
  <c r="AZ304" i="18" s="1"/>
  <c r="BA304" i="18" s="1"/>
  <c r="BB304" i="18" s="1"/>
  <c r="BC304" i="18" s="1"/>
  <c r="BD304" i="18" s="1"/>
  <c r="BE304" i="18" s="1"/>
  <c r="BF304" i="18" s="1"/>
  <c r="BG304" i="18" s="1"/>
  <c r="BH304" i="18" s="1"/>
  <c r="BI304" i="18" s="1"/>
  <c r="U247" i="18"/>
  <c r="V254" i="18"/>
  <c r="W254" i="18" s="1"/>
  <c r="X254" i="18" s="1"/>
  <c r="Y254" i="18" s="1"/>
  <c r="Z254" i="18" s="1"/>
  <c r="AA254" i="18" s="1"/>
  <c r="AB254" i="18" s="1"/>
  <c r="AC254" i="18" s="1"/>
  <c r="AD254" i="18" s="1"/>
  <c r="AE254" i="18" s="1"/>
  <c r="AF254" i="18" s="1"/>
  <c r="AG254" i="18" s="1"/>
  <c r="AH254" i="18" s="1"/>
  <c r="AI254" i="18" s="1"/>
  <c r="AJ254" i="18" s="1"/>
  <c r="AK254" i="18" s="1"/>
  <c r="AL254" i="18" s="1"/>
  <c r="AM254" i="18" s="1"/>
  <c r="AN254" i="18" s="1"/>
  <c r="AO254" i="18" s="1"/>
  <c r="AP254" i="18" s="1"/>
  <c r="AQ254" i="18" s="1"/>
  <c r="AR254" i="18" s="1"/>
  <c r="AS254" i="18" s="1"/>
  <c r="AT254" i="18" s="1"/>
  <c r="AU254" i="18" s="1"/>
  <c r="AV254" i="18" s="1"/>
  <c r="AW254" i="18" s="1"/>
  <c r="AX254" i="18" s="1"/>
  <c r="AY254" i="18" s="1"/>
  <c r="AZ254" i="18" s="1"/>
  <c r="BA254" i="18" s="1"/>
  <c r="BB254" i="18" s="1"/>
  <c r="BC254" i="18" s="1"/>
  <c r="BD254" i="18" s="1"/>
  <c r="BE254" i="18" s="1"/>
  <c r="BF254" i="18" s="1"/>
  <c r="BG254" i="18" s="1"/>
  <c r="BH254" i="18" s="1"/>
  <c r="BI254" i="18" s="1"/>
  <c r="V866" i="18"/>
  <c r="W866" i="18" s="1"/>
  <c r="T295" i="18"/>
  <c r="P41" i="18"/>
  <c r="V279" i="18"/>
  <c r="W279" i="18" s="1"/>
  <c r="X279" i="18" s="1"/>
  <c r="Y279" i="18" s="1"/>
  <c r="Z279" i="18" s="1"/>
  <c r="AA279" i="18" s="1"/>
  <c r="AB279" i="18" s="1"/>
  <c r="AC279" i="18" s="1"/>
  <c r="AD279" i="18" s="1"/>
  <c r="AE279" i="18" s="1"/>
  <c r="AF279" i="18" s="1"/>
  <c r="AG279" i="18" s="1"/>
  <c r="AH279" i="18" s="1"/>
  <c r="AI279" i="18" s="1"/>
  <c r="AJ279" i="18" s="1"/>
  <c r="AK279" i="18" s="1"/>
  <c r="AL279" i="18" s="1"/>
  <c r="AM279" i="18" s="1"/>
  <c r="AN279" i="18" s="1"/>
  <c r="AO279" i="18" s="1"/>
  <c r="AP279" i="18" s="1"/>
  <c r="AQ279" i="18" s="1"/>
  <c r="AR279" i="18" s="1"/>
  <c r="AS279" i="18" s="1"/>
  <c r="AT279" i="18" s="1"/>
  <c r="AU279" i="18" s="1"/>
  <c r="AV279" i="18" s="1"/>
  <c r="AW279" i="18" s="1"/>
  <c r="AX279" i="18" s="1"/>
  <c r="AY279" i="18" s="1"/>
  <c r="AZ279" i="18" s="1"/>
  <c r="BA279" i="18" s="1"/>
  <c r="BB279" i="18" s="1"/>
  <c r="BC279" i="18" s="1"/>
  <c r="BD279" i="18" s="1"/>
  <c r="BE279" i="18" s="1"/>
  <c r="BF279" i="18" s="1"/>
  <c r="BG279" i="18" s="1"/>
  <c r="BH279" i="18" s="1"/>
  <c r="BI279" i="18" s="1"/>
  <c r="U840" i="18"/>
  <c r="V840" i="18" s="1"/>
  <c r="W840" i="18" s="1"/>
  <c r="X840" i="18" s="1"/>
  <c r="Z357" i="18"/>
  <c r="AA357" i="18" s="1"/>
  <c r="AB357" i="18" s="1"/>
  <c r="AC357" i="18" s="1"/>
  <c r="AD357" i="18" s="1"/>
  <c r="AE357" i="18" s="1"/>
  <c r="AF357" i="18" s="1"/>
  <c r="AG357" i="18" s="1"/>
  <c r="AH357" i="18" s="1"/>
  <c r="AI357" i="18" s="1"/>
  <c r="AJ357" i="18" s="1"/>
  <c r="AK357" i="18" s="1"/>
  <c r="AL357" i="18" s="1"/>
  <c r="AM357" i="18" s="1"/>
  <c r="AN357" i="18" s="1"/>
  <c r="AO357" i="18" s="1"/>
  <c r="AP357" i="18" s="1"/>
  <c r="AQ357" i="18" s="1"/>
  <c r="AR357" i="18" s="1"/>
  <c r="AS357" i="18" s="1"/>
  <c r="AT357" i="18" s="1"/>
  <c r="AU357" i="18" s="1"/>
  <c r="AV357" i="18" s="1"/>
  <c r="AW357" i="18" s="1"/>
  <c r="AX357" i="18" s="1"/>
  <c r="AY357" i="18" s="1"/>
  <c r="AZ357" i="18" s="1"/>
  <c r="BA357" i="18" s="1"/>
  <c r="BB357" i="18" s="1"/>
  <c r="BC357" i="18" s="1"/>
  <c r="BD357" i="18" s="1"/>
  <c r="BE357" i="18" s="1"/>
  <c r="BF357" i="18" s="1"/>
  <c r="BG357" i="18" s="1"/>
  <c r="BH357" i="18" s="1"/>
  <c r="BI357" i="18" s="1"/>
  <c r="S426" i="18"/>
  <c r="Q531" i="18"/>
  <c r="R580" i="18"/>
  <c r="T334" i="18"/>
  <c r="Y252" i="18"/>
  <c r="Z252" i="18" s="1"/>
  <c r="V364" i="18"/>
  <c r="AW104" i="18"/>
  <c r="U568" i="18"/>
  <c r="S581" i="18"/>
  <c r="V241" i="18"/>
  <c r="W241" i="18" s="1"/>
  <c r="X241" i="18" s="1"/>
  <c r="Y241" i="18" s="1"/>
  <c r="Z241" i="18" s="1"/>
  <c r="AA241" i="18" s="1"/>
  <c r="AB241" i="18" s="1"/>
  <c r="AC241" i="18" s="1"/>
  <c r="AD241" i="18" s="1"/>
  <c r="AE241" i="18" s="1"/>
  <c r="AF241" i="18" s="1"/>
  <c r="AG241" i="18" s="1"/>
  <c r="AH241" i="18" s="1"/>
  <c r="AI241" i="18" s="1"/>
  <c r="AJ241" i="18" s="1"/>
  <c r="AK241" i="18" s="1"/>
  <c r="AL241" i="18" s="1"/>
  <c r="AM241" i="18" s="1"/>
  <c r="AN241" i="18" s="1"/>
  <c r="AO241" i="18" s="1"/>
  <c r="AP241" i="18" s="1"/>
  <c r="AQ241" i="18" s="1"/>
  <c r="AR241" i="18" s="1"/>
  <c r="AS241" i="18" s="1"/>
  <c r="AT241" i="18" s="1"/>
  <c r="AU241" i="18" s="1"/>
  <c r="AV241" i="18" s="1"/>
  <c r="AW241" i="18" s="1"/>
  <c r="AX241" i="18" s="1"/>
  <c r="AY241" i="18" s="1"/>
  <c r="AZ241" i="18" s="1"/>
  <c r="BA241" i="18" s="1"/>
  <c r="BB241" i="18" s="1"/>
  <c r="BC241" i="18" s="1"/>
  <c r="BD241" i="18" s="1"/>
  <c r="BE241" i="18" s="1"/>
  <c r="BF241" i="18" s="1"/>
  <c r="BG241" i="18" s="1"/>
  <c r="BH241" i="18" s="1"/>
  <c r="BI241" i="18" s="1"/>
  <c r="T774" i="18"/>
  <c r="U774" i="18" s="1"/>
  <c r="V774" i="18" s="1"/>
  <c r="W345" i="18"/>
  <c r="X345" i="18" s="1"/>
  <c r="Y345" i="18" s="1"/>
  <c r="Z345" i="18" s="1"/>
  <c r="S816" i="18"/>
  <c r="S817" i="18" s="1"/>
  <c r="Q557" i="18"/>
  <c r="S491" i="18"/>
  <c r="T848" i="18"/>
  <c r="U542" i="18"/>
  <c r="V542" i="18" s="1"/>
  <c r="AF516" i="18"/>
  <c r="U126" i="18"/>
  <c r="V126" i="18" s="1"/>
  <c r="Q687" i="18"/>
  <c r="S191" i="18"/>
  <c r="AF215" i="18" l="1"/>
  <c r="AG215" i="18" s="1"/>
  <c r="AH215" i="18" s="1"/>
  <c r="AI215" i="18" s="1"/>
  <c r="AJ215" i="18" s="1"/>
  <c r="AK215" i="18" s="1"/>
  <c r="AL215" i="18" s="1"/>
  <c r="AM215" i="18" s="1"/>
  <c r="AN215" i="18" s="1"/>
  <c r="AO215" i="18" s="1"/>
  <c r="AP215" i="18" s="1"/>
  <c r="AQ215" i="18" s="1"/>
  <c r="AR215" i="18" s="1"/>
  <c r="AS215" i="18" s="1"/>
  <c r="AT215" i="18" s="1"/>
  <c r="AU215" i="18" s="1"/>
  <c r="AV215" i="18" s="1"/>
  <c r="AW215" i="18" s="1"/>
  <c r="AX215" i="18" s="1"/>
  <c r="AY215" i="18" s="1"/>
  <c r="AZ215" i="18" s="1"/>
  <c r="BA215" i="18" s="1"/>
  <c r="BB215" i="18" s="1"/>
  <c r="BC215" i="18" s="1"/>
  <c r="BD215" i="18" s="1"/>
  <c r="BE215" i="18" s="1"/>
  <c r="BF215" i="18" s="1"/>
  <c r="BG215" i="18" s="1"/>
  <c r="BH215" i="18" s="1"/>
  <c r="BI215" i="18" s="1"/>
  <c r="R687" i="18"/>
  <c r="Z421" i="18"/>
  <c r="AA421" i="18" s="1"/>
  <c r="AB421" i="18" s="1"/>
  <c r="AC421" i="18" s="1"/>
  <c r="AD421" i="18" s="1"/>
  <c r="AE421" i="18" s="1"/>
  <c r="AF421" i="18" s="1"/>
  <c r="AG421" i="18" s="1"/>
  <c r="AH421" i="18" s="1"/>
  <c r="AI421" i="18" s="1"/>
  <c r="AJ421" i="18" s="1"/>
  <c r="AK421" i="18" s="1"/>
  <c r="AL421" i="18" s="1"/>
  <c r="AM421" i="18" s="1"/>
  <c r="AN421" i="18" s="1"/>
  <c r="AO421" i="18" s="1"/>
  <c r="AP421" i="18" s="1"/>
  <c r="AQ421" i="18" s="1"/>
  <c r="AR421" i="18" s="1"/>
  <c r="AS421" i="18" s="1"/>
  <c r="AT421" i="18" s="1"/>
  <c r="AU421" i="18" s="1"/>
  <c r="AV421" i="18" s="1"/>
  <c r="AW421" i="18" s="1"/>
  <c r="AX421" i="18" s="1"/>
  <c r="AY421" i="18" s="1"/>
  <c r="AZ421" i="18" s="1"/>
  <c r="BA421" i="18" s="1"/>
  <c r="BB421" i="18" s="1"/>
  <c r="BC421" i="18" s="1"/>
  <c r="BD421" i="18" s="1"/>
  <c r="BE421" i="18" s="1"/>
  <c r="BF421" i="18" s="1"/>
  <c r="BG421" i="18" s="1"/>
  <c r="BH421" i="18" s="1"/>
  <c r="BI421" i="18" s="1"/>
  <c r="Y786" i="18"/>
  <c r="Z786" i="18" s="1"/>
  <c r="AA786" i="18" s="1"/>
  <c r="AB786" i="18" s="1"/>
  <c r="AC786" i="18" s="1"/>
  <c r="AD786" i="18" s="1"/>
  <c r="AE786" i="18" s="1"/>
  <c r="AF786" i="18" s="1"/>
  <c r="AG786" i="18" s="1"/>
  <c r="AH786" i="18" s="1"/>
  <c r="AI786" i="18" s="1"/>
  <c r="AJ786" i="18" s="1"/>
  <c r="AK786" i="18" s="1"/>
  <c r="AL786" i="18" s="1"/>
  <c r="AM786" i="18" s="1"/>
  <c r="AN786" i="18" s="1"/>
  <c r="AO786" i="18" s="1"/>
  <c r="AP786" i="18" s="1"/>
  <c r="AQ786" i="18" s="1"/>
  <c r="AR786" i="18" s="1"/>
  <c r="AS786" i="18" s="1"/>
  <c r="AT786" i="18" s="1"/>
  <c r="AU786" i="18" s="1"/>
  <c r="AV786" i="18" s="1"/>
  <c r="AW786" i="18" s="1"/>
  <c r="AX786" i="18" s="1"/>
  <c r="AY786" i="18" s="1"/>
  <c r="AZ786" i="18" s="1"/>
  <c r="BA786" i="18" s="1"/>
  <c r="BB786" i="18" s="1"/>
  <c r="BC786" i="18" s="1"/>
  <c r="BD786" i="18" s="1"/>
  <c r="BE786" i="18" s="1"/>
  <c r="BF786" i="18" s="1"/>
  <c r="BG786" i="18" s="1"/>
  <c r="BH786" i="18" s="1"/>
  <c r="BI786" i="18" s="1"/>
  <c r="T400" i="18"/>
  <c r="N92" i="7946"/>
  <c r="O92" i="7946" s="1"/>
  <c r="T426" i="18"/>
  <c r="V176" i="18"/>
  <c r="W176" i="18" s="1"/>
  <c r="P40" i="7946"/>
  <c r="Q40" i="7946" s="1"/>
  <c r="S830" i="18"/>
  <c r="R622" i="18"/>
  <c r="T699" i="18"/>
  <c r="T700" i="18" s="1"/>
  <c r="AA238" i="18"/>
  <c r="AB238" i="18" s="1"/>
  <c r="AC238" i="18" s="1"/>
  <c r="AD238" i="18" s="1"/>
  <c r="AE238" i="18" s="1"/>
  <c r="AF238" i="18" s="1"/>
  <c r="AG238" i="18" s="1"/>
  <c r="AH238" i="18" s="1"/>
  <c r="AI238" i="18" s="1"/>
  <c r="AJ238" i="18" s="1"/>
  <c r="AK238" i="18" s="1"/>
  <c r="AL238" i="18" s="1"/>
  <c r="AM238" i="18" s="1"/>
  <c r="AN238" i="18" s="1"/>
  <c r="AO238" i="18" s="1"/>
  <c r="AP238" i="18" s="1"/>
  <c r="AQ238" i="18" s="1"/>
  <c r="AR238" i="18" s="1"/>
  <c r="AS238" i="18" s="1"/>
  <c r="AT238" i="18" s="1"/>
  <c r="AU238" i="18" s="1"/>
  <c r="AV238" i="18" s="1"/>
  <c r="AW238" i="18" s="1"/>
  <c r="AX238" i="18" s="1"/>
  <c r="AY238" i="18" s="1"/>
  <c r="AZ238" i="18" s="1"/>
  <c r="BA238" i="18" s="1"/>
  <c r="BB238" i="18" s="1"/>
  <c r="BC238" i="18" s="1"/>
  <c r="BD238" i="18" s="1"/>
  <c r="BE238" i="18" s="1"/>
  <c r="BF238" i="18" s="1"/>
  <c r="BG238" i="18" s="1"/>
  <c r="BH238" i="18" s="1"/>
  <c r="BI238" i="18" s="1"/>
  <c r="Y553" i="18"/>
  <c r="Z553" i="18" s="1"/>
  <c r="AA553" i="18" s="1"/>
  <c r="AB553" i="18" s="1"/>
  <c r="AC553" i="18" s="1"/>
  <c r="AD553" i="18" s="1"/>
  <c r="AE553" i="18" s="1"/>
  <c r="AF553" i="18" s="1"/>
  <c r="AG553" i="18" s="1"/>
  <c r="W800" i="18"/>
  <c r="X800" i="18" s="1"/>
  <c r="Y800" i="18" s="1"/>
  <c r="V130" i="18"/>
  <c r="W130" i="18" s="1"/>
  <c r="X130" i="18" s="1"/>
  <c r="Y130" i="18" s="1"/>
  <c r="T140" i="18"/>
  <c r="S700" i="18"/>
  <c r="U751" i="18"/>
  <c r="V751" i="18" s="1"/>
  <c r="W751" i="18" s="1"/>
  <c r="R455" i="18"/>
  <c r="V813" i="18"/>
  <c r="AZ82" i="18"/>
  <c r="BA82" i="18" s="1"/>
  <c r="BB82" i="18" s="1"/>
  <c r="BC82" i="18" s="1"/>
  <c r="BD82" i="18" s="1"/>
  <c r="BE82" i="18" s="1"/>
  <c r="BF82" i="18" s="1"/>
  <c r="BG82" i="18" s="1"/>
  <c r="BH82" i="18" s="1"/>
  <c r="BI82" i="18" s="1"/>
  <c r="R44" i="7943"/>
  <c r="P56" i="7946"/>
  <c r="P81" i="7946" s="1"/>
  <c r="S17" i="7946"/>
  <c r="X860" i="18"/>
  <c r="Y860" i="18" s="1"/>
  <c r="AD695" i="18"/>
  <c r="AE695" i="18" s="1"/>
  <c r="AF695" i="18" s="1"/>
  <c r="AG695" i="18" s="1"/>
  <c r="AH695" i="18" s="1"/>
  <c r="V255" i="18"/>
  <c r="W255" i="18" s="1"/>
  <c r="U854" i="18"/>
  <c r="V854" i="18" s="1"/>
  <c r="U398" i="18"/>
  <c r="V398" i="18" s="1"/>
  <c r="AY112" i="18"/>
  <c r="AZ112" i="18" s="1"/>
  <c r="BA112" i="18" s="1"/>
  <c r="BB112" i="18" s="1"/>
  <c r="BC112" i="18" s="1"/>
  <c r="BD112" i="18" s="1"/>
  <c r="BE112" i="18" s="1"/>
  <c r="BF112" i="18" s="1"/>
  <c r="BG112" i="18" s="1"/>
  <c r="BH112" i="18" s="1"/>
  <c r="BI112" i="18" s="1"/>
  <c r="W552" i="18"/>
  <c r="X552" i="18" s="1"/>
  <c r="Y552" i="18" s="1"/>
  <c r="Z552" i="18" s="1"/>
  <c r="AA552" i="18" s="1"/>
  <c r="AB552" i="18" s="1"/>
  <c r="AC552" i="18" s="1"/>
  <c r="AD552" i="18" s="1"/>
  <c r="AE552" i="18" s="1"/>
  <c r="AF552" i="18" s="1"/>
  <c r="AG552" i="18" s="1"/>
  <c r="X486" i="18"/>
  <c r="Y486" i="18" s="1"/>
  <c r="Z486" i="18" s="1"/>
  <c r="AA486" i="18" s="1"/>
  <c r="AB486" i="18" s="1"/>
  <c r="AC486" i="18" s="1"/>
  <c r="AD486" i="18" s="1"/>
  <c r="AE486" i="18" s="1"/>
  <c r="AF486" i="18" s="1"/>
  <c r="AG486" i="18" s="1"/>
  <c r="AH486" i="18" s="1"/>
  <c r="AI486" i="18" s="1"/>
  <c r="AJ486" i="18" s="1"/>
  <c r="AK486" i="18" s="1"/>
  <c r="AL486" i="18" s="1"/>
  <c r="AM486" i="18" s="1"/>
  <c r="AN486" i="18" s="1"/>
  <c r="AO486" i="18" s="1"/>
  <c r="AP486" i="18" s="1"/>
  <c r="AQ486" i="18" s="1"/>
  <c r="AR486" i="18" s="1"/>
  <c r="AS486" i="18" s="1"/>
  <c r="AT486" i="18" s="1"/>
  <c r="AU486" i="18" s="1"/>
  <c r="AV486" i="18" s="1"/>
  <c r="AW486" i="18" s="1"/>
  <c r="AX486" i="18" s="1"/>
  <c r="AY486" i="18" s="1"/>
  <c r="AZ486" i="18" s="1"/>
  <c r="BA486" i="18" s="1"/>
  <c r="BB486" i="18" s="1"/>
  <c r="BC486" i="18" s="1"/>
  <c r="BD486" i="18" s="1"/>
  <c r="BE486" i="18" s="1"/>
  <c r="BF486" i="18" s="1"/>
  <c r="BG486" i="18" s="1"/>
  <c r="BH486" i="18" s="1"/>
  <c r="BI486" i="18" s="1"/>
  <c r="S739" i="18"/>
  <c r="X330" i="18"/>
  <c r="Y330" i="18" s="1"/>
  <c r="Z330" i="18" s="1"/>
  <c r="AA330" i="18" s="1"/>
  <c r="AB330" i="18" s="1"/>
  <c r="AC330" i="18" s="1"/>
  <c r="AA658" i="18"/>
  <c r="AB658" i="18" s="1"/>
  <c r="AA164" i="18"/>
  <c r="AB164" i="18" s="1"/>
  <c r="AC164" i="18" s="1"/>
  <c r="AD164" i="18" s="1"/>
  <c r="AE164" i="18" s="1"/>
  <c r="AF164" i="18" s="1"/>
  <c r="AG164" i="18" s="1"/>
  <c r="AH164" i="18" s="1"/>
  <c r="AI164" i="18" s="1"/>
  <c r="AJ164" i="18" s="1"/>
  <c r="AK164" i="18" s="1"/>
  <c r="AL164" i="18" s="1"/>
  <c r="AM164" i="18" s="1"/>
  <c r="AN164" i="18" s="1"/>
  <c r="AO164" i="18" s="1"/>
  <c r="AP164" i="18" s="1"/>
  <c r="AQ164" i="18" s="1"/>
  <c r="AR164" i="18" s="1"/>
  <c r="AS164" i="18" s="1"/>
  <c r="AT164" i="18" s="1"/>
  <c r="AU164" i="18" s="1"/>
  <c r="AV164" i="18" s="1"/>
  <c r="AW164" i="18" s="1"/>
  <c r="AX164" i="18" s="1"/>
  <c r="AY164" i="18" s="1"/>
  <c r="AZ164" i="18" s="1"/>
  <c r="BA164" i="18" s="1"/>
  <c r="BB164" i="18" s="1"/>
  <c r="BC164" i="18" s="1"/>
  <c r="BD164" i="18" s="1"/>
  <c r="BE164" i="18" s="1"/>
  <c r="BF164" i="18" s="1"/>
  <c r="BG164" i="18" s="1"/>
  <c r="BH164" i="18" s="1"/>
  <c r="BI164" i="18" s="1"/>
  <c r="U737" i="18"/>
  <c r="Y291" i="18"/>
  <c r="Z291" i="18" s="1"/>
  <c r="AA291" i="18" s="1"/>
  <c r="AB291" i="18" s="1"/>
  <c r="AC291" i="18" s="1"/>
  <c r="AD291" i="18" s="1"/>
  <c r="AE291" i="18" s="1"/>
  <c r="AF291" i="18" s="1"/>
  <c r="AG291" i="18" s="1"/>
  <c r="AH291" i="18" s="1"/>
  <c r="AI291" i="18" s="1"/>
  <c r="AJ291" i="18" s="1"/>
  <c r="AK291" i="18" s="1"/>
  <c r="AL291" i="18" s="1"/>
  <c r="AM291" i="18" s="1"/>
  <c r="AN291" i="18" s="1"/>
  <c r="AO291" i="18" s="1"/>
  <c r="AP291" i="18" s="1"/>
  <c r="AQ291" i="18" s="1"/>
  <c r="AR291" i="18" s="1"/>
  <c r="AS291" i="18" s="1"/>
  <c r="AT291" i="18" s="1"/>
  <c r="AU291" i="18" s="1"/>
  <c r="AV291" i="18" s="1"/>
  <c r="AW291" i="18" s="1"/>
  <c r="AX291" i="18" s="1"/>
  <c r="AY291" i="18" s="1"/>
  <c r="AZ291" i="18" s="1"/>
  <c r="BA291" i="18" s="1"/>
  <c r="BB291" i="18" s="1"/>
  <c r="BC291" i="18" s="1"/>
  <c r="BD291" i="18" s="1"/>
  <c r="BE291" i="18" s="1"/>
  <c r="BF291" i="18" s="1"/>
  <c r="BG291" i="18" s="1"/>
  <c r="BH291" i="18" s="1"/>
  <c r="BI291" i="18" s="1"/>
  <c r="AC579" i="18"/>
  <c r="Z800" i="18"/>
  <c r="AA800" i="18" s="1"/>
  <c r="AB800" i="18" s="1"/>
  <c r="AC800" i="18" s="1"/>
  <c r="V399" i="18"/>
  <c r="W399" i="18" s="1"/>
  <c r="S765" i="18"/>
  <c r="AD814" i="18"/>
  <c r="AE814" i="18" s="1"/>
  <c r="S801" i="18"/>
  <c r="T243" i="18"/>
  <c r="AH161" i="18"/>
  <c r="AI161" i="18" s="1"/>
  <c r="AJ161" i="18" s="1"/>
  <c r="AK161" i="18" s="1"/>
  <c r="AL161" i="18" s="1"/>
  <c r="AM161" i="18" s="1"/>
  <c r="AN161" i="18" s="1"/>
  <c r="AO161" i="18" s="1"/>
  <c r="AP161" i="18" s="1"/>
  <c r="AQ161" i="18" s="1"/>
  <c r="AR161" i="18" s="1"/>
  <c r="AS161" i="18" s="1"/>
  <c r="AT161" i="18" s="1"/>
  <c r="AU161" i="18" s="1"/>
  <c r="AV161" i="18" s="1"/>
  <c r="AW161" i="18" s="1"/>
  <c r="AX161" i="18" s="1"/>
  <c r="AY161" i="18" s="1"/>
  <c r="AZ161" i="18" s="1"/>
  <c r="BA161" i="18" s="1"/>
  <c r="BB161" i="18" s="1"/>
  <c r="BC161" i="18" s="1"/>
  <c r="BD161" i="18" s="1"/>
  <c r="BE161" i="18" s="1"/>
  <c r="BF161" i="18" s="1"/>
  <c r="BG161" i="18" s="1"/>
  <c r="BH161" i="18" s="1"/>
  <c r="BI161" i="18" s="1"/>
  <c r="X228" i="18"/>
  <c r="Y228" i="18" s="1"/>
  <c r="AU743" i="18"/>
  <c r="AV743" i="18" s="1"/>
  <c r="AW743" i="18" s="1"/>
  <c r="AX743" i="18" s="1"/>
  <c r="AY743" i="18" s="1"/>
  <c r="AZ743" i="18" s="1"/>
  <c r="BA743" i="18" s="1"/>
  <c r="BB743" i="18" s="1"/>
  <c r="BC743" i="18" s="1"/>
  <c r="BD743" i="18" s="1"/>
  <c r="BE743" i="18" s="1"/>
  <c r="BF743" i="18" s="1"/>
  <c r="BG743" i="18" s="1"/>
  <c r="BH743" i="18" s="1"/>
  <c r="BI743" i="18" s="1"/>
  <c r="W763" i="18"/>
  <c r="X763" i="18" s="1"/>
  <c r="X824" i="18"/>
  <c r="Y824" i="18" s="1"/>
  <c r="Z824" i="18" s="1"/>
  <c r="AA824" i="18" s="1"/>
  <c r="AB824" i="18" s="1"/>
  <c r="AC824" i="18" s="1"/>
  <c r="AD824" i="18" s="1"/>
  <c r="AE824" i="18" s="1"/>
  <c r="AF824" i="18" s="1"/>
  <c r="AG824" i="18" s="1"/>
  <c r="AH824" i="18" s="1"/>
  <c r="AI824" i="18" s="1"/>
  <c r="AJ824" i="18" s="1"/>
  <c r="AK824" i="18" s="1"/>
  <c r="AL824" i="18" s="1"/>
  <c r="AM824" i="18" s="1"/>
  <c r="AN824" i="18" s="1"/>
  <c r="AO824" i="18" s="1"/>
  <c r="AP824" i="18" s="1"/>
  <c r="AQ824" i="18" s="1"/>
  <c r="AR824" i="18" s="1"/>
  <c r="AS824" i="18" s="1"/>
  <c r="AT824" i="18" s="1"/>
  <c r="AU824" i="18" s="1"/>
  <c r="AV824" i="18" s="1"/>
  <c r="AW824" i="18" s="1"/>
  <c r="AX824" i="18" s="1"/>
  <c r="AY824" i="18" s="1"/>
  <c r="AZ824" i="18" s="1"/>
  <c r="BA824" i="18" s="1"/>
  <c r="BB824" i="18" s="1"/>
  <c r="BC824" i="18" s="1"/>
  <c r="BD824" i="18" s="1"/>
  <c r="BE824" i="18" s="1"/>
  <c r="BF824" i="18" s="1"/>
  <c r="BG824" i="18" s="1"/>
  <c r="BH824" i="18" s="1"/>
  <c r="BI824" i="18" s="1"/>
  <c r="Z720" i="18"/>
  <c r="AA720" i="18" s="1"/>
  <c r="AB720" i="18" s="1"/>
  <c r="AC720" i="18" s="1"/>
  <c r="AD720" i="18" s="1"/>
  <c r="AE720" i="18" s="1"/>
  <c r="AF720" i="18" s="1"/>
  <c r="AG720" i="18" s="1"/>
  <c r="AH720" i="18" s="1"/>
  <c r="AI720" i="18" s="1"/>
  <c r="AJ720" i="18" s="1"/>
  <c r="AK720" i="18" s="1"/>
  <c r="AL720" i="18" s="1"/>
  <c r="AM720" i="18" s="1"/>
  <c r="AN720" i="18" s="1"/>
  <c r="AO720" i="18" s="1"/>
  <c r="AP720" i="18" s="1"/>
  <c r="AQ720" i="18" s="1"/>
  <c r="AR720" i="18" s="1"/>
  <c r="AS720" i="18" s="1"/>
  <c r="AT720" i="18" s="1"/>
  <c r="AU720" i="18" s="1"/>
  <c r="AV720" i="18" s="1"/>
  <c r="AW720" i="18" s="1"/>
  <c r="AX720" i="18" s="1"/>
  <c r="AY720" i="18" s="1"/>
  <c r="AZ720" i="18" s="1"/>
  <c r="BA720" i="18" s="1"/>
  <c r="BB720" i="18" s="1"/>
  <c r="BC720" i="18" s="1"/>
  <c r="BD720" i="18" s="1"/>
  <c r="BE720" i="18" s="1"/>
  <c r="BF720" i="18" s="1"/>
  <c r="BG720" i="18" s="1"/>
  <c r="BH720" i="18" s="1"/>
  <c r="BI720" i="18" s="1"/>
  <c r="AH553" i="18"/>
  <c r="AI553" i="18" s="1"/>
  <c r="AJ553" i="18" s="1"/>
  <c r="AK553" i="18" s="1"/>
  <c r="AL553" i="18" s="1"/>
  <c r="AM553" i="18" s="1"/>
  <c r="AN553" i="18" s="1"/>
  <c r="AO553" i="18" s="1"/>
  <c r="AP553" i="18" s="1"/>
  <c r="AQ553" i="18" s="1"/>
  <c r="AR553" i="18" s="1"/>
  <c r="AS553" i="18" s="1"/>
  <c r="AT553" i="18" s="1"/>
  <c r="AU553" i="18" s="1"/>
  <c r="AV553" i="18" s="1"/>
  <c r="AW553" i="18" s="1"/>
  <c r="AX553" i="18" s="1"/>
  <c r="AY553" i="18" s="1"/>
  <c r="AZ553" i="18" s="1"/>
  <c r="BA553" i="18" s="1"/>
  <c r="BB553" i="18" s="1"/>
  <c r="BC553" i="18" s="1"/>
  <c r="BD553" i="18" s="1"/>
  <c r="BE553" i="18" s="1"/>
  <c r="BF553" i="18" s="1"/>
  <c r="BG553" i="18" s="1"/>
  <c r="BH553" i="18" s="1"/>
  <c r="BI553" i="18" s="1"/>
  <c r="BF85" i="18"/>
  <c r="BG85" i="18" s="1"/>
  <c r="BH85" i="18" s="1"/>
  <c r="BI85" i="18" s="1"/>
  <c r="BD513" i="18"/>
  <c r="BE513" i="18" s="1"/>
  <c r="BF513" i="18" s="1"/>
  <c r="BG513" i="18" s="1"/>
  <c r="BH513" i="18" s="1"/>
  <c r="BI513" i="18" s="1"/>
  <c r="AA722" i="18"/>
  <c r="BA100" i="18"/>
  <c r="BB100" i="18" s="1"/>
  <c r="BC100" i="18" s="1"/>
  <c r="BD100" i="18" s="1"/>
  <c r="BE100" i="18" s="1"/>
  <c r="BF100" i="18" s="1"/>
  <c r="BG100" i="18" s="1"/>
  <c r="BH100" i="18" s="1"/>
  <c r="BI100" i="18" s="1"/>
  <c r="BB99" i="18"/>
  <c r="BC99" i="18" s="1"/>
  <c r="BD99" i="18" s="1"/>
  <c r="BE99" i="18" s="1"/>
  <c r="BF99" i="18" s="1"/>
  <c r="BG99" i="18" s="1"/>
  <c r="BH99" i="18" s="1"/>
  <c r="BI99" i="18" s="1"/>
  <c r="S856" i="18"/>
  <c r="U461" i="18"/>
  <c r="V461" i="18" s="1"/>
  <c r="W461" i="18" s="1"/>
  <c r="X461" i="18" s="1"/>
  <c r="Y461" i="18" s="1"/>
  <c r="Z461" i="18" s="1"/>
  <c r="AA461" i="18" s="1"/>
  <c r="AB461" i="18" s="1"/>
  <c r="AC461" i="18" s="1"/>
  <c r="AD461" i="18" s="1"/>
  <c r="AE461" i="18" s="1"/>
  <c r="AF461" i="18" s="1"/>
  <c r="AG461" i="18" s="1"/>
  <c r="AH461" i="18" s="1"/>
  <c r="AI461" i="18" s="1"/>
  <c r="AJ461" i="18" s="1"/>
  <c r="AK461" i="18" s="1"/>
  <c r="AL461" i="18" s="1"/>
  <c r="AM461" i="18" s="1"/>
  <c r="AN461" i="18" s="1"/>
  <c r="AO461" i="18" s="1"/>
  <c r="AP461" i="18" s="1"/>
  <c r="AQ461" i="18" s="1"/>
  <c r="AR461" i="18" s="1"/>
  <c r="AS461" i="18" s="1"/>
  <c r="AT461" i="18" s="1"/>
  <c r="AU461" i="18" s="1"/>
  <c r="AV461" i="18" s="1"/>
  <c r="AW461" i="18" s="1"/>
  <c r="AX461" i="18" s="1"/>
  <c r="AY461" i="18" s="1"/>
  <c r="AZ461" i="18" s="1"/>
  <c r="BA461" i="18" s="1"/>
  <c r="BB461" i="18" s="1"/>
  <c r="BC461" i="18" s="1"/>
  <c r="BD461" i="18" s="1"/>
  <c r="BE461" i="18" s="1"/>
  <c r="BF461" i="18" s="1"/>
  <c r="BG461" i="18" s="1"/>
  <c r="BH461" i="18" s="1"/>
  <c r="BI461" i="18" s="1"/>
  <c r="V308" i="18"/>
  <c r="W308" i="18" s="1"/>
  <c r="U386" i="18"/>
  <c r="R179" i="18"/>
  <c r="W138" i="18"/>
  <c r="AE797" i="18"/>
  <c r="AF797" i="18" s="1"/>
  <c r="AG797" i="18" s="1"/>
  <c r="AH797" i="18" s="1"/>
  <c r="V839" i="18"/>
  <c r="W839" i="18" s="1"/>
  <c r="T335" i="18"/>
  <c r="V412" i="18"/>
  <c r="W412" i="18" s="1"/>
  <c r="X412" i="18" s="1"/>
  <c r="Y412" i="18" s="1"/>
  <c r="Z412" i="18" s="1"/>
  <c r="AA412" i="18" s="1"/>
  <c r="AB412" i="18" s="1"/>
  <c r="AC412" i="18" s="1"/>
  <c r="AD412" i="18" s="1"/>
  <c r="AE412" i="18" s="1"/>
  <c r="AF412" i="18" s="1"/>
  <c r="AG412" i="18" s="1"/>
  <c r="AH412" i="18" s="1"/>
  <c r="AI412" i="18" s="1"/>
  <c r="AJ412" i="18" s="1"/>
  <c r="AK412" i="18" s="1"/>
  <c r="AL412" i="18" s="1"/>
  <c r="AM412" i="18" s="1"/>
  <c r="AN412" i="18" s="1"/>
  <c r="AO412" i="18" s="1"/>
  <c r="AP412" i="18" s="1"/>
  <c r="AQ412" i="18" s="1"/>
  <c r="AR412" i="18" s="1"/>
  <c r="AS412" i="18" s="1"/>
  <c r="AT412" i="18" s="1"/>
  <c r="AU412" i="18" s="1"/>
  <c r="AV412" i="18" s="1"/>
  <c r="AW412" i="18" s="1"/>
  <c r="AX412" i="18" s="1"/>
  <c r="AY412" i="18" s="1"/>
  <c r="AZ412" i="18" s="1"/>
  <c r="BA412" i="18" s="1"/>
  <c r="BB412" i="18" s="1"/>
  <c r="BC412" i="18" s="1"/>
  <c r="BD412" i="18" s="1"/>
  <c r="BE412" i="18" s="1"/>
  <c r="BF412" i="18" s="1"/>
  <c r="BG412" i="18" s="1"/>
  <c r="BH412" i="18" s="1"/>
  <c r="BI412" i="18" s="1"/>
  <c r="U686" i="18"/>
  <c r="V686" i="18" s="1"/>
  <c r="U152" i="18"/>
  <c r="V152" i="18" s="1"/>
  <c r="S646" i="18"/>
  <c r="T646" i="18" s="1"/>
  <c r="AJ150" i="18"/>
  <c r="Z602" i="18"/>
  <c r="AA602" i="18" s="1"/>
  <c r="V837" i="18"/>
  <c r="T269" i="18"/>
  <c r="U269" i="18" s="1"/>
  <c r="U270" i="18" s="1"/>
  <c r="S270" i="18"/>
  <c r="X268" i="18"/>
  <c r="Y268" i="18" s="1"/>
  <c r="Z268" i="18" s="1"/>
  <c r="AA268" i="18" s="1"/>
  <c r="AB268" i="18" s="1"/>
  <c r="V436" i="18"/>
  <c r="S606" i="18"/>
  <c r="T606" i="18" s="1"/>
  <c r="BH705" i="18"/>
  <c r="BI705" i="18" s="1"/>
  <c r="U733" i="18"/>
  <c r="V733" i="18" s="1"/>
  <c r="W733" i="18" s="1"/>
  <c r="Y539" i="18"/>
  <c r="U230" i="18"/>
  <c r="V230" i="18" s="1"/>
  <c r="Z437" i="18"/>
  <c r="U738" i="18"/>
  <c r="W175" i="18"/>
  <c r="X175" i="18" s="1"/>
  <c r="Y175" i="18" s="1"/>
  <c r="Z175" i="18" s="1"/>
  <c r="AA175" i="18" s="1"/>
  <c r="AB175" i="18" s="1"/>
  <c r="AC175" i="18" s="1"/>
  <c r="AD175" i="18" s="1"/>
  <c r="AE175" i="18" s="1"/>
  <c r="AF175" i="18" s="1"/>
  <c r="AG175" i="18" s="1"/>
  <c r="AH175" i="18" s="1"/>
  <c r="AI175" i="18" s="1"/>
  <c r="AJ175" i="18" s="1"/>
  <c r="AK175" i="18" s="1"/>
  <c r="AL175" i="18" s="1"/>
  <c r="AM175" i="18" s="1"/>
  <c r="AN175" i="18" s="1"/>
  <c r="AO175" i="18" s="1"/>
  <c r="AP175" i="18" s="1"/>
  <c r="AQ175" i="18" s="1"/>
  <c r="AR175" i="18" s="1"/>
  <c r="AS175" i="18" s="1"/>
  <c r="AT175" i="18" s="1"/>
  <c r="AU175" i="18" s="1"/>
  <c r="AV175" i="18" s="1"/>
  <c r="AW175" i="18" s="1"/>
  <c r="AX175" i="18" s="1"/>
  <c r="AY175" i="18" s="1"/>
  <c r="AZ175" i="18" s="1"/>
  <c r="BA175" i="18" s="1"/>
  <c r="BB175" i="18" s="1"/>
  <c r="BC175" i="18" s="1"/>
  <c r="BD175" i="18" s="1"/>
  <c r="BE175" i="18" s="1"/>
  <c r="BF175" i="18" s="1"/>
  <c r="BG175" i="18" s="1"/>
  <c r="BH175" i="18" s="1"/>
  <c r="BI175" i="18" s="1"/>
  <c r="V593" i="18"/>
  <c r="W593" i="18" s="1"/>
  <c r="X593" i="18" s="1"/>
  <c r="X529" i="18"/>
  <c r="Y529" i="18" s="1"/>
  <c r="Z529" i="18" s="1"/>
  <c r="AA529" i="18" s="1"/>
  <c r="AB529" i="18" s="1"/>
  <c r="Z359" i="18"/>
  <c r="S726" i="18"/>
  <c r="Y137" i="18"/>
  <c r="Z137" i="18" s="1"/>
  <c r="AA137" i="18" s="1"/>
  <c r="AB137" i="18" s="1"/>
  <c r="AC137" i="18" s="1"/>
  <c r="AD137" i="18" s="1"/>
  <c r="AE137" i="18" s="1"/>
  <c r="AF137" i="18" s="1"/>
  <c r="AG137" i="18" s="1"/>
  <c r="AH137" i="18" s="1"/>
  <c r="AI137" i="18" s="1"/>
  <c r="AJ137" i="18" s="1"/>
  <c r="AK137" i="18" s="1"/>
  <c r="AL137" i="18" s="1"/>
  <c r="AM137" i="18" s="1"/>
  <c r="AN137" i="18" s="1"/>
  <c r="AO137" i="18" s="1"/>
  <c r="AP137" i="18" s="1"/>
  <c r="AQ137" i="18" s="1"/>
  <c r="AR137" i="18" s="1"/>
  <c r="AS137" i="18" s="1"/>
  <c r="AT137" i="18" s="1"/>
  <c r="AU137" i="18" s="1"/>
  <c r="AV137" i="18" s="1"/>
  <c r="AW137" i="18" s="1"/>
  <c r="AX137" i="18" s="1"/>
  <c r="AY137" i="18" s="1"/>
  <c r="AZ137" i="18" s="1"/>
  <c r="BA137" i="18" s="1"/>
  <c r="BB137" i="18" s="1"/>
  <c r="BC137" i="18" s="1"/>
  <c r="BD137" i="18" s="1"/>
  <c r="BE137" i="18" s="1"/>
  <c r="BF137" i="18" s="1"/>
  <c r="BG137" i="18" s="1"/>
  <c r="BH137" i="18" s="1"/>
  <c r="BI137" i="18" s="1"/>
  <c r="T485" i="18"/>
  <c r="U485" i="18" s="1"/>
  <c r="V485" i="18" s="1"/>
  <c r="Y696" i="18"/>
  <c r="Z696" i="18" s="1"/>
  <c r="AA696" i="18" s="1"/>
  <c r="AB696" i="18" s="1"/>
  <c r="AC696" i="18" s="1"/>
  <c r="AD696" i="18" s="1"/>
  <c r="AE696" i="18" s="1"/>
  <c r="AF696" i="18" s="1"/>
  <c r="AG696" i="18" s="1"/>
  <c r="AH696" i="18" s="1"/>
  <c r="AI696" i="18" s="1"/>
  <c r="AJ696" i="18" s="1"/>
  <c r="AK696" i="18" s="1"/>
  <c r="AL696" i="18" s="1"/>
  <c r="AM696" i="18" s="1"/>
  <c r="AN696" i="18" s="1"/>
  <c r="AO696" i="18" s="1"/>
  <c r="AP696" i="18" s="1"/>
  <c r="AQ696" i="18" s="1"/>
  <c r="AR696" i="18" s="1"/>
  <c r="AS696" i="18" s="1"/>
  <c r="AT696" i="18" s="1"/>
  <c r="AU696" i="18" s="1"/>
  <c r="AV696" i="18" s="1"/>
  <c r="AW696" i="18" s="1"/>
  <c r="AX696" i="18" s="1"/>
  <c r="AY696" i="18" s="1"/>
  <c r="AZ696" i="18" s="1"/>
  <c r="BA696" i="18" s="1"/>
  <c r="BB696" i="18" s="1"/>
  <c r="BC696" i="18" s="1"/>
  <c r="BD696" i="18" s="1"/>
  <c r="BE696" i="18" s="1"/>
  <c r="BF696" i="18" s="1"/>
  <c r="BG696" i="18" s="1"/>
  <c r="BH696" i="18" s="1"/>
  <c r="BI696" i="18" s="1"/>
  <c r="AH502" i="18"/>
  <c r="U608" i="18"/>
  <c r="U450" i="18"/>
  <c r="W398" i="18"/>
  <c r="X398" i="18" s="1"/>
  <c r="Y398" i="18" s="1"/>
  <c r="Z398" i="18" s="1"/>
  <c r="AA398" i="18" s="1"/>
  <c r="AB398" i="18" s="1"/>
  <c r="AC398" i="18" s="1"/>
  <c r="AD398" i="18" s="1"/>
  <c r="AE398" i="18" s="1"/>
  <c r="AF398" i="18" s="1"/>
  <c r="AG398" i="18" s="1"/>
  <c r="AH398" i="18" s="1"/>
  <c r="AI398" i="18" s="1"/>
  <c r="AJ398" i="18" s="1"/>
  <c r="AK398" i="18" s="1"/>
  <c r="AL398" i="18" s="1"/>
  <c r="AM398" i="18" s="1"/>
  <c r="AN398" i="18" s="1"/>
  <c r="AO398" i="18" s="1"/>
  <c r="AP398" i="18" s="1"/>
  <c r="AQ398" i="18" s="1"/>
  <c r="AR398" i="18" s="1"/>
  <c r="AS398" i="18" s="1"/>
  <c r="AT398" i="18" s="1"/>
  <c r="AU398" i="18" s="1"/>
  <c r="AV398" i="18" s="1"/>
  <c r="AW398" i="18" s="1"/>
  <c r="AX398" i="18" s="1"/>
  <c r="AY398" i="18" s="1"/>
  <c r="AZ398" i="18" s="1"/>
  <c r="BA398" i="18" s="1"/>
  <c r="BB398" i="18" s="1"/>
  <c r="BC398" i="18" s="1"/>
  <c r="BD398" i="18" s="1"/>
  <c r="BE398" i="18" s="1"/>
  <c r="BF398" i="18" s="1"/>
  <c r="BG398" i="18" s="1"/>
  <c r="BH398" i="18" s="1"/>
  <c r="BI398" i="18" s="1"/>
  <c r="Y464" i="18"/>
  <c r="Z464" i="18" s="1"/>
  <c r="AA464" i="18" s="1"/>
  <c r="AB464" i="18" s="1"/>
  <c r="AC464" i="18" s="1"/>
  <c r="AD464" i="18" s="1"/>
  <c r="AE464" i="18" s="1"/>
  <c r="AF464" i="18" s="1"/>
  <c r="AG464" i="18" s="1"/>
  <c r="AH464" i="18" s="1"/>
  <c r="AI464" i="18" s="1"/>
  <c r="AJ464" i="18" s="1"/>
  <c r="AK464" i="18" s="1"/>
  <c r="AL464" i="18" s="1"/>
  <c r="AM464" i="18" s="1"/>
  <c r="AN464" i="18" s="1"/>
  <c r="AO464" i="18" s="1"/>
  <c r="AP464" i="18" s="1"/>
  <c r="AQ464" i="18" s="1"/>
  <c r="AR464" i="18" s="1"/>
  <c r="AS464" i="18" s="1"/>
  <c r="AT464" i="18" s="1"/>
  <c r="AU464" i="18" s="1"/>
  <c r="AV464" i="18" s="1"/>
  <c r="AW464" i="18" s="1"/>
  <c r="AX464" i="18" s="1"/>
  <c r="AY464" i="18" s="1"/>
  <c r="AZ464" i="18" s="1"/>
  <c r="BA464" i="18" s="1"/>
  <c r="BB464" i="18" s="1"/>
  <c r="BC464" i="18" s="1"/>
  <c r="BD464" i="18" s="1"/>
  <c r="BE464" i="18" s="1"/>
  <c r="BF464" i="18" s="1"/>
  <c r="BG464" i="18" s="1"/>
  <c r="BH464" i="18" s="1"/>
  <c r="BI464" i="18" s="1"/>
  <c r="R544" i="18"/>
  <c r="V203" i="18"/>
  <c r="W564" i="18"/>
  <c r="X564" i="18" s="1"/>
  <c r="Y564" i="18" s="1"/>
  <c r="Z564" i="18" s="1"/>
  <c r="AA564" i="18" s="1"/>
  <c r="AB564" i="18" s="1"/>
  <c r="AC564" i="18" s="1"/>
  <c r="AD564" i="18" s="1"/>
  <c r="AE564" i="18" s="1"/>
  <c r="AF564" i="18" s="1"/>
  <c r="AG564" i="18" s="1"/>
  <c r="AH564" i="18" s="1"/>
  <c r="AI564" i="18" s="1"/>
  <c r="AJ564" i="18" s="1"/>
  <c r="AK564" i="18" s="1"/>
  <c r="AL564" i="18" s="1"/>
  <c r="AM564" i="18" s="1"/>
  <c r="AN564" i="18" s="1"/>
  <c r="AO564" i="18" s="1"/>
  <c r="AP564" i="18" s="1"/>
  <c r="AQ564" i="18" s="1"/>
  <c r="AR564" i="18" s="1"/>
  <c r="AS564" i="18" s="1"/>
  <c r="AT564" i="18" s="1"/>
  <c r="AU564" i="18" s="1"/>
  <c r="AV564" i="18" s="1"/>
  <c r="AW564" i="18" s="1"/>
  <c r="AX564" i="18" s="1"/>
  <c r="AY564" i="18" s="1"/>
  <c r="AZ564" i="18" s="1"/>
  <c r="BA564" i="18" s="1"/>
  <c r="BB564" i="18" s="1"/>
  <c r="BC564" i="18" s="1"/>
  <c r="BD564" i="18" s="1"/>
  <c r="BE564" i="18" s="1"/>
  <c r="BF564" i="18" s="1"/>
  <c r="BG564" i="18" s="1"/>
  <c r="BH564" i="18" s="1"/>
  <c r="BI564" i="18" s="1"/>
  <c r="W425" i="18"/>
  <c r="X425" i="18" s="1"/>
  <c r="Y425" i="18" s="1"/>
  <c r="Z425" i="18" s="1"/>
  <c r="AA425" i="18" s="1"/>
  <c r="V293" i="18"/>
  <c r="W293" i="18" s="1"/>
  <c r="X293" i="18" s="1"/>
  <c r="AH202" i="18"/>
  <c r="AI202" i="18" s="1"/>
  <c r="AJ202" i="18" s="1"/>
  <c r="AK202" i="18" s="1"/>
  <c r="AL202" i="18" s="1"/>
  <c r="AM202" i="18" s="1"/>
  <c r="AN202" i="18" s="1"/>
  <c r="AB578" i="18"/>
  <c r="AC578" i="18" s="1"/>
  <c r="AD578" i="18" s="1"/>
  <c r="AE578" i="18" s="1"/>
  <c r="AF578" i="18" s="1"/>
  <c r="AG578" i="18" s="1"/>
  <c r="AH578" i="18" s="1"/>
  <c r="AI578" i="18" s="1"/>
  <c r="AJ578" i="18" s="1"/>
  <c r="AK578" i="18" s="1"/>
  <c r="AL578" i="18" s="1"/>
  <c r="AM578" i="18" s="1"/>
  <c r="AN578" i="18" s="1"/>
  <c r="AO578" i="18" s="1"/>
  <c r="AP578" i="18" s="1"/>
  <c r="AQ578" i="18" s="1"/>
  <c r="AR578" i="18" s="1"/>
  <c r="AS578" i="18" s="1"/>
  <c r="AT578" i="18" s="1"/>
  <c r="AU578" i="18" s="1"/>
  <c r="AV578" i="18" s="1"/>
  <c r="AW578" i="18" s="1"/>
  <c r="AX578" i="18" s="1"/>
  <c r="AY578" i="18" s="1"/>
  <c r="AZ578" i="18" s="1"/>
  <c r="BA578" i="18" s="1"/>
  <c r="BB578" i="18" s="1"/>
  <c r="BC578" i="18" s="1"/>
  <c r="BD578" i="18" s="1"/>
  <c r="BE578" i="18" s="1"/>
  <c r="BF578" i="18" s="1"/>
  <c r="BG578" i="18" s="1"/>
  <c r="BH578" i="18" s="1"/>
  <c r="BI578" i="18" s="1"/>
  <c r="AD579" i="18"/>
  <c r="AE579" i="18" s="1"/>
  <c r="AF579" i="18" s="1"/>
  <c r="S169" i="18"/>
  <c r="T169" i="18" s="1"/>
  <c r="Q179" i="18"/>
  <c r="W784" i="18"/>
  <c r="AS808" i="18"/>
  <c r="AT808" i="18" s="1"/>
  <c r="AU808" i="18" s="1"/>
  <c r="AV808" i="18" s="1"/>
  <c r="AW808" i="18" s="1"/>
  <c r="AX808" i="18" s="1"/>
  <c r="AY808" i="18" s="1"/>
  <c r="AZ808" i="18" s="1"/>
  <c r="BA808" i="18" s="1"/>
  <c r="BB808" i="18" s="1"/>
  <c r="BC808" i="18" s="1"/>
  <c r="BD808" i="18" s="1"/>
  <c r="BE808" i="18" s="1"/>
  <c r="BF808" i="18" s="1"/>
  <c r="BG808" i="18" s="1"/>
  <c r="BH808" i="18" s="1"/>
  <c r="BI808" i="18" s="1"/>
  <c r="X139" i="18"/>
  <c r="V711" i="18"/>
  <c r="W711" i="18" s="1"/>
  <c r="X711" i="18" s="1"/>
  <c r="U673" i="18"/>
  <c r="V673" i="18" s="1"/>
  <c r="Z628" i="18"/>
  <c r="AA628" i="18" s="1"/>
  <c r="AB628" i="18" s="1"/>
  <c r="AC628" i="18" s="1"/>
  <c r="AD628" i="18" s="1"/>
  <c r="AE628" i="18" s="1"/>
  <c r="AF628" i="18" s="1"/>
  <c r="AG628" i="18" s="1"/>
  <c r="Y162" i="18"/>
  <c r="Z162" i="18" s="1"/>
  <c r="AA162" i="18" s="1"/>
  <c r="Y438" i="18"/>
  <c r="Z438" i="18" s="1"/>
  <c r="W709" i="18"/>
  <c r="X709" i="18" s="1"/>
  <c r="Y709" i="18" s="1"/>
  <c r="Z709" i="18" s="1"/>
  <c r="AA709" i="18" s="1"/>
  <c r="V656" i="18"/>
  <c r="W656" i="18" s="1"/>
  <c r="X656" i="18" s="1"/>
  <c r="Y656" i="18" s="1"/>
  <c r="Z656" i="18" s="1"/>
  <c r="AA656" i="18" s="1"/>
  <c r="AB656" i="18" s="1"/>
  <c r="AC656" i="18" s="1"/>
  <c r="AD656" i="18" s="1"/>
  <c r="AE656" i="18" s="1"/>
  <c r="AF656" i="18" s="1"/>
  <c r="AG656" i="18" s="1"/>
  <c r="AH656" i="18" s="1"/>
  <c r="AI656" i="18" s="1"/>
  <c r="AJ656" i="18" s="1"/>
  <c r="AK656" i="18" s="1"/>
  <c r="AL656" i="18" s="1"/>
  <c r="AM656" i="18" s="1"/>
  <c r="AN656" i="18" s="1"/>
  <c r="AO656" i="18" s="1"/>
  <c r="AP656" i="18" s="1"/>
  <c r="AQ656" i="18" s="1"/>
  <c r="AR656" i="18" s="1"/>
  <c r="AS656" i="18" s="1"/>
  <c r="AT656" i="18" s="1"/>
  <c r="AU656" i="18" s="1"/>
  <c r="AV656" i="18" s="1"/>
  <c r="AW656" i="18" s="1"/>
  <c r="AX656" i="18" s="1"/>
  <c r="AY656" i="18" s="1"/>
  <c r="AZ656" i="18" s="1"/>
  <c r="BA656" i="18" s="1"/>
  <c r="BB656" i="18" s="1"/>
  <c r="BC656" i="18" s="1"/>
  <c r="BD656" i="18" s="1"/>
  <c r="BE656" i="18" s="1"/>
  <c r="BF656" i="18" s="1"/>
  <c r="BG656" i="18" s="1"/>
  <c r="BH656" i="18" s="1"/>
  <c r="BI656" i="18" s="1"/>
  <c r="W787" i="18"/>
  <c r="X787" i="18" s="1"/>
  <c r="Y787" i="18" s="1"/>
  <c r="Z787" i="18" s="1"/>
  <c r="AA787" i="18" s="1"/>
  <c r="AB787" i="18" s="1"/>
  <c r="AC787" i="18" s="1"/>
  <c r="AD787" i="18" s="1"/>
  <c r="AE787" i="18" s="1"/>
  <c r="AF787" i="18" s="1"/>
  <c r="AG787" i="18" s="1"/>
  <c r="AH787" i="18" s="1"/>
  <c r="AI787" i="18" s="1"/>
  <c r="AJ787" i="18" s="1"/>
  <c r="AK787" i="18" s="1"/>
  <c r="W423" i="18"/>
  <c r="X463" i="18"/>
  <c r="Y463" i="18" s="1"/>
  <c r="Z463" i="18" s="1"/>
  <c r="AA463" i="18" s="1"/>
  <c r="AB463" i="18" s="1"/>
  <c r="AC463" i="18" s="1"/>
  <c r="AD463" i="18" s="1"/>
  <c r="AE463" i="18" s="1"/>
  <c r="AF463" i="18" s="1"/>
  <c r="AG463" i="18" s="1"/>
  <c r="AH463" i="18" s="1"/>
  <c r="AI463" i="18" s="1"/>
  <c r="AJ463" i="18" s="1"/>
  <c r="AK463" i="18" s="1"/>
  <c r="AL463" i="18" s="1"/>
  <c r="AM463" i="18" s="1"/>
  <c r="AN463" i="18" s="1"/>
  <c r="AO463" i="18" s="1"/>
  <c r="AP463" i="18" s="1"/>
  <c r="AQ463" i="18" s="1"/>
  <c r="AR463" i="18" s="1"/>
  <c r="W543" i="18"/>
  <c r="X543" i="18" s="1"/>
  <c r="Y543" i="18" s="1"/>
  <c r="Z543" i="18" s="1"/>
  <c r="U321" i="18"/>
  <c r="V321" i="18" s="1"/>
  <c r="W321" i="18" s="1"/>
  <c r="X321" i="18" s="1"/>
  <c r="U631" i="18"/>
  <c r="Y698" i="18"/>
  <c r="Z698" i="18" s="1"/>
  <c r="AA698" i="18" s="1"/>
  <c r="V592" i="18"/>
  <c r="W592" i="18" s="1"/>
  <c r="X347" i="18"/>
  <c r="Y347" i="18" s="1"/>
  <c r="T859" i="18"/>
  <c r="V607" i="18"/>
  <c r="W607" i="18" s="1"/>
  <c r="T581" i="18"/>
  <c r="U581" i="18" s="1"/>
  <c r="AX104" i="18"/>
  <c r="P66" i="24"/>
  <c r="P70" i="24"/>
  <c r="P133" i="24" s="1"/>
  <c r="V664" i="18"/>
  <c r="S309" i="18"/>
  <c r="T299" i="18"/>
  <c r="V550" i="18"/>
  <c r="W550" i="18" s="1"/>
  <c r="X550" i="18" s="1"/>
  <c r="Y550" i="18" s="1"/>
  <c r="Z550" i="18" s="1"/>
  <c r="AA550" i="18" s="1"/>
  <c r="AB550" i="18" s="1"/>
  <c r="AC550" i="18" s="1"/>
  <c r="AD550" i="18" s="1"/>
  <c r="AE550" i="18" s="1"/>
  <c r="AF550" i="18" s="1"/>
  <c r="AG550" i="18" s="1"/>
  <c r="AH550" i="18" s="1"/>
  <c r="AI550" i="18" s="1"/>
  <c r="AJ550" i="18" s="1"/>
  <c r="AK550" i="18" s="1"/>
  <c r="AL550" i="18" s="1"/>
  <c r="AM550" i="18" s="1"/>
  <c r="AN550" i="18" s="1"/>
  <c r="AO550" i="18" s="1"/>
  <c r="AP550" i="18" s="1"/>
  <c r="AQ550" i="18" s="1"/>
  <c r="AR550" i="18" s="1"/>
  <c r="AS550" i="18" s="1"/>
  <c r="AT550" i="18" s="1"/>
  <c r="AU550" i="18" s="1"/>
  <c r="AV550" i="18" s="1"/>
  <c r="AW550" i="18" s="1"/>
  <c r="AX550" i="18" s="1"/>
  <c r="AY550" i="18" s="1"/>
  <c r="AZ550" i="18" s="1"/>
  <c r="BA550" i="18" s="1"/>
  <c r="BB550" i="18" s="1"/>
  <c r="BC550" i="18" s="1"/>
  <c r="BD550" i="18" s="1"/>
  <c r="BE550" i="18" s="1"/>
  <c r="BF550" i="18" s="1"/>
  <c r="BG550" i="18" s="1"/>
  <c r="BH550" i="18" s="1"/>
  <c r="BI550" i="18" s="1"/>
  <c r="T723" i="18"/>
  <c r="S596" i="18"/>
  <c r="AA638" i="18"/>
  <c r="S541" i="18"/>
  <c r="T541" i="18" s="1"/>
  <c r="U541" i="18" s="1"/>
  <c r="H4" i="7945"/>
  <c r="H4" i="24"/>
  <c r="U400" i="18"/>
  <c r="R557" i="18"/>
  <c r="U657" i="18"/>
  <c r="Y677" i="18"/>
  <c r="W619" i="18"/>
  <c r="X619" i="18" s="1"/>
  <c r="Y619" i="18" s="1"/>
  <c r="Z619" i="18" s="1"/>
  <c r="AA619" i="18" s="1"/>
  <c r="AB619" i="18" s="1"/>
  <c r="AC619" i="18" s="1"/>
  <c r="AD619" i="18" s="1"/>
  <c r="AE619" i="18" s="1"/>
  <c r="AF619" i="18" s="1"/>
  <c r="AG619" i="18" s="1"/>
  <c r="AH619" i="18" s="1"/>
  <c r="AI619" i="18" s="1"/>
  <c r="AJ619" i="18" s="1"/>
  <c r="AK619" i="18" s="1"/>
  <c r="AL619" i="18" s="1"/>
  <c r="AM619" i="18" s="1"/>
  <c r="AN619" i="18" s="1"/>
  <c r="AO619" i="18" s="1"/>
  <c r="AP619" i="18" s="1"/>
  <c r="AQ619" i="18" s="1"/>
  <c r="AR619" i="18" s="1"/>
  <c r="AS619" i="18" s="1"/>
  <c r="AT619" i="18" s="1"/>
  <c r="AU619" i="18" s="1"/>
  <c r="AV619" i="18" s="1"/>
  <c r="AW619" i="18" s="1"/>
  <c r="AX619" i="18" s="1"/>
  <c r="AY619" i="18" s="1"/>
  <c r="AZ619" i="18" s="1"/>
  <c r="BA619" i="18" s="1"/>
  <c r="BB619" i="18" s="1"/>
  <c r="BC619" i="18" s="1"/>
  <c r="BD619" i="18" s="1"/>
  <c r="BE619" i="18" s="1"/>
  <c r="BF619" i="18" s="1"/>
  <c r="BG619" i="18" s="1"/>
  <c r="BH619" i="18" s="1"/>
  <c r="BI619" i="18" s="1"/>
  <c r="U333" i="18"/>
  <c r="X761" i="18"/>
  <c r="Y761" i="18" s="1"/>
  <c r="T229" i="18"/>
  <c r="U229" i="18" s="1"/>
  <c r="W385" i="18"/>
  <c r="X385" i="18" s="1"/>
  <c r="Y385" i="18" s="1"/>
  <c r="Z385" i="18" s="1"/>
  <c r="AA385" i="18" s="1"/>
  <c r="AB385" i="18" s="1"/>
  <c r="AC385" i="18" s="1"/>
  <c r="AD385" i="18" s="1"/>
  <c r="AE385" i="18" s="1"/>
  <c r="AF385" i="18" s="1"/>
  <c r="AG385" i="18" s="1"/>
  <c r="AH385" i="18" s="1"/>
  <c r="AI385" i="18" s="1"/>
  <c r="AJ385" i="18" s="1"/>
  <c r="AK385" i="18" s="1"/>
  <c r="AL385" i="18" s="1"/>
  <c r="AM385" i="18" s="1"/>
  <c r="AN385" i="18" s="1"/>
  <c r="AO385" i="18" s="1"/>
  <c r="AP385" i="18" s="1"/>
  <c r="AQ385" i="18" s="1"/>
  <c r="AR385" i="18" s="1"/>
  <c r="AS385" i="18" s="1"/>
  <c r="AT385" i="18" s="1"/>
  <c r="AU385" i="18" s="1"/>
  <c r="AV385" i="18" s="1"/>
  <c r="AW385" i="18" s="1"/>
  <c r="AX385" i="18" s="1"/>
  <c r="AY385" i="18" s="1"/>
  <c r="AZ385" i="18" s="1"/>
  <c r="BA385" i="18" s="1"/>
  <c r="BB385" i="18" s="1"/>
  <c r="BC385" i="18" s="1"/>
  <c r="BD385" i="18" s="1"/>
  <c r="BE385" i="18" s="1"/>
  <c r="BF385" i="18" s="1"/>
  <c r="BG385" i="18" s="1"/>
  <c r="BH385" i="18" s="1"/>
  <c r="BI385" i="18" s="1"/>
  <c r="U642" i="18"/>
  <c r="V642" i="18" s="1"/>
  <c r="W642" i="18" s="1"/>
  <c r="X642" i="18" s="1"/>
  <c r="Y642" i="18" s="1"/>
  <c r="Z642" i="18" s="1"/>
  <c r="AA642" i="18" s="1"/>
  <c r="AB642" i="18" s="1"/>
  <c r="AC642" i="18" s="1"/>
  <c r="AD642" i="18" s="1"/>
  <c r="AE642" i="18" s="1"/>
  <c r="AF642" i="18" s="1"/>
  <c r="AG642" i="18" s="1"/>
  <c r="AH642" i="18" s="1"/>
  <c r="AI642" i="18" s="1"/>
  <c r="AJ642" i="18" s="1"/>
  <c r="AK642" i="18" s="1"/>
  <c r="AL642" i="18" s="1"/>
  <c r="AM642" i="18" s="1"/>
  <c r="AN642" i="18" s="1"/>
  <c r="AO642" i="18" s="1"/>
  <c r="AP642" i="18" s="1"/>
  <c r="AQ642" i="18" s="1"/>
  <c r="AR642" i="18" s="1"/>
  <c r="AS642" i="18" s="1"/>
  <c r="AT642" i="18" s="1"/>
  <c r="AU642" i="18" s="1"/>
  <c r="AV642" i="18" s="1"/>
  <c r="AW642" i="18" s="1"/>
  <c r="AX642" i="18" s="1"/>
  <c r="AY642" i="18" s="1"/>
  <c r="AZ642" i="18" s="1"/>
  <c r="BA642" i="18" s="1"/>
  <c r="BB642" i="18" s="1"/>
  <c r="BC642" i="18" s="1"/>
  <c r="BD642" i="18" s="1"/>
  <c r="BE642" i="18" s="1"/>
  <c r="BF642" i="18" s="1"/>
  <c r="BG642" i="18" s="1"/>
  <c r="BH642" i="18" s="1"/>
  <c r="BI642" i="18" s="1"/>
  <c r="W811" i="18"/>
  <c r="T526" i="18"/>
  <c r="U526" i="18" s="1"/>
  <c r="V526" i="18" s="1"/>
  <c r="W526" i="18" s="1"/>
  <c r="X526" i="18" s="1"/>
  <c r="Y526" i="18" s="1"/>
  <c r="Z526" i="18" s="1"/>
  <c r="AA526" i="18" s="1"/>
  <c r="AB526" i="18" s="1"/>
  <c r="AC526" i="18" s="1"/>
  <c r="AD526" i="18" s="1"/>
  <c r="AE526" i="18" s="1"/>
  <c r="AF526" i="18" s="1"/>
  <c r="AG526" i="18" s="1"/>
  <c r="AH526" i="18" s="1"/>
  <c r="AI526" i="18" s="1"/>
  <c r="AJ526" i="18" s="1"/>
  <c r="AK526" i="18" s="1"/>
  <c r="AL526" i="18" s="1"/>
  <c r="AM526" i="18" s="1"/>
  <c r="AN526" i="18" s="1"/>
  <c r="AO526" i="18" s="1"/>
  <c r="AP526" i="18" s="1"/>
  <c r="AQ526" i="18" s="1"/>
  <c r="AR526" i="18" s="1"/>
  <c r="AS526" i="18" s="1"/>
  <c r="AT526" i="18" s="1"/>
  <c r="AU526" i="18" s="1"/>
  <c r="AV526" i="18" s="1"/>
  <c r="AW526" i="18" s="1"/>
  <c r="AX526" i="18" s="1"/>
  <c r="AY526" i="18" s="1"/>
  <c r="AZ526" i="18" s="1"/>
  <c r="BA526" i="18" s="1"/>
  <c r="BB526" i="18" s="1"/>
  <c r="BC526" i="18" s="1"/>
  <c r="BD526" i="18" s="1"/>
  <c r="BE526" i="18" s="1"/>
  <c r="BF526" i="18" s="1"/>
  <c r="BG526" i="18" s="1"/>
  <c r="BH526" i="18" s="1"/>
  <c r="BI526" i="18" s="1"/>
  <c r="V631" i="18"/>
  <c r="T841" i="18"/>
  <c r="E107" i="1"/>
  <c r="E141" i="1"/>
  <c r="E189" i="1"/>
  <c r="F4" i="7942"/>
  <c r="C76" i="7946"/>
  <c r="C28" i="7946"/>
  <c r="F211" i="1"/>
  <c r="E39" i="1"/>
  <c r="F4" i="7946"/>
  <c r="C37" i="7946"/>
  <c r="F4" i="7943"/>
  <c r="E175" i="1"/>
  <c r="E235" i="1"/>
  <c r="F4" i="18"/>
  <c r="E73" i="1"/>
  <c r="E244" i="1"/>
  <c r="X372" i="18"/>
  <c r="V556" i="18"/>
  <c r="S540" i="18"/>
  <c r="T659" i="18"/>
  <c r="U659" i="18" s="1"/>
  <c r="V659" i="18" s="1"/>
  <c r="W659" i="18" s="1"/>
  <c r="X659" i="18" s="1"/>
  <c r="Y659" i="18" s="1"/>
  <c r="V855" i="18"/>
  <c r="AA710" i="18"/>
  <c r="AB710" i="18" s="1"/>
  <c r="V735" i="18"/>
  <c r="W735" i="18" s="1"/>
  <c r="AX86" i="18"/>
  <c r="AY86" i="18" s="1"/>
  <c r="AZ86" i="18" s="1"/>
  <c r="BA86" i="18" s="1"/>
  <c r="BB86" i="18" s="1"/>
  <c r="BC86" i="18" s="1"/>
  <c r="T789" i="18"/>
  <c r="U764" i="18"/>
  <c r="V764" i="18" s="1"/>
  <c r="AE411" i="18"/>
  <c r="AF411" i="18" s="1"/>
  <c r="AG411" i="18" s="1"/>
  <c r="AH411" i="18" s="1"/>
  <c r="AI411" i="18" s="1"/>
  <c r="AJ411" i="18" s="1"/>
  <c r="AK411" i="18" s="1"/>
  <c r="AL411" i="18" s="1"/>
  <c r="AM411" i="18" s="1"/>
  <c r="AN411" i="18" s="1"/>
  <c r="AO411" i="18" s="1"/>
  <c r="AP411" i="18" s="1"/>
  <c r="AQ411" i="18" s="1"/>
  <c r="AR411" i="18" s="1"/>
  <c r="AS411" i="18" s="1"/>
  <c r="AT411" i="18" s="1"/>
  <c r="AU411" i="18" s="1"/>
  <c r="AV411" i="18" s="1"/>
  <c r="AW411" i="18" s="1"/>
  <c r="AX411" i="18" s="1"/>
  <c r="AY411" i="18" s="1"/>
  <c r="AZ411" i="18" s="1"/>
  <c r="BA411" i="18" s="1"/>
  <c r="BB411" i="18" s="1"/>
  <c r="BC411" i="18" s="1"/>
  <c r="BD411" i="18" s="1"/>
  <c r="BE411" i="18" s="1"/>
  <c r="BF411" i="18" s="1"/>
  <c r="BG411" i="18" s="1"/>
  <c r="BH411" i="18" s="1"/>
  <c r="BI411" i="18" s="1"/>
  <c r="AG503" i="18"/>
  <c r="AH503" i="18" s="1"/>
  <c r="P48" i="7946"/>
  <c r="Q48" i="7946" s="1"/>
  <c r="S25" i="7946"/>
  <c r="Q25" i="7946"/>
  <c r="T595" i="18"/>
  <c r="T596" i="18" s="1"/>
  <c r="T567" i="18"/>
  <c r="U567" i="18" s="1"/>
  <c r="V803" i="18"/>
  <c r="W803" i="18" s="1"/>
  <c r="W815" i="18"/>
  <c r="X815" i="18" s="1"/>
  <c r="V260" i="18"/>
  <c r="S627" i="18"/>
  <c r="R635" i="18"/>
  <c r="T621" i="18"/>
  <c r="U621" i="18" s="1"/>
  <c r="R713" i="18"/>
  <c r="S706" i="18"/>
  <c r="U750" i="18"/>
  <c r="U684" i="18"/>
  <c r="V684" i="18" s="1"/>
  <c r="W684" i="18" s="1"/>
  <c r="X684" i="18" s="1"/>
  <c r="Y684" i="18" s="1"/>
  <c r="Z684" i="18" s="1"/>
  <c r="AA684" i="18" s="1"/>
  <c r="AB684" i="18" s="1"/>
  <c r="AC684" i="18" s="1"/>
  <c r="AD684" i="18" s="1"/>
  <c r="AE684" i="18" s="1"/>
  <c r="AF684" i="18" s="1"/>
  <c r="AG684" i="18" s="1"/>
  <c r="AH684" i="18" s="1"/>
  <c r="AI684" i="18" s="1"/>
  <c r="AJ684" i="18" s="1"/>
  <c r="AK684" i="18" s="1"/>
  <c r="AL684" i="18" s="1"/>
  <c r="AM684" i="18" s="1"/>
  <c r="AN684" i="18" s="1"/>
  <c r="AO684" i="18" s="1"/>
  <c r="AP684" i="18" s="1"/>
  <c r="AQ684" i="18" s="1"/>
  <c r="AR684" i="18" s="1"/>
  <c r="AS684" i="18" s="1"/>
  <c r="AT684" i="18" s="1"/>
  <c r="AU684" i="18" s="1"/>
  <c r="AV684" i="18" s="1"/>
  <c r="AW684" i="18" s="1"/>
  <c r="AX684" i="18" s="1"/>
  <c r="AY684" i="18" s="1"/>
  <c r="AZ684" i="18" s="1"/>
  <c r="BA684" i="18" s="1"/>
  <c r="BB684" i="18" s="1"/>
  <c r="BC684" i="18" s="1"/>
  <c r="BD684" i="18" s="1"/>
  <c r="BE684" i="18" s="1"/>
  <c r="BF684" i="18" s="1"/>
  <c r="BG684" i="18" s="1"/>
  <c r="BH684" i="18" s="1"/>
  <c r="BI684" i="18" s="1"/>
  <c r="P13" i="24"/>
  <c r="Q12" i="24"/>
  <c r="W775" i="18"/>
  <c r="X775" i="18" s="1"/>
  <c r="Y775" i="18" s="1"/>
  <c r="AA612" i="18"/>
  <c r="AB612" i="18" s="1"/>
  <c r="U852" i="18"/>
  <c r="V852" i="18" s="1"/>
  <c r="U660" i="18"/>
  <c r="V660" i="18" s="1"/>
  <c r="T178" i="18"/>
  <c r="T307" i="18"/>
  <c r="S785" i="18"/>
  <c r="T785" i="18" s="1"/>
  <c r="AB760" i="18"/>
  <c r="AC760" i="18" s="1"/>
  <c r="AD760" i="18" s="1"/>
  <c r="AE760" i="18" s="1"/>
  <c r="AF760" i="18" s="1"/>
  <c r="AG760" i="18" s="1"/>
  <c r="AH760" i="18" s="1"/>
  <c r="AI760" i="18" s="1"/>
  <c r="AJ760" i="18" s="1"/>
  <c r="AK760" i="18" s="1"/>
  <c r="AL760" i="18" s="1"/>
  <c r="AM760" i="18" s="1"/>
  <c r="AN760" i="18" s="1"/>
  <c r="AO760" i="18" s="1"/>
  <c r="AP760" i="18" s="1"/>
  <c r="AQ760" i="18" s="1"/>
  <c r="AR760" i="18" s="1"/>
  <c r="AS760" i="18" s="1"/>
  <c r="AT760" i="18" s="1"/>
  <c r="AU760" i="18" s="1"/>
  <c r="AV760" i="18" s="1"/>
  <c r="AW760" i="18" s="1"/>
  <c r="AX760" i="18" s="1"/>
  <c r="AY760" i="18" s="1"/>
  <c r="AZ760" i="18" s="1"/>
  <c r="BA760" i="18" s="1"/>
  <c r="BB760" i="18" s="1"/>
  <c r="BC760" i="18" s="1"/>
  <c r="BD760" i="18" s="1"/>
  <c r="BE760" i="18" s="1"/>
  <c r="BF760" i="18" s="1"/>
  <c r="BG760" i="18" s="1"/>
  <c r="BH760" i="18" s="1"/>
  <c r="BI760" i="18" s="1"/>
  <c r="T371" i="18"/>
  <c r="U371" i="18" s="1"/>
  <c r="V371" i="18" s="1"/>
  <c r="V865" i="18"/>
  <c r="W865" i="18" s="1"/>
  <c r="X865" i="18" s="1"/>
  <c r="Y865" i="18" s="1"/>
  <c r="T191" i="18"/>
  <c r="T491" i="18"/>
  <c r="U491" i="18" s="1"/>
  <c r="V491" i="18" s="1"/>
  <c r="S528" i="18"/>
  <c r="S531" i="18" s="1"/>
  <c r="R531" i="18"/>
  <c r="Q231" i="18"/>
  <c r="R221" i="18"/>
  <c r="T282" i="18"/>
  <c r="U282" i="18" s="1"/>
  <c r="V282" i="18" s="1"/>
  <c r="T127" i="18"/>
  <c r="U117" i="18"/>
  <c r="T555" i="18"/>
  <c r="S288" i="18"/>
  <c r="R296" i="18"/>
  <c r="S687" i="18"/>
  <c r="T683" i="18"/>
  <c r="U683" i="18" s="1"/>
  <c r="Z547" i="18"/>
  <c r="Y204" i="18"/>
  <c r="Z204" i="18" s="1"/>
  <c r="AA204" i="18" s="1"/>
  <c r="AB204" i="18" s="1"/>
  <c r="AC204" i="18" s="1"/>
  <c r="AD204" i="18" s="1"/>
  <c r="AE204" i="18" s="1"/>
  <c r="AF204" i="18" s="1"/>
  <c r="AG204" i="18" s="1"/>
  <c r="AH204" i="18" s="1"/>
  <c r="AI204" i="18" s="1"/>
  <c r="AJ204" i="18" s="1"/>
  <c r="AK204" i="18" s="1"/>
  <c r="AL204" i="18" s="1"/>
  <c r="AM204" i="18" s="1"/>
  <c r="AN204" i="18" s="1"/>
  <c r="AO204" i="18" s="1"/>
  <c r="AP204" i="18" s="1"/>
  <c r="AQ204" i="18" s="1"/>
  <c r="AR204" i="18" s="1"/>
  <c r="AS204" i="18" s="1"/>
  <c r="AT204" i="18" s="1"/>
  <c r="AU204" i="18" s="1"/>
  <c r="AV204" i="18" s="1"/>
  <c r="AW204" i="18" s="1"/>
  <c r="AX204" i="18" s="1"/>
  <c r="AY204" i="18" s="1"/>
  <c r="AZ204" i="18" s="1"/>
  <c r="BA204" i="18" s="1"/>
  <c r="BB204" i="18" s="1"/>
  <c r="BC204" i="18" s="1"/>
  <c r="BD204" i="18" s="1"/>
  <c r="BE204" i="18" s="1"/>
  <c r="BF204" i="18" s="1"/>
  <c r="BG204" i="18" s="1"/>
  <c r="BH204" i="18" s="1"/>
  <c r="BI204" i="18" s="1"/>
  <c r="AJ511" i="18"/>
  <c r="T604" i="18"/>
  <c r="T864" i="18"/>
  <c r="U864" i="18" s="1"/>
  <c r="V864" i="18" s="1"/>
  <c r="W864" i="18" s="1"/>
  <c r="X864" i="18" s="1"/>
  <c r="Y864" i="18" s="1"/>
  <c r="Z864" i="18" s="1"/>
  <c r="AA864" i="18" s="1"/>
  <c r="S439" i="18"/>
  <c r="T429" i="18"/>
  <c r="T823" i="18"/>
  <c r="O10" i="7946"/>
  <c r="O33" i="7946" s="1"/>
  <c r="P33" i="7943"/>
  <c r="P10" i="7946" s="1"/>
  <c r="V594" i="18"/>
  <c r="W594" i="18" s="1"/>
  <c r="U781" i="18"/>
  <c r="V645" i="18"/>
  <c r="U187" i="18"/>
  <c r="W190" i="18"/>
  <c r="X190" i="18" s="1"/>
  <c r="Y190" i="18" s="1"/>
  <c r="Z190" i="18" s="1"/>
  <c r="AA190" i="18" s="1"/>
  <c r="S868" i="18"/>
  <c r="T868" i="18" s="1"/>
  <c r="T670" i="18"/>
  <c r="X846" i="18"/>
  <c r="Y651" i="18"/>
  <c r="T851" i="18"/>
  <c r="U851" i="18" s="1"/>
  <c r="X489" i="18"/>
  <c r="U867" i="18"/>
  <c r="V742" i="18"/>
  <c r="W208" i="18"/>
  <c r="W320" i="18"/>
  <c r="W721" i="18"/>
  <c r="T718" i="18"/>
  <c r="U334" i="18"/>
  <c r="AA188" i="18"/>
  <c r="W794" i="18"/>
  <c r="AY13" i="7942"/>
  <c r="DB80" i="7942"/>
  <c r="AY47" i="7942"/>
  <c r="BJ13" i="7942"/>
  <c r="CF47" i="7942"/>
  <c r="AC80" i="7942"/>
  <c r="R80" i="7942"/>
  <c r="AN13" i="7942"/>
  <c r="G13" i="7942"/>
  <c r="BU13" i="7942"/>
  <c r="G80" i="7942"/>
  <c r="AN80" i="7942"/>
  <c r="CQ13" i="7942"/>
  <c r="AN47" i="7942"/>
  <c r="DB47" i="7942"/>
  <c r="AC13" i="7942"/>
  <c r="CQ47" i="7942"/>
  <c r="R13" i="7942"/>
  <c r="AC47" i="7942"/>
  <c r="DB13" i="7942"/>
  <c r="G47" i="7942"/>
  <c r="CF80" i="7942"/>
  <c r="BU80" i="7942"/>
  <c r="BJ80" i="7942"/>
  <c r="CQ80" i="7942"/>
  <c r="BU47" i="7942"/>
  <c r="CF13" i="7942"/>
  <c r="AY80" i="7942"/>
  <c r="R47" i="7942"/>
  <c r="BJ47" i="7942"/>
  <c r="V826" i="18"/>
  <c r="W826" i="18" s="1"/>
  <c r="X826" i="18" s="1"/>
  <c r="Y826" i="18" s="1"/>
  <c r="Z826" i="18" s="1"/>
  <c r="AA826" i="18" s="1"/>
  <c r="AB826" i="18" s="1"/>
  <c r="AC826" i="18" s="1"/>
  <c r="AD826" i="18" s="1"/>
  <c r="AE826" i="18" s="1"/>
  <c r="AF826" i="18" s="1"/>
  <c r="AG826" i="18" s="1"/>
  <c r="AH826" i="18" s="1"/>
  <c r="AI826" i="18" s="1"/>
  <c r="AJ826" i="18" s="1"/>
  <c r="AK826" i="18" s="1"/>
  <c r="AL826" i="18" s="1"/>
  <c r="AM826" i="18" s="1"/>
  <c r="AN826" i="18" s="1"/>
  <c r="AO826" i="18" s="1"/>
  <c r="AP826" i="18" s="1"/>
  <c r="AQ826" i="18" s="1"/>
  <c r="AR826" i="18" s="1"/>
  <c r="AS826" i="18" s="1"/>
  <c r="AT826" i="18" s="1"/>
  <c r="AU826" i="18" s="1"/>
  <c r="AV826" i="18" s="1"/>
  <c r="AW826" i="18" s="1"/>
  <c r="AX826" i="18" s="1"/>
  <c r="AY826" i="18" s="1"/>
  <c r="AZ826" i="18" s="1"/>
  <c r="BA826" i="18" s="1"/>
  <c r="BB826" i="18" s="1"/>
  <c r="BC826" i="18" s="1"/>
  <c r="BD826" i="18" s="1"/>
  <c r="BE826" i="18" s="1"/>
  <c r="BF826" i="18" s="1"/>
  <c r="BG826" i="18" s="1"/>
  <c r="BH826" i="18" s="1"/>
  <c r="BI826" i="18" s="1"/>
  <c r="R843" i="18"/>
  <c r="AF814" i="18"/>
  <c r="V568" i="18"/>
  <c r="W568" i="18" s="1"/>
  <c r="X568" i="18" s="1"/>
  <c r="AG504" i="18"/>
  <c r="AH504" i="18" s="1"/>
  <c r="AI504" i="18" s="1"/>
  <c r="AG834" i="18"/>
  <c r="AH834" i="18" s="1"/>
  <c r="AI834" i="18" s="1"/>
  <c r="Y182" i="18"/>
  <c r="S580" i="18"/>
  <c r="W364" i="18"/>
  <c r="W748" i="18"/>
  <c r="W377" i="18"/>
  <c r="AN707" i="18"/>
  <c r="AO707" i="18" s="1"/>
  <c r="AP707" i="18" s="1"/>
  <c r="AQ707" i="18" s="1"/>
  <c r="AR707" i="18" s="1"/>
  <c r="AS707" i="18" s="1"/>
  <c r="AT707" i="18" s="1"/>
  <c r="AU707" i="18" s="1"/>
  <c r="AV707" i="18" s="1"/>
  <c r="AW707" i="18" s="1"/>
  <c r="AX707" i="18" s="1"/>
  <c r="AY707" i="18" s="1"/>
  <c r="AZ707" i="18" s="1"/>
  <c r="BA707" i="18" s="1"/>
  <c r="BB707" i="18" s="1"/>
  <c r="BC707" i="18" s="1"/>
  <c r="BD707" i="18" s="1"/>
  <c r="BE707" i="18" s="1"/>
  <c r="BF707" i="18" s="1"/>
  <c r="BG707" i="18" s="1"/>
  <c r="BH707" i="18" s="1"/>
  <c r="BI707" i="18" s="1"/>
  <c r="X755" i="18"/>
  <c r="Y755" i="18" s="1"/>
  <c r="AN617" i="18"/>
  <c r="AO617" i="18" s="1"/>
  <c r="AP617" i="18" s="1"/>
  <c r="AQ617" i="18" s="1"/>
  <c r="AR617" i="18" s="1"/>
  <c r="AS617" i="18" s="1"/>
  <c r="AT617" i="18" s="1"/>
  <c r="AU617" i="18" s="1"/>
  <c r="AV617" i="18" s="1"/>
  <c r="AW617" i="18" s="1"/>
  <c r="AX617" i="18" s="1"/>
  <c r="AY617" i="18" s="1"/>
  <c r="AZ617" i="18" s="1"/>
  <c r="BA617" i="18" s="1"/>
  <c r="BB617" i="18" s="1"/>
  <c r="BC617" i="18" s="1"/>
  <c r="BD617" i="18" s="1"/>
  <c r="BE617" i="18" s="1"/>
  <c r="BF617" i="18" s="1"/>
  <c r="BG617" i="18" s="1"/>
  <c r="BH617" i="18" s="1"/>
  <c r="BI617" i="18" s="1"/>
  <c r="U758" i="18"/>
  <c r="V758" i="18" s="1"/>
  <c r="T765" i="18"/>
  <c r="U724" i="18"/>
  <c r="Y747" i="18"/>
  <c r="Z747" i="18" s="1"/>
  <c r="AA747" i="18" s="1"/>
  <c r="AB747" i="18" s="1"/>
  <c r="AC747" i="18" s="1"/>
  <c r="AD747" i="18" s="1"/>
  <c r="AE747" i="18" s="1"/>
  <c r="AF747" i="18" s="1"/>
  <c r="AG747" i="18" s="1"/>
  <c r="AH747" i="18" s="1"/>
  <c r="AI747" i="18" s="1"/>
  <c r="AJ747" i="18" s="1"/>
  <c r="AK747" i="18" s="1"/>
  <c r="AL747" i="18" s="1"/>
  <c r="AM747" i="18" s="1"/>
  <c r="AN747" i="18" s="1"/>
  <c r="AO747" i="18" s="1"/>
  <c r="AP747" i="18" s="1"/>
  <c r="AQ747" i="18" s="1"/>
  <c r="AR747" i="18" s="1"/>
  <c r="AS747" i="18" s="1"/>
  <c r="AT747" i="18" s="1"/>
  <c r="AU747" i="18" s="1"/>
  <c r="AV747" i="18" s="1"/>
  <c r="AW747" i="18" s="1"/>
  <c r="AX747" i="18" s="1"/>
  <c r="AY747" i="18" s="1"/>
  <c r="AZ747" i="18" s="1"/>
  <c r="BA747" i="18" s="1"/>
  <c r="BB747" i="18" s="1"/>
  <c r="BC747" i="18" s="1"/>
  <c r="BD747" i="18" s="1"/>
  <c r="BE747" i="18" s="1"/>
  <c r="BF747" i="18" s="1"/>
  <c r="BG747" i="18" s="1"/>
  <c r="BH747" i="18" s="1"/>
  <c r="BI747" i="18" s="1"/>
  <c r="U153" i="18"/>
  <c r="V143" i="18"/>
  <c r="T739" i="18"/>
  <c r="U729" i="18"/>
  <c r="T413" i="18"/>
  <c r="U403" i="18"/>
  <c r="U802" i="18"/>
  <c r="Y820" i="18"/>
  <c r="AM508" i="18"/>
  <c r="T618" i="18"/>
  <c r="S622" i="18"/>
  <c r="U435" i="18"/>
  <c r="V435" i="18" s="1"/>
  <c r="U549" i="18"/>
  <c r="T256" i="18"/>
  <c r="U256" i="18" s="1"/>
  <c r="S257" i="18"/>
  <c r="T668" i="18"/>
  <c r="S674" i="18"/>
  <c r="W281" i="18"/>
  <c r="X281" i="18" s="1"/>
  <c r="Y281" i="18" s="1"/>
  <c r="Z281" i="18" s="1"/>
  <c r="AA281" i="18" s="1"/>
  <c r="AB281" i="18" s="1"/>
  <c r="AC281" i="18" s="1"/>
  <c r="AD281" i="18" s="1"/>
  <c r="AE281" i="18" s="1"/>
  <c r="AF281" i="18" s="1"/>
  <c r="AG281" i="18" s="1"/>
  <c r="AH281" i="18" s="1"/>
  <c r="AI281" i="18" s="1"/>
  <c r="AJ281" i="18" s="1"/>
  <c r="AK281" i="18" s="1"/>
  <c r="AL281" i="18" s="1"/>
  <c r="AM281" i="18" s="1"/>
  <c r="AN281" i="18" s="1"/>
  <c r="AO281" i="18" s="1"/>
  <c r="AP281" i="18" s="1"/>
  <c r="AQ281" i="18" s="1"/>
  <c r="AR281" i="18" s="1"/>
  <c r="AS281" i="18" s="1"/>
  <c r="AT281" i="18" s="1"/>
  <c r="AU281" i="18" s="1"/>
  <c r="AV281" i="18" s="1"/>
  <c r="AW281" i="18" s="1"/>
  <c r="AX281" i="18" s="1"/>
  <c r="AY281" i="18" s="1"/>
  <c r="AZ281" i="18" s="1"/>
  <c r="BA281" i="18" s="1"/>
  <c r="BB281" i="18" s="1"/>
  <c r="BC281" i="18" s="1"/>
  <c r="BD281" i="18" s="1"/>
  <c r="BE281" i="18" s="1"/>
  <c r="BF281" i="18" s="1"/>
  <c r="BG281" i="18" s="1"/>
  <c r="BH281" i="18" s="1"/>
  <c r="BI281" i="18" s="1"/>
  <c r="R856" i="18"/>
  <c r="AU113" i="18"/>
  <c r="Y620" i="18"/>
  <c r="Z620" i="18" s="1"/>
  <c r="U166" i="18"/>
  <c r="V156" i="18"/>
  <c r="X866" i="18"/>
  <c r="Y866" i="18" s="1"/>
  <c r="X534" i="18"/>
  <c r="S661" i="18"/>
  <c r="T655" i="18"/>
  <c r="R583" i="18"/>
  <c r="S573" i="18"/>
  <c r="V332" i="18"/>
  <c r="W542" i="18"/>
  <c r="AE565" i="18"/>
  <c r="AF565" i="18" s="1"/>
  <c r="AG565" i="18" s="1"/>
  <c r="AH565" i="18" s="1"/>
  <c r="AI565" i="18" s="1"/>
  <c r="AJ565" i="18" s="1"/>
  <c r="AK565" i="18" s="1"/>
  <c r="AL565" i="18" s="1"/>
  <c r="AM565" i="18" s="1"/>
  <c r="AN565" i="18" s="1"/>
  <c r="AO565" i="18" s="1"/>
  <c r="AP565" i="18" s="1"/>
  <c r="AQ565" i="18" s="1"/>
  <c r="AR565" i="18" s="1"/>
  <c r="AS565" i="18" s="1"/>
  <c r="AT565" i="18" s="1"/>
  <c r="AU565" i="18" s="1"/>
  <c r="AV565" i="18" s="1"/>
  <c r="AW565" i="18" s="1"/>
  <c r="AX565" i="18" s="1"/>
  <c r="AY565" i="18" s="1"/>
  <c r="AZ565" i="18" s="1"/>
  <c r="BA565" i="18" s="1"/>
  <c r="BB565" i="18" s="1"/>
  <c r="BC565" i="18" s="1"/>
  <c r="BD565" i="18" s="1"/>
  <c r="BE565" i="18" s="1"/>
  <c r="BF565" i="18" s="1"/>
  <c r="BG565" i="18" s="1"/>
  <c r="BH565" i="18" s="1"/>
  <c r="BI565" i="18" s="1"/>
  <c r="W633" i="18"/>
  <c r="U582" i="18"/>
  <c r="W774" i="18"/>
  <c r="X774" i="18" s="1"/>
  <c r="Y774" i="18" s="1"/>
  <c r="Z774" i="18" s="1"/>
  <c r="AO202" i="18"/>
  <c r="AP202" i="18" s="1"/>
  <c r="AQ202" i="18" s="1"/>
  <c r="AR202" i="18" s="1"/>
  <c r="AS202" i="18" s="1"/>
  <c r="AT202" i="18" s="1"/>
  <c r="AU202" i="18" s="1"/>
  <c r="AV202" i="18" s="1"/>
  <c r="AW202" i="18" s="1"/>
  <c r="AX202" i="18" s="1"/>
  <c r="AY202" i="18" s="1"/>
  <c r="AZ202" i="18" s="1"/>
  <c r="BA202" i="18" s="1"/>
  <c r="BB202" i="18" s="1"/>
  <c r="BC202" i="18" s="1"/>
  <c r="BD202" i="18" s="1"/>
  <c r="BE202" i="18" s="1"/>
  <c r="BF202" i="18" s="1"/>
  <c r="BG202" i="18" s="1"/>
  <c r="BH202" i="18" s="1"/>
  <c r="BI202" i="18" s="1"/>
  <c r="U286" i="18"/>
  <c r="T634" i="18"/>
  <c r="U833" i="18"/>
  <c r="W788" i="18"/>
  <c r="X788" i="18" s="1"/>
  <c r="Y788" i="18" s="1"/>
  <c r="AX87" i="18"/>
  <c r="AY87" i="18" s="1"/>
  <c r="R283" i="18"/>
  <c r="S273" i="18"/>
  <c r="U140" i="18"/>
  <c r="V136" i="18"/>
  <c r="U521" i="18"/>
  <c r="T816" i="18"/>
  <c r="T817" i="18" s="1"/>
  <c r="T490" i="18"/>
  <c r="X812" i="18"/>
  <c r="Y812" i="18" s="1"/>
  <c r="Z812" i="18" s="1"/>
  <c r="AA812" i="18" s="1"/>
  <c r="AB812" i="18" s="1"/>
  <c r="AC812" i="18" s="1"/>
  <c r="AD812" i="18" s="1"/>
  <c r="AE812" i="18" s="1"/>
  <c r="AF812" i="18" s="1"/>
  <c r="AG812" i="18" s="1"/>
  <c r="AH812" i="18" s="1"/>
  <c r="AI812" i="18" s="1"/>
  <c r="AJ812" i="18" s="1"/>
  <c r="AK812" i="18" s="1"/>
  <c r="AL812" i="18" s="1"/>
  <c r="AM812" i="18" s="1"/>
  <c r="AN812" i="18" s="1"/>
  <c r="AO812" i="18" s="1"/>
  <c r="AP812" i="18" s="1"/>
  <c r="AQ812" i="18" s="1"/>
  <c r="AR812" i="18" s="1"/>
  <c r="AS812" i="18" s="1"/>
  <c r="AT812" i="18" s="1"/>
  <c r="AU812" i="18" s="1"/>
  <c r="AV812" i="18" s="1"/>
  <c r="AW812" i="18" s="1"/>
  <c r="AX812" i="18" s="1"/>
  <c r="AY812" i="18" s="1"/>
  <c r="AZ812" i="18" s="1"/>
  <c r="BA812" i="18" s="1"/>
  <c r="BB812" i="18" s="1"/>
  <c r="BC812" i="18" s="1"/>
  <c r="BD812" i="18" s="1"/>
  <c r="BE812" i="18" s="1"/>
  <c r="BF812" i="18" s="1"/>
  <c r="BG812" i="18" s="1"/>
  <c r="BH812" i="18" s="1"/>
  <c r="BI812" i="18" s="1"/>
  <c r="T768" i="18"/>
  <c r="W203" i="18"/>
  <c r="X203" i="18" s="1"/>
  <c r="V488" i="18"/>
  <c r="W488" i="18" s="1"/>
  <c r="X488" i="18" s="1"/>
  <c r="Y488" i="18" s="1"/>
  <c r="Z488" i="18" s="1"/>
  <c r="AA488" i="18" s="1"/>
  <c r="AB488" i="18" s="1"/>
  <c r="AC488" i="18" s="1"/>
  <c r="AD488" i="18" s="1"/>
  <c r="AE488" i="18" s="1"/>
  <c r="AF488" i="18" s="1"/>
  <c r="AG488" i="18" s="1"/>
  <c r="AH488" i="18" s="1"/>
  <c r="AI488" i="18" s="1"/>
  <c r="AJ488" i="18" s="1"/>
  <c r="AK488" i="18" s="1"/>
  <c r="AL488" i="18" s="1"/>
  <c r="AM488" i="18" s="1"/>
  <c r="AN488" i="18" s="1"/>
  <c r="AO488" i="18" s="1"/>
  <c r="AP488" i="18" s="1"/>
  <c r="AQ488" i="18" s="1"/>
  <c r="AR488" i="18" s="1"/>
  <c r="AS488" i="18" s="1"/>
  <c r="AT488" i="18" s="1"/>
  <c r="AU488" i="18" s="1"/>
  <c r="AV488" i="18" s="1"/>
  <c r="AW488" i="18" s="1"/>
  <c r="AX488" i="18" s="1"/>
  <c r="AY488" i="18" s="1"/>
  <c r="AZ488" i="18" s="1"/>
  <c r="BA488" i="18" s="1"/>
  <c r="BB488" i="18" s="1"/>
  <c r="BC488" i="18" s="1"/>
  <c r="BD488" i="18" s="1"/>
  <c r="BE488" i="18" s="1"/>
  <c r="BF488" i="18" s="1"/>
  <c r="BG488" i="18" s="1"/>
  <c r="BH488" i="18" s="1"/>
  <c r="BI488" i="18" s="1"/>
  <c r="U243" i="18"/>
  <c r="V243" i="18" s="1"/>
  <c r="W243" i="18" s="1"/>
  <c r="X243" i="18" s="1"/>
  <c r="Y243" i="18" s="1"/>
  <c r="V807" i="18"/>
  <c r="U360" i="18"/>
  <c r="V360" i="18" s="1"/>
  <c r="S487" i="18"/>
  <c r="S361" i="18"/>
  <c r="T351" i="18"/>
  <c r="Z228" i="18"/>
  <c r="AA228" i="18" s="1"/>
  <c r="T829" i="18"/>
  <c r="U530" i="18"/>
  <c r="W736" i="18"/>
  <c r="X736" i="18" s="1"/>
  <c r="S322" i="18"/>
  <c r="T319" i="18"/>
  <c r="S335" i="18"/>
  <c r="T777" i="18"/>
  <c r="AC658" i="18"/>
  <c r="AD658" i="18" s="1"/>
  <c r="AE658" i="18" s="1"/>
  <c r="AF658" i="18" s="1"/>
  <c r="AG658" i="18" s="1"/>
  <c r="AH658" i="18" s="1"/>
  <c r="AI658" i="18" s="1"/>
  <c r="AJ658" i="18" s="1"/>
  <c r="AK658" i="18" s="1"/>
  <c r="AL658" i="18" s="1"/>
  <c r="AM658" i="18" s="1"/>
  <c r="AN658" i="18" s="1"/>
  <c r="AO658" i="18" s="1"/>
  <c r="AP658" i="18" s="1"/>
  <c r="AQ658" i="18" s="1"/>
  <c r="AR658" i="18" s="1"/>
  <c r="AS658" i="18" s="1"/>
  <c r="AT658" i="18" s="1"/>
  <c r="AU658" i="18" s="1"/>
  <c r="AV658" i="18" s="1"/>
  <c r="AW658" i="18" s="1"/>
  <c r="AX658" i="18" s="1"/>
  <c r="AY658" i="18" s="1"/>
  <c r="AZ658" i="18" s="1"/>
  <c r="BA658" i="18" s="1"/>
  <c r="BB658" i="18" s="1"/>
  <c r="BC658" i="18" s="1"/>
  <c r="BD658" i="18" s="1"/>
  <c r="BE658" i="18" s="1"/>
  <c r="BF658" i="18" s="1"/>
  <c r="BG658" i="18" s="1"/>
  <c r="BH658" i="18" s="1"/>
  <c r="BI658" i="18" s="1"/>
  <c r="T790" i="18"/>
  <c r="U177" i="18"/>
  <c r="V177" i="18" s="1"/>
  <c r="W177" i="18" s="1"/>
  <c r="X177" i="18" s="1"/>
  <c r="Y177" i="18" s="1"/>
  <c r="Z177" i="18" s="1"/>
  <c r="AA177" i="18" s="1"/>
  <c r="AB177" i="18" s="1"/>
  <c r="AC177" i="18" s="1"/>
  <c r="AD177" i="18" s="1"/>
  <c r="AE177" i="18" s="1"/>
  <c r="AF177" i="18" s="1"/>
  <c r="AG177" i="18" s="1"/>
  <c r="AH177" i="18" s="1"/>
  <c r="AI177" i="18" s="1"/>
  <c r="AJ177" i="18" s="1"/>
  <c r="AK177" i="18" s="1"/>
  <c r="AL177" i="18" s="1"/>
  <c r="AM177" i="18" s="1"/>
  <c r="AN177" i="18" s="1"/>
  <c r="AO177" i="18" s="1"/>
  <c r="AP177" i="18" s="1"/>
  <c r="AQ177" i="18" s="1"/>
  <c r="AR177" i="18" s="1"/>
  <c r="AS177" i="18" s="1"/>
  <c r="AT177" i="18" s="1"/>
  <c r="AU177" i="18" s="1"/>
  <c r="AV177" i="18" s="1"/>
  <c r="AW177" i="18" s="1"/>
  <c r="AX177" i="18" s="1"/>
  <c r="AY177" i="18" s="1"/>
  <c r="AZ177" i="18" s="1"/>
  <c r="BA177" i="18" s="1"/>
  <c r="BB177" i="18" s="1"/>
  <c r="BC177" i="18" s="1"/>
  <c r="BD177" i="18" s="1"/>
  <c r="BE177" i="18" s="1"/>
  <c r="BF177" i="18" s="1"/>
  <c r="BG177" i="18" s="1"/>
  <c r="BH177" i="18" s="1"/>
  <c r="BI177" i="18" s="1"/>
  <c r="W126" i="18"/>
  <c r="X126" i="18" s="1"/>
  <c r="V640" i="18"/>
  <c r="D24" i="7943"/>
  <c r="F87" i="7943"/>
  <c r="F67" i="7943"/>
  <c r="F51" i="7943"/>
  <c r="W217" i="18"/>
  <c r="X217" i="18" s="1"/>
  <c r="Y217" i="18" s="1"/>
  <c r="U848" i="18"/>
  <c r="Y840" i="18"/>
  <c r="Z840" i="18" s="1"/>
  <c r="AA840" i="18" s="1"/>
  <c r="AB840" i="18" s="1"/>
  <c r="AC840" i="18" s="1"/>
  <c r="AD840" i="18" s="1"/>
  <c r="AE840" i="18" s="1"/>
  <c r="AF840" i="18" s="1"/>
  <c r="AG840" i="18" s="1"/>
  <c r="AH840" i="18" s="1"/>
  <c r="AI840" i="18" s="1"/>
  <c r="AJ840" i="18" s="1"/>
  <c r="AK840" i="18" s="1"/>
  <c r="AL840" i="18" s="1"/>
  <c r="AM840" i="18" s="1"/>
  <c r="AN840" i="18" s="1"/>
  <c r="AO840" i="18" s="1"/>
  <c r="AP840" i="18" s="1"/>
  <c r="AQ840" i="18" s="1"/>
  <c r="AR840" i="18" s="1"/>
  <c r="AS840" i="18" s="1"/>
  <c r="AT840" i="18" s="1"/>
  <c r="AU840" i="18" s="1"/>
  <c r="AV840" i="18" s="1"/>
  <c r="AW840" i="18" s="1"/>
  <c r="AX840" i="18" s="1"/>
  <c r="AY840" i="18" s="1"/>
  <c r="AZ840" i="18" s="1"/>
  <c r="BA840" i="18" s="1"/>
  <c r="S348" i="18"/>
  <c r="T338" i="18"/>
  <c r="T379" i="18"/>
  <c r="S387" i="18"/>
  <c r="T244" i="18"/>
  <c r="U234" i="18"/>
  <c r="S776" i="18"/>
  <c r="T776" i="18" s="1"/>
  <c r="U426" i="18"/>
  <c r="V416" i="18"/>
  <c r="W644" i="18"/>
  <c r="X644" i="18" s="1"/>
  <c r="S192" i="18"/>
  <c r="I4" i="18"/>
  <c r="I208" i="1"/>
  <c r="I4" i="2"/>
  <c r="I241" i="1"/>
  <c r="I74" i="1"/>
  <c r="I108" i="1" s="1"/>
  <c r="I176" i="1"/>
  <c r="I190" i="1"/>
  <c r="J40" i="1"/>
  <c r="I221" i="1"/>
  <c r="I223" i="1" s="1"/>
  <c r="I142" i="1"/>
  <c r="R778" i="18"/>
  <c r="W813" i="18"/>
  <c r="Y527" i="18"/>
  <c r="Z527" i="18" s="1"/>
  <c r="AA527" i="18" s="1"/>
  <c r="AB527" i="18" s="1"/>
  <c r="AC527" i="18" s="1"/>
  <c r="AD527" i="18" s="1"/>
  <c r="AE527" i="18" s="1"/>
  <c r="Z716" i="18"/>
  <c r="V838" i="18"/>
  <c r="W838" i="18" s="1"/>
  <c r="W424" i="18"/>
  <c r="X424" i="18" s="1"/>
  <c r="Y424" i="18" s="1"/>
  <c r="Z424" i="18" s="1"/>
  <c r="AA424" i="18" s="1"/>
  <c r="AB424" i="18" s="1"/>
  <c r="AC424" i="18" s="1"/>
  <c r="AD424" i="18" s="1"/>
  <c r="AE424" i="18" s="1"/>
  <c r="AF424" i="18" s="1"/>
  <c r="AG424" i="18" s="1"/>
  <c r="AH424" i="18" s="1"/>
  <c r="AI424" i="18" s="1"/>
  <c r="AJ424" i="18" s="1"/>
  <c r="AK424" i="18" s="1"/>
  <c r="AL424" i="18" s="1"/>
  <c r="AM424" i="18" s="1"/>
  <c r="AN424" i="18" s="1"/>
  <c r="AO424" i="18" s="1"/>
  <c r="AP424" i="18" s="1"/>
  <c r="AQ424" i="18" s="1"/>
  <c r="AR424" i="18" s="1"/>
  <c r="AS424" i="18" s="1"/>
  <c r="AT424" i="18" s="1"/>
  <c r="AU424" i="18" s="1"/>
  <c r="AV424" i="18" s="1"/>
  <c r="AW424" i="18" s="1"/>
  <c r="AX424" i="18" s="1"/>
  <c r="AY424" i="18" s="1"/>
  <c r="AZ424" i="18" s="1"/>
  <c r="BA424" i="18" s="1"/>
  <c r="BB424" i="18" s="1"/>
  <c r="BC424" i="18" s="1"/>
  <c r="BD424" i="18" s="1"/>
  <c r="BE424" i="18" s="1"/>
  <c r="BF424" i="18" s="1"/>
  <c r="BG424" i="18" s="1"/>
  <c r="BH424" i="18" s="1"/>
  <c r="BI424" i="18" s="1"/>
  <c r="V605" i="18"/>
  <c r="W605" i="18" s="1"/>
  <c r="X605" i="18" s="1"/>
  <c r="Y605" i="18" s="1"/>
  <c r="Z605" i="18" s="1"/>
  <c r="AA605" i="18" s="1"/>
  <c r="AB605" i="18" s="1"/>
  <c r="AC605" i="18" s="1"/>
  <c r="AD605" i="18" s="1"/>
  <c r="AE605" i="18" s="1"/>
  <c r="AF605" i="18" s="1"/>
  <c r="AG605" i="18" s="1"/>
  <c r="AH605" i="18" s="1"/>
  <c r="AI605" i="18" s="1"/>
  <c r="AJ605" i="18" s="1"/>
  <c r="AK605" i="18" s="1"/>
  <c r="AL605" i="18" s="1"/>
  <c r="AM605" i="18" s="1"/>
  <c r="AN605" i="18" s="1"/>
  <c r="AO605" i="18" s="1"/>
  <c r="AP605" i="18" s="1"/>
  <c r="AQ605" i="18" s="1"/>
  <c r="AR605" i="18" s="1"/>
  <c r="AS605" i="18" s="1"/>
  <c r="AT605" i="18" s="1"/>
  <c r="AU605" i="18" s="1"/>
  <c r="AV605" i="18" s="1"/>
  <c r="AW605" i="18" s="1"/>
  <c r="AX605" i="18" s="1"/>
  <c r="AY605" i="18" s="1"/>
  <c r="AZ605" i="18" s="1"/>
  <c r="BA605" i="18" s="1"/>
  <c r="BB605" i="18" s="1"/>
  <c r="BC605" i="18" s="1"/>
  <c r="BD605" i="18" s="1"/>
  <c r="BE605" i="18" s="1"/>
  <c r="BF605" i="18" s="1"/>
  <c r="BG605" i="18" s="1"/>
  <c r="BH605" i="18" s="1"/>
  <c r="BI605" i="18" s="1"/>
  <c r="V725" i="18"/>
  <c r="AC529" i="18"/>
  <c r="V827" i="18"/>
  <c r="X138" i="18"/>
  <c r="AA345" i="18"/>
  <c r="AB345" i="18" s="1"/>
  <c r="AC345" i="18" s="1"/>
  <c r="AD345" i="18" s="1"/>
  <c r="AE345" i="18" s="1"/>
  <c r="AF345" i="18" s="1"/>
  <c r="AG345" i="18" s="1"/>
  <c r="AH345" i="18" s="1"/>
  <c r="AI345" i="18" s="1"/>
  <c r="AJ345" i="18" s="1"/>
  <c r="AK345" i="18" s="1"/>
  <c r="AL345" i="18" s="1"/>
  <c r="AM345" i="18" s="1"/>
  <c r="AN345" i="18" s="1"/>
  <c r="AO345" i="18" s="1"/>
  <c r="AP345" i="18" s="1"/>
  <c r="AQ345" i="18" s="1"/>
  <c r="AR345" i="18" s="1"/>
  <c r="AS345" i="18" s="1"/>
  <c r="AT345" i="18" s="1"/>
  <c r="AU345" i="18" s="1"/>
  <c r="AV345" i="18" s="1"/>
  <c r="AW345" i="18" s="1"/>
  <c r="AX345" i="18" s="1"/>
  <c r="AY345" i="18" s="1"/>
  <c r="AZ345" i="18" s="1"/>
  <c r="BA345" i="18" s="1"/>
  <c r="BB345" i="18" s="1"/>
  <c r="BC345" i="18" s="1"/>
  <c r="BD345" i="18" s="1"/>
  <c r="BE345" i="18" s="1"/>
  <c r="BF345" i="18" s="1"/>
  <c r="BG345" i="18" s="1"/>
  <c r="BH345" i="18" s="1"/>
  <c r="BI345" i="18" s="1"/>
  <c r="T452" i="18"/>
  <c r="U442" i="18"/>
  <c r="W821" i="18"/>
  <c r="AH514" i="18"/>
  <c r="T685" i="18"/>
  <c r="U685" i="18" s="1"/>
  <c r="W312" i="18"/>
  <c r="X482" i="18"/>
  <c r="X318" i="18"/>
  <c r="Y318" i="18" s="1"/>
  <c r="Z318" i="18" s="1"/>
  <c r="AA318" i="18" s="1"/>
  <c r="AB318" i="18" s="1"/>
  <c r="AC318" i="18" s="1"/>
  <c r="AD318" i="18" s="1"/>
  <c r="AE318" i="18" s="1"/>
  <c r="AF318" i="18" s="1"/>
  <c r="AG318" i="18" s="1"/>
  <c r="AH318" i="18" s="1"/>
  <c r="AI318" i="18" s="1"/>
  <c r="AJ318" i="18" s="1"/>
  <c r="AK318" i="18" s="1"/>
  <c r="AL318" i="18" s="1"/>
  <c r="AM318" i="18" s="1"/>
  <c r="AN318" i="18" s="1"/>
  <c r="AO318" i="18" s="1"/>
  <c r="AP318" i="18" s="1"/>
  <c r="AQ318" i="18" s="1"/>
  <c r="AR318" i="18" s="1"/>
  <c r="AS318" i="18" s="1"/>
  <c r="AT318" i="18" s="1"/>
  <c r="AU318" i="18" s="1"/>
  <c r="AV318" i="18" s="1"/>
  <c r="AW318" i="18" s="1"/>
  <c r="AX318" i="18" s="1"/>
  <c r="AY318" i="18" s="1"/>
  <c r="AZ318" i="18" s="1"/>
  <c r="BA318" i="18" s="1"/>
  <c r="BB318" i="18" s="1"/>
  <c r="BC318" i="18" s="1"/>
  <c r="BD318" i="18" s="1"/>
  <c r="BE318" i="18" s="1"/>
  <c r="BF318" i="18" s="1"/>
  <c r="BG318" i="18" s="1"/>
  <c r="BH318" i="18" s="1"/>
  <c r="BI318" i="18" s="1"/>
  <c r="X325" i="18"/>
  <c r="X811" i="18"/>
  <c r="Y811" i="18" s="1"/>
  <c r="Z811" i="18" s="1"/>
  <c r="AA811" i="18" s="1"/>
  <c r="AB811" i="18" s="1"/>
  <c r="AC811" i="18" s="1"/>
  <c r="AD811" i="18" s="1"/>
  <c r="AE811" i="18" s="1"/>
  <c r="AF811" i="18" s="1"/>
  <c r="AG811" i="18" s="1"/>
  <c r="AH811" i="18" s="1"/>
  <c r="AI811" i="18" s="1"/>
  <c r="AJ811" i="18" s="1"/>
  <c r="AK811" i="18" s="1"/>
  <c r="AL811" i="18" s="1"/>
  <c r="AM811" i="18" s="1"/>
  <c r="AN811" i="18" s="1"/>
  <c r="AO811" i="18" s="1"/>
  <c r="AP811" i="18" s="1"/>
  <c r="AQ811" i="18" s="1"/>
  <c r="AR811" i="18" s="1"/>
  <c r="AS811" i="18" s="1"/>
  <c r="AT811" i="18" s="1"/>
  <c r="AU811" i="18" s="1"/>
  <c r="AV811" i="18" s="1"/>
  <c r="AW811" i="18" s="1"/>
  <c r="AX811" i="18" s="1"/>
  <c r="AY811" i="18" s="1"/>
  <c r="AZ811" i="18" s="1"/>
  <c r="BA811" i="18" s="1"/>
  <c r="BB811" i="18" s="1"/>
  <c r="BC811" i="18" s="1"/>
  <c r="BD811" i="18" s="1"/>
  <c r="BE811" i="18" s="1"/>
  <c r="BF811" i="18" s="1"/>
  <c r="BG811" i="18" s="1"/>
  <c r="BH811" i="18" s="1"/>
  <c r="BI811" i="18" s="1"/>
  <c r="AM515" i="18"/>
  <c r="AN515" i="18" s="1"/>
  <c r="AO515" i="18" s="1"/>
  <c r="AP515" i="18" s="1"/>
  <c r="AQ515" i="18" s="1"/>
  <c r="AR515" i="18" s="1"/>
  <c r="AS515" i="18" s="1"/>
  <c r="AT515" i="18" s="1"/>
  <c r="AU515" i="18" s="1"/>
  <c r="AV515" i="18" s="1"/>
  <c r="AW515" i="18" s="1"/>
  <c r="AX515" i="18" s="1"/>
  <c r="AY515" i="18" s="1"/>
  <c r="AZ515" i="18" s="1"/>
  <c r="BA515" i="18" s="1"/>
  <c r="BB515" i="18" s="1"/>
  <c r="BC515" i="18" s="1"/>
  <c r="BD515" i="18" s="1"/>
  <c r="BE515" i="18" s="1"/>
  <c r="BF515" i="18" s="1"/>
  <c r="BG515" i="18" s="1"/>
  <c r="BH515" i="18" s="1"/>
  <c r="BI515" i="18" s="1"/>
  <c r="AG516" i="18"/>
  <c r="AG518" i="18" s="1"/>
  <c r="AA252" i="18"/>
  <c r="AB252" i="18" s="1"/>
  <c r="AC252" i="18" s="1"/>
  <c r="AD252" i="18" s="1"/>
  <c r="AE252" i="18" s="1"/>
  <c r="AF252" i="18" s="1"/>
  <c r="AG252" i="18" s="1"/>
  <c r="AH252" i="18" s="1"/>
  <c r="AI252" i="18" s="1"/>
  <c r="AJ252" i="18" s="1"/>
  <c r="AK252" i="18" s="1"/>
  <c r="AL252" i="18" s="1"/>
  <c r="AM252" i="18" s="1"/>
  <c r="AN252" i="18" s="1"/>
  <c r="AO252" i="18" s="1"/>
  <c r="AP252" i="18" s="1"/>
  <c r="AQ252" i="18" s="1"/>
  <c r="AR252" i="18" s="1"/>
  <c r="AS252" i="18" s="1"/>
  <c r="AT252" i="18" s="1"/>
  <c r="AU252" i="18" s="1"/>
  <c r="AV252" i="18" s="1"/>
  <c r="AW252" i="18" s="1"/>
  <c r="AX252" i="18" s="1"/>
  <c r="AY252" i="18" s="1"/>
  <c r="AZ252" i="18" s="1"/>
  <c r="BA252" i="18" s="1"/>
  <c r="BB252" i="18" s="1"/>
  <c r="BC252" i="18" s="1"/>
  <c r="BD252" i="18" s="1"/>
  <c r="BE252" i="18" s="1"/>
  <c r="BF252" i="18" s="1"/>
  <c r="BG252" i="18" s="1"/>
  <c r="BH252" i="18" s="1"/>
  <c r="BI252" i="18" s="1"/>
  <c r="V247" i="18"/>
  <c r="Y599" i="18"/>
  <c r="S566" i="18"/>
  <c r="R570" i="18"/>
  <c r="T712" i="18"/>
  <c r="U712" i="18" s="1"/>
  <c r="V828" i="18"/>
  <c r="V560" i="18"/>
  <c r="W560" i="18" s="1"/>
  <c r="X735" i="18"/>
  <c r="Y735" i="18" s="1"/>
  <c r="Z735" i="18" s="1"/>
  <c r="V773" i="18"/>
  <c r="U586" i="18"/>
  <c r="T211" i="18"/>
  <c r="S218" i="18"/>
  <c r="AA359" i="18"/>
  <c r="AB359" i="18" s="1"/>
  <c r="AC359" i="18" s="1"/>
  <c r="AD359" i="18" s="1"/>
  <c r="AE359" i="18" s="1"/>
  <c r="AF359" i="18" s="1"/>
  <c r="AG359" i="18" s="1"/>
  <c r="AH359" i="18" s="1"/>
  <c r="AI359" i="18" s="1"/>
  <c r="AJ359" i="18" s="1"/>
  <c r="AK359" i="18" s="1"/>
  <c r="AL359" i="18" s="1"/>
  <c r="AM359" i="18" s="1"/>
  <c r="AN359" i="18" s="1"/>
  <c r="AO359" i="18" s="1"/>
  <c r="AP359" i="18" s="1"/>
  <c r="AQ359" i="18" s="1"/>
  <c r="AR359" i="18" s="1"/>
  <c r="AS359" i="18" s="1"/>
  <c r="AT359" i="18" s="1"/>
  <c r="AU359" i="18" s="1"/>
  <c r="AV359" i="18" s="1"/>
  <c r="AW359" i="18" s="1"/>
  <c r="AX359" i="18" s="1"/>
  <c r="AY359" i="18" s="1"/>
  <c r="AZ359" i="18" s="1"/>
  <c r="BA359" i="18" s="1"/>
  <c r="BB359" i="18" s="1"/>
  <c r="BC359" i="18" s="1"/>
  <c r="BD359" i="18" s="1"/>
  <c r="BE359" i="18" s="1"/>
  <c r="BF359" i="18" s="1"/>
  <c r="BG359" i="18" s="1"/>
  <c r="BH359" i="18" s="1"/>
  <c r="BI359" i="18" s="1"/>
  <c r="W451" i="18"/>
  <c r="X451" i="18" s="1"/>
  <c r="Y451" i="18" s="1"/>
  <c r="Z451" i="18" s="1"/>
  <c r="AA451" i="18" s="1"/>
  <c r="AB451" i="18" s="1"/>
  <c r="AC451" i="18" s="1"/>
  <c r="AD451" i="18" s="1"/>
  <c r="AE451" i="18" s="1"/>
  <c r="AF451" i="18" s="1"/>
  <c r="AG451" i="18" s="1"/>
  <c r="AH451" i="18" s="1"/>
  <c r="AI451" i="18" s="1"/>
  <c r="U647" i="18"/>
  <c r="U295" i="18"/>
  <c r="U671" i="18"/>
  <c r="V671" i="18" s="1"/>
  <c r="X703" i="18"/>
  <c r="V554" i="18"/>
  <c r="W554" i="18" s="1"/>
  <c r="X554" i="18" s="1"/>
  <c r="Y554" i="18" s="1"/>
  <c r="V242" i="18"/>
  <c r="W242" i="18" s="1"/>
  <c r="X242" i="18" s="1"/>
  <c r="Y242" i="18" s="1"/>
  <c r="Z242" i="18" s="1"/>
  <c r="AA242" i="18" s="1"/>
  <c r="AB242" i="18" s="1"/>
  <c r="AC242" i="18" s="1"/>
  <c r="AD242" i="18" s="1"/>
  <c r="AE242" i="18" s="1"/>
  <c r="AF242" i="18" s="1"/>
  <c r="AG242" i="18" s="1"/>
  <c r="AH242" i="18" s="1"/>
  <c r="AI242" i="18" s="1"/>
  <c r="AJ242" i="18" s="1"/>
  <c r="AK242" i="18" s="1"/>
  <c r="AL242" i="18" s="1"/>
  <c r="AM242" i="18" s="1"/>
  <c r="AN242" i="18" s="1"/>
  <c r="AO242" i="18" s="1"/>
  <c r="AP242" i="18" s="1"/>
  <c r="AQ242" i="18" s="1"/>
  <c r="AR242" i="18" s="1"/>
  <c r="AS242" i="18" s="1"/>
  <c r="AT242" i="18" s="1"/>
  <c r="AU242" i="18" s="1"/>
  <c r="AV242" i="18" s="1"/>
  <c r="AW242" i="18" s="1"/>
  <c r="AX242" i="18" s="1"/>
  <c r="AY242" i="18" s="1"/>
  <c r="AZ242" i="18" s="1"/>
  <c r="BA242" i="18" s="1"/>
  <c r="BB242" i="18" s="1"/>
  <c r="BC242" i="18" s="1"/>
  <c r="BD242" i="18" s="1"/>
  <c r="BE242" i="18" s="1"/>
  <c r="BF242" i="18" s="1"/>
  <c r="BG242" i="18" s="1"/>
  <c r="BH242" i="18" s="1"/>
  <c r="BI242" i="18" s="1"/>
  <c r="H278" i="1"/>
  <c r="N278" i="1" s="1"/>
  <c r="T278" i="1" s="1"/>
  <c r="Z278" i="1" s="1"/>
  <c r="AF278" i="1" s="1"/>
  <c r="AL278" i="1" s="1"/>
  <c r="AR278" i="1" s="1"/>
  <c r="AX278" i="1" s="1"/>
  <c r="BD278" i="1" s="1"/>
  <c r="BJ278" i="1" s="1"/>
  <c r="H4" i="7946"/>
  <c r="H4" i="7943"/>
  <c r="H4" i="7942"/>
  <c r="T749" i="18"/>
  <c r="S752" i="18"/>
  <c r="W390" i="18"/>
  <c r="S205" i="18"/>
  <c r="T195" i="18"/>
  <c r="W690" i="18"/>
  <c r="S153" i="18"/>
  <c r="V657" i="18"/>
  <c r="W657" i="18" s="1"/>
  <c r="X657" i="18" s="1"/>
  <c r="V216" i="18"/>
  <c r="W216" i="18" s="1"/>
  <c r="X216" i="18" s="1"/>
  <c r="Y216" i="18" s="1"/>
  <c r="Z216" i="18" s="1"/>
  <c r="Z697" i="18"/>
  <c r="AH517" i="18"/>
  <c r="AI517" i="18" s="1"/>
  <c r="T672" i="18"/>
  <c r="W294" i="18"/>
  <c r="X625" i="18"/>
  <c r="U373" i="18"/>
  <c r="T569" i="18"/>
  <c r="AB410" i="18"/>
  <c r="W280" i="18"/>
  <c r="Y614" i="18"/>
  <c r="U853" i="18"/>
  <c r="G247" i="1"/>
  <c r="H247" i="1" s="1"/>
  <c r="I247" i="1" s="1"/>
  <c r="J247" i="1" s="1"/>
  <c r="K247" i="1" s="1"/>
  <c r="L247" i="1" s="1"/>
  <c r="M247" i="1" s="1"/>
  <c r="N247" i="1" s="1"/>
  <c r="O247" i="1" s="1"/>
  <c r="F278" i="1"/>
  <c r="L278" i="1" s="1"/>
  <c r="R278" i="1" s="1"/>
  <c r="X278" i="1" s="1"/>
  <c r="AD278" i="1" s="1"/>
  <c r="AJ278" i="1" s="1"/>
  <c r="AP278" i="1" s="1"/>
  <c r="AV278" i="1" s="1"/>
  <c r="BB278" i="1" s="1"/>
  <c r="BH278" i="1" s="1"/>
  <c r="V836" i="18"/>
  <c r="W836" i="18" s="1"/>
  <c r="X836" i="18" s="1"/>
  <c r="Y836" i="18" s="1"/>
  <c r="Z836" i="18" s="1"/>
  <c r="AA836" i="18" s="1"/>
  <c r="AB836" i="18" s="1"/>
  <c r="AC836" i="18" s="1"/>
  <c r="AD836" i="18" s="1"/>
  <c r="AE836" i="18" s="1"/>
  <c r="AF836" i="18" s="1"/>
  <c r="AG836" i="18" s="1"/>
  <c r="AH836" i="18" s="1"/>
  <c r="AI836" i="18" s="1"/>
  <c r="AJ836" i="18" s="1"/>
  <c r="AK836" i="18" s="1"/>
  <c r="AL836" i="18" s="1"/>
  <c r="AM836" i="18" s="1"/>
  <c r="AN836" i="18" s="1"/>
  <c r="AO836" i="18" s="1"/>
  <c r="AP836" i="18" s="1"/>
  <c r="AQ836" i="18" s="1"/>
  <c r="AR836" i="18" s="1"/>
  <c r="AS836" i="18" s="1"/>
  <c r="AT836" i="18" s="1"/>
  <c r="AU836" i="18" s="1"/>
  <c r="AV836" i="18" s="1"/>
  <c r="AW836" i="18" s="1"/>
  <c r="AX836" i="18" s="1"/>
  <c r="AY836" i="18" s="1"/>
  <c r="AZ836" i="18" s="1"/>
  <c r="BA836" i="18" s="1"/>
  <c r="BB836" i="18" s="1"/>
  <c r="BC836" i="18" s="1"/>
  <c r="BD836" i="18" s="1"/>
  <c r="BE836" i="18" s="1"/>
  <c r="BF836" i="18" s="1"/>
  <c r="BG836" i="18" s="1"/>
  <c r="BH836" i="18" s="1"/>
  <c r="BI836" i="18" s="1"/>
  <c r="S179" i="18"/>
  <c r="AF518" i="18"/>
  <c r="S804" i="18"/>
  <c r="S842" i="18"/>
  <c r="T842" i="18" s="1"/>
  <c r="S791" i="18" l="1"/>
  <c r="X176" i="18"/>
  <c r="Y176" i="18" s="1"/>
  <c r="Z176" i="18" s="1"/>
  <c r="AA176" i="18" s="1"/>
  <c r="AB176" i="18" s="1"/>
  <c r="AC176" i="18" s="1"/>
  <c r="AD176" i="18" s="1"/>
  <c r="AE176" i="18" s="1"/>
  <c r="AF176" i="18" s="1"/>
  <c r="AG176" i="18" s="1"/>
  <c r="AH176" i="18" s="1"/>
  <c r="AI176" i="18" s="1"/>
  <c r="AJ176" i="18" s="1"/>
  <c r="AK176" i="18" s="1"/>
  <c r="AL176" i="18" s="1"/>
  <c r="AM176" i="18" s="1"/>
  <c r="AN176" i="18" s="1"/>
  <c r="AO176" i="18" s="1"/>
  <c r="AP176" i="18" s="1"/>
  <c r="AQ176" i="18" s="1"/>
  <c r="AR176" i="18" s="1"/>
  <c r="AS176" i="18" s="1"/>
  <c r="AT176" i="18" s="1"/>
  <c r="AU176" i="18" s="1"/>
  <c r="AV176" i="18" s="1"/>
  <c r="AW176" i="18" s="1"/>
  <c r="AX176" i="18" s="1"/>
  <c r="AY176" i="18" s="1"/>
  <c r="AZ176" i="18" s="1"/>
  <c r="BA176" i="18" s="1"/>
  <c r="BB176" i="18" s="1"/>
  <c r="BC176" i="18" s="1"/>
  <c r="BD176" i="18" s="1"/>
  <c r="BE176" i="18" s="1"/>
  <c r="BF176" i="18" s="1"/>
  <c r="BG176" i="18" s="1"/>
  <c r="BH176" i="18" s="1"/>
  <c r="BI176" i="18" s="1"/>
  <c r="S648" i="18"/>
  <c r="P92" i="7946"/>
  <c r="AC268" i="18"/>
  <c r="AD268" i="18" s="1"/>
  <c r="AE268" i="18" s="1"/>
  <c r="AF268" i="18" s="1"/>
  <c r="AG268" i="18" s="1"/>
  <c r="AH268" i="18" s="1"/>
  <c r="AI268" i="18" s="1"/>
  <c r="AJ268" i="18" s="1"/>
  <c r="AK268" i="18" s="1"/>
  <c r="AL268" i="18" s="1"/>
  <c r="AM268" i="18" s="1"/>
  <c r="AN268" i="18" s="1"/>
  <c r="AO268" i="18" s="1"/>
  <c r="AP268" i="18" s="1"/>
  <c r="AQ268" i="18" s="1"/>
  <c r="AR268" i="18" s="1"/>
  <c r="AS268" i="18" s="1"/>
  <c r="AT268" i="18" s="1"/>
  <c r="AU268" i="18" s="1"/>
  <c r="AV268" i="18" s="1"/>
  <c r="AW268" i="18" s="1"/>
  <c r="AX268" i="18" s="1"/>
  <c r="AY268" i="18" s="1"/>
  <c r="AZ268" i="18" s="1"/>
  <c r="BA268" i="18" s="1"/>
  <c r="BB268" i="18" s="1"/>
  <c r="BC268" i="18" s="1"/>
  <c r="BD268" i="18" s="1"/>
  <c r="BE268" i="18" s="1"/>
  <c r="BF268" i="18" s="1"/>
  <c r="BG268" i="18" s="1"/>
  <c r="BH268" i="18" s="1"/>
  <c r="BI268" i="18" s="1"/>
  <c r="V400" i="18"/>
  <c r="X751" i="18"/>
  <c r="Y763" i="18"/>
  <c r="U699" i="18"/>
  <c r="AI695" i="18"/>
  <c r="AJ695" i="18" s="1"/>
  <c r="AK695" i="18" s="1"/>
  <c r="AL695" i="18" s="1"/>
  <c r="AM695" i="18" s="1"/>
  <c r="AN695" i="18" s="1"/>
  <c r="AO695" i="18" s="1"/>
  <c r="AP695" i="18" s="1"/>
  <c r="AQ695" i="18" s="1"/>
  <c r="AR695" i="18" s="1"/>
  <c r="AS695" i="18" s="1"/>
  <c r="AT695" i="18" s="1"/>
  <c r="AU695" i="18" s="1"/>
  <c r="AV695" i="18" s="1"/>
  <c r="AW695" i="18" s="1"/>
  <c r="AX695" i="18" s="1"/>
  <c r="AY695" i="18" s="1"/>
  <c r="AZ695" i="18" s="1"/>
  <c r="BA695" i="18" s="1"/>
  <c r="BB695" i="18" s="1"/>
  <c r="BC695" i="18" s="1"/>
  <c r="BD695" i="18" s="1"/>
  <c r="BE695" i="18" s="1"/>
  <c r="BF695" i="18" s="1"/>
  <c r="BG695" i="18" s="1"/>
  <c r="BH695" i="18" s="1"/>
  <c r="BI695" i="18" s="1"/>
  <c r="X255" i="18"/>
  <c r="Y255" i="18" s="1"/>
  <c r="Z255" i="18" s="1"/>
  <c r="AA255" i="18" s="1"/>
  <c r="AB255" i="18" s="1"/>
  <c r="AC255" i="18" s="1"/>
  <c r="AD255" i="18" s="1"/>
  <c r="AE255" i="18" s="1"/>
  <c r="AF255" i="18" s="1"/>
  <c r="AG255" i="18" s="1"/>
  <c r="AH255" i="18" s="1"/>
  <c r="AI255" i="18" s="1"/>
  <c r="AJ255" i="18" s="1"/>
  <c r="AK255" i="18" s="1"/>
  <c r="AL255" i="18" s="1"/>
  <c r="AM255" i="18" s="1"/>
  <c r="AN255" i="18" s="1"/>
  <c r="AO255" i="18" s="1"/>
  <c r="AP255" i="18" s="1"/>
  <c r="AQ255" i="18" s="1"/>
  <c r="AR255" i="18" s="1"/>
  <c r="AS255" i="18" s="1"/>
  <c r="AT255" i="18" s="1"/>
  <c r="AU255" i="18" s="1"/>
  <c r="AV255" i="18" s="1"/>
  <c r="AW255" i="18" s="1"/>
  <c r="AX255" i="18" s="1"/>
  <c r="AY255" i="18" s="1"/>
  <c r="AZ255" i="18" s="1"/>
  <c r="BA255" i="18" s="1"/>
  <c r="BB255" i="18" s="1"/>
  <c r="BC255" i="18" s="1"/>
  <c r="BD255" i="18" s="1"/>
  <c r="BE255" i="18" s="1"/>
  <c r="BF255" i="18" s="1"/>
  <c r="BG255" i="18" s="1"/>
  <c r="BH255" i="18" s="1"/>
  <c r="BI255" i="18" s="1"/>
  <c r="R465" i="18"/>
  <c r="S455" i="18"/>
  <c r="Z860" i="18"/>
  <c r="AD800" i="18"/>
  <c r="AE800" i="18" s="1"/>
  <c r="AF800" i="18" s="1"/>
  <c r="AG800" i="18" s="1"/>
  <c r="AH800" i="18" s="1"/>
  <c r="AI800" i="18" s="1"/>
  <c r="AJ800" i="18" s="1"/>
  <c r="AK800" i="18" s="1"/>
  <c r="AL800" i="18" s="1"/>
  <c r="AM800" i="18" s="1"/>
  <c r="AN800" i="18" s="1"/>
  <c r="AO800" i="18" s="1"/>
  <c r="AP800" i="18" s="1"/>
  <c r="AQ800" i="18" s="1"/>
  <c r="AR800" i="18" s="1"/>
  <c r="AS800" i="18" s="1"/>
  <c r="AT800" i="18" s="1"/>
  <c r="AU800" i="18" s="1"/>
  <c r="AV800" i="18" s="1"/>
  <c r="AW800" i="18" s="1"/>
  <c r="AX800" i="18" s="1"/>
  <c r="AY800" i="18" s="1"/>
  <c r="AZ800" i="18" s="1"/>
  <c r="BA800" i="18" s="1"/>
  <c r="BB800" i="18" s="1"/>
  <c r="BC800" i="18" s="1"/>
  <c r="BD800" i="18" s="1"/>
  <c r="BE800" i="18" s="1"/>
  <c r="BF800" i="18" s="1"/>
  <c r="BG800" i="18" s="1"/>
  <c r="BH800" i="18" s="1"/>
  <c r="BI800" i="18" s="1"/>
  <c r="X308" i="18"/>
  <c r="Y308" i="18" s="1"/>
  <c r="T648" i="18"/>
  <c r="U646" i="18"/>
  <c r="V646" i="18" s="1"/>
  <c r="W854" i="18"/>
  <c r="X854" i="18" s="1"/>
  <c r="AB228" i="18"/>
  <c r="AC228" i="18" s="1"/>
  <c r="AD228" i="18" s="1"/>
  <c r="AE228" i="18" s="1"/>
  <c r="AF228" i="18" s="1"/>
  <c r="AG228" i="18" s="1"/>
  <c r="AH228" i="18" s="1"/>
  <c r="AI228" i="18" s="1"/>
  <c r="AJ228" i="18" s="1"/>
  <c r="AK228" i="18" s="1"/>
  <c r="AL228" i="18" s="1"/>
  <c r="AM228" i="18" s="1"/>
  <c r="AN228" i="18" s="1"/>
  <c r="AO228" i="18" s="1"/>
  <c r="AP228" i="18" s="1"/>
  <c r="AQ228" i="18" s="1"/>
  <c r="AR228" i="18" s="1"/>
  <c r="AS228" i="18" s="1"/>
  <c r="AT228" i="18" s="1"/>
  <c r="AU228" i="18" s="1"/>
  <c r="AV228" i="18" s="1"/>
  <c r="AW228" i="18" s="1"/>
  <c r="AX228" i="18" s="1"/>
  <c r="AY228" i="18" s="1"/>
  <c r="AZ228" i="18" s="1"/>
  <c r="BA228" i="18" s="1"/>
  <c r="BB228" i="18" s="1"/>
  <c r="BC228" i="18" s="1"/>
  <c r="BD228" i="18" s="1"/>
  <c r="BE228" i="18" s="1"/>
  <c r="BF228" i="18" s="1"/>
  <c r="BG228" i="18" s="1"/>
  <c r="BH228" i="18" s="1"/>
  <c r="BI228" i="18" s="1"/>
  <c r="Z866" i="18"/>
  <c r="AA866" i="18" s="1"/>
  <c r="V737" i="18"/>
  <c r="AB162" i="18"/>
  <c r="AC162" i="18" s="1"/>
  <c r="AD162" i="18" s="1"/>
  <c r="AE162" i="18" s="1"/>
  <c r="AF162" i="18" s="1"/>
  <c r="AG162" i="18" s="1"/>
  <c r="AH162" i="18" s="1"/>
  <c r="AI162" i="18" s="1"/>
  <c r="AJ162" i="18" s="1"/>
  <c r="AK162" i="18" s="1"/>
  <c r="AL162" i="18" s="1"/>
  <c r="AM162" i="18" s="1"/>
  <c r="AN162" i="18" s="1"/>
  <c r="AO162" i="18" s="1"/>
  <c r="AP162" i="18" s="1"/>
  <c r="AQ162" i="18" s="1"/>
  <c r="AR162" i="18" s="1"/>
  <c r="AS162" i="18" s="1"/>
  <c r="AT162" i="18" s="1"/>
  <c r="AU162" i="18" s="1"/>
  <c r="AV162" i="18" s="1"/>
  <c r="AW162" i="18" s="1"/>
  <c r="AX162" i="18" s="1"/>
  <c r="AY162" i="18" s="1"/>
  <c r="AZ162" i="18" s="1"/>
  <c r="BA162" i="18" s="1"/>
  <c r="BB162" i="18" s="1"/>
  <c r="BC162" i="18" s="1"/>
  <c r="BD162" i="18" s="1"/>
  <c r="BE162" i="18" s="1"/>
  <c r="BF162" i="18" s="1"/>
  <c r="BG162" i="18" s="1"/>
  <c r="BH162" i="18" s="1"/>
  <c r="BI162" i="18" s="1"/>
  <c r="AB709" i="18"/>
  <c r="AC709" i="18" s="1"/>
  <c r="Y321" i="18"/>
  <c r="Z321" i="18" s="1"/>
  <c r="AA321" i="18" s="1"/>
  <c r="AB321" i="18" s="1"/>
  <c r="AC321" i="18" s="1"/>
  <c r="AD321" i="18" s="1"/>
  <c r="AE321" i="18" s="1"/>
  <c r="AF321" i="18" s="1"/>
  <c r="AG321" i="18" s="1"/>
  <c r="AH321" i="18" s="1"/>
  <c r="AI321" i="18" s="1"/>
  <c r="AJ321" i="18" s="1"/>
  <c r="AK321" i="18" s="1"/>
  <c r="AL321" i="18" s="1"/>
  <c r="AM321" i="18" s="1"/>
  <c r="AN321" i="18" s="1"/>
  <c r="AO321" i="18" s="1"/>
  <c r="AP321" i="18" s="1"/>
  <c r="AQ321" i="18" s="1"/>
  <c r="AR321" i="18" s="1"/>
  <c r="AS321" i="18" s="1"/>
  <c r="AT321" i="18" s="1"/>
  <c r="AU321" i="18" s="1"/>
  <c r="AV321" i="18" s="1"/>
  <c r="AW321" i="18" s="1"/>
  <c r="AX321" i="18" s="1"/>
  <c r="AY321" i="18" s="1"/>
  <c r="AZ321" i="18" s="1"/>
  <c r="BA321" i="18" s="1"/>
  <c r="BB321" i="18" s="1"/>
  <c r="BC321" i="18" s="1"/>
  <c r="BD321" i="18" s="1"/>
  <c r="BE321" i="18" s="1"/>
  <c r="BF321" i="18" s="1"/>
  <c r="BG321" i="18" s="1"/>
  <c r="BH321" i="18" s="1"/>
  <c r="BI321" i="18" s="1"/>
  <c r="X399" i="18"/>
  <c r="Y399" i="18" s="1"/>
  <c r="AS463" i="18"/>
  <c r="AT463" i="18" s="1"/>
  <c r="AU463" i="18" s="1"/>
  <c r="AV463" i="18" s="1"/>
  <c r="AW463" i="18" s="1"/>
  <c r="AX463" i="18" s="1"/>
  <c r="AY463" i="18" s="1"/>
  <c r="AZ463" i="18" s="1"/>
  <c r="BA463" i="18" s="1"/>
  <c r="BB463" i="18" s="1"/>
  <c r="BC463" i="18" s="1"/>
  <c r="BD463" i="18" s="1"/>
  <c r="BE463" i="18" s="1"/>
  <c r="BF463" i="18" s="1"/>
  <c r="BG463" i="18" s="1"/>
  <c r="BH463" i="18" s="1"/>
  <c r="BI463" i="18" s="1"/>
  <c r="W673" i="18"/>
  <c r="X673" i="18" s="1"/>
  <c r="Y673" i="18" s="1"/>
  <c r="AH552" i="18"/>
  <c r="AI552" i="18" s="1"/>
  <c r="AJ552" i="18" s="1"/>
  <c r="AK552" i="18" s="1"/>
  <c r="AL552" i="18" s="1"/>
  <c r="AM552" i="18" s="1"/>
  <c r="AN552" i="18" s="1"/>
  <c r="AO552" i="18" s="1"/>
  <c r="AP552" i="18" s="1"/>
  <c r="AQ552" i="18" s="1"/>
  <c r="AR552" i="18" s="1"/>
  <c r="AS552" i="18" s="1"/>
  <c r="AT552" i="18" s="1"/>
  <c r="AU552" i="18" s="1"/>
  <c r="AV552" i="18" s="1"/>
  <c r="AW552" i="18" s="1"/>
  <c r="AX552" i="18" s="1"/>
  <c r="AY552" i="18" s="1"/>
  <c r="AZ552" i="18" s="1"/>
  <c r="BA552" i="18" s="1"/>
  <c r="BB552" i="18" s="1"/>
  <c r="BC552" i="18" s="1"/>
  <c r="BD552" i="18" s="1"/>
  <c r="BE552" i="18" s="1"/>
  <c r="BF552" i="18" s="1"/>
  <c r="BG552" i="18" s="1"/>
  <c r="BH552" i="18" s="1"/>
  <c r="BI552" i="18" s="1"/>
  <c r="AB722" i="18"/>
  <c r="AC722" i="18" s="1"/>
  <c r="AD722" i="18" s="1"/>
  <c r="AE722" i="18" s="1"/>
  <c r="AF722" i="18" s="1"/>
  <c r="AG722" i="18" s="1"/>
  <c r="AH722" i="18" s="1"/>
  <c r="AI722" i="18" s="1"/>
  <c r="AJ722" i="18" s="1"/>
  <c r="AK722" i="18" s="1"/>
  <c r="AL722" i="18" s="1"/>
  <c r="AM722" i="18" s="1"/>
  <c r="AN722" i="18" s="1"/>
  <c r="T856" i="18"/>
  <c r="AZ87" i="18"/>
  <c r="BA87" i="18" s="1"/>
  <c r="BB87" i="18" s="1"/>
  <c r="BC87" i="18" s="1"/>
  <c r="BD87" i="18" s="1"/>
  <c r="Z554" i="18"/>
  <c r="AA554" i="18" s="1"/>
  <c r="AB554" i="18" s="1"/>
  <c r="AC554" i="18" s="1"/>
  <c r="AD554" i="18" s="1"/>
  <c r="AE554" i="18" s="1"/>
  <c r="AF554" i="18" s="1"/>
  <c r="AG554" i="18" s="1"/>
  <c r="AH554" i="18" s="1"/>
  <c r="AI554" i="18" s="1"/>
  <c r="AJ554" i="18" s="1"/>
  <c r="AK554" i="18" s="1"/>
  <c r="AL554" i="18" s="1"/>
  <c r="AM554" i="18" s="1"/>
  <c r="V567" i="18"/>
  <c r="W567" i="18" s="1"/>
  <c r="X567" i="18" s="1"/>
  <c r="Y567" i="18" s="1"/>
  <c r="Z567" i="18" s="1"/>
  <c r="AA567" i="18" s="1"/>
  <c r="AB567" i="18" s="1"/>
  <c r="W631" i="18"/>
  <c r="X631" i="18" s="1"/>
  <c r="Y631" i="18" s="1"/>
  <c r="S609" i="18"/>
  <c r="U606" i="18"/>
  <c r="V606" i="18" s="1"/>
  <c r="W606" i="18" s="1"/>
  <c r="X606" i="18" s="1"/>
  <c r="Y126" i="18"/>
  <c r="Z126" i="18" s="1"/>
  <c r="AA126" i="18" s="1"/>
  <c r="AB126" i="18" s="1"/>
  <c r="AC126" i="18" s="1"/>
  <c r="AD126" i="18" s="1"/>
  <c r="AE126" i="18" s="1"/>
  <c r="AF126" i="18" s="1"/>
  <c r="AG126" i="18" s="1"/>
  <c r="AH126" i="18" s="1"/>
  <c r="AI126" i="18" s="1"/>
  <c r="AJ126" i="18" s="1"/>
  <c r="AK126" i="18" s="1"/>
  <c r="AL126" i="18" s="1"/>
  <c r="AM126" i="18" s="1"/>
  <c r="AN126" i="18" s="1"/>
  <c r="AO126" i="18" s="1"/>
  <c r="AP126" i="18" s="1"/>
  <c r="AQ126" i="18" s="1"/>
  <c r="AR126" i="18" s="1"/>
  <c r="AS126" i="18" s="1"/>
  <c r="AT126" i="18" s="1"/>
  <c r="AU126" i="18" s="1"/>
  <c r="AV126" i="18" s="1"/>
  <c r="AW126" i="18" s="1"/>
  <c r="AX126" i="18" s="1"/>
  <c r="AY126" i="18" s="1"/>
  <c r="AZ126" i="18" s="1"/>
  <c r="BA126" i="18" s="1"/>
  <c r="BB126" i="18" s="1"/>
  <c r="BC126" i="18" s="1"/>
  <c r="BD126" i="18" s="1"/>
  <c r="BE126" i="18" s="1"/>
  <c r="BF126" i="18" s="1"/>
  <c r="BG126" i="18" s="1"/>
  <c r="BH126" i="18" s="1"/>
  <c r="BI126" i="18" s="1"/>
  <c r="T801" i="18"/>
  <c r="AD330" i="18"/>
  <c r="AE330" i="18" s="1"/>
  <c r="AF330" i="18" s="1"/>
  <c r="AG330" i="18" s="1"/>
  <c r="AH330" i="18" s="1"/>
  <c r="AI330" i="18" s="1"/>
  <c r="AJ330" i="18" s="1"/>
  <c r="AK330" i="18" s="1"/>
  <c r="AL330" i="18" s="1"/>
  <c r="AM330" i="18" s="1"/>
  <c r="AN330" i="18" s="1"/>
  <c r="AO330" i="18" s="1"/>
  <c r="AP330" i="18" s="1"/>
  <c r="AQ330" i="18" s="1"/>
  <c r="AR330" i="18" s="1"/>
  <c r="AS330" i="18" s="1"/>
  <c r="AT330" i="18" s="1"/>
  <c r="AU330" i="18" s="1"/>
  <c r="AV330" i="18" s="1"/>
  <c r="AW330" i="18" s="1"/>
  <c r="AX330" i="18" s="1"/>
  <c r="AY330" i="18" s="1"/>
  <c r="AZ330" i="18" s="1"/>
  <c r="BA330" i="18" s="1"/>
  <c r="BB330" i="18" s="1"/>
  <c r="BC330" i="18" s="1"/>
  <c r="BD330" i="18" s="1"/>
  <c r="BE330" i="18" s="1"/>
  <c r="BF330" i="18" s="1"/>
  <c r="BG330" i="18" s="1"/>
  <c r="BH330" i="18" s="1"/>
  <c r="BI330" i="18" s="1"/>
  <c r="BB840" i="18"/>
  <c r="BC840" i="18" s="1"/>
  <c r="BD840" i="18" s="1"/>
  <c r="BE840" i="18" s="1"/>
  <c r="BF840" i="18" s="1"/>
  <c r="BG840" i="18" s="1"/>
  <c r="BH840" i="18" s="1"/>
  <c r="BI840" i="18" s="1"/>
  <c r="W852" i="18"/>
  <c r="X852" i="18" s="1"/>
  <c r="Y852" i="18" s="1"/>
  <c r="Z852" i="18" s="1"/>
  <c r="AA852" i="18" s="1"/>
  <c r="AB852" i="18" s="1"/>
  <c r="AC852" i="18" s="1"/>
  <c r="AD852" i="18" s="1"/>
  <c r="AE852" i="18" s="1"/>
  <c r="AF852" i="18" s="1"/>
  <c r="AG852" i="18" s="1"/>
  <c r="AH852" i="18" s="1"/>
  <c r="AI852" i="18" s="1"/>
  <c r="AJ852" i="18" s="1"/>
  <c r="AK852" i="18" s="1"/>
  <c r="AL852" i="18" s="1"/>
  <c r="AM852" i="18" s="1"/>
  <c r="AN852" i="18" s="1"/>
  <c r="AO852" i="18" s="1"/>
  <c r="AP852" i="18" s="1"/>
  <c r="AQ852" i="18" s="1"/>
  <c r="AR852" i="18" s="1"/>
  <c r="AS852" i="18" s="1"/>
  <c r="AT852" i="18" s="1"/>
  <c r="AU852" i="18" s="1"/>
  <c r="AV852" i="18" s="1"/>
  <c r="AW852" i="18" s="1"/>
  <c r="AX852" i="18" s="1"/>
  <c r="AY852" i="18" s="1"/>
  <c r="AZ852" i="18" s="1"/>
  <c r="BA852" i="18" s="1"/>
  <c r="BB852" i="18" s="1"/>
  <c r="BC852" i="18" s="1"/>
  <c r="BD852" i="18" s="1"/>
  <c r="BE852" i="18" s="1"/>
  <c r="BF852" i="18" s="1"/>
  <c r="BG852" i="18" s="1"/>
  <c r="BH852" i="18" s="1"/>
  <c r="BI852" i="18" s="1"/>
  <c r="W435" i="18"/>
  <c r="X435" i="18" s="1"/>
  <c r="Y435" i="18" s="1"/>
  <c r="Z435" i="18" s="1"/>
  <c r="AA435" i="18" s="1"/>
  <c r="AB435" i="18" s="1"/>
  <c r="AC435" i="18" s="1"/>
  <c r="AD435" i="18" s="1"/>
  <c r="AE435" i="18" s="1"/>
  <c r="AF435" i="18" s="1"/>
  <c r="AG435" i="18" s="1"/>
  <c r="AH435" i="18" s="1"/>
  <c r="AI435" i="18" s="1"/>
  <c r="AJ435" i="18" s="1"/>
  <c r="AK435" i="18" s="1"/>
  <c r="AL435" i="18" s="1"/>
  <c r="AM435" i="18" s="1"/>
  <c r="AN435" i="18" s="1"/>
  <c r="AO435" i="18" s="1"/>
  <c r="AP435" i="18" s="1"/>
  <c r="AQ435" i="18" s="1"/>
  <c r="AR435" i="18" s="1"/>
  <c r="AS435" i="18" s="1"/>
  <c r="AT435" i="18" s="1"/>
  <c r="AU435" i="18" s="1"/>
  <c r="AV435" i="18" s="1"/>
  <c r="AW435" i="18" s="1"/>
  <c r="AX435" i="18" s="1"/>
  <c r="AY435" i="18" s="1"/>
  <c r="AZ435" i="18" s="1"/>
  <c r="BA435" i="18" s="1"/>
  <c r="BB435" i="18" s="1"/>
  <c r="BC435" i="18" s="1"/>
  <c r="BD435" i="18" s="1"/>
  <c r="BE435" i="18" s="1"/>
  <c r="BF435" i="18" s="1"/>
  <c r="BG435" i="18" s="1"/>
  <c r="BH435" i="18" s="1"/>
  <c r="BI435" i="18" s="1"/>
  <c r="Z347" i="18"/>
  <c r="AA347" i="18" s="1"/>
  <c r="AB347" i="18" s="1"/>
  <c r="AC347" i="18" s="1"/>
  <c r="AD347" i="18" s="1"/>
  <c r="AE347" i="18" s="1"/>
  <c r="AF347" i="18" s="1"/>
  <c r="AG347" i="18" s="1"/>
  <c r="AH347" i="18" s="1"/>
  <c r="AI347" i="18" s="1"/>
  <c r="AJ347" i="18" s="1"/>
  <c r="AK347" i="18" s="1"/>
  <c r="AL347" i="18" s="1"/>
  <c r="AM347" i="18" s="1"/>
  <c r="AN347" i="18" s="1"/>
  <c r="AO347" i="18" s="1"/>
  <c r="AP347" i="18" s="1"/>
  <c r="AQ347" i="18" s="1"/>
  <c r="AR347" i="18" s="1"/>
  <c r="AS347" i="18" s="1"/>
  <c r="AT347" i="18" s="1"/>
  <c r="AU347" i="18" s="1"/>
  <c r="AV347" i="18" s="1"/>
  <c r="AW347" i="18" s="1"/>
  <c r="AX347" i="18" s="1"/>
  <c r="AY347" i="18" s="1"/>
  <c r="AZ347" i="18" s="1"/>
  <c r="BA347" i="18" s="1"/>
  <c r="BB347" i="18" s="1"/>
  <c r="BC347" i="18" s="1"/>
  <c r="BD347" i="18" s="1"/>
  <c r="BE347" i="18" s="1"/>
  <c r="BF347" i="18" s="1"/>
  <c r="BG347" i="18" s="1"/>
  <c r="BH347" i="18" s="1"/>
  <c r="BI347" i="18" s="1"/>
  <c r="AG579" i="18"/>
  <c r="AH579" i="18" s="1"/>
  <c r="AI579" i="18" s="1"/>
  <c r="AJ579" i="18" s="1"/>
  <c r="AK579" i="18" s="1"/>
  <c r="AL579" i="18" s="1"/>
  <c r="AM579" i="18" s="1"/>
  <c r="AN579" i="18" s="1"/>
  <c r="AO579" i="18" s="1"/>
  <c r="AP579" i="18" s="1"/>
  <c r="AQ579" i="18" s="1"/>
  <c r="AR579" i="18" s="1"/>
  <c r="AS579" i="18" s="1"/>
  <c r="AT579" i="18" s="1"/>
  <c r="AU579" i="18" s="1"/>
  <c r="AV579" i="18" s="1"/>
  <c r="AW579" i="18" s="1"/>
  <c r="AX579" i="18" s="1"/>
  <c r="AY579" i="18" s="1"/>
  <c r="AZ579" i="18" s="1"/>
  <c r="BA579" i="18" s="1"/>
  <c r="BB579" i="18" s="1"/>
  <c r="BC579" i="18" s="1"/>
  <c r="BD579" i="18" s="1"/>
  <c r="BE579" i="18" s="1"/>
  <c r="BF579" i="18" s="1"/>
  <c r="BG579" i="18" s="1"/>
  <c r="BH579" i="18" s="1"/>
  <c r="BI579" i="18" s="1"/>
  <c r="AA543" i="18"/>
  <c r="AB543" i="18" s="1"/>
  <c r="AC543" i="18" s="1"/>
  <c r="AD543" i="18" s="1"/>
  <c r="AE543" i="18" s="1"/>
  <c r="AF543" i="18" s="1"/>
  <c r="AG543" i="18" s="1"/>
  <c r="AH543" i="18" s="1"/>
  <c r="AI543" i="18" s="1"/>
  <c r="AJ543" i="18" s="1"/>
  <c r="AK543" i="18" s="1"/>
  <c r="AL543" i="18" s="1"/>
  <c r="AM543" i="18" s="1"/>
  <c r="X839" i="18"/>
  <c r="Y293" i="18"/>
  <c r="Z293" i="18" s="1"/>
  <c r="T179" i="18"/>
  <c r="U169" i="18"/>
  <c r="V169" i="18" s="1"/>
  <c r="W485" i="18"/>
  <c r="X485" i="18" s="1"/>
  <c r="W230" i="18"/>
  <c r="X230" i="18" s="1"/>
  <c r="Z539" i="18"/>
  <c r="AA539" i="18" s="1"/>
  <c r="AB539" i="18" s="1"/>
  <c r="W837" i="18"/>
  <c r="W436" i="18"/>
  <c r="X436" i="18" s="1"/>
  <c r="X838" i="18"/>
  <c r="Y838" i="18" s="1"/>
  <c r="Z838" i="18" s="1"/>
  <c r="AA838" i="18" s="1"/>
  <c r="AB838" i="18" s="1"/>
  <c r="AC710" i="18"/>
  <c r="AD710" i="18" s="1"/>
  <c r="AE710" i="18" s="1"/>
  <c r="AF710" i="18" s="1"/>
  <c r="AG710" i="18" s="1"/>
  <c r="AH710" i="18" s="1"/>
  <c r="AI710" i="18" s="1"/>
  <c r="AJ710" i="18" s="1"/>
  <c r="AK710" i="18" s="1"/>
  <c r="AL710" i="18" s="1"/>
  <c r="X592" i="18"/>
  <c r="Y592" i="18" s="1"/>
  <c r="Z592" i="18" s="1"/>
  <c r="AA592" i="18" s="1"/>
  <c r="AB592" i="18" s="1"/>
  <c r="AC592" i="18" s="1"/>
  <c r="AD592" i="18" s="1"/>
  <c r="AE592" i="18" s="1"/>
  <c r="AF592" i="18" s="1"/>
  <c r="AG592" i="18" s="1"/>
  <c r="AH592" i="18" s="1"/>
  <c r="AI592" i="18" s="1"/>
  <c r="AJ592" i="18" s="1"/>
  <c r="AK592" i="18" s="1"/>
  <c r="AL592" i="18" s="1"/>
  <c r="AM592" i="18" s="1"/>
  <c r="AN592" i="18" s="1"/>
  <c r="AO592" i="18" s="1"/>
  <c r="AP592" i="18" s="1"/>
  <c r="AQ592" i="18" s="1"/>
  <c r="AR592" i="18" s="1"/>
  <c r="AS592" i="18" s="1"/>
  <c r="AT592" i="18" s="1"/>
  <c r="AU592" i="18" s="1"/>
  <c r="AV592" i="18" s="1"/>
  <c r="AW592" i="18" s="1"/>
  <c r="AX592" i="18" s="1"/>
  <c r="AY592" i="18" s="1"/>
  <c r="AZ592" i="18" s="1"/>
  <c r="BA592" i="18" s="1"/>
  <c r="BB592" i="18" s="1"/>
  <c r="BC592" i="18" s="1"/>
  <c r="BD592" i="18" s="1"/>
  <c r="BE592" i="18" s="1"/>
  <c r="BF592" i="18" s="1"/>
  <c r="BG592" i="18" s="1"/>
  <c r="BH592" i="18" s="1"/>
  <c r="BI592" i="18" s="1"/>
  <c r="X784" i="18"/>
  <c r="Y784" i="18" s="1"/>
  <c r="V450" i="18"/>
  <c r="X733" i="18"/>
  <c r="Y733" i="18" s="1"/>
  <c r="Z733" i="18" s="1"/>
  <c r="AA733" i="18" s="1"/>
  <c r="AB733" i="18" s="1"/>
  <c r="AC733" i="18" s="1"/>
  <c r="AD733" i="18" s="1"/>
  <c r="AE733" i="18" s="1"/>
  <c r="AF733" i="18" s="1"/>
  <c r="AG733" i="18" s="1"/>
  <c r="AH733" i="18" s="1"/>
  <c r="AI733" i="18" s="1"/>
  <c r="AJ733" i="18" s="1"/>
  <c r="AK733" i="18" s="1"/>
  <c r="AL733" i="18" s="1"/>
  <c r="AM733" i="18" s="1"/>
  <c r="AN733" i="18" s="1"/>
  <c r="AO733" i="18" s="1"/>
  <c r="AP733" i="18" s="1"/>
  <c r="AQ733" i="18" s="1"/>
  <c r="AR733" i="18" s="1"/>
  <c r="AS733" i="18" s="1"/>
  <c r="AT733" i="18" s="1"/>
  <c r="AU733" i="18" s="1"/>
  <c r="AV733" i="18" s="1"/>
  <c r="AW733" i="18" s="1"/>
  <c r="AX733" i="18" s="1"/>
  <c r="AY733" i="18" s="1"/>
  <c r="AZ733" i="18" s="1"/>
  <c r="BA733" i="18" s="1"/>
  <c r="BB733" i="18" s="1"/>
  <c r="BC733" i="18" s="1"/>
  <c r="BD733" i="18" s="1"/>
  <c r="BE733" i="18" s="1"/>
  <c r="BF733" i="18" s="1"/>
  <c r="BG733" i="18" s="1"/>
  <c r="BH733" i="18" s="1"/>
  <c r="BI733" i="18" s="1"/>
  <c r="AB602" i="18"/>
  <c r="AC602" i="18" s="1"/>
  <c r="AD602" i="18" s="1"/>
  <c r="AE602" i="18" s="1"/>
  <c r="AF602" i="18" s="1"/>
  <c r="AG602" i="18" s="1"/>
  <c r="AH602" i="18" s="1"/>
  <c r="AI602" i="18" s="1"/>
  <c r="AJ602" i="18" s="1"/>
  <c r="AK602" i="18" s="1"/>
  <c r="AL602" i="18" s="1"/>
  <c r="AM602" i="18" s="1"/>
  <c r="AN602" i="18" s="1"/>
  <c r="AO602" i="18" s="1"/>
  <c r="AP602" i="18" s="1"/>
  <c r="AQ602" i="18" s="1"/>
  <c r="AR602" i="18" s="1"/>
  <c r="AS602" i="18" s="1"/>
  <c r="AT602" i="18" s="1"/>
  <c r="AU602" i="18" s="1"/>
  <c r="AV602" i="18" s="1"/>
  <c r="AW602" i="18" s="1"/>
  <c r="AX602" i="18" s="1"/>
  <c r="AY602" i="18" s="1"/>
  <c r="AZ602" i="18" s="1"/>
  <c r="BA602" i="18" s="1"/>
  <c r="BB602" i="18" s="1"/>
  <c r="BC602" i="18" s="1"/>
  <c r="BD602" i="18" s="1"/>
  <c r="BE602" i="18" s="1"/>
  <c r="BF602" i="18" s="1"/>
  <c r="BG602" i="18" s="1"/>
  <c r="BH602" i="18" s="1"/>
  <c r="BI602" i="18" s="1"/>
  <c r="AI797" i="18"/>
  <c r="AJ797" i="18" s="1"/>
  <c r="AK797" i="18" s="1"/>
  <c r="AL797" i="18" s="1"/>
  <c r="AM797" i="18" s="1"/>
  <c r="AN797" i="18" s="1"/>
  <c r="AO797" i="18" s="1"/>
  <c r="AP797" i="18" s="1"/>
  <c r="AQ797" i="18" s="1"/>
  <c r="AR797" i="18" s="1"/>
  <c r="AS797" i="18" s="1"/>
  <c r="AT797" i="18" s="1"/>
  <c r="AU797" i="18" s="1"/>
  <c r="AV797" i="18" s="1"/>
  <c r="AW797" i="18" s="1"/>
  <c r="AX797" i="18" s="1"/>
  <c r="AY797" i="18" s="1"/>
  <c r="AZ797" i="18" s="1"/>
  <c r="BA797" i="18" s="1"/>
  <c r="BB797" i="18" s="1"/>
  <c r="BC797" i="18" s="1"/>
  <c r="BD797" i="18" s="1"/>
  <c r="BE797" i="18" s="1"/>
  <c r="BF797" i="18" s="1"/>
  <c r="BG797" i="18" s="1"/>
  <c r="BH797" i="18" s="1"/>
  <c r="BI797" i="18" s="1"/>
  <c r="V386" i="18"/>
  <c r="W386" i="18" s="1"/>
  <c r="X386" i="18" s="1"/>
  <c r="Y386" i="18" s="1"/>
  <c r="Z386" i="18" s="1"/>
  <c r="Y711" i="18"/>
  <c r="Z711" i="18" s="1"/>
  <c r="AA711" i="18" s="1"/>
  <c r="AB711" i="18" s="1"/>
  <c r="AC711" i="18" s="1"/>
  <c r="AD711" i="18" s="1"/>
  <c r="AE711" i="18" s="1"/>
  <c r="AF711" i="18" s="1"/>
  <c r="AG711" i="18" s="1"/>
  <c r="AH711" i="18" s="1"/>
  <c r="AI711" i="18" s="1"/>
  <c r="AJ711" i="18" s="1"/>
  <c r="AK711" i="18" s="1"/>
  <c r="AL711" i="18" s="1"/>
  <c r="AM711" i="18" s="1"/>
  <c r="AN711" i="18" s="1"/>
  <c r="AO711" i="18" s="1"/>
  <c r="AP711" i="18" s="1"/>
  <c r="AQ711" i="18" s="1"/>
  <c r="AR711" i="18" s="1"/>
  <c r="AS711" i="18" s="1"/>
  <c r="AT711" i="18" s="1"/>
  <c r="AU711" i="18" s="1"/>
  <c r="AV711" i="18" s="1"/>
  <c r="AW711" i="18" s="1"/>
  <c r="AX711" i="18" s="1"/>
  <c r="AY711" i="18" s="1"/>
  <c r="AZ711" i="18" s="1"/>
  <c r="BA711" i="18" s="1"/>
  <c r="BB711" i="18" s="1"/>
  <c r="BC711" i="18" s="1"/>
  <c r="BD711" i="18" s="1"/>
  <c r="BE711" i="18" s="1"/>
  <c r="BF711" i="18" s="1"/>
  <c r="BG711" i="18" s="1"/>
  <c r="BH711" i="18" s="1"/>
  <c r="BI711" i="18" s="1"/>
  <c r="V608" i="18"/>
  <c r="W608" i="18" s="1"/>
  <c r="AA437" i="18"/>
  <c r="AB437" i="18" s="1"/>
  <c r="AC437" i="18" s="1"/>
  <c r="AD437" i="18" s="1"/>
  <c r="AE437" i="18" s="1"/>
  <c r="AF437" i="18" s="1"/>
  <c r="AG437" i="18" s="1"/>
  <c r="AH437" i="18" s="1"/>
  <c r="AI437" i="18" s="1"/>
  <c r="AJ437" i="18" s="1"/>
  <c r="AK437" i="18" s="1"/>
  <c r="AL437" i="18" s="1"/>
  <c r="AM437" i="18" s="1"/>
  <c r="AN437" i="18" s="1"/>
  <c r="AO437" i="18" s="1"/>
  <c r="U555" i="18"/>
  <c r="V555" i="18" s="1"/>
  <c r="W555" i="18" s="1"/>
  <c r="X555" i="18" s="1"/>
  <c r="Y555" i="18" s="1"/>
  <c r="Z555" i="18" s="1"/>
  <c r="AA555" i="18" s="1"/>
  <c r="AB555" i="18" s="1"/>
  <c r="AC555" i="18" s="1"/>
  <c r="AD555" i="18" s="1"/>
  <c r="AE555" i="18" s="1"/>
  <c r="AF555" i="18" s="1"/>
  <c r="AG555" i="18" s="1"/>
  <c r="AH555" i="18" s="1"/>
  <c r="AI555" i="18" s="1"/>
  <c r="AJ555" i="18" s="1"/>
  <c r="AK555" i="18" s="1"/>
  <c r="AL555" i="18" s="1"/>
  <c r="AM555" i="18" s="1"/>
  <c r="AN555" i="18" s="1"/>
  <c r="AO555" i="18" s="1"/>
  <c r="AP555" i="18" s="1"/>
  <c r="AQ555" i="18" s="1"/>
  <c r="AR555" i="18" s="1"/>
  <c r="AS555" i="18" s="1"/>
  <c r="AT555" i="18" s="1"/>
  <c r="AU555" i="18" s="1"/>
  <c r="AV555" i="18" s="1"/>
  <c r="AW555" i="18" s="1"/>
  <c r="AX555" i="18" s="1"/>
  <c r="AY555" i="18" s="1"/>
  <c r="AZ555" i="18" s="1"/>
  <c r="BA555" i="18" s="1"/>
  <c r="BB555" i="18" s="1"/>
  <c r="BC555" i="18" s="1"/>
  <c r="BD555" i="18" s="1"/>
  <c r="BE555" i="18" s="1"/>
  <c r="BF555" i="18" s="1"/>
  <c r="BG555" i="18" s="1"/>
  <c r="BH555" i="18" s="1"/>
  <c r="BI555" i="18" s="1"/>
  <c r="S778" i="18"/>
  <c r="X423" i="18"/>
  <c r="Y423" i="18" s="1"/>
  <c r="Z423" i="18" s="1"/>
  <c r="AA423" i="18" s="1"/>
  <c r="W152" i="18"/>
  <c r="Y139" i="18"/>
  <c r="W686" i="18"/>
  <c r="AH628" i="18"/>
  <c r="AI628" i="18" s="1"/>
  <c r="AJ628" i="18" s="1"/>
  <c r="AK628" i="18" s="1"/>
  <c r="AL628" i="18" s="1"/>
  <c r="AM628" i="18" s="1"/>
  <c r="AN628" i="18" s="1"/>
  <c r="AO628" i="18" s="1"/>
  <c r="AP628" i="18" s="1"/>
  <c r="U634" i="18"/>
  <c r="V634" i="18" s="1"/>
  <c r="W634" i="18" s="1"/>
  <c r="X634" i="18" s="1"/>
  <c r="Y634" i="18" s="1"/>
  <c r="Z634" i="18" s="1"/>
  <c r="AA634" i="18" s="1"/>
  <c r="AB634" i="18" s="1"/>
  <c r="AC634" i="18" s="1"/>
  <c r="AD634" i="18" s="1"/>
  <c r="AE634" i="18" s="1"/>
  <c r="AF634" i="18" s="1"/>
  <c r="AG634" i="18" s="1"/>
  <c r="AH634" i="18" s="1"/>
  <c r="AI634" i="18" s="1"/>
  <c r="AJ634" i="18" s="1"/>
  <c r="AK634" i="18" s="1"/>
  <c r="AL634" i="18" s="1"/>
  <c r="AM634" i="18" s="1"/>
  <c r="AN634" i="18" s="1"/>
  <c r="AO634" i="18" s="1"/>
  <c r="AP634" i="18" s="1"/>
  <c r="AQ634" i="18" s="1"/>
  <c r="AR634" i="18" s="1"/>
  <c r="AS634" i="18" s="1"/>
  <c r="AT634" i="18" s="1"/>
  <c r="AU634" i="18" s="1"/>
  <c r="AV634" i="18" s="1"/>
  <c r="AW634" i="18" s="1"/>
  <c r="AX634" i="18" s="1"/>
  <c r="AY634" i="18" s="1"/>
  <c r="AZ634" i="18" s="1"/>
  <c r="BA634" i="18" s="1"/>
  <c r="BB634" i="18" s="1"/>
  <c r="BC634" i="18" s="1"/>
  <c r="BD634" i="18" s="1"/>
  <c r="BE634" i="18" s="1"/>
  <c r="BF634" i="18" s="1"/>
  <c r="BG634" i="18" s="1"/>
  <c r="BH634" i="18" s="1"/>
  <c r="BI634" i="18" s="1"/>
  <c r="U595" i="18"/>
  <c r="V595" i="18" s="1"/>
  <c r="AK150" i="18"/>
  <c r="AL150" i="18" s="1"/>
  <c r="AM150" i="18" s="1"/>
  <c r="AN150" i="18" s="1"/>
  <c r="AO150" i="18" s="1"/>
  <c r="AP150" i="18" s="1"/>
  <c r="AA216" i="18"/>
  <c r="AB216" i="18" s="1"/>
  <c r="AC216" i="18" s="1"/>
  <c r="AD216" i="18" s="1"/>
  <c r="AE216" i="18" s="1"/>
  <c r="AF216" i="18" s="1"/>
  <c r="AG216" i="18" s="1"/>
  <c r="AH216" i="18" s="1"/>
  <c r="AI216" i="18" s="1"/>
  <c r="AJ216" i="18" s="1"/>
  <c r="AK216" i="18" s="1"/>
  <c r="AL216" i="18" s="1"/>
  <c r="AM216" i="18" s="1"/>
  <c r="AN216" i="18" s="1"/>
  <c r="AO216" i="18" s="1"/>
  <c r="AP216" i="18" s="1"/>
  <c r="AQ216" i="18" s="1"/>
  <c r="AR216" i="18" s="1"/>
  <c r="AS216" i="18" s="1"/>
  <c r="AT216" i="18" s="1"/>
  <c r="AU216" i="18" s="1"/>
  <c r="AV216" i="18" s="1"/>
  <c r="AW216" i="18" s="1"/>
  <c r="AX216" i="18" s="1"/>
  <c r="AY216" i="18" s="1"/>
  <c r="AZ216" i="18" s="1"/>
  <c r="BA216" i="18" s="1"/>
  <c r="BB216" i="18" s="1"/>
  <c r="BC216" i="18" s="1"/>
  <c r="BD216" i="18" s="1"/>
  <c r="BE216" i="18" s="1"/>
  <c r="BF216" i="18" s="1"/>
  <c r="BG216" i="18" s="1"/>
  <c r="BH216" i="18" s="1"/>
  <c r="BI216" i="18" s="1"/>
  <c r="AJ517" i="18"/>
  <c r="AK517" i="18" s="1"/>
  <c r="AB425" i="18"/>
  <c r="AC425" i="18" s="1"/>
  <c r="AD425" i="18" s="1"/>
  <c r="AE425" i="18" s="1"/>
  <c r="AF425" i="18" s="1"/>
  <c r="AG425" i="18" s="1"/>
  <c r="AH425" i="18" s="1"/>
  <c r="T557" i="18"/>
  <c r="V621" i="18"/>
  <c r="W621" i="18" s="1"/>
  <c r="X803" i="18"/>
  <c r="Y803" i="18" s="1"/>
  <c r="Z803" i="18" s="1"/>
  <c r="T270" i="18"/>
  <c r="V269" i="18"/>
  <c r="AI502" i="18"/>
  <c r="V738" i="18"/>
  <c r="W738" i="18" s="1"/>
  <c r="V256" i="18"/>
  <c r="V257" i="18" s="1"/>
  <c r="U257" i="18"/>
  <c r="AA774" i="18"/>
  <c r="AB774" i="18" s="1"/>
  <c r="AC774" i="18" s="1"/>
  <c r="AD774" i="18" s="1"/>
  <c r="AE774" i="18" s="1"/>
  <c r="BD86" i="18"/>
  <c r="BE86" i="18" s="1"/>
  <c r="BF86" i="18" s="1"/>
  <c r="BG86" i="18" s="1"/>
  <c r="BH86" i="18" s="1"/>
  <c r="BI86" i="18" s="1"/>
  <c r="AJ834" i="18"/>
  <c r="AK834" i="18" s="1"/>
  <c r="AL834" i="18" s="1"/>
  <c r="AM834" i="18" s="1"/>
  <c r="AN834" i="18" s="1"/>
  <c r="AO834" i="18" s="1"/>
  <c r="AP834" i="18" s="1"/>
  <c r="AQ834" i="18" s="1"/>
  <c r="AR834" i="18" s="1"/>
  <c r="AS834" i="18" s="1"/>
  <c r="AT834" i="18" s="1"/>
  <c r="AU834" i="18" s="1"/>
  <c r="AV834" i="18" s="1"/>
  <c r="AW834" i="18" s="1"/>
  <c r="AX834" i="18" s="1"/>
  <c r="AY834" i="18" s="1"/>
  <c r="AZ834" i="18" s="1"/>
  <c r="BA834" i="18" s="1"/>
  <c r="BB834" i="18" s="1"/>
  <c r="BC834" i="18" s="1"/>
  <c r="BD834" i="18" s="1"/>
  <c r="BE834" i="18" s="1"/>
  <c r="BF834" i="18" s="1"/>
  <c r="BG834" i="18" s="1"/>
  <c r="BH834" i="18" s="1"/>
  <c r="BI834" i="18" s="1"/>
  <c r="U868" i="18"/>
  <c r="T791" i="18"/>
  <c r="U785" i="18"/>
  <c r="V785" i="18" s="1"/>
  <c r="W785" i="18" s="1"/>
  <c r="X785" i="18" s="1"/>
  <c r="Y785" i="18" s="1"/>
  <c r="Z785" i="18" s="1"/>
  <c r="AA785" i="18" s="1"/>
  <c r="AB785" i="18" s="1"/>
  <c r="AC785" i="18" s="1"/>
  <c r="AD785" i="18" s="1"/>
  <c r="AE785" i="18" s="1"/>
  <c r="AF785" i="18" s="1"/>
  <c r="AG785" i="18" s="1"/>
  <c r="AH785" i="18" s="1"/>
  <c r="AI785" i="18" s="1"/>
  <c r="AJ785" i="18" s="1"/>
  <c r="AK785" i="18" s="1"/>
  <c r="AL785" i="18" s="1"/>
  <c r="AM785" i="18" s="1"/>
  <c r="AN785" i="18" s="1"/>
  <c r="AO785" i="18" s="1"/>
  <c r="AP785" i="18" s="1"/>
  <c r="AQ785" i="18" s="1"/>
  <c r="AR785" i="18" s="1"/>
  <c r="AS785" i="18" s="1"/>
  <c r="AT785" i="18" s="1"/>
  <c r="AU785" i="18" s="1"/>
  <c r="AV785" i="18" s="1"/>
  <c r="AW785" i="18" s="1"/>
  <c r="AX785" i="18" s="1"/>
  <c r="AY785" i="18" s="1"/>
  <c r="AZ785" i="18" s="1"/>
  <c r="BA785" i="18" s="1"/>
  <c r="BB785" i="18" s="1"/>
  <c r="BC785" i="18" s="1"/>
  <c r="BD785" i="18" s="1"/>
  <c r="BE785" i="18" s="1"/>
  <c r="BF785" i="18" s="1"/>
  <c r="BG785" i="18" s="1"/>
  <c r="BH785" i="18" s="1"/>
  <c r="BI785" i="18" s="1"/>
  <c r="AA438" i="18"/>
  <c r="AB438" i="18" s="1"/>
  <c r="AC438" i="18" s="1"/>
  <c r="AD438" i="18" s="1"/>
  <c r="AE438" i="18" s="1"/>
  <c r="AF438" i="18" s="1"/>
  <c r="AG438" i="18" s="1"/>
  <c r="AH438" i="18" s="1"/>
  <c r="AI438" i="18" s="1"/>
  <c r="AJ438" i="18" s="1"/>
  <c r="AK438" i="18" s="1"/>
  <c r="AL438" i="18" s="1"/>
  <c r="AM438" i="18" s="1"/>
  <c r="AN438" i="18" s="1"/>
  <c r="AO438" i="18" s="1"/>
  <c r="AP438" i="18" s="1"/>
  <c r="AQ438" i="18" s="1"/>
  <c r="AR438" i="18" s="1"/>
  <c r="AS438" i="18" s="1"/>
  <c r="AT438" i="18" s="1"/>
  <c r="AU438" i="18" s="1"/>
  <c r="AV438" i="18" s="1"/>
  <c r="AW438" i="18" s="1"/>
  <c r="AX438" i="18" s="1"/>
  <c r="AY438" i="18" s="1"/>
  <c r="AZ438" i="18" s="1"/>
  <c r="BA438" i="18" s="1"/>
  <c r="BB438" i="18" s="1"/>
  <c r="BC438" i="18" s="1"/>
  <c r="BD438" i="18" s="1"/>
  <c r="BE438" i="18" s="1"/>
  <c r="BF438" i="18" s="1"/>
  <c r="BG438" i="18" s="1"/>
  <c r="BH438" i="18" s="1"/>
  <c r="BI438" i="18" s="1"/>
  <c r="Z761" i="18"/>
  <c r="AA761" i="18" s="1"/>
  <c r="AB761" i="18" s="1"/>
  <c r="Y657" i="18"/>
  <c r="Z657" i="18" s="1"/>
  <c r="AA657" i="18" s="1"/>
  <c r="AB657" i="18" s="1"/>
  <c r="AC657" i="18" s="1"/>
  <c r="AD657" i="18" s="1"/>
  <c r="AE657" i="18" s="1"/>
  <c r="AF657" i="18" s="1"/>
  <c r="AG657" i="18" s="1"/>
  <c r="AH657" i="18" s="1"/>
  <c r="AI657" i="18" s="1"/>
  <c r="AJ657" i="18" s="1"/>
  <c r="AK657" i="18" s="1"/>
  <c r="AL657" i="18" s="1"/>
  <c r="AM657" i="18" s="1"/>
  <c r="AN657" i="18" s="1"/>
  <c r="AO657" i="18" s="1"/>
  <c r="AP657" i="18" s="1"/>
  <c r="AQ657" i="18" s="1"/>
  <c r="AR657" i="18" s="1"/>
  <c r="AS657" i="18" s="1"/>
  <c r="AT657" i="18" s="1"/>
  <c r="AU657" i="18" s="1"/>
  <c r="AV657" i="18" s="1"/>
  <c r="AW657" i="18" s="1"/>
  <c r="AX657" i="18" s="1"/>
  <c r="AY657" i="18" s="1"/>
  <c r="AZ657" i="18" s="1"/>
  <c r="BA657" i="18" s="1"/>
  <c r="BB657" i="18" s="1"/>
  <c r="BC657" i="18" s="1"/>
  <c r="BD657" i="18" s="1"/>
  <c r="BE657" i="18" s="1"/>
  <c r="BF657" i="18" s="1"/>
  <c r="BG657" i="18" s="1"/>
  <c r="BH657" i="18" s="1"/>
  <c r="BI657" i="18" s="1"/>
  <c r="U842" i="18"/>
  <c r="V842" i="18" s="1"/>
  <c r="T843" i="18"/>
  <c r="W671" i="18"/>
  <c r="X671" i="18" s="1"/>
  <c r="Y671" i="18" s="1"/>
  <c r="Z671" i="18" s="1"/>
  <c r="AA671" i="18" s="1"/>
  <c r="AB671" i="18" s="1"/>
  <c r="AC671" i="18" s="1"/>
  <c r="AD671" i="18" s="1"/>
  <c r="AE671" i="18" s="1"/>
  <c r="AF671" i="18" s="1"/>
  <c r="AG671" i="18" s="1"/>
  <c r="AH671" i="18" s="1"/>
  <c r="Y203" i="18"/>
  <c r="Z203" i="18" s="1"/>
  <c r="AA203" i="18" s="1"/>
  <c r="AB203" i="18" s="1"/>
  <c r="AC203" i="18" s="1"/>
  <c r="AD203" i="18" s="1"/>
  <c r="V851" i="18"/>
  <c r="W851" i="18" s="1"/>
  <c r="X851" i="18" s="1"/>
  <c r="Y851" i="18" s="1"/>
  <c r="Z851" i="18" s="1"/>
  <c r="AA851" i="18" s="1"/>
  <c r="AB851" i="18" s="1"/>
  <c r="AC851" i="18" s="1"/>
  <c r="AD851" i="18" s="1"/>
  <c r="AE851" i="18" s="1"/>
  <c r="AF851" i="18" s="1"/>
  <c r="AG851" i="18" s="1"/>
  <c r="AH851" i="18" s="1"/>
  <c r="AI851" i="18" s="1"/>
  <c r="AJ851" i="18" s="1"/>
  <c r="AK851" i="18" s="1"/>
  <c r="AL851" i="18" s="1"/>
  <c r="AM851" i="18" s="1"/>
  <c r="AN851" i="18" s="1"/>
  <c r="AO851" i="18" s="1"/>
  <c r="AP851" i="18" s="1"/>
  <c r="AQ851" i="18" s="1"/>
  <c r="AR851" i="18" s="1"/>
  <c r="AS851" i="18" s="1"/>
  <c r="AT851" i="18" s="1"/>
  <c r="AU851" i="18" s="1"/>
  <c r="AV851" i="18" s="1"/>
  <c r="AW851" i="18" s="1"/>
  <c r="AX851" i="18" s="1"/>
  <c r="AY851" i="18" s="1"/>
  <c r="AZ851" i="18" s="1"/>
  <c r="BA851" i="18" s="1"/>
  <c r="BB851" i="18" s="1"/>
  <c r="BC851" i="18" s="1"/>
  <c r="BD851" i="18" s="1"/>
  <c r="BE851" i="18" s="1"/>
  <c r="BF851" i="18" s="1"/>
  <c r="BG851" i="18" s="1"/>
  <c r="BH851" i="18" s="1"/>
  <c r="BI851" i="18" s="1"/>
  <c r="T580" i="18"/>
  <c r="U580" i="18" s="1"/>
  <c r="X721" i="18"/>
  <c r="Y721" i="18" s="1"/>
  <c r="Z721" i="18" s="1"/>
  <c r="AA721" i="18" s="1"/>
  <c r="Y489" i="18"/>
  <c r="Z489" i="18" s="1"/>
  <c r="AC410" i="18"/>
  <c r="AD410" i="18" s="1"/>
  <c r="AJ451" i="18"/>
  <c r="W828" i="18"/>
  <c r="X828" i="18" s="1"/>
  <c r="Y828" i="18" s="1"/>
  <c r="Z828" i="18" s="1"/>
  <c r="Y325" i="18"/>
  <c r="AA716" i="18"/>
  <c r="AB716" i="18" s="1"/>
  <c r="I4" i="7942"/>
  <c r="I4" i="7943"/>
  <c r="I278" i="1"/>
  <c r="O278" i="1" s="1"/>
  <c r="U278" i="1" s="1"/>
  <c r="AA278" i="1" s="1"/>
  <c r="AG278" i="1" s="1"/>
  <c r="AM278" i="1" s="1"/>
  <c r="AS278" i="1" s="1"/>
  <c r="AY278" i="1" s="1"/>
  <c r="BE278" i="1" s="1"/>
  <c r="BK278" i="1" s="1"/>
  <c r="I4" i="7946"/>
  <c r="U829" i="18"/>
  <c r="W360" i="18"/>
  <c r="X360" i="18" s="1"/>
  <c r="Y360" i="18" s="1"/>
  <c r="Z360" i="18" s="1"/>
  <c r="Y815" i="18"/>
  <c r="Z815" i="18" s="1"/>
  <c r="AA815" i="18" s="1"/>
  <c r="AB815" i="18" s="1"/>
  <c r="AC815" i="18" s="1"/>
  <c r="AD815" i="18" s="1"/>
  <c r="AE815" i="18" s="1"/>
  <c r="AF815" i="18" s="1"/>
  <c r="AG815" i="18" s="1"/>
  <c r="AH815" i="18" s="1"/>
  <c r="AI815" i="18" s="1"/>
  <c r="AJ815" i="18" s="1"/>
  <c r="AK815" i="18" s="1"/>
  <c r="AL815" i="18" s="1"/>
  <c r="AM815" i="18" s="1"/>
  <c r="AN815" i="18" s="1"/>
  <c r="AO815" i="18" s="1"/>
  <c r="AP815" i="18" s="1"/>
  <c r="AQ815" i="18" s="1"/>
  <c r="AR815" i="18" s="1"/>
  <c r="AS815" i="18" s="1"/>
  <c r="AT815" i="18" s="1"/>
  <c r="AU815" i="18" s="1"/>
  <c r="AV815" i="18" s="1"/>
  <c r="AW815" i="18" s="1"/>
  <c r="AX815" i="18" s="1"/>
  <c r="AY815" i="18" s="1"/>
  <c r="AZ815" i="18" s="1"/>
  <c r="BA815" i="18" s="1"/>
  <c r="BB815" i="18" s="1"/>
  <c r="BC815" i="18" s="1"/>
  <c r="BD815" i="18" s="1"/>
  <c r="BE815" i="18" s="1"/>
  <c r="BF815" i="18" s="1"/>
  <c r="BG815" i="18" s="1"/>
  <c r="BH815" i="18" s="1"/>
  <c r="BI815" i="18" s="1"/>
  <c r="Y534" i="18"/>
  <c r="Z820" i="18"/>
  <c r="Z130" i="18"/>
  <c r="X377" i="18"/>
  <c r="Y568" i="18"/>
  <c r="Z568" i="18" s="1"/>
  <c r="T192" i="18"/>
  <c r="X594" i="18"/>
  <c r="Y594" i="18" s="1"/>
  <c r="Z594" i="18" s="1"/>
  <c r="AA594" i="18" s="1"/>
  <c r="AB594" i="18" s="1"/>
  <c r="AC594" i="18" s="1"/>
  <c r="AD594" i="18" s="1"/>
  <c r="AE594" i="18" s="1"/>
  <c r="AF594" i="18" s="1"/>
  <c r="AG594" i="18" s="1"/>
  <c r="AH594" i="18" s="1"/>
  <c r="AI594" i="18" s="1"/>
  <c r="AJ594" i="18" s="1"/>
  <c r="AK594" i="18" s="1"/>
  <c r="AL594" i="18" s="1"/>
  <c r="AM594" i="18" s="1"/>
  <c r="AN594" i="18" s="1"/>
  <c r="AO594" i="18" s="1"/>
  <c r="AP594" i="18" s="1"/>
  <c r="AQ594" i="18" s="1"/>
  <c r="AR594" i="18" s="1"/>
  <c r="AS594" i="18" s="1"/>
  <c r="AT594" i="18" s="1"/>
  <c r="AU594" i="18" s="1"/>
  <c r="AV594" i="18" s="1"/>
  <c r="AW594" i="18" s="1"/>
  <c r="AX594" i="18" s="1"/>
  <c r="AY594" i="18" s="1"/>
  <c r="AZ594" i="18" s="1"/>
  <c r="BA594" i="18" s="1"/>
  <c r="BB594" i="18" s="1"/>
  <c r="BC594" i="18" s="1"/>
  <c r="BD594" i="18" s="1"/>
  <c r="BE594" i="18" s="1"/>
  <c r="BF594" i="18" s="1"/>
  <c r="BG594" i="18" s="1"/>
  <c r="BH594" i="18" s="1"/>
  <c r="BI594" i="18" s="1"/>
  <c r="R231" i="18"/>
  <c r="S221" i="18"/>
  <c r="S713" i="18"/>
  <c r="T706" i="18"/>
  <c r="V712" i="18"/>
  <c r="W712" i="18" s="1"/>
  <c r="X712" i="18" s="1"/>
  <c r="W855" i="18"/>
  <c r="V541" i="18"/>
  <c r="W541" i="18" s="1"/>
  <c r="X541" i="18" s="1"/>
  <c r="Y541" i="18" s="1"/>
  <c r="Z541" i="18" s="1"/>
  <c r="AA541" i="18" s="1"/>
  <c r="AB541" i="18" s="1"/>
  <c r="AC541" i="18" s="1"/>
  <c r="AD541" i="18" s="1"/>
  <c r="AE541" i="18" s="1"/>
  <c r="AF541" i="18" s="1"/>
  <c r="AG541" i="18" s="1"/>
  <c r="AH541" i="18" s="1"/>
  <c r="AI541" i="18" s="1"/>
  <c r="AJ541" i="18" s="1"/>
  <c r="AK541" i="18" s="1"/>
  <c r="AL541" i="18" s="1"/>
  <c r="AM541" i="18" s="1"/>
  <c r="AN541" i="18" s="1"/>
  <c r="AO541" i="18" s="1"/>
  <c r="AP541" i="18" s="1"/>
  <c r="AQ541" i="18" s="1"/>
  <c r="AR541" i="18" s="1"/>
  <c r="AS541" i="18" s="1"/>
  <c r="AT541" i="18" s="1"/>
  <c r="AU541" i="18" s="1"/>
  <c r="AV541" i="18" s="1"/>
  <c r="AW541" i="18" s="1"/>
  <c r="AX541" i="18" s="1"/>
  <c r="AY541" i="18" s="1"/>
  <c r="AZ541" i="18" s="1"/>
  <c r="BA541" i="18" s="1"/>
  <c r="BB541" i="18" s="1"/>
  <c r="BC541" i="18" s="1"/>
  <c r="BD541" i="18" s="1"/>
  <c r="BE541" i="18" s="1"/>
  <c r="BF541" i="18" s="1"/>
  <c r="BG541" i="18" s="1"/>
  <c r="BH541" i="18" s="1"/>
  <c r="BI541" i="18" s="1"/>
  <c r="V333" i="18"/>
  <c r="AD529" i="18"/>
  <c r="AE529" i="18" s="1"/>
  <c r="AF529" i="18" s="1"/>
  <c r="AB638" i="18"/>
  <c r="X312" i="18"/>
  <c r="W640" i="18"/>
  <c r="U490" i="18"/>
  <c r="V490" i="18" s="1"/>
  <c r="V286" i="18"/>
  <c r="T622" i="18"/>
  <c r="U618" i="18"/>
  <c r="Y372" i="18"/>
  <c r="Z372" i="18" s="1"/>
  <c r="AA372" i="18" s="1"/>
  <c r="AB372" i="18" s="1"/>
  <c r="AC372" i="18" s="1"/>
  <c r="AD372" i="18" s="1"/>
  <c r="AE372" i="18" s="1"/>
  <c r="AF372" i="18" s="1"/>
  <c r="AG372" i="18" s="1"/>
  <c r="AH372" i="18" s="1"/>
  <c r="AI372" i="18" s="1"/>
  <c r="AJ372" i="18" s="1"/>
  <c r="AK372" i="18" s="1"/>
  <c r="AL372" i="18" s="1"/>
  <c r="AM372" i="18" s="1"/>
  <c r="AN372" i="18" s="1"/>
  <c r="AO372" i="18" s="1"/>
  <c r="AP372" i="18" s="1"/>
  <c r="AQ372" i="18" s="1"/>
  <c r="AR372" i="18" s="1"/>
  <c r="AS372" i="18" s="1"/>
  <c r="AT372" i="18" s="1"/>
  <c r="AU372" i="18" s="1"/>
  <c r="AV372" i="18" s="1"/>
  <c r="AW372" i="18" s="1"/>
  <c r="AX372" i="18" s="1"/>
  <c r="AY372" i="18" s="1"/>
  <c r="AZ372" i="18" s="1"/>
  <c r="BA372" i="18" s="1"/>
  <c r="BB372" i="18" s="1"/>
  <c r="BC372" i="18" s="1"/>
  <c r="BD372" i="18" s="1"/>
  <c r="BE372" i="18" s="1"/>
  <c r="BF372" i="18" s="1"/>
  <c r="BG372" i="18" s="1"/>
  <c r="BH372" i="18" s="1"/>
  <c r="BI372" i="18" s="1"/>
  <c r="Y593" i="18"/>
  <c r="Z593" i="18" s="1"/>
  <c r="AA593" i="18" s="1"/>
  <c r="AB593" i="18" s="1"/>
  <c r="AC593" i="18" s="1"/>
  <c r="AD593" i="18" s="1"/>
  <c r="AE593" i="18" s="1"/>
  <c r="AF593" i="18" s="1"/>
  <c r="AG593" i="18" s="1"/>
  <c r="AH593" i="18" s="1"/>
  <c r="AI593" i="18" s="1"/>
  <c r="AJ593" i="18" s="1"/>
  <c r="AK593" i="18" s="1"/>
  <c r="AL593" i="18" s="1"/>
  <c r="AM593" i="18" s="1"/>
  <c r="AN593" i="18" s="1"/>
  <c r="AO593" i="18" s="1"/>
  <c r="AP593" i="18" s="1"/>
  <c r="AQ593" i="18" s="1"/>
  <c r="AR593" i="18" s="1"/>
  <c r="AS593" i="18" s="1"/>
  <c r="AT593" i="18" s="1"/>
  <c r="AU593" i="18" s="1"/>
  <c r="AV593" i="18" s="1"/>
  <c r="AW593" i="18" s="1"/>
  <c r="AX593" i="18" s="1"/>
  <c r="AY593" i="18" s="1"/>
  <c r="AZ593" i="18" s="1"/>
  <c r="BA593" i="18" s="1"/>
  <c r="BB593" i="18" s="1"/>
  <c r="BC593" i="18" s="1"/>
  <c r="BD593" i="18" s="1"/>
  <c r="BE593" i="18" s="1"/>
  <c r="BF593" i="18" s="1"/>
  <c r="BG593" i="18" s="1"/>
  <c r="BH593" i="18" s="1"/>
  <c r="BI593" i="18" s="1"/>
  <c r="X690" i="18"/>
  <c r="U749" i="18"/>
  <c r="T752" i="18"/>
  <c r="W247" i="18"/>
  <c r="V685" i="18"/>
  <c r="U244" i="18"/>
  <c r="V234" i="18"/>
  <c r="S492" i="18"/>
  <c r="T487" i="18"/>
  <c r="W807" i="18"/>
  <c r="V750" i="18"/>
  <c r="W750" i="18" s="1"/>
  <c r="X750" i="18" s="1"/>
  <c r="U668" i="18"/>
  <c r="T674" i="18"/>
  <c r="Y751" i="18"/>
  <c r="U739" i="18"/>
  <c r="V729" i="18"/>
  <c r="X542" i="18"/>
  <c r="T726" i="18"/>
  <c r="U718" i="18"/>
  <c r="U670" i="18"/>
  <c r="V670" i="18" s="1"/>
  <c r="W670" i="18" s="1"/>
  <c r="X670" i="18" s="1"/>
  <c r="Y670" i="18" s="1"/>
  <c r="V187" i="18"/>
  <c r="P33" i="7946"/>
  <c r="Q33" i="7946" s="1"/>
  <c r="Q10" i="7946"/>
  <c r="AK511" i="18"/>
  <c r="AL511" i="18" s="1"/>
  <c r="AA547" i="18"/>
  <c r="U127" i="18"/>
  <c r="V117" i="18"/>
  <c r="Z865" i="18"/>
  <c r="AA865" i="18" s="1"/>
  <c r="AB865" i="18" s="1"/>
  <c r="AC865" i="18" s="1"/>
  <c r="AD865" i="18" s="1"/>
  <c r="AE865" i="18" s="1"/>
  <c r="AF865" i="18" s="1"/>
  <c r="AG865" i="18" s="1"/>
  <c r="AH865" i="18" s="1"/>
  <c r="AI865" i="18" s="1"/>
  <c r="AJ865" i="18" s="1"/>
  <c r="AK865" i="18" s="1"/>
  <c r="AL865" i="18" s="1"/>
  <c r="AM865" i="18" s="1"/>
  <c r="AN865" i="18" s="1"/>
  <c r="AO865" i="18" s="1"/>
  <c r="AP865" i="18" s="1"/>
  <c r="AQ865" i="18" s="1"/>
  <c r="AR865" i="18" s="1"/>
  <c r="AS865" i="18" s="1"/>
  <c r="AT865" i="18" s="1"/>
  <c r="AU865" i="18" s="1"/>
  <c r="AV865" i="18" s="1"/>
  <c r="AW865" i="18" s="1"/>
  <c r="AX865" i="18" s="1"/>
  <c r="AY865" i="18" s="1"/>
  <c r="AZ865" i="18" s="1"/>
  <c r="BA865" i="18" s="1"/>
  <c r="BB865" i="18" s="1"/>
  <c r="BC865" i="18" s="1"/>
  <c r="BD865" i="18" s="1"/>
  <c r="BE865" i="18" s="1"/>
  <c r="BF865" i="18" s="1"/>
  <c r="BG865" i="18" s="1"/>
  <c r="BH865" i="18" s="1"/>
  <c r="BI865" i="18" s="1"/>
  <c r="W664" i="18"/>
  <c r="T869" i="18"/>
  <c r="U859" i="18"/>
  <c r="X633" i="18"/>
  <c r="Y633" i="18" s="1"/>
  <c r="Z633" i="18" s="1"/>
  <c r="AA633" i="18" s="1"/>
  <c r="AB633" i="18" s="1"/>
  <c r="AC633" i="18" s="1"/>
  <c r="AD633" i="18" s="1"/>
  <c r="AE633" i="18" s="1"/>
  <c r="AF633" i="18" s="1"/>
  <c r="AG633" i="18" s="1"/>
  <c r="AH633" i="18" s="1"/>
  <c r="AI633" i="18" s="1"/>
  <c r="AJ633" i="18" s="1"/>
  <c r="AK633" i="18" s="1"/>
  <c r="AL633" i="18" s="1"/>
  <c r="AM633" i="18" s="1"/>
  <c r="AN633" i="18" s="1"/>
  <c r="AO633" i="18" s="1"/>
  <c r="AP633" i="18" s="1"/>
  <c r="AQ633" i="18" s="1"/>
  <c r="AR633" i="18" s="1"/>
  <c r="AS633" i="18" s="1"/>
  <c r="AT633" i="18" s="1"/>
  <c r="AU633" i="18" s="1"/>
  <c r="AV633" i="18" s="1"/>
  <c r="AW633" i="18" s="1"/>
  <c r="AX633" i="18" s="1"/>
  <c r="AY633" i="18" s="1"/>
  <c r="AZ633" i="18" s="1"/>
  <c r="BA633" i="18" s="1"/>
  <c r="BB633" i="18" s="1"/>
  <c r="BC633" i="18" s="1"/>
  <c r="BD633" i="18" s="1"/>
  <c r="BE633" i="18" s="1"/>
  <c r="BF633" i="18" s="1"/>
  <c r="BG633" i="18" s="1"/>
  <c r="BH633" i="18" s="1"/>
  <c r="BI633" i="18" s="1"/>
  <c r="W282" i="18"/>
  <c r="X282" i="18" s="1"/>
  <c r="Y282" i="18" s="1"/>
  <c r="Z243" i="18"/>
  <c r="AA243" i="18" s="1"/>
  <c r="AB243" i="18" s="1"/>
  <c r="AC243" i="18" s="1"/>
  <c r="AD243" i="18" s="1"/>
  <c r="AE243" i="18" s="1"/>
  <c r="AF243" i="18" s="1"/>
  <c r="AG243" i="18" s="1"/>
  <c r="AH243" i="18" s="1"/>
  <c r="AI243" i="18" s="1"/>
  <c r="AJ243" i="18" s="1"/>
  <c r="AK243" i="18" s="1"/>
  <c r="AL243" i="18" s="1"/>
  <c r="AM243" i="18" s="1"/>
  <c r="AN243" i="18" s="1"/>
  <c r="AO243" i="18" s="1"/>
  <c r="AP243" i="18" s="1"/>
  <c r="AQ243" i="18" s="1"/>
  <c r="AR243" i="18" s="1"/>
  <c r="AS243" i="18" s="1"/>
  <c r="AT243" i="18" s="1"/>
  <c r="AU243" i="18" s="1"/>
  <c r="AV243" i="18" s="1"/>
  <c r="AW243" i="18" s="1"/>
  <c r="AX243" i="18" s="1"/>
  <c r="AY243" i="18" s="1"/>
  <c r="AZ243" i="18" s="1"/>
  <c r="BA243" i="18" s="1"/>
  <c r="BB243" i="18" s="1"/>
  <c r="BC243" i="18" s="1"/>
  <c r="BD243" i="18" s="1"/>
  <c r="BE243" i="18" s="1"/>
  <c r="BF243" i="18" s="1"/>
  <c r="BG243" i="18" s="1"/>
  <c r="BH243" i="18" s="1"/>
  <c r="BI243" i="18" s="1"/>
  <c r="V229" i="18"/>
  <c r="W229" i="18" s="1"/>
  <c r="X229" i="18" s="1"/>
  <c r="V373" i="18"/>
  <c r="V374" i="18" s="1"/>
  <c r="W827" i="18"/>
  <c r="X827" i="18" s="1"/>
  <c r="U816" i="18"/>
  <c r="S283" i="18"/>
  <c r="T273" i="18"/>
  <c r="AU114" i="18"/>
  <c r="AV113" i="18"/>
  <c r="Z788" i="18"/>
  <c r="AA788" i="18" s="1"/>
  <c r="AB788" i="18" s="1"/>
  <c r="AC788" i="18" s="1"/>
  <c r="AD788" i="18" s="1"/>
  <c r="AE788" i="18" s="1"/>
  <c r="AF788" i="18" s="1"/>
  <c r="AG788" i="18" s="1"/>
  <c r="AH788" i="18" s="1"/>
  <c r="AI788" i="18" s="1"/>
  <c r="AJ788" i="18" s="1"/>
  <c r="AK788" i="18" s="1"/>
  <c r="AL788" i="18" s="1"/>
  <c r="AM788" i="18" s="1"/>
  <c r="AN788" i="18" s="1"/>
  <c r="AO788" i="18" s="1"/>
  <c r="AP788" i="18" s="1"/>
  <c r="AQ788" i="18" s="1"/>
  <c r="AR788" i="18" s="1"/>
  <c r="AS788" i="18" s="1"/>
  <c r="AT788" i="18" s="1"/>
  <c r="AU788" i="18" s="1"/>
  <c r="AV788" i="18" s="1"/>
  <c r="AW788" i="18" s="1"/>
  <c r="AX788" i="18" s="1"/>
  <c r="AY788" i="18" s="1"/>
  <c r="AZ788" i="18" s="1"/>
  <c r="BA788" i="18" s="1"/>
  <c r="BB788" i="18" s="1"/>
  <c r="BC788" i="18" s="1"/>
  <c r="BD788" i="18" s="1"/>
  <c r="BE788" i="18" s="1"/>
  <c r="BF788" i="18" s="1"/>
  <c r="BG788" i="18" s="1"/>
  <c r="BH788" i="18" s="1"/>
  <c r="BI788" i="18" s="1"/>
  <c r="V530" i="18"/>
  <c r="W530" i="18" s="1"/>
  <c r="X530" i="18" s="1"/>
  <c r="AG814" i="18"/>
  <c r="AH814" i="18" s="1"/>
  <c r="AI814" i="18" s="1"/>
  <c r="AJ814" i="18" s="1"/>
  <c r="AK814" i="18" s="1"/>
  <c r="AL814" i="18" s="1"/>
  <c r="AM814" i="18" s="1"/>
  <c r="AN814" i="18" s="1"/>
  <c r="AO814" i="18" s="1"/>
  <c r="AP814" i="18" s="1"/>
  <c r="AQ814" i="18" s="1"/>
  <c r="AR814" i="18" s="1"/>
  <c r="AS814" i="18" s="1"/>
  <c r="AT814" i="18" s="1"/>
  <c r="AU814" i="18" s="1"/>
  <c r="AV814" i="18" s="1"/>
  <c r="AW814" i="18" s="1"/>
  <c r="AX814" i="18" s="1"/>
  <c r="AY814" i="18" s="1"/>
  <c r="AZ814" i="18" s="1"/>
  <c r="BA814" i="18" s="1"/>
  <c r="BB814" i="18" s="1"/>
  <c r="BC814" i="18" s="1"/>
  <c r="BD814" i="18" s="1"/>
  <c r="BE814" i="18" s="1"/>
  <c r="BF814" i="18" s="1"/>
  <c r="BG814" i="18" s="1"/>
  <c r="BH814" i="18" s="1"/>
  <c r="BI814" i="18" s="1"/>
  <c r="Z651" i="18"/>
  <c r="AB190" i="18"/>
  <c r="AC190" i="18" s="1"/>
  <c r="AD190" i="18" s="1"/>
  <c r="AE190" i="18" s="1"/>
  <c r="AF190" i="18" s="1"/>
  <c r="AG190" i="18" s="1"/>
  <c r="AH190" i="18" s="1"/>
  <c r="AI190" i="18" s="1"/>
  <c r="AJ190" i="18" s="1"/>
  <c r="AK190" i="18" s="1"/>
  <c r="AL190" i="18" s="1"/>
  <c r="AM190" i="18" s="1"/>
  <c r="AN190" i="18" s="1"/>
  <c r="AO190" i="18" s="1"/>
  <c r="AP190" i="18" s="1"/>
  <c r="AQ190" i="18" s="1"/>
  <c r="AR190" i="18" s="1"/>
  <c r="AS190" i="18" s="1"/>
  <c r="AT190" i="18" s="1"/>
  <c r="AU190" i="18" s="1"/>
  <c r="AV190" i="18" s="1"/>
  <c r="AW190" i="18" s="1"/>
  <c r="AX190" i="18" s="1"/>
  <c r="AY190" i="18" s="1"/>
  <c r="AZ190" i="18" s="1"/>
  <c r="BA190" i="18" s="1"/>
  <c r="BB190" i="18" s="1"/>
  <c r="BC190" i="18" s="1"/>
  <c r="BD190" i="18" s="1"/>
  <c r="BE190" i="18" s="1"/>
  <c r="BF190" i="18" s="1"/>
  <c r="BG190" i="18" s="1"/>
  <c r="BH190" i="18" s="1"/>
  <c r="BI190" i="18" s="1"/>
  <c r="U687" i="18"/>
  <c r="W491" i="18"/>
  <c r="X491" i="18" s="1"/>
  <c r="U307" i="18"/>
  <c r="AA735" i="18"/>
  <c r="AB735" i="18" s="1"/>
  <c r="AC735" i="18" s="1"/>
  <c r="AD735" i="18" s="1"/>
  <c r="AE735" i="18" s="1"/>
  <c r="AF735" i="18" s="1"/>
  <c r="AG735" i="18" s="1"/>
  <c r="AH735" i="18" s="1"/>
  <c r="AI735" i="18" s="1"/>
  <c r="AJ735" i="18" s="1"/>
  <c r="AK735" i="18" s="1"/>
  <c r="AL735" i="18" s="1"/>
  <c r="AM735" i="18" s="1"/>
  <c r="AN735" i="18" s="1"/>
  <c r="AO735" i="18" s="1"/>
  <c r="AP735" i="18" s="1"/>
  <c r="AQ735" i="18" s="1"/>
  <c r="AR735" i="18" s="1"/>
  <c r="AS735" i="18" s="1"/>
  <c r="AT735" i="18" s="1"/>
  <c r="AU735" i="18" s="1"/>
  <c r="AV735" i="18" s="1"/>
  <c r="AW735" i="18" s="1"/>
  <c r="AX735" i="18" s="1"/>
  <c r="AY735" i="18" s="1"/>
  <c r="AZ735" i="18" s="1"/>
  <c r="BA735" i="18" s="1"/>
  <c r="BB735" i="18" s="1"/>
  <c r="BC735" i="18" s="1"/>
  <c r="BD735" i="18" s="1"/>
  <c r="BE735" i="18" s="1"/>
  <c r="BF735" i="18" s="1"/>
  <c r="BG735" i="18" s="1"/>
  <c r="BH735" i="18" s="1"/>
  <c r="BI735" i="18" s="1"/>
  <c r="Q13" i="24"/>
  <c r="R12" i="24"/>
  <c r="U335" i="18"/>
  <c r="U765" i="18"/>
  <c r="T540" i="18"/>
  <c r="S544" i="18"/>
  <c r="F46" i="7945"/>
  <c r="B73" i="18"/>
  <c r="F38" i="7945"/>
  <c r="F4" i="24"/>
  <c r="U841" i="18"/>
  <c r="V841" i="18" s="1"/>
  <c r="W841" i="18" s="1"/>
  <c r="U723" i="18"/>
  <c r="V723" i="18" s="1"/>
  <c r="W723" i="18" s="1"/>
  <c r="X723" i="18" s="1"/>
  <c r="Y723" i="18" s="1"/>
  <c r="Z723" i="18" s="1"/>
  <c r="AA723" i="18" s="1"/>
  <c r="T309" i="18"/>
  <c r="U299" i="18"/>
  <c r="AY104" i="18"/>
  <c r="S869" i="18"/>
  <c r="T361" i="18"/>
  <c r="U351" i="18"/>
  <c r="T778" i="18"/>
  <c r="U768" i="18"/>
  <c r="V768" i="18" s="1"/>
  <c r="AH516" i="18"/>
  <c r="AH518" i="18" s="1"/>
  <c r="U790" i="18"/>
  <c r="S843" i="18"/>
  <c r="V853" i="18"/>
  <c r="Y625" i="18"/>
  <c r="T205" i="18"/>
  <c r="U195" i="18"/>
  <c r="DC47" i="7942"/>
  <c r="S47" i="7942"/>
  <c r="AD80" i="7942"/>
  <c r="H13" i="7942"/>
  <c r="H47" i="7942"/>
  <c r="BK80" i="7942"/>
  <c r="CR80" i="7942"/>
  <c r="AD13" i="7942"/>
  <c r="BV80" i="7942"/>
  <c r="AO47" i="7942"/>
  <c r="DC80" i="7942"/>
  <c r="S80" i="7942"/>
  <c r="BV47" i="7942"/>
  <c r="AZ13" i="7942"/>
  <c r="AO80" i="7942"/>
  <c r="CG47" i="7942"/>
  <c r="DC13" i="7942"/>
  <c r="BK47" i="7942"/>
  <c r="S13" i="7942"/>
  <c r="AD47" i="7942"/>
  <c r="CG80" i="7942"/>
  <c r="AO13" i="7942"/>
  <c r="AZ80" i="7942"/>
  <c r="H80" i="7942"/>
  <c r="CG13" i="7942"/>
  <c r="BK13" i="7942"/>
  <c r="CR47" i="7942"/>
  <c r="CR13" i="7942"/>
  <c r="AZ47" i="7942"/>
  <c r="BV13" i="7942"/>
  <c r="Y703" i="18"/>
  <c r="V295" i="18"/>
  <c r="U211" i="18"/>
  <c r="T218" i="18"/>
  <c r="W773" i="18"/>
  <c r="X773" i="18" s="1"/>
  <c r="Y773" i="18" s="1"/>
  <c r="Z773" i="18" s="1"/>
  <c r="AA773" i="18" s="1"/>
  <c r="AB773" i="18" s="1"/>
  <c r="AC773" i="18" s="1"/>
  <c r="AD773" i="18" s="1"/>
  <c r="AE773" i="18" s="1"/>
  <c r="AF773" i="18" s="1"/>
  <c r="AG773" i="18" s="1"/>
  <c r="AH773" i="18" s="1"/>
  <c r="AI773" i="18" s="1"/>
  <c r="AJ773" i="18" s="1"/>
  <c r="AK773" i="18" s="1"/>
  <c r="Z599" i="18"/>
  <c r="AI514" i="18"/>
  <c r="X821" i="18"/>
  <c r="X320" i="18"/>
  <c r="I4" i="7945"/>
  <c r="I4" i="24"/>
  <c r="Y644" i="18"/>
  <c r="T528" i="18"/>
  <c r="U528" i="18" s="1"/>
  <c r="V334" i="18"/>
  <c r="W334" i="18" s="1"/>
  <c r="X334" i="18" s="1"/>
  <c r="Y334" i="18" s="1"/>
  <c r="Z334" i="18" s="1"/>
  <c r="AA334" i="18" s="1"/>
  <c r="AB334" i="18" s="1"/>
  <c r="AC334" i="18" s="1"/>
  <c r="AD334" i="18" s="1"/>
  <c r="AE334" i="18" s="1"/>
  <c r="AF334" i="18" s="1"/>
  <c r="AG334" i="18" s="1"/>
  <c r="AH334" i="18" s="1"/>
  <c r="AI334" i="18" s="1"/>
  <c r="AJ334" i="18" s="1"/>
  <c r="AK334" i="18" s="1"/>
  <c r="AL334" i="18" s="1"/>
  <c r="AM334" i="18" s="1"/>
  <c r="AN334" i="18" s="1"/>
  <c r="AO334" i="18" s="1"/>
  <c r="AP334" i="18" s="1"/>
  <c r="AQ334" i="18" s="1"/>
  <c r="AR334" i="18" s="1"/>
  <c r="AS334" i="18" s="1"/>
  <c r="AT334" i="18" s="1"/>
  <c r="AU334" i="18" s="1"/>
  <c r="AV334" i="18" s="1"/>
  <c r="AW334" i="18" s="1"/>
  <c r="AX334" i="18" s="1"/>
  <c r="AY334" i="18" s="1"/>
  <c r="AZ334" i="18" s="1"/>
  <c r="BA334" i="18" s="1"/>
  <c r="BB334" i="18" s="1"/>
  <c r="BC334" i="18" s="1"/>
  <c r="BD334" i="18" s="1"/>
  <c r="BE334" i="18" s="1"/>
  <c r="BF334" i="18" s="1"/>
  <c r="BG334" i="18" s="1"/>
  <c r="BH334" i="18" s="1"/>
  <c r="BI334" i="18" s="1"/>
  <c r="X294" i="18"/>
  <c r="Y294" i="18" s="1"/>
  <c r="Z294" i="18" s="1"/>
  <c r="AA294" i="18" s="1"/>
  <c r="AB294" i="18" s="1"/>
  <c r="AC294" i="18" s="1"/>
  <c r="AD294" i="18" s="1"/>
  <c r="AE294" i="18" s="1"/>
  <c r="AF294" i="18" s="1"/>
  <c r="AG294" i="18" s="1"/>
  <c r="AH294" i="18" s="1"/>
  <c r="AI294" i="18" s="1"/>
  <c r="AJ294" i="18" s="1"/>
  <c r="AK294" i="18" s="1"/>
  <c r="AL294" i="18" s="1"/>
  <c r="AM294" i="18" s="1"/>
  <c r="AN294" i="18" s="1"/>
  <c r="AO294" i="18" s="1"/>
  <c r="AP294" i="18" s="1"/>
  <c r="AQ294" i="18" s="1"/>
  <c r="AR294" i="18" s="1"/>
  <c r="AS294" i="18" s="1"/>
  <c r="AT294" i="18" s="1"/>
  <c r="AU294" i="18" s="1"/>
  <c r="AV294" i="18" s="1"/>
  <c r="AW294" i="18" s="1"/>
  <c r="AX294" i="18" s="1"/>
  <c r="AY294" i="18" s="1"/>
  <c r="AZ294" i="18" s="1"/>
  <c r="BA294" i="18" s="1"/>
  <c r="BB294" i="18" s="1"/>
  <c r="BC294" i="18" s="1"/>
  <c r="BD294" i="18" s="1"/>
  <c r="BE294" i="18" s="1"/>
  <c r="BF294" i="18" s="1"/>
  <c r="BG294" i="18" s="1"/>
  <c r="BH294" i="18" s="1"/>
  <c r="BI294" i="18" s="1"/>
  <c r="V647" i="18"/>
  <c r="W647" i="18" s="1"/>
  <c r="X647" i="18" s="1"/>
  <c r="T573" i="18"/>
  <c r="S583" i="18"/>
  <c r="W645" i="18"/>
  <c r="AN508" i="18"/>
  <c r="Z217" i="18"/>
  <c r="AA217" i="18" s="1"/>
  <c r="AB217" i="18" s="1"/>
  <c r="AC217" i="18" s="1"/>
  <c r="AD217" i="18" s="1"/>
  <c r="AE217" i="18" s="1"/>
  <c r="AF217" i="18" s="1"/>
  <c r="AG217" i="18" s="1"/>
  <c r="AH217" i="18" s="1"/>
  <c r="AI217" i="18" s="1"/>
  <c r="AJ217" i="18" s="1"/>
  <c r="AK217" i="18" s="1"/>
  <c r="AL217" i="18" s="1"/>
  <c r="AM217" i="18" s="1"/>
  <c r="AN217" i="18" s="1"/>
  <c r="AO217" i="18" s="1"/>
  <c r="AP217" i="18" s="1"/>
  <c r="AQ217" i="18" s="1"/>
  <c r="AR217" i="18" s="1"/>
  <c r="AS217" i="18" s="1"/>
  <c r="AT217" i="18" s="1"/>
  <c r="AU217" i="18" s="1"/>
  <c r="AV217" i="18" s="1"/>
  <c r="AW217" i="18" s="1"/>
  <c r="AX217" i="18" s="1"/>
  <c r="AY217" i="18" s="1"/>
  <c r="AZ217" i="18" s="1"/>
  <c r="BA217" i="18" s="1"/>
  <c r="BB217" i="18" s="1"/>
  <c r="BC217" i="18" s="1"/>
  <c r="BD217" i="18" s="1"/>
  <c r="BE217" i="18" s="1"/>
  <c r="BF217" i="18" s="1"/>
  <c r="BG217" i="18" s="1"/>
  <c r="BH217" i="18" s="1"/>
  <c r="BI217" i="18" s="1"/>
  <c r="X748" i="18"/>
  <c r="AB188" i="18"/>
  <c r="AC188" i="18" s="1"/>
  <c r="AD188" i="18" s="1"/>
  <c r="AE188" i="18" s="1"/>
  <c r="AF188" i="18" s="1"/>
  <c r="AG188" i="18" s="1"/>
  <c r="AH188" i="18" s="1"/>
  <c r="AI188" i="18" s="1"/>
  <c r="AJ188" i="18" s="1"/>
  <c r="AK188" i="18" s="1"/>
  <c r="AL188" i="18" s="1"/>
  <c r="AM188" i="18" s="1"/>
  <c r="AN188" i="18" s="1"/>
  <c r="AO188" i="18" s="1"/>
  <c r="AP188" i="18" s="1"/>
  <c r="AQ188" i="18" s="1"/>
  <c r="AR188" i="18" s="1"/>
  <c r="AS188" i="18" s="1"/>
  <c r="AT188" i="18" s="1"/>
  <c r="AU188" i="18" s="1"/>
  <c r="AV188" i="18" s="1"/>
  <c r="AW188" i="18" s="1"/>
  <c r="AX188" i="18" s="1"/>
  <c r="AY188" i="18" s="1"/>
  <c r="AZ188" i="18" s="1"/>
  <c r="BA188" i="18" s="1"/>
  <c r="BB188" i="18" s="1"/>
  <c r="BC188" i="18" s="1"/>
  <c r="BD188" i="18" s="1"/>
  <c r="BE188" i="18" s="1"/>
  <c r="BF188" i="18" s="1"/>
  <c r="BG188" i="18" s="1"/>
  <c r="BH188" i="18" s="1"/>
  <c r="BI188" i="18" s="1"/>
  <c r="X208" i="18"/>
  <c r="V867" i="18"/>
  <c r="V781" i="18"/>
  <c r="T830" i="18"/>
  <c r="U823" i="18"/>
  <c r="AF527" i="18"/>
  <c r="AG527" i="18" s="1"/>
  <c r="AH527" i="18" s="1"/>
  <c r="AI527" i="18" s="1"/>
  <c r="AJ527" i="18" s="1"/>
  <c r="AK527" i="18" s="1"/>
  <c r="AL527" i="18" s="1"/>
  <c r="AM527" i="18" s="1"/>
  <c r="AN527" i="18" s="1"/>
  <c r="AO527" i="18" s="1"/>
  <c r="AP527" i="18" s="1"/>
  <c r="AQ527" i="18" s="1"/>
  <c r="AR527" i="18" s="1"/>
  <c r="AS527" i="18" s="1"/>
  <c r="AT527" i="18" s="1"/>
  <c r="AU527" i="18" s="1"/>
  <c r="AV527" i="18" s="1"/>
  <c r="AW527" i="18" s="1"/>
  <c r="AX527" i="18" s="1"/>
  <c r="AY527" i="18" s="1"/>
  <c r="AZ527" i="18" s="1"/>
  <c r="BA527" i="18" s="1"/>
  <c r="BB527" i="18" s="1"/>
  <c r="BC527" i="18" s="1"/>
  <c r="BD527" i="18" s="1"/>
  <c r="BE527" i="18" s="1"/>
  <c r="BF527" i="18" s="1"/>
  <c r="BG527" i="18" s="1"/>
  <c r="BH527" i="18" s="1"/>
  <c r="BI527" i="18" s="1"/>
  <c r="Y138" i="18"/>
  <c r="U789" i="18"/>
  <c r="V789" i="18" s="1"/>
  <c r="Z677" i="18"/>
  <c r="W764" i="18"/>
  <c r="X764" i="18" s="1"/>
  <c r="Z763" i="18"/>
  <c r="U604" i="18"/>
  <c r="T609" i="18"/>
  <c r="T288" i="18"/>
  <c r="S296" i="18"/>
  <c r="U569" i="18"/>
  <c r="H67" i="7943"/>
  <c r="H87" i="7943"/>
  <c r="H51" i="7943"/>
  <c r="U596" i="18"/>
  <c r="V586" i="18"/>
  <c r="V581" i="18"/>
  <c r="U452" i="18"/>
  <c r="V442" i="18"/>
  <c r="W725" i="18"/>
  <c r="X725" i="18" s="1"/>
  <c r="Y725" i="18" s="1"/>
  <c r="Z725" i="18" s="1"/>
  <c r="AA725" i="18" s="1"/>
  <c r="AB725" i="18" s="1"/>
  <c r="AA697" i="18"/>
  <c r="AB697" i="18" s="1"/>
  <c r="AC697" i="18" s="1"/>
  <c r="AD697" i="18" s="1"/>
  <c r="AE697" i="18" s="1"/>
  <c r="AF697" i="18" s="1"/>
  <c r="AG697" i="18" s="1"/>
  <c r="AH697" i="18" s="1"/>
  <c r="AI697" i="18" s="1"/>
  <c r="AJ697" i="18" s="1"/>
  <c r="AK697" i="18" s="1"/>
  <c r="AL697" i="18" s="1"/>
  <c r="AM697" i="18" s="1"/>
  <c r="AN697" i="18" s="1"/>
  <c r="AO697" i="18" s="1"/>
  <c r="AP697" i="18" s="1"/>
  <c r="AQ697" i="18" s="1"/>
  <c r="AR697" i="18" s="1"/>
  <c r="AS697" i="18" s="1"/>
  <c r="AT697" i="18" s="1"/>
  <c r="AU697" i="18" s="1"/>
  <c r="AV697" i="18" s="1"/>
  <c r="J190" i="1"/>
  <c r="K40" i="1"/>
  <c r="J208" i="1"/>
  <c r="J4" i="18"/>
  <c r="J142" i="1"/>
  <c r="J241" i="1"/>
  <c r="J176" i="1"/>
  <c r="J74" i="1"/>
  <c r="J108" i="1" s="1"/>
  <c r="J4" i="2"/>
  <c r="J221" i="1"/>
  <c r="J223" i="1" s="1"/>
  <c r="V426" i="18"/>
  <c r="W416" i="18"/>
  <c r="V848" i="18"/>
  <c r="U856" i="18"/>
  <c r="V521" i="18"/>
  <c r="W521" i="18" s="1"/>
  <c r="V582" i="18"/>
  <c r="W582" i="18" s="1"/>
  <c r="T257" i="18"/>
  <c r="W758" i="18"/>
  <c r="V765" i="18"/>
  <c r="Z755" i="18"/>
  <c r="AB866" i="18"/>
  <c r="AC866" i="18" s="1"/>
  <c r="AD866" i="18" s="1"/>
  <c r="AE866" i="18" s="1"/>
  <c r="AF866" i="18" s="1"/>
  <c r="AG866" i="18" s="1"/>
  <c r="AH866" i="18" s="1"/>
  <c r="AI866" i="18" s="1"/>
  <c r="AJ866" i="18" s="1"/>
  <c r="AK866" i="18" s="1"/>
  <c r="AL866" i="18" s="1"/>
  <c r="AM866" i="18" s="1"/>
  <c r="AN866" i="18" s="1"/>
  <c r="AO866" i="18" s="1"/>
  <c r="AP866" i="18" s="1"/>
  <c r="AQ866" i="18" s="1"/>
  <c r="AR866" i="18" s="1"/>
  <c r="AS866" i="18" s="1"/>
  <c r="AT866" i="18" s="1"/>
  <c r="AU866" i="18" s="1"/>
  <c r="AV866" i="18" s="1"/>
  <c r="AW866" i="18" s="1"/>
  <c r="AX866" i="18" s="1"/>
  <c r="AY866" i="18" s="1"/>
  <c r="AZ866" i="18" s="1"/>
  <c r="BA866" i="18" s="1"/>
  <c r="BB866" i="18" s="1"/>
  <c r="BC866" i="18" s="1"/>
  <c r="BD866" i="18" s="1"/>
  <c r="BE866" i="18" s="1"/>
  <c r="BF866" i="18" s="1"/>
  <c r="BG866" i="18" s="1"/>
  <c r="BH866" i="18" s="1"/>
  <c r="BI866" i="18" s="1"/>
  <c r="Y846" i="18"/>
  <c r="Y736" i="18"/>
  <c r="U776" i="18"/>
  <c r="V776" i="18" s="1"/>
  <c r="W776" i="18" s="1"/>
  <c r="T687" i="18"/>
  <c r="V683" i="18"/>
  <c r="W683" i="18" s="1"/>
  <c r="X683" i="18" s="1"/>
  <c r="AC612" i="18"/>
  <c r="T627" i="18"/>
  <c r="S635" i="18"/>
  <c r="CE47" i="7942"/>
  <c r="AX80" i="7942"/>
  <c r="CP80" i="7942"/>
  <c r="BT80" i="7942"/>
  <c r="CE13" i="7942"/>
  <c r="AB47" i="7942"/>
  <c r="BI80" i="7942"/>
  <c r="BT47" i="7942"/>
  <c r="F80" i="7942"/>
  <c r="AB80" i="7942"/>
  <c r="F47" i="7942"/>
  <c r="CE80" i="7942"/>
  <c r="CP13" i="7942"/>
  <c r="DA47" i="7942"/>
  <c r="Q47" i="7942"/>
  <c r="BT13" i="7942"/>
  <c r="AM80" i="7942"/>
  <c r="AX13" i="7942"/>
  <c r="AX47" i="7942"/>
  <c r="DA80" i="7942"/>
  <c r="AB13" i="7942"/>
  <c r="AM13" i="7942"/>
  <c r="Q80" i="7942"/>
  <c r="DA13" i="7942"/>
  <c r="BI47" i="7942"/>
  <c r="AM47" i="7942"/>
  <c r="Q13" i="7942"/>
  <c r="F13" i="7942"/>
  <c r="CP47" i="7942"/>
  <c r="BI13" i="7942"/>
  <c r="U374" i="18"/>
  <c r="Y482" i="18"/>
  <c r="Z482" i="18" s="1"/>
  <c r="U379" i="18"/>
  <c r="T387" i="18"/>
  <c r="X813" i="18"/>
  <c r="V166" i="18"/>
  <c r="W156" i="18"/>
  <c r="V802" i="18"/>
  <c r="W802" i="18" s="1"/>
  <c r="X802" i="18" s="1"/>
  <c r="Y802" i="18" s="1"/>
  <c r="Z802" i="18" s="1"/>
  <c r="AA802" i="18" s="1"/>
  <c r="U413" i="18"/>
  <c r="V403" i="18"/>
  <c r="X364" i="18"/>
  <c r="Z182" i="18"/>
  <c r="U178" i="18"/>
  <c r="V178" i="18" s="1"/>
  <c r="U191" i="18"/>
  <c r="V191" i="18" s="1"/>
  <c r="AA620" i="18"/>
  <c r="Z775" i="18"/>
  <c r="AA775" i="18" s="1"/>
  <c r="AB775" i="18" s="1"/>
  <c r="AC775" i="18" s="1"/>
  <c r="AD775" i="18" s="1"/>
  <c r="AE775" i="18" s="1"/>
  <c r="AF775" i="18" s="1"/>
  <c r="AG775" i="18" s="1"/>
  <c r="AH775" i="18" s="1"/>
  <c r="AI775" i="18" s="1"/>
  <c r="AJ775" i="18" s="1"/>
  <c r="AK775" i="18" s="1"/>
  <c r="AL775" i="18" s="1"/>
  <c r="AM775" i="18" s="1"/>
  <c r="AN775" i="18" s="1"/>
  <c r="AO775" i="18" s="1"/>
  <c r="AP775" i="18" s="1"/>
  <c r="AQ775" i="18" s="1"/>
  <c r="AR775" i="18" s="1"/>
  <c r="AS775" i="18" s="1"/>
  <c r="AT775" i="18" s="1"/>
  <c r="AU775" i="18" s="1"/>
  <c r="AV775" i="18" s="1"/>
  <c r="AW775" i="18" s="1"/>
  <c r="AX775" i="18" s="1"/>
  <c r="AY775" i="18" s="1"/>
  <c r="AZ775" i="18" s="1"/>
  <c r="BA775" i="18" s="1"/>
  <c r="BB775" i="18" s="1"/>
  <c r="BC775" i="18" s="1"/>
  <c r="BD775" i="18" s="1"/>
  <c r="BE775" i="18" s="1"/>
  <c r="BF775" i="18" s="1"/>
  <c r="BG775" i="18" s="1"/>
  <c r="BH775" i="18" s="1"/>
  <c r="BI775" i="18" s="1"/>
  <c r="AB698" i="18"/>
  <c r="AC698" i="18" s="1"/>
  <c r="AD698" i="18" s="1"/>
  <c r="AE698" i="18" s="1"/>
  <c r="AF698" i="18" s="1"/>
  <c r="AG698" i="18" s="1"/>
  <c r="AH698" i="18" s="1"/>
  <c r="W556" i="18"/>
  <c r="AI503" i="18"/>
  <c r="AJ503" i="18" s="1"/>
  <c r="AK503" i="18" s="1"/>
  <c r="AL503" i="18" s="1"/>
  <c r="AM503" i="18" s="1"/>
  <c r="AN503" i="18" s="1"/>
  <c r="AO503" i="18" s="1"/>
  <c r="AP503" i="18" s="1"/>
  <c r="AQ503" i="18" s="1"/>
  <c r="AR503" i="18" s="1"/>
  <c r="AS503" i="18" s="1"/>
  <c r="AT503" i="18" s="1"/>
  <c r="AU503" i="18" s="1"/>
  <c r="AV503" i="18" s="1"/>
  <c r="AW503" i="18" s="1"/>
  <c r="AX503" i="18" s="1"/>
  <c r="AY503" i="18" s="1"/>
  <c r="AZ503" i="18" s="1"/>
  <c r="BA503" i="18" s="1"/>
  <c r="BB503" i="18" s="1"/>
  <c r="BC503" i="18" s="1"/>
  <c r="BD503" i="18" s="1"/>
  <c r="BE503" i="18" s="1"/>
  <c r="BF503" i="18" s="1"/>
  <c r="BG503" i="18" s="1"/>
  <c r="BH503" i="18" s="1"/>
  <c r="BI503" i="18" s="1"/>
  <c r="X280" i="18"/>
  <c r="Y280" i="18" s="1"/>
  <c r="Z280" i="18" s="1"/>
  <c r="AA280" i="18" s="1"/>
  <c r="AB280" i="18" s="1"/>
  <c r="AC280" i="18" s="1"/>
  <c r="AD280" i="18" s="1"/>
  <c r="AE280" i="18" s="1"/>
  <c r="AF280" i="18" s="1"/>
  <c r="AG280" i="18" s="1"/>
  <c r="AH280" i="18" s="1"/>
  <c r="AI280" i="18" s="1"/>
  <c r="AJ280" i="18" s="1"/>
  <c r="AK280" i="18" s="1"/>
  <c r="AL280" i="18" s="1"/>
  <c r="AM280" i="18" s="1"/>
  <c r="AN280" i="18" s="1"/>
  <c r="AO280" i="18" s="1"/>
  <c r="AP280" i="18" s="1"/>
  <c r="AQ280" i="18" s="1"/>
  <c r="AR280" i="18" s="1"/>
  <c r="AS280" i="18" s="1"/>
  <c r="AT280" i="18" s="1"/>
  <c r="AU280" i="18" s="1"/>
  <c r="AV280" i="18" s="1"/>
  <c r="AW280" i="18" s="1"/>
  <c r="AX280" i="18" s="1"/>
  <c r="AY280" i="18" s="1"/>
  <c r="AZ280" i="18" s="1"/>
  <c r="BA280" i="18" s="1"/>
  <c r="BB280" i="18" s="1"/>
  <c r="BC280" i="18" s="1"/>
  <c r="BD280" i="18" s="1"/>
  <c r="BE280" i="18" s="1"/>
  <c r="BF280" i="18" s="1"/>
  <c r="BG280" i="18" s="1"/>
  <c r="BH280" i="18" s="1"/>
  <c r="BI280" i="18" s="1"/>
  <c r="S570" i="18"/>
  <c r="T566" i="18"/>
  <c r="Z614" i="18"/>
  <c r="U672" i="18"/>
  <c r="V672" i="18" s="1"/>
  <c r="W672" i="18" s="1"/>
  <c r="Z659" i="18"/>
  <c r="AA659" i="18" s="1"/>
  <c r="AB659" i="18" s="1"/>
  <c r="AC659" i="18" s="1"/>
  <c r="AD659" i="18" s="1"/>
  <c r="AE659" i="18" s="1"/>
  <c r="AF659" i="18" s="1"/>
  <c r="AG659" i="18" s="1"/>
  <c r="AH659" i="18" s="1"/>
  <c r="AI659" i="18" s="1"/>
  <c r="AJ659" i="18" s="1"/>
  <c r="AK659" i="18" s="1"/>
  <c r="AL659" i="18" s="1"/>
  <c r="AM659" i="18" s="1"/>
  <c r="AN659" i="18" s="1"/>
  <c r="AO659" i="18" s="1"/>
  <c r="AP659" i="18" s="1"/>
  <c r="AQ659" i="18" s="1"/>
  <c r="AR659" i="18" s="1"/>
  <c r="AS659" i="18" s="1"/>
  <c r="AT659" i="18" s="1"/>
  <c r="AU659" i="18" s="1"/>
  <c r="AV659" i="18" s="1"/>
  <c r="AW659" i="18" s="1"/>
  <c r="AX659" i="18" s="1"/>
  <c r="AY659" i="18" s="1"/>
  <c r="AZ659" i="18" s="1"/>
  <c r="BA659" i="18" s="1"/>
  <c r="BB659" i="18" s="1"/>
  <c r="BC659" i="18" s="1"/>
  <c r="BD659" i="18" s="1"/>
  <c r="BE659" i="18" s="1"/>
  <c r="BF659" i="18" s="1"/>
  <c r="BG659" i="18" s="1"/>
  <c r="BH659" i="18" s="1"/>
  <c r="BI659" i="18" s="1"/>
  <c r="W400" i="18"/>
  <c r="X390" i="18"/>
  <c r="X560" i="18"/>
  <c r="T348" i="18"/>
  <c r="U338" i="18"/>
  <c r="U648" i="18"/>
  <c r="T322" i="18"/>
  <c r="U319" i="18"/>
  <c r="W136" i="18"/>
  <c r="V140" i="18"/>
  <c r="V833" i="18"/>
  <c r="W332" i="18"/>
  <c r="T661" i="18"/>
  <c r="U655" i="18"/>
  <c r="V549" i="18"/>
  <c r="V153" i="18"/>
  <c r="W143" i="18"/>
  <c r="V724" i="18"/>
  <c r="W724" i="18" s="1"/>
  <c r="X724" i="18" s="1"/>
  <c r="Y724" i="18" s="1"/>
  <c r="X794" i="18"/>
  <c r="W742" i="18"/>
  <c r="T439" i="18"/>
  <c r="U429" i="18"/>
  <c r="AB864" i="18"/>
  <c r="AC864" i="18" s="1"/>
  <c r="AD864" i="18" s="1"/>
  <c r="AE864" i="18" s="1"/>
  <c r="AF864" i="18" s="1"/>
  <c r="AG864" i="18" s="1"/>
  <c r="AH864" i="18" s="1"/>
  <c r="AI864" i="18" s="1"/>
  <c r="AJ864" i="18" s="1"/>
  <c r="AK864" i="18" s="1"/>
  <c r="AL864" i="18" s="1"/>
  <c r="AM864" i="18" s="1"/>
  <c r="AN864" i="18" s="1"/>
  <c r="AO864" i="18" s="1"/>
  <c r="AP864" i="18" s="1"/>
  <c r="AQ864" i="18" s="1"/>
  <c r="AR864" i="18" s="1"/>
  <c r="AS864" i="18" s="1"/>
  <c r="AT864" i="18" s="1"/>
  <c r="AU864" i="18" s="1"/>
  <c r="AV864" i="18" s="1"/>
  <c r="AW864" i="18" s="1"/>
  <c r="AX864" i="18" s="1"/>
  <c r="AY864" i="18" s="1"/>
  <c r="AZ864" i="18" s="1"/>
  <c r="BA864" i="18" s="1"/>
  <c r="BB864" i="18" s="1"/>
  <c r="BC864" i="18" s="1"/>
  <c r="BD864" i="18" s="1"/>
  <c r="BE864" i="18" s="1"/>
  <c r="BF864" i="18" s="1"/>
  <c r="BG864" i="18" s="1"/>
  <c r="BH864" i="18" s="1"/>
  <c r="BI864" i="18" s="1"/>
  <c r="T374" i="18"/>
  <c r="W371" i="18"/>
  <c r="X371" i="18" s="1"/>
  <c r="Y371" i="18" s="1"/>
  <c r="Z371" i="18" s="1"/>
  <c r="AA371" i="18" s="1"/>
  <c r="AB371" i="18" s="1"/>
  <c r="AC371" i="18" s="1"/>
  <c r="AD371" i="18" s="1"/>
  <c r="AE371" i="18" s="1"/>
  <c r="AF371" i="18" s="1"/>
  <c r="AG371" i="18" s="1"/>
  <c r="AH371" i="18" s="1"/>
  <c r="AI371" i="18" s="1"/>
  <c r="AJ371" i="18" s="1"/>
  <c r="AK371" i="18" s="1"/>
  <c r="AL371" i="18" s="1"/>
  <c r="AM371" i="18" s="1"/>
  <c r="AN371" i="18" s="1"/>
  <c r="AO371" i="18" s="1"/>
  <c r="AP371" i="18" s="1"/>
  <c r="AQ371" i="18" s="1"/>
  <c r="AR371" i="18" s="1"/>
  <c r="AS371" i="18" s="1"/>
  <c r="AT371" i="18" s="1"/>
  <c r="AU371" i="18" s="1"/>
  <c r="AV371" i="18" s="1"/>
  <c r="AW371" i="18" s="1"/>
  <c r="AX371" i="18" s="1"/>
  <c r="AY371" i="18" s="1"/>
  <c r="AZ371" i="18" s="1"/>
  <c r="BA371" i="18" s="1"/>
  <c r="BB371" i="18" s="1"/>
  <c r="BC371" i="18" s="1"/>
  <c r="BD371" i="18" s="1"/>
  <c r="BE371" i="18" s="1"/>
  <c r="BF371" i="18" s="1"/>
  <c r="BG371" i="18" s="1"/>
  <c r="BH371" i="18" s="1"/>
  <c r="BI371" i="18" s="1"/>
  <c r="W660" i="18"/>
  <c r="V270" i="18"/>
  <c r="W260" i="18"/>
  <c r="AJ504" i="18"/>
  <c r="X607" i="18"/>
  <c r="AL787" i="18"/>
  <c r="AM787" i="18" s="1"/>
  <c r="AN787" i="18" s="1"/>
  <c r="AO787" i="18" s="1"/>
  <c r="AP787" i="18" s="1"/>
  <c r="AQ787" i="18" s="1"/>
  <c r="AR787" i="18" s="1"/>
  <c r="AS787" i="18" s="1"/>
  <c r="AT787" i="18" s="1"/>
  <c r="AU787" i="18" s="1"/>
  <c r="AV787" i="18" s="1"/>
  <c r="AW787" i="18" s="1"/>
  <c r="AX787" i="18" s="1"/>
  <c r="AY787" i="18" s="1"/>
  <c r="AZ787" i="18" s="1"/>
  <c r="BA787" i="18" s="1"/>
  <c r="BB787" i="18" s="1"/>
  <c r="BC787" i="18" s="1"/>
  <c r="BD787" i="18" s="1"/>
  <c r="BE787" i="18" s="1"/>
  <c r="BF787" i="18" s="1"/>
  <c r="BG787" i="18" s="1"/>
  <c r="BH787" i="18" s="1"/>
  <c r="BI787" i="18" s="1"/>
  <c r="AD709" i="18"/>
  <c r="AE709" i="18" s="1"/>
  <c r="AF709" i="18" s="1"/>
  <c r="AG709" i="18" s="1"/>
  <c r="AH709" i="18" s="1"/>
  <c r="AI709" i="18" s="1"/>
  <c r="AJ709" i="18" s="1"/>
  <c r="AK709" i="18" s="1"/>
  <c r="AL709" i="18" s="1"/>
  <c r="AM709" i="18" s="1"/>
  <c r="AN709" i="18" s="1"/>
  <c r="AO709" i="18" s="1"/>
  <c r="AP709" i="18" s="1"/>
  <c r="AQ709" i="18" s="1"/>
  <c r="AR709" i="18" s="1"/>
  <c r="AS709" i="18" s="1"/>
  <c r="AT709" i="18" s="1"/>
  <c r="AU709" i="18" s="1"/>
  <c r="AV709" i="18" s="1"/>
  <c r="AW709" i="18" s="1"/>
  <c r="AX709" i="18" s="1"/>
  <c r="AY709" i="18" s="1"/>
  <c r="AZ709" i="18" s="1"/>
  <c r="BA709" i="18" s="1"/>
  <c r="BB709" i="18" s="1"/>
  <c r="BC709" i="18" s="1"/>
  <c r="BD709" i="18" s="1"/>
  <c r="BE709" i="18" s="1"/>
  <c r="BF709" i="18" s="1"/>
  <c r="BG709" i="18" s="1"/>
  <c r="BH709" i="18" s="1"/>
  <c r="BI709" i="18" s="1"/>
  <c r="U777" i="18"/>
  <c r="U557" i="18" l="1"/>
  <c r="Z631" i="18"/>
  <c r="AA631" i="18" s="1"/>
  <c r="AB631" i="18" s="1"/>
  <c r="AC631" i="18" s="1"/>
  <c r="AD631" i="18" s="1"/>
  <c r="AE631" i="18" s="1"/>
  <c r="AF631" i="18" s="1"/>
  <c r="AG631" i="18" s="1"/>
  <c r="AH631" i="18" s="1"/>
  <c r="AI631" i="18" s="1"/>
  <c r="AJ631" i="18" s="1"/>
  <c r="AK631" i="18" s="1"/>
  <c r="AL631" i="18" s="1"/>
  <c r="AM631" i="18" s="1"/>
  <c r="AN631" i="18" s="1"/>
  <c r="AO631" i="18" s="1"/>
  <c r="AP631" i="18" s="1"/>
  <c r="AQ631" i="18" s="1"/>
  <c r="AR631" i="18" s="1"/>
  <c r="AS631" i="18" s="1"/>
  <c r="AT631" i="18" s="1"/>
  <c r="AU631" i="18" s="1"/>
  <c r="AV631" i="18" s="1"/>
  <c r="AW631" i="18" s="1"/>
  <c r="AX631" i="18" s="1"/>
  <c r="AY631" i="18" s="1"/>
  <c r="AZ631" i="18" s="1"/>
  <c r="BA631" i="18" s="1"/>
  <c r="BB631" i="18" s="1"/>
  <c r="BC631" i="18" s="1"/>
  <c r="BD631" i="18" s="1"/>
  <c r="BE631" i="18" s="1"/>
  <c r="BF631" i="18" s="1"/>
  <c r="BG631" i="18" s="1"/>
  <c r="BH631" i="18" s="1"/>
  <c r="BI631" i="18" s="1"/>
  <c r="AA803" i="18"/>
  <c r="AC567" i="18"/>
  <c r="AD567" i="18" s="1"/>
  <c r="AE567" i="18" s="1"/>
  <c r="AF567" i="18" s="1"/>
  <c r="AG567" i="18" s="1"/>
  <c r="AH567" i="18" s="1"/>
  <c r="AI567" i="18" s="1"/>
  <c r="AJ567" i="18" s="1"/>
  <c r="AK567" i="18" s="1"/>
  <c r="AL567" i="18" s="1"/>
  <c r="AM567" i="18" s="1"/>
  <c r="AN567" i="18" s="1"/>
  <c r="AO567" i="18" s="1"/>
  <c r="AP567" i="18" s="1"/>
  <c r="AQ567" i="18" s="1"/>
  <c r="AR567" i="18" s="1"/>
  <c r="AS567" i="18" s="1"/>
  <c r="AT567" i="18" s="1"/>
  <c r="AU567" i="18" s="1"/>
  <c r="AV567" i="18" s="1"/>
  <c r="AW567" i="18" s="1"/>
  <c r="AX567" i="18" s="1"/>
  <c r="AY567" i="18" s="1"/>
  <c r="AZ567" i="18" s="1"/>
  <c r="BA567" i="18" s="1"/>
  <c r="BB567" i="18" s="1"/>
  <c r="BC567" i="18" s="1"/>
  <c r="BD567" i="18" s="1"/>
  <c r="BE567" i="18" s="1"/>
  <c r="BF567" i="18" s="1"/>
  <c r="BG567" i="18" s="1"/>
  <c r="BH567" i="18" s="1"/>
  <c r="BI567" i="18" s="1"/>
  <c r="W256" i="18"/>
  <c r="W257" i="18" s="1"/>
  <c r="V699" i="18"/>
  <c r="U700" i="18"/>
  <c r="AN554" i="18"/>
  <c r="AO554" i="18" s="1"/>
  <c r="AP554" i="18" s="1"/>
  <c r="AQ554" i="18" s="1"/>
  <c r="AR554" i="18" s="1"/>
  <c r="AS554" i="18" s="1"/>
  <c r="AT554" i="18" s="1"/>
  <c r="AU554" i="18" s="1"/>
  <c r="AV554" i="18" s="1"/>
  <c r="AW554" i="18" s="1"/>
  <c r="AX554" i="18" s="1"/>
  <c r="AY554" i="18" s="1"/>
  <c r="AZ554" i="18" s="1"/>
  <c r="BA554" i="18" s="1"/>
  <c r="BB554" i="18" s="1"/>
  <c r="BC554" i="18" s="1"/>
  <c r="BD554" i="18" s="1"/>
  <c r="BE554" i="18" s="1"/>
  <c r="BF554" i="18" s="1"/>
  <c r="BG554" i="18" s="1"/>
  <c r="BH554" i="18" s="1"/>
  <c r="BI554" i="18" s="1"/>
  <c r="S465" i="18"/>
  <c r="T455" i="18"/>
  <c r="AC838" i="18"/>
  <c r="AD838" i="18" s="1"/>
  <c r="AE838" i="18" s="1"/>
  <c r="AF838" i="18" s="1"/>
  <c r="AG838" i="18" s="1"/>
  <c r="AH838" i="18" s="1"/>
  <c r="AI838" i="18" s="1"/>
  <c r="AJ838" i="18" s="1"/>
  <c r="AK838" i="18" s="1"/>
  <c r="AL838" i="18" s="1"/>
  <c r="AM838" i="18" s="1"/>
  <c r="AN838" i="18" s="1"/>
  <c r="AO838" i="18" s="1"/>
  <c r="AP838" i="18" s="1"/>
  <c r="AQ838" i="18" s="1"/>
  <c r="AR838" i="18" s="1"/>
  <c r="AS838" i="18" s="1"/>
  <c r="AT838" i="18" s="1"/>
  <c r="AU838" i="18" s="1"/>
  <c r="AV838" i="18" s="1"/>
  <c r="AW838" i="18" s="1"/>
  <c r="AX838" i="18" s="1"/>
  <c r="AY838" i="18" s="1"/>
  <c r="AZ838" i="18" s="1"/>
  <c r="BA838" i="18" s="1"/>
  <c r="BB838" i="18" s="1"/>
  <c r="BC838" i="18" s="1"/>
  <c r="BD838" i="18" s="1"/>
  <c r="BE838" i="18" s="1"/>
  <c r="BF838" i="18" s="1"/>
  <c r="BG838" i="18" s="1"/>
  <c r="BH838" i="18" s="1"/>
  <c r="BI838" i="18" s="1"/>
  <c r="AA568" i="18"/>
  <c r="AB568" i="18" s="1"/>
  <c r="BE87" i="18"/>
  <c r="BF87" i="18" s="1"/>
  <c r="BG87" i="18" s="1"/>
  <c r="BH87" i="18" s="1"/>
  <c r="BI87" i="18" s="1"/>
  <c r="Y854" i="18"/>
  <c r="Z854" i="18" s="1"/>
  <c r="AN543" i="18"/>
  <c r="AO543" i="18" s="1"/>
  <c r="AP543" i="18" s="1"/>
  <c r="AQ543" i="18" s="1"/>
  <c r="AR543" i="18" s="1"/>
  <c r="AS543" i="18" s="1"/>
  <c r="AT543" i="18" s="1"/>
  <c r="AU543" i="18" s="1"/>
  <c r="AV543" i="18" s="1"/>
  <c r="AW543" i="18" s="1"/>
  <c r="AX543" i="18" s="1"/>
  <c r="Z673" i="18"/>
  <c r="AA673" i="18" s="1"/>
  <c r="AB673" i="18" s="1"/>
  <c r="AC673" i="18" s="1"/>
  <c r="AD673" i="18" s="1"/>
  <c r="AE673" i="18" s="1"/>
  <c r="AF673" i="18" s="1"/>
  <c r="AG673" i="18" s="1"/>
  <c r="AH673" i="18" s="1"/>
  <c r="AI673" i="18" s="1"/>
  <c r="AJ673" i="18" s="1"/>
  <c r="AK673" i="18" s="1"/>
  <c r="AL673" i="18" s="1"/>
  <c r="AM673" i="18" s="1"/>
  <c r="AN673" i="18" s="1"/>
  <c r="AO673" i="18" s="1"/>
  <c r="AP673" i="18" s="1"/>
  <c r="AQ673" i="18" s="1"/>
  <c r="AR673" i="18" s="1"/>
  <c r="AS673" i="18" s="1"/>
  <c r="AT673" i="18" s="1"/>
  <c r="AU673" i="18" s="1"/>
  <c r="AV673" i="18" s="1"/>
  <c r="AW673" i="18" s="1"/>
  <c r="AX673" i="18" s="1"/>
  <c r="AY673" i="18" s="1"/>
  <c r="AZ673" i="18" s="1"/>
  <c r="BA673" i="18" s="1"/>
  <c r="BB673" i="18" s="1"/>
  <c r="BC673" i="18" s="1"/>
  <c r="BD673" i="18" s="1"/>
  <c r="BE673" i="18" s="1"/>
  <c r="BF673" i="18" s="1"/>
  <c r="BG673" i="18" s="1"/>
  <c r="BH673" i="18" s="1"/>
  <c r="BI673" i="18" s="1"/>
  <c r="AA860" i="18"/>
  <c r="AB860" i="18" s="1"/>
  <c r="AC860" i="18" s="1"/>
  <c r="AD860" i="18" s="1"/>
  <c r="AE860" i="18" s="1"/>
  <c r="AF860" i="18" s="1"/>
  <c r="AG860" i="18" s="1"/>
  <c r="AH860" i="18" s="1"/>
  <c r="AI860" i="18" s="1"/>
  <c r="AJ860" i="18" s="1"/>
  <c r="AK860" i="18" s="1"/>
  <c r="Z308" i="18"/>
  <c r="AA308" i="18" s="1"/>
  <c r="AB308" i="18" s="1"/>
  <c r="AC308" i="18" s="1"/>
  <c r="AD308" i="18" s="1"/>
  <c r="AE308" i="18" s="1"/>
  <c r="Y230" i="18"/>
  <c r="Z230" i="18" s="1"/>
  <c r="AA230" i="18" s="1"/>
  <c r="AB230" i="18" s="1"/>
  <c r="AC230" i="18" s="1"/>
  <c r="AD230" i="18" s="1"/>
  <c r="AO722" i="18"/>
  <c r="AP722" i="18" s="1"/>
  <c r="AQ722" i="18" s="1"/>
  <c r="AR722" i="18" s="1"/>
  <c r="AS722" i="18" s="1"/>
  <c r="AT722" i="18" s="1"/>
  <c r="AU722" i="18" s="1"/>
  <c r="AV722" i="18" s="1"/>
  <c r="AW722" i="18" s="1"/>
  <c r="AX722" i="18" s="1"/>
  <c r="AY722" i="18" s="1"/>
  <c r="AZ722" i="18" s="1"/>
  <c r="BA722" i="18" s="1"/>
  <c r="BB722" i="18" s="1"/>
  <c r="BC722" i="18" s="1"/>
  <c r="BD722" i="18" s="1"/>
  <c r="BE722" i="18" s="1"/>
  <c r="BF722" i="18" s="1"/>
  <c r="BG722" i="18" s="1"/>
  <c r="BH722" i="18" s="1"/>
  <c r="BI722" i="18" s="1"/>
  <c r="U179" i="18"/>
  <c r="V648" i="18"/>
  <c r="Z670" i="18"/>
  <c r="AA670" i="18" s="1"/>
  <c r="AB670" i="18" s="1"/>
  <c r="AC670" i="18" s="1"/>
  <c r="AD670" i="18" s="1"/>
  <c r="AE670" i="18" s="1"/>
  <c r="AF670" i="18" s="1"/>
  <c r="AG670" i="18" s="1"/>
  <c r="AH670" i="18" s="1"/>
  <c r="AI670" i="18" s="1"/>
  <c r="AJ670" i="18" s="1"/>
  <c r="AK670" i="18" s="1"/>
  <c r="AL670" i="18" s="1"/>
  <c r="AM670" i="18" s="1"/>
  <c r="AN670" i="18" s="1"/>
  <c r="AO670" i="18" s="1"/>
  <c r="AP670" i="18" s="1"/>
  <c r="AQ670" i="18" s="1"/>
  <c r="AR670" i="18" s="1"/>
  <c r="AS670" i="18" s="1"/>
  <c r="AT670" i="18" s="1"/>
  <c r="AU670" i="18" s="1"/>
  <c r="AV670" i="18" s="1"/>
  <c r="AW670" i="18" s="1"/>
  <c r="AX670" i="18" s="1"/>
  <c r="AY670" i="18" s="1"/>
  <c r="AZ670" i="18" s="1"/>
  <c r="BA670" i="18" s="1"/>
  <c r="BB670" i="18" s="1"/>
  <c r="BC670" i="18" s="1"/>
  <c r="BD670" i="18" s="1"/>
  <c r="BE670" i="18" s="1"/>
  <c r="BF670" i="18" s="1"/>
  <c r="BG670" i="18" s="1"/>
  <c r="BH670" i="18" s="1"/>
  <c r="BI670" i="18" s="1"/>
  <c r="W737" i="18"/>
  <c r="X737" i="18" s="1"/>
  <c r="Y737" i="18" s="1"/>
  <c r="Z399" i="18"/>
  <c r="AC539" i="18"/>
  <c r="AD539" i="18" s="1"/>
  <c r="AE539" i="18" s="1"/>
  <c r="AF539" i="18" s="1"/>
  <c r="AG539" i="18" s="1"/>
  <c r="AH539" i="18" s="1"/>
  <c r="AI539" i="18" s="1"/>
  <c r="AJ539" i="18" s="1"/>
  <c r="AK539" i="18" s="1"/>
  <c r="AL539" i="18" s="1"/>
  <c r="AM539" i="18" s="1"/>
  <c r="AN539" i="18" s="1"/>
  <c r="AO539" i="18" s="1"/>
  <c r="AP539" i="18" s="1"/>
  <c r="AQ539" i="18" s="1"/>
  <c r="AR539" i="18" s="1"/>
  <c r="AS539" i="18" s="1"/>
  <c r="AT539" i="18" s="1"/>
  <c r="AU539" i="18" s="1"/>
  <c r="AV539" i="18" s="1"/>
  <c r="AW539" i="18" s="1"/>
  <c r="AX539" i="18" s="1"/>
  <c r="AY539" i="18" s="1"/>
  <c r="AZ539" i="18" s="1"/>
  <c r="BA539" i="18" s="1"/>
  <c r="BB539" i="18" s="1"/>
  <c r="BC539" i="18" s="1"/>
  <c r="BD539" i="18" s="1"/>
  <c r="BE539" i="18" s="1"/>
  <c r="BF539" i="18" s="1"/>
  <c r="BG539" i="18" s="1"/>
  <c r="BH539" i="18" s="1"/>
  <c r="BI539" i="18" s="1"/>
  <c r="X152" i="18"/>
  <c r="Y152" i="18" s="1"/>
  <c r="Y839" i="18"/>
  <c r="Z839" i="18" s="1"/>
  <c r="Y606" i="18"/>
  <c r="U843" i="18"/>
  <c r="AA489" i="18"/>
  <c r="AA293" i="18"/>
  <c r="AB293" i="18" s="1"/>
  <c r="AC293" i="18" s="1"/>
  <c r="AD293" i="18" s="1"/>
  <c r="AE293" i="18" s="1"/>
  <c r="AF293" i="18" s="1"/>
  <c r="AG293" i="18" s="1"/>
  <c r="AH293" i="18" s="1"/>
  <c r="AI293" i="18" s="1"/>
  <c r="AJ293" i="18" s="1"/>
  <c r="AK293" i="18" s="1"/>
  <c r="AL293" i="18" s="1"/>
  <c r="AM293" i="18" s="1"/>
  <c r="AN293" i="18" s="1"/>
  <c r="AO293" i="18" s="1"/>
  <c r="AP293" i="18" s="1"/>
  <c r="AQ293" i="18" s="1"/>
  <c r="AR293" i="18" s="1"/>
  <c r="AS293" i="18" s="1"/>
  <c r="AT293" i="18" s="1"/>
  <c r="AU293" i="18" s="1"/>
  <c r="AV293" i="18" s="1"/>
  <c r="AW293" i="18" s="1"/>
  <c r="AX293" i="18" s="1"/>
  <c r="AY293" i="18" s="1"/>
  <c r="AZ293" i="18" s="1"/>
  <c r="BA293" i="18" s="1"/>
  <c r="BB293" i="18" s="1"/>
  <c r="BC293" i="18" s="1"/>
  <c r="BD293" i="18" s="1"/>
  <c r="BE293" i="18" s="1"/>
  <c r="BF293" i="18" s="1"/>
  <c r="BG293" i="18" s="1"/>
  <c r="BH293" i="18" s="1"/>
  <c r="BI293" i="18" s="1"/>
  <c r="W789" i="18"/>
  <c r="X789" i="18" s="1"/>
  <c r="AB721" i="18"/>
  <c r="AC721" i="18" s="1"/>
  <c r="AD721" i="18" s="1"/>
  <c r="AE721" i="18" s="1"/>
  <c r="AF721" i="18" s="1"/>
  <c r="AG721" i="18" s="1"/>
  <c r="AH721" i="18" s="1"/>
  <c r="AI721" i="18" s="1"/>
  <c r="AJ721" i="18" s="1"/>
  <c r="AK721" i="18" s="1"/>
  <c r="AL721" i="18" s="1"/>
  <c r="AM721" i="18" s="1"/>
  <c r="AN721" i="18" s="1"/>
  <c r="AO721" i="18" s="1"/>
  <c r="AP721" i="18" s="1"/>
  <c r="AQ721" i="18" s="1"/>
  <c r="AR721" i="18" s="1"/>
  <c r="AS721" i="18" s="1"/>
  <c r="AT721" i="18" s="1"/>
  <c r="AU721" i="18" s="1"/>
  <c r="AV721" i="18" s="1"/>
  <c r="AW721" i="18" s="1"/>
  <c r="AX721" i="18" s="1"/>
  <c r="AY721" i="18" s="1"/>
  <c r="AZ721" i="18" s="1"/>
  <c r="BA721" i="18" s="1"/>
  <c r="BB721" i="18" s="1"/>
  <c r="BC721" i="18" s="1"/>
  <c r="BD721" i="18" s="1"/>
  <c r="BE721" i="18" s="1"/>
  <c r="BF721" i="18" s="1"/>
  <c r="BG721" i="18" s="1"/>
  <c r="BH721" i="18" s="1"/>
  <c r="BI721" i="18" s="1"/>
  <c r="U801" i="18"/>
  <c r="T804" i="18"/>
  <c r="AA399" i="18"/>
  <c r="AB399" i="18" s="1"/>
  <c r="AC399" i="18" s="1"/>
  <c r="AD399" i="18" s="1"/>
  <c r="AE399" i="18" s="1"/>
  <c r="AF399" i="18" s="1"/>
  <c r="AG399" i="18" s="1"/>
  <c r="AH399" i="18" s="1"/>
  <c r="AI399" i="18" s="1"/>
  <c r="AJ399" i="18" s="1"/>
  <c r="AQ150" i="18"/>
  <c r="AR150" i="18" s="1"/>
  <c r="AS150" i="18" s="1"/>
  <c r="AT150" i="18" s="1"/>
  <c r="AU150" i="18" s="1"/>
  <c r="AV150" i="18" s="1"/>
  <c r="AW150" i="18" s="1"/>
  <c r="AX150" i="18" s="1"/>
  <c r="AY150" i="18" s="1"/>
  <c r="AZ150" i="18" s="1"/>
  <c r="BA150" i="18" s="1"/>
  <c r="BB150" i="18" s="1"/>
  <c r="BC150" i="18" s="1"/>
  <c r="BD150" i="18" s="1"/>
  <c r="BE150" i="18" s="1"/>
  <c r="BF150" i="18" s="1"/>
  <c r="BG150" i="18" s="1"/>
  <c r="BH150" i="18" s="1"/>
  <c r="BI150" i="18" s="1"/>
  <c r="W595" i="18"/>
  <c r="X595" i="18" s="1"/>
  <c r="Y595" i="18" s="1"/>
  <c r="Y485" i="18"/>
  <c r="Z485" i="18" s="1"/>
  <c r="AA485" i="18" s="1"/>
  <c r="AB485" i="18" s="1"/>
  <c r="AC485" i="18" s="1"/>
  <c r="AD485" i="18" s="1"/>
  <c r="AE485" i="18" s="1"/>
  <c r="AF485" i="18" s="1"/>
  <c r="AG485" i="18" s="1"/>
  <c r="AH485" i="18" s="1"/>
  <c r="AI485" i="18" s="1"/>
  <c r="AJ485" i="18" s="1"/>
  <c r="AK485" i="18" s="1"/>
  <c r="AL485" i="18" s="1"/>
  <c r="AM485" i="18" s="1"/>
  <c r="AN485" i="18" s="1"/>
  <c r="AO485" i="18" s="1"/>
  <c r="AP485" i="18" s="1"/>
  <c r="AQ485" i="18" s="1"/>
  <c r="AR485" i="18" s="1"/>
  <c r="AS485" i="18" s="1"/>
  <c r="AT485" i="18" s="1"/>
  <c r="AU485" i="18" s="1"/>
  <c r="AV485" i="18" s="1"/>
  <c r="AW485" i="18" s="1"/>
  <c r="AX485" i="18" s="1"/>
  <c r="AY485" i="18" s="1"/>
  <c r="AZ485" i="18" s="1"/>
  <c r="BA485" i="18" s="1"/>
  <c r="BB485" i="18" s="1"/>
  <c r="BC485" i="18" s="1"/>
  <c r="BD485" i="18" s="1"/>
  <c r="BE485" i="18" s="1"/>
  <c r="BF485" i="18" s="1"/>
  <c r="BG485" i="18" s="1"/>
  <c r="BH485" i="18" s="1"/>
  <c r="BI485" i="18" s="1"/>
  <c r="X608" i="18"/>
  <c r="Y608" i="18" s="1"/>
  <c r="Z608" i="18" s="1"/>
  <c r="AA608" i="18" s="1"/>
  <c r="Y712" i="18"/>
  <c r="Z712" i="18" s="1"/>
  <c r="AA712" i="18" s="1"/>
  <c r="AB712" i="18" s="1"/>
  <c r="AC712" i="18" s="1"/>
  <c r="AD712" i="18" s="1"/>
  <c r="AC761" i="18"/>
  <c r="AD761" i="18" s="1"/>
  <c r="AE761" i="18" s="1"/>
  <c r="AF761" i="18" s="1"/>
  <c r="AG761" i="18" s="1"/>
  <c r="AH761" i="18" s="1"/>
  <c r="AI761" i="18" s="1"/>
  <c r="AJ761" i="18" s="1"/>
  <c r="AK761" i="18" s="1"/>
  <c r="AL761" i="18" s="1"/>
  <c r="AM761" i="18" s="1"/>
  <c r="AN761" i="18" s="1"/>
  <c r="AO761" i="18" s="1"/>
  <c r="AP761" i="18" s="1"/>
  <c r="AQ761" i="18" s="1"/>
  <c r="AR761" i="18" s="1"/>
  <c r="AS761" i="18" s="1"/>
  <c r="AT761" i="18" s="1"/>
  <c r="AU761" i="18" s="1"/>
  <c r="AV761" i="18" s="1"/>
  <c r="AW761" i="18" s="1"/>
  <c r="AX761" i="18" s="1"/>
  <c r="AY761" i="18" s="1"/>
  <c r="AZ761" i="18" s="1"/>
  <c r="BA761" i="18" s="1"/>
  <c r="BB761" i="18" s="1"/>
  <c r="BC761" i="18" s="1"/>
  <c r="BD761" i="18" s="1"/>
  <c r="BE761" i="18" s="1"/>
  <c r="BF761" i="18" s="1"/>
  <c r="BG761" i="18" s="1"/>
  <c r="BH761" i="18" s="1"/>
  <c r="BI761" i="18" s="1"/>
  <c r="X738" i="18"/>
  <c r="Y738" i="18" s="1"/>
  <c r="X582" i="18"/>
  <c r="Y582" i="18" s="1"/>
  <c r="Z582" i="18" s="1"/>
  <c r="AA582" i="18" s="1"/>
  <c r="AB582" i="18" s="1"/>
  <c r="AC582" i="18" s="1"/>
  <c r="AD582" i="18" s="1"/>
  <c r="AE582" i="18" s="1"/>
  <c r="AF582" i="18" s="1"/>
  <c r="AG582" i="18" s="1"/>
  <c r="AH582" i="18" s="1"/>
  <c r="AI582" i="18" s="1"/>
  <c r="AJ582" i="18" s="1"/>
  <c r="AK582" i="18" s="1"/>
  <c r="AL582" i="18" s="1"/>
  <c r="AM582" i="18" s="1"/>
  <c r="AN582" i="18" s="1"/>
  <c r="AO582" i="18" s="1"/>
  <c r="AP582" i="18" s="1"/>
  <c r="AQ582" i="18" s="1"/>
  <c r="AR582" i="18" s="1"/>
  <c r="AS582" i="18" s="1"/>
  <c r="AT582" i="18" s="1"/>
  <c r="AU582" i="18" s="1"/>
  <c r="AV582" i="18" s="1"/>
  <c r="AW582" i="18" s="1"/>
  <c r="AX582" i="18" s="1"/>
  <c r="AY582" i="18" s="1"/>
  <c r="AZ582" i="18" s="1"/>
  <c r="BA582" i="18" s="1"/>
  <c r="BB582" i="18" s="1"/>
  <c r="BC582" i="18" s="1"/>
  <c r="BD582" i="18" s="1"/>
  <c r="BE582" i="18" s="1"/>
  <c r="BF582" i="18" s="1"/>
  <c r="BG582" i="18" s="1"/>
  <c r="BH582" i="18" s="1"/>
  <c r="BI582" i="18" s="1"/>
  <c r="AQ628" i="18"/>
  <c r="U192" i="18"/>
  <c r="AL517" i="18"/>
  <c r="AM517" i="18" s="1"/>
  <c r="AN517" i="18" s="1"/>
  <c r="AO517" i="18" s="1"/>
  <c r="AP517" i="18" s="1"/>
  <c r="AQ517" i="18" s="1"/>
  <c r="AR517" i="18" s="1"/>
  <c r="AS517" i="18" s="1"/>
  <c r="AT517" i="18" s="1"/>
  <c r="AU517" i="18" s="1"/>
  <c r="AV517" i="18" s="1"/>
  <c r="AW517" i="18" s="1"/>
  <c r="AX517" i="18" s="1"/>
  <c r="AY517" i="18" s="1"/>
  <c r="AZ517" i="18" s="1"/>
  <c r="BA517" i="18" s="1"/>
  <c r="BB517" i="18" s="1"/>
  <c r="BC517" i="18" s="1"/>
  <c r="BD517" i="18" s="1"/>
  <c r="BE517" i="18" s="1"/>
  <c r="BF517" i="18" s="1"/>
  <c r="BG517" i="18" s="1"/>
  <c r="BH517" i="18" s="1"/>
  <c r="BI517" i="18" s="1"/>
  <c r="AI425" i="18"/>
  <c r="AJ425" i="18" s="1"/>
  <c r="AK425" i="18" s="1"/>
  <c r="AL425" i="18" s="1"/>
  <c r="AM425" i="18" s="1"/>
  <c r="AN425" i="18" s="1"/>
  <c r="AO425" i="18" s="1"/>
  <c r="AP425" i="18" s="1"/>
  <c r="AQ425" i="18" s="1"/>
  <c r="AR425" i="18" s="1"/>
  <c r="AS425" i="18" s="1"/>
  <c r="AT425" i="18" s="1"/>
  <c r="AU425" i="18" s="1"/>
  <c r="AV425" i="18" s="1"/>
  <c r="AW425" i="18" s="1"/>
  <c r="AX425" i="18" s="1"/>
  <c r="AY425" i="18" s="1"/>
  <c r="AZ425" i="18" s="1"/>
  <c r="BA425" i="18" s="1"/>
  <c r="BB425" i="18" s="1"/>
  <c r="BC425" i="18" s="1"/>
  <c r="BD425" i="18" s="1"/>
  <c r="BE425" i="18" s="1"/>
  <c r="BF425" i="18" s="1"/>
  <c r="BG425" i="18" s="1"/>
  <c r="BH425" i="18" s="1"/>
  <c r="BI425" i="18" s="1"/>
  <c r="W450" i="18"/>
  <c r="AC725" i="18"/>
  <c r="AD725" i="18" s="1"/>
  <c r="AE725" i="18" s="1"/>
  <c r="AF725" i="18" s="1"/>
  <c r="AG725" i="18" s="1"/>
  <c r="AH725" i="18" s="1"/>
  <c r="AI725" i="18" s="1"/>
  <c r="AJ725" i="18" s="1"/>
  <c r="AK725" i="18" s="1"/>
  <c r="AL725" i="18" s="1"/>
  <c r="AM725" i="18" s="1"/>
  <c r="AN725" i="18" s="1"/>
  <c r="AO725" i="18" s="1"/>
  <c r="AP725" i="18" s="1"/>
  <c r="AQ725" i="18" s="1"/>
  <c r="AR725" i="18" s="1"/>
  <c r="AS725" i="18" s="1"/>
  <c r="AT725" i="18" s="1"/>
  <c r="AU725" i="18" s="1"/>
  <c r="AV725" i="18" s="1"/>
  <c r="AW725" i="18" s="1"/>
  <c r="AX725" i="18" s="1"/>
  <c r="AY725" i="18" s="1"/>
  <c r="AZ725" i="18" s="1"/>
  <c r="BA725" i="18" s="1"/>
  <c r="BB725" i="18" s="1"/>
  <c r="BC725" i="18" s="1"/>
  <c r="BD725" i="18" s="1"/>
  <c r="BE725" i="18" s="1"/>
  <c r="BF725" i="18" s="1"/>
  <c r="BG725" i="18" s="1"/>
  <c r="BH725" i="18" s="1"/>
  <c r="BI725" i="18" s="1"/>
  <c r="AA386" i="18"/>
  <c r="AB386" i="18" s="1"/>
  <c r="AC386" i="18" s="1"/>
  <c r="AD386" i="18" s="1"/>
  <c r="AE386" i="18" s="1"/>
  <c r="AF386" i="18" s="1"/>
  <c r="AG386" i="18" s="1"/>
  <c r="AH386" i="18" s="1"/>
  <c r="AI386" i="18" s="1"/>
  <c r="AJ386" i="18" s="1"/>
  <c r="AK386" i="18" s="1"/>
  <c r="AL386" i="18" s="1"/>
  <c r="AM386" i="18" s="1"/>
  <c r="AN386" i="18" s="1"/>
  <c r="AO386" i="18" s="1"/>
  <c r="AP386" i="18" s="1"/>
  <c r="AQ386" i="18" s="1"/>
  <c r="AR386" i="18" s="1"/>
  <c r="AS386" i="18" s="1"/>
  <c r="AT386" i="18" s="1"/>
  <c r="AU386" i="18" s="1"/>
  <c r="AV386" i="18" s="1"/>
  <c r="AW386" i="18" s="1"/>
  <c r="AX386" i="18" s="1"/>
  <c r="AY386" i="18" s="1"/>
  <c r="AZ386" i="18" s="1"/>
  <c r="BA386" i="18" s="1"/>
  <c r="BB386" i="18" s="1"/>
  <c r="BC386" i="18" s="1"/>
  <c r="BD386" i="18" s="1"/>
  <c r="BE386" i="18" s="1"/>
  <c r="BF386" i="18" s="1"/>
  <c r="BG386" i="18" s="1"/>
  <c r="BH386" i="18" s="1"/>
  <c r="BI386" i="18" s="1"/>
  <c r="U778" i="18"/>
  <c r="AA828" i="18"/>
  <c r="AB828" i="18" s="1"/>
  <c r="AC828" i="18" s="1"/>
  <c r="AD828" i="18" s="1"/>
  <c r="AE828" i="18" s="1"/>
  <c r="AF828" i="18" s="1"/>
  <c r="AG828" i="18" s="1"/>
  <c r="AH828" i="18" s="1"/>
  <c r="AI828" i="18" s="1"/>
  <c r="V687" i="18"/>
  <c r="AJ502" i="18"/>
  <c r="AK502" i="18" s="1"/>
  <c r="AL502" i="18" s="1"/>
  <c r="X686" i="18"/>
  <c r="AB423" i="18"/>
  <c r="AC423" i="18" s="1"/>
  <c r="AD423" i="18" s="1"/>
  <c r="AE423" i="18" s="1"/>
  <c r="AF423" i="18" s="1"/>
  <c r="AG423" i="18" s="1"/>
  <c r="AH423" i="18" s="1"/>
  <c r="AI423" i="18" s="1"/>
  <c r="Z784" i="18"/>
  <c r="AA784" i="18" s="1"/>
  <c r="AB784" i="18" s="1"/>
  <c r="AC784" i="18" s="1"/>
  <c r="X621" i="18"/>
  <c r="Y621" i="18" s="1"/>
  <c r="W269" i="18"/>
  <c r="X269" i="18" s="1"/>
  <c r="Z139" i="18"/>
  <c r="AA139" i="18" s="1"/>
  <c r="AB139" i="18" s="1"/>
  <c r="X837" i="18"/>
  <c r="Y837" i="18" s="1"/>
  <c r="Z837" i="18" s="1"/>
  <c r="AB620" i="18"/>
  <c r="Y530" i="18"/>
  <c r="Z530" i="18" s="1"/>
  <c r="AE410" i="18"/>
  <c r="AF410" i="18" s="1"/>
  <c r="AG410" i="18" s="1"/>
  <c r="AH410" i="18" s="1"/>
  <c r="AI410" i="18" s="1"/>
  <c r="AJ410" i="18" s="1"/>
  <c r="AK410" i="18" s="1"/>
  <c r="AL410" i="18" s="1"/>
  <c r="AM410" i="18" s="1"/>
  <c r="AN410" i="18" s="1"/>
  <c r="AO410" i="18" s="1"/>
  <c r="AP410" i="18" s="1"/>
  <c r="AQ410" i="18" s="1"/>
  <c r="AR410" i="18" s="1"/>
  <c r="AS410" i="18" s="1"/>
  <c r="AT410" i="18" s="1"/>
  <c r="AU410" i="18" s="1"/>
  <c r="AV410" i="18" s="1"/>
  <c r="AW410" i="18" s="1"/>
  <c r="AX410" i="18" s="1"/>
  <c r="AY410" i="18" s="1"/>
  <c r="AZ410" i="18" s="1"/>
  <c r="BA410" i="18" s="1"/>
  <c r="BB410" i="18" s="1"/>
  <c r="BC410" i="18" s="1"/>
  <c r="BD410" i="18" s="1"/>
  <c r="BE410" i="18" s="1"/>
  <c r="BF410" i="18" s="1"/>
  <c r="BG410" i="18" s="1"/>
  <c r="BH410" i="18" s="1"/>
  <c r="BI410" i="18" s="1"/>
  <c r="AP437" i="18"/>
  <c r="AQ437" i="18" s="1"/>
  <c r="AR437" i="18" s="1"/>
  <c r="AS437" i="18" s="1"/>
  <c r="AT437" i="18" s="1"/>
  <c r="AU437" i="18" s="1"/>
  <c r="Y436" i="18"/>
  <c r="Z436" i="18" s="1"/>
  <c r="AA436" i="18" s="1"/>
  <c r="AB436" i="18" s="1"/>
  <c r="AC436" i="18" s="1"/>
  <c r="AD436" i="18" s="1"/>
  <c r="AE436" i="18" s="1"/>
  <c r="AF436" i="18" s="1"/>
  <c r="AG436" i="18" s="1"/>
  <c r="AH436" i="18" s="1"/>
  <c r="AI436" i="18" s="1"/>
  <c r="AJ436" i="18" s="1"/>
  <c r="AK436" i="18" s="1"/>
  <c r="AL436" i="18" s="1"/>
  <c r="AM436" i="18" s="1"/>
  <c r="AN436" i="18" s="1"/>
  <c r="AO436" i="18" s="1"/>
  <c r="AP436" i="18" s="1"/>
  <c r="AQ436" i="18" s="1"/>
  <c r="AR436" i="18" s="1"/>
  <c r="AS436" i="18" s="1"/>
  <c r="AT436" i="18" s="1"/>
  <c r="AU436" i="18" s="1"/>
  <c r="AV436" i="18" s="1"/>
  <c r="AW436" i="18" s="1"/>
  <c r="AX436" i="18" s="1"/>
  <c r="AY436" i="18" s="1"/>
  <c r="AZ436" i="18" s="1"/>
  <c r="BA436" i="18" s="1"/>
  <c r="BB436" i="18" s="1"/>
  <c r="BC436" i="18" s="1"/>
  <c r="BD436" i="18" s="1"/>
  <c r="BE436" i="18" s="1"/>
  <c r="BF436" i="18" s="1"/>
  <c r="BG436" i="18" s="1"/>
  <c r="BH436" i="18" s="1"/>
  <c r="BI436" i="18" s="1"/>
  <c r="Z724" i="18"/>
  <c r="AA724" i="18" s="1"/>
  <c r="AB724" i="18" s="1"/>
  <c r="AC724" i="18" s="1"/>
  <c r="AD724" i="18" s="1"/>
  <c r="AE724" i="18" s="1"/>
  <c r="AF724" i="18" s="1"/>
  <c r="AG724" i="18" s="1"/>
  <c r="AH724" i="18" s="1"/>
  <c r="AI724" i="18" s="1"/>
  <c r="AJ724" i="18" s="1"/>
  <c r="AK724" i="18" s="1"/>
  <c r="AL724" i="18" s="1"/>
  <c r="AM724" i="18" s="1"/>
  <c r="AN724" i="18" s="1"/>
  <c r="AO724" i="18" s="1"/>
  <c r="AP724" i="18" s="1"/>
  <c r="AQ724" i="18" s="1"/>
  <c r="AR724" i="18" s="1"/>
  <c r="AS724" i="18" s="1"/>
  <c r="AT724" i="18" s="1"/>
  <c r="AU724" i="18" s="1"/>
  <c r="AV724" i="18" s="1"/>
  <c r="AW724" i="18" s="1"/>
  <c r="AX724" i="18" s="1"/>
  <c r="AY724" i="18" s="1"/>
  <c r="AZ724" i="18" s="1"/>
  <c r="BA724" i="18" s="1"/>
  <c r="BB724" i="18" s="1"/>
  <c r="BC724" i="18" s="1"/>
  <c r="BD724" i="18" s="1"/>
  <c r="BE724" i="18" s="1"/>
  <c r="BF724" i="18" s="1"/>
  <c r="BG724" i="18" s="1"/>
  <c r="BH724" i="18" s="1"/>
  <c r="BI724" i="18" s="1"/>
  <c r="X672" i="18"/>
  <c r="Y672" i="18" s="1"/>
  <c r="Z672" i="18" s="1"/>
  <c r="AA672" i="18" s="1"/>
  <c r="AB672" i="18" s="1"/>
  <c r="AC672" i="18" s="1"/>
  <c r="W490" i="18"/>
  <c r="Y229" i="18"/>
  <c r="Z229" i="18" s="1"/>
  <c r="AA229" i="18" s="1"/>
  <c r="AB229" i="18" s="1"/>
  <c r="AC229" i="18" s="1"/>
  <c r="AD229" i="18" s="1"/>
  <c r="AE229" i="18" s="1"/>
  <c r="AF229" i="18" s="1"/>
  <c r="AG229" i="18" s="1"/>
  <c r="AH229" i="18" s="1"/>
  <c r="AI229" i="18" s="1"/>
  <c r="AJ229" i="18" s="1"/>
  <c r="AK229" i="18" s="1"/>
  <c r="AL229" i="18" s="1"/>
  <c r="AM229" i="18" s="1"/>
  <c r="AN229" i="18" s="1"/>
  <c r="AO229" i="18" s="1"/>
  <c r="AP229" i="18" s="1"/>
  <c r="AQ229" i="18" s="1"/>
  <c r="AR229" i="18" s="1"/>
  <c r="AS229" i="18" s="1"/>
  <c r="AT229" i="18" s="1"/>
  <c r="AU229" i="18" s="1"/>
  <c r="Y683" i="18"/>
  <c r="AB723" i="18"/>
  <c r="AC723" i="18" s="1"/>
  <c r="AD723" i="18" s="1"/>
  <c r="AE723" i="18" s="1"/>
  <c r="AF723" i="18" s="1"/>
  <c r="AG723" i="18" s="1"/>
  <c r="AH723" i="18" s="1"/>
  <c r="AI723" i="18" s="1"/>
  <c r="AJ723" i="18" s="1"/>
  <c r="AK723" i="18" s="1"/>
  <c r="AL723" i="18" s="1"/>
  <c r="AM723" i="18" s="1"/>
  <c r="AN723" i="18" s="1"/>
  <c r="AO723" i="18" s="1"/>
  <c r="AP723" i="18" s="1"/>
  <c r="AQ723" i="18" s="1"/>
  <c r="AR723" i="18" s="1"/>
  <c r="AS723" i="18" s="1"/>
  <c r="AT723" i="18" s="1"/>
  <c r="AU723" i="18" s="1"/>
  <c r="AV723" i="18" s="1"/>
  <c r="AW723" i="18" s="1"/>
  <c r="AX723" i="18" s="1"/>
  <c r="AY723" i="18" s="1"/>
  <c r="AZ723" i="18" s="1"/>
  <c r="BA723" i="18" s="1"/>
  <c r="BB723" i="18" s="1"/>
  <c r="BC723" i="18" s="1"/>
  <c r="BD723" i="18" s="1"/>
  <c r="BE723" i="18" s="1"/>
  <c r="BF723" i="18" s="1"/>
  <c r="BG723" i="18" s="1"/>
  <c r="BH723" i="18" s="1"/>
  <c r="BI723" i="18" s="1"/>
  <c r="W842" i="18"/>
  <c r="X842" i="18" s="1"/>
  <c r="Y842" i="18" s="1"/>
  <c r="Z842" i="18" s="1"/>
  <c r="X260" i="18"/>
  <c r="W153" i="18"/>
  <c r="X143" i="18"/>
  <c r="Z736" i="18"/>
  <c r="AA736" i="18" s="1"/>
  <c r="AB736" i="18" s="1"/>
  <c r="AC736" i="18" s="1"/>
  <c r="AD736" i="18" s="1"/>
  <c r="AE736" i="18" s="1"/>
  <c r="V856" i="18"/>
  <c r="W848" i="18"/>
  <c r="Z138" i="18"/>
  <c r="AA138" i="18" s="1"/>
  <c r="AB138" i="18" s="1"/>
  <c r="AC138" i="18" s="1"/>
  <c r="AD138" i="18" s="1"/>
  <c r="AE138" i="18" s="1"/>
  <c r="AF138" i="18" s="1"/>
  <c r="AG138" i="18" s="1"/>
  <c r="AH138" i="18" s="1"/>
  <c r="AI138" i="18" s="1"/>
  <c r="AJ138" i="18" s="1"/>
  <c r="AK138" i="18" s="1"/>
  <c r="AL138" i="18" s="1"/>
  <c r="AM138" i="18" s="1"/>
  <c r="AN138" i="18" s="1"/>
  <c r="AO138" i="18" s="1"/>
  <c r="AP138" i="18" s="1"/>
  <c r="AQ138" i="18" s="1"/>
  <c r="AR138" i="18" s="1"/>
  <c r="AS138" i="18" s="1"/>
  <c r="AT138" i="18" s="1"/>
  <c r="AU138" i="18" s="1"/>
  <c r="AV138" i="18" s="1"/>
  <c r="AW138" i="18" s="1"/>
  <c r="AX138" i="18" s="1"/>
  <c r="AY138" i="18" s="1"/>
  <c r="AZ138" i="18" s="1"/>
  <c r="BA138" i="18" s="1"/>
  <c r="BB138" i="18" s="1"/>
  <c r="BC138" i="18" s="1"/>
  <c r="BD138" i="18" s="1"/>
  <c r="BE138" i="18" s="1"/>
  <c r="BF138" i="18" s="1"/>
  <c r="BG138" i="18" s="1"/>
  <c r="BH138" i="18" s="1"/>
  <c r="BI138" i="18" s="1"/>
  <c r="W140" i="18"/>
  <c r="X136" i="18"/>
  <c r="AA482" i="18"/>
  <c r="Z282" i="18"/>
  <c r="AA282" i="18" s="1"/>
  <c r="AB282" i="18" s="1"/>
  <c r="AC282" i="18" s="1"/>
  <c r="AD282" i="18" s="1"/>
  <c r="AE282" i="18" s="1"/>
  <c r="AF282" i="18" s="1"/>
  <c r="AG282" i="18" s="1"/>
  <c r="AH282" i="18" s="1"/>
  <c r="AI282" i="18" s="1"/>
  <c r="AJ282" i="18" s="1"/>
  <c r="AK282" i="18" s="1"/>
  <c r="AL282" i="18" s="1"/>
  <c r="AM282" i="18" s="1"/>
  <c r="AN282" i="18" s="1"/>
  <c r="AO282" i="18" s="1"/>
  <c r="AP282" i="18" s="1"/>
  <c r="AQ282" i="18" s="1"/>
  <c r="AR282" i="18" s="1"/>
  <c r="AS282" i="18" s="1"/>
  <c r="AT282" i="18" s="1"/>
  <c r="AU282" i="18" s="1"/>
  <c r="AV282" i="18" s="1"/>
  <c r="AW282" i="18" s="1"/>
  <c r="AX282" i="18" s="1"/>
  <c r="AY282" i="18" s="1"/>
  <c r="AZ282" i="18" s="1"/>
  <c r="BA282" i="18" s="1"/>
  <c r="BB282" i="18" s="1"/>
  <c r="BC282" i="18" s="1"/>
  <c r="BD282" i="18" s="1"/>
  <c r="BE282" i="18" s="1"/>
  <c r="BF282" i="18" s="1"/>
  <c r="BG282" i="18" s="1"/>
  <c r="BH282" i="18" s="1"/>
  <c r="BI282" i="18" s="1"/>
  <c r="Z846" i="18"/>
  <c r="AA846" i="18" s="1"/>
  <c r="U531" i="18"/>
  <c r="W426" i="18"/>
  <c r="X416" i="18"/>
  <c r="J278" i="1"/>
  <c r="P278" i="1" s="1"/>
  <c r="V278" i="1" s="1"/>
  <c r="AB278" i="1" s="1"/>
  <c r="AH278" i="1" s="1"/>
  <c r="AN278" i="1" s="1"/>
  <c r="AT278" i="1" s="1"/>
  <c r="AZ278" i="1" s="1"/>
  <c r="BF278" i="1" s="1"/>
  <c r="BL278" i="1" s="1"/>
  <c r="J4" i="7942"/>
  <c r="J4" i="7943"/>
  <c r="J4" i="7946"/>
  <c r="W581" i="18"/>
  <c r="U791" i="18"/>
  <c r="Y208" i="18"/>
  <c r="Z703" i="18"/>
  <c r="U205" i="18"/>
  <c r="V195" i="18"/>
  <c r="U540" i="18"/>
  <c r="T544" i="18"/>
  <c r="Y827" i="18"/>
  <c r="Z827" i="18" s="1"/>
  <c r="AA827" i="18" s="1"/>
  <c r="AB827" i="18" s="1"/>
  <c r="AC827" i="18" s="1"/>
  <c r="AD827" i="18" s="1"/>
  <c r="AE827" i="18" s="1"/>
  <c r="AF827" i="18" s="1"/>
  <c r="AG827" i="18" s="1"/>
  <c r="AH827" i="18" s="1"/>
  <c r="AI827" i="18" s="1"/>
  <c r="AJ827" i="18" s="1"/>
  <c r="AK827" i="18" s="1"/>
  <c r="AL827" i="18" s="1"/>
  <c r="AM827" i="18" s="1"/>
  <c r="AN827" i="18" s="1"/>
  <c r="AO827" i="18" s="1"/>
  <c r="AP827" i="18" s="1"/>
  <c r="AQ827" i="18" s="1"/>
  <c r="AR827" i="18" s="1"/>
  <c r="AS827" i="18" s="1"/>
  <c r="AT827" i="18" s="1"/>
  <c r="AU827" i="18" s="1"/>
  <c r="AV827" i="18" s="1"/>
  <c r="AW827" i="18" s="1"/>
  <c r="AX827" i="18" s="1"/>
  <c r="AY827" i="18" s="1"/>
  <c r="AZ827" i="18" s="1"/>
  <c r="BA827" i="18" s="1"/>
  <c r="BB827" i="18" s="1"/>
  <c r="BC827" i="18" s="1"/>
  <c r="BD827" i="18" s="1"/>
  <c r="BE827" i="18" s="1"/>
  <c r="BF827" i="18" s="1"/>
  <c r="BG827" i="18" s="1"/>
  <c r="BH827" i="18" s="1"/>
  <c r="BI827" i="18" s="1"/>
  <c r="V192" i="18"/>
  <c r="W187" i="18"/>
  <c r="V618" i="18"/>
  <c r="U622" i="18"/>
  <c r="V829" i="18"/>
  <c r="V307" i="18"/>
  <c r="W307" i="18" s="1"/>
  <c r="X307" i="18" s="1"/>
  <c r="Y307" i="18" s="1"/>
  <c r="Z307" i="18" s="1"/>
  <c r="AA307" i="18" s="1"/>
  <c r="AB307" i="18" s="1"/>
  <c r="AC307" i="18" s="1"/>
  <c r="AD307" i="18" s="1"/>
  <c r="AE307" i="18" s="1"/>
  <c r="AF307" i="18" s="1"/>
  <c r="AG307" i="18" s="1"/>
  <c r="AH307" i="18" s="1"/>
  <c r="AI307" i="18" s="1"/>
  <c r="AJ307" i="18" s="1"/>
  <c r="AK307" i="18" s="1"/>
  <c r="AL307" i="18" s="1"/>
  <c r="AM307" i="18" s="1"/>
  <c r="AN307" i="18" s="1"/>
  <c r="AO307" i="18" s="1"/>
  <c r="AP307" i="18" s="1"/>
  <c r="AQ307" i="18" s="1"/>
  <c r="AR307" i="18" s="1"/>
  <c r="AS307" i="18" s="1"/>
  <c r="AT307" i="18" s="1"/>
  <c r="AU307" i="18" s="1"/>
  <c r="AV307" i="18" s="1"/>
  <c r="AW307" i="18" s="1"/>
  <c r="AX307" i="18" s="1"/>
  <c r="AY307" i="18" s="1"/>
  <c r="AZ307" i="18" s="1"/>
  <c r="BA307" i="18" s="1"/>
  <c r="BB307" i="18" s="1"/>
  <c r="BC307" i="18" s="1"/>
  <c r="BD307" i="18" s="1"/>
  <c r="BE307" i="18" s="1"/>
  <c r="BF307" i="18" s="1"/>
  <c r="BG307" i="18" s="1"/>
  <c r="BH307" i="18" s="1"/>
  <c r="BI307" i="18" s="1"/>
  <c r="Y607" i="18"/>
  <c r="Z607" i="18" s="1"/>
  <c r="AA607" i="18" s="1"/>
  <c r="AB607" i="18" s="1"/>
  <c r="AC607" i="18" s="1"/>
  <c r="AD607" i="18" s="1"/>
  <c r="AE607" i="18" s="1"/>
  <c r="AF607" i="18" s="1"/>
  <c r="AG607" i="18" s="1"/>
  <c r="AH607" i="18" s="1"/>
  <c r="AI607" i="18" s="1"/>
  <c r="AJ607" i="18" s="1"/>
  <c r="AK607" i="18" s="1"/>
  <c r="AL607" i="18" s="1"/>
  <c r="AM607" i="18" s="1"/>
  <c r="AN607" i="18" s="1"/>
  <c r="AO607" i="18" s="1"/>
  <c r="AP607" i="18" s="1"/>
  <c r="AQ607" i="18" s="1"/>
  <c r="AR607" i="18" s="1"/>
  <c r="AS607" i="18" s="1"/>
  <c r="AT607" i="18" s="1"/>
  <c r="AU607" i="18" s="1"/>
  <c r="AV607" i="18" s="1"/>
  <c r="AW607" i="18" s="1"/>
  <c r="AX607" i="18" s="1"/>
  <c r="AY607" i="18" s="1"/>
  <c r="AZ607" i="18" s="1"/>
  <c r="BA607" i="18" s="1"/>
  <c r="BB607" i="18" s="1"/>
  <c r="BC607" i="18" s="1"/>
  <c r="BD607" i="18" s="1"/>
  <c r="BE607" i="18" s="1"/>
  <c r="BF607" i="18" s="1"/>
  <c r="BG607" i="18" s="1"/>
  <c r="BH607" i="18" s="1"/>
  <c r="BI607" i="18" s="1"/>
  <c r="X332" i="18"/>
  <c r="AA763" i="18"/>
  <c r="AB763" i="18" s="1"/>
  <c r="V843" i="18"/>
  <c r="W833" i="18"/>
  <c r="W549" i="18"/>
  <c r="V557" i="18"/>
  <c r="AB802" i="18"/>
  <c r="AC802" i="18" s="1"/>
  <c r="V528" i="18"/>
  <c r="W528" i="18" s="1"/>
  <c r="X528" i="18" s="1"/>
  <c r="Y528" i="18" s="1"/>
  <c r="AC568" i="18"/>
  <c r="AD568" i="18" s="1"/>
  <c r="AE568" i="18" s="1"/>
  <c r="AF568" i="18" s="1"/>
  <c r="AG568" i="18" s="1"/>
  <c r="AH568" i="18" s="1"/>
  <c r="AI568" i="18" s="1"/>
  <c r="AJ568" i="18" s="1"/>
  <c r="AK568" i="18" s="1"/>
  <c r="AL568" i="18" s="1"/>
  <c r="AM568" i="18" s="1"/>
  <c r="AN568" i="18" s="1"/>
  <c r="AO568" i="18" s="1"/>
  <c r="AP568" i="18" s="1"/>
  <c r="AQ568" i="18" s="1"/>
  <c r="AR568" i="18" s="1"/>
  <c r="AS568" i="18" s="1"/>
  <c r="AT568" i="18" s="1"/>
  <c r="AU568" i="18" s="1"/>
  <c r="AV568" i="18" s="1"/>
  <c r="AW568" i="18" s="1"/>
  <c r="AX568" i="18" s="1"/>
  <c r="AY568" i="18" s="1"/>
  <c r="AZ568" i="18" s="1"/>
  <c r="BA568" i="18" s="1"/>
  <c r="BB568" i="18" s="1"/>
  <c r="BC568" i="18" s="1"/>
  <c r="BD568" i="18" s="1"/>
  <c r="BE568" i="18" s="1"/>
  <c r="BF568" i="18" s="1"/>
  <c r="BG568" i="18" s="1"/>
  <c r="BH568" i="18" s="1"/>
  <c r="BI568" i="18" s="1"/>
  <c r="V604" i="18"/>
  <c r="U609" i="18"/>
  <c r="AJ514" i="18"/>
  <c r="AL773" i="18"/>
  <c r="AM773" i="18" s="1"/>
  <c r="AN773" i="18" s="1"/>
  <c r="AO773" i="18" s="1"/>
  <c r="AP773" i="18" s="1"/>
  <c r="AQ773" i="18" s="1"/>
  <c r="AR773" i="18" s="1"/>
  <c r="AS773" i="18" s="1"/>
  <c r="AT773" i="18" s="1"/>
  <c r="AU773" i="18" s="1"/>
  <c r="AV773" i="18" s="1"/>
  <c r="AW773" i="18" s="1"/>
  <c r="AX773" i="18" s="1"/>
  <c r="AY773" i="18" s="1"/>
  <c r="AZ773" i="18" s="1"/>
  <c r="BA773" i="18" s="1"/>
  <c r="BB773" i="18" s="1"/>
  <c r="BC773" i="18" s="1"/>
  <c r="BD773" i="18" s="1"/>
  <c r="BE773" i="18" s="1"/>
  <c r="BF773" i="18" s="1"/>
  <c r="BG773" i="18" s="1"/>
  <c r="BH773" i="18" s="1"/>
  <c r="BI773" i="18" s="1"/>
  <c r="AA651" i="18"/>
  <c r="AV114" i="18"/>
  <c r="AB547" i="18"/>
  <c r="V244" i="18"/>
  <c r="W234" i="18"/>
  <c r="AG529" i="18"/>
  <c r="AH529" i="18" s="1"/>
  <c r="Y647" i="18"/>
  <c r="AK504" i="18"/>
  <c r="AL504" i="18" s="1"/>
  <c r="AM504" i="18" s="1"/>
  <c r="AN504" i="18" s="1"/>
  <c r="AO504" i="18" s="1"/>
  <c r="AP504" i="18" s="1"/>
  <c r="AQ504" i="18" s="1"/>
  <c r="AR504" i="18" s="1"/>
  <c r="AS504" i="18" s="1"/>
  <c r="AT504" i="18" s="1"/>
  <c r="AU504" i="18" s="1"/>
  <c r="AV504" i="18" s="1"/>
  <c r="AW504" i="18" s="1"/>
  <c r="AX504" i="18" s="1"/>
  <c r="AY504" i="18" s="1"/>
  <c r="AZ504" i="18" s="1"/>
  <c r="BA504" i="18" s="1"/>
  <c r="BB504" i="18" s="1"/>
  <c r="BC504" i="18" s="1"/>
  <c r="BD504" i="18" s="1"/>
  <c r="BE504" i="18" s="1"/>
  <c r="BF504" i="18" s="1"/>
  <c r="BG504" i="18" s="1"/>
  <c r="BH504" i="18" s="1"/>
  <c r="BI504" i="18" s="1"/>
  <c r="AF774" i="18"/>
  <c r="AG774" i="18" s="1"/>
  <c r="AH774" i="18" s="1"/>
  <c r="AI774" i="18" s="1"/>
  <c r="AJ774" i="18" s="1"/>
  <c r="AK774" i="18" s="1"/>
  <c r="AL774" i="18" s="1"/>
  <c r="AM774" i="18" s="1"/>
  <c r="AN774" i="18" s="1"/>
  <c r="AO774" i="18" s="1"/>
  <c r="AP774" i="18" s="1"/>
  <c r="AQ774" i="18" s="1"/>
  <c r="AR774" i="18" s="1"/>
  <c r="AS774" i="18" s="1"/>
  <c r="AT774" i="18" s="1"/>
  <c r="AU774" i="18" s="1"/>
  <c r="AV774" i="18" s="1"/>
  <c r="AW774" i="18" s="1"/>
  <c r="AA755" i="18"/>
  <c r="U288" i="18"/>
  <c r="T296" i="18"/>
  <c r="R13" i="24"/>
  <c r="S12" i="24"/>
  <c r="V127" i="18"/>
  <c r="W117" i="18"/>
  <c r="Y542" i="18"/>
  <c r="Z542" i="18" s="1"/>
  <c r="AA542" i="18" s="1"/>
  <c r="AB542" i="18" s="1"/>
  <c r="AC542" i="18" s="1"/>
  <c r="AD542" i="18" s="1"/>
  <c r="AE542" i="18" s="1"/>
  <c r="AF542" i="18" s="1"/>
  <c r="AG542" i="18" s="1"/>
  <c r="AH542" i="18" s="1"/>
  <c r="AI542" i="18" s="1"/>
  <c r="AJ542" i="18" s="1"/>
  <c r="AK542" i="18" s="1"/>
  <c r="AL542" i="18" s="1"/>
  <c r="AM542" i="18" s="1"/>
  <c r="AN542" i="18" s="1"/>
  <c r="AO542" i="18" s="1"/>
  <c r="AP542" i="18" s="1"/>
  <c r="AQ542" i="18" s="1"/>
  <c r="AR542" i="18" s="1"/>
  <c r="AS542" i="18" s="1"/>
  <c r="AT542" i="18" s="1"/>
  <c r="AU542" i="18" s="1"/>
  <c r="AC716" i="18"/>
  <c r="U439" i="18"/>
  <c r="V429" i="18"/>
  <c r="V655" i="18"/>
  <c r="U661" i="18"/>
  <c r="Y560" i="18"/>
  <c r="AA614" i="18"/>
  <c r="AB614" i="18" s="1"/>
  <c r="V413" i="18"/>
  <c r="W403" i="18"/>
  <c r="W166" i="18"/>
  <c r="X156" i="18"/>
  <c r="V569" i="18"/>
  <c r="J4" i="24"/>
  <c r="J4" i="7945"/>
  <c r="AO508" i="18"/>
  <c r="AI516" i="18"/>
  <c r="X664" i="18"/>
  <c r="X807" i="18"/>
  <c r="W373" i="18"/>
  <c r="W374" i="18" s="1"/>
  <c r="W286" i="18"/>
  <c r="AA130" i="18"/>
  <c r="V777" i="18"/>
  <c r="W777" i="18" s="1"/>
  <c r="AW113" i="18"/>
  <c r="Z751" i="18"/>
  <c r="Y364" i="18"/>
  <c r="Y813" i="18"/>
  <c r="Z813" i="18" s="1"/>
  <c r="AA813" i="18" s="1"/>
  <c r="AB813" i="18" s="1"/>
  <c r="AC813" i="18" s="1"/>
  <c r="AD813" i="18" s="1"/>
  <c r="X521" i="18"/>
  <c r="X556" i="18"/>
  <c r="T583" i="18"/>
  <c r="U573" i="18"/>
  <c r="Y821" i="18"/>
  <c r="W178" i="18"/>
  <c r="X178" i="18" s="1"/>
  <c r="Y178" i="18" s="1"/>
  <c r="Z178" i="18" s="1"/>
  <c r="AA178" i="18" s="1"/>
  <c r="AB178" i="18" s="1"/>
  <c r="AC178" i="18" s="1"/>
  <c r="AD178" i="18" s="1"/>
  <c r="AE178" i="18" s="1"/>
  <c r="AF178" i="18" s="1"/>
  <c r="AG178" i="18" s="1"/>
  <c r="AH178" i="18" s="1"/>
  <c r="AI178" i="18" s="1"/>
  <c r="AJ178" i="18" s="1"/>
  <c r="AK178" i="18" s="1"/>
  <c r="AL178" i="18" s="1"/>
  <c r="AM178" i="18" s="1"/>
  <c r="AN178" i="18" s="1"/>
  <c r="AO178" i="18" s="1"/>
  <c r="AP178" i="18" s="1"/>
  <c r="AQ178" i="18" s="1"/>
  <c r="AR178" i="18" s="1"/>
  <c r="AS178" i="18" s="1"/>
  <c r="AT178" i="18" s="1"/>
  <c r="AU178" i="18" s="1"/>
  <c r="AV178" i="18" s="1"/>
  <c r="AW178" i="18" s="1"/>
  <c r="AX178" i="18" s="1"/>
  <c r="AY178" i="18" s="1"/>
  <c r="AZ178" i="18" s="1"/>
  <c r="BA178" i="18" s="1"/>
  <c r="BB178" i="18" s="1"/>
  <c r="BC178" i="18" s="1"/>
  <c r="BD178" i="18" s="1"/>
  <c r="BE178" i="18" s="1"/>
  <c r="BF178" i="18" s="1"/>
  <c r="BG178" i="18" s="1"/>
  <c r="BH178" i="18" s="1"/>
  <c r="BI178" i="18" s="1"/>
  <c r="Y794" i="18"/>
  <c r="AA182" i="18"/>
  <c r="V379" i="18"/>
  <c r="U387" i="18"/>
  <c r="AI698" i="18"/>
  <c r="AJ698" i="18" s="1"/>
  <c r="AK698" i="18" s="1"/>
  <c r="AL698" i="18" s="1"/>
  <c r="AM698" i="18" s="1"/>
  <c r="AN698" i="18" s="1"/>
  <c r="AO698" i="18" s="1"/>
  <c r="AP698" i="18" s="1"/>
  <c r="AQ698" i="18" s="1"/>
  <c r="AR698" i="18" s="1"/>
  <c r="AS698" i="18" s="1"/>
  <c r="AT698" i="18" s="1"/>
  <c r="AU698" i="18" s="1"/>
  <c r="AV698" i="18" s="1"/>
  <c r="AW698" i="18" s="1"/>
  <c r="AX698" i="18" s="1"/>
  <c r="AY698" i="18" s="1"/>
  <c r="AZ698" i="18" s="1"/>
  <c r="BA698" i="18" s="1"/>
  <c r="BB698" i="18" s="1"/>
  <c r="BC698" i="18" s="1"/>
  <c r="BD698" i="18" s="1"/>
  <c r="BE698" i="18" s="1"/>
  <c r="BF698" i="18" s="1"/>
  <c r="BG698" i="18" s="1"/>
  <c r="BH698" i="18" s="1"/>
  <c r="BI698" i="18" s="1"/>
  <c r="W781" i="18"/>
  <c r="W768" i="18"/>
  <c r="X768" i="18" s="1"/>
  <c r="Y768" i="18" s="1"/>
  <c r="X841" i="18"/>
  <c r="Y841" i="18" s="1"/>
  <c r="T570" i="18"/>
  <c r="U566" i="18"/>
  <c r="U627" i="18"/>
  <c r="T635" i="18"/>
  <c r="V596" i="18"/>
  <c r="W586" i="18"/>
  <c r="W295" i="18"/>
  <c r="Z625" i="18"/>
  <c r="V335" i="18"/>
  <c r="U322" i="18"/>
  <c r="V319" i="18"/>
  <c r="V179" i="18"/>
  <c r="W169" i="18"/>
  <c r="X400" i="18"/>
  <c r="Y390" i="18"/>
  <c r="W191" i="18"/>
  <c r="X191" i="18" s="1"/>
  <c r="V580" i="18"/>
  <c r="AD612" i="18"/>
  <c r="X758" i="18"/>
  <c r="Y758" i="18" s="1"/>
  <c r="W765" i="18"/>
  <c r="W442" i="18"/>
  <c r="V452" i="18"/>
  <c r="AA677" i="18"/>
  <c r="AB677" i="18" s="1"/>
  <c r="T531" i="18"/>
  <c r="V211" i="18"/>
  <c r="U218" i="18"/>
  <c r="U361" i="18"/>
  <c r="V351" i="18"/>
  <c r="V668" i="18"/>
  <c r="U674" i="18"/>
  <c r="X247" i="18"/>
  <c r="V749" i="18"/>
  <c r="U752" i="18"/>
  <c r="W333" i="18"/>
  <c r="Y491" i="18"/>
  <c r="Z491" i="18" s="1"/>
  <c r="Z534" i="18"/>
  <c r="AE203" i="18"/>
  <c r="AF203" i="18" s="1"/>
  <c r="AG203" i="18" s="1"/>
  <c r="AH203" i="18" s="1"/>
  <c r="AI203" i="18" s="1"/>
  <c r="AJ203" i="18" s="1"/>
  <c r="AK203" i="18" s="1"/>
  <c r="AL203" i="18" s="1"/>
  <c r="AM203" i="18" s="1"/>
  <c r="AN203" i="18" s="1"/>
  <c r="AO203" i="18" s="1"/>
  <c r="AP203" i="18" s="1"/>
  <c r="AQ203" i="18" s="1"/>
  <c r="AR203" i="18" s="1"/>
  <c r="AS203" i="18" s="1"/>
  <c r="AT203" i="18" s="1"/>
  <c r="AU203" i="18" s="1"/>
  <c r="AV203" i="18" s="1"/>
  <c r="AW203" i="18" s="1"/>
  <c r="AX203" i="18" s="1"/>
  <c r="AY203" i="18" s="1"/>
  <c r="AZ203" i="18" s="1"/>
  <c r="BA203" i="18" s="1"/>
  <c r="BB203" i="18" s="1"/>
  <c r="BC203" i="18" s="1"/>
  <c r="BD203" i="18" s="1"/>
  <c r="BE203" i="18" s="1"/>
  <c r="BF203" i="18" s="1"/>
  <c r="BG203" i="18" s="1"/>
  <c r="BH203" i="18" s="1"/>
  <c r="BI203" i="18" s="1"/>
  <c r="V868" i="18"/>
  <c r="K4" i="18"/>
  <c r="K221" i="1"/>
  <c r="K223" i="1" s="1"/>
  <c r="K4" i="2"/>
  <c r="K74" i="1"/>
  <c r="K108" i="1" s="1"/>
  <c r="K142" i="1"/>
  <c r="K208" i="1"/>
  <c r="K190" i="1"/>
  <c r="K176" i="1"/>
  <c r="K241" i="1"/>
  <c r="L40" i="1"/>
  <c r="G215" i="1"/>
  <c r="Y320" i="18"/>
  <c r="Z320" i="18" s="1"/>
  <c r="AZ104" i="18"/>
  <c r="T283" i="18"/>
  <c r="U273" i="18"/>
  <c r="AM511" i="18"/>
  <c r="V718" i="18"/>
  <c r="U726" i="18"/>
  <c r="U487" i="18"/>
  <c r="T492" i="18"/>
  <c r="X640" i="18"/>
  <c r="S231" i="18"/>
  <c r="T221" i="18"/>
  <c r="AK451" i="18"/>
  <c r="AL451" i="18" s="1"/>
  <c r="AM451" i="18" s="1"/>
  <c r="AN451" i="18" s="1"/>
  <c r="AO451" i="18" s="1"/>
  <c r="AP451" i="18" s="1"/>
  <c r="AQ451" i="18" s="1"/>
  <c r="W685" i="18"/>
  <c r="W687" i="18" s="1"/>
  <c r="Y750" i="18"/>
  <c r="W646" i="18"/>
  <c r="X646" i="18" s="1"/>
  <c r="Y748" i="18"/>
  <c r="Z748" i="18" s="1"/>
  <c r="AA748" i="18" s="1"/>
  <c r="AB748" i="18" s="1"/>
  <c r="AC748" i="18" s="1"/>
  <c r="AD748" i="18" s="1"/>
  <c r="Z644" i="18"/>
  <c r="AA644" i="18" s="1"/>
  <c r="AB644" i="18" s="1"/>
  <c r="AC644" i="18" s="1"/>
  <c r="AD644" i="18" s="1"/>
  <c r="AE644" i="18" s="1"/>
  <c r="AF644" i="18" s="1"/>
  <c r="AG644" i="18" s="1"/>
  <c r="AH644" i="18" s="1"/>
  <c r="AI644" i="18" s="1"/>
  <c r="AJ644" i="18" s="1"/>
  <c r="AK644" i="18" s="1"/>
  <c r="AL644" i="18" s="1"/>
  <c r="AM644" i="18" s="1"/>
  <c r="AN644" i="18" s="1"/>
  <c r="AO644" i="18" s="1"/>
  <c r="AP644" i="18" s="1"/>
  <c r="AQ644" i="18" s="1"/>
  <c r="AR644" i="18" s="1"/>
  <c r="AS644" i="18" s="1"/>
  <c r="AT644" i="18" s="1"/>
  <c r="AU644" i="18" s="1"/>
  <c r="AV644" i="18" s="1"/>
  <c r="AW644" i="18" s="1"/>
  <c r="AX644" i="18" s="1"/>
  <c r="AY644" i="18" s="1"/>
  <c r="AZ644" i="18" s="1"/>
  <c r="BA644" i="18" s="1"/>
  <c r="BB644" i="18" s="1"/>
  <c r="BC644" i="18" s="1"/>
  <c r="BD644" i="18" s="1"/>
  <c r="BE644" i="18" s="1"/>
  <c r="BF644" i="18" s="1"/>
  <c r="BG644" i="18" s="1"/>
  <c r="BH644" i="18" s="1"/>
  <c r="BI644" i="18" s="1"/>
  <c r="AA599" i="18"/>
  <c r="V790" i="18"/>
  <c r="X645" i="18"/>
  <c r="Y645" i="18" s="1"/>
  <c r="Z645" i="18" s="1"/>
  <c r="AA645" i="18" s="1"/>
  <c r="AB645" i="18" s="1"/>
  <c r="AC645" i="18" s="1"/>
  <c r="AD645" i="18" s="1"/>
  <c r="AE645" i="18" s="1"/>
  <c r="AF645" i="18" s="1"/>
  <c r="AG645" i="18" s="1"/>
  <c r="AH645" i="18" s="1"/>
  <c r="AI645" i="18" s="1"/>
  <c r="AJ645" i="18" s="1"/>
  <c r="AK645" i="18" s="1"/>
  <c r="AL645" i="18" s="1"/>
  <c r="AM645" i="18" s="1"/>
  <c r="AN645" i="18" s="1"/>
  <c r="AO645" i="18" s="1"/>
  <c r="AP645" i="18" s="1"/>
  <c r="AQ645" i="18" s="1"/>
  <c r="AR645" i="18" s="1"/>
  <c r="AS645" i="18" s="1"/>
  <c r="AT645" i="18" s="1"/>
  <c r="AU645" i="18" s="1"/>
  <c r="AV645" i="18" s="1"/>
  <c r="AW645" i="18" s="1"/>
  <c r="AX645" i="18" s="1"/>
  <c r="AY645" i="18" s="1"/>
  <c r="AZ645" i="18" s="1"/>
  <c r="BA645" i="18" s="1"/>
  <c r="BB645" i="18" s="1"/>
  <c r="BC645" i="18" s="1"/>
  <c r="BD645" i="18" s="1"/>
  <c r="BE645" i="18" s="1"/>
  <c r="BF645" i="18" s="1"/>
  <c r="BG645" i="18" s="1"/>
  <c r="BH645" i="18" s="1"/>
  <c r="BI645" i="18" s="1"/>
  <c r="X660" i="18"/>
  <c r="Y660" i="18" s="1"/>
  <c r="Z660" i="18" s="1"/>
  <c r="V739" i="18"/>
  <c r="W729" i="18"/>
  <c r="Y690" i="18"/>
  <c r="Y312" i="18"/>
  <c r="Z621" i="18"/>
  <c r="Y377" i="18"/>
  <c r="AA820" i="18"/>
  <c r="I87" i="7943"/>
  <c r="I67" i="7943"/>
  <c r="I51" i="7943"/>
  <c r="Z325" i="18"/>
  <c r="X742" i="18"/>
  <c r="Y742" i="18" s="1"/>
  <c r="Z742" i="18" s="1"/>
  <c r="U348" i="18"/>
  <c r="V338" i="18"/>
  <c r="AD672" i="18"/>
  <c r="AE672" i="18" s="1"/>
  <c r="AF672" i="18" s="1"/>
  <c r="AG672" i="18" s="1"/>
  <c r="AH672" i="18" s="1"/>
  <c r="AI672" i="18" s="1"/>
  <c r="AJ672" i="18" s="1"/>
  <c r="AK672" i="18" s="1"/>
  <c r="AL672" i="18" s="1"/>
  <c r="AM672" i="18" s="1"/>
  <c r="AN672" i="18" s="1"/>
  <c r="AO672" i="18" s="1"/>
  <c r="AP672" i="18" s="1"/>
  <c r="AQ672" i="18" s="1"/>
  <c r="AR672" i="18" s="1"/>
  <c r="AS672" i="18" s="1"/>
  <c r="AT672" i="18" s="1"/>
  <c r="AU672" i="18" s="1"/>
  <c r="AV672" i="18" s="1"/>
  <c r="AW672" i="18" s="1"/>
  <c r="AX672" i="18" s="1"/>
  <c r="AY672" i="18" s="1"/>
  <c r="AZ672" i="18" s="1"/>
  <c r="BA672" i="18" s="1"/>
  <c r="BB672" i="18" s="1"/>
  <c r="BC672" i="18" s="1"/>
  <c r="BD672" i="18" s="1"/>
  <c r="BE672" i="18" s="1"/>
  <c r="BF672" i="18" s="1"/>
  <c r="BG672" i="18" s="1"/>
  <c r="BH672" i="18" s="1"/>
  <c r="BI672" i="18" s="1"/>
  <c r="X776" i="18"/>
  <c r="Y776" i="18" s="1"/>
  <c r="Z776" i="18" s="1"/>
  <c r="AA776" i="18" s="1"/>
  <c r="AB776" i="18" s="1"/>
  <c r="AC776" i="18" s="1"/>
  <c r="AD776" i="18" s="1"/>
  <c r="AE776" i="18" s="1"/>
  <c r="AF776" i="18" s="1"/>
  <c r="AG776" i="18" s="1"/>
  <c r="AH776" i="18" s="1"/>
  <c r="AI776" i="18" s="1"/>
  <c r="AJ776" i="18" s="1"/>
  <c r="AK776" i="18" s="1"/>
  <c r="AL776" i="18" s="1"/>
  <c r="AM776" i="18" s="1"/>
  <c r="AN776" i="18" s="1"/>
  <c r="AO776" i="18" s="1"/>
  <c r="AP776" i="18" s="1"/>
  <c r="AQ776" i="18" s="1"/>
  <c r="AR776" i="18" s="1"/>
  <c r="AS776" i="18" s="1"/>
  <c r="AT776" i="18" s="1"/>
  <c r="AU776" i="18" s="1"/>
  <c r="AV776" i="18" s="1"/>
  <c r="AW776" i="18" s="1"/>
  <c r="AX776" i="18" s="1"/>
  <c r="AY776" i="18" s="1"/>
  <c r="AZ776" i="18" s="1"/>
  <c r="BA776" i="18" s="1"/>
  <c r="BB776" i="18" s="1"/>
  <c r="BC776" i="18" s="1"/>
  <c r="BD776" i="18" s="1"/>
  <c r="BE776" i="18" s="1"/>
  <c r="BF776" i="18" s="1"/>
  <c r="BG776" i="18" s="1"/>
  <c r="BH776" i="18" s="1"/>
  <c r="BI776" i="18" s="1"/>
  <c r="AW697" i="18"/>
  <c r="AX697" i="18" s="1"/>
  <c r="AY697" i="18" s="1"/>
  <c r="AZ697" i="18" s="1"/>
  <c r="BA697" i="18" s="1"/>
  <c r="BB697" i="18" s="1"/>
  <c r="BC697" i="18" s="1"/>
  <c r="BD697" i="18" s="1"/>
  <c r="BE697" i="18" s="1"/>
  <c r="BF697" i="18" s="1"/>
  <c r="BG697" i="18" s="1"/>
  <c r="BH697" i="18" s="1"/>
  <c r="BI697" i="18" s="1"/>
  <c r="Y764" i="18"/>
  <c r="U830" i="18"/>
  <c r="V823" i="18"/>
  <c r="W867" i="18"/>
  <c r="X867" i="18" s="1"/>
  <c r="Y867" i="18" s="1"/>
  <c r="Z867" i="18" s="1"/>
  <c r="W853" i="18"/>
  <c r="X853" i="18" s="1"/>
  <c r="Y853" i="18" s="1"/>
  <c r="Z853" i="18" s="1"/>
  <c r="U309" i="18"/>
  <c r="V299" i="18"/>
  <c r="V816" i="18"/>
  <c r="U817" i="18"/>
  <c r="U869" i="18"/>
  <c r="V859" i="18"/>
  <c r="AC638" i="18"/>
  <c r="X855" i="18"/>
  <c r="U706" i="18"/>
  <c r="T713" i="18"/>
  <c r="AA360" i="18"/>
  <c r="AB360" i="18" s="1"/>
  <c r="AC360" i="18" s="1"/>
  <c r="AD360" i="18" s="1"/>
  <c r="AE360" i="18" s="1"/>
  <c r="AF360" i="18" s="1"/>
  <c r="AG360" i="18" s="1"/>
  <c r="AH360" i="18" s="1"/>
  <c r="AI360" i="18" s="1"/>
  <c r="AJ360" i="18" s="1"/>
  <c r="AK360" i="18" s="1"/>
  <c r="AL360" i="18" s="1"/>
  <c r="AM360" i="18" s="1"/>
  <c r="AN360" i="18" s="1"/>
  <c r="AO360" i="18" s="1"/>
  <c r="AP360" i="18" s="1"/>
  <c r="AQ360" i="18" s="1"/>
  <c r="AR360" i="18" s="1"/>
  <c r="AS360" i="18" s="1"/>
  <c r="AT360" i="18" s="1"/>
  <c r="AU360" i="18" s="1"/>
  <c r="AV360" i="18" s="1"/>
  <c r="AW360" i="18" s="1"/>
  <c r="AX360" i="18" s="1"/>
  <c r="AY360" i="18" s="1"/>
  <c r="AZ360" i="18" s="1"/>
  <c r="BA360" i="18" s="1"/>
  <c r="BB360" i="18" s="1"/>
  <c r="BC360" i="18" s="1"/>
  <c r="BD360" i="18" s="1"/>
  <c r="BE360" i="18" s="1"/>
  <c r="BF360" i="18" s="1"/>
  <c r="BG360" i="18" s="1"/>
  <c r="BH360" i="18" s="1"/>
  <c r="BI360" i="18" s="1"/>
  <c r="CH13" i="7942"/>
  <c r="I80" i="7942"/>
  <c r="DD13" i="7942"/>
  <c r="BA80" i="7942"/>
  <c r="BW47" i="7942"/>
  <c r="T80" i="7942"/>
  <c r="CS13" i="7942"/>
  <c r="DD47" i="7942"/>
  <c r="CS47" i="7942"/>
  <c r="BL47" i="7942"/>
  <c r="DD80" i="7942"/>
  <c r="CH80" i="7942"/>
  <c r="AP47" i="7942"/>
  <c r="AP80" i="7942"/>
  <c r="BW13" i="7942"/>
  <c r="BL13" i="7942"/>
  <c r="AE80" i="7942"/>
  <c r="AP13" i="7942"/>
  <c r="T47" i="7942"/>
  <c r="I47" i="7942"/>
  <c r="I13" i="7942"/>
  <c r="BL80" i="7942"/>
  <c r="CS80" i="7942"/>
  <c r="T13" i="7942"/>
  <c r="CH47" i="7942"/>
  <c r="BA47" i="7942"/>
  <c r="AE13" i="7942"/>
  <c r="AE47" i="7942"/>
  <c r="BA13" i="7942"/>
  <c r="BW80" i="7942"/>
  <c r="AI671" i="18"/>
  <c r="AJ671" i="18" s="1"/>
  <c r="AK671" i="18" s="1"/>
  <c r="AL671" i="18" s="1"/>
  <c r="AM671" i="18" s="1"/>
  <c r="AN671" i="18" s="1"/>
  <c r="AO671" i="18" s="1"/>
  <c r="AP671" i="18" s="1"/>
  <c r="AQ671" i="18" s="1"/>
  <c r="AR671" i="18" s="1"/>
  <c r="AS671" i="18" s="1"/>
  <c r="AT671" i="18" s="1"/>
  <c r="AU671" i="18" s="1"/>
  <c r="AV671" i="18" s="1"/>
  <c r="AW671" i="18" s="1"/>
  <c r="AX671" i="18" s="1"/>
  <c r="AY671" i="18" s="1"/>
  <c r="AZ671" i="18" s="1"/>
  <c r="BA671" i="18" s="1"/>
  <c r="BB671" i="18" s="1"/>
  <c r="BC671" i="18" s="1"/>
  <c r="BD671" i="18" s="1"/>
  <c r="BE671" i="18" s="1"/>
  <c r="BF671" i="18" s="1"/>
  <c r="BG671" i="18" s="1"/>
  <c r="BH671" i="18" s="1"/>
  <c r="BI671" i="18" s="1"/>
  <c r="AM710" i="18"/>
  <c r="AN710" i="18" s="1"/>
  <c r="AO710" i="18" s="1"/>
  <c r="AP710" i="18" s="1"/>
  <c r="AQ710" i="18" s="1"/>
  <c r="AR710" i="18" s="1"/>
  <c r="AS710" i="18" s="1"/>
  <c r="AT710" i="18" s="1"/>
  <c r="AU710" i="18" s="1"/>
  <c r="AV710" i="18" s="1"/>
  <c r="AW710" i="18" s="1"/>
  <c r="AX710" i="18" s="1"/>
  <c r="AY710" i="18" s="1"/>
  <c r="AZ710" i="18" s="1"/>
  <c r="BA710" i="18" s="1"/>
  <c r="BB710" i="18" s="1"/>
  <c r="BC710" i="18" s="1"/>
  <c r="BD710" i="18" s="1"/>
  <c r="BE710" i="18" s="1"/>
  <c r="BF710" i="18" s="1"/>
  <c r="BG710" i="18" s="1"/>
  <c r="BH710" i="18" s="1"/>
  <c r="BI710" i="18" s="1"/>
  <c r="AB803" i="18"/>
  <c r="AC803" i="18" s="1"/>
  <c r="AD803" i="18" s="1"/>
  <c r="AE803" i="18" s="1"/>
  <c r="X256" i="18" l="1"/>
  <c r="X257" i="18" s="1"/>
  <c r="W270" i="18"/>
  <c r="AA530" i="18"/>
  <c r="AB530" i="18" s="1"/>
  <c r="AC530" i="18" s="1"/>
  <c r="AE712" i="18"/>
  <c r="AF712" i="18" s="1"/>
  <c r="AG712" i="18" s="1"/>
  <c r="AH712" i="18" s="1"/>
  <c r="AI712" i="18" s="1"/>
  <c r="AJ712" i="18" s="1"/>
  <c r="AK712" i="18" s="1"/>
  <c r="AL712" i="18" s="1"/>
  <c r="AM712" i="18" s="1"/>
  <c r="AN712" i="18" s="1"/>
  <c r="AO712" i="18" s="1"/>
  <c r="AP712" i="18" s="1"/>
  <c r="AQ712" i="18" s="1"/>
  <c r="AR712" i="18" s="1"/>
  <c r="AS712" i="18" s="1"/>
  <c r="AT712" i="18" s="1"/>
  <c r="AU712" i="18" s="1"/>
  <c r="AV712" i="18" s="1"/>
  <c r="AW712" i="18" s="1"/>
  <c r="AX712" i="18" s="1"/>
  <c r="AY712" i="18" s="1"/>
  <c r="AZ712" i="18" s="1"/>
  <c r="BA712" i="18" s="1"/>
  <c r="BB712" i="18" s="1"/>
  <c r="BC712" i="18" s="1"/>
  <c r="BD712" i="18" s="1"/>
  <c r="BE712" i="18" s="1"/>
  <c r="BF712" i="18" s="1"/>
  <c r="BG712" i="18" s="1"/>
  <c r="BH712" i="18" s="1"/>
  <c r="BI712" i="18" s="1"/>
  <c r="AF308" i="18"/>
  <c r="AG308" i="18" s="1"/>
  <c r="AH308" i="18" s="1"/>
  <c r="AI308" i="18" s="1"/>
  <c r="AJ308" i="18" s="1"/>
  <c r="AK308" i="18" s="1"/>
  <c r="AL308" i="18" s="1"/>
  <c r="AM308" i="18" s="1"/>
  <c r="AN308" i="18" s="1"/>
  <c r="AO308" i="18" s="1"/>
  <c r="AP308" i="18" s="1"/>
  <c r="AQ308" i="18" s="1"/>
  <c r="AR308" i="18" s="1"/>
  <c r="AS308" i="18" s="1"/>
  <c r="AT308" i="18" s="1"/>
  <c r="AU308" i="18" s="1"/>
  <c r="AV308" i="18" s="1"/>
  <c r="AW308" i="18" s="1"/>
  <c r="AX308" i="18" s="1"/>
  <c r="AY308" i="18" s="1"/>
  <c r="AZ308" i="18" s="1"/>
  <c r="BA308" i="18" s="1"/>
  <c r="BB308" i="18" s="1"/>
  <c r="BC308" i="18" s="1"/>
  <c r="BD308" i="18" s="1"/>
  <c r="BE308" i="18" s="1"/>
  <c r="BF308" i="18" s="1"/>
  <c r="BG308" i="18" s="1"/>
  <c r="BH308" i="18" s="1"/>
  <c r="BI308" i="18" s="1"/>
  <c r="AE230" i="18"/>
  <c r="AF230" i="18" s="1"/>
  <c r="AG230" i="18" s="1"/>
  <c r="AH230" i="18" s="1"/>
  <c r="AI230" i="18" s="1"/>
  <c r="AJ230" i="18" s="1"/>
  <c r="AK230" i="18" s="1"/>
  <c r="AL230" i="18" s="1"/>
  <c r="AM230" i="18" s="1"/>
  <c r="AN230" i="18" s="1"/>
  <c r="AO230" i="18" s="1"/>
  <c r="AP230" i="18" s="1"/>
  <c r="AQ230" i="18" s="1"/>
  <c r="AR230" i="18" s="1"/>
  <c r="AS230" i="18" s="1"/>
  <c r="AT230" i="18" s="1"/>
  <c r="AU230" i="18" s="1"/>
  <c r="AV230" i="18" s="1"/>
  <c r="AW230" i="18" s="1"/>
  <c r="AX230" i="18" s="1"/>
  <c r="AY230" i="18" s="1"/>
  <c r="AZ230" i="18" s="1"/>
  <c r="BA230" i="18" s="1"/>
  <c r="BB230" i="18" s="1"/>
  <c r="BC230" i="18" s="1"/>
  <c r="BD230" i="18" s="1"/>
  <c r="BE230" i="18" s="1"/>
  <c r="BF230" i="18" s="1"/>
  <c r="BG230" i="18" s="1"/>
  <c r="BH230" i="18" s="1"/>
  <c r="BI230" i="18" s="1"/>
  <c r="W699" i="18"/>
  <c r="W700" i="18" s="1"/>
  <c r="V700" i="18"/>
  <c r="AY543" i="18"/>
  <c r="AZ543" i="18" s="1"/>
  <c r="BA543" i="18" s="1"/>
  <c r="BB543" i="18" s="1"/>
  <c r="BC543" i="18" s="1"/>
  <c r="BD543" i="18" s="1"/>
  <c r="BE543" i="18" s="1"/>
  <c r="BF543" i="18" s="1"/>
  <c r="BG543" i="18" s="1"/>
  <c r="BH543" i="18" s="1"/>
  <c r="BI543" i="18" s="1"/>
  <c r="U455" i="18"/>
  <c r="T465" i="18"/>
  <c r="AA854" i="18"/>
  <c r="AB854" i="18" s="1"/>
  <c r="AF736" i="18"/>
  <c r="AG736" i="18" s="1"/>
  <c r="AH736" i="18" s="1"/>
  <c r="AI736" i="18" s="1"/>
  <c r="AJ736" i="18" s="1"/>
  <c r="AK736" i="18" s="1"/>
  <c r="AL736" i="18" s="1"/>
  <c r="AM736" i="18" s="1"/>
  <c r="AN736" i="18" s="1"/>
  <c r="AO736" i="18" s="1"/>
  <c r="AP736" i="18" s="1"/>
  <c r="AQ736" i="18" s="1"/>
  <c r="AR736" i="18" s="1"/>
  <c r="AS736" i="18" s="1"/>
  <c r="AT736" i="18" s="1"/>
  <c r="AU736" i="18" s="1"/>
  <c r="AV736" i="18" s="1"/>
  <c r="AW736" i="18" s="1"/>
  <c r="AX736" i="18" s="1"/>
  <c r="AY736" i="18" s="1"/>
  <c r="AZ736" i="18" s="1"/>
  <c r="BA736" i="18" s="1"/>
  <c r="BB736" i="18" s="1"/>
  <c r="BC736" i="18" s="1"/>
  <c r="BD736" i="18" s="1"/>
  <c r="BE736" i="18" s="1"/>
  <c r="BF736" i="18" s="1"/>
  <c r="BG736" i="18" s="1"/>
  <c r="BH736" i="18" s="1"/>
  <c r="BI736" i="18" s="1"/>
  <c r="AL860" i="18"/>
  <c r="AM860" i="18" s="1"/>
  <c r="AN860" i="18" s="1"/>
  <c r="AO860" i="18" s="1"/>
  <c r="AP860" i="18" s="1"/>
  <c r="AQ860" i="18" s="1"/>
  <c r="AR860" i="18" s="1"/>
  <c r="AS860" i="18" s="1"/>
  <c r="AT860" i="18" s="1"/>
  <c r="AU860" i="18" s="1"/>
  <c r="AV860" i="18" s="1"/>
  <c r="AW860" i="18" s="1"/>
  <c r="AX860" i="18" s="1"/>
  <c r="AY860" i="18" s="1"/>
  <c r="AZ860" i="18" s="1"/>
  <c r="BA860" i="18" s="1"/>
  <c r="BB860" i="18" s="1"/>
  <c r="BC860" i="18" s="1"/>
  <c r="BD860" i="18" s="1"/>
  <c r="BE860" i="18" s="1"/>
  <c r="BF860" i="18" s="1"/>
  <c r="BG860" i="18" s="1"/>
  <c r="BH860" i="18" s="1"/>
  <c r="BI860" i="18" s="1"/>
  <c r="Y789" i="18"/>
  <c r="Z789" i="18" s="1"/>
  <c r="AA789" i="18" s="1"/>
  <c r="AB789" i="18" s="1"/>
  <c r="AC789" i="18" s="1"/>
  <c r="AD789" i="18" s="1"/>
  <c r="AE789" i="18" s="1"/>
  <c r="AF789" i="18" s="1"/>
  <c r="AG789" i="18" s="1"/>
  <c r="AH789" i="18" s="1"/>
  <c r="AI789" i="18" s="1"/>
  <c r="AD802" i="18"/>
  <c r="AE802" i="18" s="1"/>
  <c r="AF802" i="18" s="1"/>
  <c r="AG802" i="18" s="1"/>
  <c r="AH802" i="18" s="1"/>
  <c r="AI802" i="18" s="1"/>
  <c r="AJ802" i="18" s="1"/>
  <c r="AK802" i="18" s="1"/>
  <c r="AL802" i="18" s="1"/>
  <c r="AM802" i="18" s="1"/>
  <c r="AN802" i="18" s="1"/>
  <c r="AO802" i="18" s="1"/>
  <c r="AP802" i="18" s="1"/>
  <c r="AQ802" i="18" s="1"/>
  <c r="AR802" i="18" s="1"/>
  <c r="AS802" i="18" s="1"/>
  <c r="AT802" i="18" s="1"/>
  <c r="AU802" i="18" s="1"/>
  <c r="AV802" i="18" s="1"/>
  <c r="AW802" i="18" s="1"/>
  <c r="AX802" i="18" s="1"/>
  <c r="AY802" i="18" s="1"/>
  <c r="AZ802" i="18" s="1"/>
  <c r="BA802" i="18" s="1"/>
  <c r="BB802" i="18" s="1"/>
  <c r="BC802" i="18" s="1"/>
  <c r="BD802" i="18" s="1"/>
  <c r="BE802" i="18" s="1"/>
  <c r="BF802" i="18" s="1"/>
  <c r="BG802" i="18" s="1"/>
  <c r="BH802" i="18" s="1"/>
  <c r="BI802" i="18" s="1"/>
  <c r="AX774" i="18"/>
  <c r="AY774" i="18" s="1"/>
  <c r="AZ774" i="18" s="1"/>
  <c r="BA774" i="18" s="1"/>
  <c r="BB774" i="18" s="1"/>
  <c r="BC774" i="18" s="1"/>
  <c r="BD774" i="18" s="1"/>
  <c r="BE774" i="18" s="1"/>
  <c r="BF774" i="18" s="1"/>
  <c r="BG774" i="18" s="1"/>
  <c r="BH774" i="18" s="1"/>
  <c r="BI774" i="18" s="1"/>
  <c r="AJ828" i="18"/>
  <c r="AK828" i="18" s="1"/>
  <c r="AL828" i="18" s="1"/>
  <c r="AM828" i="18" s="1"/>
  <c r="AN828" i="18" s="1"/>
  <c r="AO828" i="18" s="1"/>
  <c r="AP828" i="18" s="1"/>
  <c r="AQ828" i="18" s="1"/>
  <c r="AR828" i="18" s="1"/>
  <c r="AS828" i="18" s="1"/>
  <c r="AT828" i="18" s="1"/>
  <c r="AU828" i="18" s="1"/>
  <c r="AV828" i="18" s="1"/>
  <c r="AW828" i="18" s="1"/>
  <c r="AX828" i="18" s="1"/>
  <c r="AY828" i="18" s="1"/>
  <c r="AZ828" i="18" s="1"/>
  <c r="BA828" i="18" s="1"/>
  <c r="BB828" i="18" s="1"/>
  <c r="BC828" i="18" s="1"/>
  <c r="BD828" i="18" s="1"/>
  <c r="BE828" i="18" s="1"/>
  <c r="BF828" i="18" s="1"/>
  <c r="BG828" i="18" s="1"/>
  <c r="BH828" i="18" s="1"/>
  <c r="BI828" i="18" s="1"/>
  <c r="Z737" i="18"/>
  <c r="AA737" i="18" s="1"/>
  <c r="AB737" i="18" s="1"/>
  <c r="AC737" i="18" s="1"/>
  <c r="AD737" i="18" s="1"/>
  <c r="AE737" i="18" s="1"/>
  <c r="AF737" i="18" s="1"/>
  <c r="AG737" i="18" s="1"/>
  <c r="AH737" i="18" s="1"/>
  <c r="AI737" i="18" s="1"/>
  <c r="AJ737" i="18" s="1"/>
  <c r="AK737" i="18" s="1"/>
  <c r="AL737" i="18" s="1"/>
  <c r="AM737" i="18" s="1"/>
  <c r="AN737" i="18" s="1"/>
  <c r="AO737" i="18" s="1"/>
  <c r="AP737" i="18" s="1"/>
  <c r="AQ737" i="18" s="1"/>
  <c r="AR737" i="18" s="1"/>
  <c r="AS737" i="18" s="1"/>
  <c r="AT737" i="18" s="1"/>
  <c r="AU737" i="18" s="1"/>
  <c r="AV737" i="18" s="1"/>
  <c r="AW737" i="18" s="1"/>
  <c r="AX737" i="18" s="1"/>
  <c r="AY737" i="18" s="1"/>
  <c r="AZ737" i="18" s="1"/>
  <c r="BA737" i="18" s="1"/>
  <c r="BB737" i="18" s="1"/>
  <c r="BC737" i="18" s="1"/>
  <c r="BD737" i="18" s="1"/>
  <c r="BE737" i="18" s="1"/>
  <c r="BF737" i="18" s="1"/>
  <c r="BG737" i="18" s="1"/>
  <c r="BH737" i="18" s="1"/>
  <c r="BI737" i="18" s="1"/>
  <c r="Z152" i="18"/>
  <c r="AA152" i="18" s="1"/>
  <c r="AB152" i="18" s="1"/>
  <c r="AI529" i="18"/>
  <c r="AJ529" i="18" s="1"/>
  <c r="AB489" i="18"/>
  <c r="AC489" i="18" s="1"/>
  <c r="AD489" i="18" s="1"/>
  <c r="AE489" i="18" s="1"/>
  <c r="AF489" i="18" s="1"/>
  <c r="AV437" i="18"/>
  <c r="AW437" i="18" s="1"/>
  <c r="AX437" i="18" s="1"/>
  <c r="AY437" i="18" s="1"/>
  <c r="AZ437" i="18" s="1"/>
  <c r="BA437" i="18" s="1"/>
  <c r="BB437" i="18" s="1"/>
  <c r="BC437" i="18" s="1"/>
  <c r="BD437" i="18" s="1"/>
  <c r="BE437" i="18" s="1"/>
  <c r="BF437" i="18" s="1"/>
  <c r="BG437" i="18" s="1"/>
  <c r="BH437" i="18" s="1"/>
  <c r="BI437" i="18" s="1"/>
  <c r="AJ423" i="18"/>
  <c r="AK423" i="18" s="1"/>
  <c r="AL423" i="18" s="1"/>
  <c r="AM423" i="18" s="1"/>
  <c r="AN423" i="18" s="1"/>
  <c r="AO423" i="18" s="1"/>
  <c r="AP423" i="18" s="1"/>
  <c r="AQ423" i="18" s="1"/>
  <c r="AR423" i="18" s="1"/>
  <c r="AS423" i="18" s="1"/>
  <c r="AT423" i="18" s="1"/>
  <c r="AU423" i="18" s="1"/>
  <c r="AV423" i="18" s="1"/>
  <c r="AW423" i="18" s="1"/>
  <c r="AX423" i="18" s="1"/>
  <c r="AY423" i="18" s="1"/>
  <c r="AZ423" i="18" s="1"/>
  <c r="BA423" i="18" s="1"/>
  <c r="BB423" i="18" s="1"/>
  <c r="BC423" i="18" s="1"/>
  <c r="BD423" i="18" s="1"/>
  <c r="BE423" i="18" s="1"/>
  <c r="BF423" i="18" s="1"/>
  <c r="BG423" i="18" s="1"/>
  <c r="BH423" i="18" s="1"/>
  <c r="BI423" i="18" s="1"/>
  <c r="Z606" i="18"/>
  <c r="AA606" i="18" s="1"/>
  <c r="AB606" i="18" s="1"/>
  <c r="AK399" i="18"/>
  <c r="AL399" i="18" s="1"/>
  <c r="AM399" i="18" s="1"/>
  <c r="AN399" i="18" s="1"/>
  <c r="AO399" i="18" s="1"/>
  <c r="AP399" i="18" s="1"/>
  <c r="AQ399" i="18" s="1"/>
  <c r="AR399" i="18" s="1"/>
  <c r="AS399" i="18" s="1"/>
  <c r="AT399" i="18" s="1"/>
  <c r="AU399" i="18" s="1"/>
  <c r="AV399" i="18" s="1"/>
  <c r="AW399" i="18" s="1"/>
  <c r="AX399" i="18" s="1"/>
  <c r="AY399" i="18" s="1"/>
  <c r="AZ399" i="18" s="1"/>
  <c r="BA399" i="18" s="1"/>
  <c r="BB399" i="18" s="1"/>
  <c r="BC399" i="18" s="1"/>
  <c r="BD399" i="18" s="1"/>
  <c r="BE399" i="18" s="1"/>
  <c r="BF399" i="18" s="1"/>
  <c r="BG399" i="18" s="1"/>
  <c r="BH399" i="18" s="1"/>
  <c r="BI399" i="18" s="1"/>
  <c r="AM502" i="18"/>
  <c r="AN502" i="18" s="1"/>
  <c r="AO502" i="18" s="1"/>
  <c r="AP502" i="18" s="1"/>
  <c r="AQ502" i="18" s="1"/>
  <c r="AR502" i="18" s="1"/>
  <c r="AS502" i="18" s="1"/>
  <c r="AT502" i="18" s="1"/>
  <c r="AU502" i="18" s="1"/>
  <c r="AV502" i="18" s="1"/>
  <c r="AW502" i="18" s="1"/>
  <c r="AX502" i="18" s="1"/>
  <c r="AY502" i="18" s="1"/>
  <c r="AZ502" i="18" s="1"/>
  <c r="BA502" i="18" s="1"/>
  <c r="BB502" i="18" s="1"/>
  <c r="BC502" i="18" s="1"/>
  <c r="BD502" i="18" s="1"/>
  <c r="BE502" i="18" s="1"/>
  <c r="BF502" i="18" s="1"/>
  <c r="BG502" i="18" s="1"/>
  <c r="BH502" i="18" s="1"/>
  <c r="BI502" i="18" s="1"/>
  <c r="V801" i="18"/>
  <c r="U804" i="18"/>
  <c r="AR451" i="18"/>
  <c r="AS451" i="18" s="1"/>
  <c r="AT451" i="18" s="1"/>
  <c r="AU451" i="18" s="1"/>
  <c r="AV451" i="18" s="1"/>
  <c r="AW451" i="18" s="1"/>
  <c r="AX451" i="18" s="1"/>
  <c r="AY451" i="18" s="1"/>
  <c r="AZ451" i="18" s="1"/>
  <c r="BA451" i="18" s="1"/>
  <c r="BB451" i="18" s="1"/>
  <c r="BC451" i="18" s="1"/>
  <c r="BD451" i="18" s="1"/>
  <c r="BE451" i="18" s="1"/>
  <c r="BF451" i="18" s="1"/>
  <c r="BG451" i="18" s="1"/>
  <c r="BH451" i="18" s="1"/>
  <c r="BI451" i="18" s="1"/>
  <c r="AA837" i="18"/>
  <c r="AB837" i="18" s="1"/>
  <c r="AC837" i="18" s="1"/>
  <c r="AC620" i="18"/>
  <c r="AD620" i="18" s="1"/>
  <c r="AE620" i="18" s="1"/>
  <c r="AA839" i="18"/>
  <c r="AB839" i="18" s="1"/>
  <c r="AC839" i="18" s="1"/>
  <c r="AD839" i="18" s="1"/>
  <c r="AE839" i="18" s="1"/>
  <c r="AF839" i="18" s="1"/>
  <c r="AG839" i="18" s="1"/>
  <c r="AH839" i="18" s="1"/>
  <c r="AI839" i="18" s="1"/>
  <c r="AJ839" i="18" s="1"/>
  <c r="AK839" i="18" s="1"/>
  <c r="AL839" i="18" s="1"/>
  <c r="AM839" i="18" s="1"/>
  <c r="AN839" i="18" s="1"/>
  <c r="AO839" i="18" s="1"/>
  <c r="AP839" i="18" s="1"/>
  <c r="AQ839" i="18" s="1"/>
  <c r="AR839" i="18" s="1"/>
  <c r="AS839" i="18" s="1"/>
  <c r="AT839" i="18" s="1"/>
  <c r="AU839" i="18" s="1"/>
  <c r="AV839" i="18" s="1"/>
  <c r="AW839" i="18" s="1"/>
  <c r="AX839" i="18" s="1"/>
  <c r="AY839" i="18" s="1"/>
  <c r="AZ839" i="18" s="1"/>
  <c r="BA839" i="18" s="1"/>
  <c r="BB839" i="18" s="1"/>
  <c r="BC839" i="18" s="1"/>
  <c r="BD839" i="18" s="1"/>
  <c r="BE839" i="18" s="1"/>
  <c r="BF839" i="18" s="1"/>
  <c r="BG839" i="18" s="1"/>
  <c r="BH839" i="18" s="1"/>
  <c r="BI839" i="18" s="1"/>
  <c r="Z595" i="18"/>
  <c r="AA595" i="18" s="1"/>
  <c r="AB595" i="18" s="1"/>
  <c r="AC595" i="18" s="1"/>
  <c r="Y269" i="18"/>
  <c r="Z269" i="18" s="1"/>
  <c r="AA269" i="18" s="1"/>
  <c r="AB269" i="18" s="1"/>
  <c r="AC269" i="18" s="1"/>
  <c r="AD269" i="18" s="1"/>
  <c r="AE269" i="18" s="1"/>
  <c r="AF269" i="18" s="1"/>
  <c r="AG269" i="18" s="1"/>
  <c r="AH269" i="18" s="1"/>
  <c r="AI269" i="18" s="1"/>
  <c r="AJ269" i="18" s="1"/>
  <c r="AK269" i="18" s="1"/>
  <c r="AL269" i="18" s="1"/>
  <c r="AM269" i="18" s="1"/>
  <c r="AN269" i="18" s="1"/>
  <c r="AO269" i="18" s="1"/>
  <c r="AP269" i="18" s="1"/>
  <c r="AQ269" i="18" s="1"/>
  <c r="AR269" i="18" s="1"/>
  <c r="AS269" i="18" s="1"/>
  <c r="AT269" i="18" s="1"/>
  <c r="AU269" i="18" s="1"/>
  <c r="AV269" i="18" s="1"/>
  <c r="AW269" i="18" s="1"/>
  <c r="AX269" i="18" s="1"/>
  <c r="AY269" i="18" s="1"/>
  <c r="AZ269" i="18" s="1"/>
  <c r="BA269" i="18" s="1"/>
  <c r="BB269" i="18" s="1"/>
  <c r="BC269" i="18" s="1"/>
  <c r="BD269" i="18" s="1"/>
  <c r="BE269" i="18" s="1"/>
  <c r="BF269" i="18" s="1"/>
  <c r="BG269" i="18" s="1"/>
  <c r="BH269" i="18" s="1"/>
  <c r="BI269" i="18" s="1"/>
  <c r="W531" i="18"/>
  <c r="X777" i="18"/>
  <c r="X778" i="18" s="1"/>
  <c r="V778" i="18"/>
  <c r="AE813" i="18"/>
  <c r="AF813" i="18" s="1"/>
  <c r="AG813" i="18" s="1"/>
  <c r="AH813" i="18" s="1"/>
  <c r="AI813" i="18" s="1"/>
  <c r="AJ813" i="18" s="1"/>
  <c r="AK813" i="18" s="1"/>
  <c r="AL813" i="18" s="1"/>
  <c r="AM813" i="18" s="1"/>
  <c r="AN813" i="18" s="1"/>
  <c r="AO813" i="18" s="1"/>
  <c r="AP813" i="18" s="1"/>
  <c r="AQ813" i="18" s="1"/>
  <c r="AR813" i="18" s="1"/>
  <c r="AS813" i="18" s="1"/>
  <c r="AT813" i="18" s="1"/>
  <c r="AU813" i="18" s="1"/>
  <c r="AV813" i="18" s="1"/>
  <c r="AW813" i="18" s="1"/>
  <c r="AX813" i="18" s="1"/>
  <c r="AY813" i="18" s="1"/>
  <c r="AZ813" i="18" s="1"/>
  <c r="BA813" i="18" s="1"/>
  <c r="BB813" i="18" s="1"/>
  <c r="BC813" i="18" s="1"/>
  <c r="BD813" i="18" s="1"/>
  <c r="BE813" i="18" s="1"/>
  <c r="BF813" i="18" s="1"/>
  <c r="BG813" i="18" s="1"/>
  <c r="BH813" i="18" s="1"/>
  <c r="BI813" i="18" s="1"/>
  <c r="AC763" i="18"/>
  <c r="AD763" i="18" s="1"/>
  <c r="AE763" i="18" s="1"/>
  <c r="AF763" i="18" s="1"/>
  <c r="AG763" i="18" s="1"/>
  <c r="AH763" i="18" s="1"/>
  <c r="AI763" i="18" s="1"/>
  <c r="AJ763" i="18" s="1"/>
  <c r="AK763" i="18" s="1"/>
  <c r="AL763" i="18" s="1"/>
  <c r="AM763" i="18" s="1"/>
  <c r="AN763" i="18" s="1"/>
  <c r="AO763" i="18" s="1"/>
  <c r="AP763" i="18" s="1"/>
  <c r="AQ763" i="18" s="1"/>
  <c r="AR763" i="18" s="1"/>
  <c r="AS763" i="18" s="1"/>
  <c r="AT763" i="18" s="1"/>
  <c r="AU763" i="18" s="1"/>
  <c r="AV763" i="18" s="1"/>
  <c r="AW763" i="18" s="1"/>
  <c r="AX763" i="18" s="1"/>
  <c r="AY763" i="18" s="1"/>
  <c r="AZ763" i="18" s="1"/>
  <c r="BA763" i="18" s="1"/>
  <c r="BB763" i="18" s="1"/>
  <c r="BC763" i="18" s="1"/>
  <c r="BD763" i="18" s="1"/>
  <c r="BE763" i="18" s="1"/>
  <c r="BF763" i="18" s="1"/>
  <c r="BG763" i="18" s="1"/>
  <c r="BH763" i="18" s="1"/>
  <c r="BI763" i="18" s="1"/>
  <c r="Z528" i="18"/>
  <c r="AA528" i="18" s="1"/>
  <c r="AB528" i="18" s="1"/>
  <c r="AC139" i="18"/>
  <c r="AD139" i="18" s="1"/>
  <c r="AE139" i="18" s="1"/>
  <c r="AF139" i="18" s="1"/>
  <c r="AG139" i="18" s="1"/>
  <c r="AH139" i="18" s="1"/>
  <c r="AI139" i="18" s="1"/>
  <c r="AJ139" i="18" s="1"/>
  <c r="AK139" i="18" s="1"/>
  <c r="AL139" i="18" s="1"/>
  <c r="AM139" i="18" s="1"/>
  <c r="AN139" i="18" s="1"/>
  <c r="AO139" i="18" s="1"/>
  <c r="AP139" i="18" s="1"/>
  <c r="AQ139" i="18" s="1"/>
  <c r="AR139" i="18" s="1"/>
  <c r="AS139" i="18" s="1"/>
  <c r="AT139" i="18" s="1"/>
  <c r="AU139" i="18" s="1"/>
  <c r="AV139" i="18" s="1"/>
  <c r="AW139" i="18" s="1"/>
  <c r="AX139" i="18" s="1"/>
  <c r="AY139" i="18" s="1"/>
  <c r="AZ139" i="18" s="1"/>
  <c r="BA139" i="18" s="1"/>
  <c r="BB139" i="18" s="1"/>
  <c r="BC139" i="18" s="1"/>
  <c r="BD139" i="18" s="1"/>
  <c r="BE139" i="18" s="1"/>
  <c r="BF139" i="18" s="1"/>
  <c r="BG139" i="18" s="1"/>
  <c r="BH139" i="18" s="1"/>
  <c r="BI139" i="18" s="1"/>
  <c r="AR628" i="18"/>
  <c r="AS628" i="18" s="1"/>
  <c r="AT628" i="18" s="1"/>
  <c r="AU628" i="18" s="1"/>
  <c r="AV628" i="18" s="1"/>
  <c r="Y686" i="18"/>
  <c r="AE748" i="18"/>
  <c r="AF748" i="18" s="1"/>
  <c r="AG748" i="18" s="1"/>
  <c r="AH748" i="18" s="1"/>
  <c r="AI748" i="18" s="1"/>
  <c r="AJ748" i="18" s="1"/>
  <c r="AK748" i="18" s="1"/>
  <c r="AL748" i="18" s="1"/>
  <c r="AM748" i="18" s="1"/>
  <c r="AN748" i="18" s="1"/>
  <c r="AO748" i="18" s="1"/>
  <c r="AP748" i="18" s="1"/>
  <c r="AQ748" i="18" s="1"/>
  <c r="AR748" i="18" s="1"/>
  <c r="AS748" i="18" s="1"/>
  <c r="AT748" i="18" s="1"/>
  <c r="AU748" i="18" s="1"/>
  <c r="AV229" i="18"/>
  <c r="AW229" i="18" s="1"/>
  <c r="AX229" i="18" s="1"/>
  <c r="AY229" i="18" s="1"/>
  <c r="AZ229" i="18" s="1"/>
  <c r="BA229" i="18" s="1"/>
  <c r="BB229" i="18" s="1"/>
  <c r="BC229" i="18" s="1"/>
  <c r="BD229" i="18" s="1"/>
  <c r="BE229" i="18" s="1"/>
  <c r="BF229" i="18" s="1"/>
  <c r="BG229" i="18" s="1"/>
  <c r="BH229" i="18" s="1"/>
  <c r="BI229" i="18" s="1"/>
  <c r="X450" i="18"/>
  <c r="AB608" i="18"/>
  <c r="Z841" i="18"/>
  <c r="AA841" i="18" s="1"/>
  <c r="AB841" i="18" s="1"/>
  <c r="AC841" i="18" s="1"/>
  <c r="AD841" i="18" s="1"/>
  <c r="AE841" i="18" s="1"/>
  <c r="AF841" i="18" s="1"/>
  <c r="AG841" i="18" s="1"/>
  <c r="AH841" i="18" s="1"/>
  <c r="AI841" i="18" s="1"/>
  <c r="AJ841" i="18" s="1"/>
  <c r="AK841" i="18" s="1"/>
  <c r="AL841" i="18" s="1"/>
  <c r="AM841" i="18" s="1"/>
  <c r="AN841" i="18" s="1"/>
  <c r="Z764" i="18"/>
  <c r="AA764" i="18" s="1"/>
  <c r="AB764" i="18" s="1"/>
  <c r="AC764" i="18" s="1"/>
  <c r="AD764" i="18" s="1"/>
  <c r="AE764" i="18" s="1"/>
  <c r="AF764" i="18" s="1"/>
  <c r="AG764" i="18" s="1"/>
  <c r="AH764" i="18" s="1"/>
  <c r="AI764" i="18" s="1"/>
  <c r="AJ764" i="18" s="1"/>
  <c r="AK764" i="18" s="1"/>
  <c r="AL764" i="18" s="1"/>
  <c r="AM764" i="18" s="1"/>
  <c r="AN764" i="18" s="1"/>
  <c r="AO764" i="18" s="1"/>
  <c r="AP764" i="18" s="1"/>
  <c r="AQ764" i="18" s="1"/>
  <c r="AR764" i="18" s="1"/>
  <c r="AS764" i="18" s="1"/>
  <c r="AT764" i="18" s="1"/>
  <c r="AU764" i="18" s="1"/>
  <c r="AV764" i="18" s="1"/>
  <c r="AW764" i="18" s="1"/>
  <c r="AX764" i="18" s="1"/>
  <c r="AY764" i="18" s="1"/>
  <c r="AZ764" i="18" s="1"/>
  <c r="BA764" i="18" s="1"/>
  <c r="BB764" i="18" s="1"/>
  <c r="BC764" i="18" s="1"/>
  <c r="BD764" i="18" s="1"/>
  <c r="BE764" i="18" s="1"/>
  <c r="BF764" i="18" s="1"/>
  <c r="BG764" i="18" s="1"/>
  <c r="BH764" i="18" s="1"/>
  <c r="BI764" i="18" s="1"/>
  <c r="V531" i="18"/>
  <c r="AA842" i="18"/>
  <c r="AB842" i="18" s="1"/>
  <c r="AD784" i="18"/>
  <c r="AE784" i="18" s="1"/>
  <c r="Z738" i="18"/>
  <c r="AA738" i="18" s="1"/>
  <c r="AB738" i="18" s="1"/>
  <c r="AC738" i="18" s="1"/>
  <c r="AD738" i="18" s="1"/>
  <c r="AE738" i="18" s="1"/>
  <c r="AA491" i="18"/>
  <c r="AB491" i="18" s="1"/>
  <c r="AC491" i="18" s="1"/>
  <c r="AD491" i="18" s="1"/>
  <c r="AE491" i="18" s="1"/>
  <c r="AF491" i="18" s="1"/>
  <c r="AG491" i="18" s="1"/>
  <c r="AH491" i="18" s="1"/>
  <c r="AI491" i="18" s="1"/>
  <c r="AJ491" i="18" s="1"/>
  <c r="AA660" i="18"/>
  <c r="AB660" i="18" s="1"/>
  <c r="AD530" i="18"/>
  <c r="AE530" i="18" s="1"/>
  <c r="AF530" i="18" s="1"/>
  <c r="AG530" i="18" s="1"/>
  <c r="AH530" i="18" s="1"/>
  <c r="AI530" i="18" s="1"/>
  <c r="AJ530" i="18" s="1"/>
  <c r="AK530" i="18" s="1"/>
  <c r="AL530" i="18" s="1"/>
  <c r="AM530" i="18" s="1"/>
  <c r="AN530" i="18" s="1"/>
  <c r="AO530" i="18" s="1"/>
  <c r="AP530" i="18" s="1"/>
  <c r="AQ530" i="18" s="1"/>
  <c r="AR530" i="18" s="1"/>
  <c r="AS530" i="18" s="1"/>
  <c r="AT530" i="18" s="1"/>
  <c r="AU530" i="18" s="1"/>
  <c r="AV530" i="18" s="1"/>
  <c r="AW530" i="18" s="1"/>
  <c r="AX530" i="18" s="1"/>
  <c r="AY530" i="18" s="1"/>
  <c r="AZ530" i="18" s="1"/>
  <c r="BA530" i="18" s="1"/>
  <c r="BB530" i="18" s="1"/>
  <c r="BC530" i="18" s="1"/>
  <c r="BD530" i="18" s="1"/>
  <c r="BE530" i="18" s="1"/>
  <c r="BF530" i="18" s="1"/>
  <c r="BG530" i="18" s="1"/>
  <c r="BH530" i="18" s="1"/>
  <c r="BI530" i="18" s="1"/>
  <c r="AA320" i="18"/>
  <c r="AB320" i="18" s="1"/>
  <c r="AC320" i="18" s="1"/>
  <c r="AD320" i="18" s="1"/>
  <c r="AE320" i="18" s="1"/>
  <c r="AF320" i="18" s="1"/>
  <c r="AG320" i="18" s="1"/>
  <c r="AH320" i="18" s="1"/>
  <c r="AI320" i="18" s="1"/>
  <c r="AJ320" i="18" s="1"/>
  <c r="AK320" i="18" s="1"/>
  <c r="AL320" i="18" s="1"/>
  <c r="AM320" i="18" s="1"/>
  <c r="AN320" i="18" s="1"/>
  <c r="AO320" i="18" s="1"/>
  <c r="AP320" i="18" s="1"/>
  <c r="AQ320" i="18" s="1"/>
  <c r="AR320" i="18" s="1"/>
  <c r="AS320" i="18" s="1"/>
  <c r="AT320" i="18" s="1"/>
  <c r="AU320" i="18" s="1"/>
  <c r="AV320" i="18" s="1"/>
  <c r="AW320" i="18" s="1"/>
  <c r="AX320" i="18" s="1"/>
  <c r="AY320" i="18" s="1"/>
  <c r="AZ320" i="18" s="1"/>
  <c r="BA320" i="18" s="1"/>
  <c r="BB320" i="18" s="1"/>
  <c r="BC320" i="18" s="1"/>
  <c r="BD320" i="18" s="1"/>
  <c r="BE320" i="18" s="1"/>
  <c r="BF320" i="18" s="1"/>
  <c r="BG320" i="18" s="1"/>
  <c r="BH320" i="18" s="1"/>
  <c r="BI320" i="18" s="1"/>
  <c r="V309" i="18"/>
  <c r="W299" i="18"/>
  <c r="AA621" i="18"/>
  <c r="AB621" i="18" s="1"/>
  <c r="AC621" i="18" s="1"/>
  <c r="L74" i="1"/>
  <c r="L108" i="1" s="1"/>
  <c r="L142" i="1"/>
  <c r="L4" i="18"/>
  <c r="M40" i="1"/>
  <c r="L241" i="1"/>
  <c r="L176" i="1"/>
  <c r="L190" i="1"/>
  <c r="L4" i="2"/>
  <c r="L221" i="1"/>
  <c r="L223" i="1" s="1"/>
  <c r="L208" i="1"/>
  <c r="Y247" i="18"/>
  <c r="W580" i="18"/>
  <c r="X580" i="18" s="1"/>
  <c r="Y580" i="18" s="1"/>
  <c r="Z580" i="18" s="1"/>
  <c r="AA580" i="18" s="1"/>
  <c r="AB580" i="18" s="1"/>
  <c r="AC580" i="18" s="1"/>
  <c r="AD580" i="18" s="1"/>
  <c r="AE580" i="18" s="1"/>
  <c r="AF580" i="18" s="1"/>
  <c r="AG580" i="18" s="1"/>
  <c r="AH580" i="18" s="1"/>
  <c r="AI580" i="18" s="1"/>
  <c r="AJ580" i="18" s="1"/>
  <c r="AK580" i="18" s="1"/>
  <c r="X781" i="18"/>
  <c r="Y781" i="18" s="1"/>
  <c r="Z781" i="18" s="1"/>
  <c r="V573" i="18"/>
  <c r="U583" i="18"/>
  <c r="AB130" i="18"/>
  <c r="X166" i="18"/>
  <c r="Y156" i="18"/>
  <c r="W244" i="18"/>
  <c r="X234" i="18"/>
  <c r="W843" i="18"/>
  <c r="X833" i="18"/>
  <c r="U544" i="18"/>
  <c r="V540" i="18"/>
  <c r="AB846" i="18"/>
  <c r="X848" i="18"/>
  <c r="W856" i="18"/>
  <c r="X685" i="18"/>
  <c r="V869" i="18"/>
  <c r="W859" i="18"/>
  <c r="V348" i="18"/>
  <c r="W338" i="18"/>
  <c r="W648" i="18"/>
  <c r="BA104" i="18"/>
  <c r="K4" i="7946"/>
  <c r="K4" i="7943"/>
  <c r="K4" i="7942"/>
  <c r="K278" i="1"/>
  <c r="K4" i="24"/>
  <c r="K4" i="7945"/>
  <c r="AC677" i="18"/>
  <c r="Z758" i="18"/>
  <c r="Y765" i="18"/>
  <c r="W319" i="18"/>
  <c r="W322" i="18" s="1"/>
  <c r="V322" i="18"/>
  <c r="V791" i="18"/>
  <c r="Y664" i="18"/>
  <c r="Y556" i="18"/>
  <c r="Z556" i="18" s="1"/>
  <c r="AA556" i="18" s="1"/>
  <c r="AB556" i="18" s="1"/>
  <c r="AC556" i="18" s="1"/>
  <c r="AD556" i="18" s="1"/>
  <c r="AE556" i="18" s="1"/>
  <c r="AF556" i="18" s="1"/>
  <c r="AG556" i="18" s="1"/>
  <c r="AH556" i="18" s="1"/>
  <c r="AI556" i="18" s="1"/>
  <c r="AJ556" i="18" s="1"/>
  <c r="AK556" i="18" s="1"/>
  <c r="AL556" i="18" s="1"/>
  <c r="AM556" i="18" s="1"/>
  <c r="AN556" i="18" s="1"/>
  <c r="AO556" i="18" s="1"/>
  <c r="AP556" i="18" s="1"/>
  <c r="AQ556" i="18" s="1"/>
  <c r="AR556" i="18" s="1"/>
  <c r="AS556" i="18" s="1"/>
  <c r="AT556" i="18" s="1"/>
  <c r="AU556" i="18" s="1"/>
  <c r="AV556" i="18" s="1"/>
  <c r="AW556" i="18" s="1"/>
  <c r="AX556" i="18" s="1"/>
  <c r="AY556" i="18" s="1"/>
  <c r="AZ556" i="18" s="1"/>
  <c r="BA556" i="18" s="1"/>
  <c r="BB556" i="18" s="1"/>
  <c r="BC556" i="18" s="1"/>
  <c r="BD556" i="18" s="1"/>
  <c r="BE556" i="18" s="1"/>
  <c r="BF556" i="18" s="1"/>
  <c r="BG556" i="18" s="1"/>
  <c r="BH556" i="18" s="1"/>
  <c r="BI556" i="18" s="1"/>
  <c r="AB651" i="18"/>
  <c r="W604" i="18"/>
  <c r="V609" i="18"/>
  <c r="X187" i="18"/>
  <c r="W192" i="18"/>
  <c r="AA703" i="18"/>
  <c r="Z208" i="18"/>
  <c r="J87" i="7943"/>
  <c r="J67" i="7943"/>
  <c r="J51" i="7943"/>
  <c r="X765" i="18"/>
  <c r="U13" i="7942"/>
  <c r="AF13" i="7942"/>
  <c r="CI80" i="7942"/>
  <c r="CT47" i="7942"/>
  <c r="BM80" i="7942"/>
  <c r="J80" i="7942"/>
  <c r="AQ13" i="7942"/>
  <c r="BM47" i="7942"/>
  <c r="DE80" i="7942"/>
  <c r="DE47" i="7942"/>
  <c r="AF47" i="7942"/>
  <c r="BX47" i="7942"/>
  <c r="CI13" i="7942"/>
  <c r="J13" i="7942"/>
  <c r="AQ80" i="7942"/>
  <c r="BM13" i="7942"/>
  <c r="CI47" i="7942"/>
  <c r="DE13" i="7942"/>
  <c r="BB80" i="7942"/>
  <c r="BX13" i="7942"/>
  <c r="U47" i="7942"/>
  <c r="AQ47" i="7942"/>
  <c r="BX80" i="7942"/>
  <c r="BB47" i="7942"/>
  <c r="J47" i="7942"/>
  <c r="BB13" i="7942"/>
  <c r="AF80" i="7942"/>
  <c r="CT80" i="7942"/>
  <c r="CT13" i="7942"/>
  <c r="U80" i="7942"/>
  <c r="X295" i="18"/>
  <c r="Y295" i="18" s="1"/>
  <c r="Z295" i="18" s="1"/>
  <c r="AA295" i="18" s="1"/>
  <c r="Y640" i="18"/>
  <c r="X648" i="18"/>
  <c r="AE612" i="18"/>
  <c r="AD638" i="18"/>
  <c r="AA742" i="18"/>
  <c r="W739" i="18"/>
  <c r="X729" i="18"/>
  <c r="W668" i="18"/>
  <c r="V674" i="18"/>
  <c r="W211" i="18"/>
  <c r="V218" i="18"/>
  <c r="W596" i="18"/>
  <c r="X586" i="18"/>
  <c r="V566" i="18"/>
  <c r="U570" i="18"/>
  <c r="X531" i="18"/>
  <c r="Y521" i="18"/>
  <c r="AW114" i="18"/>
  <c r="AX113" i="18"/>
  <c r="AF803" i="18"/>
  <c r="AG803" i="18" s="1"/>
  <c r="AH803" i="18" s="1"/>
  <c r="AI803" i="18" s="1"/>
  <c r="AJ803" i="18" s="1"/>
  <c r="AK803" i="18" s="1"/>
  <c r="AL803" i="18" s="1"/>
  <c r="AM803" i="18" s="1"/>
  <c r="AN803" i="18" s="1"/>
  <c r="AO803" i="18" s="1"/>
  <c r="AP803" i="18" s="1"/>
  <c r="AQ803" i="18" s="1"/>
  <c r="AR803" i="18" s="1"/>
  <c r="AS803" i="18" s="1"/>
  <c r="AT803" i="18" s="1"/>
  <c r="AU803" i="18" s="1"/>
  <c r="AV803" i="18" s="1"/>
  <c r="AW803" i="18" s="1"/>
  <c r="AX803" i="18" s="1"/>
  <c r="AY803" i="18" s="1"/>
  <c r="AZ803" i="18" s="1"/>
  <c r="BA803" i="18" s="1"/>
  <c r="BB803" i="18" s="1"/>
  <c r="BC803" i="18" s="1"/>
  <c r="BD803" i="18" s="1"/>
  <c r="BE803" i="18" s="1"/>
  <c r="BF803" i="18" s="1"/>
  <c r="BG803" i="18" s="1"/>
  <c r="BH803" i="18" s="1"/>
  <c r="BI803" i="18" s="1"/>
  <c r="W790" i="18"/>
  <c r="V439" i="18"/>
  <c r="W429" i="18"/>
  <c r="W127" i="18"/>
  <c r="X117" i="18"/>
  <c r="W868" i="18"/>
  <c r="X868" i="18" s="1"/>
  <c r="W829" i="18"/>
  <c r="X490" i="18"/>
  <c r="Y136" i="18"/>
  <c r="X140" i="18"/>
  <c r="Z683" i="18"/>
  <c r="Z312" i="18"/>
  <c r="Y191" i="18"/>
  <c r="Z191" i="18" s="1"/>
  <c r="AA191" i="18" s="1"/>
  <c r="AB191" i="18" s="1"/>
  <c r="AC191" i="18" s="1"/>
  <c r="AD191" i="18" s="1"/>
  <c r="AE191" i="18" s="1"/>
  <c r="AF191" i="18" s="1"/>
  <c r="AG191" i="18" s="1"/>
  <c r="AH191" i="18" s="1"/>
  <c r="AI191" i="18" s="1"/>
  <c r="AJ191" i="18" s="1"/>
  <c r="AK191" i="18" s="1"/>
  <c r="AL191" i="18" s="1"/>
  <c r="AM191" i="18" s="1"/>
  <c r="AN191" i="18" s="1"/>
  <c r="AO191" i="18" s="1"/>
  <c r="AP191" i="18" s="1"/>
  <c r="AQ191" i="18" s="1"/>
  <c r="AR191" i="18" s="1"/>
  <c r="AS191" i="18" s="1"/>
  <c r="AT191" i="18" s="1"/>
  <c r="AU191" i="18" s="1"/>
  <c r="AV191" i="18" s="1"/>
  <c r="AW191" i="18" s="1"/>
  <c r="AX191" i="18" s="1"/>
  <c r="AY191" i="18" s="1"/>
  <c r="AZ191" i="18" s="1"/>
  <c r="BA191" i="18" s="1"/>
  <c r="BB191" i="18" s="1"/>
  <c r="BC191" i="18" s="1"/>
  <c r="BD191" i="18" s="1"/>
  <c r="BE191" i="18" s="1"/>
  <c r="BF191" i="18" s="1"/>
  <c r="BG191" i="18" s="1"/>
  <c r="BH191" i="18" s="1"/>
  <c r="BI191" i="18" s="1"/>
  <c r="AA751" i="18"/>
  <c r="AB751" i="18" s="1"/>
  <c r="AC751" i="18" s="1"/>
  <c r="AD751" i="18" s="1"/>
  <c r="AE751" i="18" s="1"/>
  <c r="AF751" i="18" s="1"/>
  <c r="AG751" i="18" s="1"/>
  <c r="AH751" i="18" s="1"/>
  <c r="AI751" i="18" s="1"/>
  <c r="AJ751" i="18" s="1"/>
  <c r="AK751" i="18" s="1"/>
  <c r="AL751" i="18" s="1"/>
  <c r="AM751" i="18" s="1"/>
  <c r="AN751" i="18" s="1"/>
  <c r="AO751" i="18" s="1"/>
  <c r="AP751" i="18" s="1"/>
  <c r="AQ751" i="18" s="1"/>
  <c r="AR751" i="18" s="1"/>
  <c r="AS751" i="18" s="1"/>
  <c r="AT751" i="18" s="1"/>
  <c r="AU751" i="18" s="1"/>
  <c r="AV751" i="18" s="1"/>
  <c r="AW751" i="18" s="1"/>
  <c r="AX751" i="18" s="1"/>
  <c r="AY751" i="18" s="1"/>
  <c r="AZ751" i="18" s="1"/>
  <c r="BA751" i="18" s="1"/>
  <c r="BB751" i="18" s="1"/>
  <c r="BC751" i="18" s="1"/>
  <c r="BD751" i="18" s="1"/>
  <c r="BE751" i="18" s="1"/>
  <c r="BF751" i="18" s="1"/>
  <c r="BG751" i="18" s="1"/>
  <c r="BH751" i="18" s="1"/>
  <c r="BI751" i="18" s="1"/>
  <c r="X286" i="18"/>
  <c r="W413" i="18"/>
  <c r="X403" i="18"/>
  <c r="W655" i="18"/>
  <c r="V661" i="18"/>
  <c r="AV542" i="18"/>
  <c r="AW542" i="18" s="1"/>
  <c r="AX542" i="18" s="1"/>
  <c r="AY542" i="18" s="1"/>
  <c r="AZ542" i="18" s="1"/>
  <c r="BA542" i="18" s="1"/>
  <c r="BB542" i="18" s="1"/>
  <c r="BC542" i="18" s="1"/>
  <c r="BD542" i="18" s="1"/>
  <c r="BE542" i="18" s="1"/>
  <c r="BF542" i="18" s="1"/>
  <c r="BG542" i="18" s="1"/>
  <c r="BH542" i="18" s="1"/>
  <c r="BI542" i="18" s="1"/>
  <c r="U492" i="18"/>
  <c r="V487" i="18"/>
  <c r="W379" i="18"/>
  <c r="V387" i="18"/>
  <c r="W778" i="18"/>
  <c r="X333" i="18"/>
  <c r="Y333" i="18" s="1"/>
  <c r="Z333" i="18" s="1"/>
  <c r="AA333" i="18" s="1"/>
  <c r="AB333" i="18" s="1"/>
  <c r="AC333" i="18" s="1"/>
  <c r="AD333" i="18" s="1"/>
  <c r="AE333" i="18" s="1"/>
  <c r="AF333" i="18" s="1"/>
  <c r="AG333" i="18" s="1"/>
  <c r="AH333" i="18" s="1"/>
  <c r="AI333" i="18" s="1"/>
  <c r="AJ333" i="18" s="1"/>
  <c r="AK333" i="18" s="1"/>
  <c r="AL333" i="18" s="1"/>
  <c r="AM333" i="18" s="1"/>
  <c r="AN333" i="18" s="1"/>
  <c r="AO333" i="18" s="1"/>
  <c r="AP333" i="18" s="1"/>
  <c r="AQ333" i="18" s="1"/>
  <c r="AR333" i="18" s="1"/>
  <c r="AS333" i="18" s="1"/>
  <c r="AT333" i="18" s="1"/>
  <c r="AU333" i="18" s="1"/>
  <c r="AV333" i="18" s="1"/>
  <c r="AW333" i="18" s="1"/>
  <c r="AX333" i="18" s="1"/>
  <c r="AY333" i="18" s="1"/>
  <c r="AZ333" i="18" s="1"/>
  <c r="BA333" i="18" s="1"/>
  <c r="BB333" i="18" s="1"/>
  <c r="BC333" i="18" s="1"/>
  <c r="BD333" i="18" s="1"/>
  <c r="BE333" i="18" s="1"/>
  <c r="BF333" i="18" s="1"/>
  <c r="BG333" i="18" s="1"/>
  <c r="BH333" i="18" s="1"/>
  <c r="BI333" i="18" s="1"/>
  <c r="X373" i="18"/>
  <c r="AP508" i="18"/>
  <c r="AC547" i="18"/>
  <c r="W335" i="18"/>
  <c r="X426" i="18"/>
  <c r="Y416" i="18"/>
  <c r="AB482" i="18"/>
  <c r="AN511" i="18"/>
  <c r="V361" i="18"/>
  <c r="W351" i="18"/>
  <c r="W816" i="18"/>
  <c r="V817" i="18"/>
  <c r="AB820" i="18"/>
  <c r="V706" i="18"/>
  <c r="U713" i="18"/>
  <c r="Y400" i="18"/>
  <c r="Z390" i="18"/>
  <c r="AB182" i="18"/>
  <c r="Y807" i="18"/>
  <c r="AJ516" i="18"/>
  <c r="AK516" i="18" s="1"/>
  <c r="AL516" i="18" s="1"/>
  <c r="AM516" i="18" s="1"/>
  <c r="AN516" i="18" s="1"/>
  <c r="AO516" i="18" s="1"/>
  <c r="AP516" i="18" s="1"/>
  <c r="W569" i="18"/>
  <c r="X569" i="18" s="1"/>
  <c r="Y569" i="18" s="1"/>
  <c r="Z569" i="18" s="1"/>
  <c r="AA569" i="18" s="1"/>
  <c r="AB569" i="18" s="1"/>
  <c r="AC569" i="18" s="1"/>
  <c r="AD569" i="18" s="1"/>
  <c r="AE569" i="18" s="1"/>
  <c r="AF569" i="18" s="1"/>
  <c r="AG569" i="18" s="1"/>
  <c r="AH569" i="18" s="1"/>
  <c r="AI569" i="18" s="1"/>
  <c r="AJ569" i="18" s="1"/>
  <c r="AK569" i="18" s="1"/>
  <c r="AL569" i="18" s="1"/>
  <c r="AM569" i="18" s="1"/>
  <c r="AN569" i="18" s="1"/>
  <c r="AO569" i="18" s="1"/>
  <c r="AP569" i="18" s="1"/>
  <c r="AQ569" i="18" s="1"/>
  <c r="AR569" i="18" s="1"/>
  <c r="AS569" i="18" s="1"/>
  <c r="AT569" i="18" s="1"/>
  <c r="AU569" i="18" s="1"/>
  <c r="AV569" i="18" s="1"/>
  <c r="AW569" i="18" s="1"/>
  <c r="AX569" i="18" s="1"/>
  <c r="AY569" i="18" s="1"/>
  <c r="AZ569" i="18" s="1"/>
  <c r="BA569" i="18" s="1"/>
  <c r="AD716" i="18"/>
  <c r="T12" i="24"/>
  <c r="S13" i="24"/>
  <c r="Y332" i="18"/>
  <c r="W618" i="18"/>
  <c r="V622" i="18"/>
  <c r="X153" i="18"/>
  <c r="Y143" i="18"/>
  <c r="AB599" i="18"/>
  <c r="Z750" i="18"/>
  <c r="V273" i="18"/>
  <c r="U283" i="18"/>
  <c r="AA867" i="18"/>
  <c r="AB867" i="18" s="1"/>
  <c r="AC867" i="18" s="1"/>
  <c r="W452" i="18"/>
  <c r="X442" i="18"/>
  <c r="Y855" i="18"/>
  <c r="W823" i="18"/>
  <c r="V830" i="18"/>
  <c r="Y777" i="18"/>
  <c r="Z777" i="18" s="1"/>
  <c r="AA777" i="18" s="1"/>
  <c r="AB777" i="18" s="1"/>
  <c r="AC777" i="18" s="1"/>
  <c r="AD777" i="18" s="1"/>
  <c r="AE777" i="18" s="1"/>
  <c r="AF777" i="18" s="1"/>
  <c r="AG777" i="18" s="1"/>
  <c r="AH777" i="18" s="1"/>
  <c r="AI777" i="18" s="1"/>
  <c r="AJ777" i="18" s="1"/>
  <c r="AK777" i="18" s="1"/>
  <c r="AL777" i="18" s="1"/>
  <c r="AM777" i="18" s="1"/>
  <c r="AN777" i="18" s="1"/>
  <c r="AO777" i="18" s="1"/>
  <c r="AP777" i="18" s="1"/>
  <c r="AQ777" i="18" s="1"/>
  <c r="AR777" i="18" s="1"/>
  <c r="AS777" i="18" s="1"/>
  <c r="AT777" i="18" s="1"/>
  <c r="AU777" i="18" s="1"/>
  <c r="AV777" i="18" s="1"/>
  <c r="AW777" i="18" s="1"/>
  <c r="AX777" i="18" s="1"/>
  <c r="AY777" i="18" s="1"/>
  <c r="AZ777" i="18" s="1"/>
  <c r="BA777" i="18" s="1"/>
  <c r="BB777" i="18" s="1"/>
  <c r="BC777" i="18" s="1"/>
  <c r="BD777" i="18" s="1"/>
  <c r="BE777" i="18" s="1"/>
  <c r="BF777" i="18" s="1"/>
  <c r="BG777" i="18" s="1"/>
  <c r="BH777" i="18" s="1"/>
  <c r="BI777" i="18" s="1"/>
  <c r="AA325" i="18"/>
  <c r="Z377" i="18"/>
  <c r="Z690" i="18"/>
  <c r="T231" i="18"/>
  <c r="U221" i="18"/>
  <c r="Y646" i="18"/>
  <c r="Z646" i="18" s="1"/>
  <c r="AA646" i="18" s="1"/>
  <c r="AB646" i="18" s="1"/>
  <c r="AC646" i="18" s="1"/>
  <c r="AD646" i="18" s="1"/>
  <c r="AE646" i="18" s="1"/>
  <c r="AF646" i="18" s="1"/>
  <c r="AG646" i="18" s="1"/>
  <c r="AH646" i="18" s="1"/>
  <c r="AI646" i="18" s="1"/>
  <c r="AJ646" i="18" s="1"/>
  <c r="AK646" i="18" s="1"/>
  <c r="AL646" i="18" s="1"/>
  <c r="AM646" i="18" s="1"/>
  <c r="AN646" i="18" s="1"/>
  <c r="AO646" i="18" s="1"/>
  <c r="AP646" i="18" s="1"/>
  <c r="AQ646" i="18" s="1"/>
  <c r="AR646" i="18" s="1"/>
  <c r="AS646" i="18" s="1"/>
  <c r="AT646" i="18" s="1"/>
  <c r="AU646" i="18" s="1"/>
  <c r="AV646" i="18" s="1"/>
  <c r="AW646" i="18" s="1"/>
  <c r="AX646" i="18" s="1"/>
  <c r="AY646" i="18" s="1"/>
  <c r="AZ646" i="18" s="1"/>
  <c r="BA646" i="18" s="1"/>
  <c r="BB646" i="18" s="1"/>
  <c r="BC646" i="18" s="1"/>
  <c r="BD646" i="18" s="1"/>
  <c r="BE646" i="18" s="1"/>
  <c r="BF646" i="18" s="1"/>
  <c r="BG646" i="18" s="1"/>
  <c r="BH646" i="18" s="1"/>
  <c r="BI646" i="18" s="1"/>
  <c r="Z647" i="18"/>
  <c r="AA647" i="18" s="1"/>
  <c r="AB647" i="18" s="1"/>
  <c r="AC647" i="18" s="1"/>
  <c r="AA625" i="18"/>
  <c r="AC614" i="18"/>
  <c r="V288" i="18"/>
  <c r="U296" i="18"/>
  <c r="AI518" i="18"/>
  <c r="AA853" i="18"/>
  <c r="AB853" i="18" s="1"/>
  <c r="AC853" i="18" s="1"/>
  <c r="AD853" i="18" s="1"/>
  <c r="AE853" i="18" s="1"/>
  <c r="AF853" i="18" s="1"/>
  <c r="AG853" i="18" s="1"/>
  <c r="AH853" i="18" s="1"/>
  <c r="AI853" i="18" s="1"/>
  <c r="AJ853" i="18" s="1"/>
  <c r="AK853" i="18" s="1"/>
  <c r="AL853" i="18" s="1"/>
  <c r="AM853" i="18" s="1"/>
  <c r="AN853" i="18" s="1"/>
  <c r="AO853" i="18" s="1"/>
  <c r="AP853" i="18" s="1"/>
  <c r="AQ853" i="18" s="1"/>
  <c r="AR853" i="18" s="1"/>
  <c r="AS853" i="18" s="1"/>
  <c r="AT853" i="18" s="1"/>
  <c r="AU853" i="18" s="1"/>
  <c r="AV853" i="18" s="1"/>
  <c r="AW853" i="18" s="1"/>
  <c r="AX853" i="18" s="1"/>
  <c r="AY853" i="18" s="1"/>
  <c r="AZ853" i="18" s="1"/>
  <c r="BA853" i="18" s="1"/>
  <c r="BB853" i="18" s="1"/>
  <c r="BC853" i="18" s="1"/>
  <c r="BD853" i="18" s="1"/>
  <c r="BE853" i="18" s="1"/>
  <c r="BF853" i="18" s="1"/>
  <c r="BG853" i="18" s="1"/>
  <c r="BH853" i="18" s="1"/>
  <c r="BI853" i="18" s="1"/>
  <c r="W718" i="18"/>
  <c r="V726" i="18"/>
  <c r="AA534" i="18"/>
  <c r="W749" i="18"/>
  <c r="V752" i="18"/>
  <c r="W179" i="18"/>
  <c r="X169" i="18"/>
  <c r="V627" i="18"/>
  <c r="U635" i="18"/>
  <c r="Z768" i="18"/>
  <c r="Z794" i="18"/>
  <c r="Z821" i="18"/>
  <c r="Z364" i="18"/>
  <c r="Z560" i="18"/>
  <c r="AB755" i="18"/>
  <c r="AK514" i="18"/>
  <c r="X549" i="18"/>
  <c r="W557" i="18"/>
  <c r="V205" i="18"/>
  <c r="W195" i="18"/>
  <c r="X581" i="18"/>
  <c r="Y581" i="18" s="1"/>
  <c r="Y256" i="18"/>
  <c r="Z256" i="18" s="1"/>
  <c r="AA256" i="18" s="1"/>
  <c r="X270" i="18"/>
  <c r="Y260" i="18"/>
  <c r="X699" i="18" l="1"/>
  <c r="X700" i="18" s="1"/>
  <c r="Y868" i="18"/>
  <c r="Z868" i="18" s="1"/>
  <c r="AA868" i="18" s="1"/>
  <c r="AB868" i="18" s="1"/>
  <c r="AC868" i="18" s="1"/>
  <c r="AD868" i="18" s="1"/>
  <c r="AE868" i="18" s="1"/>
  <c r="AF868" i="18" s="1"/>
  <c r="AG868" i="18" s="1"/>
  <c r="AH868" i="18" s="1"/>
  <c r="AI868" i="18" s="1"/>
  <c r="AJ868" i="18" s="1"/>
  <c r="AK868" i="18" s="1"/>
  <c r="AL868" i="18" s="1"/>
  <c r="AM868" i="18" s="1"/>
  <c r="AN868" i="18" s="1"/>
  <c r="AO868" i="18" s="1"/>
  <c r="AP868" i="18" s="1"/>
  <c r="AQ868" i="18" s="1"/>
  <c r="AR868" i="18" s="1"/>
  <c r="AS868" i="18" s="1"/>
  <c r="AT868" i="18" s="1"/>
  <c r="AU868" i="18" s="1"/>
  <c r="AV868" i="18" s="1"/>
  <c r="AW868" i="18" s="1"/>
  <c r="AX868" i="18" s="1"/>
  <c r="AY868" i="18" s="1"/>
  <c r="AZ868" i="18" s="1"/>
  <c r="BA868" i="18" s="1"/>
  <c r="BB868" i="18" s="1"/>
  <c r="BC868" i="18" s="1"/>
  <c r="BD868" i="18" s="1"/>
  <c r="BE868" i="18" s="1"/>
  <c r="BF868" i="18" s="1"/>
  <c r="BG868" i="18" s="1"/>
  <c r="BH868" i="18" s="1"/>
  <c r="BI868" i="18" s="1"/>
  <c r="AK529" i="18"/>
  <c r="AL529" i="18" s="1"/>
  <c r="AM529" i="18" s="1"/>
  <c r="AN529" i="18" s="1"/>
  <c r="AO529" i="18" s="1"/>
  <c r="AP529" i="18" s="1"/>
  <c r="AQ529" i="18" s="1"/>
  <c r="AR529" i="18" s="1"/>
  <c r="AS529" i="18" s="1"/>
  <c r="AT529" i="18" s="1"/>
  <c r="AU529" i="18" s="1"/>
  <c r="AV529" i="18" s="1"/>
  <c r="AW529" i="18" s="1"/>
  <c r="AX529" i="18" s="1"/>
  <c r="AY529" i="18" s="1"/>
  <c r="AZ529" i="18" s="1"/>
  <c r="BA529" i="18" s="1"/>
  <c r="BB529" i="18" s="1"/>
  <c r="BC529" i="18" s="1"/>
  <c r="BD529" i="18" s="1"/>
  <c r="BE529" i="18" s="1"/>
  <c r="BF529" i="18" s="1"/>
  <c r="BG529" i="18" s="1"/>
  <c r="BH529" i="18" s="1"/>
  <c r="BI529" i="18" s="1"/>
  <c r="AC152" i="18"/>
  <c r="AD152" i="18" s="1"/>
  <c r="AE152" i="18" s="1"/>
  <c r="AF152" i="18" s="1"/>
  <c r="AG152" i="18" s="1"/>
  <c r="AH152" i="18" s="1"/>
  <c r="AI152" i="18" s="1"/>
  <c r="AJ152" i="18" s="1"/>
  <c r="AK152" i="18" s="1"/>
  <c r="AL152" i="18" s="1"/>
  <c r="AM152" i="18" s="1"/>
  <c r="AN152" i="18" s="1"/>
  <c r="AO152" i="18" s="1"/>
  <c r="AP152" i="18" s="1"/>
  <c r="AQ152" i="18" s="1"/>
  <c r="AR152" i="18" s="1"/>
  <c r="AS152" i="18" s="1"/>
  <c r="AT152" i="18" s="1"/>
  <c r="AU152" i="18" s="1"/>
  <c r="AV152" i="18" s="1"/>
  <c r="AW152" i="18" s="1"/>
  <c r="AX152" i="18" s="1"/>
  <c r="AY152" i="18" s="1"/>
  <c r="AZ152" i="18" s="1"/>
  <c r="BA152" i="18" s="1"/>
  <c r="BB152" i="18" s="1"/>
  <c r="BC152" i="18" s="1"/>
  <c r="BD152" i="18" s="1"/>
  <c r="BE152" i="18" s="1"/>
  <c r="BF152" i="18" s="1"/>
  <c r="BG152" i="18" s="1"/>
  <c r="BH152" i="18" s="1"/>
  <c r="BI152" i="18" s="1"/>
  <c r="Y699" i="18"/>
  <c r="Y700" i="18" s="1"/>
  <c r="V455" i="18"/>
  <c r="U465" i="18"/>
  <c r="AC842" i="18"/>
  <c r="AD842" i="18" s="1"/>
  <c r="AE842" i="18" s="1"/>
  <c r="AF842" i="18" s="1"/>
  <c r="AG842" i="18" s="1"/>
  <c r="AH842" i="18" s="1"/>
  <c r="AI842" i="18" s="1"/>
  <c r="AJ842" i="18" s="1"/>
  <c r="AK842" i="18" s="1"/>
  <c r="AL842" i="18" s="1"/>
  <c r="AM842" i="18" s="1"/>
  <c r="AN842" i="18" s="1"/>
  <c r="AO842" i="18" s="1"/>
  <c r="AP842" i="18" s="1"/>
  <c r="AQ842" i="18" s="1"/>
  <c r="AR842" i="18" s="1"/>
  <c r="AS842" i="18" s="1"/>
  <c r="AT842" i="18" s="1"/>
  <c r="AU842" i="18" s="1"/>
  <c r="AV842" i="18" s="1"/>
  <c r="AW842" i="18" s="1"/>
  <c r="AX842" i="18" s="1"/>
  <c r="AY842" i="18" s="1"/>
  <c r="AZ842" i="18" s="1"/>
  <c r="BA842" i="18" s="1"/>
  <c r="BB842" i="18" s="1"/>
  <c r="BC842" i="18" s="1"/>
  <c r="BD842" i="18" s="1"/>
  <c r="BE842" i="18" s="1"/>
  <c r="BF842" i="18" s="1"/>
  <c r="BG842" i="18" s="1"/>
  <c r="BH842" i="18" s="1"/>
  <c r="BI842" i="18" s="1"/>
  <c r="AC854" i="18"/>
  <c r="AD854" i="18" s="1"/>
  <c r="AE854" i="18" s="1"/>
  <c r="AF854" i="18" s="1"/>
  <c r="AJ518" i="18"/>
  <c r="Y778" i="18"/>
  <c r="AQ516" i="18"/>
  <c r="AR516" i="18" s="1"/>
  <c r="AS516" i="18" s="1"/>
  <c r="AT516" i="18" s="1"/>
  <c r="AU516" i="18" s="1"/>
  <c r="AV516" i="18" s="1"/>
  <c r="AW516" i="18" s="1"/>
  <c r="AX516" i="18" s="1"/>
  <c r="AY516" i="18" s="1"/>
  <c r="AZ516" i="18" s="1"/>
  <c r="BA516" i="18" s="1"/>
  <c r="BB516" i="18" s="1"/>
  <c r="BC516" i="18" s="1"/>
  <c r="BD516" i="18" s="1"/>
  <c r="BE516" i="18" s="1"/>
  <c r="BF516" i="18" s="1"/>
  <c r="BG516" i="18" s="1"/>
  <c r="BH516" i="18" s="1"/>
  <c r="BI516" i="18" s="1"/>
  <c r="AD867" i="18"/>
  <c r="AE867" i="18" s="1"/>
  <c r="AF867" i="18" s="1"/>
  <c r="AG867" i="18" s="1"/>
  <c r="AH867" i="18" s="1"/>
  <c r="AI867" i="18" s="1"/>
  <c r="AJ867" i="18" s="1"/>
  <c r="AK867" i="18" s="1"/>
  <c r="AL867" i="18" s="1"/>
  <c r="AM867" i="18" s="1"/>
  <c r="AN867" i="18" s="1"/>
  <c r="AO867" i="18" s="1"/>
  <c r="AP867" i="18" s="1"/>
  <c r="AQ867" i="18" s="1"/>
  <c r="AR867" i="18" s="1"/>
  <c r="AS867" i="18" s="1"/>
  <c r="AT867" i="18" s="1"/>
  <c r="AU867" i="18" s="1"/>
  <c r="AV867" i="18" s="1"/>
  <c r="AW867" i="18" s="1"/>
  <c r="AX867" i="18" s="1"/>
  <c r="AY867" i="18" s="1"/>
  <c r="AZ867" i="18" s="1"/>
  <c r="BA867" i="18" s="1"/>
  <c r="BB867" i="18" s="1"/>
  <c r="BC867" i="18" s="1"/>
  <c r="BD867" i="18" s="1"/>
  <c r="BE867" i="18" s="1"/>
  <c r="BF867" i="18" s="1"/>
  <c r="BG867" i="18" s="1"/>
  <c r="BH867" i="18" s="1"/>
  <c r="BI867" i="18" s="1"/>
  <c r="AJ789" i="18"/>
  <c r="AK789" i="18" s="1"/>
  <c r="AL789" i="18" s="1"/>
  <c r="AM789" i="18" s="1"/>
  <c r="AN789" i="18" s="1"/>
  <c r="AO789" i="18" s="1"/>
  <c r="AP789" i="18" s="1"/>
  <c r="AQ789" i="18" s="1"/>
  <c r="AR789" i="18" s="1"/>
  <c r="AS789" i="18" s="1"/>
  <c r="AT789" i="18" s="1"/>
  <c r="AU789" i="18" s="1"/>
  <c r="AV789" i="18" s="1"/>
  <c r="AW789" i="18" s="1"/>
  <c r="AX789" i="18" s="1"/>
  <c r="AY789" i="18" s="1"/>
  <c r="AZ789" i="18" s="1"/>
  <c r="BA789" i="18" s="1"/>
  <c r="BB789" i="18" s="1"/>
  <c r="BC789" i="18" s="1"/>
  <c r="BD789" i="18" s="1"/>
  <c r="BE789" i="18" s="1"/>
  <c r="BF789" i="18" s="1"/>
  <c r="BG789" i="18" s="1"/>
  <c r="BH789" i="18" s="1"/>
  <c r="BI789" i="18" s="1"/>
  <c r="AF620" i="18"/>
  <c r="W801" i="18"/>
  <c r="V804" i="18"/>
  <c r="AG489" i="18"/>
  <c r="AH489" i="18" s="1"/>
  <c r="AI489" i="18" s="1"/>
  <c r="AJ489" i="18" s="1"/>
  <c r="AK489" i="18" s="1"/>
  <c r="AL489" i="18" s="1"/>
  <c r="AM489" i="18" s="1"/>
  <c r="AN489" i="18" s="1"/>
  <c r="AO489" i="18" s="1"/>
  <c r="AP489" i="18" s="1"/>
  <c r="AQ489" i="18" s="1"/>
  <c r="AR489" i="18" s="1"/>
  <c r="AS489" i="18" s="1"/>
  <c r="AT489" i="18" s="1"/>
  <c r="AU489" i="18" s="1"/>
  <c r="AV489" i="18" s="1"/>
  <c r="AW489" i="18" s="1"/>
  <c r="AX489" i="18" s="1"/>
  <c r="AY489" i="18" s="1"/>
  <c r="AZ489" i="18" s="1"/>
  <c r="BA489" i="18" s="1"/>
  <c r="BB489" i="18" s="1"/>
  <c r="BC489" i="18" s="1"/>
  <c r="BD489" i="18" s="1"/>
  <c r="BE489" i="18" s="1"/>
  <c r="BF489" i="18" s="1"/>
  <c r="BG489" i="18" s="1"/>
  <c r="BH489" i="18" s="1"/>
  <c r="BI489" i="18" s="1"/>
  <c r="AC660" i="18"/>
  <c r="AD660" i="18" s="1"/>
  <c r="AW628" i="18"/>
  <c r="AX628" i="18" s="1"/>
  <c r="AY628" i="18" s="1"/>
  <c r="AZ628" i="18" s="1"/>
  <c r="BA628" i="18" s="1"/>
  <c r="BB628" i="18" s="1"/>
  <c r="BC628" i="18" s="1"/>
  <c r="BD628" i="18" s="1"/>
  <c r="BE628" i="18" s="1"/>
  <c r="BF628" i="18" s="1"/>
  <c r="BG628" i="18" s="1"/>
  <c r="BH628" i="18" s="1"/>
  <c r="BI628" i="18" s="1"/>
  <c r="AC606" i="18"/>
  <c r="AD606" i="18" s="1"/>
  <c r="AE606" i="18" s="1"/>
  <c r="AF606" i="18" s="1"/>
  <c r="AG606" i="18" s="1"/>
  <c r="AH606" i="18" s="1"/>
  <c r="AI606" i="18" s="1"/>
  <c r="AJ606" i="18" s="1"/>
  <c r="AK606" i="18" s="1"/>
  <c r="AL606" i="18" s="1"/>
  <c r="AM606" i="18" s="1"/>
  <c r="AN606" i="18" s="1"/>
  <c r="AO606" i="18" s="1"/>
  <c r="AP606" i="18" s="1"/>
  <c r="AQ606" i="18" s="1"/>
  <c r="AR606" i="18" s="1"/>
  <c r="AS606" i="18" s="1"/>
  <c r="AT606" i="18" s="1"/>
  <c r="AU606" i="18" s="1"/>
  <c r="AV606" i="18" s="1"/>
  <c r="AW606" i="18" s="1"/>
  <c r="AX606" i="18" s="1"/>
  <c r="AY606" i="18" s="1"/>
  <c r="AZ606" i="18" s="1"/>
  <c r="BA606" i="18" s="1"/>
  <c r="BB606" i="18" s="1"/>
  <c r="BC606" i="18" s="1"/>
  <c r="BD606" i="18" s="1"/>
  <c r="BE606" i="18" s="1"/>
  <c r="BF606" i="18" s="1"/>
  <c r="BG606" i="18" s="1"/>
  <c r="BH606" i="18" s="1"/>
  <c r="BI606" i="18" s="1"/>
  <c r="AD837" i="18"/>
  <c r="AE837" i="18" s="1"/>
  <c r="AV748" i="18"/>
  <c r="AW748" i="18" s="1"/>
  <c r="AX748" i="18" s="1"/>
  <c r="AY748" i="18" s="1"/>
  <c r="AZ748" i="18" s="1"/>
  <c r="BA748" i="18" s="1"/>
  <c r="BB748" i="18" s="1"/>
  <c r="BC748" i="18" s="1"/>
  <c r="BD748" i="18" s="1"/>
  <c r="BE748" i="18" s="1"/>
  <c r="BF748" i="18" s="1"/>
  <c r="BG748" i="18" s="1"/>
  <c r="BH748" i="18" s="1"/>
  <c r="BI748" i="18" s="1"/>
  <c r="AD595" i="18"/>
  <c r="AC608" i="18"/>
  <c r="AD608" i="18" s="1"/>
  <c r="Z686" i="18"/>
  <c r="AA686" i="18" s="1"/>
  <c r="AC528" i="18"/>
  <c r="AD528" i="18" s="1"/>
  <c r="AE528" i="18" s="1"/>
  <c r="AF528" i="18" s="1"/>
  <c r="AG528" i="18" s="1"/>
  <c r="AH528" i="18" s="1"/>
  <c r="AI528" i="18" s="1"/>
  <c r="AJ528" i="18" s="1"/>
  <c r="AK528" i="18" s="1"/>
  <c r="AL528" i="18" s="1"/>
  <c r="AM528" i="18" s="1"/>
  <c r="AN528" i="18" s="1"/>
  <c r="AO528" i="18" s="1"/>
  <c r="AP528" i="18" s="1"/>
  <c r="AQ528" i="18" s="1"/>
  <c r="AR528" i="18" s="1"/>
  <c r="AS528" i="18" s="1"/>
  <c r="AT528" i="18" s="1"/>
  <c r="AU528" i="18" s="1"/>
  <c r="AV528" i="18" s="1"/>
  <c r="AW528" i="18" s="1"/>
  <c r="AX528" i="18" s="1"/>
  <c r="AY528" i="18" s="1"/>
  <c r="AZ528" i="18" s="1"/>
  <c r="BA528" i="18" s="1"/>
  <c r="BB528" i="18" s="1"/>
  <c r="BC528" i="18" s="1"/>
  <c r="BD528" i="18" s="1"/>
  <c r="BE528" i="18" s="1"/>
  <c r="BF528" i="18" s="1"/>
  <c r="BG528" i="18" s="1"/>
  <c r="BH528" i="18" s="1"/>
  <c r="BI528" i="18" s="1"/>
  <c r="X335" i="18"/>
  <c r="AL580" i="18"/>
  <c r="AM580" i="18" s="1"/>
  <c r="AN580" i="18" s="1"/>
  <c r="AO580" i="18" s="1"/>
  <c r="AP580" i="18" s="1"/>
  <c r="AQ580" i="18" s="1"/>
  <c r="AR580" i="18" s="1"/>
  <c r="AS580" i="18" s="1"/>
  <c r="AT580" i="18" s="1"/>
  <c r="AU580" i="18" s="1"/>
  <c r="AV580" i="18" s="1"/>
  <c r="AW580" i="18" s="1"/>
  <c r="AX580" i="18" s="1"/>
  <c r="AY580" i="18" s="1"/>
  <c r="AZ580" i="18" s="1"/>
  <c r="BA580" i="18" s="1"/>
  <c r="BB580" i="18" s="1"/>
  <c r="BC580" i="18" s="1"/>
  <c r="BD580" i="18" s="1"/>
  <c r="BE580" i="18" s="1"/>
  <c r="BF580" i="18" s="1"/>
  <c r="BG580" i="18" s="1"/>
  <c r="BH580" i="18" s="1"/>
  <c r="BI580" i="18" s="1"/>
  <c r="AF784" i="18"/>
  <c r="AG784" i="18" s="1"/>
  <c r="AH784" i="18" s="1"/>
  <c r="AI784" i="18" s="1"/>
  <c r="AJ784" i="18" s="1"/>
  <c r="AK784" i="18" s="1"/>
  <c r="AL784" i="18" s="1"/>
  <c r="AM784" i="18" s="1"/>
  <c r="AN784" i="18" s="1"/>
  <c r="AO784" i="18" s="1"/>
  <c r="AP784" i="18" s="1"/>
  <c r="AQ784" i="18" s="1"/>
  <c r="AR784" i="18" s="1"/>
  <c r="AS784" i="18" s="1"/>
  <c r="AT784" i="18" s="1"/>
  <c r="AU784" i="18" s="1"/>
  <c r="AV784" i="18" s="1"/>
  <c r="AW784" i="18" s="1"/>
  <c r="AX784" i="18" s="1"/>
  <c r="AY784" i="18" s="1"/>
  <c r="AZ784" i="18" s="1"/>
  <c r="BA784" i="18" s="1"/>
  <c r="BB784" i="18" s="1"/>
  <c r="BC784" i="18" s="1"/>
  <c r="BD784" i="18" s="1"/>
  <c r="BE784" i="18" s="1"/>
  <c r="BF784" i="18" s="1"/>
  <c r="BG784" i="18" s="1"/>
  <c r="BH784" i="18" s="1"/>
  <c r="BI784" i="18" s="1"/>
  <c r="AO841" i="18"/>
  <c r="AP841" i="18" s="1"/>
  <c r="AQ841" i="18" s="1"/>
  <c r="AR841" i="18" s="1"/>
  <c r="AS841" i="18" s="1"/>
  <c r="AT841" i="18" s="1"/>
  <c r="AU841" i="18" s="1"/>
  <c r="AV841" i="18" s="1"/>
  <c r="AW841" i="18" s="1"/>
  <c r="AX841" i="18" s="1"/>
  <c r="AY841" i="18" s="1"/>
  <c r="AZ841" i="18" s="1"/>
  <c r="BA841" i="18" s="1"/>
  <c r="BB841" i="18" s="1"/>
  <c r="BC841" i="18" s="1"/>
  <c r="BD841" i="18" s="1"/>
  <c r="BE841" i="18" s="1"/>
  <c r="BF841" i="18" s="1"/>
  <c r="BG841" i="18" s="1"/>
  <c r="BH841" i="18" s="1"/>
  <c r="BI841" i="18" s="1"/>
  <c r="Y450" i="18"/>
  <c r="Z450" i="18" s="1"/>
  <c r="AK491" i="18"/>
  <c r="AL491" i="18" s="1"/>
  <c r="AM491" i="18" s="1"/>
  <c r="AN491" i="18" s="1"/>
  <c r="AO491" i="18" s="1"/>
  <c r="AP491" i="18" s="1"/>
  <c r="AQ491" i="18" s="1"/>
  <c r="AR491" i="18" s="1"/>
  <c r="AS491" i="18" s="1"/>
  <c r="AT491" i="18" s="1"/>
  <c r="AU491" i="18" s="1"/>
  <c r="AV491" i="18" s="1"/>
  <c r="AW491" i="18" s="1"/>
  <c r="AX491" i="18" s="1"/>
  <c r="AY491" i="18" s="1"/>
  <c r="AZ491" i="18" s="1"/>
  <c r="BA491" i="18" s="1"/>
  <c r="BB491" i="18" s="1"/>
  <c r="BC491" i="18" s="1"/>
  <c r="BD491" i="18" s="1"/>
  <c r="BE491" i="18" s="1"/>
  <c r="BF491" i="18" s="1"/>
  <c r="BG491" i="18" s="1"/>
  <c r="BH491" i="18" s="1"/>
  <c r="BI491" i="18" s="1"/>
  <c r="AF738" i="18"/>
  <c r="AD647" i="18"/>
  <c r="AE647" i="18" s="1"/>
  <c r="AF647" i="18" s="1"/>
  <c r="AG647" i="18" s="1"/>
  <c r="AH647" i="18" s="1"/>
  <c r="AC599" i="18"/>
  <c r="X749" i="18"/>
  <c r="W752" i="18"/>
  <c r="Y549" i="18"/>
  <c r="X557" i="18"/>
  <c r="AB325" i="18"/>
  <c r="AL514" i="18"/>
  <c r="AK518" i="18"/>
  <c r="AB534" i="18"/>
  <c r="M241" i="1"/>
  <c r="M176" i="1"/>
  <c r="M4" i="18"/>
  <c r="M4" i="2"/>
  <c r="M208" i="1"/>
  <c r="M190" i="1"/>
  <c r="M74" i="1"/>
  <c r="M108" i="1" s="1"/>
  <c r="N40" i="1"/>
  <c r="M221" i="1"/>
  <c r="M223" i="1" s="1"/>
  <c r="M142" i="1"/>
  <c r="W309" i="18"/>
  <c r="X299" i="18"/>
  <c r="AC755" i="18"/>
  <c r="AA821" i="18"/>
  <c r="AB625" i="18"/>
  <c r="AE716" i="18"/>
  <c r="AC182" i="18"/>
  <c r="AC482" i="18"/>
  <c r="Y286" i="18"/>
  <c r="W566" i="18"/>
  <c r="V570" i="18"/>
  <c r="X604" i="18"/>
  <c r="W609" i="18"/>
  <c r="BB104" i="18"/>
  <c r="Y685" i="18"/>
  <c r="X687" i="18"/>
  <c r="Y166" i="18"/>
  <c r="Z156" i="18"/>
  <c r="AA781" i="18"/>
  <c r="L4" i="7945"/>
  <c r="L4" i="24"/>
  <c r="U12" i="24"/>
  <c r="T13" i="24"/>
  <c r="AD547" i="18"/>
  <c r="AA683" i="18"/>
  <c r="X790" i="18"/>
  <c r="AC846" i="18"/>
  <c r="V583" i="18"/>
  <c r="W573" i="18"/>
  <c r="Y257" i="18"/>
  <c r="Z247" i="18"/>
  <c r="AB256" i="18"/>
  <c r="AC256" i="18" s="1"/>
  <c r="AD256" i="18" s="1"/>
  <c r="AE256" i="18" s="1"/>
  <c r="AF256" i="18" s="1"/>
  <c r="AG256" i="18" s="1"/>
  <c r="AH256" i="18" s="1"/>
  <c r="AI256" i="18" s="1"/>
  <c r="AJ256" i="18" s="1"/>
  <c r="AK256" i="18" s="1"/>
  <c r="AL256" i="18" s="1"/>
  <c r="AM256" i="18" s="1"/>
  <c r="AN256" i="18" s="1"/>
  <c r="AO256" i="18" s="1"/>
  <c r="AP256" i="18" s="1"/>
  <c r="AQ256" i="18" s="1"/>
  <c r="AR256" i="18" s="1"/>
  <c r="AS256" i="18" s="1"/>
  <c r="AT256" i="18" s="1"/>
  <c r="AU256" i="18" s="1"/>
  <c r="AV256" i="18" s="1"/>
  <c r="AW256" i="18" s="1"/>
  <c r="AX256" i="18" s="1"/>
  <c r="AY256" i="18" s="1"/>
  <c r="AZ256" i="18" s="1"/>
  <c r="BA256" i="18" s="1"/>
  <c r="BB256" i="18" s="1"/>
  <c r="BC256" i="18" s="1"/>
  <c r="BD256" i="18" s="1"/>
  <c r="BE256" i="18" s="1"/>
  <c r="BF256" i="18" s="1"/>
  <c r="BG256" i="18" s="1"/>
  <c r="BH256" i="18" s="1"/>
  <c r="BI256" i="18" s="1"/>
  <c r="AA794" i="18"/>
  <c r="X718" i="18"/>
  <c r="W726" i="18"/>
  <c r="AA690" i="18"/>
  <c r="X823" i="18"/>
  <c r="W830" i="18"/>
  <c r="X816" i="18"/>
  <c r="W817" i="18"/>
  <c r="W487" i="18"/>
  <c r="V492" i="18"/>
  <c r="X596" i="18"/>
  <c r="Y586" i="18"/>
  <c r="Z640" i="18"/>
  <c r="Y648" i="18"/>
  <c r="AA208" i="18"/>
  <c r="AC651" i="18"/>
  <c r="X319" i="18"/>
  <c r="W540" i="18"/>
  <c r="V544" i="18"/>
  <c r="W791" i="18"/>
  <c r="Z778" i="18"/>
  <c r="AA768" i="18"/>
  <c r="W288" i="18"/>
  <c r="V296" i="18"/>
  <c r="Z581" i="18"/>
  <c r="AD614" i="18"/>
  <c r="W627" i="18"/>
  <c r="V635" i="18"/>
  <c r="X179" i="18"/>
  <c r="Y169" i="18"/>
  <c r="W205" i="18"/>
  <c r="X195" i="18"/>
  <c r="AA560" i="18"/>
  <c r="Y426" i="18"/>
  <c r="Z416" i="18"/>
  <c r="BB569" i="18"/>
  <c r="BC569" i="18" s="1"/>
  <c r="BD569" i="18" s="1"/>
  <c r="BE569" i="18" s="1"/>
  <c r="BF569" i="18" s="1"/>
  <c r="BG569" i="18" s="1"/>
  <c r="BH569" i="18" s="1"/>
  <c r="BI569" i="18" s="1"/>
  <c r="Z136" i="18"/>
  <c r="Y140" i="18"/>
  <c r="AX114" i="18"/>
  <c r="AY113" i="18"/>
  <c r="AE638" i="18"/>
  <c r="Z400" i="18"/>
  <c r="AA390" i="18"/>
  <c r="W361" i="18"/>
  <c r="X351" i="18"/>
  <c r="AQ508" i="18"/>
  <c r="X127" i="18"/>
  <c r="Y117" i="18"/>
  <c r="AB295" i="18"/>
  <c r="AC295" i="18" s="1"/>
  <c r="AD295" i="18" s="1"/>
  <c r="AE295" i="18" s="1"/>
  <c r="AF295" i="18" s="1"/>
  <c r="AG295" i="18" s="1"/>
  <c r="AH295" i="18" s="1"/>
  <c r="AI295" i="18" s="1"/>
  <c r="AJ295" i="18" s="1"/>
  <c r="AK295" i="18" s="1"/>
  <c r="AL295" i="18" s="1"/>
  <c r="AM295" i="18" s="1"/>
  <c r="AN295" i="18" s="1"/>
  <c r="AO295" i="18" s="1"/>
  <c r="AP295" i="18" s="1"/>
  <c r="AQ295" i="18" s="1"/>
  <c r="AR295" i="18" s="1"/>
  <c r="AS295" i="18" s="1"/>
  <c r="AT295" i="18" s="1"/>
  <c r="AU295" i="18" s="1"/>
  <c r="AV295" i="18" s="1"/>
  <c r="AW295" i="18" s="1"/>
  <c r="AX295" i="18" s="1"/>
  <c r="AY295" i="18" s="1"/>
  <c r="AZ295" i="18" s="1"/>
  <c r="BA295" i="18" s="1"/>
  <c r="BB295" i="18" s="1"/>
  <c r="BC295" i="18" s="1"/>
  <c r="BD295" i="18" s="1"/>
  <c r="BE295" i="18" s="1"/>
  <c r="BF295" i="18" s="1"/>
  <c r="BG295" i="18" s="1"/>
  <c r="BH295" i="18" s="1"/>
  <c r="BI295" i="18" s="1"/>
  <c r="AB703" i="18"/>
  <c r="Q278" i="1"/>
  <c r="W278" i="1" s="1"/>
  <c r="AC278" i="1" s="1"/>
  <c r="AI278" i="1" s="1"/>
  <c r="AO278" i="1" s="1"/>
  <c r="AU278" i="1" s="1"/>
  <c r="BA278" i="1" s="1"/>
  <c r="BG278" i="1" s="1"/>
  <c r="BM278" i="1" s="1"/>
  <c r="F312" i="1"/>
  <c r="L312" i="1" s="1"/>
  <c r="R312" i="1" s="1"/>
  <c r="X312" i="1" s="1"/>
  <c r="AD312" i="1" s="1"/>
  <c r="AJ312" i="1" s="1"/>
  <c r="AP312" i="1" s="1"/>
  <c r="AV312" i="1" s="1"/>
  <c r="BB312" i="1" s="1"/>
  <c r="BH312" i="1" s="1"/>
  <c r="Y833" i="18"/>
  <c r="X843" i="18"/>
  <c r="V283" i="18"/>
  <c r="W273" i="18"/>
  <c r="X379" i="18"/>
  <c r="W387" i="18"/>
  <c r="Y531" i="18"/>
  <c r="Z521" i="18"/>
  <c r="X211" i="18"/>
  <c r="W218" i="18"/>
  <c r="X739" i="18"/>
  <c r="Y729" i="18"/>
  <c r="CU47" i="7942"/>
  <c r="V80" i="7942"/>
  <c r="DF47" i="7942"/>
  <c r="DF13" i="7942"/>
  <c r="K80" i="7942"/>
  <c r="BC80" i="7942"/>
  <c r="BN80" i="7942"/>
  <c r="AG47" i="7942"/>
  <c r="DF80" i="7942"/>
  <c r="AR13" i="7942"/>
  <c r="CJ47" i="7942"/>
  <c r="CJ80" i="7942"/>
  <c r="AG13" i="7942"/>
  <c r="K47" i="7942"/>
  <c r="V13" i="7942"/>
  <c r="K13" i="7942"/>
  <c r="CJ13" i="7942"/>
  <c r="BY13" i="7942"/>
  <c r="V47" i="7942"/>
  <c r="BN47" i="7942"/>
  <c r="AR80" i="7942"/>
  <c r="AR47" i="7942"/>
  <c r="BC47" i="7942"/>
  <c r="BY80" i="7942"/>
  <c r="AG80" i="7942"/>
  <c r="CU13" i="7942"/>
  <c r="BY47" i="7942"/>
  <c r="BN13" i="7942"/>
  <c r="CU80" i="7942"/>
  <c r="BC13" i="7942"/>
  <c r="W348" i="18"/>
  <c r="X338" i="18"/>
  <c r="Z855" i="18"/>
  <c r="AC130" i="18"/>
  <c r="AA377" i="18"/>
  <c r="X618" i="18"/>
  <c r="W622" i="18"/>
  <c r="AA364" i="18"/>
  <c r="Z332" i="18"/>
  <c r="Y335" i="18"/>
  <c r="W706" i="18"/>
  <c r="V713" i="18"/>
  <c r="Y373" i="18"/>
  <c r="X374" i="18"/>
  <c r="X655" i="18"/>
  <c r="W661" i="18"/>
  <c r="AA312" i="18"/>
  <c r="Y490" i="18"/>
  <c r="W439" i="18"/>
  <c r="X429" i="18"/>
  <c r="AA758" i="18"/>
  <c r="Z765" i="18"/>
  <c r="K67" i="7943"/>
  <c r="K51" i="7943"/>
  <c r="K87" i="7943"/>
  <c r="X244" i="18"/>
  <c r="Y234" i="18"/>
  <c r="AD621" i="18"/>
  <c r="AE621" i="18" s="1"/>
  <c r="AF621" i="18" s="1"/>
  <c r="AG621" i="18" s="1"/>
  <c r="AH621" i="18" s="1"/>
  <c r="AI621" i="18" s="1"/>
  <c r="AJ621" i="18" s="1"/>
  <c r="AK621" i="18" s="1"/>
  <c r="AL621" i="18" s="1"/>
  <c r="AM621" i="18" s="1"/>
  <c r="AN621" i="18" s="1"/>
  <c r="AO621" i="18" s="1"/>
  <c r="AP621" i="18" s="1"/>
  <c r="AQ621" i="18" s="1"/>
  <c r="AR621" i="18" s="1"/>
  <c r="AS621" i="18" s="1"/>
  <c r="AT621" i="18" s="1"/>
  <c r="AU621" i="18" s="1"/>
  <c r="AV621" i="18" s="1"/>
  <c r="AW621" i="18" s="1"/>
  <c r="AX621" i="18" s="1"/>
  <c r="AY621" i="18" s="1"/>
  <c r="AZ621" i="18" s="1"/>
  <c r="BA621" i="18" s="1"/>
  <c r="BB621" i="18" s="1"/>
  <c r="BC621" i="18" s="1"/>
  <c r="BD621" i="18" s="1"/>
  <c r="BE621" i="18" s="1"/>
  <c r="BF621" i="18" s="1"/>
  <c r="BG621" i="18" s="1"/>
  <c r="BH621" i="18" s="1"/>
  <c r="BI621" i="18" s="1"/>
  <c r="Y270" i="18"/>
  <c r="Z260" i="18"/>
  <c r="U231" i="18"/>
  <c r="V221" i="18"/>
  <c r="X452" i="18"/>
  <c r="Y442" i="18"/>
  <c r="AA750" i="18"/>
  <c r="AB750" i="18" s="1"/>
  <c r="AC750" i="18" s="1"/>
  <c r="AD750" i="18" s="1"/>
  <c r="AE750" i="18" s="1"/>
  <c r="AF750" i="18" s="1"/>
  <c r="AG750" i="18" s="1"/>
  <c r="AH750" i="18" s="1"/>
  <c r="AI750" i="18" s="1"/>
  <c r="AJ750" i="18" s="1"/>
  <c r="AK750" i="18" s="1"/>
  <c r="AL750" i="18" s="1"/>
  <c r="AM750" i="18" s="1"/>
  <c r="AN750" i="18" s="1"/>
  <c r="AO750" i="18" s="1"/>
  <c r="AP750" i="18" s="1"/>
  <c r="AQ750" i="18" s="1"/>
  <c r="AR750" i="18" s="1"/>
  <c r="AS750" i="18" s="1"/>
  <c r="AT750" i="18" s="1"/>
  <c r="AU750" i="18" s="1"/>
  <c r="AV750" i="18" s="1"/>
  <c r="AW750" i="18" s="1"/>
  <c r="AX750" i="18" s="1"/>
  <c r="AY750" i="18" s="1"/>
  <c r="AZ750" i="18" s="1"/>
  <c r="BA750" i="18" s="1"/>
  <c r="BB750" i="18" s="1"/>
  <c r="BC750" i="18" s="1"/>
  <c r="BD750" i="18" s="1"/>
  <c r="BE750" i="18" s="1"/>
  <c r="BF750" i="18" s="1"/>
  <c r="BG750" i="18" s="1"/>
  <c r="BH750" i="18" s="1"/>
  <c r="BI750" i="18" s="1"/>
  <c r="Y153" i="18"/>
  <c r="Z143" i="18"/>
  <c r="Z807" i="18"/>
  <c r="AC820" i="18"/>
  <c r="AO511" i="18"/>
  <c r="X413" i="18"/>
  <c r="Y403" i="18"/>
  <c r="X829" i="18"/>
  <c r="Y829" i="18" s="1"/>
  <c r="Z829" i="18" s="1"/>
  <c r="AA829" i="18" s="1"/>
  <c r="AB829" i="18" s="1"/>
  <c r="X668" i="18"/>
  <c r="W674" i="18"/>
  <c r="AB742" i="18"/>
  <c r="AF612" i="18"/>
  <c r="Y187" i="18"/>
  <c r="X192" i="18"/>
  <c r="Z664" i="18"/>
  <c r="AD677" i="18"/>
  <c r="W869" i="18"/>
  <c r="X859" i="18"/>
  <c r="Y848" i="18"/>
  <c r="X856" i="18"/>
  <c r="L4" i="7943"/>
  <c r="L4" i="7942"/>
  <c r="G312" i="1"/>
  <c r="M312" i="1" s="1"/>
  <c r="S312" i="1" s="1"/>
  <c r="Y312" i="1" s="1"/>
  <c r="AE312" i="1" s="1"/>
  <c r="AK312" i="1" s="1"/>
  <c r="AQ312" i="1" s="1"/>
  <c r="AW312" i="1" s="1"/>
  <c r="BC312" i="1" s="1"/>
  <c r="BI312" i="1" s="1"/>
  <c r="L4" i="7946"/>
  <c r="Z699" i="18" l="1"/>
  <c r="Z700" i="18" s="1"/>
  <c r="AE660" i="18"/>
  <c r="V465" i="18"/>
  <c r="W455" i="18"/>
  <c r="AG854" i="18"/>
  <c r="AH854" i="18" s="1"/>
  <c r="AI854" i="18" s="1"/>
  <c r="AJ854" i="18" s="1"/>
  <c r="AK854" i="18" s="1"/>
  <c r="AL854" i="18" s="1"/>
  <c r="AM854" i="18" s="1"/>
  <c r="AN854" i="18" s="1"/>
  <c r="AO854" i="18" s="1"/>
  <c r="AP854" i="18" s="1"/>
  <c r="AQ854" i="18" s="1"/>
  <c r="AR854" i="18" s="1"/>
  <c r="AS854" i="18" s="1"/>
  <c r="AT854" i="18" s="1"/>
  <c r="AU854" i="18" s="1"/>
  <c r="AV854" i="18" s="1"/>
  <c r="AW854" i="18" s="1"/>
  <c r="AX854" i="18" s="1"/>
  <c r="AY854" i="18" s="1"/>
  <c r="AZ854" i="18" s="1"/>
  <c r="BA854" i="18" s="1"/>
  <c r="BB854" i="18" s="1"/>
  <c r="BC854" i="18" s="1"/>
  <c r="BD854" i="18" s="1"/>
  <c r="BE854" i="18" s="1"/>
  <c r="BF854" i="18" s="1"/>
  <c r="BG854" i="18" s="1"/>
  <c r="BH854" i="18" s="1"/>
  <c r="BI854" i="18" s="1"/>
  <c r="AA450" i="18"/>
  <c r="AB450" i="18" s="1"/>
  <c r="AC450" i="18" s="1"/>
  <c r="AD450" i="18" s="1"/>
  <c r="AE450" i="18" s="1"/>
  <c r="AF450" i="18" s="1"/>
  <c r="AG450" i="18" s="1"/>
  <c r="AH450" i="18" s="1"/>
  <c r="AB686" i="18"/>
  <c r="AI647" i="18"/>
  <c r="AJ647" i="18" s="1"/>
  <c r="AK647" i="18" s="1"/>
  <c r="AF837" i="18"/>
  <c r="AG837" i="18" s="1"/>
  <c r="AH837" i="18" s="1"/>
  <c r="AI837" i="18" s="1"/>
  <c r="AJ837" i="18" s="1"/>
  <c r="AK837" i="18" s="1"/>
  <c r="AL837" i="18" s="1"/>
  <c r="AM837" i="18" s="1"/>
  <c r="AN837" i="18" s="1"/>
  <c r="AO837" i="18" s="1"/>
  <c r="AP837" i="18" s="1"/>
  <c r="AQ837" i="18" s="1"/>
  <c r="AR837" i="18" s="1"/>
  <c r="AS837" i="18" s="1"/>
  <c r="AT837" i="18" s="1"/>
  <c r="AU837" i="18" s="1"/>
  <c r="AV837" i="18" s="1"/>
  <c r="AW837" i="18" s="1"/>
  <c r="AX837" i="18" s="1"/>
  <c r="AY837" i="18" s="1"/>
  <c r="AZ837" i="18" s="1"/>
  <c r="BA837" i="18" s="1"/>
  <c r="BB837" i="18" s="1"/>
  <c r="BC837" i="18" s="1"/>
  <c r="BD837" i="18" s="1"/>
  <c r="BE837" i="18" s="1"/>
  <c r="BF837" i="18" s="1"/>
  <c r="BG837" i="18" s="1"/>
  <c r="BH837" i="18" s="1"/>
  <c r="BI837" i="18" s="1"/>
  <c r="X801" i="18"/>
  <c r="X804" i="18" s="1"/>
  <c r="W804" i="18"/>
  <c r="AG620" i="18"/>
  <c r="AH620" i="18" s="1"/>
  <c r="AI620" i="18" s="1"/>
  <c r="AJ620" i="18" s="1"/>
  <c r="AK620" i="18" s="1"/>
  <c r="AC686" i="18"/>
  <c r="AD686" i="18" s="1"/>
  <c r="AE686" i="18" s="1"/>
  <c r="AF686" i="18" s="1"/>
  <c r="AG686" i="18" s="1"/>
  <c r="AH686" i="18" s="1"/>
  <c r="AI686" i="18" s="1"/>
  <c r="AJ686" i="18" s="1"/>
  <c r="AK686" i="18" s="1"/>
  <c r="AL686" i="18" s="1"/>
  <c r="AM686" i="18" s="1"/>
  <c r="AN686" i="18" s="1"/>
  <c r="AO686" i="18" s="1"/>
  <c r="AP686" i="18" s="1"/>
  <c r="AQ686" i="18" s="1"/>
  <c r="AR686" i="18" s="1"/>
  <c r="AS686" i="18" s="1"/>
  <c r="AT686" i="18" s="1"/>
  <c r="AU686" i="18" s="1"/>
  <c r="AV686" i="18" s="1"/>
  <c r="AW686" i="18" s="1"/>
  <c r="AX686" i="18" s="1"/>
  <c r="AY686" i="18" s="1"/>
  <c r="AZ686" i="18" s="1"/>
  <c r="BA686" i="18" s="1"/>
  <c r="BB686" i="18" s="1"/>
  <c r="BC686" i="18" s="1"/>
  <c r="BD686" i="18" s="1"/>
  <c r="BE686" i="18" s="1"/>
  <c r="BF686" i="18" s="1"/>
  <c r="BG686" i="18" s="1"/>
  <c r="BH686" i="18" s="1"/>
  <c r="BI686" i="18" s="1"/>
  <c r="AE608" i="18"/>
  <c r="AF608" i="18" s="1"/>
  <c r="AG608" i="18" s="1"/>
  <c r="AH608" i="18" s="1"/>
  <c r="AI608" i="18" s="1"/>
  <c r="AJ608" i="18" s="1"/>
  <c r="AK608" i="18" s="1"/>
  <c r="AL608" i="18" s="1"/>
  <c r="AM608" i="18" s="1"/>
  <c r="AN608" i="18" s="1"/>
  <c r="AO608" i="18" s="1"/>
  <c r="AP608" i="18" s="1"/>
  <c r="AQ608" i="18" s="1"/>
  <c r="AR608" i="18" s="1"/>
  <c r="AS608" i="18" s="1"/>
  <c r="AT608" i="18" s="1"/>
  <c r="AU608" i="18" s="1"/>
  <c r="AV608" i="18" s="1"/>
  <c r="AW608" i="18" s="1"/>
  <c r="AX608" i="18" s="1"/>
  <c r="AY608" i="18" s="1"/>
  <c r="AZ608" i="18" s="1"/>
  <c r="BA608" i="18" s="1"/>
  <c r="BB608" i="18" s="1"/>
  <c r="BC608" i="18" s="1"/>
  <c r="BD608" i="18" s="1"/>
  <c r="BE608" i="18" s="1"/>
  <c r="BF608" i="18" s="1"/>
  <c r="BG608" i="18" s="1"/>
  <c r="BH608" i="18" s="1"/>
  <c r="BI608" i="18" s="1"/>
  <c r="AE595" i="18"/>
  <c r="AG738" i="18"/>
  <c r="AH738" i="18" s="1"/>
  <c r="AI738" i="18" s="1"/>
  <c r="AJ738" i="18" s="1"/>
  <c r="Z373" i="18"/>
  <c r="Y374" i="18"/>
  <c r="AR508" i="18"/>
  <c r="Z286" i="18"/>
  <c r="Z187" i="18"/>
  <c r="Y192" i="18"/>
  <c r="Y413" i="18"/>
  <c r="Z403" i="18"/>
  <c r="AA807" i="18"/>
  <c r="Y618" i="18"/>
  <c r="X622" i="18"/>
  <c r="Y739" i="18"/>
  <c r="Z729" i="18"/>
  <c r="W283" i="18"/>
  <c r="X273" i="18"/>
  <c r="AF638" i="18"/>
  <c r="X205" i="18"/>
  <c r="Y195" i="18"/>
  <c r="AD651" i="18"/>
  <c r="AB690" i="18"/>
  <c r="U13" i="24"/>
  <c r="V12" i="24"/>
  <c r="Z685" i="18"/>
  <c r="Y687" i="18"/>
  <c r="Z549" i="18"/>
  <c r="Y557" i="18"/>
  <c r="AC742" i="18"/>
  <c r="X439" i="18"/>
  <c r="Y429" i="18"/>
  <c r="Y452" i="18"/>
  <c r="Z442" i="18"/>
  <c r="L67" i="7943"/>
  <c r="L87" i="7943"/>
  <c r="L51" i="7943"/>
  <c r="Y244" i="18"/>
  <c r="Z234" i="18"/>
  <c r="Z490" i="18"/>
  <c r="AA490" i="18" s="1"/>
  <c r="AB490" i="18" s="1"/>
  <c r="AC490" i="18" s="1"/>
  <c r="AD490" i="18" s="1"/>
  <c r="AE490" i="18" s="1"/>
  <c r="AF490" i="18" s="1"/>
  <c r="AG490" i="18" s="1"/>
  <c r="AH490" i="18" s="1"/>
  <c r="AI490" i="18" s="1"/>
  <c r="AJ490" i="18" s="1"/>
  <c r="AK490" i="18" s="1"/>
  <c r="AL490" i="18" s="1"/>
  <c r="AM490" i="18" s="1"/>
  <c r="AN490" i="18" s="1"/>
  <c r="AO490" i="18" s="1"/>
  <c r="AP490" i="18" s="1"/>
  <c r="AQ490" i="18" s="1"/>
  <c r="AR490" i="18" s="1"/>
  <c r="AS490" i="18" s="1"/>
  <c r="AT490" i="18" s="1"/>
  <c r="AU490" i="18" s="1"/>
  <c r="AV490" i="18" s="1"/>
  <c r="AW490" i="18" s="1"/>
  <c r="AX490" i="18" s="1"/>
  <c r="AY490" i="18" s="1"/>
  <c r="AZ490" i="18" s="1"/>
  <c r="BA490" i="18" s="1"/>
  <c r="BB490" i="18" s="1"/>
  <c r="BC490" i="18" s="1"/>
  <c r="BD490" i="18" s="1"/>
  <c r="BE490" i="18" s="1"/>
  <c r="BF490" i="18" s="1"/>
  <c r="BG490" i="18" s="1"/>
  <c r="BH490" i="18" s="1"/>
  <c r="BI490" i="18" s="1"/>
  <c r="Y843" i="18"/>
  <c r="Z833" i="18"/>
  <c r="AB560" i="18"/>
  <c r="Y596" i="18"/>
  <c r="Z586" i="18"/>
  <c r="V231" i="18"/>
  <c r="W221" i="18"/>
  <c r="X348" i="18"/>
  <c r="Y338" i="18"/>
  <c r="Y823" i="18"/>
  <c r="X830" i="18"/>
  <c r="Z848" i="18"/>
  <c r="Y856" i="18"/>
  <c r="AG612" i="18"/>
  <c r="Z153" i="18"/>
  <c r="AA143" i="18"/>
  <c r="Z270" i="18"/>
  <c r="AA260" i="18"/>
  <c r="AB312" i="18"/>
  <c r="X706" i="18"/>
  <c r="W713" i="18"/>
  <c r="AB377" i="18"/>
  <c r="X361" i="18"/>
  <c r="Y351" i="18"/>
  <c r="Z426" i="18"/>
  <c r="AA416" i="18"/>
  <c r="X627" i="18"/>
  <c r="W635" i="18"/>
  <c r="X288" i="18"/>
  <c r="W296" i="18"/>
  <c r="W583" i="18"/>
  <c r="X573" i="18"/>
  <c r="X791" i="18"/>
  <c r="Y790" i="18"/>
  <c r="BC104" i="18"/>
  <c r="AC625" i="18"/>
  <c r="X309" i="18"/>
  <c r="Y299" i="18"/>
  <c r="AC534" i="18"/>
  <c r="AP511" i="18"/>
  <c r="Y211" i="18"/>
  <c r="X218" i="18"/>
  <c r="CV80" i="7942"/>
  <c r="W47" i="7942"/>
  <c r="DG80" i="7942"/>
  <c r="CV13" i="7942"/>
  <c r="AH47" i="7942"/>
  <c r="AH80" i="7942"/>
  <c r="DG47" i="7942"/>
  <c r="CV47" i="7942"/>
  <c r="L80" i="7942"/>
  <c r="BD80" i="7942"/>
  <c r="AS13" i="7942"/>
  <c r="W13" i="7942"/>
  <c r="DG13" i="7942"/>
  <c r="BZ80" i="7942"/>
  <c r="BD13" i="7942"/>
  <c r="BO47" i="7942"/>
  <c r="L13" i="7942"/>
  <c r="CK13" i="7942"/>
  <c r="CK47" i="7942"/>
  <c r="AS47" i="7942"/>
  <c r="BZ13" i="7942"/>
  <c r="CK80" i="7942"/>
  <c r="BD47" i="7942"/>
  <c r="BZ47" i="7942"/>
  <c r="BO13" i="7942"/>
  <c r="W80" i="7942"/>
  <c r="AS80" i="7942"/>
  <c r="BO80" i="7942"/>
  <c r="AH13" i="7942"/>
  <c r="L47" i="7942"/>
  <c r="Y668" i="18"/>
  <c r="X674" i="18"/>
  <c r="Y379" i="18"/>
  <c r="X387" i="18"/>
  <c r="Y319" i="18"/>
  <c r="X322" i="18"/>
  <c r="Z257" i="18"/>
  <c r="AA247" i="18"/>
  <c r="AF716" i="18"/>
  <c r="X869" i="18"/>
  <c r="Y859" i="18"/>
  <c r="AC703" i="18"/>
  <c r="AZ113" i="18"/>
  <c r="AY114" i="18"/>
  <c r="AA778" i="18"/>
  <c r="AB768" i="18"/>
  <c r="AB208" i="18"/>
  <c r="W492" i="18"/>
  <c r="X487" i="18"/>
  <c r="AD482" i="18"/>
  <c r="M4" i="7945"/>
  <c r="M4" i="24"/>
  <c r="X752" i="18"/>
  <c r="Y749" i="18"/>
  <c r="AE677" i="18"/>
  <c r="Y179" i="18"/>
  <c r="Z169" i="18"/>
  <c r="AA855" i="18"/>
  <c r="AB855" i="18" s="1"/>
  <c r="AC855" i="18" s="1"/>
  <c r="AD855" i="18" s="1"/>
  <c r="AE855" i="18" s="1"/>
  <c r="AF855" i="18" s="1"/>
  <c r="AG855" i="18" s="1"/>
  <c r="AH855" i="18" s="1"/>
  <c r="AI855" i="18" s="1"/>
  <c r="AJ855" i="18" s="1"/>
  <c r="AK855" i="18" s="1"/>
  <c r="AL855" i="18" s="1"/>
  <c r="AM855" i="18" s="1"/>
  <c r="AN855" i="18" s="1"/>
  <c r="AO855" i="18" s="1"/>
  <c r="AP855" i="18" s="1"/>
  <c r="AQ855" i="18" s="1"/>
  <c r="AR855" i="18" s="1"/>
  <c r="AS855" i="18" s="1"/>
  <c r="AT855" i="18" s="1"/>
  <c r="AU855" i="18" s="1"/>
  <c r="AV855" i="18" s="1"/>
  <c r="AW855" i="18" s="1"/>
  <c r="AX855" i="18" s="1"/>
  <c r="AY855" i="18" s="1"/>
  <c r="AZ855" i="18" s="1"/>
  <c r="BA855" i="18" s="1"/>
  <c r="BB855" i="18" s="1"/>
  <c r="BC855" i="18" s="1"/>
  <c r="BD855" i="18" s="1"/>
  <c r="BE855" i="18" s="1"/>
  <c r="BF855" i="18" s="1"/>
  <c r="BG855" i="18" s="1"/>
  <c r="BH855" i="18" s="1"/>
  <c r="BI855" i="18" s="1"/>
  <c r="Y718" i="18"/>
  <c r="X726" i="18"/>
  <c r="AD846" i="18"/>
  <c r="AB683" i="18"/>
  <c r="AB781" i="18"/>
  <c r="AC781" i="18" s="1"/>
  <c r="AM514" i="18"/>
  <c r="AL518" i="18"/>
  <c r="AD599" i="18"/>
  <c r="AB758" i="18"/>
  <c r="AA765" i="18"/>
  <c r="Y655" i="18"/>
  <c r="X661" i="18"/>
  <c r="AA332" i="18"/>
  <c r="Z335" i="18"/>
  <c r="AD130" i="18"/>
  <c r="Z531" i="18"/>
  <c r="AA521" i="18"/>
  <c r="Y127" i="18"/>
  <c r="Z117" i="18"/>
  <c r="AA400" i="18"/>
  <c r="AB390" i="18"/>
  <c r="Y816" i="18"/>
  <c r="X817" i="18"/>
  <c r="AB794" i="18"/>
  <c r="AE547" i="18"/>
  <c r="Y604" i="18"/>
  <c r="X609" i="18"/>
  <c r="AB821" i="18"/>
  <c r="M4" i="7942"/>
  <c r="H312" i="1"/>
  <c r="N312" i="1" s="1"/>
  <c r="T312" i="1" s="1"/>
  <c r="Z312" i="1" s="1"/>
  <c r="AF312" i="1" s="1"/>
  <c r="AL312" i="1" s="1"/>
  <c r="AR312" i="1" s="1"/>
  <c r="AX312" i="1" s="1"/>
  <c r="BD312" i="1" s="1"/>
  <c r="BJ312" i="1" s="1"/>
  <c r="M4" i="7946"/>
  <c r="M4" i="7943"/>
  <c r="AA664" i="18"/>
  <c r="AB364" i="18"/>
  <c r="AA136" i="18"/>
  <c r="Z140" i="18"/>
  <c r="AE614" i="18"/>
  <c r="AA640" i="18"/>
  <c r="Z648" i="18"/>
  <c r="Z166" i="18"/>
  <c r="AA156" i="18"/>
  <c r="AD182" i="18"/>
  <c r="AD755" i="18"/>
  <c r="N74" i="1"/>
  <c r="N108" i="1" s="1"/>
  <c r="N4" i="2"/>
  <c r="N221" i="1"/>
  <c r="N223" i="1" s="1"/>
  <c r="N142" i="1"/>
  <c r="N208" i="1"/>
  <c r="N190" i="1"/>
  <c r="N4" i="18"/>
  <c r="O40" i="1"/>
  <c r="N176" i="1"/>
  <c r="N241" i="1"/>
  <c r="AC829" i="18"/>
  <c r="AD829" i="18" s="1"/>
  <c r="AE829" i="18" s="1"/>
  <c r="AF829" i="18" s="1"/>
  <c r="AG829" i="18" s="1"/>
  <c r="AH829" i="18" s="1"/>
  <c r="AI829" i="18" s="1"/>
  <c r="AJ829" i="18" s="1"/>
  <c r="AK829" i="18" s="1"/>
  <c r="AL829" i="18" s="1"/>
  <c r="AM829" i="18" s="1"/>
  <c r="AN829" i="18" s="1"/>
  <c r="AO829" i="18" s="1"/>
  <c r="AP829" i="18" s="1"/>
  <c r="AQ829" i="18" s="1"/>
  <c r="AR829" i="18" s="1"/>
  <c r="AS829" i="18" s="1"/>
  <c r="AT829" i="18" s="1"/>
  <c r="AU829" i="18" s="1"/>
  <c r="AV829" i="18" s="1"/>
  <c r="AW829" i="18" s="1"/>
  <c r="AX829" i="18" s="1"/>
  <c r="AY829" i="18" s="1"/>
  <c r="AZ829" i="18" s="1"/>
  <c r="BA829" i="18" s="1"/>
  <c r="BB829" i="18" s="1"/>
  <c r="BC829" i="18" s="1"/>
  <c r="BD829" i="18" s="1"/>
  <c r="BE829" i="18" s="1"/>
  <c r="BF829" i="18" s="1"/>
  <c r="BG829" i="18" s="1"/>
  <c r="BH829" i="18" s="1"/>
  <c r="BI829" i="18" s="1"/>
  <c r="AC325" i="18"/>
  <c r="AA581" i="18"/>
  <c r="AD820" i="18"/>
  <c r="X540" i="18"/>
  <c r="W544" i="18"/>
  <c r="X566" i="18"/>
  <c r="W570" i="18"/>
  <c r="AA699" i="18" l="1"/>
  <c r="AB699" i="18" s="1"/>
  <c r="AC699" i="18" s="1"/>
  <c r="AD699" i="18" s="1"/>
  <c r="AE699" i="18" s="1"/>
  <c r="AF699" i="18" s="1"/>
  <c r="AG699" i="18" s="1"/>
  <c r="AH699" i="18" s="1"/>
  <c r="AI699" i="18" s="1"/>
  <c r="AJ699" i="18" s="1"/>
  <c r="AK699" i="18" s="1"/>
  <c r="AL699" i="18" s="1"/>
  <c r="AM699" i="18" s="1"/>
  <c r="AN699" i="18" s="1"/>
  <c r="AO699" i="18" s="1"/>
  <c r="AP699" i="18" s="1"/>
  <c r="AQ699" i="18" s="1"/>
  <c r="AR699" i="18" s="1"/>
  <c r="AS699" i="18" s="1"/>
  <c r="AT699" i="18" s="1"/>
  <c r="AU699" i="18" s="1"/>
  <c r="AV699" i="18" s="1"/>
  <c r="AW699" i="18" s="1"/>
  <c r="AX699" i="18" s="1"/>
  <c r="AY699" i="18" s="1"/>
  <c r="AZ699" i="18" s="1"/>
  <c r="BA699" i="18" s="1"/>
  <c r="BB699" i="18" s="1"/>
  <c r="BC699" i="18" s="1"/>
  <c r="BD699" i="18" s="1"/>
  <c r="BE699" i="18" s="1"/>
  <c r="BF699" i="18" s="1"/>
  <c r="BG699" i="18" s="1"/>
  <c r="BH699" i="18" s="1"/>
  <c r="BI699" i="18" s="1"/>
  <c r="AL647" i="18"/>
  <c r="AM647" i="18" s="1"/>
  <c r="AN647" i="18" s="1"/>
  <c r="AO647" i="18" s="1"/>
  <c r="AP647" i="18" s="1"/>
  <c r="AQ647" i="18" s="1"/>
  <c r="AR647" i="18" s="1"/>
  <c r="AS647" i="18" s="1"/>
  <c r="AT647" i="18" s="1"/>
  <c r="AU647" i="18" s="1"/>
  <c r="AV647" i="18" s="1"/>
  <c r="AW647" i="18" s="1"/>
  <c r="AX647" i="18" s="1"/>
  <c r="AY647" i="18" s="1"/>
  <c r="AZ647" i="18" s="1"/>
  <c r="BA647" i="18" s="1"/>
  <c r="BB647" i="18" s="1"/>
  <c r="BC647" i="18" s="1"/>
  <c r="BD647" i="18" s="1"/>
  <c r="BE647" i="18" s="1"/>
  <c r="BF647" i="18" s="1"/>
  <c r="BG647" i="18" s="1"/>
  <c r="BH647" i="18" s="1"/>
  <c r="BI647" i="18" s="1"/>
  <c r="Y801" i="18"/>
  <c r="Y804" i="18" s="1"/>
  <c r="W465" i="18"/>
  <c r="X455" i="18"/>
  <c r="AF660" i="18"/>
  <c r="AG660" i="18" s="1"/>
  <c r="AL620" i="18"/>
  <c r="AI450" i="18"/>
  <c r="AJ450" i="18" s="1"/>
  <c r="AK450" i="18" s="1"/>
  <c r="AL450" i="18" s="1"/>
  <c r="AM450" i="18" s="1"/>
  <c r="AN450" i="18" s="1"/>
  <c r="AO450" i="18" s="1"/>
  <c r="AP450" i="18" s="1"/>
  <c r="AQ450" i="18" s="1"/>
  <c r="AR450" i="18" s="1"/>
  <c r="AS450" i="18" s="1"/>
  <c r="AT450" i="18" s="1"/>
  <c r="AU450" i="18" s="1"/>
  <c r="AV450" i="18" s="1"/>
  <c r="AW450" i="18" s="1"/>
  <c r="AX450" i="18" s="1"/>
  <c r="AY450" i="18" s="1"/>
  <c r="AZ450" i="18" s="1"/>
  <c r="BA450" i="18" s="1"/>
  <c r="BB450" i="18" s="1"/>
  <c r="BC450" i="18" s="1"/>
  <c r="BD450" i="18" s="1"/>
  <c r="BE450" i="18" s="1"/>
  <c r="BF450" i="18" s="1"/>
  <c r="BG450" i="18" s="1"/>
  <c r="BH450" i="18" s="1"/>
  <c r="BI450" i="18" s="1"/>
  <c r="AK738" i="18"/>
  <c r="AL738" i="18" s="1"/>
  <c r="AM738" i="18" s="1"/>
  <c r="AN738" i="18" s="1"/>
  <c r="AO738" i="18" s="1"/>
  <c r="AP738" i="18" s="1"/>
  <c r="AQ738" i="18" s="1"/>
  <c r="AR738" i="18" s="1"/>
  <c r="AS738" i="18" s="1"/>
  <c r="AT738" i="18" s="1"/>
  <c r="AU738" i="18" s="1"/>
  <c r="AV738" i="18" s="1"/>
  <c r="AW738" i="18" s="1"/>
  <c r="AX738" i="18" s="1"/>
  <c r="AY738" i="18" s="1"/>
  <c r="AZ738" i="18" s="1"/>
  <c r="BA738" i="18" s="1"/>
  <c r="BB738" i="18" s="1"/>
  <c r="BC738" i="18" s="1"/>
  <c r="BD738" i="18" s="1"/>
  <c r="BE738" i="18" s="1"/>
  <c r="BF738" i="18" s="1"/>
  <c r="BG738" i="18" s="1"/>
  <c r="BH738" i="18" s="1"/>
  <c r="BI738" i="18" s="1"/>
  <c r="AF595" i="18"/>
  <c r="AG595" i="18" s="1"/>
  <c r="AH595" i="18" s="1"/>
  <c r="AI595" i="18" s="1"/>
  <c r="AJ595" i="18" s="1"/>
  <c r="AD781" i="18"/>
  <c r="AD325" i="18"/>
  <c r="AH612" i="18"/>
  <c r="Z843" i="18"/>
  <c r="AA833" i="18"/>
  <c r="X283" i="18"/>
  <c r="Y273" i="18"/>
  <c r="Z413" i="18"/>
  <c r="AA403" i="18"/>
  <c r="AA166" i="18"/>
  <c r="AB156" i="18"/>
  <c r="Z604" i="18"/>
  <c r="Y609" i="18"/>
  <c r="AE599" i="18"/>
  <c r="AF677" i="18"/>
  <c r="Y487" i="18"/>
  <c r="X492" i="18"/>
  <c r="AA257" i="18"/>
  <c r="AB247" i="18"/>
  <c r="Y309" i="18"/>
  <c r="Z299" i="18"/>
  <c r="Y573" i="18"/>
  <c r="X583" i="18"/>
  <c r="Y627" i="18"/>
  <c r="X635" i="18"/>
  <c r="Y706" i="18"/>
  <c r="X713" i="18"/>
  <c r="W231" i="18"/>
  <c r="X221" i="18"/>
  <c r="AE651" i="18"/>
  <c r="M67" i="7943"/>
  <c r="M87" i="7943"/>
  <c r="M51" i="7943"/>
  <c r="AF547" i="18"/>
  <c r="BA113" i="18"/>
  <c r="AZ114" i="18"/>
  <c r="AA426" i="18"/>
  <c r="AB416" i="18"/>
  <c r="AC312" i="18"/>
  <c r="AA549" i="18"/>
  <c r="Z557" i="18"/>
  <c r="Z739" i="18"/>
  <c r="AA729" i="18"/>
  <c r="AA373" i="18"/>
  <c r="Z374" i="18"/>
  <c r="AB136" i="18"/>
  <c r="AA140" i="18"/>
  <c r="AB400" i="18"/>
  <c r="AC390" i="18"/>
  <c r="N4" i="7942"/>
  <c r="N4" i="7943"/>
  <c r="N4" i="7946"/>
  <c r="I312" i="1"/>
  <c r="O312" i="1" s="1"/>
  <c r="U312" i="1" s="1"/>
  <c r="AA312" i="1" s="1"/>
  <c r="AG312" i="1" s="1"/>
  <c r="AM312" i="1" s="1"/>
  <c r="AS312" i="1" s="1"/>
  <c r="AY312" i="1" s="1"/>
  <c r="BE312" i="1" s="1"/>
  <c r="BK312" i="1" s="1"/>
  <c r="AC364" i="18"/>
  <c r="AB332" i="18"/>
  <c r="AA335" i="18"/>
  <c r="AN514" i="18"/>
  <c r="AM518" i="18"/>
  <c r="Z718" i="18"/>
  <c r="Y726" i="18"/>
  <c r="Z749" i="18"/>
  <c r="Y752" i="18"/>
  <c r="AC208" i="18"/>
  <c r="AD703" i="18"/>
  <c r="Z668" i="18"/>
  <c r="Y674" i="18"/>
  <c r="Z211" i="18"/>
  <c r="Y218" i="18"/>
  <c r="AD625" i="18"/>
  <c r="AA848" i="18"/>
  <c r="Z856" i="18"/>
  <c r="Z596" i="18"/>
  <c r="AA586" i="18"/>
  <c r="Z452" i="18"/>
  <c r="AA442" i="18"/>
  <c r="AA187" i="18"/>
  <c r="Z192" i="18"/>
  <c r="Z127" i="18"/>
  <c r="AA117" i="18"/>
  <c r="Z319" i="18"/>
  <c r="Y322" i="18"/>
  <c r="Y361" i="18"/>
  <c r="Z351" i="18"/>
  <c r="AA270" i="18"/>
  <c r="AB260" i="18"/>
  <c r="AA685" i="18"/>
  <c r="Z687" i="18"/>
  <c r="Y205" i="18"/>
  <c r="Z195" i="18"/>
  <c r="AA286" i="18"/>
  <c r="Y566" i="18"/>
  <c r="X570" i="18"/>
  <c r="AE130" i="18"/>
  <c r="O176" i="1"/>
  <c r="O241" i="1"/>
  <c r="O142" i="1"/>
  <c r="O4" i="2"/>
  <c r="O190" i="1"/>
  <c r="O74" i="1"/>
  <c r="O108" i="1" s="1"/>
  <c r="O4" i="18"/>
  <c r="O221" i="1"/>
  <c r="O223" i="1" s="1"/>
  <c r="O208" i="1"/>
  <c r="P40" i="1"/>
  <c r="BE80" i="7942"/>
  <c r="CA13" i="7942"/>
  <c r="BE47" i="7942"/>
  <c r="AI13" i="7942"/>
  <c r="BP13" i="7942"/>
  <c r="CA80" i="7942"/>
  <c r="X47" i="7942"/>
  <c r="DH47" i="7942"/>
  <c r="M80" i="7942"/>
  <c r="DH13" i="7942"/>
  <c r="M47" i="7942"/>
  <c r="DH80" i="7942"/>
  <c r="CW13" i="7942"/>
  <c r="X13" i="7942"/>
  <c r="X80" i="7942"/>
  <c r="BE13" i="7942"/>
  <c r="CW47" i="7942"/>
  <c r="AT13" i="7942"/>
  <c r="CA47" i="7942"/>
  <c r="AI47" i="7942"/>
  <c r="AT47" i="7942"/>
  <c r="BP47" i="7942"/>
  <c r="AT80" i="7942"/>
  <c r="BP80" i="7942"/>
  <c r="CL80" i="7942"/>
  <c r="AI80" i="7942"/>
  <c r="CW80" i="7942"/>
  <c r="CL47" i="7942"/>
  <c r="CL13" i="7942"/>
  <c r="M13" i="7942"/>
  <c r="Z655" i="18"/>
  <c r="Y661" i="18"/>
  <c r="AB778" i="18"/>
  <c r="AC768" i="18"/>
  <c r="Y869" i="18"/>
  <c r="Z859" i="18"/>
  <c r="AQ511" i="18"/>
  <c r="BD104" i="18"/>
  <c r="Y288" i="18"/>
  <c r="X296" i="18"/>
  <c r="Z823" i="18"/>
  <c r="Y830" i="18"/>
  <c r="Y439" i="18"/>
  <c r="Z429" i="18"/>
  <c r="V13" i="24"/>
  <c r="W12" i="24"/>
  <c r="Z618" i="18"/>
  <c r="Y622" i="18"/>
  <c r="AE846" i="18"/>
  <c r="AE820" i="18"/>
  <c r="AE755" i="18"/>
  <c r="N4" i="7945"/>
  <c r="N4" i="24"/>
  <c r="AF614" i="18"/>
  <c r="AB664" i="18"/>
  <c r="AA531" i="18"/>
  <c r="AB521" i="18"/>
  <c r="AC683" i="18"/>
  <c r="Z379" i="18"/>
  <c r="Y387" i="18"/>
  <c r="AC377" i="18"/>
  <c r="AA153" i="18"/>
  <c r="AB143" i="18"/>
  <c r="AC560" i="18"/>
  <c r="Z244" i="18"/>
  <c r="AA234" i="18"/>
  <c r="AG638" i="18"/>
  <c r="Y540" i="18"/>
  <c r="X544" i="18"/>
  <c r="AB640" i="18"/>
  <c r="AA648" i="18"/>
  <c r="AC794" i="18"/>
  <c r="AB581" i="18"/>
  <c r="AC581" i="18" s="1"/>
  <c r="AD581" i="18" s="1"/>
  <c r="AE581" i="18" s="1"/>
  <c r="AF581" i="18" s="1"/>
  <c r="AG581" i="18" s="1"/>
  <c r="AH581" i="18" s="1"/>
  <c r="AI581" i="18" s="1"/>
  <c r="AJ581" i="18" s="1"/>
  <c r="AK581" i="18" s="1"/>
  <c r="AL581" i="18" s="1"/>
  <c r="AM581" i="18" s="1"/>
  <c r="AN581" i="18" s="1"/>
  <c r="AO581" i="18" s="1"/>
  <c r="AP581" i="18" s="1"/>
  <c r="AQ581" i="18" s="1"/>
  <c r="AR581" i="18" s="1"/>
  <c r="AS581" i="18" s="1"/>
  <c r="AT581" i="18" s="1"/>
  <c r="AU581" i="18" s="1"/>
  <c r="AV581" i="18" s="1"/>
  <c r="AW581" i="18" s="1"/>
  <c r="AX581" i="18" s="1"/>
  <c r="AY581" i="18" s="1"/>
  <c r="AZ581" i="18" s="1"/>
  <c r="BA581" i="18" s="1"/>
  <c r="BB581" i="18" s="1"/>
  <c r="BC581" i="18" s="1"/>
  <c r="BD581" i="18" s="1"/>
  <c r="BE581" i="18" s="1"/>
  <c r="BF581" i="18" s="1"/>
  <c r="BG581" i="18" s="1"/>
  <c r="BH581" i="18" s="1"/>
  <c r="BI581" i="18" s="1"/>
  <c r="AE182" i="18"/>
  <c r="AC821" i="18"/>
  <c r="Z816" i="18"/>
  <c r="Y817" i="18"/>
  <c r="AC758" i="18"/>
  <c r="AB765" i="18"/>
  <c r="Z179" i="18"/>
  <c r="AA169" i="18"/>
  <c r="AE482" i="18"/>
  <c r="AG716" i="18"/>
  <c r="AD534" i="18"/>
  <c r="Y791" i="18"/>
  <c r="Z790" i="18"/>
  <c r="Y348" i="18"/>
  <c r="Z338" i="18"/>
  <c r="AD742" i="18"/>
  <c r="AB700" i="18"/>
  <c r="AC690" i="18"/>
  <c r="AB807" i="18"/>
  <c r="AS508" i="18"/>
  <c r="AA700" i="18" l="1"/>
  <c r="Z801" i="18"/>
  <c r="Z804" i="18" s="1"/>
  <c r="AH660" i="18"/>
  <c r="AI660" i="18" s="1"/>
  <c r="AJ660" i="18" s="1"/>
  <c r="AK660" i="18" s="1"/>
  <c r="AL660" i="18" s="1"/>
  <c r="AM660" i="18" s="1"/>
  <c r="AN660" i="18" s="1"/>
  <c r="AO660" i="18" s="1"/>
  <c r="AP660" i="18" s="1"/>
  <c r="AQ660" i="18" s="1"/>
  <c r="AR660" i="18" s="1"/>
  <c r="AS660" i="18" s="1"/>
  <c r="AT660" i="18" s="1"/>
  <c r="AU660" i="18" s="1"/>
  <c r="AV660" i="18" s="1"/>
  <c r="AW660" i="18" s="1"/>
  <c r="AX660" i="18" s="1"/>
  <c r="AY660" i="18" s="1"/>
  <c r="AZ660" i="18" s="1"/>
  <c r="BA660" i="18" s="1"/>
  <c r="BB660" i="18" s="1"/>
  <c r="BC660" i="18" s="1"/>
  <c r="BD660" i="18" s="1"/>
  <c r="BE660" i="18" s="1"/>
  <c r="BF660" i="18" s="1"/>
  <c r="BG660" i="18" s="1"/>
  <c r="BH660" i="18" s="1"/>
  <c r="BI660" i="18" s="1"/>
  <c r="X465" i="18"/>
  <c r="Y455" i="18"/>
  <c r="AM620" i="18"/>
  <c r="AN620" i="18" s="1"/>
  <c r="AO620" i="18" s="1"/>
  <c r="AP620" i="18" s="1"/>
  <c r="AQ620" i="18" s="1"/>
  <c r="AR620" i="18" s="1"/>
  <c r="AS620" i="18" s="1"/>
  <c r="AT620" i="18" s="1"/>
  <c r="AU620" i="18" s="1"/>
  <c r="AV620" i="18" s="1"/>
  <c r="AW620" i="18" s="1"/>
  <c r="AX620" i="18" s="1"/>
  <c r="AY620" i="18" s="1"/>
  <c r="AZ620" i="18" s="1"/>
  <c r="BA620" i="18" s="1"/>
  <c r="BB620" i="18" s="1"/>
  <c r="BC620" i="18" s="1"/>
  <c r="BD620" i="18" s="1"/>
  <c r="BE620" i="18" s="1"/>
  <c r="BF620" i="18" s="1"/>
  <c r="BG620" i="18" s="1"/>
  <c r="BH620" i="18" s="1"/>
  <c r="BI620" i="18" s="1"/>
  <c r="AK595" i="18"/>
  <c r="AL595" i="18" s="1"/>
  <c r="AM595" i="18" s="1"/>
  <c r="AN595" i="18" s="1"/>
  <c r="AO595" i="18" s="1"/>
  <c r="AP595" i="18" s="1"/>
  <c r="AQ595" i="18" s="1"/>
  <c r="AR595" i="18" s="1"/>
  <c r="AS595" i="18" s="1"/>
  <c r="AT595" i="18" s="1"/>
  <c r="AU595" i="18" s="1"/>
  <c r="AV595" i="18" s="1"/>
  <c r="AW595" i="18" s="1"/>
  <c r="AX595" i="18" s="1"/>
  <c r="AY595" i="18" s="1"/>
  <c r="AZ595" i="18" s="1"/>
  <c r="BA595" i="18" s="1"/>
  <c r="BB595" i="18" s="1"/>
  <c r="BC595" i="18" s="1"/>
  <c r="BD595" i="18" s="1"/>
  <c r="BE595" i="18" s="1"/>
  <c r="BF595" i="18" s="1"/>
  <c r="BG595" i="18" s="1"/>
  <c r="BH595" i="18" s="1"/>
  <c r="BI595" i="18" s="1"/>
  <c r="AF599" i="18"/>
  <c r="AD377" i="18"/>
  <c r="X12" i="24"/>
  <c r="W13" i="24"/>
  <c r="AF820" i="18"/>
  <c r="AC700" i="18"/>
  <c r="AD690" i="18"/>
  <c r="AD683" i="18"/>
  <c r="Z288" i="18"/>
  <c r="Y296" i="18"/>
  <c r="AC332" i="18"/>
  <c r="AB335" i="18"/>
  <c r="Y283" i="18"/>
  <c r="Z273" i="18"/>
  <c r="AD794" i="18"/>
  <c r="AA655" i="18"/>
  <c r="Z661" i="18"/>
  <c r="AA211" i="18"/>
  <c r="Z218" i="18"/>
  <c r="AA749" i="18"/>
  <c r="Z752" i="18"/>
  <c r="AD312" i="18"/>
  <c r="Z706" i="18"/>
  <c r="Y713" i="18"/>
  <c r="AA604" i="18"/>
  <c r="Z609" i="18"/>
  <c r="AA843" i="18"/>
  <c r="AB833" i="18"/>
  <c r="Z348" i="18"/>
  <c r="AA338" i="18"/>
  <c r="AF482" i="18"/>
  <c r="AA244" i="18"/>
  <c r="AB234" i="18"/>
  <c r="Z439" i="18"/>
  <c r="AA429" i="18"/>
  <c r="AF130" i="18"/>
  <c r="AA319" i="18"/>
  <c r="Z322" i="18"/>
  <c r="AA596" i="18"/>
  <c r="AB586" i="18"/>
  <c r="AC136" i="18"/>
  <c r="AB140" i="18"/>
  <c r="AB166" i="18"/>
  <c r="AC156" i="18"/>
  <c r="AB153" i="18"/>
  <c r="AC143" i="18"/>
  <c r="AD758" i="18"/>
  <c r="AC765" i="18"/>
  <c r="AF755" i="18"/>
  <c r="AB187" i="18"/>
  <c r="AA192" i="18"/>
  <c r="AG547" i="18"/>
  <c r="AH638" i="18"/>
  <c r="AA452" i="18"/>
  <c r="AB442" i="18"/>
  <c r="AT508" i="18"/>
  <c r="AA127" i="18"/>
  <c r="AB117" i="18"/>
  <c r="AE534" i="18"/>
  <c r="AC778" i="18"/>
  <c r="AD768" i="18"/>
  <c r="P241" i="1"/>
  <c r="P221" i="1"/>
  <c r="P223" i="1" s="1"/>
  <c r="P142" i="1"/>
  <c r="P190" i="1"/>
  <c r="P208" i="1"/>
  <c r="P4" i="18"/>
  <c r="P4" i="2"/>
  <c r="P176" i="1"/>
  <c r="P74" i="1"/>
  <c r="P108" i="1" s="1"/>
  <c r="AC664" i="18"/>
  <c r="AD821" i="18"/>
  <c r="AR511" i="18"/>
  <c r="AB685" i="18"/>
  <c r="AA687" i="18"/>
  <c r="AA668" i="18"/>
  <c r="Z674" i="18"/>
  <c r="AC807" i="18"/>
  <c r="AA179" i="18"/>
  <c r="AB169" i="18"/>
  <c r="AA379" i="18"/>
  <c r="Z387" i="18"/>
  <c r="AG614" i="18"/>
  <c r="AF846" i="18"/>
  <c r="Z869" i="18"/>
  <c r="AA859" i="18"/>
  <c r="AE703" i="18"/>
  <c r="N51" i="7943"/>
  <c r="N67" i="7943"/>
  <c r="N87" i="7943"/>
  <c r="AB373" i="18"/>
  <c r="AA374" i="18"/>
  <c r="AF651" i="18"/>
  <c r="AG677" i="18"/>
  <c r="AB531" i="18"/>
  <c r="AC521" i="18"/>
  <c r="AC400" i="18"/>
  <c r="AD390" i="18"/>
  <c r="AH716" i="18"/>
  <c r="BE104" i="18"/>
  <c r="Z205" i="18"/>
  <c r="AA195" i="18"/>
  <c r="AA816" i="18"/>
  <c r="Z817" i="18"/>
  <c r="AC640" i="18"/>
  <c r="AB648" i="18"/>
  <c r="O4" i="7945"/>
  <c r="O4" i="24"/>
  <c r="AA718" i="18"/>
  <c r="Z726" i="18"/>
  <c r="AB426" i="18"/>
  <c r="AC416" i="18"/>
  <c r="Z627" i="18"/>
  <c r="Y635" i="18"/>
  <c r="Z487" i="18"/>
  <c r="Y492" i="18"/>
  <c r="AI612" i="18"/>
  <c r="AA790" i="18"/>
  <c r="Z791" i="18"/>
  <c r="AF182" i="18"/>
  <c r="Z540" i="18"/>
  <c r="Y544" i="18"/>
  <c r="AD560" i="18"/>
  <c r="AA823" i="18"/>
  <c r="Z830" i="18"/>
  <c r="Z566" i="18"/>
  <c r="Y570" i="18"/>
  <c r="AB270" i="18"/>
  <c r="AC260" i="18"/>
  <c r="AB848" i="18"/>
  <c r="AA856" i="18"/>
  <c r="AO514" i="18"/>
  <c r="AN518" i="18"/>
  <c r="BF80" i="7942"/>
  <c r="AU80" i="7942"/>
  <c r="BQ13" i="7942"/>
  <c r="AU13" i="7942"/>
  <c r="DI80" i="7942"/>
  <c r="CX80" i="7942"/>
  <c r="CX13" i="7942"/>
  <c r="DI47" i="7942"/>
  <c r="BQ80" i="7942"/>
  <c r="Y47" i="7942"/>
  <c r="Y80" i="7942"/>
  <c r="CB80" i="7942"/>
  <c r="CM47" i="7942"/>
  <c r="AU47" i="7942"/>
  <c r="N80" i="7942"/>
  <c r="CB47" i="7942"/>
  <c r="N47" i="7942"/>
  <c r="DI13" i="7942"/>
  <c r="CM80" i="7942"/>
  <c r="AJ13" i="7942"/>
  <c r="BQ47" i="7942"/>
  <c r="BF13" i="7942"/>
  <c r="CB13" i="7942"/>
  <c r="BF47" i="7942"/>
  <c r="CX47" i="7942"/>
  <c r="AJ80" i="7942"/>
  <c r="CM13" i="7942"/>
  <c r="Y13" i="7942"/>
  <c r="AJ47" i="7942"/>
  <c r="N13" i="7942"/>
  <c r="AA739" i="18"/>
  <c r="AB729" i="18"/>
  <c r="Z573" i="18"/>
  <c r="Y583" i="18"/>
  <c r="AA413" i="18"/>
  <c r="AB403" i="18"/>
  <c r="AE325" i="18"/>
  <c r="AB286" i="18"/>
  <c r="AE625" i="18"/>
  <c r="AD208" i="18"/>
  <c r="BB113" i="18"/>
  <c r="BA114" i="18"/>
  <c r="X231" i="18"/>
  <c r="Y221" i="18"/>
  <c r="Z309" i="18"/>
  <c r="AA299" i="18"/>
  <c r="AA618" i="18"/>
  <c r="Z622" i="18"/>
  <c r="Z361" i="18"/>
  <c r="AA351" i="18"/>
  <c r="AE742" i="18"/>
  <c r="O4" i="7943"/>
  <c r="O4" i="7942"/>
  <c r="O4" i="7946"/>
  <c r="J312" i="1"/>
  <c r="P312" i="1" s="1"/>
  <c r="V312" i="1" s="1"/>
  <c r="AB312" i="1" s="1"/>
  <c r="AH312" i="1" s="1"/>
  <c r="AN312" i="1" s="1"/>
  <c r="AT312" i="1" s="1"/>
  <c r="AZ312" i="1" s="1"/>
  <c r="BF312" i="1" s="1"/>
  <c r="BL312" i="1" s="1"/>
  <c r="AD364" i="18"/>
  <c r="AB549" i="18"/>
  <c r="AA557" i="18"/>
  <c r="AB257" i="18"/>
  <c r="AC247" i="18"/>
  <c r="AE781" i="18"/>
  <c r="AA801" i="18" l="1"/>
  <c r="AB801" i="18" s="1"/>
  <c r="Y465" i="18"/>
  <c r="Z455" i="18"/>
  <c r="AG482" i="18"/>
  <c r="AC286" i="18"/>
  <c r="DJ47" i="7942"/>
  <c r="CY47" i="7942"/>
  <c r="Z13" i="7942"/>
  <c r="BR80" i="7942"/>
  <c r="CC47" i="7942"/>
  <c r="O13" i="7942"/>
  <c r="AV47" i="7942"/>
  <c r="AK80" i="7942"/>
  <c r="CN13" i="7942"/>
  <c r="O80" i="7942"/>
  <c r="BG13" i="7942"/>
  <c r="BG47" i="7942"/>
  <c r="Z80" i="7942"/>
  <c r="AV13" i="7942"/>
  <c r="CC13" i="7942"/>
  <c r="Z47" i="7942"/>
  <c r="CN47" i="7942"/>
  <c r="DJ80" i="7942"/>
  <c r="CN80" i="7942"/>
  <c r="DJ13" i="7942"/>
  <c r="BG80" i="7942"/>
  <c r="AK47" i="7942"/>
  <c r="CY13" i="7942"/>
  <c r="CY80" i="7942"/>
  <c r="BR13" i="7942"/>
  <c r="BR47" i="7942"/>
  <c r="AV80" i="7942"/>
  <c r="AK13" i="7942"/>
  <c r="CC80" i="7942"/>
  <c r="O47" i="7942"/>
  <c r="AC270" i="18"/>
  <c r="AD260" i="18"/>
  <c r="AD807" i="18"/>
  <c r="AE758" i="18"/>
  <c r="AD765" i="18"/>
  <c r="AB596" i="18"/>
  <c r="AC586" i="18"/>
  <c r="AB244" i="18"/>
  <c r="AC234" i="18"/>
  <c r="AG820" i="18"/>
  <c r="AC257" i="18"/>
  <c r="AD247" i="18"/>
  <c r="AC373" i="18"/>
  <c r="AB374" i="18"/>
  <c r="AG846" i="18"/>
  <c r="O67" i="7943"/>
  <c r="O87" i="7943"/>
  <c r="O51" i="7943"/>
  <c r="AA309" i="18"/>
  <c r="AB299" i="18"/>
  <c r="AF625" i="18"/>
  <c r="AA540" i="18"/>
  <c r="Z544" i="18"/>
  <c r="AA487" i="18"/>
  <c r="Z492" i="18"/>
  <c r="BF104" i="18"/>
  <c r="AE821" i="18"/>
  <c r="AB127" i="18"/>
  <c r="AC117" i="18"/>
  <c r="AH547" i="18"/>
  <c r="AC153" i="18"/>
  <c r="AD143" i="18"/>
  <c r="AB604" i="18"/>
  <c r="AA609" i="18"/>
  <c r="AB211" i="18"/>
  <c r="AA218" i="18"/>
  <c r="AD332" i="18"/>
  <c r="AC335" i="18"/>
  <c r="Y231" i="18"/>
  <c r="Z221" i="18"/>
  <c r="AA627" i="18"/>
  <c r="Z635" i="18"/>
  <c r="D25" i="7943"/>
  <c r="G224" i="1"/>
  <c r="AB319" i="18"/>
  <c r="AA322" i="18"/>
  <c r="AB655" i="18"/>
  <c r="AA661" i="18"/>
  <c r="AA288" i="18"/>
  <c r="Z296" i="18"/>
  <c r="Y12" i="24"/>
  <c r="X13" i="24"/>
  <c r="AE364" i="18"/>
  <c r="AA361" i="18"/>
  <c r="AB351" i="18"/>
  <c r="AP514" i="18"/>
  <c r="AO518" i="18"/>
  <c r="AC426" i="18"/>
  <c r="AD416" i="18"/>
  <c r="AF703" i="18"/>
  <c r="P4" i="7946"/>
  <c r="P4" i="7942"/>
  <c r="P4" i="7943"/>
  <c r="K312" i="1"/>
  <c r="Q312" i="1" s="1"/>
  <c r="W312" i="1" s="1"/>
  <c r="AC312" i="1" s="1"/>
  <c r="AI312" i="1" s="1"/>
  <c r="AO312" i="1" s="1"/>
  <c r="AU312" i="1" s="1"/>
  <c r="BA312" i="1" s="1"/>
  <c r="BG312" i="1" s="1"/>
  <c r="BM312" i="1" s="1"/>
  <c r="AC187" i="18"/>
  <c r="AB192" i="18"/>
  <c r="AG130" i="18"/>
  <c r="AA348" i="18"/>
  <c r="AB338" i="18"/>
  <c r="AE312" i="18"/>
  <c r="AE794" i="18"/>
  <c r="AE377" i="18"/>
  <c r="AA566" i="18"/>
  <c r="Z570" i="18"/>
  <c r="AD664" i="18"/>
  <c r="AF325" i="18"/>
  <c r="AD400" i="18"/>
  <c r="AE390" i="18"/>
  <c r="AD778" i="18"/>
  <c r="AE768" i="18"/>
  <c r="AB452" i="18"/>
  <c r="AC442" i="18"/>
  <c r="AE683" i="18"/>
  <c r="Z583" i="18"/>
  <c r="AA573" i="18"/>
  <c r="AB739" i="18"/>
  <c r="AC729" i="18"/>
  <c r="AD640" i="18"/>
  <c r="AC648" i="18"/>
  <c r="AH677" i="18"/>
  <c r="AB668" i="18"/>
  <c r="AA674" i="18"/>
  <c r="AC166" i="18"/>
  <c r="AD156" i="18"/>
  <c r="AB823" i="18"/>
  <c r="AA830" i="18"/>
  <c r="AG651" i="18"/>
  <c r="AC685" i="18"/>
  <c r="AB687" i="18"/>
  <c r="AG755" i="18"/>
  <c r="BC113" i="18"/>
  <c r="BB114" i="18"/>
  <c r="AC848" i="18"/>
  <c r="AB856" i="18"/>
  <c r="AE560" i="18"/>
  <c r="AJ612" i="18"/>
  <c r="AB816" i="18"/>
  <c r="AA817" i="18"/>
  <c r="AA869" i="18"/>
  <c r="AB859" i="18"/>
  <c r="AB179" i="18"/>
  <c r="AC169" i="18"/>
  <c r="AA439" i="18"/>
  <c r="AB429" i="18"/>
  <c r="AC833" i="18"/>
  <c r="AB843" i="18"/>
  <c r="Z283" i="18"/>
  <c r="AA273" i="18"/>
  <c r="AD700" i="18"/>
  <c r="AE690" i="18"/>
  <c r="AG599" i="18"/>
  <c r="AF742" i="18"/>
  <c r="AG182" i="18"/>
  <c r="AC549" i="18"/>
  <c r="AB557" i="18"/>
  <c r="AI716" i="18"/>
  <c r="AH614" i="18"/>
  <c r="AU508" i="18"/>
  <c r="AA706" i="18"/>
  <c r="Z713" i="18"/>
  <c r="AA791" i="18"/>
  <c r="AB790" i="18"/>
  <c r="AB379" i="18"/>
  <c r="AA387" i="18"/>
  <c r="AF781" i="18"/>
  <c r="AB618" i="18"/>
  <c r="AA622" i="18"/>
  <c r="AE208" i="18"/>
  <c r="AB413" i="18"/>
  <c r="AC403" i="18"/>
  <c r="AB718" i="18"/>
  <c r="AA726" i="18"/>
  <c r="AA205" i="18"/>
  <c r="AB195" i="18"/>
  <c r="AC531" i="18"/>
  <c r="AD521" i="18"/>
  <c r="AS511" i="18"/>
  <c r="P4" i="7945"/>
  <c r="P4" i="24"/>
  <c r="Q4" i="18"/>
  <c r="AF534" i="18"/>
  <c r="AI638" i="18"/>
  <c r="AD136" i="18"/>
  <c r="AC140" i="18"/>
  <c r="AB749" i="18"/>
  <c r="AA752" i="18"/>
  <c r="AA804" i="18" l="1"/>
  <c r="Z465" i="18"/>
  <c r="AA455" i="18"/>
  <c r="AB804" i="18"/>
  <c r="AC801" i="18"/>
  <c r="AD426" i="18"/>
  <c r="AE416" i="18"/>
  <c r="AF758" i="18"/>
  <c r="AE765" i="18"/>
  <c r="AJ638" i="18"/>
  <c r="AC413" i="18"/>
  <c r="AD403" i="18"/>
  <c r="AG742" i="18"/>
  <c r="AC452" i="18"/>
  <c r="AD442" i="18"/>
  <c r="AE664" i="18"/>
  <c r="AD187" i="18"/>
  <c r="AC192" i="18"/>
  <c r="Z12" i="24"/>
  <c r="Y13" i="24"/>
  <c r="AC211" i="18"/>
  <c r="AB218" i="18"/>
  <c r="AB487" i="18"/>
  <c r="AA492" i="18"/>
  <c r="AH820" i="18"/>
  <c r="AE807" i="18"/>
  <c r="AC127" i="18"/>
  <c r="AD117" i="18"/>
  <c r="AT511" i="18"/>
  <c r="AD531" i="18"/>
  <c r="AE521" i="18"/>
  <c r="AC379" i="18"/>
  <c r="AB387" i="18"/>
  <c r="AI614" i="18"/>
  <c r="AD833" i="18"/>
  <c r="AC843" i="18"/>
  <c r="AC816" i="18"/>
  <c r="AB817" i="18"/>
  <c r="BD113" i="18"/>
  <c r="BC114" i="18"/>
  <c r="AC823" i="18"/>
  <c r="AB830" i="18"/>
  <c r="AE640" i="18"/>
  <c r="AD648" i="18"/>
  <c r="AF312" i="18"/>
  <c r="AB439" i="18"/>
  <c r="AC429" i="18"/>
  <c r="AD166" i="18"/>
  <c r="AE156" i="18"/>
  <c r="AC739" i="18"/>
  <c r="AD729" i="18"/>
  <c r="AE778" i="18"/>
  <c r="AF768" i="18"/>
  <c r="P51" i="7943"/>
  <c r="P67" i="7943"/>
  <c r="P87" i="7943"/>
  <c r="AQ514" i="18"/>
  <c r="AP518" i="18"/>
  <c r="AB288" i="18"/>
  <c r="AA296" i="18"/>
  <c r="AB627" i="18"/>
  <c r="AA635" i="18"/>
  <c r="AC604" i="18"/>
  <c r="AB609" i="18"/>
  <c r="AF821" i="18"/>
  <c r="AB540" i="18"/>
  <c r="AA544" i="18"/>
  <c r="AH846" i="18"/>
  <c r="AC244" i="18"/>
  <c r="AD234" i="18"/>
  <c r="AE136" i="18"/>
  <c r="AD140" i="18"/>
  <c r="AD848" i="18"/>
  <c r="AC856" i="18"/>
  <c r="AC790" i="18"/>
  <c r="AB791" i="18"/>
  <c r="AH599" i="18"/>
  <c r="AK612" i="18"/>
  <c r="AH755" i="18"/>
  <c r="AG534" i="18"/>
  <c r="AB205" i="18"/>
  <c r="AC195" i="18"/>
  <c r="AJ716" i="18"/>
  <c r="AB566" i="18"/>
  <c r="AA570" i="18"/>
  <c r="AB348" i="18"/>
  <c r="AC338" i="18"/>
  <c r="AA13" i="7942"/>
  <c r="BS80" i="7942"/>
  <c r="AL47" i="7942"/>
  <c r="DK13" i="7942"/>
  <c r="AL13" i="7942"/>
  <c r="CZ13" i="7942"/>
  <c r="CO80" i="7942"/>
  <c r="AA80" i="7942"/>
  <c r="CO13" i="7942"/>
  <c r="CD13" i="7942"/>
  <c r="CZ80" i="7942"/>
  <c r="P47" i="7942"/>
  <c r="AW47" i="7942"/>
  <c r="BH80" i="7942"/>
  <c r="BS47" i="7942"/>
  <c r="CO47" i="7942"/>
  <c r="P13" i="7942"/>
  <c r="AW80" i="7942"/>
  <c r="CD80" i="7942"/>
  <c r="CZ47" i="7942"/>
  <c r="DK80" i="7942"/>
  <c r="P80" i="7942"/>
  <c r="DK47" i="7942"/>
  <c r="AL80" i="7942"/>
  <c r="BH47" i="7942"/>
  <c r="BH13" i="7942"/>
  <c r="AA47" i="7942"/>
  <c r="BS13" i="7942"/>
  <c r="CD47" i="7942"/>
  <c r="AW13" i="7942"/>
  <c r="AB361" i="18"/>
  <c r="AC351" i="18"/>
  <c r="Z231" i="18"/>
  <c r="AA221" i="18"/>
  <c r="AD153" i="18"/>
  <c r="AE143" i="18"/>
  <c r="AG625" i="18"/>
  <c r="AD270" i="18"/>
  <c r="AE260" i="18"/>
  <c r="AD286" i="18"/>
  <c r="AF794" i="18"/>
  <c r="R4" i="18"/>
  <c r="Q4" i="24"/>
  <c r="AE700" i="18"/>
  <c r="AF690" i="18"/>
  <c r="AC179" i="18"/>
  <c r="AD169" i="18"/>
  <c r="AB573" i="18"/>
  <c r="AA583" i="18"/>
  <c r="AE400" i="18"/>
  <c r="AF390" i="18"/>
  <c r="AC655" i="18"/>
  <c r="AB661" i="18"/>
  <c r="AC596" i="18"/>
  <c r="AD586" i="18"/>
  <c r="AG781" i="18"/>
  <c r="AF683" i="18"/>
  <c r="AF208" i="18"/>
  <c r="AB706" i="18"/>
  <c r="AA713" i="18"/>
  <c r="AF560" i="18"/>
  <c r="AD685" i="18"/>
  <c r="AC687" i="18"/>
  <c r="AC668" i="18"/>
  <c r="AB674" i="18"/>
  <c r="AF377" i="18"/>
  <c r="AH130" i="18"/>
  <c r="AG703" i="18"/>
  <c r="AF364" i="18"/>
  <c r="AI547" i="18"/>
  <c r="BG104" i="18"/>
  <c r="AB309" i="18"/>
  <c r="AC299" i="18"/>
  <c r="AD373" i="18"/>
  <c r="AC374" i="18"/>
  <c r="AH482" i="18"/>
  <c r="AC749" i="18"/>
  <c r="AB752" i="18"/>
  <c r="AC618" i="18"/>
  <c r="AB622" i="18"/>
  <c r="AD549" i="18"/>
  <c r="AC557" i="18"/>
  <c r="AC718" i="18"/>
  <c r="AB726" i="18"/>
  <c r="AV508" i="18"/>
  <c r="AH182" i="18"/>
  <c r="AA283" i="18"/>
  <c r="AB273" i="18"/>
  <c r="AB869" i="18"/>
  <c r="AC859" i="18"/>
  <c r="AH651" i="18"/>
  <c r="AI677" i="18"/>
  <c r="AG325" i="18"/>
  <c r="AC319" i="18"/>
  <c r="AB322" i="18"/>
  <c r="AE332" i="18"/>
  <c r="AD335" i="18"/>
  <c r="AD257" i="18"/>
  <c r="AE247" i="18"/>
  <c r="AA465" i="18" l="1"/>
  <c r="AB455" i="18"/>
  <c r="AD801" i="18"/>
  <c r="AC804" i="18"/>
  <c r="AE685" i="18"/>
  <c r="AD687" i="18"/>
  <c r="AC627" i="18"/>
  <c r="AB635" i="18"/>
  <c r="AD379" i="18"/>
  <c r="AC387" i="18"/>
  <c r="AA12" i="24"/>
  <c r="Z13" i="24"/>
  <c r="AF332" i="18"/>
  <c r="AE335" i="18"/>
  <c r="AI651" i="18"/>
  <c r="AD749" i="18"/>
  <c r="AC752" i="18"/>
  <c r="AH781" i="18"/>
  <c r="AB583" i="18"/>
  <c r="AC573" i="18"/>
  <c r="AC566" i="18"/>
  <c r="AB570" i="18"/>
  <c r="AE848" i="18"/>
  <c r="AD856" i="18"/>
  <c r="AC540" i="18"/>
  <c r="AB544" i="18"/>
  <c r="AC288" i="18"/>
  <c r="AB296" i="18"/>
  <c r="AD739" i="18"/>
  <c r="AE729" i="18"/>
  <c r="AD816" i="18"/>
  <c r="AC817" i="18"/>
  <c r="AE187" i="18"/>
  <c r="AD192" i="18"/>
  <c r="S4" i="18"/>
  <c r="R4" i="24"/>
  <c r="AC869" i="18"/>
  <c r="AD859" i="18"/>
  <c r="AI482" i="18"/>
  <c r="AJ547" i="18"/>
  <c r="AG377" i="18"/>
  <c r="AD596" i="18"/>
  <c r="AE586" i="18"/>
  <c r="AD179" i="18"/>
  <c r="AE169" i="18"/>
  <c r="AE286" i="18"/>
  <c r="AE153" i="18"/>
  <c r="AF143" i="18"/>
  <c r="AK716" i="18"/>
  <c r="AL612" i="18"/>
  <c r="AF664" i="18"/>
  <c r="AK638" i="18"/>
  <c r="AD319" i="18"/>
  <c r="AC322" i="18"/>
  <c r="AR514" i="18"/>
  <c r="AQ518" i="18"/>
  <c r="AD718" i="18"/>
  <c r="AC726" i="18"/>
  <c r="AF136" i="18"/>
  <c r="AE140" i="18"/>
  <c r="AF640" i="18"/>
  <c r="AE648" i="18"/>
  <c r="AU511" i="18"/>
  <c r="AH325" i="18"/>
  <c r="AB283" i="18"/>
  <c r="AC273" i="18"/>
  <c r="AG364" i="18"/>
  <c r="AG208" i="18"/>
  <c r="AF700" i="18"/>
  <c r="AG690" i="18"/>
  <c r="AE270" i="18"/>
  <c r="AF260" i="18"/>
  <c r="AA231" i="18"/>
  <c r="AB221" i="18"/>
  <c r="AC205" i="18"/>
  <c r="AD195" i="18"/>
  <c r="AI599" i="18"/>
  <c r="AD244" i="18"/>
  <c r="AE234" i="18"/>
  <c r="AD127" i="18"/>
  <c r="AE117" i="18"/>
  <c r="AD452" i="18"/>
  <c r="AE442" i="18"/>
  <c r="AG821" i="18"/>
  <c r="AE833" i="18"/>
  <c r="AD843" i="18"/>
  <c r="AC487" i="18"/>
  <c r="AB492" i="18"/>
  <c r="AE549" i="18"/>
  <c r="AD557" i="18"/>
  <c r="AE373" i="18"/>
  <c r="AD374" i="18"/>
  <c r="AD668" i="18"/>
  <c r="AC674" i="18"/>
  <c r="AD655" i="18"/>
  <c r="AC661" i="18"/>
  <c r="AD604" i="18"/>
  <c r="AC609" i="18"/>
  <c r="AC439" i="18"/>
  <c r="AD429" i="18"/>
  <c r="AD823" i="18"/>
  <c r="AC830" i="18"/>
  <c r="AJ614" i="18"/>
  <c r="AD211" i="18"/>
  <c r="AC218" i="18"/>
  <c r="AG758" i="18"/>
  <c r="AF765" i="18"/>
  <c r="AC706" i="18"/>
  <c r="AB713" i="18"/>
  <c r="AE166" i="18"/>
  <c r="AF156" i="18"/>
  <c r="AE257" i="18"/>
  <c r="AF247" i="18"/>
  <c r="AJ677" i="18"/>
  <c r="AI182" i="18"/>
  <c r="AC309" i="18"/>
  <c r="AD299" i="18"/>
  <c r="AH703" i="18"/>
  <c r="AF400" i="18"/>
  <c r="AG390" i="18"/>
  <c r="AH625" i="18"/>
  <c r="AC361" i="18"/>
  <c r="AD351" i="18"/>
  <c r="AC348" i="18"/>
  <c r="AD338" i="18"/>
  <c r="AH534" i="18"/>
  <c r="AI846" i="18"/>
  <c r="AF807" i="18"/>
  <c r="AH742" i="18"/>
  <c r="AE426" i="18"/>
  <c r="AF416" i="18"/>
  <c r="AD618" i="18"/>
  <c r="AC622" i="18"/>
  <c r="AF778" i="18"/>
  <c r="AG768" i="18"/>
  <c r="AG683" i="18"/>
  <c r="AD790" i="18"/>
  <c r="AC791" i="18"/>
  <c r="BE113" i="18"/>
  <c r="BD114" i="18"/>
  <c r="AW508" i="18"/>
  <c r="BH104" i="18"/>
  <c r="AI130" i="18"/>
  <c r="AG560" i="18"/>
  <c r="AG794" i="18"/>
  <c r="AI755" i="18"/>
  <c r="AG312" i="18"/>
  <c r="AE531" i="18"/>
  <c r="AF521" i="18"/>
  <c r="AI820" i="18"/>
  <c r="AD413" i="18"/>
  <c r="AE403" i="18"/>
  <c r="AB465" i="18" l="1"/>
  <c r="AC455" i="18"/>
  <c r="AE801" i="18"/>
  <c r="AD804" i="18"/>
  <c r="BF113" i="18"/>
  <c r="BE114" i="18"/>
  <c r="AE244" i="18"/>
  <c r="AF234" i="18"/>
  <c r="AJ755" i="18"/>
  <c r="AF426" i="18"/>
  <c r="AG416" i="18"/>
  <c r="AE823" i="18"/>
  <c r="AD830" i="18"/>
  <c r="AE843" i="18"/>
  <c r="AF833" i="18"/>
  <c r="AF153" i="18"/>
  <c r="AG143" i="18"/>
  <c r="AC583" i="18"/>
  <c r="AD573" i="18"/>
  <c r="BI104" i="18"/>
  <c r="AI742" i="18"/>
  <c r="AD348" i="18"/>
  <c r="AE338" i="18"/>
  <c r="AF257" i="18"/>
  <c r="AG247" i="18"/>
  <c r="AH758" i="18"/>
  <c r="AG765" i="18"/>
  <c r="AF373" i="18"/>
  <c r="AE374" i="18"/>
  <c r="AH821" i="18"/>
  <c r="AE718" i="18"/>
  <c r="AD726" i="18"/>
  <c r="AF286" i="18"/>
  <c r="AK547" i="18"/>
  <c r="AJ820" i="18"/>
  <c r="AD205" i="18"/>
  <c r="AE195" i="18"/>
  <c r="AF187" i="18"/>
  <c r="AE192" i="18"/>
  <c r="AD540" i="18"/>
  <c r="AC544" i="18"/>
  <c r="AI781" i="18"/>
  <c r="AB12" i="24"/>
  <c r="AA13" i="24"/>
  <c r="AE211" i="18"/>
  <c r="AD218" i="18"/>
  <c r="AH683" i="18"/>
  <c r="AH208" i="18"/>
  <c r="AF531" i="18"/>
  <c r="AG521" i="18"/>
  <c r="AX508" i="18"/>
  <c r="AD361" i="18"/>
  <c r="AE351" i="18"/>
  <c r="AF166" i="18"/>
  <c r="AG156" i="18"/>
  <c r="AE604" i="18"/>
  <c r="AD609" i="18"/>
  <c r="AS514" i="18"/>
  <c r="AR518" i="18"/>
  <c r="AE179" i="18"/>
  <c r="AF169" i="18"/>
  <c r="AJ482" i="18"/>
  <c r="AE127" i="18"/>
  <c r="AF117" i="18"/>
  <c r="AB231" i="18"/>
  <c r="AC221" i="18"/>
  <c r="AH364" i="18"/>
  <c r="AE816" i="18"/>
  <c r="AD817" i="18"/>
  <c r="AF848" i="18"/>
  <c r="AE856" i="18"/>
  <c r="AE749" i="18"/>
  <c r="AD752" i="18"/>
  <c r="AE379" i="18"/>
  <c r="AD387" i="18"/>
  <c r="AI703" i="18"/>
  <c r="AE452" i="18"/>
  <c r="AF442" i="18"/>
  <c r="AH794" i="18"/>
  <c r="AG778" i="18"/>
  <c r="AH768" i="18"/>
  <c r="AG807" i="18"/>
  <c r="AD309" i="18"/>
  <c r="AE299" i="18"/>
  <c r="AF549" i="18"/>
  <c r="AE557" i="18"/>
  <c r="AV511" i="18"/>
  <c r="AM612" i="18"/>
  <c r="AH312" i="18"/>
  <c r="AH560" i="18"/>
  <c r="AJ846" i="18"/>
  <c r="AJ182" i="18"/>
  <c r="AK614" i="18"/>
  <c r="AE655" i="18"/>
  <c r="AD661" i="18"/>
  <c r="AD487" i="18"/>
  <c r="AC492" i="18"/>
  <c r="AG640" i="18"/>
  <c r="AF648" i="18"/>
  <c r="AE319" i="18"/>
  <c r="AD322" i="18"/>
  <c r="AE596" i="18"/>
  <c r="AF586" i="18"/>
  <c r="AD869" i="18"/>
  <c r="AE859" i="18"/>
  <c r="AE739" i="18"/>
  <c r="AF729" i="18"/>
  <c r="AD706" i="18"/>
  <c r="AC713" i="18"/>
  <c r="AC283" i="18"/>
  <c r="AD273" i="18"/>
  <c r="AL716" i="18"/>
  <c r="AD566" i="18"/>
  <c r="AC570" i="18"/>
  <c r="AJ651" i="18"/>
  <c r="AD627" i="18"/>
  <c r="AC635" i="18"/>
  <c r="AI625" i="18"/>
  <c r="AF270" i="18"/>
  <c r="AG260" i="18"/>
  <c r="AE413" i="18"/>
  <c r="AF403" i="18"/>
  <c r="AG400" i="18"/>
  <c r="AH390" i="18"/>
  <c r="AH377" i="18"/>
  <c r="AE618" i="18"/>
  <c r="AD622" i="18"/>
  <c r="AL638" i="18"/>
  <c r="AJ130" i="18"/>
  <c r="AK677" i="18"/>
  <c r="AE668" i="18"/>
  <c r="AD674" i="18"/>
  <c r="AG136" i="18"/>
  <c r="AF140" i="18"/>
  <c r="AE790" i="18"/>
  <c r="AD791" i="18"/>
  <c r="AI534" i="18"/>
  <c r="AD439" i="18"/>
  <c r="AE429" i="18"/>
  <c r="AJ599" i="18"/>
  <c r="AG700" i="18"/>
  <c r="AH690" i="18"/>
  <c r="AI325" i="18"/>
  <c r="AG664" i="18"/>
  <c r="S4" i="24"/>
  <c r="T4" i="18"/>
  <c r="AD288" i="18"/>
  <c r="AC296" i="18"/>
  <c r="AG332" i="18"/>
  <c r="AF335" i="18"/>
  <c r="AF685" i="18"/>
  <c r="AE687" i="18"/>
  <c r="L8" i="1"/>
  <c r="AC465" i="18" l="1"/>
  <c r="AD455" i="18"/>
  <c r="AF801" i="18"/>
  <c r="AE804" i="18"/>
  <c r="AW511" i="18"/>
  <c r="AC12" i="24"/>
  <c r="AB13" i="24"/>
  <c r="AF718" i="18"/>
  <c r="AE726" i="18"/>
  <c r="AF823" i="18"/>
  <c r="AE830" i="18"/>
  <c r="AH700" i="18"/>
  <c r="AI690" i="18"/>
  <c r="AK130" i="18"/>
  <c r="AH400" i="18"/>
  <c r="AI390" i="18"/>
  <c r="AD283" i="18"/>
  <c r="AE273" i="18"/>
  <c r="AF596" i="18"/>
  <c r="AG586" i="18"/>
  <c r="AI560" i="18"/>
  <c r="AI794" i="18"/>
  <c r="AC231" i="18"/>
  <c r="AD221" i="18"/>
  <c r="AF179" i="18"/>
  <c r="AG169" i="18"/>
  <c r="AE361" i="18"/>
  <c r="AF351" i="18"/>
  <c r="AE348" i="18"/>
  <c r="AF338" i="18"/>
  <c r="AE573" i="18"/>
  <c r="AD583" i="18"/>
  <c r="AG426" i="18"/>
  <c r="AH416" i="18"/>
  <c r="AH332" i="18"/>
  <c r="AG335" i="18"/>
  <c r="AE487" i="18"/>
  <c r="AD492" i="18"/>
  <c r="AE288" i="18"/>
  <c r="AD296" i="18"/>
  <c r="AF790" i="18"/>
  <c r="AE791" i="18"/>
  <c r="AE627" i="18"/>
  <c r="AD635" i="18"/>
  <c r="AF655" i="18"/>
  <c r="AE661" i="18"/>
  <c r="AG549" i="18"/>
  <c r="AF557" i="18"/>
  <c r="AF749" i="18"/>
  <c r="AE752" i="18"/>
  <c r="AI683" i="18"/>
  <c r="AJ781" i="18"/>
  <c r="AK820" i="18"/>
  <c r="AI821" i="18"/>
  <c r="AM638" i="18"/>
  <c r="AF452" i="18"/>
  <c r="AG442" i="18"/>
  <c r="AL547" i="18"/>
  <c r="AK755" i="18"/>
  <c r="AK599" i="18"/>
  <c r="AE309" i="18"/>
  <c r="AF299" i="18"/>
  <c r="AY508" i="18"/>
  <c r="AJ742" i="18"/>
  <c r="AG153" i="18"/>
  <c r="AH143" i="18"/>
  <c r="AH136" i="18"/>
  <c r="AG140" i="18"/>
  <c r="AK651" i="18"/>
  <c r="AE706" i="18"/>
  <c r="AD713" i="18"/>
  <c r="AF319" i="18"/>
  <c r="AE322" i="18"/>
  <c r="AL614" i="18"/>
  <c r="AG848" i="18"/>
  <c r="AF856" i="18"/>
  <c r="AT514" i="18"/>
  <c r="AS518" i="18"/>
  <c r="AF211" i="18"/>
  <c r="AE218" i="18"/>
  <c r="AE540" i="18"/>
  <c r="AD544" i="18"/>
  <c r="AG373" i="18"/>
  <c r="AF374" i="18"/>
  <c r="AF413" i="18"/>
  <c r="AG403" i="18"/>
  <c r="AF127" i="18"/>
  <c r="AG117" i="18"/>
  <c r="AE439" i="18"/>
  <c r="AF429" i="18"/>
  <c r="AG270" i="18"/>
  <c r="AH260" i="18"/>
  <c r="AF739" i="18"/>
  <c r="AG729" i="18"/>
  <c r="AK182" i="18"/>
  <c r="AN612" i="18"/>
  <c r="AH807" i="18"/>
  <c r="AG531" i="18"/>
  <c r="AH521" i="18"/>
  <c r="AG286" i="18"/>
  <c r="AF843" i="18"/>
  <c r="AG833" i="18"/>
  <c r="AF244" i="18"/>
  <c r="AG234" i="18"/>
  <c r="T4" i="24"/>
  <c r="U4" i="18"/>
  <c r="AI312" i="18"/>
  <c r="AH664" i="18"/>
  <c r="AG685" i="18"/>
  <c r="AF687" i="18"/>
  <c r="AF668" i="18"/>
  <c r="AE674" i="18"/>
  <c r="AF618" i="18"/>
  <c r="AE622" i="18"/>
  <c r="AE566" i="18"/>
  <c r="AD570" i="18"/>
  <c r="AH640" i="18"/>
  <c r="AG648" i="18"/>
  <c r="AJ703" i="18"/>
  <c r="AF816" i="18"/>
  <c r="AE817" i="18"/>
  <c r="AF604" i="18"/>
  <c r="AE609" i="18"/>
  <c r="AG187" i="18"/>
  <c r="AF192" i="18"/>
  <c r="AI758" i="18"/>
  <c r="AH765" i="18"/>
  <c r="AJ325" i="18"/>
  <c r="AJ534" i="18"/>
  <c r="AL677" i="18"/>
  <c r="AI377" i="18"/>
  <c r="AJ625" i="18"/>
  <c r="AM716" i="18"/>
  <c r="AE869" i="18"/>
  <c r="AF859" i="18"/>
  <c r="AK846" i="18"/>
  <c r="AH778" i="18"/>
  <c r="AI768" i="18"/>
  <c r="AI364" i="18"/>
  <c r="AK482" i="18"/>
  <c r="AG166" i="18"/>
  <c r="AH156" i="18"/>
  <c r="AI208" i="18"/>
  <c r="AE205" i="18"/>
  <c r="AF195" i="18"/>
  <c r="AG257" i="18"/>
  <c r="AH247" i="18"/>
  <c r="AF379" i="18"/>
  <c r="AE387" i="18"/>
  <c r="BG113" i="18"/>
  <c r="BF114" i="18"/>
  <c r="J8" i="1"/>
  <c r="S89" i="18" s="1"/>
  <c r="S101" i="18" s="1"/>
  <c r="AD465" i="18" l="1"/>
  <c r="AE455" i="18"/>
  <c r="AE465" i="18" s="1"/>
  <c r="AG801" i="18"/>
  <c r="AF804" i="18"/>
  <c r="AI640" i="18"/>
  <c r="AH648" i="18"/>
  <c r="BH113" i="18"/>
  <c r="BG114" i="18"/>
  <c r="AN716" i="18"/>
  <c r="AG843" i="18"/>
  <c r="AH833" i="18"/>
  <c r="AH270" i="18"/>
  <c r="AI260" i="18"/>
  <c r="AJ821" i="18"/>
  <c r="AG749" i="18"/>
  <c r="AF752" i="18"/>
  <c r="AJ208" i="18"/>
  <c r="AI778" i="18"/>
  <c r="AJ768" i="18"/>
  <c r="AG604" i="18"/>
  <c r="AF609" i="18"/>
  <c r="AF566" i="18"/>
  <c r="AE570" i="18"/>
  <c r="AH373" i="18"/>
  <c r="AG374" i="18"/>
  <c r="AH848" i="18"/>
  <c r="AG856" i="18"/>
  <c r="AL651" i="18"/>
  <c r="AZ508" i="18"/>
  <c r="AM547" i="18"/>
  <c r="AD231" i="18"/>
  <c r="AE221" i="18"/>
  <c r="AE283" i="18"/>
  <c r="AF273" i="18"/>
  <c r="AF439" i="18"/>
  <c r="AG429" i="18"/>
  <c r="AF309" i="18"/>
  <c r="AG299" i="18"/>
  <c r="AL820" i="18"/>
  <c r="AH549" i="18"/>
  <c r="AG557" i="18"/>
  <c r="AF288" i="18"/>
  <c r="AE296" i="18"/>
  <c r="AE583" i="18"/>
  <c r="AF573" i="18"/>
  <c r="AG823" i="18"/>
  <c r="AF830" i="18"/>
  <c r="AJ364" i="18"/>
  <c r="AK325" i="18"/>
  <c r="AH286" i="18"/>
  <c r="AM614" i="18"/>
  <c r="AJ794" i="18"/>
  <c r="AI400" i="18"/>
  <c r="AJ390" i="18"/>
  <c r="AK625" i="18"/>
  <c r="AH166" i="18"/>
  <c r="AI156" i="18"/>
  <c r="AG816" i="18"/>
  <c r="AF817" i="18"/>
  <c r="AG452" i="18"/>
  <c r="AH442" i="18"/>
  <c r="AJ377" i="18"/>
  <c r="V4" i="18"/>
  <c r="U4" i="24"/>
  <c r="AL182" i="18"/>
  <c r="AG127" i="18"/>
  <c r="AH117" i="18"/>
  <c r="AH153" i="18"/>
  <c r="AI143" i="18"/>
  <c r="AL599" i="18"/>
  <c r="AK781" i="18"/>
  <c r="AG655" i="18"/>
  <c r="AF661" i="18"/>
  <c r="AF487" i="18"/>
  <c r="AE492" i="18"/>
  <c r="AG718" i="18"/>
  <c r="AF726" i="18"/>
  <c r="AF205" i="18"/>
  <c r="AG195" i="18"/>
  <c r="AO612" i="18"/>
  <c r="AG618" i="18"/>
  <c r="AF622" i="18"/>
  <c r="AI136" i="18"/>
  <c r="AH140" i="18"/>
  <c r="AF348" i="18"/>
  <c r="AG338" i="18"/>
  <c r="AH257" i="18"/>
  <c r="AI247" i="18"/>
  <c r="AJ758" i="18"/>
  <c r="AI765" i="18"/>
  <c r="AK703" i="18"/>
  <c r="AG668" i="18"/>
  <c r="AF674" i="18"/>
  <c r="AG211" i="18"/>
  <c r="AF218" i="18"/>
  <c r="AG319" i="18"/>
  <c r="AF322" i="18"/>
  <c r="AN638" i="18"/>
  <c r="AF361" i="18"/>
  <c r="AG351" i="18"/>
  <c r="AJ560" i="18"/>
  <c r="AL130" i="18"/>
  <c r="AG379" i="18"/>
  <c r="AF387" i="18"/>
  <c r="AJ312" i="18"/>
  <c r="AL846" i="18"/>
  <c r="AF540" i="18"/>
  <c r="AE544" i="18"/>
  <c r="AL482" i="18"/>
  <c r="AF869" i="18"/>
  <c r="AG859" i="18"/>
  <c r="AM677" i="18"/>
  <c r="AG244" i="18"/>
  <c r="AH234" i="18"/>
  <c r="AH531" i="18"/>
  <c r="AI521" i="18"/>
  <c r="AG739" i="18"/>
  <c r="AH729" i="18"/>
  <c r="AG413" i="18"/>
  <c r="AH403" i="18"/>
  <c r="AK742" i="18"/>
  <c r="AJ683" i="18"/>
  <c r="AF627" i="18"/>
  <c r="AE635" i="18"/>
  <c r="AI332" i="18"/>
  <c r="AH335" i="18"/>
  <c r="AD12" i="24"/>
  <c r="AC13" i="24"/>
  <c r="AH685" i="18"/>
  <c r="AG687" i="18"/>
  <c r="AU514" i="18"/>
  <c r="AT518" i="18"/>
  <c r="AF706" i="18"/>
  <c r="AE713" i="18"/>
  <c r="AL755" i="18"/>
  <c r="AH426" i="18"/>
  <c r="AI416" i="18"/>
  <c r="AG179" i="18"/>
  <c r="AH169" i="18"/>
  <c r="AG596" i="18"/>
  <c r="AH586" i="18"/>
  <c r="AI700" i="18"/>
  <c r="AJ690" i="18"/>
  <c r="AH187" i="18"/>
  <c r="AG192" i="18"/>
  <c r="AK534" i="18"/>
  <c r="AI664" i="18"/>
  <c r="AI807" i="18"/>
  <c r="AG790" i="18"/>
  <c r="AF791" i="18"/>
  <c r="AX511" i="18"/>
  <c r="Q89" i="18"/>
  <c r="Q101" i="18" s="1"/>
  <c r="Z89" i="18"/>
  <c r="Z101" i="18" s="1"/>
  <c r="L89" i="18"/>
  <c r="L101" i="18" s="1"/>
  <c r="AC89" i="18"/>
  <c r="AC101" i="18" s="1"/>
  <c r="R89" i="18"/>
  <c r="R101" i="18" s="1"/>
  <c r="G89" i="18"/>
  <c r="G101" i="18" s="1"/>
  <c r="H89" i="18"/>
  <c r="H101" i="18" s="1"/>
  <c r="K89" i="18"/>
  <c r="K101" i="18" s="1"/>
  <c r="J89" i="18"/>
  <c r="J101" i="18" s="1"/>
  <c r="O89" i="18"/>
  <c r="O101" i="18" s="1"/>
  <c r="N89" i="18"/>
  <c r="N101" i="18" s="1"/>
  <c r="X89" i="18"/>
  <c r="X101" i="18" s="1"/>
  <c r="AA89" i="18"/>
  <c r="AA101" i="18" s="1"/>
  <c r="U89" i="18"/>
  <c r="U101" i="18" s="1"/>
  <c r="V89" i="18"/>
  <c r="V101" i="18" s="1"/>
  <c r="I89" i="18"/>
  <c r="I101" i="18" s="1"/>
  <c r="P89" i="18"/>
  <c r="P101" i="18" s="1"/>
  <c r="AB89" i="18"/>
  <c r="AB101" i="18" s="1"/>
  <c r="Y89" i="18"/>
  <c r="Y101" i="18" s="1"/>
  <c r="W89" i="18"/>
  <c r="W101" i="18" s="1"/>
  <c r="T89" i="18"/>
  <c r="T101" i="18" s="1"/>
  <c r="M89" i="18"/>
  <c r="M101" i="18" s="1"/>
  <c r="AF455" i="18" l="1"/>
  <c r="AH801" i="18"/>
  <c r="AG804" i="18"/>
  <c r="AJ664" i="18"/>
  <c r="AY511" i="18"/>
  <c r="AV514" i="18"/>
  <c r="AU518" i="18"/>
  <c r="AG627" i="18"/>
  <c r="AF635" i="18"/>
  <c r="AG348" i="18"/>
  <c r="AH338" i="18"/>
  <c r="AP612" i="18"/>
  <c r="AH127" i="18"/>
  <c r="AI117" i="18"/>
  <c r="AI286" i="18"/>
  <c r="AG573" i="18"/>
  <c r="AF583" i="18"/>
  <c r="AG309" i="18"/>
  <c r="AH299" i="18"/>
  <c r="AN547" i="18"/>
  <c r="AK208" i="18"/>
  <c r="AH843" i="18"/>
  <c r="AI833" i="18"/>
  <c r="AH596" i="18"/>
  <c r="AI586" i="18"/>
  <c r="AI426" i="18"/>
  <c r="AJ416" i="18"/>
  <c r="AI531" i="18"/>
  <c r="AJ521" i="18"/>
  <c r="AM482" i="18"/>
  <c r="AO638" i="18"/>
  <c r="AH668" i="18"/>
  <c r="AG674" i="18"/>
  <c r="AH655" i="18"/>
  <c r="AG661" i="18"/>
  <c r="AH452" i="18"/>
  <c r="AI442" i="18"/>
  <c r="AJ400" i="18"/>
  <c r="AK390" i="18"/>
  <c r="AI373" i="18"/>
  <c r="AH374" i="18"/>
  <c r="AH790" i="18"/>
  <c r="AG791" i="18"/>
  <c r="AI187" i="18"/>
  <c r="AH192" i="18"/>
  <c r="AI685" i="18"/>
  <c r="AH687" i="18"/>
  <c r="AK683" i="18"/>
  <c r="AH379" i="18"/>
  <c r="AG387" i="18"/>
  <c r="AG205" i="18"/>
  <c r="AH195" i="18"/>
  <c r="AM182" i="18"/>
  <c r="AL325" i="18"/>
  <c r="AG439" i="18"/>
  <c r="AH429" i="18"/>
  <c r="BA508" i="18"/>
  <c r="AO716" i="18"/>
  <c r="AM846" i="18"/>
  <c r="AJ807" i="18"/>
  <c r="AJ700" i="18"/>
  <c r="AK690" i="18"/>
  <c r="AM755" i="18"/>
  <c r="AL742" i="18"/>
  <c r="AH244" i="18"/>
  <c r="AI234" i="18"/>
  <c r="AM130" i="18"/>
  <c r="AL703" i="18"/>
  <c r="AJ136" i="18"/>
  <c r="AI140" i="18"/>
  <c r="AL781" i="18"/>
  <c r="AK794" i="18"/>
  <c r="AG288" i="18"/>
  <c r="AF296" i="18"/>
  <c r="AG566" i="18"/>
  <c r="AF570" i="18"/>
  <c r="AH749" i="18"/>
  <c r="AG752" i="18"/>
  <c r="AK758" i="18"/>
  <c r="AJ765" i="18"/>
  <c r="AE12" i="24"/>
  <c r="AD13" i="24"/>
  <c r="AG540" i="18"/>
  <c r="AF544" i="18"/>
  <c r="AH319" i="18"/>
  <c r="AG322" i="18"/>
  <c r="AM599" i="18"/>
  <c r="AH816" i="18"/>
  <c r="AG817" i="18"/>
  <c r="AK364" i="18"/>
  <c r="AF283" i="18"/>
  <c r="AG273" i="18"/>
  <c r="AH413" i="18"/>
  <c r="AI403" i="18"/>
  <c r="AH618" i="18"/>
  <c r="AG622" i="18"/>
  <c r="AH718" i="18"/>
  <c r="AG726" i="18"/>
  <c r="W4" i="18"/>
  <c r="V4" i="24"/>
  <c r="AI166" i="18"/>
  <c r="AJ156" i="18"/>
  <c r="AI549" i="18"/>
  <c r="AH557" i="18"/>
  <c r="AM651" i="18"/>
  <c r="AH604" i="18"/>
  <c r="AG609" i="18"/>
  <c r="AK821" i="18"/>
  <c r="BI113" i="18"/>
  <c r="BI114" i="18" s="1"/>
  <c r="BH114" i="18"/>
  <c r="AK560" i="18"/>
  <c r="AG706" i="18"/>
  <c r="AF713" i="18"/>
  <c r="AJ332" i="18"/>
  <c r="AI335" i="18"/>
  <c r="AH211" i="18"/>
  <c r="AG218" i="18"/>
  <c r="AI257" i="18"/>
  <c r="AJ247" i="18"/>
  <c r="AI153" i="18"/>
  <c r="AJ143" i="18"/>
  <c r="AK377" i="18"/>
  <c r="AE231" i="18"/>
  <c r="AF221" i="18"/>
  <c r="AJ778" i="18"/>
  <c r="AK768" i="18"/>
  <c r="AI270" i="18"/>
  <c r="AJ260" i="18"/>
  <c r="AN677" i="18"/>
  <c r="AL534" i="18"/>
  <c r="AH179" i="18"/>
  <c r="AI169" i="18"/>
  <c r="AH739" i="18"/>
  <c r="AI729" i="18"/>
  <c r="AG869" i="18"/>
  <c r="AH859" i="18"/>
  <c r="AK312" i="18"/>
  <c r="AG361" i="18"/>
  <c r="AH351" i="18"/>
  <c r="AG487" i="18"/>
  <c r="AF492" i="18"/>
  <c r="AL625" i="18"/>
  <c r="AN614" i="18"/>
  <c r="AH823" i="18"/>
  <c r="AG830" i="18"/>
  <c r="AM820" i="18"/>
  <c r="AI848" i="18"/>
  <c r="AH856" i="18"/>
  <c r="AJ640" i="18"/>
  <c r="AI648" i="18"/>
  <c r="AD89" i="18"/>
  <c r="AD101" i="18" s="1"/>
  <c r="AF465" i="18" l="1"/>
  <c r="AG455" i="18"/>
  <c r="AI801" i="18"/>
  <c r="AH804" i="18"/>
  <c r="AZ511" i="18"/>
  <c r="AM625" i="18"/>
  <c r="AJ257" i="18"/>
  <c r="AK247" i="18"/>
  <c r="AI604" i="18"/>
  <c r="AH609" i="18"/>
  <c r="X4" i="18"/>
  <c r="W4" i="24"/>
  <c r="AI319" i="18"/>
  <c r="AH322" i="18"/>
  <c r="AI749" i="18"/>
  <c r="AH752" i="18"/>
  <c r="AM781" i="18"/>
  <c r="AH439" i="18"/>
  <c r="AI429" i="18"/>
  <c r="AJ531" i="18"/>
  <c r="AK521" i="18"/>
  <c r="AL208" i="18"/>
  <c r="AJ286" i="18"/>
  <c r="AI823" i="18"/>
  <c r="AH830" i="18"/>
  <c r="AN130" i="18"/>
  <c r="AM742" i="18"/>
  <c r="AI790" i="18"/>
  <c r="AH791" i="18"/>
  <c r="AI655" i="18"/>
  <c r="AH661" i="18"/>
  <c r="AH627" i="18"/>
  <c r="AG635" i="18"/>
  <c r="AK778" i="18"/>
  <c r="AL768" i="18"/>
  <c r="AL794" i="18"/>
  <c r="AH869" i="18"/>
  <c r="AI859" i="18"/>
  <c r="AL560" i="18"/>
  <c r="AN846" i="18"/>
  <c r="AJ426" i="18"/>
  <c r="AK416" i="18"/>
  <c r="AH361" i="18"/>
  <c r="AI351" i="18"/>
  <c r="AI413" i="18"/>
  <c r="AJ403" i="18"/>
  <c r="AJ848" i="18"/>
  <c r="AI856" i="18"/>
  <c r="AL377" i="18"/>
  <c r="AN651" i="18"/>
  <c r="AI718" i="18"/>
  <c r="AH726" i="18"/>
  <c r="AH566" i="18"/>
  <c r="AG570" i="18"/>
  <c r="AM325" i="18"/>
  <c r="AO547" i="18"/>
  <c r="AI127" i="18"/>
  <c r="AJ117" i="18"/>
  <c r="AN820" i="18"/>
  <c r="AH487" i="18"/>
  <c r="AG492" i="18"/>
  <c r="AI739" i="18"/>
  <c r="AJ729" i="18"/>
  <c r="AJ270" i="18"/>
  <c r="AK260" i="18"/>
  <c r="AJ153" i="18"/>
  <c r="AK143" i="18"/>
  <c r="AI211" i="18"/>
  <c r="AH218" i="18"/>
  <c r="AN755" i="18"/>
  <c r="AP716" i="18"/>
  <c r="AL683" i="18"/>
  <c r="AJ373" i="18"/>
  <c r="AI374" i="18"/>
  <c r="AI668" i="18"/>
  <c r="AH674" i="18"/>
  <c r="AW514" i="18"/>
  <c r="AV518" i="18"/>
  <c r="AK332" i="18"/>
  <c r="AJ335" i="18"/>
  <c r="AO677" i="18"/>
  <c r="AL364" i="18"/>
  <c r="AI379" i="18"/>
  <c r="AH387" i="18"/>
  <c r="AH540" i="18"/>
  <c r="AG544" i="18"/>
  <c r="AK136" i="18"/>
  <c r="AJ140" i="18"/>
  <c r="AJ549" i="18"/>
  <c r="AI557" i="18"/>
  <c r="AI618" i="18"/>
  <c r="AH622" i="18"/>
  <c r="AI816" i="18"/>
  <c r="AH817" i="18"/>
  <c r="AF12" i="24"/>
  <c r="AE13" i="24"/>
  <c r="AH288" i="18"/>
  <c r="AG296" i="18"/>
  <c r="AM703" i="18"/>
  <c r="AN182" i="18"/>
  <c r="AK400" i="18"/>
  <c r="AL390" i="18"/>
  <c r="AP638" i="18"/>
  <c r="AI596" i="18"/>
  <c r="AJ586" i="18"/>
  <c r="AH309" i="18"/>
  <c r="AI299" i="18"/>
  <c r="AQ612" i="18"/>
  <c r="AI179" i="18"/>
  <c r="AJ169" i="18"/>
  <c r="AN599" i="18"/>
  <c r="AJ685" i="18"/>
  <c r="AI687" i="18"/>
  <c r="AL821" i="18"/>
  <c r="BB508" i="18"/>
  <c r="AI452" i="18"/>
  <c r="AJ442" i="18"/>
  <c r="AJ166" i="18"/>
  <c r="AK156" i="18"/>
  <c r="AK700" i="18"/>
  <c r="AL690" i="18"/>
  <c r="AL758" i="18"/>
  <c r="AK765" i="18"/>
  <c r="AH205" i="18"/>
  <c r="AI195" i="18"/>
  <c r="AN482" i="18"/>
  <c r="AI843" i="18"/>
  <c r="AJ833" i="18"/>
  <c r="AH348" i="18"/>
  <c r="AI338" i="18"/>
  <c r="AK664" i="18"/>
  <c r="AK640" i="18"/>
  <c r="AJ648" i="18"/>
  <c r="AO614" i="18"/>
  <c r="AL312" i="18"/>
  <c r="AM534" i="18"/>
  <c r="AF231" i="18"/>
  <c r="AG221" i="18"/>
  <c r="AH706" i="18"/>
  <c r="AG713" i="18"/>
  <c r="AG283" i="18"/>
  <c r="AH273" i="18"/>
  <c r="AI244" i="18"/>
  <c r="AJ234" i="18"/>
  <c r="AK807" i="18"/>
  <c r="AJ187" i="18"/>
  <c r="AI192" i="18"/>
  <c r="AG583" i="18"/>
  <c r="AH573" i="18"/>
  <c r="AE89" i="18"/>
  <c r="AE101" i="18" s="1"/>
  <c r="J7" i="1"/>
  <c r="AH455" i="18" l="1"/>
  <c r="AG465" i="18"/>
  <c r="AJ801" i="18"/>
  <c r="AI804" i="18"/>
  <c r="AL700" i="18"/>
  <c r="AM690" i="18"/>
  <c r="AN534" i="18"/>
  <c r="AI205" i="18"/>
  <c r="AJ195" i="18"/>
  <c r="AK685" i="18"/>
  <c r="AJ687" i="18"/>
  <c r="AJ816" i="18"/>
  <c r="AI817" i="18"/>
  <c r="AK373" i="18"/>
  <c r="AJ374" i="18"/>
  <c r="AJ211" i="18"/>
  <c r="AI218" i="18"/>
  <c r="AI487" i="18"/>
  <c r="AH492" i="18"/>
  <c r="AM377" i="18"/>
  <c r="AK426" i="18"/>
  <c r="AL416" i="18"/>
  <c r="AM794" i="18"/>
  <c r="AK286" i="18"/>
  <c r="AH283" i="18"/>
  <c r="AI273" i="18"/>
  <c r="AJ596" i="18"/>
  <c r="AK586" i="18"/>
  <c r="AI540" i="18"/>
  <c r="AH544" i="18"/>
  <c r="AK153" i="18"/>
  <c r="AL143" i="18"/>
  <c r="AJ790" i="18"/>
  <c r="AI791" i="18"/>
  <c r="AN781" i="18"/>
  <c r="AJ604" i="18"/>
  <c r="AI609" i="18"/>
  <c r="AH583" i="18"/>
  <c r="AI573" i="18"/>
  <c r="AJ452" i="18"/>
  <c r="AK442" i="18"/>
  <c r="AM758" i="18"/>
  <c r="AL765" i="18"/>
  <c r="AN703" i="18"/>
  <c r="AJ618" i="18"/>
  <c r="AI622" i="18"/>
  <c r="AL332" i="18"/>
  <c r="AK335" i="18"/>
  <c r="AM683" i="18"/>
  <c r="AO820" i="18"/>
  <c r="AI566" i="18"/>
  <c r="AH570" i="18"/>
  <c r="AO846" i="18"/>
  <c r="AL778" i="18"/>
  <c r="AM768" i="18"/>
  <c r="AN742" i="18"/>
  <c r="AM208" i="18"/>
  <c r="AK257" i="18"/>
  <c r="AL247" i="18"/>
  <c r="AL807" i="18"/>
  <c r="AI348" i="18"/>
  <c r="AJ338" i="18"/>
  <c r="AO599" i="18"/>
  <c r="AJ843" i="18"/>
  <c r="AK833" i="18"/>
  <c r="AJ179" i="18"/>
  <c r="AK169" i="18"/>
  <c r="AQ638" i="18"/>
  <c r="AJ379" i="18"/>
  <c r="AI387" i="18"/>
  <c r="AK270" i="18"/>
  <c r="AL260" i="18"/>
  <c r="AJ127" i="18"/>
  <c r="AK117" i="18"/>
  <c r="AK848" i="18"/>
  <c r="AJ856" i="18"/>
  <c r="AJ749" i="18"/>
  <c r="AI752" i="18"/>
  <c r="AM312" i="18"/>
  <c r="AK187" i="18"/>
  <c r="AJ192" i="18"/>
  <c r="AI706" i="18"/>
  <c r="AH713" i="18"/>
  <c r="AP614" i="18"/>
  <c r="BC508" i="18"/>
  <c r="AI288" i="18"/>
  <c r="AH296" i="18"/>
  <c r="AK549" i="18"/>
  <c r="AJ557" i="18"/>
  <c r="AM364" i="18"/>
  <c r="AX514" i="18"/>
  <c r="AW518" i="18"/>
  <c r="AQ716" i="18"/>
  <c r="AJ718" i="18"/>
  <c r="AI726" i="18"/>
  <c r="AJ413" i="18"/>
  <c r="AK403" i="18"/>
  <c r="AM560" i="18"/>
  <c r="AO130" i="18"/>
  <c r="AK531" i="18"/>
  <c r="AL521" i="18"/>
  <c r="AN625" i="18"/>
  <c r="AO482" i="18"/>
  <c r="AL400" i="18"/>
  <c r="AM390" i="18"/>
  <c r="AJ739" i="18"/>
  <c r="AK729" i="18"/>
  <c r="AP547" i="18"/>
  <c r="AI627" i="18"/>
  <c r="AH635" i="18"/>
  <c r="AJ319" i="18"/>
  <c r="AI322" i="18"/>
  <c r="AG231" i="18"/>
  <c r="AH221" i="18"/>
  <c r="AR612" i="18"/>
  <c r="AO755" i="18"/>
  <c r="AL640" i="18"/>
  <c r="AK648" i="18"/>
  <c r="AM821" i="18"/>
  <c r="AF13" i="24"/>
  <c r="AG12" i="24"/>
  <c r="AP677" i="18"/>
  <c r="AJ668" i="18"/>
  <c r="AI674" i="18"/>
  <c r="AI361" i="18"/>
  <c r="AJ351" i="18"/>
  <c r="AI869" i="18"/>
  <c r="AJ859" i="18"/>
  <c r="AI439" i="18"/>
  <c r="AJ429" i="18"/>
  <c r="AJ244" i="18"/>
  <c r="AK234" i="18"/>
  <c r="AL664" i="18"/>
  <c r="AK166" i="18"/>
  <c r="AL156" i="18"/>
  <c r="AI309" i="18"/>
  <c r="AJ299" i="18"/>
  <c r="AO182" i="18"/>
  <c r="AL136" i="18"/>
  <c r="AK140" i="18"/>
  <c r="AN325" i="18"/>
  <c r="AO651" i="18"/>
  <c r="AJ655" i="18"/>
  <c r="AI661" i="18"/>
  <c r="AJ823" i="18"/>
  <c r="AI830" i="18"/>
  <c r="X4" i="24"/>
  <c r="Y4" i="18"/>
  <c r="BA511" i="18"/>
  <c r="AF89" i="18"/>
  <c r="AF101" i="18" s="1"/>
  <c r="J37" i="1"/>
  <c r="F9" i="18" s="1"/>
  <c r="G76" i="18"/>
  <c r="G88" i="18" s="1"/>
  <c r="G75" i="18" s="1"/>
  <c r="G472" i="18" s="1"/>
  <c r="I76" i="18"/>
  <c r="I88" i="18" s="1"/>
  <c r="I75" i="18" s="1"/>
  <c r="I472" i="18" s="1"/>
  <c r="H76" i="18"/>
  <c r="H88" i="18" s="1"/>
  <c r="H75" i="18" s="1"/>
  <c r="H472" i="18" s="1"/>
  <c r="K76" i="18"/>
  <c r="K88" i="18" s="1"/>
  <c r="K75" i="18" s="1"/>
  <c r="K472" i="18" s="1"/>
  <c r="M76" i="18"/>
  <c r="M88" i="18" s="1"/>
  <c r="M75" i="18" s="1"/>
  <c r="M472" i="18" s="1"/>
  <c r="L76" i="18"/>
  <c r="L88" i="18" s="1"/>
  <c r="L75" i="18" s="1"/>
  <c r="L472" i="18" s="1"/>
  <c r="J76" i="18"/>
  <c r="J88" i="18" s="1"/>
  <c r="J75" i="18" s="1"/>
  <c r="J472" i="18" s="1"/>
  <c r="AI455" i="18" l="1"/>
  <c r="AH465" i="18"/>
  <c r="AK801" i="18"/>
  <c r="AJ804" i="18"/>
  <c r="AK413" i="18"/>
  <c r="AL403" i="18"/>
  <c r="AM664" i="18"/>
  <c r="AN664" i="18" s="1"/>
  <c r="AH231" i="18"/>
  <c r="AI221" i="18"/>
  <c r="AK843" i="18"/>
  <c r="AL833" i="18"/>
  <c r="AP846" i="18"/>
  <c r="AK655" i="18"/>
  <c r="AJ661" i="18"/>
  <c r="AP182" i="18"/>
  <c r="AK244" i="18"/>
  <c r="AL234" i="18"/>
  <c r="AK718" i="18"/>
  <c r="AJ726" i="18"/>
  <c r="AL549" i="18"/>
  <c r="AK557" i="18"/>
  <c r="AJ706" i="18"/>
  <c r="AI713" i="18"/>
  <c r="AR638" i="18"/>
  <c r="AP599" i="18"/>
  <c r="AN208" i="18"/>
  <c r="AJ573" i="18"/>
  <c r="AI583" i="18"/>
  <c r="AL153" i="18"/>
  <c r="AM143" i="18"/>
  <c r="AL286" i="18"/>
  <c r="AP130" i="18"/>
  <c r="AL848" i="18"/>
  <c r="AK856" i="18"/>
  <c r="AJ566" i="18"/>
  <c r="AI570" i="18"/>
  <c r="AK618" i="18"/>
  <c r="AJ622" i="18"/>
  <c r="AJ487" i="18"/>
  <c r="AI492" i="18"/>
  <c r="AL685" i="18"/>
  <c r="AK687" i="18"/>
  <c r="AK668" i="18"/>
  <c r="AJ674" i="18"/>
  <c r="AM400" i="18"/>
  <c r="AN390" i="18"/>
  <c r="BB511" i="18"/>
  <c r="AJ439" i="18"/>
  <c r="AK429" i="18"/>
  <c r="AL187" i="18"/>
  <c r="AK192" i="18"/>
  <c r="AN794" i="18"/>
  <c r="AK319" i="18"/>
  <c r="AJ322" i="18"/>
  <c r="AR716" i="18"/>
  <c r="AP651" i="18"/>
  <c r="AQ677" i="18"/>
  <c r="AJ288" i="18"/>
  <c r="AI296" i="18"/>
  <c r="AK179" i="18"/>
  <c r="AL169" i="18"/>
  <c r="AO742" i="18"/>
  <c r="AJ205" i="18"/>
  <c r="AK195" i="18"/>
  <c r="Z4" i="18"/>
  <c r="Y4" i="24"/>
  <c r="AO325" i="18"/>
  <c r="AJ627" i="18"/>
  <c r="AI635" i="18"/>
  <c r="AP482" i="18"/>
  <c r="AN560" i="18"/>
  <c r="BD508" i="18"/>
  <c r="AP820" i="18"/>
  <c r="AO703" i="18"/>
  <c r="AK604" i="18"/>
  <c r="AJ609" i="18"/>
  <c r="AJ540" i="18"/>
  <c r="AI544" i="18"/>
  <c r="AK211" i="18"/>
  <c r="AJ218" i="18"/>
  <c r="AM640" i="18"/>
  <c r="AL648" i="18"/>
  <c r="AJ309" i="18"/>
  <c r="AK299" i="18"/>
  <c r="AP755" i="18"/>
  <c r="AK127" i="18"/>
  <c r="AL117" i="18"/>
  <c r="AJ348" i="18"/>
  <c r="AK338" i="18"/>
  <c r="AL166" i="18"/>
  <c r="AM156" i="18"/>
  <c r="AJ869" i="18"/>
  <c r="AK859" i="18"/>
  <c r="AG13" i="24"/>
  <c r="AH12" i="24"/>
  <c r="AS612" i="18"/>
  <c r="AQ547" i="18"/>
  <c r="AY514" i="18"/>
  <c r="AX518" i="18"/>
  <c r="AN312" i="18"/>
  <c r="AL270" i="18"/>
  <c r="AM260" i="18"/>
  <c r="AM807" i="18"/>
  <c r="AM778" i="18"/>
  <c r="AN768" i="18"/>
  <c r="AK596" i="18"/>
  <c r="AL586" i="18"/>
  <c r="AL426" i="18"/>
  <c r="AM416" i="18"/>
  <c r="AO534" i="18"/>
  <c r="AN364" i="18"/>
  <c r="AN683" i="18"/>
  <c r="AN758" i="18"/>
  <c r="AM765" i="18"/>
  <c r="AO781" i="18"/>
  <c r="AL373" i="18"/>
  <c r="AK374" i="18"/>
  <c r="AK452" i="18"/>
  <c r="AL442" i="18"/>
  <c r="AO625" i="18"/>
  <c r="AK823" i="18"/>
  <c r="AJ830" i="18"/>
  <c r="AJ361" i="18"/>
  <c r="AK351" i="18"/>
  <c r="AK739" i="18"/>
  <c r="AL729" i="18"/>
  <c r="AQ614" i="18"/>
  <c r="AL257" i="18"/>
  <c r="AM247" i="18"/>
  <c r="AI283" i="18"/>
  <c r="AJ273" i="18"/>
  <c r="AN377" i="18"/>
  <c r="AM700" i="18"/>
  <c r="AN690" i="18"/>
  <c r="AM136" i="18"/>
  <c r="AL140" i="18"/>
  <c r="AN821" i="18"/>
  <c r="AL531" i="18"/>
  <c r="AM521" i="18"/>
  <c r="AK749" i="18"/>
  <c r="AJ752" i="18"/>
  <c r="AK379" i="18"/>
  <c r="AJ387" i="18"/>
  <c r="AM332" i="18"/>
  <c r="AL335" i="18"/>
  <c r="AK790" i="18"/>
  <c r="AJ791" i="18"/>
  <c r="AK816" i="18"/>
  <c r="AJ817" i="18"/>
  <c r="AG89" i="18"/>
  <c r="AG101" i="18" s="1"/>
  <c r="G876" i="18"/>
  <c r="F70" i="24"/>
  <c r="F466" i="18"/>
  <c r="N76" i="18"/>
  <c r="O76" i="18" s="1"/>
  <c r="O88" i="18" s="1"/>
  <c r="O75" i="18" s="1"/>
  <c r="O472" i="18" s="1"/>
  <c r="AI465" i="18" l="1"/>
  <c r="AJ455" i="18"/>
  <c r="AL801" i="18"/>
  <c r="AK804" i="18"/>
  <c r="AL749" i="18"/>
  <c r="AK752" i="18"/>
  <c r="AK361" i="18"/>
  <c r="AL351" i="18"/>
  <c r="AO312" i="18"/>
  <c r="AQ651" i="18"/>
  <c r="AQ846" i="18"/>
  <c r="AM373" i="18"/>
  <c r="AL374" i="18"/>
  <c r="AL211" i="18"/>
  <c r="AK218" i="18"/>
  <c r="AQ820" i="18"/>
  <c r="AL668" i="18"/>
  <c r="AK674" i="18"/>
  <c r="AM153" i="18"/>
  <c r="AN143" i="18"/>
  <c r="AL413" i="18"/>
  <c r="AM403" i="18"/>
  <c r="AL379" i="18"/>
  <c r="AK387" i="18"/>
  <c r="AL823" i="18"/>
  <c r="AK830" i="18"/>
  <c r="AP781" i="18"/>
  <c r="AZ514" i="18"/>
  <c r="AY518" i="18"/>
  <c r="AK540" i="18"/>
  <c r="AJ544" i="18"/>
  <c r="BE508" i="18"/>
  <c r="AM685" i="18"/>
  <c r="AL687" i="18"/>
  <c r="AM848" i="18"/>
  <c r="AL856" i="18"/>
  <c r="AP625" i="18"/>
  <c r="AM166" i="18"/>
  <c r="AN156" i="18"/>
  <c r="AO560" i="18"/>
  <c r="AK573" i="18"/>
  <c r="AJ583" i="18"/>
  <c r="AQ182" i="18"/>
  <c r="AI231" i="18"/>
  <c r="AJ221" i="18"/>
  <c r="AQ130" i="18"/>
  <c r="AN700" i="18"/>
  <c r="AO690" i="18"/>
  <c r="AR547" i="18"/>
  <c r="AM531" i="18"/>
  <c r="AN521" i="18"/>
  <c r="AA4" i="18"/>
  <c r="Z4" i="24"/>
  <c r="AL319" i="18"/>
  <c r="AK322" i="18"/>
  <c r="AK487" i="18"/>
  <c r="AJ492" i="18"/>
  <c r="AO377" i="18"/>
  <c r="AL452" i="18"/>
  <c r="AM442" i="18"/>
  <c r="AL596" i="18"/>
  <c r="AM586" i="18"/>
  <c r="AM270" i="18"/>
  <c r="AN260" i="18"/>
  <c r="AT612" i="18"/>
  <c r="AK348" i="18"/>
  <c r="AL338" i="18"/>
  <c r="AQ482" i="18"/>
  <c r="AK205" i="18"/>
  <c r="AL195" i="18"/>
  <c r="AR677" i="18"/>
  <c r="AO794" i="18"/>
  <c r="AN400" i="18"/>
  <c r="AO390" i="18"/>
  <c r="AM549" i="18"/>
  <c r="AL557" i="18"/>
  <c r="AM426" i="18"/>
  <c r="AN416" i="18"/>
  <c r="AK309" i="18"/>
  <c r="AL299" i="18"/>
  <c r="AK706" i="18"/>
  <c r="AJ713" i="18"/>
  <c r="AR614" i="18"/>
  <c r="AO758" i="18"/>
  <c r="AN765" i="18"/>
  <c r="AL604" i="18"/>
  <c r="AK609" i="18"/>
  <c r="AK288" i="18"/>
  <c r="AJ296" i="18"/>
  <c r="BC511" i="18"/>
  <c r="AO208" i="18"/>
  <c r="AL790" i="18"/>
  <c r="AK791" i="18"/>
  <c r="AL739" i="18"/>
  <c r="AM729" i="18"/>
  <c r="AO683" i="18"/>
  <c r="AN640" i="18"/>
  <c r="AM648" i="18"/>
  <c r="AP703" i="18"/>
  <c r="AL618" i="18"/>
  <c r="AK622" i="18"/>
  <c r="AM286" i="18"/>
  <c r="AQ599" i="18"/>
  <c r="AL655" i="18"/>
  <c r="AK661" i="18"/>
  <c r="AJ283" i="18"/>
  <c r="AK273" i="18"/>
  <c r="AL127" i="18"/>
  <c r="AM117" i="18"/>
  <c r="AL718" i="18"/>
  <c r="AK726" i="18"/>
  <c r="AO664" i="18"/>
  <c r="AN332" i="18"/>
  <c r="AM335" i="18"/>
  <c r="AO364" i="18"/>
  <c r="AH13" i="24"/>
  <c r="AI12" i="24"/>
  <c r="AL816" i="18"/>
  <c r="AK817" i="18"/>
  <c r="AO821" i="18"/>
  <c r="AN778" i="18"/>
  <c r="AO768" i="18"/>
  <c r="AP742" i="18"/>
  <c r="AK627" i="18"/>
  <c r="AJ635" i="18"/>
  <c r="AM187" i="18"/>
  <c r="AL192" i="18"/>
  <c r="AK566" i="18"/>
  <c r="AJ570" i="18"/>
  <c r="AS638" i="18"/>
  <c r="AN136" i="18"/>
  <c r="AM140" i="18"/>
  <c r="AM257" i="18"/>
  <c r="AN247" i="18"/>
  <c r="AP534" i="18"/>
  <c r="AN807" i="18"/>
  <c r="AK869" i="18"/>
  <c r="AL859" i="18"/>
  <c r="AQ755" i="18"/>
  <c r="AP325" i="18"/>
  <c r="AL179" i="18"/>
  <c r="AM169" i="18"/>
  <c r="AS716" i="18"/>
  <c r="AK439" i="18"/>
  <c r="AL429" i="18"/>
  <c r="AL244" i="18"/>
  <c r="AM234" i="18"/>
  <c r="AL843" i="18"/>
  <c r="AM833" i="18"/>
  <c r="AH89" i="18"/>
  <c r="AH101" i="18" s="1"/>
  <c r="F151" i="24"/>
  <c r="F90" i="24"/>
  <c r="F122" i="24"/>
  <c r="N88" i="18"/>
  <c r="N75" i="18" s="1"/>
  <c r="N472" i="18" s="1"/>
  <c r="H876" i="18"/>
  <c r="G467" i="18"/>
  <c r="G475" i="18" s="1"/>
  <c r="F474" i="18"/>
  <c r="G466" i="18"/>
  <c r="P76" i="18"/>
  <c r="Q76" i="18" s="1"/>
  <c r="AK455" i="18" l="1"/>
  <c r="AJ465" i="18"/>
  <c r="AM801" i="18"/>
  <c r="AL804" i="18"/>
  <c r="AI89" i="18"/>
  <c r="AI101" i="18" s="1"/>
  <c r="AO807" i="18"/>
  <c r="AN257" i="18"/>
  <c r="AO247" i="18"/>
  <c r="AS614" i="18"/>
  <c r="AN270" i="18"/>
  <c r="AO260" i="18"/>
  <c r="AN166" i="18"/>
  <c r="AO156" i="18"/>
  <c r="AO136" i="18"/>
  <c r="AN140" i="18"/>
  <c r="AP664" i="18"/>
  <c r="AL309" i="18"/>
  <c r="AM299" i="18"/>
  <c r="AM319" i="18"/>
  <c r="AL322" i="18"/>
  <c r="AL540" i="18"/>
  <c r="AK544" i="18"/>
  <c r="AR651" i="18"/>
  <c r="AM655" i="18"/>
  <c r="AL661" i="18"/>
  <c r="AL348" i="18"/>
  <c r="AM338" i="18"/>
  <c r="AR820" i="18"/>
  <c r="AM843" i="18"/>
  <c r="AN833" i="18"/>
  <c r="AQ703" i="18"/>
  <c r="AP794" i="18"/>
  <c r="AQ742" i="18"/>
  <c r="AI13" i="24"/>
  <c r="AJ12" i="24"/>
  <c r="AN426" i="18"/>
  <c r="AO416" i="18"/>
  <c r="AA4" i="24"/>
  <c r="AB4" i="18"/>
  <c r="AK583" i="18"/>
  <c r="AL573" i="18"/>
  <c r="AN848" i="18"/>
  <c r="AM856" i="18"/>
  <c r="BA514" i="18"/>
  <c r="AZ518" i="18"/>
  <c r="AM413" i="18"/>
  <c r="AN403" i="18"/>
  <c r="AP312" i="18"/>
  <c r="AM604" i="18"/>
  <c r="AL609" i="18"/>
  <c r="AM452" i="18"/>
  <c r="AN442" i="18"/>
  <c r="AM379" i="18"/>
  <c r="AL387" i="18"/>
  <c r="AT638" i="18"/>
  <c r="AR599" i="18"/>
  <c r="AM244" i="18"/>
  <c r="AN234" i="18"/>
  <c r="AQ325" i="18"/>
  <c r="AQ534" i="18"/>
  <c r="AM718" i="18"/>
  <c r="AL726" i="18"/>
  <c r="AO640" i="18"/>
  <c r="AN648" i="18"/>
  <c r="AP758" i="18"/>
  <c r="AO765" i="18"/>
  <c r="AS677" i="18"/>
  <c r="AU612" i="18"/>
  <c r="AP377" i="18"/>
  <c r="AN531" i="18"/>
  <c r="AO521" i="18"/>
  <c r="AP560" i="18"/>
  <c r="AM211" i="18"/>
  <c r="AL218" i="18"/>
  <c r="AM816" i="18"/>
  <c r="AL817" i="18"/>
  <c r="AM790" i="18"/>
  <c r="AL791" i="18"/>
  <c r="AR130" i="18"/>
  <c r="AP208" i="18"/>
  <c r="AO778" i="18"/>
  <c r="AP768" i="18"/>
  <c r="AP364" i="18"/>
  <c r="AM127" i="18"/>
  <c r="AN117" i="18"/>
  <c r="AN286" i="18"/>
  <c r="AN685" i="18"/>
  <c r="AM687" i="18"/>
  <c r="AQ781" i="18"/>
  <c r="AN153" i="18"/>
  <c r="AO143" i="18"/>
  <c r="AL361" i="18"/>
  <c r="AM351" i="18"/>
  <c r="AL439" i="18"/>
  <c r="AM429" i="18"/>
  <c r="AJ231" i="18"/>
  <c r="AK221" i="18"/>
  <c r="AM179" i="18"/>
  <c r="AN169" i="18"/>
  <c r="AL566" i="18"/>
  <c r="AK570" i="18"/>
  <c r="AP683" i="18"/>
  <c r="AL205" i="18"/>
  <c r="AM195" i="18"/>
  <c r="BF508" i="18"/>
  <c r="AN373" i="18"/>
  <c r="AM374" i="18"/>
  <c r="AK283" i="18"/>
  <c r="AL273" i="18"/>
  <c r="AM739" i="18"/>
  <c r="AN729" i="18"/>
  <c r="AN549" i="18"/>
  <c r="AM557" i="18"/>
  <c r="AL487" i="18"/>
  <c r="AK492" i="18"/>
  <c r="AM823" i="18"/>
  <c r="AL830" i="18"/>
  <c r="AR846" i="18"/>
  <c r="AL627" i="18"/>
  <c r="AK635" i="18"/>
  <c r="AR755" i="18"/>
  <c r="BD511" i="18"/>
  <c r="AS547" i="18"/>
  <c r="AT716" i="18"/>
  <c r="AL869" i="18"/>
  <c r="AM859" i="18"/>
  <c r="AN187" i="18"/>
  <c r="AM192" i="18"/>
  <c r="AP821" i="18"/>
  <c r="AO332" i="18"/>
  <c r="AN335" i="18"/>
  <c r="AM618" i="18"/>
  <c r="AL622" i="18"/>
  <c r="AL288" i="18"/>
  <c r="AK296" i="18"/>
  <c r="AL706" i="18"/>
  <c r="AK713" i="18"/>
  <c r="AO400" i="18"/>
  <c r="AP390" i="18"/>
  <c r="AR482" i="18"/>
  <c r="AM596" i="18"/>
  <c r="AN586" i="18"/>
  <c r="AO700" i="18"/>
  <c r="AP690" i="18"/>
  <c r="AR182" i="18"/>
  <c r="AQ625" i="18"/>
  <c r="AM668" i="18"/>
  <c r="AL674" i="18"/>
  <c r="AM749" i="18"/>
  <c r="AL752" i="18"/>
  <c r="Q88" i="18"/>
  <c r="Q75" i="18" s="1"/>
  <c r="Q472" i="18" s="1"/>
  <c r="R76" i="18"/>
  <c r="R88" i="18" s="1"/>
  <c r="R75" i="18" s="1"/>
  <c r="R472" i="18" s="1"/>
  <c r="AJ89" i="18"/>
  <c r="I876" i="18"/>
  <c r="F124" i="24"/>
  <c r="F126" i="24"/>
  <c r="F123" i="24"/>
  <c r="G7" i="7945"/>
  <c r="G186" i="1"/>
  <c r="G137" i="24"/>
  <c r="F91" i="24"/>
  <c r="F94" i="24"/>
  <c r="F92" i="24"/>
  <c r="G474" i="18"/>
  <c r="H466" i="18"/>
  <c r="H467" i="18"/>
  <c r="H475" i="18" s="1"/>
  <c r="G471" i="18"/>
  <c r="G874" i="18"/>
  <c r="G17" i="24"/>
  <c r="G64" i="24"/>
  <c r="P88" i="18"/>
  <c r="P75" i="18" s="1"/>
  <c r="P472" i="18" s="1"/>
  <c r="J876" i="18" l="1"/>
  <c r="AK465" i="18"/>
  <c r="AL455" i="18"/>
  <c r="AN801" i="18"/>
  <c r="AM804" i="18"/>
  <c r="S76" i="18"/>
  <c r="T76" i="18" s="1"/>
  <c r="T88" i="18" s="1"/>
  <c r="T75" i="18" s="1"/>
  <c r="T472" i="18" s="1"/>
  <c r="AP332" i="18"/>
  <c r="AO335" i="18"/>
  <c r="AM627" i="18"/>
  <c r="AL635" i="18"/>
  <c r="AO549" i="18"/>
  <c r="AN557" i="18"/>
  <c r="AN179" i="18"/>
  <c r="AO169" i="18"/>
  <c r="AO153" i="18"/>
  <c r="AP143" i="18"/>
  <c r="AN127" i="18"/>
  <c r="AO117" i="18"/>
  <c r="AN211" i="18"/>
  <c r="AM218" i="18"/>
  <c r="AP640" i="18"/>
  <c r="AO648" i="18"/>
  <c r="AO426" i="18"/>
  <c r="AP416" i="18"/>
  <c r="AR703" i="18"/>
  <c r="AM309" i="18"/>
  <c r="AN299" i="18"/>
  <c r="AO270" i="18"/>
  <c r="AP260" i="18"/>
  <c r="AT547" i="18"/>
  <c r="AS846" i="18"/>
  <c r="AN739" i="18"/>
  <c r="AO729" i="18"/>
  <c r="AS130" i="18"/>
  <c r="AQ560" i="18"/>
  <c r="AV612" i="18"/>
  <c r="AS599" i="18"/>
  <c r="BB514" i="18"/>
  <c r="BA518" i="18"/>
  <c r="AN655" i="18"/>
  <c r="AM661" i="18"/>
  <c r="AN618" i="18"/>
  <c r="AM622" i="18"/>
  <c r="AM706" i="18"/>
  <c r="AL713" i="18"/>
  <c r="AQ821" i="18"/>
  <c r="AM205" i="18"/>
  <c r="AN195" i="18"/>
  <c r="AK231" i="18"/>
  <c r="AL221" i="18"/>
  <c r="AQ364" i="18"/>
  <c r="AN718" i="18"/>
  <c r="AM726" i="18"/>
  <c r="AN604" i="18"/>
  <c r="AM609" i="18"/>
  <c r="AK12" i="24"/>
  <c r="AJ13" i="24"/>
  <c r="AN843" i="18"/>
  <c r="AO833" i="18"/>
  <c r="AQ664" i="18"/>
  <c r="AP700" i="18"/>
  <c r="AQ690" i="18"/>
  <c r="AN749" i="18"/>
  <c r="AM752" i="18"/>
  <c r="AN596" i="18"/>
  <c r="AO586" i="18"/>
  <c r="AL283" i="18"/>
  <c r="AM273" i="18"/>
  <c r="AR781" i="18"/>
  <c r="AT677" i="18"/>
  <c r="AR534" i="18"/>
  <c r="AU638" i="18"/>
  <c r="AO848" i="18"/>
  <c r="AN856" i="18"/>
  <c r="AS651" i="18"/>
  <c r="AT614" i="18"/>
  <c r="AN668" i="18"/>
  <c r="AM674" i="18"/>
  <c r="AM288" i="18"/>
  <c r="AL296" i="18"/>
  <c r="AO187" i="18"/>
  <c r="AN192" i="18"/>
  <c r="BE511" i="18"/>
  <c r="AN823" i="18"/>
  <c r="AM830" i="18"/>
  <c r="AM439" i="18"/>
  <c r="AN429" i="18"/>
  <c r="AP778" i="18"/>
  <c r="AQ768" i="18"/>
  <c r="AN790" i="18"/>
  <c r="AM791" i="18"/>
  <c r="AQ312" i="18"/>
  <c r="AL583" i="18"/>
  <c r="AM573" i="18"/>
  <c r="AR742" i="18"/>
  <c r="AO257" i="18"/>
  <c r="AP247" i="18"/>
  <c r="AR625" i="18"/>
  <c r="AS482" i="18"/>
  <c r="AM869" i="18"/>
  <c r="AN859" i="18"/>
  <c r="AS755" i="18"/>
  <c r="AQ683" i="18"/>
  <c r="AO685" i="18"/>
  <c r="AN687" i="18"/>
  <c r="AO531" i="18"/>
  <c r="AP521" i="18"/>
  <c r="AR325" i="18"/>
  <c r="AS820" i="18"/>
  <c r="AM540" i="18"/>
  <c r="AL544" i="18"/>
  <c r="AP136" i="18"/>
  <c r="AO140" i="18"/>
  <c r="AO373" i="18"/>
  <c r="AN374" i="18"/>
  <c r="AM361" i="18"/>
  <c r="AN351" i="18"/>
  <c r="AO286" i="18"/>
  <c r="AN816" i="18"/>
  <c r="AM817" i="18"/>
  <c r="AQ758" i="18"/>
  <c r="AP765" i="18"/>
  <c r="AN379" i="18"/>
  <c r="AM387" i="18"/>
  <c r="AN413" i="18"/>
  <c r="AO403" i="18"/>
  <c r="AB4" i="24"/>
  <c r="AC4" i="18"/>
  <c r="AQ794" i="18"/>
  <c r="AM348" i="18"/>
  <c r="AN338" i="18"/>
  <c r="AO166" i="18"/>
  <c r="AP156" i="18"/>
  <c r="AP807" i="18"/>
  <c r="AM487" i="18"/>
  <c r="AL492" i="18"/>
  <c r="AS182" i="18"/>
  <c r="AP400" i="18"/>
  <c r="AQ390" i="18"/>
  <c r="AU716" i="18"/>
  <c r="BG508" i="18"/>
  <c r="AM566" i="18"/>
  <c r="AL570" i="18"/>
  <c r="AQ208" i="18"/>
  <c r="AQ377" i="18"/>
  <c r="AN244" i="18"/>
  <c r="AO234" i="18"/>
  <c r="AN452" i="18"/>
  <c r="AO442" i="18"/>
  <c r="AN319" i="18"/>
  <c r="AM322" i="18"/>
  <c r="H137" i="24"/>
  <c r="AJ101" i="18"/>
  <c r="AK89" i="18"/>
  <c r="F125" i="24"/>
  <c r="G19" i="24"/>
  <c r="G18" i="24"/>
  <c r="F95" i="24"/>
  <c r="F127" i="24"/>
  <c r="G877" i="18"/>
  <c r="G473" i="18"/>
  <c r="I467" i="18"/>
  <c r="I475" i="18" s="1"/>
  <c r="H474" i="18"/>
  <c r="I466" i="18"/>
  <c r="H874" i="18"/>
  <c r="F93" i="24"/>
  <c r="K876" i="18"/>
  <c r="H64" i="24"/>
  <c r="H17" i="24"/>
  <c r="H471" i="18"/>
  <c r="H473" i="18" s="1"/>
  <c r="G187" i="1"/>
  <c r="H186" i="1"/>
  <c r="H7" i="7945"/>
  <c r="G9" i="7945"/>
  <c r="G878" i="18" l="1"/>
  <c r="I186" i="1"/>
  <c r="AM455" i="18"/>
  <c r="AL465" i="18"/>
  <c r="I7" i="7945"/>
  <c r="AO801" i="18"/>
  <c r="AN804" i="18"/>
  <c r="S88" i="18"/>
  <c r="S75" i="18" s="1"/>
  <c r="S472" i="18" s="1"/>
  <c r="I874" i="18"/>
  <c r="I137" i="24"/>
  <c r="AN869" i="18"/>
  <c r="AO859" i="18"/>
  <c r="AT130" i="18"/>
  <c r="AR208" i="18"/>
  <c r="AQ400" i="18"/>
  <c r="AR390" i="18"/>
  <c r="AP166" i="18"/>
  <c r="AQ156" i="18"/>
  <c r="AO413" i="18"/>
  <c r="AP403" i="18"/>
  <c r="AP286" i="18"/>
  <c r="AP187" i="18"/>
  <c r="AO192" i="18"/>
  <c r="AT651" i="18"/>
  <c r="AU677" i="18"/>
  <c r="AO596" i="18"/>
  <c r="AP586" i="18"/>
  <c r="AO843" i="18"/>
  <c r="AP833" i="18"/>
  <c r="AR364" i="18"/>
  <c r="BC514" i="18"/>
  <c r="BB518" i="18"/>
  <c r="AQ640" i="18"/>
  <c r="AP648" i="18"/>
  <c r="AR821" i="18"/>
  <c r="AO319" i="18"/>
  <c r="AN322" i="18"/>
  <c r="AN540" i="18"/>
  <c r="AM544" i="18"/>
  <c r="AP685" i="18"/>
  <c r="AO687" i="18"/>
  <c r="AT482" i="18"/>
  <c r="AM583" i="18"/>
  <c r="AN573" i="18"/>
  <c r="AN439" i="18"/>
  <c r="AO429" i="18"/>
  <c r="AN706" i="18"/>
  <c r="AM713" i="18"/>
  <c r="AT599" i="18"/>
  <c r="AO739" i="18"/>
  <c r="AP729" i="18"/>
  <c r="AN309" i="18"/>
  <c r="AO299" i="18"/>
  <c r="AQ778" i="18"/>
  <c r="AR768" i="18"/>
  <c r="AO179" i="18"/>
  <c r="AP169" i="18"/>
  <c r="AT182" i="18"/>
  <c r="AN348" i="18"/>
  <c r="AO338" i="18"/>
  <c r="AN361" i="18"/>
  <c r="AO351" i="18"/>
  <c r="AN288" i="18"/>
  <c r="AM296" i="18"/>
  <c r="AP848" i="18"/>
  <c r="AO856" i="18"/>
  <c r="AL231" i="18"/>
  <c r="AM221" i="18"/>
  <c r="AO211" i="18"/>
  <c r="AN218" i="18"/>
  <c r="AP549" i="18"/>
  <c r="AO557" i="18"/>
  <c r="AS742" i="18"/>
  <c r="AO452" i="18"/>
  <c r="AP442" i="18"/>
  <c r="AN566" i="18"/>
  <c r="AM570" i="18"/>
  <c r="AO379" i="18"/>
  <c r="AN387" i="18"/>
  <c r="AT820" i="18"/>
  <c r="AR683" i="18"/>
  <c r="AS625" i="18"/>
  <c r="AR312" i="18"/>
  <c r="AO749" i="18"/>
  <c r="AN752" i="18"/>
  <c r="AL12" i="24"/>
  <c r="AK13" i="24"/>
  <c r="AW612" i="18"/>
  <c r="AT846" i="18"/>
  <c r="AS703" i="18"/>
  <c r="AO127" i="18"/>
  <c r="AP117" i="18"/>
  <c r="AO816" i="18"/>
  <c r="AN817" i="18"/>
  <c r="AP270" i="18"/>
  <c r="AQ260" i="18"/>
  <c r="AO244" i="18"/>
  <c r="AP234" i="18"/>
  <c r="AR794" i="18"/>
  <c r="AS325" i="18"/>
  <c r="AO823" i="18"/>
  <c r="AN830" i="18"/>
  <c r="AO668" i="18"/>
  <c r="AN674" i="18"/>
  <c r="AV638" i="18"/>
  <c r="AQ700" i="18"/>
  <c r="AR690" i="18"/>
  <c r="AN205" i="18"/>
  <c r="AO195" i="18"/>
  <c r="AO618" i="18"/>
  <c r="AN622" i="18"/>
  <c r="AN627" i="18"/>
  <c r="AM635" i="18"/>
  <c r="AQ136" i="18"/>
  <c r="AP140" i="18"/>
  <c r="AO718" i="18"/>
  <c r="AN726" i="18"/>
  <c r="BH508" i="18"/>
  <c r="AN487" i="18"/>
  <c r="AM492" i="18"/>
  <c r="AR758" i="18"/>
  <c r="AQ765" i="18"/>
  <c r="AP373" i="18"/>
  <c r="AO374" i="18"/>
  <c r="AT755" i="18"/>
  <c r="AP257" i="18"/>
  <c r="AQ247" i="18"/>
  <c r="AS781" i="18"/>
  <c r="AO604" i="18"/>
  <c r="AN609" i="18"/>
  <c r="AR560" i="18"/>
  <c r="AU547" i="18"/>
  <c r="AP426" i="18"/>
  <c r="AQ416" i="18"/>
  <c r="AP153" i="18"/>
  <c r="AQ143" i="18"/>
  <c r="AR377" i="18"/>
  <c r="AV716" i="18"/>
  <c r="AQ807" i="18"/>
  <c r="AD4" i="18"/>
  <c r="AC4" i="24"/>
  <c r="AP531" i="18"/>
  <c r="AQ521" i="18"/>
  <c r="AO790" i="18"/>
  <c r="AN791" i="18"/>
  <c r="BF511" i="18"/>
  <c r="AU614" i="18"/>
  <c r="AS534" i="18"/>
  <c r="AM283" i="18"/>
  <c r="AN273" i="18"/>
  <c r="AR664" i="18"/>
  <c r="AO655" i="18"/>
  <c r="AN661" i="18"/>
  <c r="AQ332" i="18"/>
  <c r="AP335" i="18"/>
  <c r="L876" i="18"/>
  <c r="M876" i="18" s="1"/>
  <c r="AK101" i="18"/>
  <c r="AL89" i="18"/>
  <c r="I187" i="1"/>
  <c r="I30" i="24" s="1"/>
  <c r="H28" i="24"/>
  <c r="H164" i="24" s="1"/>
  <c r="H134" i="24"/>
  <c r="G134" i="24"/>
  <c r="G28" i="24"/>
  <c r="H19" i="24"/>
  <c r="H26" i="24" s="1"/>
  <c r="H18" i="24"/>
  <c r="G880" i="18"/>
  <c r="H877" i="18"/>
  <c r="G25" i="24"/>
  <c r="G142" i="24"/>
  <c r="G26" i="24"/>
  <c r="F72" i="24"/>
  <c r="U76" i="18"/>
  <c r="H9" i="7945"/>
  <c r="I9" i="7945" s="1"/>
  <c r="H187" i="1"/>
  <c r="H30" i="24" s="1"/>
  <c r="I474" i="18"/>
  <c r="J466" i="18"/>
  <c r="J467" i="18"/>
  <c r="J475" i="18" s="1"/>
  <c r="G30" i="24"/>
  <c r="I17" i="24"/>
  <c r="I64" i="24"/>
  <c r="I471" i="18"/>
  <c r="I473" i="18" s="1"/>
  <c r="J874" i="18" l="1"/>
  <c r="AM465" i="18"/>
  <c r="AN455" i="18"/>
  <c r="AP801" i="18"/>
  <c r="AO804" i="18"/>
  <c r="AP655" i="18"/>
  <c r="AO661" i="18"/>
  <c r="AP790" i="18"/>
  <c r="AO791" i="18"/>
  <c r="AO487" i="18"/>
  <c r="AN492" i="18"/>
  <c r="AO627" i="18"/>
  <c r="AN635" i="18"/>
  <c r="AP127" i="18"/>
  <c r="AQ117" i="18"/>
  <c r="AO566" i="18"/>
  <c r="AN570" i="18"/>
  <c r="AP211" i="18"/>
  <c r="AO218" i="18"/>
  <c r="AO288" i="18"/>
  <c r="AN296" i="18"/>
  <c r="AS821" i="18"/>
  <c r="AQ187" i="18"/>
  <c r="AP192" i="18"/>
  <c r="AQ531" i="18"/>
  <c r="AR521" i="18"/>
  <c r="AS560" i="18"/>
  <c r="AU755" i="18"/>
  <c r="BI508" i="18"/>
  <c r="AM12" i="24"/>
  <c r="AL13" i="24"/>
  <c r="AP452" i="18"/>
  <c r="AQ442" i="18"/>
  <c r="AM231" i="18"/>
  <c r="AN221" i="18"/>
  <c r="AO361" i="18"/>
  <c r="AP351" i="18"/>
  <c r="AR778" i="18"/>
  <c r="AS768" i="18"/>
  <c r="AP596" i="18"/>
  <c r="AQ586" i="18"/>
  <c r="AQ286" i="18"/>
  <c r="AS208" i="18"/>
  <c r="AT534" i="18"/>
  <c r="AS377" i="18"/>
  <c r="G72" i="24"/>
  <c r="G135" i="24" s="1"/>
  <c r="AR332" i="18"/>
  <c r="AQ335" i="18"/>
  <c r="AP618" i="18"/>
  <c r="AO622" i="18"/>
  <c r="AP668" i="18"/>
  <c r="AO674" i="18"/>
  <c r="AP244" i="18"/>
  <c r="AQ234" i="18"/>
  <c r="AT703" i="18"/>
  <c r="AS683" i="18"/>
  <c r="AO706" i="18"/>
  <c r="AN713" i="18"/>
  <c r="AQ685" i="18"/>
  <c r="AP687" i="18"/>
  <c r="AR640" i="18"/>
  <c r="AQ648" i="18"/>
  <c r="AQ153" i="18"/>
  <c r="AR143" i="18"/>
  <c r="AO205" i="18"/>
  <c r="AP195" i="18"/>
  <c r="AP749" i="18"/>
  <c r="AO752" i="18"/>
  <c r="AT742" i="18"/>
  <c r="AO348" i="18"/>
  <c r="AP338" i="18"/>
  <c r="AO309" i="18"/>
  <c r="AP299" i="18"/>
  <c r="AO439" i="18"/>
  <c r="AP429" i="18"/>
  <c r="AV677" i="18"/>
  <c r="AP413" i="18"/>
  <c r="AQ403" i="18"/>
  <c r="AU130" i="18"/>
  <c r="AD4" i="24"/>
  <c r="AE4" i="18"/>
  <c r="AP604" i="18"/>
  <c r="AO609" i="18"/>
  <c r="AQ373" i="18"/>
  <c r="AP374" i="18"/>
  <c r="AP718" i="18"/>
  <c r="AO726" i="18"/>
  <c r="AP823" i="18"/>
  <c r="AO830" i="18"/>
  <c r="AQ270" i="18"/>
  <c r="AR260" i="18"/>
  <c r="AU846" i="18"/>
  <c r="AU820" i="18"/>
  <c r="AO540" i="18"/>
  <c r="AN544" i="18"/>
  <c r="BD514" i="18"/>
  <c r="BC518" i="18"/>
  <c r="AS664" i="18"/>
  <c r="AR807" i="18"/>
  <c r="AQ426" i="18"/>
  <c r="AR416" i="18"/>
  <c r="AR700" i="18"/>
  <c r="AS690" i="18"/>
  <c r="AT325" i="18"/>
  <c r="AS312" i="18"/>
  <c r="AU182" i="18"/>
  <c r="AP739" i="18"/>
  <c r="AQ729" i="18"/>
  <c r="AN583" i="18"/>
  <c r="AO573" i="18"/>
  <c r="AS364" i="18"/>
  <c r="AQ166" i="18"/>
  <c r="AR156" i="18"/>
  <c r="AO869" i="18"/>
  <c r="AP859" i="18"/>
  <c r="AV614" i="18"/>
  <c r="BG511" i="18"/>
  <c r="AT781" i="18"/>
  <c r="AS758" i="18"/>
  <c r="AR765" i="18"/>
  <c r="AR136" i="18"/>
  <c r="AQ140" i="18"/>
  <c r="AX612" i="18"/>
  <c r="AP379" i="18"/>
  <c r="AO387" i="18"/>
  <c r="AQ549" i="18"/>
  <c r="AP557" i="18"/>
  <c r="AQ848" i="18"/>
  <c r="AP856" i="18"/>
  <c r="AP319" i="18"/>
  <c r="AO322" i="18"/>
  <c r="AU651" i="18"/>
  <c r="AN283" i="18"/>
  <c r="AO273" i="18"/>
  <c r="AW716" i="18"/>
  <c r="AV547" i="18"/>
  <c r="AQ257" i="18"/>
  <c r="AR247" i="18"/>
  <c r="AW638" i="18"/>
  <c r="AS794" i="18"/>
  <c r="AP816" i="18"/>
  <c r="AO817" i="18"/>
  <c r="AT625" i="18"/>
  <c r="AP179" i="18"/>
  <c r="AQ169" i="18"/>
  <c r="AU599" i="18"/>
  <c r="AU482" i="18"/>
  <c r="AP843" i="18"/>
  <c r="AQ833" i="18"/>
  <c r="AR400" i="18"/>
  <c r="AS390" i="18"/>
  <c r="N876" i="18"/>
  <c r="O876" i="18" s="1"/>
  <c r="P876" i="18" s="1"/>
  <c r="AL101" i="18"/>
  <c r="AM89" i="18"/>
  <c r="J137" i="24"/>
  <c r="F85" i="24"/>
  <c r="F152" i="24"/>
  <c r="F154" i="24" s="1"/>
  <c r="F88" i="24"/>
  <c r="F120" i="24"/>
  <c r="F117" i="24"/>
  <c r="F109" i="24"/>
  <c r="F77" i="24"/>
  <c r="G65" i="24"/>
  <c r="G161" i="24"/>
  <c r="G30" i="7943"/>
  <c r="G23" i="24"/>
  <c r="I877" i="18"/>
  <c r="G31" i="7943"/>
  <c r="G164" i="24"/>
  <c r="J474" i="18"/>
  <c r="K466" i="18"/>
  <c r="K467" i="18"/>
  <c r="K475" i="18" s="1"/>
  <c r="U88" i="18"/>
  <c r="U75" i="18" s="1"/>
  <c r="U472" i="18" s="1"/>
  <c r="V76" i="18"/>
  <c r="G71" i="24"/>
  <c r="G23" i="7945" s="1"/>
  <c r="G48" i="24"/>
  <c r="I28" i="24"/>
  <c r="I164" i="24" s="1"/>
  <c r="I134" i="24"/>
  <c r="J186" i="1"/>
  <c r="H878" i="18"/>
  <c r="H142" i="24"/>
  <c r="H25" i="24"/>
  <c r="J471" i="18"/>
  <c r="J473" i="18" s="1"/>
  <c r="J64" i="24"/>
  <c r="J17" i="24"/>
  <c r="H48" i="24"/>
  <c r="H71" i="24"/>
  <c r="I18" i="24"/>
  <c r="I19" i="24"/>
  <c r="G162" i="24"/>
  <c r="G22" i="7945" s="1"/>
  <c r="G46" i="24"/>
  <c r="G32" i="7943"/>
  <c r="G147" i="24"/>
  <c r="H162" i="24"/>
  <c r="H46" i="24"/>
  <c r="J7" i="7945"/>
  <c r="I46" i="24"/>
  <c r="I162" i="24"/>
  <c r="G33" i="7945" l="1"/>
  <c r="K874" i="18"/>
  <c r="AN465" i="18"/>
  <c r="AO455" i="18"/>
  <c r="G152" i="24"/>
  <c r="AQ801" i="18"/>
  <c r="AP804" i="18"/>
  <c r="AS136" i="18"/>
  <c r="AR140" i="18"/>
  <c r="AQ413" i="18"/>
  <c r="AR403" i="18"/>
  <c r="AP627" i="18"/>
  <c r="AO635" i="18"/>
  <c r="AS400" i="18"/>
  <c r="AT390" i="18"/>
  <c r="AQ179" i="18"/>
  <c r="AR169" i="18"/>
  <c r="AX638" i="18"/>
  <c r="AO283" i="18"/>
  <c r="AP273" i="18"/>
  <c r="AP869" i="18"/>
  <c r="AQ859" i="18"/>
  <c r="AQ739" i="18"/>
  <c r="AR729" i="18"/>
  <c r="AS700" i="18"/>
  <c r="AT690" i="18"/>
  <c r="AR373" i="18"/>
  <c r="AQ374" i="18"/>
  <c r="AP706" i="18"/>
  <c r="AO713" i="18"/>
  <c r="AQ668" i="18"/>
  <c r="AP674" i="18"/>
  <c r="AU534" i="18"/>
  <c r="AS778" i="18"/>
  <c r="AT768" i="18"/>
  <c r="AR531" i="18"/>
  <c r="AS521" i="18"/>
  <c r="AP348" i="18"/>
  <c r="AQ338" i="18"/>
  <c r="AP288" i="18"/>
  <c r="AO296" i="18"/>
  <c r="AR549" i="18"/>
  <c r="AQ557" i="18"/>
  <c r="AT758" i="18"/>
  <c r="AS765" i="18"/>
  <c r="BE514" i="18"/>
  <c r="BD518" i="18"/>
  <c r="AR270" i="18"/>
  <c r="AS260" i="18"/>
  <c r="AW677" i="18"/>
  <c r="AR153" i="18"/>
  <c r="AS143" i="18"/>
  <c r="AM13" i="24"/>
  <c r="AN12" i="24"/>
  <c r="AQ211" i="18"/>
  <c r="AP218" i="18"/>
  <c r="AP487" i="18"/>
  <c r="AO492" i="18"/>
  <c r="AP205" i="18"/>
  <c r="AQ195" i="18"/>
  <c r="AQ843" i="18"/>
  <c r="AR833" i="18"/>
  <c r="AU625" i="18"/>
  <c r="AR257" i="18"/>
  <c r="AS247" i="18"/>
  <c r="AR166" i="18"/>
  <c r="AS156" i="18"/>
  <c r="AV182" i="18"/>
  <c r="AR426" i="18"/>
  <c r="AS416" i="18"/>
  <c r="AQ604" i="18"/>
  <c r="AP609" i="18"/>
  <c r="AT683" i="18"/>
  <c r="AQ618" i="18"/>
  <c r="AP622" i="18"/>
  <c r="AT208" i="18"/>
  <c r="AP361" i="18"/>
  <c r="AQ351" i="18"/>
  <c r="AV651" i="18"/>
  <c r="AQ379" i="18"/>
  <c r="AP387" i="18"/>
  <c r="AU781" i="18"/>
  <c r="AP540" i="18"/>
  <c r="AO544" i="18"/>
  <c r="AF4" i="18"/>
  <c r="AE4" i="24"/>
  <c r="AP439" i="18"/>
  <c r="AQ429" i="18"/>
  <c r="AU742" i="18"/>
  <c r="AU703" i="18"/>
  <c r="AR187" i="18"/>
  <c r="AQ192" i="18"/>
  <c r="AP566" i="18"/>
  <c r="AO570" i="18"/>
  <c r="AQ790" i="18"/>
  <c r="AP791" i="18"/>
  <c r="AW614" i="18"/>
  <c r="H22" i="7945"/>
  <c r="I22" i="7945" s="1"/>
  <c r="AV482" i="18"/>
  <c r="AW547" i="18"/>
  <c r="AY612" i="18"/>
  <c r="AT364" i="18"/>
  <c r="AT312" i="18"/>
  <c r="AS807" i="18"/>
  <c r="AQ823" i="18"/>
  <c r="AP830" i="18"/>
  <c r="AS640" i="18"/>
  <c r="AR648" i="18"/>
  <c r="AS332" i="18"/>
  <c r="AR335" i="18"/>
  <c r="AR286" i="18"/>
  <c r="AN231" i="18"/>
  <c r="AO221" i="18"/>
  <c r="AV755" i="18"/>
  <c r="AQ127" i="18"/>
  <c r="AR117" i="18"/>
  <c r="AV846" i="18"/>
  <c r="AQ816" i="18"/>
  <c r="AP817" i="18"/>
  <c r="AQ319" i="18"/>
  <c r="AP322" i="18"/>
  <c r="BH511" i="18"/>
  <c r="AV820" i="18"/>
  <c r="AV130" i="18"/>
  <c r="AP309" i="18"/>
  <c r="AQ299" i="18"/>
  <c r="AQ244" i="18"/>
  <c r="AR234" i="18"/>
  <c r="AT821" i="18"/>
  <c r="AR848" i="18"/>
  <c r="AQ856" i="18"/>
  <c r="AV599" i="18"/>
  <c r="AT794" i="18"/>
  <c r="AX716" i="18"/>
  <c r="AP573" i="18"/>
  <c r="AO583" i="18"/>
  <c r="AU325" i="18"/>
  <c r="AT664" i="18"/>
  <c r="AQ718" i="18"/>
  <c r="AP726" i="18"/>
  <c r="AQ749" i="18"/>
  <c r="AP752" i="18"/>
  <c r="AR685" i="18"/>
  <c r="AQ687" i="18"/>
  <c r="AT377" i="18"/>
  <c r="AQ596" i="18"/>
  <c r="AR586" i="18"/>
  <c r="AQ452" i="18"/>
  <c r="AR442" i="18"/>
  <c r="AT560" i="18"/>
  <c r="AQ655" i="18"/>
  <c r="AP661" i="18"/>
  <c r="H23" i="7945"/>
  <c r="AN89" i="18"/>
  <c r="AM101" i="18"/>
  <c r="L874" i="18"/>
  <c r="H880" i="18"/>
  <c r="G7" i="7946"/>
  <c r="H30" i="7943"/>
  <c r="I25" i="24"/>
  <c r="I142" i="24"/>
  <c r="G8" i="7946"/>
  <c r="H31" i="7943"/>
  <c r="G168" i="24"/>
  <c r="J28" i="24"/>
  <c r="J164" i="24" s="1"/>
  <c r="J134" i="24"/>
  <c r="V88" i="18"/>
  <c r="V75" i="18" s="1"/>
  <c r="V472" i="18" s="1"/>
  <c r="W76" i="18"/>
  <c r="I878" i="18"/>
  <c r="J877" i="18"/>
  <c r="K7" i="7945"/>
  <c r="L7" i="7945" s="1"/>
  <c r="F78" i="24"/>
  <c r="F81" i="24"/>
  <c r="J187" i="1"/>
  <c r="K186" i="1"/>
  <c r="G9" i="7946"/>
  <c r="H32" i="7943"/>
  <c r="F113" i="24"/>
  <c r="F110" i="24"/>
  <c r="K17" i="24"/>
  <c r="K64" i="24"/>
  <c r="K471" i="18"/>
  <c r="K473" i="18" s="1"/>
  <c r="G148" i="24"/>
  <c r="G117" i="24"/>
  <c r="G85" i="24"/>
  <c r="H147" i="24"/>
  <c r="I147" i="24" s="1"/>
  <c r="J9" i="7945"/>
  <c r="H23" i="24"/>
  <c r="H161" i="24"/>
  <c r="H168" i="24" s="1"/>
  <c r="H65" i="24"/>
  <c r="K137" i="24"/>
  <c r="G34" i="7945"/>
  <c r="J19" i="24"/>
  <c r="J26" i="24" s="1"/>
  <c r="J18" i="24"/>
  <c r="H72" i="24"/>
  <c r="H135" i="24" s="1"/>
  <c r="I26" i="24"/>
  <c r="L466" i="18"/>
  <c r="L467" i="18"/>
  <c r="L475" i="18" s="1"/>
  <c r="K474" i="18"/>
  <c r="I32" i="7943" l="1"/>
  <c r="L186" i="1"/>
  <c r="AO465" i="18"/>
  <c r="AP455" i="18"/>
  <c r="AR801" i="18"/>
  <c r="AQ804" i="18"/>
  <c r="AR816" i="18"/>
  <c r="AQ817" i="18"/>
  <c r="AV742" i="18"/>
  <c r="AU208" i="18"/>
  <c r="AS426" i="18"/>
  <c r="AT416" i="18"/>
  <c r="AV625" i="18"/>
  <c r="AQ487" i="18"/>
  <c r="AP492" i="18"/>
  <c r="AU758" i="18"/>
  <c r="AT765" i="18"/>
  <c r="AS531" i="18"/>
  <c r="AT521" i="18"/>
  <c r="AQ869" i="18"/>
  <c r="AR859" i="18"/>
  <c r="AT400" i="18"/>
  <c r="AU390" i="18"/>
  <c r="BI511" i="18"/>
  <c r="AS848" i="18"/>
  <c r="AR856" i="18"/>
  <c r="AR823" i="18"/>
  <c r="AQ830" i="18"/>
  <c r="AR718" i="18"/>
  <c r="AQ726" i="18"/>
  <c r="AY716" i="18"/>
  <c r="AW846" i="18"/>
  <c r="AS286" i="18"/>
  <c r="AT807" i="18"/>
  <c r="AX547" i="18"/>
  <c r="AR790" i="18"/>
  <c r="AQ791" i="18"/>
  <c r="AV781" i="18"/>
  <c r="AX677" i="18"/>
  <c r="AQ706" i="18"/>
  <c r="AP713" i="18"/>
  <c r="AR596" i="18"/>
  <c r="AS586" i="18"/>
  <c r="AU377" i="18"/>
  <c r="AU821" i="18"/>
  <c r="AW820" i="18"/>
  <c r="AQ439" i="18"/>
  <c r="AR429" i="18"/>
  <c r="AW182" i="18"/>
  <c r="AR843" i="18"/>
  <c r="AS833" i="18"/>
  <c r="AR211" i="18"/>
  <c r="AQ218" i="18"/>
  <c r="AS549" i="18"/>
  <c r="AR557" i="18"/>
  <c r="AT778" i="18"/>
  <c r="AU768" i="18"/>
  <c r="AP283" i="18"/>
  <c r="AQ273" i="18"/>
  <c r="AU560" i="18"/>
  <c r="AQ573" i="18"/>
  <c r="AP583" i="18"/>
  <c r="AR655" i="18"/>
  <c r="AQ661" i="18"/>
  <c r="AU664" i="18"/>
  <c r="AU794" i="18"/>
  <c r="AR244" i="18"/>
  <c r="AS234" i="18"/>
  <c r="AR127" i="18"/>
  <c r="AS117" i="18"/>
  <c r="AU312" i="18"/>
  <c r="AW482" i="18"/>
  <c r="AQ566" i="18"/>
  <c r="AP570" i="18"/>
  <c r="AR379" i="18"/>
  <c r="AQ387" i="18"/>
  <c r="AR618" i="18"/>
  <c r="AQ622" i="18"/>
  <c r="AN13" i="24"/>
  <c r="AO12" i="24"/>
  <c r="AS270" i="18"/>
  <c r="AT260" i="18"/>
  <c r="AS373" i="18"/>
  <c r="AR374" i="18"/>
  <c r="AQ627" i="18"/>
  <c r="AP635" i="18"/>
  <c r="AW651" i="18"/>
  <c r="AQ288" i="18"/>
  <c r="AP296" i="18"/>
  <c r="AV534" i="18"/>
  <c r="AT700" i="18"/>
  <c r="AU690" i="18"/>
  <c r="AY638" i="18"/>
  <c r="AR413" i="18"/>
  <c r="AS403" i="18"/>
  <c r="AT332" i="18"/>
  <c r="AS335" i="18"/>
  <c r="AS166" i="18"/>
  <c r="AT156" i="18"/>
  <c r="AS685" i="18"/>
  <c r="AR687" i="18"/>
  <c r="AV325" i="18"/>
  <c r="AW599" i="18"/>
  <c r="AQ309" i="18"/>
  <c r="AR299" i="18"/>
  <c r="AW755" i="18"/>
  <c r="AU364" i="18"/>
  <c r="AS187" i="18"/>
  <c r="AR192" i="18"/>
  <c r="AG4" i="18"/>
  <c r="AF4" i="24"/>
  <c r="AU683" i="18"/>
  <c r="AQ205" i="18"/>
  <c r="AR195" i="18"/>
  <c r="AS153" i="18"/>
  <c r="AT143" i="18"/>
  <c r="AQ348" i="18"/>
  <c r="AR338" i="18"/>
  <c r="AT640" i="18"/>
  <c r="AS648" i="18"/>
  <c r="AV703" i="18"/>
  <c r="BF514" i="18"/>
  <c r="BE518" i="18"/>
  <c r="AR739" i="18"/>
  <c r="AS729" i="18"/>
  <c r="AR179" i="18"/>
  <c r="AS169" i="18"/>
  <c r="AR452" i="18"/>
  <c r="AS442" i="18"/>
  <c r="AR319" i="18"/>
  <c r="AQ322" i="18"/>
  <c r="AQ361" i="18"/>
  <c r="AR351" i="18"/>
  <c r="AS257" i="18"/>
  <c r="AT247" i="18"/>
  <c r="AR749" i="18"/>
  <c r="AQ752" i="18"/>
  <c r="AW130" i="18"/>
  <c r="AO231" i="18"/>
  <c r="AP221" i="18"/>
  <c r="AZ612" i="18"/>
  <c r="AX614" i="18"/>
  <c r="AQ540" i="18"/>
  <c r="AP544" i="18"/>
  <c r="AR604" i="18"/>
  <c r="AQ609" i="18"/>
  <c r="AR668" i="18"/>
  <c r="AQ674" i="18"/>
  <c r="AT136" i="18"/>
  <c r="AS140" i="18"/>
  <c r="M7" i="7945"/>
  <c r="N7" i="7945" s="1"/>
  <c r="O7" i="7945" s="1"/>
  <c r="P7" i="7945" s="1"/>
  <c r="Q7" i="7945" s="1"/>
  <c r="Q9" i="7945" s="1"/>
  <c r="H33" i="7945"/>
  <c r="H34" i="7945" s="1"/>
  <c r="H40" i="7945" s="1"/>
  <c r="I72" i="24"/>
  <c r="I135" i="24" s="1"/>
  <c r="AN101" i="18"/>
  <c r="AO89" i="18"/>
  <c r="I9" i="7946"/>
  <c r="I32" i="7946" s="1"/>
  <c r="L187" i="1"/>
  <c r="L30" i="24" s="1"/>
  <c r="F82" i="24"/>
  <c r="F79" i="24"/>
  <c r="I71" i="24"/>
  <c r="I23" i="7945" s="1"/>
  <c r="I48" i="24"/>
  <c r="W88" i="18"/>
  <c r="W75" i="18" s="1"/>
  <c r="W472" i="18" s="1"/>
  <c r="X76" i="18"/>
  <c r="G31" i="7946"/>
  <c r="H7" i="7946"/>
  <c r="H30" i="7946" s="1"/>
  <c r="H8" i="7946"/>
  <c r="H31" i="7946" s="1"/>
  <c r="L17" i="24"/>
  <c r="L64" i="24"/>
  <c r="L471" i="18"/>
  <c r="L473" i="18" s="1"/>
  <c r="K187" i="1"/>
  <c r="K30" i="24" s="1"/>
  <c r="G30" i="7946"/>
  <c r="L137" i="24"/>
  <c r="J25" i="24"/>
  <c r="J142" i="24"/>
  <c r="H85" i="24"/>
  <c r="K28" i="24"/>
  <c r="K164" i="24" s="1"/>
  <c r="K134" i="24"/>
  <c r="H148" i="24"/>
  <c r="M466" i="18"/>
  <c r="L474" i="18"/>
  <c r="M467" i="18"/>
  <c r="M475" i="18" s="1"/>
  <c r="J71" i="24"/>
  <c r="J48" i="24"/>
  <c r="H117" i="24"/>
  <c r="M186" i="1"/>
  <c r="M187" i="1" s="1"/>
  <c r="M30" i="24" s="1"/>
  <c r="J878" i="18"/>
  <c r="I880" i="18"/>
  <c r="M874" i="18"/>
  <c r="N874" i="18" s="1"/>
  <c r="G40" i="7945"/>
  <c r="K19" i="24"/>
  <c r="K18" i="24"/>
  <c r="H9" i="7946"/>
  <c r="H32" i="7946" s="1"/>
  <c r="H152" i="24"/>
  <c r="G32" i="7946"/>
  <c r="J30" i="24"/>
  <c r="J147" i="24" s="1"/>
  <c r="I65" i="24"/>
  <c r="I23" i="24"/>
  <c r="I161" i="24"/>
  <c r="I168" i="24" s="1"/>
  <c r="K9" i="7945"/>
  <c r="L9" i="7945" s="1"/>
  <c r="F114" i="24"/>
  <c r="F111" i="24"/>
  <c r="K877" i="18"/>
  <c r="I31" i="7943"/>
  <c r="I30" i="7943"/>
  <c r="N186" i="1" l="1"/>
  <c r="N187" i="1" s="1"/>
  <c r="N30" i="24" s="1"/>
  <c r="N162" i="24" s="1"/>
  <c r="AP465" i="18"/>
  <c r="AQ455" i="18"/>
  <c r="I117" i="24"/>
  <c r="I148" i="24"/>
  <c r="J148" i="24" s="1"/>
  <c r="AS801" i="18"/>
  <c r="AR804" i="18"/>
  <c r="I33" i="7945"/>
  <c r="I34" i="7945" s="1"/>
  <c r="M137" i="24"/>
  <c r="AR540" i="18"/>
  <c r="AQ544" i="18"/>
  <c r="AS127" i="18"/>
  <c r="AT117" i="18"/>
  <c r="BA612" i="18"/>
  <c r="AR288" i="18"/>
  <c r="AQ296" i="18"/>
  <c r="AR566" i="18"/>
  <c r="AQ570" i="18"/>
  <c r="AR573" i="18"/>
  <c r="AQ583" i="18"/>
  <c r="AT549" i="18"/>
  <c r="AS557" i="18"/>
  <c r="AS596" i="18"/>
  <c r="AT586" i="18"/>
  <c r="AX846" i="18"/>
  <c r="AT531" i="18"/>
  <c r="AU521" i="18"/>
  <c r="AT426" i="18"/>
  <c r="AU416" i="18"/>
  <c r="AV821" i="18"/>
  <c r="AS718" i="18"/>
  <c r="AR726" i="18"/>
  <c r="AT257" i="18"/>
  <c r="AU247" i="18"/>
  <c r="AS179" i="18"/>
  <c r="AT169" i="18"/>
  <c r="AX755" i="18"/>
  <c r="AZ638" i="18"/>
  <c r="AX651" i="18"/>
  <c r="AP12" i="24"/>
  <c r="AO13" i="24"/>
  <c r="AX482" i="18"/>
  <c r="AV794" i="18"/>
  <c r="AV560" i="18"/>
  <c r="AS790" i="18"/>
  <c r="AR791" i="18"/>
  <c r="AT848" i="18"/>
  <c r="AS856" i="18"/>
  <c r="AX130" i="18"/>
  <c r="AT153" i="18"/>
  <c r="AU143" i="18"/>
  <c r="AU778" i="18"/>
  <c r="AV768" i="18"/>
  <c r="AP231" i="18"/>
  <c r="AQ221" i="18"/>
  <c r="AU640" i="18"/>
  <c r="AT648" i="18"/>
  <c r="AV683" i="18"/>
  <c r="AT685" i="18"/>
  <c r="AS687" i="18"/>
  <c r="AS211" i="18"/>
  <c r="AR218" i="18"/>
  <c r="AX820" i="18"/>
  <c r="AY547" i="18"/>
  <c r="AZ716" i="18"/>
  <c r="AV208" i="18"/>
  <c r="AH4" i="18"/>
  <c r="AG4" i="24"/>
  <c r="AW534" i="18"/>
  <c r="AS604" i="18"/>
  <c r="AR609" i="18"/>
  <c r="AR361" i="18"/>
  <c r="AS351" i="18"/>
  <c r="AS739" i="18"/>
  <c r="AT729" i="18"/>
  <c r="AR348" i="18"/>
  <c r="AS338" i="18"/>
  <c r="AR309" i="18"/>
  <c r="AS299" i="18"/>
  <c r="AT166" i="18"/>
  <c r="AU156" i="18"/>
  <c r="AU700" i="18"/>
  <c r="AV690" i="18"/>
  <c r="AV312" i="18"/>
  <c r="AV664" i="18"/>
  <c r="AQ283" i="18"/>
  <c r="AR273" i="18"/>
  <c r="AS843" i="18"/>
  <c r="AT833" i="18"/>
  <c r="AR706" i="18"/>
  <c r="AQ713" i="18"/>
  <c r="AV758" i="18"/>
  <c r="AU765" i="18"/>
  <c r="AU136" i="18"/>
  <c r="AT140" i="18"/>
  <c r="AR627" i="18"/>
  <c r="AQ635" i="18"/>
  <c r="AY677" i="18"/>
  <c r="AU807" i="18"/>
  <c r="AU400" i="18"/>
  <c r="AV390" i="18"/>
  <c r="AX182" i="18"/>
  <c r="AW742" i="18"/>
  <c r="AS668" i="18"/>
  <c r="AR674" i="18"/>
  <c r="AS319" i="18"/>
  <c r="AR322" i="18"/>
  <c r="BG514" i="18"/>
  <c r="BF518" i="18"/>
  <c r="AT187" i="18"/>
  <c r="AS192" i="18"/>
  <c r="AU332" i="18"/>
  <c r="AT335" i="18"/>
  <c r="AT373" i="18"/>
  <c r="AS374" i="18"/>
  <c r="AS379" i="18"/>
  <c r="AR387" i="18"/>
  <c r="AS655" i="18"/>
  <c r="AR661" i="18"/>
  <c r="AV377" i="18"/>
  <c r="AW781" i="18"/>
  <c r="AT286" i="18"/>
  <c r="AR869" i="18"/>
  <c r="AS859" i="18"/>
  <c r="AW625" i="18"/>
  <c r="AS618" i="18"/>
  <c r="AR622" i="18"/>
  <c r="AX599" i="18"/>
  <c r="AR487" i="18"/>
  <c r="AQ492" i="18"/>
  <c r="AY614" i="18"/>
  <c r="AS749" i="18"/>
  <c r="AR752" i="18"/>
  <c r="AS452" i="18"/>
  <c r="AT442" i="18"/>
  <c r="AW703" i="18"/>
  <c r="AR205" i="18"/>
  <c r="AS195" i="18"/>
  <c r="AV364" i="18"/>
  <c r="AW325" i="18"/>
  <c r="AS413" i="18"/>
  <c r="AT403" i="18"/>
  <c r="AT270" i="18"/>
  <c r="AU260" i="18"/>
  <c r="AS244" i="18"/>
  <c r="AT234" i="18"/>
  <c r="AR439" i="18"/>
  <c r="AS429" i="18"/>
  <c r="AS823" i="18"/>
  <c r="AR830" i="18"/>
  <c r="AS816" i="18"/>
  <c r="AR817" i="18"/>
  <c r="J23" i="7945"/>
  <c r="Q188" i="1"/>
  <c r="AO101" i="18"/>
  <c r="AP89" i="18"/>
  <c r="K147" i="24"/>
  <c r="L147" i="24" s="1"/>
  <c r="M147" i="24" s="1"/>
  <c r="N147" i="24" s="1"/>
  <c r="O147" i="24" s="1"/>
  <c r="P147" i="24" s="1"/>
  <c r="O874" i="18"/>
  <c r="F115" i="24"/>
  <c r="J32" i="7943"/>
  <c r="K162" i="24"/>
  <c r="K46" i="24"/>
  <c r="L18" i="24"/>
  <c r="L19" i="24"/>
  <c r="J31" i="7943"/>
  <c r="K25" i="24"/>
  <c r="K142" i="24"/>
  <c r="M17" i="24"/>
  <c r="M471" i="18"/>
  <c r="M473" i="18" s="1"/>
  <c r="M64" i="24"/>
  <c r="L46" i="24"/>
  <c r="L162" i="24"/>
  <c r="I7" i="7946"/>
  <c r="I30" i="7946" s="1"/>
  <c r="J30" i="7943"/>
  <c r="J72" i="24"/>
  <c r="J135" i="24" s="1"/>
  <c r="K26" i="24"/>
  <c r="M46" i="24"/>
  <c r="M162" i="24"/>
  <c r="N467" i="18"/>
  <c r="N475" i="18" s="1"/>
  <c r="N466" i="18"/>
  <c r="M474" i="18"/>
  <c r="X88" i="18"/>
  <c r="X75" i="18" s="1"/>
  <c r="X472" i="18" s="1"/>
  <c r="Y76" i="18"/>
  <c r="I8" i="7946"/>
  <c r="J162" i="24"/>
  <c r="J22" i="7945" s="1"/>
  <c r="J46" i="24"/>
  <c r="I152" i="24"/>
  <c r="J880" i="18"/>
  <c r="K878" i="18"/>
  <c r="L877" i="18"/>
  <c r="M877" i="18" s="1"/>
  <c r="M878" i="18" s="1"/>
  <c r="J161" i="24"/>
  <c r="J23" i="24"/>
  <c r="J65" i="24"/>
  <c r="M9" i="7945"/>
  <c r="N9" i="7945" s="1"/>
  <c r="O9" i="7945" s="1"/>
  <c r="P9" i="7945" s="1"/>
  <c r="L28" i="24"/>
  <c r="L164" i="24" s="1"/>
  <c r="L134" i="24"/>
  <c r="I85" i="24"/>
  <c r="F83" i="24"/>
  <c r="K880" i="18" l="1"/>
  <c r="K31" i="7943"/>
  <c r="N46" i="24"/>
  <c r="O186" i="1"/>
  <c r="O187" i="1" s="1"/>
  <c r="O30" i="24" s="1"/>
  <c r="O162" i="24" s="1"/>
  <c r="J85" i="24"/>
  <c r="AQ465" i="18"/>
  <c r="AR455" i="18"/>
  <c r="J33" i="7945"/>
  <c r="J34" i="7945" s="1"/>
  <c r="J117" i="24"/>
  <c r="J152" i="24"/>
  <c r="AT801" i="18"/>
  <c r="AS804" i="18"/>
  <c r="AS439" i="18"/>
  <c r="AT429" i="18"/>
  <c r="AX325" i="18"/>
  <c r="AT452" i="18"/>
  <c r="AU442" i="18"/>
  <c r="AS869" i="18"/>
  <c r="AT859" i="18"/>
  <c r="AW758" i="18"/>
  <c r="AV765" i="18"/>
  <c r="AW664" i="18"/>
  <c r="AS309" i="18"/>
  <c r="AT299" i="18"/>
  <c r="AT211" i="18"/>
  <c r="AS218" i="18"/>
  <c r="AU848" i="18"/>
  <c r="AT856" i="18"/>
  <c r="AW821" i="18"/>
  <c r="AS288" i="18"/>
  <c r="AR296" i="18"/>
  <c r="AS487" i="18"/>
  <c r="AR492" i="18"/>
  <c r="AT655" i="18"/>
  <c r="AS661" i="18"/>
  <c r="AU187" i="18"/>
  <c r="AT192" i="18"/>
  <c r="AX742" i="18"/>
  <c r="AZ677" i="18"/>
  <c r="AT604" i="18"/>
  <c r="AS609" i="18"/>
  <c r="BA716" i="18"/>
  <c r="AV778" i="18"/>
  <c r="AW768" i="18"/>
  <c r="AT179" i="18"/>
  <c r="AU169" i="18"/>
  <c r="AU426" i="18"/>
  <c r="AV416" i="18"/>
  <c r="BB612" i="18"/>
  <c r="AT244" i="18"/>
  <c r="AU234" i="18"/>
  <c r="AW364" i="18"/>
  <c r="AY599" i="18"/>
  <c r="AU286" i="18"/>
  <c r="AY182" i="18"/>
  <c r="AW312" i="18"/>
  <c r="AS348" i="18"/>
  <c r="AT338" i="18"/>
  <c r="AU685" i="18"/>
  <c r="AT687" i="18"/>
  <c r="AT790" i="18"/>
  <c r="AS791" i="18"/>
  <c r="AP13" i="24"/>
  <c r="AQ12" i="24"/>
  <c r="AU549" i="18"/>
  <c r="AT557" i="18"/>
  <c r="AT749" i="18"/>
  <c r="AS752" i="18"/>
  <c r="AT379" i="18"/>
  <c r="AS387" i="18"/>
  <c r="BH514" i="18"/>
  <c r="BG518" i="18"/>
  <c r="AS706" i="18"/>
  <c r="AR713" i="18"/>
  <c r="AX534" i="18"/>
  <c r="AZ547" i="18"/>
  <c r="AU153" i="18"/>
  <c r="AV143" i="18"/>
  <c r="AW560" i="18"/>
  <c r="AY651" i="18"/>
  <c r="AU257" i="18"/>
  <c r="AV247" i="18"/>
  <c r="AU531" i="18"/>
  <c r="AV521" i="18"/>
  <c r="AU270" i="18"/>
  <c r="AV260" i="18"/>
  <c r="AS205" i="18"/>
  <c r="AT195" i="18"/>
  <c r="AX781" i="18"/>
  <c r="AS627" i="18"/>
  <c r="AR635" i="18"/>
  <c r="AT843" i="18"/>
  <c r="AU833" i="18"/>
  <c r="AV700" i="18"/>
  <c r="AW690" i="18"/>
  <c r="AT739" i="18"/>
  <c r="AU729" i="18"/>
  <c r="AW683" i="18"/>
  <c r="AS573" i="18"/>
  <c r="AR583" i="18"/>
  <c r="AT127" i="18"/>
  <c r="AU117" i="18"/>
  <c r="AT816" i="18"/>
  <c r="AS817" i="18"/>
  <c r="AZ614" i="18"/>
  <c r="AT618" i="18"/>
  <c r="AS622" i="18"/>
  <c r="AU373" i="18"/>
  <c r="AT374" i="18"/>
  <c r="AT319" i="18"/>
  <c r="AS322" i="18"/>
  <c r="AV400" i="18"/>
  <c r="AW390" i="18"/>
  <c r="AY130" i="18"/>
  <c r="AW794" i="18"/>
  <c r="BA638" i="18"/>
  <c r="AY846" i="18"/>
  <c r="AT413" i="18"/>
  <c r="AU403" i="18"/>
  <c r="AX703" i="18"/>
  <c r="AX625" i="18"/>
  <c r="AW377" i="18"/>
  <c r="AV136" i="18"/>
  <c r="AU140" i="18"/>
  <c r="AR283" i="18"/>
  <c r="AS273" i="18"/>
  <c r="AU166" i="18"/>
  <c r="AV156" i="18"/>
  <c r="AS361" i="18"/>
  <c r="AT351" i="18"/>
  <c r="AI4" i="18"/>
  <c r="AH4" i="24"/>
  <c r="AY820" i="18"/>
  <c r="AV640" i="18"/>
  <c r="AU648" i="18"/>
  <c r="AT718" i="18"/>
  <c r="AS726" i="18"/>
  <c r="AS566" i="18"/>
  <c r="AR570" i="18"/>
  <c r="AT823" i="18"/>
  <c r="AS830" i="18"/>
  <c r="AV332" i="18"/>
  <c r="AU335" i="18"/>
  <c r="AT668" i="18"/>
  <c r="AS674" i="18"/>
  <c r="AV807" i="18"/>
  <c r="AW208" i="18"/>
  <c r="AQ231" i="18"/>
  <c r="AR221" i="18"/>
  <c r="AY482" i="18"/>
  <c r="AY755" i="18"/>
  <c r="AT596" i="18"/>
  <c r="AU586" i="18"/>
  <c r="AS540" i="18"/>
  <c r="AR544" i="18"/>
  <c r="L31" i="7943"/>
  <c r="L8" i="7946" s="1"/>
  <c r="L31" i="7946" s="1"/>
  <c r="AQ89" i="18"/>
  <c r="AP101" i="18"/>
  <c r="K30" i="7943"/>
  <c r="M134" i="24"/>
  <c r="M28" i="24"/>
  <c r="M164" i="24" s="1"/>
  <c r="L880" i="18"/>
  <c r="Z76" i="18"/>
  <c r="Y88" i="18"/>
  <c r="Y75" i="18" s="1"/>
  <c r="Y472" i="18" s="1"/>
  <c r="K48" i="24"/>
  <c r="K71" i="24"/>
  <c r="K23" i="7945" s="1"/>
  <c r="M18" i="24"/>
  <c r="M19" i="24"/>
  <c r="I40" i="7945"/>
  <c r="K8" i="7946"/>
  <c r="K31" i="7946" s="1"/>
  <c r="K23" i="24"/>
  <c r="K161" i="24"/>
  <c r="K168" i="24" s="1"/>
  <c r="K65" i="24"/>
  <c r="K72" i="24"/>
  <c r="K135" i="24" s="1"/>
  <c r="L26" i="24"/>
  <c r="P874" i="18"/>
  <c r="K22" i="7945"/>
  <c r="I31" i="7946"/>
  <c r="N64" i="24"/>
  <c r="N17" i="24"/>
  <c r="N471" i="18"/>
  <c r="N473" i="18" s="1"/>
  <c r="J8" i="7946"/>
  <c r="J31" i="7946" s="1"/>
  <c r="L25" i="24"/>
  <c r="L142" i="24"/>
  <c r="K153" i="24"/>
  <c r="L878" i="18"/>
  <c r="M880" i="18" s="1"/>
  <c r="N877" i="18"/>
  <c r="J9" i="7946"/>
  <c r="K32" i="7943"/>
  <c r="J168" i="24"/>
  <c r="O467" i="18"/>
  <c r="O475" i="18" s="1"/>
  <c r="O466" i="18"/>
  <c r="N474" i="18"/>
  <c r="J7" i="7946"/>
  <c r="J30" i="7946" s="1"/>
  <c r="N137" i="24"/>
  <c r="L32" i="7943" l="1"/>
  <c r="K7" i="7946"/>
  <c r="K30" i="7946" s="1"/>
  <c r="P186" i="1"/>
  <c r="P187" i="1" s="1"/>
  <c r="P30" i="24" s="1"/>
  <c r="P162" i="24" s="1"/>
  <c r="O46" i="24"/>
  <c r="K33" i="7945"/>
  <c r="K34" i="7945" s="1"/>
  <c r="AR465" i="18"/>
  <c r="AS455" i="18"/>
  <c r="AU801" i="18"/>
  <c r="AT804" i="18"/>
  <c r="AX560" i="18"/>
  <c r="AU718" i="18"/>
  <c r="AT726" i="18"/>
  <c r="AT706" i="18"/>
  <c r="AS713" i="18"/>
  <c r="AX208" i="18"/>
  <c r="AZ820" i="18"/>
  <c r="AS283" i="18"/>
  <c r="AT273" i="18"/>
  <c r="BB638" i="18"/>
  <c r="AU739" i="18"/>
  <c r="AV729" i="18"/>
  <c r="AY781" i="18"/>
  <c r="AV257" i="18"/>
  <c r="AW247" i="18"/>
  <c r="BA547" i="18"/>
  <c r="AX312" i="18"/>
  <c r="AX364" i="18"/>
  <c r="AU179" i="18"/>
  <c r="AV169" i="18"/>
  <c r="BA677" i="18"/>
  <c r="AT869" i="18"/>
  <c r="AU859" i="18"/>
  <c r="AX377" i="18"/>
  <c r="AS583" i="18"/>
  <c r="AT573" i="18"/>
  <c r="AV187" i="18"/>
  <c r="AU192" i="18"/>
  <c r="AU596" i="18"/>
  <c r="AV586" i="18"/>
  <c r="AU823" i="18"/>
  <c r="AT830" i="18"/>
  <c r="AU319" i="18"/>
  <c r="AT322" i="18"/>
  <c r="AU816" i="18"/>
  <c r="AT817" i="18"/>
  <c r="AU379" i="18"/>
  <c r="AT387" i="18"/>
  <c r="AT487" i="18"/>
  <c r="AS492" i="18"/>
  <c r="AU211" i="18"/>
  <c r="AT218" i="18"/>
  <c r="AZ482" i="18"/>
  <c r="AU843" i="18"/>
  <c r="AV833" i="18"/>
  <c r="AZ755" i="18"/>
  <c r="AW807" i="18"/>
  <c r="AY703" i="18"/>
  <c r="AX794" i="18"/>
  <c r="AU127" i="18"/>
  <c r="AV117" i="18"/>
  <c r="AW700" i="18"/>
  <c r="AX690" i="18"/>
  <c r="AT205" i="18"/>
  <c r="AU195" i="18"/>
  <c r="AZ651" i="18"/>
  <c r="AY534" i="18"/>
  <c r="AU790" i="18"/>
  <c r="AT791" i="18"/>
  <c r="AZ182" i="18"/>
  <c r="AU244" i="18"/>
  <c r="AV234" i="18"/>
  <c r="AW778" i="18"/>
  <c r="AX768" i="18"/>
  <c r="AT309" i="18"/>
  <c r="AU299" i="18"/>
  <c r="AU452" i="18"/>
  <c r="AV442" i="18"/>
  <c r="AU413" i="18"/>
  <c r="AV403" i="18"/>
  <c r="BC612" i="18"/>
  <c r="AU618" i="18"/>
  <c r="AT622" i="18"/>
  <c r="AT566" i="18"/>
  <c r="AS570" i="18"/>
  <c r="AJ4" i="18"/>
  <c r="AI4" i="24"/>
  <c r="AW136" i="18"/>
  <c r="AV140" i="18"/>
  <c r="AV373" i="18"/>
  <c r="AU374" i="18"/>
  <c r="AU749" i="18"/>
  <c r="AT752" i="18"/>
  <c r="AY742" i="18"/>
  <c r="AT288" i="18"/>
  <c r="AS296" i="18"/>
  <c r="AV270" i="18"/>
  <c r="AW260" i="18"/>
  <c r="BB716" i="18"/>
  <c r="AX664" i="18"/>
  <c r="AY325" i="18"/>
  <c r="AZ130" i="18"/>
  <c r="AV286" i="18"/>
  <c r="AX821" i="18"/>
  <c r="AR231" i="18"/>
  <c r="AS221" i="18"/>
  <c r="AV166" i="18"/>
  <c r="AW156" i="18"/>
  <c r="AY625" i="18"/>
  <c r="AZ846" i="18"/>
  <c r="AW400" i="18"/>
  <c r="AX390" i="18"/>
  <c r="AV531" i="18"/>
  <c r="AW521" i="18"/>
  <c r="AV153" i="18"/>
  <c r="AW143" i="18"/>
  <c r="AV549" i="18"/>
  <c r="AU557" i="18"/>
  <c r="AT348" i="18"/>
  <c r="AU338" i="18"/>
  <c r="AZ599" i="18"/>
  <c r="AV426" i="18"/>
  <c r="AW416" i="18"/>
  <c r="AT439" i="18"/>
  <c r="AU429" i="18"/>
  <c r="AT361" i="18"/>
  <c r="AU351" i="18"/>
  <c r="AV685" i="18"/>
  <c r="AU687" i="18"/>
  <c r="AU668" i="18"/>
  <c r="AT674" i="18"/>
  <c r="AT540" i="18"/>
  <c r="AS544" i="18"/>
  <c r="AW332" i="18"/>
  <c r="AV335" i="18"/>
  <c r="AW640" i="18"/>
  <c r="AV648" i="18"/>
  <c r="BA614" i="18"/>
  <c r="AX683" i="18"/>
  <c r="AT627" i="18"/>
  <c r="AS635" i="18"/>
  <c r="BI514" i="18"/>
  <c r="BI518" i="18" s="1"/>
  <c r="BH518" i="18"/>
  <c r="AQ13" i="24"/>
  <c r="AR12" i="24"/>
  <c r="AU604" i="18"/>
  <c r="AT609" i="18"/>
  <c r="AU655" i="18"/>
  <c r="AT661" i="18"/>
  <c r="AV848" i="18"/>
  <c r="AU856" i="18"/>
  <c r="AX758" i="18"/>
  <c r="AW765" i="18"/>
  <c r="M31" i="7943"/>
  <c r="L30" i="7943"/>
  <c r="M30" i="7943" s="1"/>
  <c r="AR89" i="18"/>
  <c r="AQ101" i="18"/>
  <c r="O137" i="24"/>
  <c r="L9" i="7946"/>
  <c r="L32" i="7946" s="1"/>
  <c r="L153" i="24"/>
  <c r="M153" i="24" s="1"/>
  <c r="N153" i="24" s="1"/>
  <c r="O153" i="24" s="1"/>
  <c r="P153" i="24" s="1"/>
  <c r="N28" i="24"/>
  <c r="N164" i="24" s="1"/>
  <c r="N134" i="24"/>
  <c r="L71" i="24"/>
  <c r="L48" i="24"/>
  <c r="N18" i="24"/>
  <c r="N19" i="24"/>
  <c r="L22" i="7945"/>
  <c r="L72" i="24"/>
  <c r="L135" i="24" s="1"/>
  <c r="M26" i="24"/>
  <c r="J40" i="7945"/>
  <c r="L23" i="24"/>
  <c r="L65" i="24"/>
  <c r="L161" i="24"/>
  <c r="L168" i="24" s="1"/>
  <c r="M25" i="24"/>
  <c r="M142" i="24"/>
  <c r="J32" i="7946"/>
  <c r="L23" i="7945"/>
  <c r="M23" i="7945" s="1"/>
  <c r="O471" i="18"/>
  <c r="O473" i="18" s="1"/>
  <c r="O64" i="24"/>
  <c r="O17" i="24"/>
  <c r="O877" i="18"/>
  <c r="N878" i="18"/>
  <c r="O880" i="18" s="1"/>
  <c r="K117" i="24"/>
  <c r="K85" i="24"/>
  <c r="K148" i="24"/>
  <c r="K9" i="7946"/>
  <c r="K32" i="7946" s="1"/>
  <c r="P467" i="18"/>
  <c r="P475" i="18" s="1"/>
  <c r="O474" i="18"/>
  <c r="P466" i="18"/>
  <c r="M32" i="7943"/>
  <c r="M9" i="7946" s="1"/>
  <c r="M32" i="7946" s="1"/>
  <c r="Z88" i="18"/>
  <c r="Z75" i="18" s="1"/>
  <c r="Z472" i="18" s="1"/>
  <c r="AA76" i="18"/>
  <c r="K152" i="24"/>
  <c r="P46" i="24" l="1"/>
  <c r="L33" i="7945"/>
  <c r="L34" i="7945" s="1"/>
  <c r="L40" i="7945" s="1"/>
  <c r="AS465" i="18"/>
  <c r="AT455" i="18"/>
  <c r="L7" i="7946"/>
  <c r="L30" i="7946" s="1"/>
  <c r="AV801" i="18"/>
  <c r="AU804" i="18"/>
  <c r="AW848" i="18"/>
  <c r="AV856" i="18"/>
  <c r="AX640" i="18"/>
  <c r="AW648" i="18"/>
  <c r="BA599" i="18"/>
  <c r="AW531" i="18"/>
  <c r="AX521" i="18"/>
  <c r="AW166" i="18"/>
  <c r="AX156" i="18"/>
  <c r="AV749" i="18"/>
  <c r="AU752" i="18"/>
  <c r="AU566" i="18"/>
  <c r="AT570" i="18"/>
  <c r="AV816" i="18"/>
  <c r="AU817" i="18"/>
  <c r="AW187" i="18"/>
  <c r="AV192" i="18"/>
  <c r="BB677" i="18"/>
  <c r="BB547" i="18"/>
  <c r="BC638" i="18"/>
  <c r="AY208" i="18"/>
  <c r="AW685" i="18"/>
  <c r="AV687" i="18"/>
  <c r="BA130" i="18"/>
  <c r="AW270" i="18"/>
  <c r="AX260" i="18"/>
  <c r="AU309" i="18"/>
  <c r="AV299" i="18"/>
  <c r="AX700" i="18"/>
  <c r="AY690" i="18"/>
  <c r="AX807" i="18"/>
  <c r="AU573" i="18"/>
  <c r="AT583" i="18"/>
  <c r="AU627" i="18"/>
  <c r="AT635" i="18"/>
  <c r="AX332" i="18"/>
  <c r="AW335" i="18"/>
  <c r="AU361" i="18"/>
  <c r="AV351" i="18"/>
  <c r="AU348" i="18"/>
  <c r="AV338" i="18"/>
  <c r="AX400" i="18"/>
  <c r="AY390" i="18"/>
  <c r="AS231" i="18"/>
  <c r="AT221" i="18"/>
  <c r="AW373" i="18"/>
  <c r="AV374" i="18"/>
  <c r="AV618" i="18"/>
  <c r="AU622" i="18"/>
  <c r="AV790" i="18"/>
  <c r="AU791" i="18"/>
  <c r="AV211" i="18"/>
  <c r="AU218" i="18"/>
  <c r="AV319" i="18"/>
  <c r="AU322" i="18"/>
  <c r="AV179" i="18"/>
  <c r="AW169" i="18"/>
  <c r="AW257" i="18"/>
  <c r="AX247" i="18"/>
  <c r="AV655" i="18"/>
  <c r="AU661" i="18"/>
  <c r="AZ325" i="18"/>
  <c r="BD612" i="18"/>
  <c r="AX778" i="18"/>
  <c r="AY768" i="18"/>
  <c r="AZ534" i="18"/>
  <c r="AV127" i="18"/>
  <c r="AW117" i="18"/>
  <c r="BA755" i="18"/>
  <c r="AY377" i="18"/>
  <c r="AU706" i="18"/>
  <c r="AT713" i="18"/>
  <c r="AV604" i="18"/>
  <c r="AU609" i="18"/>
  <c r="AY683" i="18"/>
  <c r="AU540" i="18"/>
  <c r="AT544" i="18"/>
  <c r="AU439" i="18"/>
  <c r="AV429" i="18"/>
  <c r="BA846" i="18"/>
  <c r="AU288" i="18"/>
  <c r="AT296" i="18"/>
  <c r="AX136" i="18"/>
  <c r="AW140" i="18"/>
  <c r="AU487" i="18"/>
  <c r="AT492" i="18"/>
  <c r="AV823" i="18"/>
  <c r="AU830" i="18"/>
  <c r="AY364" i="18"/>
  <c r="AZ781" i="18"/>
  <c r="AT283" i="18"/>
  <c r="AU273" i="18"/>
  <c r="AR13" i="24"/>
  <c r="AS12" i="24"/>
  <c r="AW549" i="18"/>
  <c r="AV557" i="18"/>
  <c r="AY821" i="18"/>
  <c r="AY664" i="18"/>
  <c r="AV413" i="18"/>
  <c r="AW403" i="18"/>
  <c r="AV244" i="18"/>
  <c r="AW234" i="18"/>
  <c r="BA651" i="18"/>
  <c r="AY794" i="18"/>
  <c r="AV843" i="18"/>
  <c r="AW833" i="18"/>
  <c r="AV596" i="18"/>
  <c r="AW586" i="18"/>
  <c r="AU869" i="18"/>
  <c r="AV859" i="18"/>
  <c r="AV718" i="18"/>
  <c r="AU726" i="18"/>
  <c r="BB614" i="18"/>
  <c r="AW426" i="18"/>
  <c r="AX416" i="18"/>
  <c r="AW153" i="18"/>
  <c r="AX143" i="18"/>
  <c r="AZ625" i="18"/>
  <c r="AW286" i="18"/>
  <c r="AZ742" i="18"/>
  <c r="AJ4" i="24"/>
  <c r="AK4" i="18"/>
  <c r="AV379" i="18"/>
  <c r="AU387" i="18"/>
  <c r="AY312" i="18"/>
  <c r="AV739" i="18"/>
  <c r="AW729" i="18"/>
  <c r="AY560" i="18"/>
  <c r="AY758" i="18"/>
  <c r="AX765" i="18"/>
  <c r="AV668" i="18"/>
  <c r="AU674" i="18"/>
  <c r="BC716" i="18"/>
  <c r="AV452" i="18"/>
  <c r="AW442" i="18"/>
  <c r="BA182" i="18"/>
  <c r="AU205" i="18"/>
  <c r="AV195" i="18"/>
  <c r="AZ703" i="18"/>
  <c r="BA482" i="18"/>
  <c r="BA820" i="18"/>
  <c r="P137" i="24"/>
  <c r="M33" i="7945"/>
  <c r="M34" i="7945" s="1"/>
  <c r="M8" i="7946"/>
  <c r="M31" i="7946" s="1"/>
  <c r="N31" i="7943"/>
  <c r="N30" i="7943"/>
  <c r="N7" i="7946" s="1"/>
  <c r="N30" i="7946" s="1"/>
  <c r="M7" i="7946"/>
  <c r="M30" i="7946" s="1"/>
  <c r="AR101" i="18"/>
  <c r="AS89" i="18"/>
  <c r="N25" i="24"/>
  <c r="N142" i="24"/>
  <c r="O134" i="24"/>
  <c r="O28" i="24"/>
  <c r="O164" i="24" s="1"/>
  <c r="Q467" i="18"/>
  <c r="Q475" i="18" s="1"/>
  <c r="P474" i="18"/>
  <c r="Q466" i="18"/>
  <c r="N32" i="7943"/>
  <c r="M72" i="24"/>
  <c r="M135" i="24" s="1"/>
  <c r="N26" i="24"/>
  <c r="L152" i="24"/>
  <c r="M152" i="24" s="1"/>
  <c r="N152" i="24" s="1"/>
  <c r="O152" i="24" s="1"/>
  <c r="P17" i="24"/>
  <c r="P64" i="24"/>
  <c r="P471" i="18"/>
  <c r="P473" i="18" s="1"/>
  <c r="L148" i="24"/>
  <c r="M148" i="24" s="1"/>
  <c r="M65" i="24"/>
  <c r="M23" i="24"/>
  <c r="M161" i="24"/>
  <c r="M168" i="24" s="1"/>
  <c r="M71" i="24"/>
  <c r="M48" i="24"/>
  <c r="M22" i="7945"/>
  <c r="N22" i="7945" s="1"/>
  <c r="AA88" i="18"/>
  <c r="AA75" i="18" s="1"/>
  <c r="AA472" i="18" s="1"/>
  <c r="AB76" i="18"/>
  <c r="K40" i="7945"/>
  <c r="N33" i="7945"/>
  <c r="P877" i="18"/>
  <c r="P878" i="18" s="1"/>
  <c r="O878" i="18"/>
  <c r="P880" i="18" s="1"/>
  <c r="O19" i="24"/>
  <c r="N72" i="24" s="1"/>
  <c r="N135" i="24" s="1"/>
  <c r="O18" i="24"/>
  <c r="N23" i="7945"/>
  <c r="O23" i="7945" s="1"/>
  <c r="P23" i="7945" s="1"/>
  <c r="Q23" i="7945" s="1"/>
  <c r="L117" i="24"/>
  <c r="L85" i="24"/>
  <c r="AT465" i="18" l="1"/>
  <c r="AU455" i="18"/>
  <c r="AW801" i="18"/>
  <c r="AV804" i="18"/>
  <c r="AW452" i="18"/>
  <c r="AX442" i="18"/>
  <c r="AZ758" i="18"/>
  <c r="AY765" i="18"/>
  <c r="AW379" i="18"/>
  <c r="AV387" i="18"/>
  <c r="AW718" i="18"/>
  <c r="AV726" i="18"/>
  <c r="AV487" i="18"/>
  <c r="AU492" i="18"/>
  <c r="AV706" i="18"/>
  <c r="AU713" i="18"/>
  <c r="BA534" i="18"/>
  <c r="AV361" i="18"/>
  <c r="AW351" i="18"/>
  <c r="AY807" i="18"/>
  <c r="BB130" i="18"/>
  <c r="BC547" i="18"/>
  <c r="AL4" i="18"/>
  <c r="AK4" i="24"/>
  <c r="AX153" i="18"/>
  <c r="AY143" i="18"/>
  <c r="AV869" i="18"/>
  <c r="AW859" i="18"/>
  <c r="BB651" i="18"/>
  <c r="AZ377" i="18"/>
  <c r="AW655" i="18"/>
  <c r="AV661" i="18"/>
  <c r="AW319" i="18"/>
  <c r="AV322" i="18"/>
  <c r="AX373" i="18"/>
  <c r="AW374" i="18"/>
  <c r="AV566" i="18"/>
  <c r="AU570" i="18"/>
  <c r="BB599" i="18"/>
  <c r="AZ560" i="18"/>
  <c r="AZ821" i="18"/>
  <c r="BA781" i="18"/>
  <c r="AY136" i="18"/>
  <c r="AX140" i="18"/>
  <c r="AV540" i="18"/>
  <c r="AU544" i="18"/>
  <c r="AY778" i="18"/>
  <c r="AZ768" i="18"/>
  <c r="AT231" i="18"/>
  <c r="AU221" i="18"/>
  <c r="AY700" i="18"/>
  <c r="AZ690" i="18"/>
  <c r="BC677" i="18"/>
  <c r="BA703" i="18"/>
  <c r="BD716" i="18"/>
  <c r="AW739" i="18"/>
  <c r="AX729" i="18"/>
  <c r="AX426" i="18"/>
  <c r="AY416" i="18"/>
  <c r="AW596" i="18"/>
  <c r="AX586" i="18"/>
  <c r="AW244" i="18"/>
  <c r="AX234" i="18"/>
  <c r="AZ364" i="18"/>
  <c r="AW211" i="18"/>
  <c r="AV218" i="18"/>
  <c r="AY332" i="18"/>
  <c r="AX335" i="18"/>
  <c r="AX685" i="18"/>
  <c r="AW687" i="18"/>
  <c r="AW749" i="18"/>
  <c r="AV752" i="18"/>
  <c r="BB482" i="18"/>
  <c r="BA742" i="18"/>
  <c r="AX549" i="18"/>
  <c r="AW557" i="18"/>
  <c r="AV288" i="18"/>
  <c r="AU296" i="18"/>
  <c r="AZ683" i="18"/>
  <c r="BB755" i="18"/>
  <c r="BE612" i="18"/>
  <c r="AX257" i="18"/>
  <c r="AY247" i="18"/>
  <c r="AY400" i="18"/>
  <c r="AZ390" i="18"/>
  <c r="AV309" i="18"/>
  <c r="AW299" i="18"/>
  <c r="AZ208" i="18"/>
  <c r="AY640" i="18"/>
  <c r="AX648" i="18"/>
  <c r="AV205" i="18"/>
  <c r="AW195" i="18"/>
  <c r="AZ312" i="18"/>
  <c r="AX286" i="18"/>
  <c r="AW843" i="18"/>
  <c r="AX833" i="18"/>
  <c r="AW413" i="18"/>
  <c r="AX403" i="18"/>
  <c r="AT12" i="24"/>
  <c r="AS13" i="24"/>
  <c r="BB846" i="18"/>
  <c r="AW790" i="18"/>
  <c r="AV791" i="18"/>
  <c r="AV627" i="18"/>
  <c r="AU635" i="18"/>
  <c r="AX187" i="18"/>
  <c r="AW192" i="18"/>
  <c r="AX166" i="18"/>
  <c r="AY156" i="18"/>
  <c r="AW668" i="18"/>
  <c r="AV674" i="18"/>
  <c r="BC614" i="18"/>
  <c r="AW823" i="18"/>
  <c r="AV830" i="18"/>
  <c r="AW604" i="18"/>
  <c r="AV609" i="18"/>
  <c r="AW127" i="18"/>
  <c r="AX117" i="18"/>
  <c r="BA325" i="18"/>
  <c r="AW179" i="18"/>
  <c r="AX169" i="18"/>
  <c r="AV348" i="18"/>
  <c r="AW338" i="18"/>
  <c r="AX270" i="18"/>
  <c r="AY260" i="18"/>
  <c r="BD638" i="18"/>
  <c r="AX848" i="18"/>
  <c r="AW856" i="18"/>
  <c r="BB820" i="18"/>
  <c r="BB182" i="18"/>
  <c r="BA625" i="18"/>
  <c r="AZ794" i="18"/>
  <c r="AZ664" i="18"/>
  <c r="AU283" i="18"/>
  <c r="AV273" i="18"/>
  <c r="AV439" i="18"/>
  <c r="AW429" i="18"/>
  <c r="AW618" i="18"/>
  <c r="AV622" i="18"/>
  <c r="AV573" i="18"/>
  <c r="AU583" i="18"/>
  <c r="AW816" i="18"/>
  <c r="AV817" i="18"/>
  <c r="AX531" i="18"/>
  <c r="AY521" i="18"/>
  <c r="Q137" i="24"/>
  <c r="O31" i="7943"/>
  <c r="N8" i="7946"/>
  <c r="N31" i="7946" s="1"/>
  <c r="AS101" i="18"/>
  <c r="AT89" i="18"/>
  <c r="O30" i="7943"/>
  <c r="N148" i="24"/>
  <c r="O148" i="24" s="1"/>
  <c r="P148" i="24" s="1"/>
  <c r="O22" i="7945"/>
  <c r="P152" i="24"/>
  <c r="M117" i="24"/>
  <c r="M85" i="24"/>
  <c r="AB88" i="18"/>
  <c r="AB75" i="18" s="1"/>
  <c r="AB472" i="18" s="1"/>
  <c r="AC76" i="18"/>
  <c r="P28" i="24"/>
  <c r="P164" i="24" s="1"/>
  <c r="P134" i="24"/>
  <c r="N48" i="24"/>
  <c r="N71" i="24"/>
  <c r="R467" i="18"/>
  <c r="R475" i="18" s="1"/>
  <c r="Q474" i="18"/>
  <c r="R466" i="18"/>
  <c r="N65" i="24"/>
  <c r="N23" i="24"/>
  <c r="N161" i="24"/>
  <c r="N168" i="24" s="1"/>
  <c r="N34" i="7945"/>
  <c r="Q471" i="18"/>
  <c r="Q473" i="18" s="1"/>
  <c r="Q64" i="24"/>
  <c r="Q17" i="24"/>
  <c r="M40" i="7945"/>
  <c r="O26" i="24"/>
  <c r="P19" i="24"/>
  <c r="P26" i="24" s="1"/>
  <c r="P18" i="24"/>
  <c r="N9" i="7946"/>
  <c r="O32" i="7943"/>
  <c r="O25" i="24"/>
  <c r="O142" i="24"/>
  <c r="O33" i="7945"/>
  <c r="AU465" i="18" l="1"/>
  <c r="AV455" i="18"/>
  <c r="AX801" i="18"/>
  <c r="AW804" i="18"/>
  <c r="BB625" i="18"/>
  <c r="BE638" i="18"/>
  <c r="BB325" i="18"/>
  <c r="AY187" i="18"/>
  <c r="AX192" i="18"/>
  <c r="AT13" i="24"/>
  <c r="AU12" i="24"/>
  <c r="AW309" i="18"/>
  <c r="AX299" i="18"/>
  <c r="BC755" i="18"/>
  <c r="AX596" i="18"/>
  <c r="AY586" i="18"/>
  <c r="BB703" i="18"/>
  <c r="BB781" i="18"/>
  <c r="BA377" i="18"/>
  <c r="AW361" i="18"/>
  <c r="AX351" i="18"/>
  <c r="BD614" i="18"/>
  <c r="AX413" i="18"/>
  <c r="AY403" i="18"/>
  <c r="AW205" i="18"/>
  <c r="AX195" i="18"/>
  <c r="BB742" i="18"/>
  <c r="AZ332" i="18"/>
  <c r="AY335" i="18"/>
  <c r="AW566" i="18"/>
  <c r="AV570" i="18"/>
  <c r="AM4" i="18"/>
  <c r="AL4" i="24"/>
  <c r="AX718" i="18"/>
  <c r="AW726" i="18"/>
  <c r="AV283" i="18"/>
  <c r="AW273" i="18"/>
  <c r="AY270" i="18"/>
  <c r="AZ260" i="18"/>
  <c r="AX127" i="18"/>
  <c r="AY117" i="18"/>
  <c r="AW627" i="18"/>
  <c r="AV635" i="18"/>
  <c r="AZ400" i="18"/>
  <c r="BA390" i="18"/>
  <c r="BC482" i="18"/>
  <c r="AY426" i="18"/>
  <c r="AZ416" i="18"/>
  <c r="BD677" i="18"/>
  <c r="AZ778" i="18"/>
  <c r="BA768" i="18"/>
  <c r="BD547" i="18"/>
  <c r="BB534" i="18"/>
  <c r="AX816" i="18"/>
  <c r="AW817" i="18"/>
  <c r="BC182" i="18"/>
  <c r="AX668" i="18"/>
  <c r="AW674" i="18"/>
  <c r="AX843" i="18"/>
  <c r="AY833" i="18"/>
  <c r="BA683" i="18"/>
  <c r="AX211" i="18"/>
  <c r="AW218" i="18"/>
  <c r="BA821" i="18"/>
  <c r="AY373" i="18"/>
  <c r="AX374" i="18"/>
  <c r="BC651" i="18"/>
  <c r="AX379" i="18"/>
  <c r="AW387" i="18"/>
  <c r="AV583" i="18"/>
  <c r="AW573" i="18"/>
  <c r="BA664" i="18"/>
  <c r="AW348" i="18"/>
  <c r="AX338" i="18"/>
  <c r="AX790" i="18"/>
  <c r="AW791" i="18"/>
  <c r="AZ640" i="18"/>
  <c r="AY648" i="18"/>
  <c r="AY257" i="18"/>
  <c r="AZ247" i="18"/>
  <c r="BA364" i="18"/>
  <c r="AX739" i="18"/>
  <c r="AY729" i="18"/>
  <c r="AZ700" i="18"/>
  <c r="BA690" i="18"/>
  <c r="BA560" i="18"/>
  <c r="AW869" i="18"/>
  <c r="AX859" i="18"/>
  <c r="BC130" i="18"/>
  <c r="BC820" i="18"/>
  <c r="AX604" i="18"/>
  <c r="AW609" i="18"/>
  <c r="AY166" i="18"/>
  <c r="AZ156" i="18"/>
  <c r="BC846" i="18"/>
  <c r="AY286" i="18"/>
  <c r="AW288" i="18"/>
  <c r="AV296" i="18"/>
  <c r="AX749" i="18"/>
  <c r="AW752" i="18"/>
  <c r="AW540" i="18"/>
  <c r="AV544" i="18"/>
  <c r="AX319" i="18"/>
  <c r="AW322" i="18"/>
  <c r="AW706" i="18"/>
  <c r="AV713" i="18"/>
  <c r="BA758" i="18"/>
  <c r="AZ765" i="18"/>
  <c r="AX618" i="18"/>
  <c r="AW622" i="18"/>
  <c r="BA794" i="18"/>
  <c r="AX179" i="18"/>
  <c r="AY169" i="18"/>
  <c r="BA208" i="18"/>
  <c r="BF612" i="18"/>
  <c r="AX244" i="18"/>
  <c r="AY234" i="18"/>
  <c r="BE716" i="18"/>
  <c r="AU231" i="18"/>
  <c r="AV221" i="18"/>
  <c r="BC599" i="18"/>
  <c r="AY153" i="18"/>
  <c r="AZ143" i="18"/>
  <c r="AZ807" i="18"/>
  <c r="AX452" i="18"/>
  <c r="AY442" i="18"/>
  <c r="R137" i="24"/>
  <c r="AY531" i="18"/>
  <c r="AZ521" i="18"/>
  <c r="AW439" i="18"/>
  <c r="AX429" i="18"/>
  <c r="AY848" i="18"/>
  <c r="AX856" i="18"/>
  <c r="AX823" i="18"/>
  <c r="AW830" i="18"/>
  <c r="BA312" i="18"/>
  <c r="AY549" i="18"/>
  <c r="AX557" i="18"/>
  <c r="AY685" i="18"/>
  <c r="AX687" i="18"/>
  <c r="AZ136" i="18"/>
  <c r="AY140" i="18"/>
  <c r="AX655" i="18"/>
  <c r="AW661" i="18"/>
  <c r="AW487" i="18"/>
  <c r="AV492" i="18"/>
  <c r="P31" i="7943"/>
  <c r="P8" i="7946" s="1"/>
  <c r="P31" i="7946" s="1"/>
  <c r="O8" i="7946"/>
  <c r="P30" i="7943"/>
  <c r="P7" i="7946" s="1"/>
  <c r="O7" i="7946"/>
  <c r="O30" i="7946" s="1"/>
  <c r="AT101" i="18"/>
  <c r="AU89" i="18"/>
  <c r="O34" i="7945"/>
  <c r="P33" i="7945"/>
  <c r="P34" i="7945" s="1"/>
  <c r="P48" i="24"/>
  <c r="P71" i="24"/>
  <c r="AC88" i="18"/>
  <c r="AC75" i="18" s="1"/>
  <c r="AC472" i="18" s="1"/>
  <c r="AD76" i="18"/>
  <c r="N40" i="7945"/>
  <c r="O72" i="24"/>
  <c r="O135" i="24" s="1"/>
  <c r="R471" i="18"/>
  <c r="R473" i="18" s="1"/>
  <c r="R64" i="24"/>
  <c r="R17" i="24"/>
  <c r="O65" i="24"/>
  <c r="O161" i="24"/>
  <c r="O168" i="24" s="1"/>
  <c r="O23" i="24"/>
  <c r="R474" i="18"/>
  <c r="S467" i="18"/>
  <c r="S475" i="18" s="1"/>
  <c r="S466" i="18"/>
  <c r="O71" i="24"/>
  <c r="O48" i="24"/>
  <c r="Q18" i="24"/>
  <c r="Q19" i="24"/>
  <c r="O9" i="7946"/>
  <c r="O32" i="7946" s="1"/>
  <c r="P32" i="7943"/>
  <c r="N32" i="7946"/>
  <c r="N85" i="24"/>
  <c r="N117" i="24"/>
  <c r="P22" i="7945"/>
  <c r="P142" i="24"/>
  <c r="P25" i="24"/>
  <c r="Q134" i="24"/>
  <c r="Q28" i="24"/>
  <c r="AV465" i="18" l="1"/>
  <c r="AW455" i="18"/>
  <c r="AW465" i="18" s="1"/>
  <c r="AY801" i="18"/>
  <c r="AX804" i="18"/>
  <c r="Q33" i="7945"/>
  <c r="BB312" i="18"/>
  <c r="AZ531" i="18"/>
  <c r="BA521" i="18"/>
  <c r="AX706" i="18"/>
  <c r="AW713" i="18"/>
  <c r="AX288" i="18"/>
  <c r="AW296" i="18"/>
  <c r="BB560" i="18"/>
  <c r="AZ257" i="18"/>
  <c r="BA247" i="18"/>
  <c r="BB664" i="18"/>
  <c r="AY843" i="18"/>
  <c r="AZ833" i="18"/>
  <c r="BC534" i="18"/>
  <c r="AZ426" i="18"/>
  <c r="BA416" i="18"/>
  <c r="AY127" i="18"/>
  <c r="AZ117" i="18"/>
  <c r="AX205" i="18"/>
  <c r="AY195" i="18"/>
  <c r="BB377" i="18"/>
  <c r="AY596" i="18"/>
  <c r="AZ586" i="18"/>
  <c r="AY655" i="18"/>
  <c r="AX661" i="18"/>
  <c r="AZ153" i="18"/>
  <c r="BA143" i="18"/>
  <c r="AY244" i="18"/>
  <c r="AZ234" i="18"/>
  <c r="BB794" i="18"/>
  <c r="AY604" i="18"/>
  <c r="AX609" i="18"/>
  <c r="AZ373" i="18"/>
  <c r="AY374" i="18"/>
  <c r="AM4" i="24"/>
  <c r="AN4" i="18"/>
  <c r="AZ187" i="18"/>
  <c r="AY192" i="18"/>
  <c r="AZ286" i="18"/>
  <c r="BD820" i="18"/>
  <c r="BA700" i="18"/>
  <c r="BB690" i="18"/>
  <c r="AX573" i="18"/>
  <c r="AW583" i="18"/>
  <c r="BE547" i="18"/>
  <c r="BD482" i="18"/>
  <c r="AZ270" i="18"/>
  <c r="BA260" i="18"/>
  <c r="AY413" i="18"/>
  <c r="AZ403" i="18"/>
  <c r="BC781" i="18"/>
  <c r="BD755" i="18"/>
  <c r="BC325" i="18"/>
  <c r="AY319" i="18"/>
  <c r="AX322" i="18"/>
  <c r="BA136" i="18"/>
  <c r="AZ140" i="18"/>
  <c r="AY823" i="18"/>
  <c r="AX830" i="18"/>
  <c r="BD599" i="18"/>
  <c r="BG612" i="18"/>
  <c r="BA640" i="18"/>
  <c r="AZ648" i="18"/>
  <c r="BB821" i="18"/>
  <c r="AY668" i="18"/>
  <c r="AX674" i="18"/>
  <c r="AX566" i="18"/>
  <c r="AW570" i="18"/>
  <c r="AY452" i="18"/>
  <c r="AZ442" i="18"/>
  <c r="AY618" i="18"/>
  <c r="AX622" i="18"/>
  <c r="AX540" i="18"/>
  <c r="AW544" i="18"/>
  <c r="BD846" i="18"/>
  <c r="BD130" i="18"/>
  <c r="AY739" i="18"/>
  <c r="AZ729" i="18"/>
  <c r="BD182" i="18"/>
  <c r="BA778" i="18"/>
  <c r="BB768" i="18"/>
  <c r="BA400" i="18"/>
  <c r="BB390" i="18"/>
  <c r="AW283" i="18"/>
  <c r="AX273" i="18"/>
  <c r="AX309" i="18"/>
  <c r="AY299" i="18"/>
  <c r="BF638" i="18"/>
  <c r="AZ685" i="18"/>
  <c r="AY687" i="18"/>
  <c r="AZ848" i="18"/>
  <c r="AY856" i="18"/>
  <c r="AV231" i="18"/>
  <c r="AW221" i="18"/>
  <c r="BB208" i="18"/>
  <c r="AY790" i="18"/>
  <c r="AX791" i="18"/>
  <c r="AY379" i="18"/>
  <c r="AX387" i="18"/>
  <c r="AY211" i="18"/>
  <c r="AX218" i="18"/>
  <c r="BA332" i="18"/>
  <c r="AZ335" i="18"/>
  <c r="BE614" i="18"/>
  <c r="Q34" i="7945"/>
  <c r="AX439" i="18"/>
  <c r="AY429" i="18"/>
  <c r="BB758" i="18"/>
  <c r="BA765" i="18"/>
  <c r="AY749" i="18"/>
  <c r="AX752" i="18"/>
  <c r="AZ166" i="18"/>
  <c r="BA156" i="18"/>
  <c r="AX869" i="18"/>
  <c r="AY859" i="18"/>
  <c r="BB364" i="18"/>
  <c r="AX348" i="18"/>
  <c r="AY338" i="18"/>
  <c r="BD651" i="18"/>
  <c r="BE677" i="18"/>
  <c r="AX361" i="18"/>
  <c r="AY351" i="18"/>
  <c r="AU13" i="24"/>
  <c r="AV12" i="24"/>
  <c r="BC625" i="18"/>
  <c r="AX487" i="18"/>
  <c r="AW492" i="18"/>
  <c r="AZ549" i="18"/>
  <c r="AY557" i="18"/>
  <c r="BA807" i="18"/>
  <c r="BF716" i="18"/>
  <c r="AY179" i="18"/>
  <c r="AZ169" i="18"/>
  <c r="BB683" i="18"/>
  <c r="AY816" i="18"/>
  <c r="AX817" i="18"/>
  <c r="AX627" i="18"/>
  <c r="AW635" i="18"/>
  <c r="AY718" i="18"/>
  <c r="AX726" i="18"/>
  <c r="BC742" i="18"/>
  <c r="BC703" i="18"/>
  <c r="Q7" i="7946"/>
  <c r="S137" i="24"/>
  <c r="O31" i="7946"/>
  <c r="Q31" i="7946" s="1"/>
  <c r="Q8" i="7946"/>
  <c r="P30" i="7946"/>
  <c r="Q30" i="7946" s="1"/>
  <c r="AU101" i="18"/>
  <c r="AV89" i="18"/>
  <c r="S17" i="24"/>
  <c r="S471" i="18"/>
  <c r="S473" i="18" s="1"/>
  <c r="S64" i="24"/>
  <c r="AD88" i="18"/>
  <c r="AD75" i="18" s="1"/>
  <c r="AD472" i="18" s="1"/>
  <c r="AE76" i="18"/>
  <c r="R19" i="24"/>
  <c r="R18" i="24"/>
  <c r="P9" i="7946"/>
  <c r="P72" i="24"/>
  <c r="P135" i="24" s="1"/>
  <c r="Q26" i="24"/>
  <c r="O117" i="24"/>
  <c r="O85" i="24"/>
  <c r="R28" i="24"/>
  <c r="R134" i="24"/>
  <c r="P40" i="7945"/>
  <c r="Q22" i="7945"/>
  <c r="Q142" i="24"/>
  <c r="Q25" i="24"/>
  <c r="O40" i="7945"/>
  <c r="P65" i="24"/>
  <c r="P23" i="24"/>
  <c r="P161" i="24"/>
  <c r="P168" i="24" s="1"/>
  <c r="T467" i="18"/>
  <c r="T475" i="18" s="1"/>
  <c r="S474" i="18"/>
  <c r="T466" i="18"/>
  <c r="AX455" i="18" l="1"/>
  <c r="AX465" i="18" s="1"/>
  <c r="AZ801" i="18"/>
  <c r="AY804" i="18"/>
  <c r="AZ816" i="18"/>
  <c r="AY817" i="18"/>
  <c r="AZ749" i="18"/>
  <c r="AY752" i="18"/>
  <c r="BC208" i="18"/>
  <c r="BG638" i="18"/>
  <c r="BB400" i="18"/>
  <c r="BC390" i="18"/>
  <c r="BE130" i="18"/>
  <c r="AZ452" i="18"/>
  <c r="BA442" i="18"/>
  <c r="BA373" i="18"/>
  <c r="AZ374" i="18"/>
  <c r="BA153" i="18"/>
  <c r="BB143" i="18"/>
  <c r="AY205" i="18"/>
  <c r="AZ195" i="18"/>
  <c r="AZ843" i="18"/>
  <c r="BA833" i="18"/>
  <c r="AY361" i="18"/>
  <c r="AZ351" i="18"/>
  <c r="BC364" i="18"/>
  <c r="BB332" i="18"/>
  <c r="BA335" i="18"/>
  <c r="BB640" i="18"/>
  <c r="BA648" i="18"/>
  <c r="BB136" i="18"/>
  <c r="BA140" i="18"/>
  <c r="BD781" i="18"/>
  <c r="BF547" i="18"/>
  <c r="BA286" i="18"/>
  <c r="AY288" i="18"/>
  <c r="AX296" i="18"/>
  <c r="BD742" i="18"/>
  <c r="BC683" i="18"/>
  <c r="BA549" i="18"/>
  <c r="AZ557" i="18"/>
  <c r="BC758" i="18"/>
  <c r="BB765" i="18"/>
  <c r="AW231" i="18"/>
  <c r="AX221" i="18"/>
  <c r="AY309" i="18"/>
  <c r="AZ299" i="18"/>
  <c r="BB778" i="18"/>
  <c r="BC768" i="18"/>
  <c r="BE846" i="18"/>
  <c r="BH612" i="18"/>
  <c r="AZ604" i="18"/>
  <c r="AY609" i="18"/>
  <c r="AZ127" i="18"/>
  <c r="BA117" i="18"/>
  <c r="BC664" i="18"/>
  <c r="AZ179" i="18"/>
  <c r="BA169" i="18"/>
  <c r="BF677" i="18"/>
  <c r="AY869" i="18"/>
  <c r="AZ859" i="18"/>
  <c r="AY439" i="18"/>
  <c r="AZ429" i="18"/>
  <c r="AZ211" i="18"/>
  <c r="AY218" i="18"/>
  <c r="AY566" i="18"/>
  <c r="AX570" i="18"/>
  <c r="AZ319" i="18"/>
  <c r="AY322" i="18"/>
  <c r="AZ413" i="18"/>
  <c r="BA403" i="18"/>
  <c r="AZ655" i="18"/>
  <c r="AY661" i="18"/>
  <c r="AY706" i="18"/>
  <c r="AX713" i="18"/>
  <c r="AZ718" i="18"/>
  <c r="AY726" i="18"/>
  <c r="AY487" i="18"/>
  <c r="AX492" i="18"/>
  <c r="BE182" i="18"/>
  <c r="BE599" i="18"/>
  <c r="AX583" i="18"/>
  <c r="AY573" i="18"/>
  <c r="BA187" i="18"/>
  <c r="AZ192" i="18"/>
  <c r="BC794" i="18"/>
  <c r="AZ596" i="18"/>
  <c r="BA586" i="18"/>
  <c r="BA426" i="18"/>
  <c r="BB416" i="18"/>
  <c r="BA257" i="18"/>
  <c r="BB247" i="18"/>
  <c r="BA531" i="18"/>
  <c r="BB521" i="18"/>
  <c r="BG716" i="18"/>
  <c r="BA166" i="18"/>
  <c r="BB156" i="18"/>
  <c r="AZ379" i="18"/>
  <c r="AY387" i="18"/>
  <c r="BA848" i="18"/>
  <c r="AZ856" i="18"/>
  <c r="AY540" i="18"/>
  <c r="AX544" i="18"/>
  <c r="AZ668" i="18"/>
  <c r="AY674" i="18"/>
  <c r="BD325" i="18"/>
  <c r="BA270" i="18"/>
  <c r="BB260" i="18"/>
  <c r="BB700" i="18"/>
  <c r="BC690" i="18"/>
  <c r="AO4" i="18"/>
  <c r="AN4" i="24"/>
  <c r="BE651" i="18"/>
  <c r="AY627" i="18"/>
  <c r="AX635" i="18"/>
  <c r="AX283" i="18"/>
  <c r="AY273" i="18"/>
  <c r="AZ739" i="18"/>
  <c r="BA729" i="18"/>
  <c r="AZ244" i="18"/>
  <c r="BA234" i="18"/>
  <c r="BC377" i="18"/>
  <c r="BD534" i="18"/>
  <c r="BC560" i="18"/>
  <c r="BC312" i="18"/>
  <c r="BD625" i="18"/>
  <c r="BD703" i="18"/>
  <c r="BE703" i="18" s="1"/>
  <c r="BB807" i="18"/>
  <c r="AV13" i="24"/>
  <c r="AW12" i="24"/>
  <c r="AY348" i="18"/>
  <c r="AZ338" i="18"/>
  <c r="BF614" i="18"/>
  <c r="AZ790" i="18"/>
  <c r="AY791" i="18"/>
  <c r="BA685" i="18"/>
  <c r="AZ687" i="18"/>
  <c r="AZ618" i="18"/>
  <c r="AY622" i="18"/>
  <c r="BC821" i="18"/>
  <c r="AZ823" i="18"/>
  <c r="AY830" i="18"/>
  <c r="BE755" i="18"/>
  <c r="BE482" i="18"/>
  <c r="BE820" i="18"/>
  <c r="AV101" i="18"/>
  <c r="AW89" i="18"/>
  <c r="AW101" i="18" s="1"/>
  <c r="T137" i="24"/>
  <c r="Q23" i="24"/>
  <c r="Q65" i="24"/>
  <c r="Q40" i="7945"/>
  <c r="AE88" i="18"/>
  <c r="AE75" i="18" s="1"/>
  <c r="AE472" i="18" s="1"/>
  <c r="AF76" i="18"/>
  <c r="R26" i="24"/>
  <c r="U467" i="18"/>
  <c r="U475" i="18" s="1"/>
  <c r="T474" i="18"/>
  <c r="U466" i="18"/>
  <c r="Q71" i="24"/>
  <c r="Q48" i="24"/>
  <c r="P85" i="24"/>
  <c r="P32" i="7946"/>
  <c r="Q32" i="7946" s="1"/>
  <c r="Q9" i="7946"/>
  <c r="S134" i="24"/>
  <c r="S28" i="24"/>
  <c r="Q72" i="24"/>
  <c r="Q135" i="24" s="1"/>
  <c r="T471" i="18"/>
  <c r="T473" i="18" s="1"/>
  <c r="T64" i="24"/>
  <c r="T17" i="24"/>
  <c r="P117" i="24"/>
  <c r="R142" i="24"/>
  <c r="R25" i="24"/>
  <c r="S18" i="24"/>
  <c r="S19" i="24"/>
  <c r="S26" i="24" s="1"/>
  <c r="AY455" i="18" l="1"/>
  <c r="AY465" i="18" s="1"/>
  <c r="BA801" i="18"/>
  <c r="AZ804" i="18"/>
  <c r="BF703" i="18"/>
  <c r="BF482" i="18"/>
  <c r="AZ348" i="18"/>
  <c r="BA338" i="18"/>
  <c r="AZ540" i="18"/>
  <c r="AY544" i="18"/>
  <c r="BA718" i="18"/>
  <c r="AZ726" i="18"/>
  <c r="AZ869" i="18"/>
  <c r="BA859" i="18"/>
  <c r="BD758" i="18"/>
  <c r="BC765" i="18"/>
  <c r="AZ288" i="18"/>
  <c r="AY296" i="18"/>
  <c r="BC136" i="18"/>
  <c r="BB140" i="18"/>
  <c r="BB373" i="18"/>
  <c r="BA374" i="18"/>
  <c r="BD377" i="18"/>
  <c r="BB270" i="18"/>
  <c r="BC260" i="18"/>
  <c r="BB531" i="18"/>
  <c r="BC521" i="18"/>
  <c r="BD794" i="18"/>
  <c r="BF182" i="18"/>
  <c r="BA319" i="18"/>
  <c r="AZ322" i="18"/>
  <c r="BA127" i="18"/>
  <c r="BB117" i="18"/>
  <c r="BC778" i="18"/>
  <c r="BD768" i="18"/>
  <c r="BB286" i="18"/>
  <c r="BA843" i="18"/>
  <c r="BB833" i="18"/>
  <c r="BA452" i="18"/>
  <c r="BB442" i="18"/>
  <c r="BD208" i="18"/>
  <c r="BA618" i="18"/>
  <c r="AZ622" i="18"/>
  <c r="BE625" i="18"/>
  <c r="BF755" i="18"/>
  <c r="AX12" i="24"/>
  <c r="AW13" i="24"/>
  <c r="AZ627" i="18"/>
  <c r="AY635" i="18"/>
  <c r="BB848" i="18"/>
  <c r="BA856" i="18"/>
  <c r="AZ706" i="18"/>
  <c r="AY713" i="18"/>
  <c r="BG677" i="18"/>
  <c r="BB549" i="18"/>
  <c r="BA557" i="18"/>
  <c r="BC640" i="18"/>
  <c r="BB648" i="18"/>
  <c r="BB685" i="18"/>
  <c r="BA687" i="18"/>
  <c r="BD312" i="18"/>
  <c r="BA244" i="18"/>
  <c r="BB234" i="18"/>
  <c r="BF651" i="18"/>
  <c r="BE325" i="18"/>
  <c r="BB257" i="18"/>
  <c r="BC247" i="18"/>
  <c r="AZ566" i="18"/>
  <c r="AY570" i="18"/>
  <c r="AZ309" i="18"/>
  <c r="BA299" i="18"/>
  <c r="BG547" i="18"/>
  <c r="AZ205" i="18"/>
  <c r="BA195" i="18"/>
  <c r="BF130" i="18"/>
  <c r="BC807" i="18"/>
  <c r="BA379" i="18"/>
  <c r="AZ387" i="18"/>
  <c r="BB187" i="18"/>
  <c r="BA192" i="18"/>
  <c r="BA655" i="18"/>
  <c r="AZ661" i="18"/>
  <c r="BA604" i="18"/>
  <c r="AZ609" i="18"/>
  <c r="BD683" i="18"/>
  <c r="BC332" i="18"/>
  <c r="BB335" i="18"/>
  <c r="BA749" i="18"/>
  <c r="AZ752" i="18"/>
  <c r="BA823" i="18"/>
  <c r="AZ830" i="18"/>
  <c r="BA790" i="18"/>
  <c r="AZ791" i="18"/>
  <c r="BD560" i="18"/>
  <c r="BA739" i="18"/>
  <c r="BB729" i="18"/>
  <c r="BB166" i="18"/>
  <c r="BC156" i="18"/>
  <c r="BB426" i="18"/>
  <c r="BC416" i="18"/>
  <c r="AY583" i="18"/>
  <c r="AZ573" i="18"/>
  <c r="BA211" i="18"/>
  <c r="AZ218" i="18"/>
  <c r="BA179" i="18"/>
  <c r="BB169" i="18"/>
  <c r="BI612" i="18"/>
  <c r="AX231" i="18"/>
  <c r="AY221" i="18"/>
  <c r="BE781" i="18"/>
  <c r="BD364" i="18"/>
  <c r="BB153" i="18"/>
  <c r="BC143" i="18"/>
  <c r="BC400" i="18"/>
  <c r="BD390" i="18"/>
  <c r="BF820" i="18"/>
  <c r="AP4" i="18"/>
  <c r="AO4" i="24"/>
  <c r="BA668" i="18"/>
  <c r="AZ674" i="18"/>
  <c r="AZ487" i="18"/>
  <c r="AY492" i="18"/>
  <c r="BA413" i="18"/>
  <c r="BB403" i="18"/>
  <c r="AZ439" i="18"/>
  <c r="BA429" i="18"/>
  <c r="BE742" i="18"/>
  <c r="BA816" i="18"/>
  <c r="AZ817" i="18"/>
  <c r="AX89" i="18"/>
  <c r="AX101" i="18" s="1"/>
  <c r="BD821" i="18"/>
  <c r="BG614" i="18"/>
  <c r="BE534" i="18"/>
  <c r="AY283" i="18"/>
  <c r="AZ273" i="18"/>
  <c r="BC700" i="18"/>
  <c r="BD690" i="18"/>
  <c r="BH716" i="18"/>
  <c r="BA596" i="18"/>
  <c r="BB586" i="18"/>
  <c r="BF599" i="18"/>
  <c r="BD664" i="18"/>
  <c r="BF846" i="18"/>
  <c r="AZ361" i="18"/>
  <c r="BA351" i="18"/>
  <c r="BH638" i="18"/>
  <c r="Q117" i="24"/>
  <c r="Q85" i="24"/>
  <c r="S142" i="24"/>
  <c r="S25" i="24"/>
  <c r="U471" i="18"/>
  <c r="U473" i="18" s="1"/>
  <c r="U17" i="24"/>
  <c r="U64" i="24"/>
  <c r="R72" i="24"/>
  <c r="R135" i="24" s="1"/>
  <c r="T18" i="24"/>
  <c r="T19" i="24"/>
  <c r="U137" i="24"/>
  <c r="R71" i="24"/>
  <c r="R48" i="24"/>
  <c r="T28" i="24"/>
  <c r="T134" i="24"/>
  <c r="R65" i="24"/>
  <c r="R23" i="24"/>
  <c r="S71" i="24"/>
  <c r="S48" i="24"/>
  <c r="V466" i="18"/>
  <c r="V467" i="18"/>
  <c r="V475" i="18" s="1"/>
  <c r="U474" i="18"/>
  <c r="AF88" i="18"/>
  <c r="AF75" i="18" s="1"/>
  <c r="AF472" i="18" s="1"/>
  <c r="AG76" i="18"/>
  <c r="AZ455" i="18" l="1"/>
  <c r="BB801" i="18"/>
  <c r="BA804" i="18"/>
  <c r="BH677" i="18"/>
  <c r="BB211" i="18"/>
  <c r="BA218" i="18"/>
  <c r="BB604" i="18"/>
  <c r="BA609" i="18"/>
  <c r="BA309" i="18"/>
  <c r="BB299" i="18"/>
  <c r="BG755" i="18"/>
  <c r="BB127" i="18"/>
  <c r="BC117" i="18"/>
  <c r="BB749" i="18"/>
  <c r="BA752" i="18"/>
  <c r="BB655" i="18"/>
  <c r="BA661" i="18"/>
  <c r="BG130" i="18"/>
  <c r="BF625" i="18"/>
  <c r="BB843" i="18"/>
  <c r="BC833" i="18"/>
  <c r="BC270" i="18"/>
  <c r="BD260" i="18"/>
  <c r="BE683" i="18"/>
  <c r="BG846" i="18"/>
  <c r="BF742" i="18"/>
  <c r="BB668" i="18"/>
  <c r="BA674" i="18"/>
  <c r="AZ583" i="18"/>
  <c r="BA573" i="18"/>
  <c r="BE560" i="18"/>
  <c r="BA566" i="18"/>
  <c r="AZ570" i="18"/>
  <c r="BG651" i="18"/>
  <c r="BD640" i="18"/>
  <c r="BC648" i="18"/>
  <c r="BC848" i="18"/>
  <c r="BB856" i="18"/>
  <c r="BB319" i="18"/>
  <c r="BA322" i="18"/>
  <c r="BA288" i="18"/>
  <c r="AZ296" i="18"/>
  <c r="BA540" i="18"/>
  <c r="AZ544" i="18"/>
  <c r="BH547" i="18"/>
  <c r="BG599" i="18"/>
  <c r="BC166" i="18"/>
  <c r="BD156" i="18"/>
  <c r="AY89" i="18"/>
  <c r="AY101" i="18" s="1"/>
  <c r="BI716" i="18"/>
  <c r="BC153" i="18"/>
  <c r="BD143" i="18"/>
  <c r="BH614" i="18"/>
  <c r="BA439" i="18"/>
  <c r="BB429" i="18"/>
  <c r="BD332" i="18"/>
  <c r="BC335" i="18"/>
  <c r="BC187" i="18"/>
  <c r="BB192" i="18"/>
  <c r="BA205" i="18"/>
  <c r="BB195" i="18"/>
  <c r="BB244" i="18"/>
  <c r="BC234" i="18"/>
  <c r="BC286" i="18"/>
  <c r="BG182" i="18"/>
  <c r="BE377" i="18"/>
  <c r="BA348" i="18"/>
  <c r="BB338" i="18"/>
  <c r="BE821" i="18"/>
  <c r="BB379" i="18"/>
  <c r="BA387" i="18"/>
  <c r="AZ283" i="18"/>
  <c r="BA273" i="18"/>
  <c r="BF781" i="18"/>
  <c r="BE664" i="18"/>
  <c r="BD700" i="18"/>
  <c r="BE690" i="18"/>
  <c r="AQ4" i="18"/>
  <c r="AP4" i="24"/>
  <c r="BE364" i="18"/>
  <c r="BB179" i="18"/>
  <c r="BC169" i="18"/>
  <c r="BC426" i="18"/>
  <c r="BD416" i="18"/>
  <c r="BC549" i="18"/>
  <c r="BB557" i="18"/>
  <c r="BA627" i="18"/>
  <c r="AZ635" i="18"/>
  <c r="BB618" i="18"/>
  <c r="BA622" i="18"/>
  <c r="BE758" i="18"/>
  <c r="BD765" i="18"/>
  <c r="BB413" i="18"/>
  <c r="BC403" i="18"/>
  <c r="BC257" i="18"/>
  <c r="BD247" i="18"/>
  <c r="BE208" i="18"/>
  <c r="BD778" i="18"/>
  <c r="BE768" i="18"/>
  <c r="BE794" i="18"/>
  <c r="BA869" i="18"/>
  <c r="BB859" i="18"/>
  <c r="BG482" i="18"/>
  <c r="BI638" i="18"/>
  <c r="BD807" i="18"/>
  <c r="AX13" i="24"/>
  <c r="AY12" i="24"/>
  <c r="BC373" i="18"/>
  <c r="BB374" i="18"/>
  <c r="BB790" i="18"/>
  <c r="BA791" i="18"/>
  <c r="BG703" i="18"/>
  <c r="BE312" i="18"/>
  <c r="BG820" i="18"/>
  <c r="BB823" i="18"/>
  <c r="BA830" i="18"/>
  <c r="BF325" i="18"/>
  <c r="BB452" i="18"/>
  <c r="BC442" i="18"/>
  <c r="BC531" i="18"/>
  <c r="BD521" i="18"/>
  <c r="BA361" i="18"/>
  <c r="BB351" i="18"/>
  <c r="BB596" i="18"/>
  <c r="BC586" i="18"/>
  <c r="BF534" i="18"/>
  <c r="BB816" i="18"/>
  <c r="BA817" i="18"/>
  <c r="BA487" i="18"/>
  <c r="AZ492" i="18"/>
  <c r="BD400" i="18"/>
  <c r="BE390" i="18"/>
  <c r="AY231" i="18"/>
  <c r="AZ221" i="18"/>
  <c r="BB739" i="18"/>
  <c r="BC729" i="18"/>
  <c r="BC685" i="18"/>
  <c r="BB687" i="18"/>
  <c r="BA706" i="18"/>
  <c r="AZ713" i="18"/>
  <c r="BD136" i="18"/>
  <c r="BC140" i="18"/>
  <c r="BB718" i="18"/>
  <c r="BA726" i="18"/>
  <c r="R85" i="24"/>
  <c r="R117" i="24"/>
  <c r="T142" i="24"/>
  <c r="T25" i="24"/>
  <c r="V471" i="18"/>
  <c r="V473" i="18" s="1"/>
  <c r="V17" i="24"/>
  <c r="V64" i="24"/>
  <c r="V137" i="24"/>
  <c r="AG88" i="18"/>
  <c r="AG75" i="18" s="1"/>
  <c r="AG472" i="18" s="1"/>
  <c r="AH76" i="18"/>
  <c r="V474" i="18"/>
  <c r="W467" i="18"/>
  <c r="W475" i="18" s="1"/>
  <c r="W466" i="18"/>
  <c r="U19" i="24"/>
  <c r="T72" i="24" s="1"/>
  <c r="T135" i="24" s="1"/>
  <c r="U18" i="24"/>
  <c r="U134" i="24"/>
  <c r="U28" i="24"/>
  <c r="S72" i="24"/>
  <c r="S135" i="24" s="1"/>
  <c r="T26" i="24"/>
  <c r="S65" i="24"/>
  <c r="S23" i="24"/>
  <c r="AZ465" i="18" l="1"/>
  <c r="BA455" i="18"/>
  <c r="BC801" i="18"/>
  <c r="BB804" i="18"/>
  <c r="AZ89" i="18"/>
  <c r="AZ101" i="18" s="1"/>
  <c r="BC718" i="18"/>
  <c r="BB726" i="18"/>
  <c r="BD531" i="18"/>
  <c r="BE521" i="18"/>
  <c r="BH820" i="18"/>
  <c r="BH482" i="18"/>
  <c r="BF208" i="18"/>
  <c r="BC179" i="18"/>
  <c r="BD169" i="18"/>
  <c r="BF664" i="18"/>
  <c r="BD286" i="18"/>
  <c r="BH599" i="18"/>
  <c r="BC668" i="18"/>
  <c r="BB674" i="18"/>
  <c r="BD270" i="18"/>
  <c r="BE260" i="18"/>
  <c r="BB309" i="18"/>
  <c r="BC299" i="18"/>
  <c r="BC816" i="18"/>
  <c r="BB817" i="18"/>
  <c r="BD373" i="18"/>
  <c r="BC374" i="18"/>
  <c r="BC618" i="18"/>
  <c r="BB622" i="18"/>
  <c r="BF821" i="18"/>
  <c r="BD187" i="18"/>
  <c r="BC192" i="18"/>
  <c r="BD153" i="18"/>
  <c r="BE143" i="18"/>
  <c r="BC319" i="18"/>
  <c r="BB322" i="18"/>
  <c r="BB566" i="18"/>
  <c r="BA570" i="18"/>
  <c r="BC655" i="18"/>
  <c r="BB661" i="18"/>
  <c r="AZ231" i="18"/>
  <c r="BA221" i="18"/>
  <c r="BG534" i="18"/>
  <c r="BC452" i="18"/>
  <c r="BD442" i="18"/>
  <c r="BF312" i="18"/>
  <c r="AY13" i="24"/>
  <c r="AZ12" i="24"/>
  <c r="BB869" i="18"/>
  <c r="BC859" i="18"/>
  <c r="BD257" i="18"/>
  <c r="BE247" i="18"/>
  <c r="BF364" i="18"/>
  <c r="BB348" i="18"/>
  <c r="BC338" i="18"/>
  <c r="BC244" i="18"/>
  <c r="BD234" i="18"/>
  <c r="BI547" i="18"/>
  <c r="BF560" i="18"/>
  <c r="BG742" i="18"/>
  <c r="BC843" i="18"/>
  <c r="BD833" i="18"/>
  <c r="BE400" i="18"/>
  <c r="BF390" i="18"/>
  <c r="BE136" i="18"/>
  <c r="BD140" i="18"/>
  <c r="BB627" i="18"/>
  <c r="BA635" i="18"/>
  <c r="BG781" i="18"/>
  <c r="BE332" i="18"/>
  <c r="BD335" i="18"/>
  <c r="BD848" i="18"/>
  <c r="BC856" i="18"/>
  <c r="BH846" i="18"/>
  <c r="BC749" i="18"/>
  <c r="BB752" i="18"/>
  <c r="BC604" i="18"/>
  <c r="BB609" i="18"/>
  <c r="BC596" i="18"/>
  <c r="BD586" i="18"/>
  <c r="BG325" i="18"/>
  <c r="BH703" i="18"/>
  <c r="BE807" i="18"/>
  <c r="BF794" i="18"/>
  <c r="BC413" i="18"/>
  <c r="BD403" i="18"/>
  <c r="BA283" i="18"/>
  <c r="BB273" i="18"/>
  <c r="BF377" i="18"/>
  <c r="BB439" i="18"/>
  <c r="BC429" i="18"/>
  <c r="BA583" i="18"/>
  <c r="BB573" i="18"/>
  <c r="BG625" i="18"/>
  <c r="BC127" i="18"/>
  <c r="BD117" i="18"/>
  <c r="BB706" i="18"/>
  <c r="BA713" i="18"/>
  <c r="BD549" i="18"/>
  <c r="BC557" i="18"/>
  <c r="AR4" i="18"/>
  <c r="AQ4" i="24"/>
  <c r="BB540" i="18"/>
  <c r="BA544" i="18"/>
  <c r="BE640" i="18"/>
  <c r="BD648" i="18"/>
  <c r="BC211" i="18"/>
  <c r="BB218" i="18"/>
  <c r="BB361" i="18"/>
  <c r="BC351" i="18"/>
  <c r="BE778" i="18"/>
  <c r="BF768" i="18"/>
  <c r="BD426" i="18"/>
  <c r="BE416" i="18"/>
  <c r="BE700" i="18"/>
  <c r="BF690" i="18"/>
  <c r="BH182" i="18"/>
  <c r="BB205" i="18"/>
  <c r="BC195" i="18"/>
  <c r="BD166" i="18"/>
  <c r="BE156" i="18"/>
  <c r="BH651" i="18"/>
  <c r="BH130" i="18"/>
  <c r="BH755" i="18"/>
  <c r="BI677" i="18"/>
  <c r="BD685" i="18"/>
  <c r="BC687" i="18"/>
  <c r="BC739" i="18"/>
  <c r="BD729" i="18"/>
  <c r="BB487" i="18"/>
  <c r="BA492" i="18"/>
  <c r="BC823" i="18"/>
  <c r="BB830" i="18"/>
  <c r="BC790" i="18"/>
  <c r="BB791" i="18"/>
  <c r="BF758" i="18"/>
  <c r="BE765" i="18"/>
  <c r="BC379" i="18"/>
  <c r="BB387" i="18"/>
  <c r="BI614" i="18"/>
  <c r="BB288" i="18"/>
  <c r="BA296" i="18"/>
  <c r="BF683" i="18"/>
  <c r="T23" i="24"/>
  <c r="T65" i="24"/>
  <c r="U26" i="24"/>
  <c r="AH88" i="18"/>
  <c r="AH75" i="18" s="1"/>
  <c r="AH472" i="18" s="1"/>
  <c r="AI76" i="18"/>
  <c r="U25" i="24"/>
  <c r="U142" i="24"/>
  <c r="T71" i="24"/>
  <c r="T48" i="24"/>
  <c r="S117" i="24"/>
  <c r="X466" i="18"/>
  <c r="X467" i="18"/>
  <c r="X475" i="18" s="1"/>
  <c r="W474" i="18"/>
  <c r="V19" i="24"/>
  <c r="V26" i="24" s="1"/>
  <c r="V18" i="24"/>
  <c r="W17" i="24"/>
  <c r="W64" i="24"/>
  <c r="W471" i="18"/>
  <c r="W473" i="18" s="1"/>
  <c r="S85" i="24"/>
  <c r="W137" i="24"/>
  <c r="V28" i="24"/>
  <c r="V134" i="24"/>
  <c r="BA465" i="18" l="1"/>
  <c r="BB455" i="18"/>
  <c r="BD801" i="18"/>
  <c r="BC804" i="18"/>
  <c r="BA89" i="18"/>
  <c r="BI755" i="18"/>
  <c r="BB583" i="18"/>
  <c r="BC573" i="18"/>
  <c r="BB283" i="18"/>
  <c r="BC273" i="18"/>
  <c r="BI703" i="18"/>
  <c r="BF332" i="18"/>
  <c r="BE335" i="18"/>
  <c r="BC566" i="18"/>
  <c r="BB570" i="18"/>
  <c r="BG821" i="18"/>
  <c r="BC309" i="18"/>
  <c r="BD299" i="18"/>
  <c r="BE286" i="18"/>
  <c r="BI482" i="18"/>
  <c r="BD379" i="18"/>
  <c r="BC387" i="18"/>
  <c r="BC487" i="18"/>
  <c r="BB492" i="18"/>
  <c r="BC205" i="18"/>
  <c r="BD195" i="18"/>
  <c r="BF778" i="18"/>
  <c r="BG768" i="18"/>
  <c r="BD211" i="18"/>
  <c r="BC218" i="18"/>
  <c r="BE549" i="18"/>
  <c r="BD557" i="18"/>
  <c r="BD749" i="18"/>
  <c r="BC752" i="18"/>
  <c r="BH781" i="18"/>
  <c r="BD843" i="18"/>
  <c r="BE833" i="18"/>
  <c r="BD244" i="18"/>
  <c r="BE234" i="18"/>
  <c r="BC869" i="18"/>
  <c r="BD859" i="18"/>
  <c r="BH534" i="18"/>
  <c r="BI130" i="18"/>
  <c r="BC439" i="18"/>
  <c r="BD429" i="18"/>
  <c r="BD413" i="18"/>
  <c r="BE403" i="18"/>
  <c r="BH325" i="18"/>
  <c r="BI846" i="18"/>
  <c r="BD319" i="18"/>
  <c r="BC322" i="18"/>
  <c r="BD618" i="18"/>
  <c r="BC622" i="18"/>
  <c r="BE270" i="18"/>
  <c r="BF260" i="18"/>
  <c r="BG664" i="18"/>
  <c r="BI820" i="18"/>
  <c r="BD739" i="18"/>
  <c r="BE729" i="18"/>
  <c r="BG683" i="18"/>
  <c r="BG758" i="18"/>
  <c r="BF765" i="18"/>
  <c r="BI182" i="18"/>
  <c r="BF640" i="18"/>
  <c r="BE648" i="18"/>
  <c r="BC706" i="18"/>
  <c r="BB713" i="18"/>
  <c r="BH742" i="18"/>
  <c r="BC348" i="18"/>
  <c r="BD338" i="18"/>
  <c r="BA12" i="24"/>
  <c r="AZ13" i="24"/>
  <c r="BA231" i="18"/>
  <c r="BB221" i="18"/>
  <c r="BE153" i="18"/>
  <c r="BF143" i="18"/>
  <c r="BC361" i="18"/>
  <c r="BD351" i="18"/>
  <c r="BD127" i="18"/>
  <c r="BE117" i="18"/>
  <c r="BG794" i="18"/>
  <c r="BD596" i="18"/>
  <c r="BE586" i="18"/>
  <c r="BC627" i="18"/>
  <c r="BB635" i="18"/>
  <c r="BE373" i="18"/>
  <c r="BD374" i="18"/>
  <c r="BD179" i="18"/>
  <c r="BE169" i="18"/>
  <c r="BE531" i="18"/>
  <c r="BF521" i="18"/>
  <c r="BC288" i="18"/>
  <c r="BB296" i="18"/>
  <c r="BD790" i="18"/>
  <c r="BC791" i="18"/>
  <c r="BE685" i="18"/>
  <c r="BD687" i="18"/>
  <c r="BF700" i="18"/>
  <c r="BG690" i="18"/>
  <c r="BC540" i="18"/>
  <c r="BB544" i="18"/>
  <c r="BE848" i="18"/>
  <c r="BD856" i="18"/>
  <c r="BG560" i="18"/>
  <c r="BG364" i="18"/>
  <c r="BG312" i="18"/>
  <c r="BD668" i="18"/>
  <c r="BC674" i="18"/>
  <c r="BI651" i="18"/>
  <c r="BH625" i="18"/>
  <c r="BG377" i="18"/>
  <c r="BF807" i="18"/>
  <c r="BF136" i="18"/>
  <c r="BE140" i="18"/>
  <c r="BD655" i="18"/>
  <c r="BC661" i="18"/>
  <c r="BE187" i="18"/>
  <c r="BD192" i="18"/>
  <c r="BD816" i="18"/>
  <c r="BC817" i="18"/>
  <c r="BI599" i="18"/>
  <c r="BG208" i="18"/>
  <c r="BD823" i="18"/>
  <c r="BC830" i="18"/>
  <c r="BE166" i="18"/>
  <c r="BF156" i="18"/>
  <c r="BE426" i="18"/>
  <c r="BF416" i="18"/>
  <c r="AS4" i="18"/>
  <c r="AR4" i="24"/>
  <c r="BD604" i="18"/>
  <c r="BC609" i="18"/>
  <c r="BF400" i="18"/>
  <c r="BG390" i="18"/>
  <c r="BE257" i="18"/>
  <c r="BF247" i="18"/>
  <c r="BD452" i="18"/>
  <c r="BE442" i="18"/>
  <c r="BD718" i="18"/>
  <c r="BC726" i="18"/>
  <c r="U72" i="24"/>
  <c r="U135" i="24" s="1"/>
  <c r="W28" i="24"/>
  <c r="W134" i="24"/>
  <c r="X137" i="24"/>
  <c r="Y466" i="18"/>
  <c r="Y467" i="18"/>
  <c r="Y475" i="18" s="1"/>
  <c r="X474" i="18"/>
  <c r="W19" i="24"/>
  <c r="W18" i="24"/>
  <c r="U65" i="24"/>
  <c r="U23" i="24"/>
  <c r="X64" i="24"/>
  <c r="X471" i="18"/>
  <c r="X473" i="18" s="1"/>
  <c r="X17" i="24"/>
  <c r="AI88" i="18"/>
  <c r="AI75" i="18" s="1"/>
  <c r="AI472" i="18" s="1"/>
  <c r="AJ76" i="18"/>
  <c r="V25" i="24"/>
  <c r="V142" i="24"/>
  <c r="T85" i="24"/>
  <c r="T117" i="24"/>
  <c r="V71" i="24"/>
  <c r="V48" i="24"/>
  <c r="U71" i="24"/>
  <c r="U48" i="24"/>
  <c r="BB465" i="18" l="1"/>
  <c r="BC455" i="18"/>
  <c r="BE801" i="18"/>
  <c r="BD804" i="18"/>
  <c r="BB89" i="18"/>
  <c r="BA101" i="18"/>
  <c r="BF257" i="18"/>
  <c r="BG247" i="18"/>
  <c r="BF426" i="18"/>
  <c r="BG416" i="18"/>
  <c r="BE655" i="18"/>
  <c r="BD661" i="18"/>
  <c r="BD348" i="18"/>
  <c r="BE338" i="18"/>
  <c r="BD439" i="18"/>
  <c r="BE429" i="18"/>
  <c r="BE244" i="18"/>
  <c r="BF234" i="18"/>
  <c r="BD309" i="18"/>
  <c r="BE299" i="18"/>
  <c r="BH560" i="18"/>
  <c r="BE179" i="18"/>
  <c r="BF169" i="18"/>
  <c r="BH794" i="18"/>
  <c r="BE319" i="18"/>
  <c r="BD322" i="18"/>
  <c r="BF549" i="18"/>
  <c r="BE557" i="18"/>
  <c r="BD487" i="18"/>
  <c r="BC492" i="18"/>
  <c r="BF166" i="18"/>
  <c r="BG156" i="18"/>
  <c r="BG136" i="18"/>
  <c r="BF140" i="18"/>
  <c r="BF685" i="18"/>
  <c r="BE687" i="18"/>
  <c r="BF153" i="18"/>
  <c r="BG143" i="18"/>
  <c r="BI742" i="18"/>
  <c r="BH664" i="18"/>
  <c r="BE843" i="18"/>
  <c r="BF833" i="18"/>
  <c r="BC283" i="18"/>
  <c r="BD273" i="18"/>
  <c r="Y137" i="24"/>
  <c r="BG400" i="18"/>
  <c r="BH390" i="18"/>
  <c r="BE718" i="18"/>
  <c r="BD726" i="18"/>
  <c r="BG807" i="18"/>
  <c r="BH758" i="18"/>
  <c r="BG765" i="18"/>
  <c r="BE211" i="18"/>
  <c r="BD218" i="18"/>
  <c r="BE379" i="18"/>
  <c r="BD387" i="18"/>
  <c r="BH821" i="18"/>
  <c r="BE816" i="18"/>
  <c r="BD817" i="18"/>
  <c r="BE668" i="18"/>
  <c r="BD674" i="18"/>
  <c r="BF848" i="18"/>
  <c r="BE856" i="18"/>
  <c r="BE790" i="18"/>
  <c r="BD791" i="18"/>
  <c r="BF373" i="18"/>
  <c r="BE374" i="18"/>
  <c r="BB231" i="18"/>
  <c r="BC221" i="18"/>
  <c r="BF270" i="18"/>
  <c r="BG260" i="18"/>
  <c r="BI325" i="18"/>
  <c r="BI534" i="18"/>
  <c r="BI781" i="18"/>
  <c r="BG778" i="18"/>
  <c r="BH768" i="18"/>
  <c r="BC583" i="18"/>
  <c r="BD573" i="18"/>
  <c r="BE452" i="18"/>
  <c r="BF442" i="18"/>
  <c r="BE604" i="18"/>
  <c r="BD609" i="18"/>
  <c r="BE823" i="18"/>
  <c r="BD830" i="18"/>
  <c r="BH377" i="18"/>
  <c r="BH312" i="18"/>
  <c r="BE127" i="18"/>
  <c r="BF117" i="18"/>
  <c r="BD706" i="18"/>
  <c r="BC713" i="18"/>
  <c r="BH683" i="18"/>
  <c r="BD566" i="18"/>
  <c r="BC570" i="18"/>
  <c r="BF187" i="18"/>
  <c r="BE192" i="18"/>
  <c r="BD540" i="18"/>
  <c r="BC544" i="18"/>
  <c r="BD288" i="18"/>
  <c r="BC296" i="18"/>
  <c r="BD627" i="18"/>
  <c r="BC635" i="18"/>
  <c r="BE739" i="18"/>
  <c r="BF729" i="18"/>
  <c r="BE413" i="18"/>
  <c r="BF403" i="18"/>
  <c r="BD869" i="18"/>
  <c r="BE859" i="18"/>
  <c r="BD205" i="18"/>
  <c r="BE195" i="18"/>
  <c r="BF286" i="18"/>
  <c r="AT4" i="18"/>
  <c r="AS4" i="24"/>
  <c r="BH208" i="18"/>
  <c r="BI625" i="18"/>
  <c r="BH364" i="18"/>
  <c r="BG700" i="18"/>
  <c r="BH690" i="18"/>
  <c r="BF531" i="18"/>
  <c r="BG521" i="18"/>
  <c r="BE596" i="18"/>
  <c r="BF586" i="18"/>
  <c r="BD361" i="18"/>
  <c r="BE351" i="18"/>
  <c r="BA13" i="24"/>
  <c r="BB12" i="24"/>
  <c r="BG640" i="18"/>
  <c r="BF648" i="18"/>
  <c r="BE618" i="18"/>
  <c r="BD622" i="18"/>
  <c r="BE749" i="18"/>
  <c r="BD752" i="18"/>
  <c r="BG332" i="18"/>
  <c r="BF335" i="18"/>
  <c r="X19" i="24"/>
  <c r="X18" i="24"/>
  <c r="X134" i="24"/>
  <c r="X28" i="24"/>
  <c r="W25" i="24"/>
  <c r="W142" i="24"/>
  <c r="Z467" i="18"/>
  <c r="Z475" i="18" s="1"/>
  <c r="Z466" i="18"/>
  <c r="Y474" i="18"/>
  <c r="V72" i="24"/>
  <c r="V135" i="24" s="1"/>
  <c r="W26" i="24"/>
  <c r="U117" i="24"/>
  <c r="U85" i="24"/>
  <c r="V23" i="24"/>
  <c r="V65" i="24"/>
  <c r="AJ88" i="18"/>
  <c r="AJ75" i="18" s="1"/>
  <c r="AJ472" i="18" s="1"/>
  <c r="AK76" i="18"/>
  <c r="Y64" i="24"/>
  <c r="Y471" i="18"/>
  <c r="Y473" i="18" s="1"/>
  <c r="Y17" i="24"/>
  <c r="BC465" i="18" l="1"/>
  <c r="BD455" i="18"/>
  <c r="BF801" i="18"/>
  <c r="BE804" i="18"/>
  <c r="BC89" i="18"/>
  <c r="BB101" i="18"/>
  <c r="BF749" i="18"/>
  <c r="BE752" i="18"/>
  <c r="BG286" i="18"/>
  <c r="BF739" i="18"/>
  <c r="BG729" i="18"/>
  <c r="BF127" i="18"/>
  <c r="BG117" i="18"/>
  <c r="BG848" i="18"/>
  <c r="BF856" i="18"/>
  <c r="BH807" i="18"/>
  <c r="BI794" i="18"/>
  <c r="BE309" i="18"/>
  <c r="BF299" i="18"/>
  <c r="BE348" i="18"/>
  <c r="BF338" i="18"/>
  <c r="BF596" i="18"/>
  <c r="BG586" i="18"/>
  <c r="BG187" i="18"/>
  <c r="BF192" i="18"/>
  <c r="BF604" i="18"/>
  <c r="BE609" i="18"/>
  <c r="BC231" i="18"/>
  <c r="BD221" i="18"/>
  <c r="BF379" i="18"/>
  <c r="BE387" i="18"/>
  <c r="BF843" i="18"/>
  <c r="BG833" i="18"/>
  <c r="BG153" i="18"/>
  <c r="BH143" i="18"/>
  <c r="BF618" i="18"/>
  <c r="BE622" i="18"/>
  <c r="BE205" i="18"/>
  <c r="BF195" i="18"/>
  <c r="BI312" i="18"/>
  <c r="BF452" i="18"/>
  <c r="BG442" i="18"/>
  <c r="BF668" i="18"/>
  <c r="BE674" i="18"/>
  <c r="BF179" i="18"/>
  <c r="BG169" i="18"/>
  <c r="BG531" i="18"/>
  <c r="BH521" i="18"/>
  <c r="BI208" i="18"/>
  <c r="BE627" i="18"/>
  <c r="BD635" i="18"/>
  <c r="BE566" i="18"/>
  <c r="BD570" i="18"/>
  <c r="BF211" i="18"/>
  <c r="BE218" i="18"/>
  <c r="BF718" i="18"/>
  <c r="BE726" i="18"/>
  <c r="BE487" i="18"/>
  <c r="BD492" i="18"/>
  <c r="BF244" i="18"/>
  <c r="BG234" i="18"/>
  <c r="BF655" i="18"/>
  <c r="BE661" i="18"/>
  <c r="BH640" i="18"/>
  <c r="BG648" i="18"/>
  <c r="BE869" i="18"/>
  <c r="BF859" i="18"/>
  <c r="BI377" i="18"/>
  <c r="BD583" i="18"/>
  <c r="BE573" i="18"/>
  <c r="BG373" i="18"/>
  <c r="BF374" i="18"/>
  <c r="BF816" i="18"/>
  <c r="BE817" i="18"/>
  <c r="BH400" i="18"/>
  <c r="BI390" i="18"/>
  <c r="BI400" i="18" s="1"/>
  <c r="BG685" i="18"/>
  <c r="BF687" i="18"/>
  <c r="BI560" i="18"/>
  <c r="BG426" i="18"/>
  <c r="BH416" i="18"/>
  <c r="BB13" i="24"/>
  <c r="BC12" i="24"/>
  <c r="BH700" i="18"/>
  <c r="BI690" i="18"/>
  <c r="BI700" i="18" s="1"/>
  <c r="BE288" i="18"/>
  <c r="BD296" i="18"/>
  <c r="BI683" i="18"/>
  <c r="BI758" i="18"/>
  <c r="BI765" i="18" s="1"/>
  <c r="BH765" i="18"/>
  <c r="BI664" i="18"/>
  <c r="BG549" i="18"/>
  <c r="BF557" i="18"/>
  <c r="BE439" i="18"/>
  <c r="BF429" i="18"/>
  <c r="BH332" i="18"/>
  <c r="BG335" i="18"/>
  <c r="AU4" i="18"/>
  <c r="AT4" i="24"/>
  <c r="BF413" i="18"/>
  <c r="BG403" i="18"/>
  <c r="BF790" i="18"/>
  <c r="BE791" i="18"/>
  <c r="BH136" i="18"/>
  <c r="BG140" i="18"/>
  <c r="BG257" i="18"/>
  <c r="BH247" i="18"/>
  <c r="BE361" i="18"/>
  <c r="BF351" i="18"/>
  <c r="BI364" i="18"/>
  <c r="BE540" i="18"/>
  <c r="BD544" i="18"/>
  <c r="BE706" i="18"/>
  <c r="BD713" i="18"/>
  <c r="BF823" i="18"/>
  <c r="BE830" i="18"/>
  <c r="BH778" i="18"/>
  <c r="BI768" i="18"/>
  <c r="BI778" i="18" s="1"/>
  <c r="BG270" i="18"/>
  <c r="BH260" i="18"/>
  <c r="BI821" i="18"/>
  <c r="BD283" i="18"/>
  <c r="BE273" i="18"/>
  <c r="BG166" i="18"/>
  <c r="BH156" i="18"/>
  <c r="BF319" i="18"/>
  <c r="BE322" i="18"/>
  <c r="V117" i="24"/>
  <c r="V85" i="24"/>
  <c r="AA467" i="18"/>
  <c r="AA475" i="18" s="1"/>
  <c r="Z474" i="18"/>
  <c r="AA466" i="18"/>
  <c r="Z137" i="24"/>
  <c r="X142" i="24"/>
  <c r="X25" i="24"/>
  <c r="W72" i="24"/>
  <c r="W135" i="24" s="1"/>
  <c r="X26" i="24"/>
  <c r="Z471" i="18"/>
  <c r="Z473" i="18" s="1"/>
  <c r="Z17" i="24"/>
  <c r="Z64" i="24"/>
  <c r="W23" i="24"/>
  <c r="W65" i="24"/>
  <c r="AK88" i="18"/>
  <c r="AK75" i="18" s="1"/>
  <c r="AK472" i="18" s="1"/>
  <c r="AL76" i="18"/>
  <c r="Y134" i="24"/>
  <c r="Y28" i="24"/>
  <c r="W71" i="24"/>
  <c r="W48" i="24"/>
  <c r="Y18" i="24"/>
  <c r="Y19" i="24"/>
  <c r="Y26" i="24" s="1"/>
  <c r="BD465" i="18" l="1"/>
  <c r="BE455" i="18"/>
  <c r="BG801" i="18"/>
  <c r="BF804" i="18"/>
  <c r="BC101" i="18"/>
  <c r="BD89" i="18"/>
  <c r="BI332" i="18"/>
  <c r="BI335" i="18" s="1"/>
  <c r="BH335" i="18"/>
  <c r="BH685" i="18"/>
  <c r="BG687" i="18"/>
  <c r="BG655" i="18"/>
  <c r="BF661" i="18"/>
  <c r="BG211" i="18"/>
  <c r="BF218" i="18"/>
  <c r="BH531" i="18"/>
  <c r="BI521" i="18"/>
  <c r="BI531" i="18" s="1"/>
  <c r="BG604" i="18"/>
  <c r="BF609" i="18"/>
  <c r="BF309" i="18"/>
  <c r="BG299" i="18"/>
  <c r="BG127" i="18"/>
  <c r="BH117" i="18"/>
  <c r="BH166" i="18"/>
  <c r="BI156" i="18"/>
  <c r="BI166" i="18" s="1"/>
  <c r="BE283" i="18"/>
  <c r="BF273" i="18"/>
  <c r="BF439" i="18"/>
  <c r="BG429" i="18"/>
  <c r="BD12" i="24"/>
  <c r="BC13" i="24"/>
  <c r="BG244" i="18"/>
  <c r="BH234" i="18"/>
  <c r="BG843" i="18"/>
  <c r="BH833" i="18"/>
  <c r="BG823" i="18"/>
  <c r="BF830" i="18"/>
  <c r="BG790" i="18"/>
  <c r="BF791" i="18"/>
  <c r="BG179" i="18"/>
  <c r="BH169" i="18"/>
  <c r="BH187" i="18"/>
  <c r="BG192" i="18"/>
  <c r="BG739" i="18"/>
  <c r="BH729" i="18"/>
  <c r="BF361" i="18"/>
  <c r="BG351" i="18"/>
  <c r="BH257" i="18"/>
  <c r="BI247" i="18"/>
  <c r="BI257" i="18" s="1"/>
  <c r="BG413" i="18"/>
  <c r="BH403" i="18"/>
  <c r="BH426" i="18"/>
  <c r="BI416" i="18"/>
  <c r="BI426" i="18" s="1"/>
  <c r="BF869" i="18"/>
  <c r="BG859" i="18"/>
  <c r="BF566" i="18"/>
  <c r="BE570" i="18"/>
  <c r="BF205" i="18"/>
  <c r="BG195" i="18"/>
  <c r="BF706" i="18"/>
  <c r="BE713" i="18"/>
  <c r="BH549" i="18"/>
  <c r="BG557" i="18"/>
  <c r="BG816" i="18"/>
  <c r="BF817" i="18"/>
  <c r="BF487" i="18"/>
  <c r="BE492" i="18"/>
  <c r="BG379" i="18"/>
  <c r="BF387" i="18"/>
  <c r="BG596" i="18"/>
  <c r="BH586" i="18"/>
  <c r="BI807" i="18"/>
  <c r="BH286" i="18"/>
  <c r="BG319" i="18"/>
  <c r="BF322" i="18"/>
  <c r="BH270" i="18"/>
  <c r="BI260" i="18"/>
  <c r="BI270" i="18" s="1"/>
  <c r="BF627" i="18"/>
  <c r="BE635" i="18"/>
  <c r="BD231" i="18"/>
  <c r="BE221" i="18"/>
  <c r="AV4" i="18"/>
  <c r="AU4" i="24"/>
  <c r="BF288" i="18"/>
  <c r="BE296" i="18"/>
  <c r="BH373" i="18"/>
  <c r="BG374" i="18"/>
  <c r="BI640" i="18"/>
  <c r="BI648" i="18" s="1"/>
  <c r="BH648" i="18"/>
  <c r="BG718" i="18"/>
  <c r="BF726" i="18"/>
  <c r="BG668" i="18"/>
  <c r="BF674" i="18"/>
  <c r="BG618" i="18"/>
  <c r="BF622" i="18"/>
  <c r="BF348" i="18"/>
  <c r="BG338" i="18"/>
  <c r="BF540" i="18"/>
  <c r="BE544" i="18"/>
  <c r="BI136" i="18"/>
  <c r="BI140" i="18" s="1"/>
  <c r="BH140" i="18"/>
  <c r="BE583" i="18"/>
  <c r="BF573" i="18"/>
  <c r="BG452" i="18"/>
  <c r="BH442" i="18"/>
  <c r="BH153" i="18"/>
  <c r="BI143" i="18"/>
  <c r="BI153" i="18" s="1"/>
  <c r="BH848" i="18"/>
  <c r="BG856" i="18"/>
  <c r="BG749" i="18"/>
  <c r="BF752" i="18"/>
  <c r="Y25" i="24"/>
  <c r="Y142" i="24"/>
  <c r="W117" i="24"/>
  <c r="W85" i="24"/>
  <c r="AA137" i="24"/>
  <c r="Z19" i="24"/>
  <c r="Z18" i="24"/>
  <c r="Z28" i="24"/>
  <c r="Z134" i="24"/>
  <c r="AA64" i="24"/>
  <c r="AA17" i="24"/>
  <c r="AA471" i="18"/>
  <c r="AA473" i="18" s="1"/>
  <c r="X23" i="24"/>
  <c r="X65" i="24"/>
  <c r="X72" i="24"/>
  <c r="X135" i="24" s="1"/>
  <c r="Y71" i="24"/>
  <c r="Y48" i="24"/>
  <c r="AL88" i="18"/>
  <c r="AL75" i="18" s="1"/>
  <c r="AL472" i="18" s="1"/>
  <c r="AM76" i="18"/>
  <c r="X71" i="24"/>
  <c r="X48" i="24"/>
  <c r="AB467" i="18"/>
  <c r="AB475" i="18" s="1"/>
  <c r="AB466" i="18"/>
  <c r="AA474" i="18"/>
  <c r="BF455" i="18" l="1"/>
  <c r="BE465" i="18"/>
  <c r="BH801" i="18"/>
  <c r="BG804" i="18"/>
  <c r="BD101" i="18"/>
  <c r="BE89" i="18"/>
  <c r="BI373" i="18"/>
  <c r="BI374" i="18" s="1"/>
  <c r="BH374" i="18"/>
  <c r="BG627" i="18"/>
  <c r="BF635" i="18"/>
  <c r="BG487" i="18"/>
  <c r="BF492" i="18"/>
  <c r="BG205" i="18"/>
  <c r="BH195" i="18"/>
  <c r="BH823" i="18"/>
  <c r="BG830" i="18"/>
  <c r="BD13" i="24"/>
  <c r="BE12" i="24"/>
  <c r="BH127" i="18"/>
  <c r="BI117" i="18"/>
  <c r="BI127" i="18" s="1"/>
  <c r="BH452" i="18"/>
  <c r="BI442" i="18"/>
  <c r="BI452" i="18" s="1"/>
  <c r="BH668" i="18"/>
  <c r="BG674" i="18"/>
  <c r="BH413" i="18"/>
  <c r="BI403" i="18"/>
  <c r="BI413" i="18" s="1"/>
  <c r="BH843" i="18"/>
  <c r="BI833" i="18"/>
  <c r="BI843" i="18" s="1"/>
  <c r="BH211" i="18"/>
  <c r="BG218" i="18"/>
  <c r="BG288" i="18"/>
  <c r="BF296" i="18"/>
  <c r="BH816" i="18"/>
  <c r="BG817" i="18"/>
  <c r="BI187" i="18"/>
  <c r="BI192" i="18" s="1"/>
  <c r="BH192" i="18"/>
  <c r="BG439" i="18"/>
  <c r="BH429" i="18"/>
  <c r="BG309" i="18"/>
  <c r="BH299" i="18"/>
  <c r="BG573" i="18"/>
  <c r="BF583" i="18"/>
  <c r="BG540" i="18"/>
  <c r="BF544" i="18"/>
  <c r="BH596" i="18"/>
  <c r="BI586" i="18"/>
  <c r="BI596" i="18" s="1"/>
  <c r="BG566" i="18"/>
  <c r="BF570" i="18"/>
  <c r="BH179" i="18"/>
  <c r="BI169" i="18"/>
  <c r="BI179" i="18" s="1"/>
  <c r="BH655" i="18"/>
  <c r="BG661" i="18"/>
  <c r="BG348" i="18"/>
  <c r="BH338" i="18"/>
  <c r="BH718" i="18"/>
  <c r="BG726" i="18"/>
  <c r="AW4" i="18"/>
  <c r="AV4" i="24"/>
  <c r="BH244" i="18"/>
  <c r="BI234" i="18"/>
  <c r="BI244" i="18" s="1"/>
  <c r="BF283" i="18"/>
  <c r="BG273" i="18"/>
  <c r="BE231" i="18"/>
  <c r="BF221" i="18"/>
  <c r="BI549" i="18"/>
  <c r="BI557" i="18" s="1"/>
  <c r="BH557" i="18"/>
  <c r="BG869" i="18"/>
  <c r="BH859" i="18"/>
  <c r="BG361" i="18"/>
  <c r="BH351" i="18"/>
  <c r="BH604" i="18"/>
  <c r="BG609" i="18"/>
  <c r="BI685" i="18"/>
  <c r="BI687" i="18" s="1"/>
  <c r="BH687" i="18"/>
  <c r="BH749" i="18"/>
  <c r="BG752" i="18"/>
  <c r="BI848" i="18"/>
  <c r="BI856" i="18" s="1"/>
  <c r="BH856" i="18"/>
  <c r="BH319" i="18"/>
  <c r="BG322" i="18"/>
  <c r="BH379" i="18"/>
  <c r="BG387" i="18"/>
  <c r="BH790" i="18"/>
  <c r="BG791" i="18"/>
  <c r="BH618" i="18"/>
  <c r="BG622" i="18"/>
  <c r="BI286" i="18"/>
  <c r="BG706" i="18"/>
  <c r="BF713" i="18"/>
  <c r="BH739" i="18"/>
  <c r="BI729" i="18"/>
  <c r="BI739" i="18" s="1"/>
  <c r="Y23" i="24"/>
  <c r="Y65" i="24"/>
  <c r="AM88" i="18"/>
  <c r="AM75" i="18" s="1"/>
  <c r="AM472" i="18" s="1"/>
  <c r="AN76" i="18"/>
  <c r="Y72" i="24"/>
  <c r="Y135" i="24" s="1"/>
  <c r="Z26" i="24"/>
  <c r="AA19" i="24"/>
  <c r="AA18" i="24"/>
  <c r="Z142" i="24"/>
  <c r="Z25" i="24"/>
  <c r="AB137" i="24"/>
  <c r="AB471" i="18"/>
  <c r="AB473" i="18" s="1"/>
  <c r="AB64" i="24"/>
  <c r="AB17" i="24"/>
  <c r="AC466" i="18"/>
  <c r="AC467" i="18"/>
  <c r="AC475" i="18" s="1"/>
  <c r="AB474" i="18"/>
  <c r="X117" i="24"/>
  <c r="X85" i="24"/>
  <c r="AA28" i="24"/>
  <c r="AA134" i="24"/>
  <c r="BG455" i="18" l="1"/>
  <c r="BF465" i="18"/>
  <c r="Y85" i="24"/>
  <c r="BI801" i="18"/>
  <c r="BI804" i="18" s="1"/>
  <c r="BH804" i="18"/>
  <c r="BE101" i="18"/>
  <c r="BF89" i="18"/>
  <c r="BH205" i="18"/>
  <c r="BI195" i="18"/>
  <c r="BI205" i="18" s="1"/>
  <c r="BI379" i="18"/>
  <c r="BI387" i="18" s="1"/>
  <c r="BH387" i="18"/>
  <c r="BI655" i="18"/>
  <c r="BI661" i="18" s="1"/>
  <c r="BH661" i="18"/>
  <c r="BH540" i="18"/>
  <c r="BG544" i="18"/>
  <c r="BH706" i="18"/>
  <c r="BG713" i="18"/>
  <c r="BF231" i="18"/>
  <c r="BG221" i="18"/>
  <c r="AW4" i="24"/>
  <c r="AX4" i="18"/>
  <c r="BH573" i="18"/>
  <c r="BG583" i="18"/>
  <c r="BI816" i="18"/>
  <c r="BI817" i="18" s="1"/>
  <c r="BH817" i="18"/>
  <c r="BH487" i="18"/>
  <c r="BG492" i="18"/>
  <c r="BI604" i="18"/>
  <c r="BI609" i="18" s="1"/>
  <c r="BH609" i="18"/>
  <c r="BH361" i="18"/>
  <c r="BI351" i="18"/>
  <c r="BI361" i="18" s="1"/>
  <c r="BH309" i="18"/>
  <c r="BI299" i="18"/>
  <c r="BI309" i="18" s="1"/>
  <c r="BF12" i="24"/>
  <c r="BE13" i="24"/>
  <c r="BI618" i="18"/>
  <c r="BI622" i="18" s="1"/>
  <c r="BH622" i="18"/>
  <c r="BI718" i="18"/>
  <c r="BI726" i="18" s="1"/>
  <c r="BH726" i="18"/>
  <c r="BH566" i="18"/>
  <c r="BG570" i="18"/>
  <c r="BH288" i="18"/>
  <c r="BG296" i="18"/>
  <c r="BH627" i="18"/>
  <c r="BG635" i="18"/>
  <c r="BH869" i="18"/>
  <c r="BI859" i="18"/>
  <c r="BI869" i="18" s="1"/>
  <c r="BG283" i="18"/>
  <c r="BH273" i="18"/>
  <c r="BH348" i="18"/>
  <c r="BI338" i="18"/>
  <c r="BI348" i="18" s="1"/>
  <c r="BH439" i="18"/>
  <c r="BI429" i="18"/>
  <c r="BI439" i="18" s="1"/>
  <c r="BI319" i="18"/>
  <c r="BI322" i="18" s="1"/>
  <c r="BH322" i="18"/>
  <c r="BI790" i="18"/>
  <c r="BI791" i="18" s="1"/>
  <c r="BH791" i="18"/>
  <c r="BI749" i="18"/>
  <c r="BI752" i="18" s="1"/>
  <c r="BH752" i="18"/>
  <c r="BI211" i="18"/>
  <c r="BI218" i="18" s="1"/>
  <c r="BH218" i="18"/>
  <c r="BI668" i="18"/>
  <c r="BI674" i="18" s="1"/>
  <c r="BH674" i="18"/>
  <c r="BI823" i="18"/>
  <c r="BI830" i="18" s="1"/>
  <c r="BH830" i="18"/>
  <c r="AN88" i="18"/>
  <c r="AN75" i="18" s="1"/>
  <c r="AN472" i="18" s="1"/>
  <c r="AO76" i="18"/>
  <c r="AC137" i="24"/>
  <c r="Z71" i="24"/>
  <c r="Z48" i="24"/>
  <c r="AD466" i="18"/>
  <c r="AC474" i="18"/>
  <c r="AD467" i="18"/>
  <c r="AD475" i="18" s="1"/>
  <c r="Z65" i="24"/>
  <c r="Z23" i="24"/>
  <c r="AA142" i="24"/>
  <c r="AA25" i="24"/>
  <c r="AC64" i="24"/>
  <c r="AC471" i="18"/>
  <c r="AC473" i="18" s="1"/>
  <c r="AC17" i="24"/>
  <c r="AB19" i="24"/>
  <c r="AB26" i="24" s="1"/>
  <c r="AB18" i="24"/>
  <c r="AB28" i="24"/>
  <c r="AB134" i="24"/>
  <c r="Y117" i="24"/>
  <c r="Z72" i="24"/>
  <c r="Z135" i="24" s="1"/>
  <c r="AA26" i="24"/>
  <c r="BG465" i="18" l="1"/>
  <c r="BH455" i="18"/>
  <c r="AD137" i="24"/>
  <c r="BF101" i="18"/>
  <c r="BG89" i="18"/>
  <c r="BI288" i="18"/>
  <c r="BI296" i="18" s="1"/>
  <c r="BH296" i="18"/>
  <c r="BG12" i="24"/>
  <c r="BF13" i="24"/>
  <c r="BH283" i="18"/>
  <c r="BI273" i="18"/>
  <c r="BI283" i="18" s="1"/>
  <c r="BI540" i="18"/>
  <c r="BI544" i="18" s="1"/>
  <c r="BH544" i="18"/>
  <c r="BI566" i="18"/>
  <c r="BI570" i="18" s="1"/>
  <c r="BH570" i="18"/>
  <c r="BI487" i="18"/>
  <c r="BI492" i="18" s="1"/>
  <c r="BH492" i="18"/>
  <c r="BG231" i="18"/>
  <c r="BH221" i="18"/>
  <c r="BI627" i="18"/>
  <c r="BI635" i="18" s="1"/>
  <c r="BH635" i="18"/>
  <c r="BI573" i="18"/>
  <c r="BI583" i="18" s="1"/>
  <c r="BH583" i="18"/>
  <c r="AY4" i="18"/>
  <c r="AX4" i="24"/>
  <c r="BI706" i="18"/>
  <c r="BI713" i="18" s="1"/>
  <c r="BH713" i="18"/>
  <c r="AA72" i="24"/>
  <c r="AA135" i="24" s="1"/>
  <c r="AB71" i="24"/>
  <c r="AB48" i="24"/>
  <c r="AD64" i="24"/>
  <c r="AD17" i="24"/>
  <c r="AD471" i="18"/>
  <c r="AD473" i="18" s="1"/>
  <c r="AE467" i="18"/>
  <c r="AE475" i="18" s="1"/>
  <c r="AD474" i="18"/>
  <c r="AE466" i="18"/>
  <c r="AA65" i="24"/>
  <c r="AA23" i="24"/>
  <c r="AB142" i="24"/>
  <c r="AB25" i="24"/>
  <c r="Z85" i="24"/>
  <c r="Z117" i="24"/>
  <c r="AO88" i="18"/>
  <c r="AO75" i="18" s="1"/>
  <c r="AO472" i="18" s="1"/>
  <c r="AP76" i="18"/>
  <c r="AA71" i="24"/>
  <c r="AA48" i="24"/>
  <c r="AC18" i="24"/>
  <c r="AC19" i="24"/>
  <c r="AC28" i="24"/>
  <c r="AC134" i="24"/>
  <c r="BI455" i="18" l="1"/>
  <c r="BI465" i="18" s="1"/>
  <c r="BH465" i="18"/>
  <c r="BG101" i="18"/>
  <c r="BH89" i="18"/>
  <c r="BH231" i="18"/>
  <c r="BI221" i="18"/>
  <c r="BI231" i="18" s="1"/>
  <c r="AZ4" i="18"/>
  <c r="AY4" i="24"/>
  <c r="BG13" i="24"/>
  <c r="BH12" i="24"/>
  <c r="AE137" i="24"/>
  <c r="AF467" i="18"/>
  <c r="AF475" i="18" s="1"/>
  <c r="AE474" i="18"/>
  <c r="AF466" i="18"/>
  <c r="AD19" i="24"/>
  <c r="AD26" i="24" s="1"/>
  <c r="AD18" i="24"/>
  <c r="AE64" i="24"/>
  <c r="AE17" i="24"/>
  <c r="AE471" i="18"/>
  <c r="AE473" i="18" s="1"/>
  <c r="AA85" i="24"/>
  <c r="AA117" i="24"/>
  <c r="AP88" i="18"/>
  <c r="AP75" i="18" s="1"/>
  <c r="AP472" i="18" s="1"/>
  <c r="AQ76" i="18"/>
  <c r="AC142" i="24"/>
  <c r="AC25" i="24"/>
  <c r="AD134" i="24"/>
  <c r="AD28" i="24"/>
  <c r="AB72" i="24"/>
  <c r="AB135" i="24" s="1"/>
  <c r="AC26" i="24"/>
  <c r="AB23" i="24"/>
  <c r="AB65" i="24"/>
  <c r="BH101" i="18" l="1"/>
  <c r="BI89" i="18"/>
  <c r="BI101" i="18" s="1"/>
  <c r="BI12" i="24"/>
  <c r="BI13" i="24" s="1"/>
  <c r="BH13" i="24"/>
  <c r="AZ4" i="24"/>
  <c r="BA4" i="18"/>
  <c r="AC72" i="24"/>
  <c r="AC135" i="24" s="1"/>
  <c r="AD142" i="24"/>
  <c r="AD25" i="24"/>
  <c r="AD71" i="24"/>
  <c r="AD48" i="24"/>
  <c r="AB117" i="24"/>
  <c r="AF474" i="18"/>
  <c r="AG467" i="18"/>
  <c r="AG475" i="18" s="1"/>
  <c r="AG137" i="24" s="1"/>
  <c r="AG466" i="18"/>
  <c r="AC65" i="24"/>
  <c r="AC23" i="24"/>
  <c r="AB85" i="24"/>
  <c r="AF17" i="24"/>
  <c r="AF471" i="18"/>
  <c r="AF473" i="18" s="1"/>
  <c r="AF64" i="24"/>
  <c r="AC48" i="24"/>
  <c r="AC71" i="24"/>
  <c r="AQ88" i="18"/>
  <c r="AQ75" i="18" s="1"/>
  <c r="AQ472" i="18" s="1"/>
  <c r="AR76" i="18"/>
  <c r="AE134" i="24"/>
  <c r="AE28" i="24"/>
  <c r="AF137" i="24"/>
  <c r="AE18" i="24"/>
  <c r="AE19" i="24"/>
  <c r="F66" i="24" l="1"/>
  <c r="BB4" i="18"/>
  <c r="BA4" i="24"/>
  <c r="AR88" i="18"/>
  <c r="AR75" i="18" s="1"/>
  <c r="AR472" i="18" s="1"/>
  <c r="AS76" i="18"/>
  <c r="AE25" i="24"/>
  <c r="AE142" i="24"/>
  <c r="AC85" i="24"/>
  <c r="AC117" i="24"/>
  <c r="AH467" i="18"/>
  <c r="AH475" i="18" s="1"/>
  <c r="AH466" i="18"/>
  <c r="AG474" i="18"/>
  <c r="AF28" i="24"/>
  <c r="AF134" i="24"/>
  <c r="AD72" i="24"/>
  <c r="AD135" i="24" s="1"/>
  <c r="AE26" i="24"/>
  <c r="AD23" i="24"/>
  <c r="AD65" i="24"/>
  <c r="AF18" i="24"/>
  <c r="AF19" i="24"/>
  <c r="AE72" i="24" s="1"/>
  <c r="AE135" i="24" s="1"/>
  <c r="AG17" i="24"/>
  <c r="AG471" i="18"/>
  <c r="AG473" i="18" s="1"/>
  <c r="AG64" i="24"/>
  <c r="BB4" i="24" l="1"/>
  <c r="BC4" i="18"/>
  <c r="AH137" i="24"/>
  <c r="AG28" i="24"/>
  <c r="AG134" i="24"/>
  <c r="AE71" i="24"/>
  <c r="AE48" i="24"/>
  <c r="AG19" i="24"/>
  <c r="AG26" i="24" s="1"/>
  <c r="AG18" i="24"/>
  <c r="AF26" i="24"/>
  <c r="AD117" i="24"/>
  <c r="AF25" i="24"/>
  <c r="AF142" i="24"/>
  <c r="AE65" i="24"/>
  <c r="AE23" i="24"/>
  <c r="AD85" i="24"/>
  <c r="AS88" i="18"/>
  <c r="AS75" i="18" s="1"/>
  <c r="AS472" i="18" s="1"/>
  <c r="AT76" i="18"/>
  <c r="AH471" i="18"/>
  <c r="AH473" i="18" s="1"/>
  <c r="AH17" i="24"/>
  <c r="AH64" i="24"/>
  <c r="AI467" i="18"/>
  <c r="AI475" i="18" s="1"/>
  <c r="AI466" i="18"/>
  <c r="AH474" i="18"/>
  <c r="BD4" i="18" l="1"/>
  <c r="BC4" i="24"/>
  <c r="AI137" i="24"/>
  <c r="AH28" i="24"/>
  <c r="AH134" i="24"/>
  <c r="AI17" i="24"/>
  <c r="AI471" i="18"/>
  <c r="AI473" i="18" s="1"/>
  <c r="AI64" i="24"/>
  <c r="AF72" i="24"/>
  <c r="AF135" i="24" s="1"/>
  <c r="AE117" i="24"/>
  <c r="AE85" i="24"/>
  <c r="AG48" i="24"/>
  <c r="AG71" i="24"/>
  <c r="AF23" i="24"/>
  <c r="AF65" i="24"/>
  <c r="AF71" i="24"/>
  <c r="AF48" i="24"/>
  <c r="AT88" i="18"/>
  <c r="AT75" i="18" s="1"/>
  <c r="AT472" i="18" s="1"/>
  <c r="AU76" i="18"/>
  <c r="AI474" i="18"/>
  <c r="AJ466" i="18"/>
  <c r="AJ467" i="18"/>
  <c r="AJ475" i="18" s="1"/>
  <c r="AH18" i="24"/>
  <c r="AH19" i="24"/>
  <c r="AG25" i="24"/>
  <c r="AG142" i="24"/>
  <c r="AJ137" i="24" l="1"/>
  <c r="BE4" i="18"/>
  <c r="BD4" i="24"/>
  <c r="AG72" i="24"/>
  <c r="AG135" i="24" s="1"/>
  <c r="AH26" i="24"/>
  <c r="AH142" i="24"/>
  <c r="AH25" i="24"/>
  <c r="AF85" i="24"/>
  <c r="AF117" i="24"/>
  <c r="AK466" i="18"/>
  <c r="AK467" i="18"/>
  <c r="AK475" i="18" s="1"/>
  <c r="AJ474" i="18"/>
  <c r="AI134" i="24"/>
  <c r="AI28" i="24"/>
  <c r="AJ64" i="24"/>
  <c r="AJ17" i="24"/>
  <c r="AJ471" i="18"/>
  <c r="AJ473" i="18" s="1"/>
  <c r="AG65" i="24"/>
  <c r="AG23" i="24"/>
  <c r="AU88" i="18"/>
  <c r="AU75" i="18" s="1"/>
  <c r="AU472" i="18" s="1"/>
  <c r="AV76" i="18"/>
  <c r="AI19" i="24"/>
  <c r="AH72" i="24" s="1"/>
  <c r="AH135" i="24" s="1"/>
  <c r="AI18" i="24"/>
  <c r="BE4" i="24" l="1"/>
  <c r="BF4" i="18"/>
  <c r="AK64" i="24"/>
  <c r="AK471" i="18"/>
  <c r="AK473" i="18" s="1"/>
  <c r="AK17" i="24"/>
  <c r="AJ134" i="24"/>
  <c r="AJ28" i="24"/>
  <c r="AJ19" i="24"/>
  <c r="AJ26" i="24" s="1"/>
  <c r="AJ18" i="24"/>
  <c r="AI142" i="24"/>
  <c r="AI25" i="24"/>
  <c r="AK137" i="24"/>
  <c r="AL466" i="18"/>
  <c r="AL467" i="18"/>
  <c r="AL475" i="18" s="1"/>
  <c r="AK474" i="18"/>
  <c r="AH65" i="24"/>
  <c r="AH23" i="24"/>
  <c r="AG85" i="24"/>
  <c r="AH48" i="24"/>
  <c r="AH71" i="24"/>
  <c r="AI26" i="24"/>
  <c r="AG117" i="24"/>
  <c r="AV88" i="18"/>
  <c r="AV75" i="18" s="1"/>
  <c r="AV472" i="18" s="1"/>
  <c r="AW76" i="18"/>
  <c r="AI72" i="24" l="1"/>
  <c r="AI135" i="24" s="1"/>
  <c r="BF4" i="24"/>
  <c r="BG4" i="18"/>
  <c r="AL137" i="24"/>
  <c r="AK19" i="24"/>
  <c r="AK18" i="24"/>
  <c r="AJ25" i="24"/>
  <c r="AJ142" i="24"/>
  <c r="AI65" i="24"/>
  <c r="AI23" i="24"/>
  <c r="AJ48" i="24"/>
  <c r="AJ71" i="24"/>
  <c r="AW88" i="18"/>
  <c r="AW75" i="18" s="1"/>
  <c r="AW472" i="18" s="1"/>
  <c r="AX76" i="18"/>
  <c r="AI48" i="24"/>
  <c r="AI71" i="24"/>
  <c r="AM466" i="18"/>
  <c r="AM467" i="18"/>
  <c r="AM475" i="18" s="1"/>
  <c r="AL474" i="18"/>
  <c r="AK28" i="24"/>
  <c r="AK134" i="24"/>
  <c r="AH85" i="24"/>
  <c r="AH117" i="24"/>
  <c r="AL471" i="18"/>
  <c r="AL473" i="18" s="1"/>
  <c r="AL17" i="24"/>
  <c r="AL64" i="24"/>
  <c r="BH4" i="18" l="1"/>
  <c r="BG4" i="24"/>
  <c r="AM137" i="24"/>
  <c r="AL19" i="24"/>
  <c r="AL26" i="24" s="1"/>
  <c r="AL18" i="24"/>
  <c r="AL28" i="24"/>
  <c r="AL134" i="24"/>
  <c r="AI85" i="24"/>
  <c r="AI117" i="24"/>
  <c r="AM471" i="18"/>
  <c r="AM473" i="18" s="1"/>
  <c r="AM17" i="24"/>
  <c r="AM64" i="24"/>
  <c r="AX88" i="18"/>
  <c r="AX75" i="18" s="1"/>
  <c r="AX472" i="18" s="1"/>
  <c r="AY76" i="18"/>
  <c r="AJ23" i="24"/>
  <c r="AJ65" i="24"/>
  <c r="AN466" i="18"/>
  <c r="AN467" i="18"/>
  <c r="AN475" i="18" s="1"/>
  <c r="AM474" i="18"/>
  <c r="AK142" i="24"/>
  <c r="AK25" i="24"/>
  <c r="AJ72" i="24"/>
  <c r="AJ135" i="24" s="1"/>
  <c r="AK26" i="24"/>
  <c r="AK72" i="24" l="1"/>
  <c r="AK135" i="24" s="1"/>
  <c r="AJ85" i="24"/>
  <c r="BI4" i="18"/>
  <c r="BI4" i="24" s="1"/>
  <c r="BH4" i="24"/>
  <c r="AJ117" i="24"/>
  <c r="AL142" i="24"/>
  <c r="AL25" i="24"/>
  <c r="AK71" i="24"/>
  <c r="AK48" i="24"/>
  <c r="AL71" i="24"/>
  <c r="AL48" i="24"/>
  <c r="AY88" i="18"/>
  <c r="AY75" i="18" s="1"/>
  <c r="AY472" i="18" s="1"/>
  <c r="AZ76" i="18"/>
  <c r="AN17" i="24"/>
  <c r="AN64" i="24"/>
  <c r="AN471" i="18"/>
  <c r="AN473" i="18" s="1"/>
  <c r="AK65" i="24"/>
  <c r="AK23" i="24"/>
  <c r="AN137" i="24"/>
  <c r="AN474" i="18"/>
  <c r="AO467" i="18"/>
  <c r="AO475" i="18" s="1"/>
  <c r="AO466" i="18"/>
  <c r="AM18" i="24"/>
  <c r="AM19" i="24"/>
  <c r="AM28" i="24"/>
  <c r="AM134" i="24"/>
  <c r="AK117" i="24" l="1"/>
  <c r="AK85" i="24"/>
  <c r="AN18" i="24"/>
  <c r="AN19" i="24"/>
  <c r="AN26" i="24" s="1"/>
  <c r="AO64" i="24"/>
  <c r="AO471" i="18"/>
  <c r="AO473" i="18" s="1"/>
  <c r="AO17" i="24"/>
  <c r="AN134" i="24"/>
  <c r="AN28" i="24"/>
  <c r="AL72" i="24"/>
  <c r="AL135" i="24" s="1"/>
  <c r="AM26" i="24"/>
  <c r="AM142" i="24"/>
  <c r="AM25" i="24"/>
  <c r="AL65" i="24"/>
  <c r="AL23" i="24"/>
  <c r="AP467" i="18"/>
  <c r="AP475" i="18" s="1"/>
  <c r="AP466" i="18"/>
  <c r="AO474" i="18"/>
  <c r="AO137" i="24"/>
  <c r="AZ88" i="18"/>
  <c r="AZ75" i="18" s="1"/>
  <c r="AZ472" i="18" s="1"/>
  <c r="BA76" i="18"/>
  <c r="AP137" i="24" l="1"/>
  <c r="BA88" i="18"/>
  <c r="BA75" i="18" s="1"/>
  <c r="BA472" i="18" s="1"/>
  <c r="BB76" i="18"/>
  <c r="AP471" i="18"/>
  <c r="AP473" i="18" s="1"/>
  <c r="AP64" i="24"/>
  <c r="AP17" i="24"/>
  <c r="AL117" i="24"/>
  <c r="AL85" i="24"/>
  <c r="AN48" i="24"/>
  <c r="AN71" i="24"/>
  <c r="AQ467" i="18"/>
  <c r="AQ475" i="18" s="1"/>
  <c r="AQ466" i="18"/>
  <c r="AP474" i="18"/>
  <c r="AM65" i="24"/>
  <c r="AM23" i="24"/>
  <c r="AN142" i="24"/>
  <c r="AN25" i="24"/>
  <c r="AO19" i="24"/>
  <c r="AO18" i="24"/>
  <c r="AM72" i="24"/>
  <c r="AM135" i="24" s="1"/>
  <c r="AO134" i="24"/>
  <c r="AO28" i="24"/>
  <c r="AM71" i="24"/>
  <c r="AM48" i="24"/>
  <c r="AQ17" i="24" l="1"/>
  <c r="AQ64" i="24"/>
  <c r="AQ471" i="18"/>
  <c r="AQ473" i="18" s="1"/>
  <c r="AN72" i="24"/>
  <c r="AN135" i="24" s="1"/>
  <c r="AO26" i="24"/>
  <c r="AQ137" i="24"/>
  <c r="AR466" i="18"/>
  <c r="AQ474" i="18"/>
  <c r="AR467" i="18"/>
  <c r="AR475" i="18" s="1"/>
  <c r="AP18" i="24"/>
  <c r="AP19" i="24"/>
  <c r="AP26" i="24" s="1"/>
  <c r="AO142" i="24"/>
  <c r="AO25" i="24"/>
  <c r="AN65" i="24"/>
  <c r="AN23" i="24"/>
  <c r="AM85" i="24"/>
  <c r="AM117" i="24"/>
  <c r="AP28" i="24"/>
  <c r="AP134" i="24"/>
  <c r="AN85" i="24"/>
  <c r="BB88" i="18"/>
  <c r="BB75" i="18" s="1"/>
  <c r="BB472" i="18" s="1"/>
  <c r="BC76" i="18"/>
  <c r="AO71" i="24" l="1"/>
  <c r="AO48" i="24"/>
  <c r="AO23" i="24"/>
  <c r="AO65" i="24"/>
  <c r="AS466" i="18"/>
  <c r="AR474" i="18"/>
  <c r="AS467" i="18"/>
  <c r="AS475" i="18" s="1"/>
  <c r="AP48" i="24"/>
  <c r="AP71" i="24"/>
  <c r="AR17" i="24"/>
  <c r="AR471" i="18"/>
  <c r="AR473" i="18" s="1"/>
  <c r="AR64" i="24"/>
  <c r="AP142" i="24"/>
  <c r="AP25" i="24"/>
  <c r="AQ28" i="24"/>
  <c r="AQ134" i="24"/>
  <c r="AQ18" i="24"/>
  <c r="AQ19" i="24"/>
  <c r="BC88" i="18"/>
  <c r="BC75" i="18" s="1"/>
  <c r="BC472" i="18" s="1"/>
  <c r="BD76" i="18"/>
  <c r="AN117" i="24"/>
  <c r="AR137" i="24"/>
  <c r="AO72" i="24"/>
  <c r="AO135" i="24" s="1"/>
  <c r="AS137" i="24" l="1"/>
  <c r="AP72" i="24"/>
  <c r="AP135" i="24" s="1"/>
  <c r="AQ26" i="24"/>
  <c r="AQ142" i="24"/>
  <c r="AQ25" i="24"/>
  <c r="AS471" i="18"/>
  <c r="AS473" i="18" s="1"/>
  <c r="AS64" i="24"/>
  <c r="AS17" i="24"/>
  <c r="AO85" i="24"/>
  <c r="AO117" i="24"/>
  <c r="BD88" i="18"/>
  <c r="BD75" i="18" s="1"/>
  <c r="BD472" i="18" s="1"/>
  <c r="BE76" i="18"/>
  <c r="AR28" i="24"/>
  <c r="AR134" i="24"/>
  <c r="AS474" i="18"/>
  <c r="AT466" i="18"/>
  <c r="AT467" i="18"/>
  <c r="AT475" i="18" s="1"/>
  <c r="AP65" i="24"/>
  <c r="AP23" i="24"/>
  <c r="AR18" i="24"/>
  <c r="AR19" i="24"/>
  <c r="AT137" i="24" l="1"/>
  <c r="AP85" i="24"/>
  <c r="BE88" i="18"/>
  <c r="BE75" i="18" s="1"/>
  <c r="BE472" i="18" s="1"/>
  <c r="BF76" i="18"/>
  <c r="AQ48" i="24"/>
  <c r="AQ71" i="24"/>
  <c r="AP117" i="24"/>
  <c r="AU466" i="18"/>
  <c r="AU467" i="18"/>
  <c r="AU475" i="18" s="1"/>
  <c r="AT474" i="18"/>
  <c r="AS18" i="24"/>
  <c r="AS19" i="24"/>
  <c r="AR142" i="24"/>
  <c r="AR25" i="24"/>
  <c r="AS134" i="24"/>
  <c r="AS28" i="24"/>
  <c r="AQ72" i="24"/>
  <c r="AQ135" i="24" s="1"/>
  <c r="AR26" i="24"/>
  <c r="AT471" i="18"/>
  <c r="AT473" i="18" s="1"/>
  <c r="AT17" i="24"/>
  <c r="AT64" i="24"/>
  <c r="AQ23" i="24"/>
  <c r="AQ65" i="24"/>
  <c r="AU17" i="24" l="1"/>
  <c r="AU64" i="24"/>
  <c r="AU471" i="18"/>
  <c r="AU473" i="18" s="1"/>
  <c r="AR71" i="24"/>
  <c r="AR48" i="24"/>
  <c r="AU137" i="24"/>
  <c r="AT19" i="24"/>
  <c r="AT18" i="24"/>
  <c r="AU474" i="18"/>
  <c r="AV467" i="18"/>
  <c r="AV475" i="18" s="1"/>
  <c r="AV466" i="18"/>
  <c r="AT28" i="24"/>
  <c r="AT134" i="24"/>
  <c r="AR23" i="24"/>
  <c r="AR65" i="24"/>
  <c r="AR72" i="24"/>
  <c r="AR135" i="24" s="1"/>
  <c r="AS26" i="24"/>
  <c r="AQ117" i="24"/>
  <c r="AQ85" i="24"/>
  <c r="AS142" i="24"/>
  <c r="AS25" i="24"/>
  <c r="BF88" i="18"/>
  <c r="BF75" i="18" s="1"/>
  <c r="BF472" i="18" s="1"/>
  <c r="BG76" i="18"/>
  <c r="AV137" i="24" l="1"/>
  <c r="BG88" i="18"/>
  <c r="BG75" i="18" s="1"/>
  <c r="BG472" i="18" s="1"/>
  <c r="BH76" i="18"/>
  <c r="AV17" i="24"/>
  <c r="AV64" i="24"/>
  <c r="AV471" i="18"/>
  <c r="AV473" i="18" s="1"/>
  <c r="AU18" i="24"/>
  <c r="AU19" i="24"/>
  <c r="AT25" i="24"/>
  <c r="AT142" i="24"/>
  <c r="AS65" i="24"/>
  <c r="AS23" i="24"/>
  <c r="AS72" i="24"/>
  <c r="AS135" i="24" s="1"/>
  <c r="AT26" i="24"/>
  <c r="AR85" i="24"/>
  <c r="AR117" i="24"/>
  <c r="AS71" i="24"/>
  <c r="AS48" i="24"/>
  <c r="AW467" i="18"/>
  <c r="AW475" i="18" s="1"/>
  <c r="AV474" i="18"/>
  <c r="AW466" i="18"/>
  <c r="AU134" i="24"/>
  <c r="AU28" i="24"/>
  <c r="AW137" i="24" l="1"/>
  <c r="AT72" i="24"/>
  <c r="AT135" i="24" s="1"/>
  <c r="AU26" i="24"/>
  <c r="AU142" i="24"/>
  <c r="AU25" i="24"/>
  <c r="AV28" i="24"/>
  <c r="AV134" i="24"/>
  <c r="AV19" i="24"/>
  <c r="AV18" i="24"/>
  <c r="AS117" i="24"/>
  <c r="AS85" i="24"/>
  <c r="AW474" i="18"/>
  <c r="AX467" i="18"/>
  <c r="AX475" i="18" s="1"/>
  <c r="AX466" i="18"/>
  <c r="AW64" i="24"/>
  <c r="AW17" i="24"/>
  <c r="AW471" i="18"/>
  <c r="AW473" i="18" s="1"/>
  <c r="AT71" i="24"/>
  <c r="AT48" i="24"/>
  <c r="AT23" i="24"/>
  <c r="AT65" i="24"/>
  <c r="BH88" i="18"/>
  <c r="BH75" i="18" s="1"/>
  <c r="BH472" i="18" s="1"/>
  <c r="BI76" i="18"/>
  <c r="BI88" i="18" s="1"/>
  <c r="BI75" i="18" s="1"/>
  <c r="BI472" i="18" s="1"/>
  <c r="AX137" i="24" l="1"/>
  <c r="AU23" i="24"/>
  <c r="AU65" i="24"/>
  <c r="AW28" i="24"/>
  <c r="AW134" i="24"/>
  <c r="AT85" i="24"/>
  <c r="AT117" i="24"/>
  <c r="AU72" i="24"/>
  <c r="AU135" i="24" s="1"/>
  <c r="AV26" i="24"/>
  <c r="AU71" i="24"/>
  <c r="AU48" i="24"/>
  <c r="AX474" i="18"/>
  <c r="AY467" i="18"/>
  <c r="AY475" i="18" s="1"/>
  <c r="AY466" i="18"/>
  <c r="AV142" i="24"/>
  <c r="AV25" i="24"/>
  <c r="AW19" i="24"/>
  <c r="AW26" i="24" s="1"/>
  <c r="AW18" i="24"/>
  <c r="AX471" i="18"/>
  <c r="AX473" i="18" s="1"/>
  <c r="AX64" i="24"/>
  <c r="AX17" i="24"/>
  <c r="AY137" i="24" l="1"/>
  <c r="AV72" i="24"/>
  <c r="AV135" i="24" s="1"/>
  <c r="AY474" i="18"/>
  <c r="AZ467" i="18"/>
  <c r="AZ475" i="18" s="1"/>
  <c r="AZ466" i="18"/>
  <c r="AW142" i="24"/>
  <c r="AW25" i="24"/>
  <c r="AW71" i="24"/>
  <c r="AW48" i="24"/>
  <c r="AV48" i="24"/>
  <c r="AV71" i="24"/>
  <c r="AY471" i="18"/>
  <c r="AY473" i="18" s="1"/>
  <c r="AY64" i="24"/>
  <c r="AY17" i="24"/>
  <c r="AV23" i="24"/>
  <c r="AV65" i="24"/>
  <c r="AX134" i="24"/>
  <c r="AX28" i="24"/>
  <c r="AX19" i="24"/>
  <c r="AX18" i="24"/>
  <c r="AU117" i="24"/>
  <c r="AU85" i="24"/>
  <c r="AZ137" i="24" l="1"/>
  <c r="AW65" i="24"/>
  <c r="AW23" i="24"/>
  <c r="AY18" i="24"/>
  <c r="AY19" i="24"/>
  <c r="AX142" i="24"/>
  <c r="AX25" i="24"/>
  <c r="AW72" i="24"/>
  <c r="AW135" i="24" s="1"/>
  <c r="AX26" i="24"/>
  <c r="AY134" i="24"/>
  <c r="AY28" i="24"/>
  <c r="BA466" i="18"/>
  <c r="AZ474" i="18"/>
  <c r="BA467" i="18"/>
  <c r="BA475" i="18" s="1"/>
  <c r="AV117" i="24"/>
  <c r="AV85" i="24"/>
  <c r="AZ64" i="24"/>
  <c r="AZ17" i="24"/>
  <c r="AZ471" i="18"/>
  <c r="AZ473" i="18" s="1"/>
  <c r="AZ134" i="24" l="1"/>
  <c r="AZ28" i="24"/>
  <c r="AX71" i="24"/>
  <c r="AX48" i="24"/>
  <c r="AW117" i="24"/>
  <c r="AW85" i="24"/>
  <c r="AZ18" i="24"/>
  <c r="AZ19" i="24"/>
  <c r="AY72" i="24" s="1"/>
  <c r="AY135" i="24" s="1"/>
  <c r="AX72" i="24"/>
  <c r="AX135" i="24" s="1"/>
  <c r="AY26" i="24"/>
  <c r="BA137" i="24"/>
  <c r="AY142" i="24"/>
  <c r="AY25" i="24"/>
  <c r="BA64" i="24"/>
  <c r="BA471" i="18"/>
  <c r="BA473" i="18" s="1"/>
  <c r="BA17" i="24"/>
  <c r="BB466" i="18"/>
  <c r="BA474" i="18"/>
  <c r="BB467" i="18"/>
  <c r="BB475" i="18" s="1"/>
  <c r="AX65" i="24"/>
  <c r="AX23" i="24"/>
  <c r="BB137" i="24" l="1"/>
  <c r="BB64" i="24"/>
  <c r="BB17" i="24"/>
  <c r="BB471" i="18"/>
  <c r="BB473" i="18" s="1"/>
  <c r="BB474" i="18"/>
  <c r="BC467" i="18"/>
  <c r="BC475" i="18" s="1"/>
  <c r="BC466" i="18"/>
  <c r="AY23" i="24"/>
  <c r="AY65" i="24"/>
  <c r="BA19" i="24"/>
  <c r="BA26" i="24" s="1"/>
  <c r="BA18" i="24"/>
  <c r="AZ26" i="24"/>
  <c r="AX85" i="24"/>
  <c r="AX117" i="24"/>
  <c r="BA28" i="24"/>
  <c r="BA134" i="24"/>
  <c r="AZ25" i="24"/>
  <c r="AZ142" i="24"/>
  <c r="AY71" i="24"/>
  <c r="AY48" i="24"/>
  <c r="BC137" i="24" l="1"/>
  <c r="AZ48" i="24"/>
  <c r="AZ71" i="24"/>
  <c r="BA71" i="24"/>
  <c r="BA48" i="24"/>
  <c r="BD466" i="18"/>
  <c r="BC474" i="18"/>
  <c r="BD467" i="18"/>
  <c r="BD475" i="18" s="1"/>
  <c r="AY117" i="24"/>
  <c r="AY85" i="24"/>
  <c r="BA142" i="24"/>
  <c r="BA25" i="24"/>
  <c r="AZ23" i="24"/>
  <c r="AZ65" i="24"/>
  <c r="BC471" i="18"/>
  <c r="BC473" i="18" s="1"/>
  <c r="BC64" i="24"/>
  <c r="BC17" i="24"/>
  <c r="BB28" i="24"/>
  <c r="BB134" i="24"/>
  <c r="BB19" i="24"/>
  <c r="BB18" i="24"/>
  <c r="AZ72" i="24"/>
  <c r="AZ135" i="24" s="1"/>
  <c r="BD137" i="24" l="1"/>
  <c r="BC18" i="24"/>
  <c r="BC19" i="24"/>
  <c r="BC26" i="24" s="1"/>
  <c r="BD471" i="18"/>
  <c r="BD473" i="18" s="1"/>
  <c r="BD64" i="24"/>
  <c r="BD17" i="24"/>
  <c r="BE467" i="18"/>
  <c r="BE475" i="18" s="1"/>
  <c r="BE466" i="18"/>
  <c r="BD474" i="18"/>
  <c r="BB142" i="24"/>
  <c r="BB25" i="24"/>
  <c r="BA72" i="24"/>
  <c r="BA135" i="24" s="1"/>
  <c r="BB26" i="24"/>
  <c r="BC134" i="24"/>
  <c r="BC28" i="24"/>
  <c r="BA117" i="24"/>
  <c r="BA65" i="24"/>
  <c r="BA23" i="24"/>
  <c r="AZ117" i="24"/>
  <c r="AZ85" i="24"/>
  <c r="BE471" i="18" l="1"/>
  <c r="BE473" i="18" s="1"/>
  <c r="BE64" i="24"/>
  <c r="BE17" i="24"/>
  <c r="BE137" i="24"/>
  <c r="BE474" i="18"/>
  <c r="BF467" i="18"/>
  <c r="BF475" i="18" s="1"/>
  <c r="BF466" i="18"/>
  <c r="BB72" i="24"/>
  <c r="BB135" i="24" s="1"/>
  <c r="BD19" i="24"/>
  <c r="BD18" i="24"/>
  <c r="BB48" i="24"/>
  <c r="BB71" i="24"/>
  <c r="BD134" i="24"/>
  <c r="BD28" i="24"/>
  <c r="BB65" i="24"/>
  <c r="BB23" i="24"/>
  <c r="BC71" i="24"/>
  <c r="BC48" i="24"/>
  <c r="BA85" i="24"/>
  <c r="BC142" i="24"/>
  <c r="BC25" i="24"/>
  <c r="BF137" i="24" l="1"/>
  <c r="BC65" i="24"/>
  <c r="BC23" i="24"/>
  <c r="BB85" i="24"/>
  <c r="BB117" i="24"/>
  <c r="BF471" i="18"/>
  <c r="BF473" i="18" s="1"/>
  <c r="BF64" i="24"/>
  <c r="BF17" i="24"/>
  <c r="BE19" i="24"/>
  <c r="BE18" i="24"/>
  <c r="BD142" i="24"/>
  <c r="BD25" i="24"/>
  <c r="BC72" i="24"/>
  <c r="BC135" i="24" s="1"/>
  <c r="BD26" i="24"/>
  <c r="BE134" i="24"/>
  <c r="BE28" i="24"/>
  <c r="BF474" i="18"/>
  <c r="BG467" i="18"/>
  <c r="BG475" i="18" s="1"/>
  <c r="BG466" i="18"/>
  <c r="BD72" i="24" l="1"/>
  <c r="BD135" i="24" s="1"/>
  <c r="BE26" i="24"/>
  <c r="BF28" i="24"/>
  <c r="BF134" i="24"/>
  <c r="BD65" i="24"/>
  <c r="BD23" i="24"/>
  <c r="BC117" i="24"/>
  <c r="BG17" i="24"/>
  <c r="BG64" i="24"/>
  <c r="BG471" i="18"/>
  <c r="BG473" i="18" s="1"/>
  <c r="BC85" i="24"/>
  <c r="BE142" i="24"/>
  <c r="BE25" i="24"/>
  <c r="BF18" i="24"/>
  <c r="BF19" i="24"/>
  <c r="BF26" i="24" s="1"/>
  <c r="BH466" i="18"/>
  <c r="BH467" i="18"/>
  <c r="BH475" i="18" s="1"/>
  <c r="BG474" i="18"/>
  <c r="BG137" i="24"/>
  <c r="BD48" i="24"/>
  <c r="BD71" i="24"/>
  <c r="BG28" i="24" l="1"/>
  <c r="BG134" i="24"/>
  <c r="BG18" i="24"/>
  <c r="BG19" i="24"/>
  <c r="BD85" i="24"/>
  <c r="BD117" i="24"/>
  <c r="BH137" i="24"/>
  <c r="BE72" i="24"/>
  <c r="BE135" i="24" s="1"/>
  <c r="BF71" i="24"/>
  <c r="BF48" i="24"/>
  <c r="BF142" i="24"/>
  <c r="BF25" i="24"/>
  <c r="BE23" i="24"/>
  <c r="BE65" i="24"/>
  <c r="BH17" i="24"/>
  <c r="BH471" i="18"/>
  <c r="BH473" i="18" s="1"/>
  <c r="BH64" i="24"/>
  <c r="BE71" i="24"/>
  <c r="BE48" i="24"/>
  <c r="BI466" i="18"/>
  <c r="BI474" i="18" s="1"/>
  <c r="BI67" i="24" s="1"/>
  <c r="F67" i="24" s="1"/>
  <c r="BI467" i="18"/>
  <c r="BI475" i="18" s="1"/>
  <c r="BH474" i="18"/>
  <c r="BH19" i="24" l="1"/>
  <c r="BH18" i="24"/>
  <c r="BG25" i="24"/>
  <c r="BG142" i="24"/>
  <c r="BI471" i="18"/>
  <c r="BI473" i="18" s="1"/>
  <c r="BI17" i="24"/>
  <c r="BI64" i="24"/>
  <c r="BI137" i="24"/>
  <c r="BE85" i="24"/>
  <c r="BE117" i="24"/>
  <c r="BF65" i="24"/>
  <c r="BF23" i="24"/>
  <c r="BH28" i="24"/>
  <c r="BH134" i="24"/>
  <c r="BF72" i="24"/>
  <c r="BF135" i="24" s="1"/>
  <c r="BG26" i="24"/>
  <c r="BG72" i="24"/>
  <c r="BG135" i="24" s="1"/>
  <c r="BI28" i="24" l="1"/>
  <c r="BI134" i="24"/>
  <c r="BF85" i="24"/>
  <c r="BF117" i="24"/>
  <c r="BG23" i="24"/>
  <c r="BG65" i="24"/>
  <c r="BH142" i="24"/>
  <c r="BH25" i="24"/>
  <c r="BH26" i="24"/>
  <c r="BI19" i="24"/>
  <c r="BI18" i="24"/>
  <c r="BG48" i="24"/>
  <c r="BG71" i="24"/>
  <c r="BH71" i="24" l="1"/>
  <c r="BH48" i="24"/>
  <c r="BH23" i="24"/>
  <c r="BH65" i="24"/>
  <c r="BG117" i="24"/>
  <c r="BG85" i="24"/>
  <c r="BI26" i="24"/>
  <c r="BI72" i="24"/>
  <c r="BI135" i="24" s="1"/>
  <c r="BH72" i="24"/>
  <c r="BH135" i="24" s="1"/>
  <c r="BI25" i="24"/>
  <c r="BI142" i="24"/>
  <c r="BI65" i="24" l="1"/>
  <c r="F65" i="24" s="1"/>
  <c r="F64" i="24" s="1"/>
  <c r="BI23" i="24"/>
  <c r="BI48" i="24"/>
  <c r="BI71" i="24"/>
  <c r="BH117" i="24"/>
  <c r="BH85" i="24"/>
  <c r="BI117" i="24" l="1"/>
  <c r="E117" i="24" s="1"/>
  <c r="BI85" i="24"/>
  <c r="E85" i="24" s="1"/>
  <c r="N8" i="1" l="1"/>
  <c r="N37" i="1" s="1"/>
  <c r="F870" i="18" s="1"/>
  <c r="O8" i="1"/>
  <c r="G883" i="18" l="1"/>
  <c r="O493" i="18"/>
  <c r="O505" i="18" s="1"/>
  <c r="O479" i="18" s="1"/>
  <c r="O47" i="24" s="1"/>
  <c r="I493" i="18"/>
  <c r="I505" i="18" s="1"/>
  <c r="I479" i="18" s="1"/>
  <c r="I47" i="24" s="1"/>
  <c r="Q493" i="18"/>
  <c r="Q505" i="18" s="1"/>
  <c r="Q479" i="18" s="1"/>
  <c r="Q47" i="24" s="1"/>
  <c r="G493" i="18"/>
  <c r="G505" i="18" s="1"/>
  <c r="G479" i="18" s="1"/>
  <c r="M493" i="18"/>
  <c r="M505" i="18" s="1"/>
  <c r="M479" i="18" s="1"/>
  <c r="M47" i="24" s="1"/>
  <c r="N493" i="18"/>
  <c r="N505" i="18" s="1"/>
  <c r="N479" i="18" s="1"/>
  <c r="N47" i="24" s="1"/>
  <c r="P493" i="18"/>
  <c r="P505" i="18" s="1"/>
  <c r="P479" i="18" s="1"/>
  <c r="P47" i="24" s="1"/>
  <c r="H493" i="18"/>
  <c r="H505" i="18" s="1"/>
  <c r="H479" i="18" s="1"/>
  <c r="H47" i="24" s="1"/>
  <c r="L493" i="18"/>
  <c r="L505" i="18" s="1"/>
  <c r="L479" i="18" s="1"/>
  <c r="L47" i="24" s="1"/>
  <c r="K493" i="18"/>
  <c r="K505" i="18" s="1"/>
  <c r="K479" i="18" s="1"/>
  <c r="K47" i="24" s="1"/>
  <c r="J493" i="18"/>
  <c r="J505" i="18" s="1"/>
  <c r="J479" i="18" s="1"/>
  <c r="J47" i="24" s="1"/>
  <c r="N50" i="24" l="1"/>
  <c r="M50" i="24"/>
  <c r="R493" i="18"/>
  <c r="G47" i="24"/>
  <c r="G886" i="18"/>
  <c r="J50" i="24"/>
  <c r="Q50" i="24"/>
  <c r="K50" i="24"/>
  <c r="I50" i="24"/>
  <c r="L50" i="24"/>
  <c r="O50" i="24"/>
  <c r="H50" i="24"/>
  <c r="G870" i="18"/>
  <c r="H870" i="18" s="1"/>
  <c r="I870" i="18" s="1"/>
  <c r="J870" i="18" s="1"/>
  <c r="K870" i="18" s="1"/>
  <c r="L870" i="18" s="1"/>
  <c r="M870" i="18" s="1"/>
  <c r="N870" i="18" s="1"/>
  <c r="O870" i="18" s="1"/>
  <c r="P870" i="18" s="1"/>
  <c r="Q870" i="18" s="1"/>
  <c r="P50" i="24"/>
  <c r="H883" i="18" l="1"/>
  <c r="G100" i="24"/>
  <c r="G50" i="24"/>
  <c r="G59" i="24" s="1"/>
  <c r="G34" i="24" s="1"/>
  <c r="R505" i="18"/>
  <c r="R479" i="18" s="1"/>
  <c r="R47" i="24" s="1"/>
  <c r="I883" i="18"/>
  <c r="S493" i="18"/>
  <c r="S505" i="18" s="1"/>
  <c r="S479" i="18" s="1"/>
  <c r="S47" i="24" s="1"/>
  <c r="G887" i="18"/>
  <c r="H886" i="18"/>
  <c r="I886" i="18" s="1"/>
  <c r="I887" i="18" s="1"/>
  <c r="R870" i="18" l="1"/>
  <c r="H887" i="18"/>
  <c r="I889" i="18" s="1"/>
  <c r="T493" i="18"/>
  <c r="T505" i="18" s="1"/>
  <c r="T479" i="18" s="1"/>
  <c r="T47" i="24" s="1"/>
  <c r="T50" i="24" s="1"/>
  <c r="R50" i="24"/>
  <c r="G25" i="7945"/>
  <c r="G35" i="24"/>
  <c r="G37" i="24" s="1"/>
  <c r="G889" i="18"/>
  <c r="H889" i="18"/>
  <c r="G101" i="24"/>
  <c r="G150" i="24" s="1"/>
  <c r="G109" i="24"/>
  <c r="S50" i="24"/>
  <c r="J886" i="18"/>
  <c r="J883" i="18"/>
  <c r="K883" i="18" s="1"/>
  <c r="S870" i="18"/>
  <c r="T870" i="18" l="1"/>
  <c r="G165" i="24"/>
  <c r="G166" i="24" s="1"/>
  <c r="G102" i="24"/>
  <c r="G103" i="24" s="1"/>
  <c r="U493" i="18"/>
  <c r="U505" i="18" s="1"/>
  <c r="U479" i="18" s="1"/>
  <c r="U47" i="24" s="1"/>
  <c r="U50" i="24" s="1"/>
  <c r="J887" i="18"/>
  <c r="J889" i="18" s="1"/>
  <c r="G34" i="7943"/>
  <c r="G77" i="24"/>
  <c r="G146" i="24"/>
  <c r="G113" i="24"/>
  <c r="G110" i="24"/>
  <c r="G43" i="24"/>
  <c r="G55" i="24" s="1"/>
  <c r="G90" i="24"/>
  <c r="G26" i="7945"/>
  <c r="K886" i="18"/>
  <c r="K887" i="18" s="1"/>
  <c r="L883" i="18"/>
  <c r="G11" i="7946" l="1"/>
  <c r="L889" i="18"/>
  <c r="G35" i="7943"/>
  <c r="G122" i="24"/>
  <c r="V493" i="18"/>
  <c r="U870" i="18"/>
  <c r="G81" i="24"/>
  <c r="M883" i="18"/>
  <c r="G114" i="24"/>
  <c r="G111" i="24"/>
  <c r="L886" i="18"/>
  <c r="M886" i="18" s="1"/>
  <c r="N886" i="18" s="1"/>
  <c r="O886" i="18" s="1"/>
  <c r="P886" i="18" s="1"/>
  <c r="G124" i="24"/>
  <c r="G92" i="24"/>
  <c r="G118" i="24"/>
  <c r="G104" i="24"/>
  <c r="K889" i="18"/>
  <c r="G54" i="24"/>
  <c r="G86" i="24"/>
  <c r="G34" i="7946"/>
  <c r="G39" i="7943"/>
  <c r="G12" i="7946"/>
  <c r="G55" i="7943" l="1"/>
  <c r="G58" i="7943" s="1"/>
  <c r="W493" i="18"/>
  <c r="V505" i="18"/>
  <c r="V479" i="18" s="1"/>
  <c r="N883" i="18"/>
  <c r="M887" i="18"/>
  <c r="L887" i="18"/>
  <c r="G105" i="24"/>
  <c r="G106" i="24"/>
  <c r="G35" i="7946"/>
  <c r="G120" i="24"/>
  <c r="G119" i="24"/>
  <c r="G41" i="7943"/>
  <c r="G42" i="7943"/>
  <c r="G88" i="24"/>
  <c r="G87" i="24"/>
  <c r="G132" i="24"/>
  <c r="G136" i="24" s="1"/>
  <c r="G115" i="24"/>
  <c r="G57" i="7943"/>
  <c r="G71" i="7943"/>
  <c r="G57" i="24"/>
  <c r="G56" i="24"/>
  <c r="V47" i="24" l="1"/>
  <c r="V50" i="24" s="1"/>
  <c r="V870" i="18"/>
  <c r="X493" i="18"/>
  <c r="W505" i="18"/>
  <c r="W479" i="18" s="1"/>
  <c r="W47" i="24" s="1"/>
  <c r="W50" i="24" s="1"/>
  <c r="G149" i="24"/>
  <c r="G126" i="24"/>
  <c r="G123" i="24"/>
  <c r="G74" i="7943"/>
  <c r="G73" i="7943"/>
  <c r="H100" i="24"/>
  <c r="H59" i="24"/>
  <c r="H34" i="24" s="1"/>
  <c r="G13" i="7945"/>
  <c r="G58" i="24"/>
  <c r="G94" i="24" s="1"/>
  <c r="G91" i="24"/>
  <c r="G78" i="24"/>
  <c r="N887" i="18"/>
  <c r="O889" i="18" s="1"/>
  <c r="O883" i="18"/>
  <c r="G139" i="24"/>
  <c r="G138" i="24"/>
  <c r="G140" i="24" s="1"/>
  <c r="M889" i="18"/>
  <c r="N889" i="18"/>
  <c r="Y493" i="18" l="1"/>
  <c r="X505" i="18"/>
  <c r="X479" i="18" s="1"/>
  <c r="X47" i="24" s="1"/>
  <c r="X50" i="24" s="1"/>
  <c r="W870" i="18"/>
  <c r="H35" i="24"/>
  <c r="H165" i="24" s="1"/>
  <c r="H166" i="24" s="1"/>
  <c r="H25" i="7945"/>
  <c r="G82" i="24"/>
  <c r="G79" i="24"/>
  <c r="G127" i="24"/>
  <c r="G93" i="24"/>
  <c r="G154" i="24"/>
  <c r="G125" i="24"/>
  <c r="G95" i="24"/>
  <c r="O887" i="18"/>
  <c r="P889" i="18" s="1"/>
  <c r="P883" i="18"/>
  <c r="P887" i="18" s="1"/>
  <c r="H101" i="24"/>
  <c r="H150" i="24" s="1"/>
  <c r="H109" i="24"/>
  <c r="G14" i="7945"/>
  <c r="H102" i="24" l="1"/>
  <c r="H122" i="24" s="1"/>
  <c r="X870" i="18"/>
  <c r="Y505" i="18"/>
  <c r="Y479" i="18" s="1"/>
  <c r="Y47" i="24" s="1"/>
  <c r="Y50" i="24" s="1"/>
  <c r="Z493" i="18"/>
  <c r="Z505" i="18" s="1"/>
  <c r="Z479" i="18" s="1"/>
  <c r="Z47" i="24" s="1"/>
  <c r="Z50" i="24" s="1"/>
  <c r="H34" i="7943"/>
  <c r="H37" i="24"/>
  <c r="H43" i="24" s="1"/>
  <c r="H55" i="24" s="1"/>
  <c r="H113" i="24"/>
  <c r="H110" i="24"/>
  <c r="G83" i="24"/>
  <c r="H26" i="7945"/>
  <c r="G15" i="7945"/>
  <c r="G27" i="7945"/>
  <c r="H11" i="7946" l="1"/>
  <c r="H34" i="7946" s="1"/>
  <c r="H103" i="24"/>
  <c r="H118" i="24" s="1"/>
  <c r="H35" i="7943"/>
  <c r="H90" i="24"/>
  <c r="H92" i="24" s="1"/>
  <c r="H77" i="24"/>
  <c r="H146" i="24"/>
  <c r="Y870" i="18"/>
  <c r="Z870" i="18" s="1"/>
  <c r="AA493" i="18"/>
  <c r="AA505" i="18" s="1"/>
  <c r="AA479" i="18" s="1"/>
  <c r="AA47" i="24" s="1"/>
  <c r="AA50" i="24" s="1"/>
  <c r="H124" i="24"/>
  <c r="G44" i="7945"/>
  <c r="H71" i="7943"/>
  <c r="H81" i="24"/>
  <c r="H111" i="24"/>
  <c r="H114" i="24"/>
  <c r="H86" i="24"/>
  <c r="H54" i="24"/>
  <c r="H104" i="24"/>
  <c r="G28" i="7945"/>
  <c r="H12" i="7946" l="1"/>
  <c r="H35" i="7946" s="1"/>
  <c r="H55" i="7943"/>
  <c r="H39" i="7943"/>
  <c r="AA870" i="18"/>
  <c r="AB493" i="18"/>
  <c r="H115" i="24"/>
  <c r="H132" i="24"/>
  <c r="H136" i="24" s="1"/>
  <c r="H106" i="24"/>
  <c r="H105" i="24"/>
  <c r="H56" i="24"/>
  <c r="H57" i="24"/>
  <c r="H120" i="24"/>
  <c r="H119" i="24"/>
  <c r="H88" i="24"/>
  <c r="H87" i="24"/>
  <c r="G35" i="7945"/>
  <c r="AB505" i="18" l="1"/>
  <c r="AB479" i="18" s="1"/>
  <c r="AC493" i="18"/>
  <c r="AC505" i="18" s="1"/>
  <c r="AC479" i="18" s="1"/>
  <c r="AC47" i="24" s="1"/>
  <c r="AC50" i="24" s="1"/>
  <c r="G36" i="7945"/>
  <c r="G41" i="7945"/>
  <c r="H149" i="24"/>
  <c r="H126" i="24"/>
  <c r="H123" i="24"/>
  <c r="H58" i="24"/>
  <c r="H94" i="24" s="1"/>
  <c r="H13" i="7945"/>
  <c r="H91" i="24"/>
  <c r="H78" i="24"/>
  <c r="H138" i="24"/>
  <c r="H140" i="24" s="1"/>
  <c r="H139" i="24"/>
  <c r="I100" i="24"/>
  <c r="I59" i="24"/>
  <c r="I34" i="24" s="1"/>
  <c r="AD493" i="18" l="1"/>
  <c r="AE493" i="18" s="1"/>
  <c r="AE505" i="18" s="1"/>
  <c r="AE479" i="18" s="1"/>
  <c r="AE47" i="24" s="1"/>
  <c r="AB47" i="24"/>
  <c r="AB50" i="24" s="1"/>
  <c r="AB870" i="18"/>
  <c r="AC870" i="18" s="1"/>
  <c r="H93" i="24"/>
  <c r="I35" i="24"/>
  <c r="I37" i="24" s="1"/>
  <c r="I25" i="7945"/>
  <c r="H154" i="24"/>
  <c r="G42" i="7945"/>
  <c r="H14" i="7945"/>
  <c r="I101" i="24"/>
  <c r="I150" i="24" s="1"/>
  <c r="H95" i="24"/>
  <c r="H127" i="24"/>
  <c r="H82" i="24"/>
  <c r="H79" i="24"/>
  <c r="H125" i="24"/>
  <c r="I109" i="24" l="1"/>
  <c r="I110" i="24" s="1"/>
  <c r="AF493" i="18"/>
  <c r="AF505" i="18" s="1"/>
  <c r="AF479" i="18" s="1"/>
  <c r="AF47" i="24" s="1"/>
  <c r="I165" i="24"/>
  <c r="I166" i="24" s="1"/>
  <c r="AD505" i="18"/>
  <c r="AD479" i="18" s="1"/>
  <c r="AD47" i="24" s="1"/>
  <c r="AD50" i="24" s="1"/>
  <c r="I34" i="7943"/>
  <c r="I102" i="24"/>
  <c r="I122" i="24" s="1"/>
  <c r="I26" i="7945"/>
  <c r="I77" i="24"/>
  <c r="I90" i="24"/>
  <c r="I43" i="24"/>
  <c r="I55" i="24" s="1"/>
  <c r="H27" i="7945"/>
  <c r="H15" i="7945"/>
  <c r="AE50" i="24"/>
  <c r="H83" i="24"/>
  <c r="I35" i="7943" l="1"/>
  <c r="I11" i="7946"/>
  <c r="I34" i="7946" s="1"/>
  <c r="AG493" i="18"/>
  <c r="AH493" i="18" s="1"/>
  <c r="I113" i="24"/>
  <c r="I146" i="24"/>
  <c r="I103" i="24"/>
  <c r="I104" i="24" s="1"/>
  <c r="AD870" i="18"/>
  <c r="AE870" i="18" s="1"/>
  <c r="AF870" i="18" s="1"/>
  <c r="H44" i="7945"/>
  <c r="H28" i="7945"/>
  <c r="I124" i="24"/>
  <c r="AF50" i="24"/>
  <c r="I54" i="24"/>
  <c r="I86" i="24"/>
  <c r="I92" i="24"/>
  <c r="I81" i="24"/>
  <c r="I12" i="7946"/>
  <c r="I71" i="7943"/>
  <c r="I55" i="7943"/>
  <c r="I39" i="7943"/>
  <c r="I114" i="24"/>
  <c r="I111" i="24"/>
  <c r="AG505" i="18" l="1"/>
  <c r="AG479" i="18" s="1"/>
  <c r="AG47" i="24" s="1"/>
  <c r="AG50" i="24" s="1"/>
  <c r="I118" i="24"/>
  <c r="I120" i="24" s="1"/>
  <c r="I105" i="24"/>
  <c r="I106" i="24"/>
  <c r="I35" i="7946"/>
  <c r="I88" i="24"/>
  <c r="I87" i="24"/>
  <c r="AH505" i="18"/>
  <c r="AH479" i="18" s="1"/>
  <c r="AH47" i="24" s="1"/>
  <c r="AI493" i="18"/>
  <c r="H35" i="7945"/>
  <c r="I57" i="24"/>
  <c r="I56" i="24"/>
  <c r="I115" i="24"/>
  <c r="I132" i="24"/>
  <c r="I136" i="24" s="1"/>
  <c r="AG870" i="18" l="1"/>
  <c r="AH870" i="18" s="1"/>
  <c r="I119" i="24"/>
  <c r="I149" i="24"/>
  <c r="I123" i="24"/>
  <c r="I126" i="24"/>
  <c r="H36" i="7945"/>
  <c r="H41" i="7945"/>
  <c r="J100" i="24"/>
  <c r="J59" i="24"/>
  <c r="J34" i="24" s="1"/>
  <c r="I138" i="24"/>
  <c r="I140" i="24" s="1"/>
  <c r="I139" i="24"/>
  <c r="I58" i="24"/>
  <c r="I94" i="24" s="1"/>
  <c r="I13" i="7945"/>
  <c r="I78" i="24"/>
  <c r="I91" i="24"/>
  <c r="AI505" i="18"/>
  <c r="AI479" i="18" s="1"/>
  <c r="AI47" i="24" s="1"/>
  <c r="AJ493" i="18"/>
  <c r="AH50" i="24"/>
  <c r="I14" i="7945" l="1"/>
  <c r="H42" i="7945"/>
  <c r="I82" i="24"/>
  <c r="I79" i="24"/>
  <c r="I127" i="24"/>
  <c r="I95" i="24"/>
  <c r="J35" i="24"/>
  <c r="J165" i="24" s="1"/>
  <c r="J166" i="24" s="1"/>
  <c r="J25" i="7945"/>
  <c r="AI50" i="24"/>
  <c r="AI870" i="18"/>
  <c r="I154" i="24"/>
  <c r="AJ505" i="18"/>
  <c r="AJ479" i="18" s="1"/>
  <c r="AJ47" i="24" s="1"/>
  <c r="AK493" i="18"/>
  <c r="I125" i="24"/>
  <c r="J101" i="24"/>
  <c r="J150" i="24" s="1"/>
  <c r="I93" i="24"/>
  <c r="J37" i="24" l="1"/>
  <c r="J77" i="24" s="1"/>
  <c r="J109" i="24"/>
  <c r="J110" i="24" s="1"/>
  <c r="J34" i="7943"/>
  <c r="J26" i="7945"/>
  <c r="J90" i="24"/>
  <c r="J43" i="24"/>
  <c r="J55" i="24" s="1"/>
  <c r="I83" i="24"/>
  <c r="AJ50" i="24"/>
  <c r="AK505" i="18"/>
  <c r="AK479" i="18" s="1"/>
  <c r="AK47" i="24" s="1"/>
  <c r="AL493" i="18"/>
  <c r="AJ870" i="18"/>
  <c r="J102" i="24"/>
  <c r="I15" i="7945"/>
  <c r="I27" i="7945"/>
  <c r="J11" i="7946" l="1"/>
  <c r="J113" i="24"/>
  <c r="J35" i="7943"/>
  <c r="I44" i="7945"/>
  <c r="J122" i="24"/>
  <c r="J103" i="24"/>
  <c r="J146" i="24"/>
  <c r="AK870" i="18"/>
  <c r="J81" i="24"/>
  <c r="AL505" i="18"/>
  <c r="AL479" i="18" s="1"/>
  <c r="AL47" i="24" s="1"/>
  <c r="AM493" i="18"/>
  <c r="J92" i="24"/>
  <c r="AK50" i="24"/>
  <c r="J71" i="7943"/>
  <c r="J34" i="7946"/>
  <c r="I28" i="7945"/>
  <c r="J54" i="24"/>
  <c r="J86" i="24"/>
  <c r="J114" i="24"/>
  <c r="J111" i="24"/>
  <c r="J12" i="7946" l="1"/>
  <c r="J35" i="7946" s="1"/>
  <c r="J55" i="7943"/>
  <c r="J39" i="7943"/>
  <c r="AL870" i="18"/>
  <c r="J118" i="24"/>
  <c r="J104" i="24"/>
  <c r="AM505" i="18"/>
  <c r="AM479" i="18" s="1"/>
  <c r="AM47" i="24" s="1"/>
  <c r="AN493" i="18"/>
  <c r="J124" i="24"/>
  <c r="J56" i="24"/>
  <c r="J57" i="24"/>
  <c r="AL50" i="24"/>
  <c r="J132" i="24"/>
  <c r="J136" i="24" s="1"/>
  <c r="J115" i="24"/>
  <c r="J88" i="24"/>
  <c r="J87" i="24"/>
  <c r="I35" i="7945"/>
  <c r="AM50" i="24" l="1"/>
  <c r="J105" i="24"/>
  <c r="J106" i="24"/>
  <c r="J138" i="24"/>
  <c r="J140" i="24" s="1"/>
  <c r="J139" i="24"/>
  <c r="J120" i="24"/>
  <c r="J119" i="24"/>
  <c r="K100" i="24"/>
  <c r="K59" i="24"/>
  <c r="K34" i="24" s="1"/>
  <c r="I41" i="7945"/>
  <c r="I36" i="7945"/>
  <c r="J58" i="24"/>
  <c r="J94" i="24" s="1"/>
  <c r="J13" i="7945"/>
  <c r="J91" i="24"/>
  <c r="J78" i="24"/>
  <c r="AN505" i="18"/>
  <c r="AN479" i="18" s="1"/>
  <c r="AN47" i="24" s="1"/>
  <c r="AO493" i="18"/>
  <c r="AM870" i="18"/>
  <c r="AO505" i="18" l="1"/>
  <c r="AO479" i="18" s="1"/>
  <c r="AO47" i="24" s="1"/>
  <c r="AP493" i="18"/>
  <c r="J95" i="24"/>
  <c r="AN870" i="18"/>
  <c r="I42" i="7945"/>
  <c r="J149" i="24"/>
  <c r="J126" i="24"/>
  <c r="J123" i="24"/>
  <c r="AN50" i="24"/>
  <c r="J79" i="24"/>
  <c r="J82" i="24"/>
  <c r="K35" i="24"/>
  <c r="K165" i="24" s="1"/>
  <c r="K166" i="24" s="1"/>
  <c r="K25" i="7945"/>
  <c r="K101" i="24"/>
  <c r="K150" i="24" s="1"/>
  <c r="L150" i="24" s="1"/>
  <c r="M150" i="24" s="1"/>
  <c r="N150" i="24" s="1"/>
  <c r="O150" i="24" s="1"/>
  <c r="P150" i="24" s="1"/>
  <c r="J93" i="24"/>
  <c r="J14" i="7945"/>
  <c r="K34" i="7943" l="1"/>
  <c r="AO870" i="18"/>
  <c r="K102" i="24"/>
  <c r="K122" i="24" s="1"/>
  <c r="K109" i="24"/>
  <c r="J83" i="24"/>
  <c r="K26" i="7945"/>
  <c r="L25" i="7945"/>
  <c r="L26" i="7945" s="1"/>
  <c r="J125" i="24"/>
  <c r="J15" i="7945"/>
  <c r="J27" i="7945"/>
  <c r="K37" i="24"/>
  <c r="J127" i="24"/>
  <c r="AP505" i="18"/>
  <c r="AP479" i="18" s="1"/>
  <c r="AP47" i="24" s="1"/>
  <c r="AQ493" i="18"/>
  <c r="J154" i="24"/>
  <c r="AO50" i="24"/>
  <c r="K146" i="24" l="1"/>
  <c r="L34" i="7943"/>
  <c r="L35" i="7943" s="1"/>
  <c r="L12" i="7946" s="1"/>
  <c r="L35" i="7946" s="1"/>
  <c r="K11" i="7946"/>
  <c r="K35" i="7943"/>
  <c r="K103" i="24"/>
  <c r="M25" i="7945"/>
  <c r="M26" i="7945" s="1"/>
  <c r="K39" i="7943"/>
  <c r="K71" i="7943"/>
  <c r="K55" i="7943"/>
  <c r="AP870" i="18"/>
  <c r="K110" i="24"/>
  <c r="K113" i="24"/>
  <c r="J44" i="7945"/>
  <c r="K77" i="24"/>
  <c r="K90" i="24"/>
  <c r="K43" i="24"/>
  <c r="K55" i="24" s="1"/>
  <c r="M34" i="7943"/>
  <c r="L11" i="7946"/>
  <c r="L34" i="7946" s="1"/>
  <c r="L146" i="24"/>
  <c r="M146" i="24" s="1"/>
  <c r="AP50" i="24"/>
  <c r="K124" i="24"/>
  <c r="AQ505" i="18"/>
  <c r="AQ479" i="18" s="1"/>
  <c r="AQ47" i="24" s="1"/>
  <c r="AR493" i="18"/>
  <c r="J28" i="7945"/>
  <c r="K34" i="7946"/>
  <c r="K118" i="24"/>
  <c r="K104" i="24"/>
  <c r="K12" i="7946" l="1"/>
  <c r="N25" i="7945"/>
  <c r="N26" i="7945" s="1"/>
  <c r="AQ870" i="18"/>
  <c r="K81" i="24"/>
  <c r="R57" i="7943"/>
  <c r="R58" i="7943"/>
  <c r="L55" i="7943"/>
  <c r="M55" i="7943" s="1"/>
  <c r="N55" i="7943" s="1"/>
  <c r="O55" i="7943" s="1"/>
  <c r="P55" i="7943" s="1"/>
  <c r="R55" i="7943" s="1"/>
  <c r="R63" i="7943" s="1"/>
  <c r="K120" i="24"/>
  <c r="K119" i="24"/>
  <c r="R74" i="7943"/>
  <c r="R73" i="7943"/>
  <c r="L71" i="7943"/>
  <c r="M71" i="7943" s="1"/>
  <c r="N71" i="7943" s="1"/>
  <c r="O71" i="7943" s="1"/>
  <c r="P71" i="7943" s="1"/>
  <c r="R71" i="7943" s="1"/>
  <c r="R83" i="7943" s="1"/>
  <c r="J35" i="7945"/>
  <c r="R42" i="7943"/>
  <c r="R41" i="7943"/>
  <c r="L39" i="7943"/>
  <c r="M39" i="7943" s="1"/>
  <c r="N39" i="7943" s="1"/>
  <c r="O39" i="7943" s="1"/>
  <c r="P39" i="7943" s="1"/>
  <c r="R39" i="7943" s="1"/>
  <c r="R47" i="7943" s="1"/>
  <c r="AR505" i="18"/>
  <c r="AR479" i="18" s="1"/>
  <c r="AR47" i="24" s="1"/>
  <c r="AS493" i="18"/>
  <c r="K54" i="24"/>
  <c r="K86" i="24"/>
  <c r="K106" i="24"/>
  <c r="K105" i="24"/>
  <c r="N34" i="7943"/>
  <c r="M11" i="7946"/>
  <c r="M34" i="7946" s="1"/>
  <c r="M35" i="7943"/>
  <c r="M12" i="7946" s="1"/>
  <c r="M35" i="7946" s="1"/>
  <c r="AQ50" i="24"/>
  <c r="N146" i="24"/>
  <c r="K92" i="24"/>
  <c r="K114" i="24"/>
  <c r="K111" i="24"/>
  <c r="K35" i="7946"/>
  <c r="O25" i="7945" l="1"/>
  <c r="O26" i="7945" s="1"/>
  <c r="AS505" i="18"/>
  <c r="AS479" i="18" s="1"/>
  <c r="AS47" i="24" s="1"/>
  <c r="AT493" i="18"/>
  <c r="J41" i="7945"/>
  <c r="J36" i="7945"/>
  <c r="AR870" i="18"/>
  <c r="K115" i="24"/>
  <c r="K132" i="24"/>
  <c r="K136" i="24" s="1"/>
  <c r="P25" i="7945"/>
  <c r="N11" i="7946"/>
  <c r="N34" i="7946" s="1"/>
  <c r="N35" i="7943"/>
  <c r="N12" i="7946" s="1"/>
  <c r="N35" i="7946" s="1"/>
  <c r="O34" i="7943"/>
  <c r="K149" i="24"/>
  <c r="K123" i="24"/>
  <c r="K126" i="24"/>
  <c r="AR50" i="24"/>
  <c r="O146" i="24"/>
  <c r="K88" i="24"/>
  <c r="K87" i="24"/>
  <c r="K57" i="24"/>
  <c r="K56" i="24"/>
  <c r="AS870" i="18" l="1"/>
  <c r="L149" i="24"/>
  <c r="L154" i="24" s="1"/>
  <c r="K154" i="24"/>
  <c r="K139" i="24"/>
  <c r="K138" i="24"/>
  <c r="K140" i="24" s="1"/>
  <c r="P146" i="24"/>
  <c r="O35" i="7943"/>
  <c r="O12" i="7946" s="1"/>
  <c r="O35" i="7946" s="1"/>
  <c r="O11" i="7946"/>
  <c r="O34" i="7946" s="1"/>
  <c r="P34" i="7943"/>
  <c r="L100" i="24"/>
  <c r="L59" i="24"/>
  <c r="L34" i="24" s="1"/>
  <c r="K58" i="24"/>
  <c r="K94" i="24" s="1"/>
  <c r="K13" i="7945"/>
  <c r="K78" i="24"/>
  <c r="K91" i="24"/>
  <c r="P26" i="7945"/>
  <c r="Q25" i="7945"/>
  <c r="J42" i="7945"/>
  <c r="K127" i="24"/>
  <c r="AT505" i="18"/>
  <c r="AT479" i="18" s="1"/>
  <c r="AT47" i="24" s="1"/>
  <c r="AU493" i="18"/>
  <c r="K125" i="24"/>
  <c r="AS50" i="24"/>
  <c r="M149" i="24" l="1"/>
  <c r="M154" i="24" s="1"/>
  <c r="L101" i="24"/>
  <c r="L102" i="24" s="1"/>
  <c r="P11" i="7946"/>
  <c r="P35" i="7943"/>
  <c r="P12" i="7946" s="1"/>
  <c r="Q26" i="7945"/>
  <c r="AT50" i="24"/>
  <c r="K79" i="24"/>
  <c r="K82" i="24"/>
  <c r="AT870" i="18"/>
  <c r="K14" i="7945"/>
  <c r="L13" i="7945"/>
  <c r="L14" i="7945" s="1"/>
  <c r="K95" i="24"/>
  <c r="AU505" i="18"/>
  <c r="AU479" i="18" s="1"/>
  <c r="AU47" i="24" s="1"/>
  <c r="AV493" i="18"/>
  <c r="K93" i="24"/>
  <c r="L35" i="24"/>
  <c r="L165" i="24" s="1"/>
  <c r="L166" i="24" s="1"/>
  <c r="N149" i="24"/>
  <c r="M13" i="7945" l="1"/>
  <c r="M14" i="7945" s="1"/>
  <c r="M27" i="7945" s="1"/>
  <c r="M28" i="7945" s="1"/>
  <c r="M35" i="7945" s="1"/>
  <c r="L109" i="24"/>
  <c r="L113" i="24" s="1"/>
  <c r="AU50" i="24"/>
  <c r="AV505" i="18"/>
  <c r="AV479" i="18" s="1"/>
  <c r="AV47" i="24" s="1"/>
  <c r="AW493" i="18"/>
  <c r="N154" i="24"/>
  <c r="O149" i="24"/>
  <c r="K15" i="7945"/>
  <c r="K27" i="7945"/>
  <c r="L37" i="24"/>
  <c r="AU870" i="18"/>
  <c r="S12" i="7946"/>
  <c r="P35" i="7946"/>
  <c r="Q35" i="7946" s="1"/>
  <c r="Q12" i="7946"/>
  <c r="P34" i="7946"/>
  <c r="Q34" i="7946" s="1"/>
  <c r="Q11" i="7946"/>
  <c r="M15" i="7945"/>
  <c r="M44" i="7945" s="1"/>
  <c r="L110" i="24"/>
  <c r="L15" i="7945"/>
  <c r="L44" i="7945" s="1"/>
  <c r="L27" i="7945"/>
  <c r="L28" i="7945" s="1"/>
  <c r="L35" i="7945" s="1"/>
  <c r="K83" i="24"/>
  <c r="L103" i="24"/>
  <c r="L122" i="24"/>
  <c r="N13" i="7945" l="1"/>
  <c r="N14" i="7945" s="1"/>
  <c r="N27" i="7945" s="1"/>
  <c r="N28" i="7945" s="1"/>
  <c r="N35" i="7945" s="1"/>
  <c r="N41" i="7945" s="1"/>
  <c r="N42" i="7945" s="1"/>
  <c r="AV870" i="18"/>
  <c r="AW505" i="18"/>
  <c r="AW479" i="18" s="1"/>
  <c r="AW47" i="24" s="1"/>
  <c r="AX493" i="18"/>
  <c r="AV50" i="24"/>
  <c r="L43" i="24"/>
  <c r="L55" i="24" s="1"/>
  <c r="L90" i="24"/>
  <c r="L77" i="24"/>
  <c r="L41" i="7945"/>
  <c r="L42" i="7945" s="1"/>
  <c r="L36" i="7945"/>
  <c r="K28" i="7945"/>
  <c r="L124" i="24"/>
  <c r="K44" i="7945"/>
  <c r="L118" i="24"/>
  <c r="L104" i="24"/>
  <c r="M41" i="7945"/>
  <c r="M42" i="7945" s="1"/>
  <c r="M36" i="7945"/>
  <c r="L114" i="24"/>
  <c r="L111" i="24"/>
  <c r="O154" i="24"/>
  <c r="P149" i="24"/>
  <c r="P154" i="24" s="1"/>
  <c r="N36" i="7945" l="1"/>
  <c r="O13" i="7945"/>
  <c r="P13" i="7945" s="1"/>
  <c r="N15" i="7945"/>
  <c r="N44" i="7945" s="1"/>
  <c r="AW870" i="18"/>
  <c r="E156" i="24"/>
  <c r="L92" i="24"/>
  <c r="L106" i="24"/>
  <c r="L105" i="24"/>
  <c r="L81" i="24"/>
  <c r="L54" i="24"/>
  <c r="L86" i="24"/>
  <c r="L115" i="24"/>
  <c r="L132" i="24"/>
  <c r="L136" i="24" s="1"/>
  <c r="K35" i="7945"/>
  <c r="L120" i="24"/>
  <c r="L119" i="24"/>
  <c r="AX505" i="18"/>
  <c r="AX479" i="18" s="1"/>
  <c r="AX47" i="24" s="1"/>
  <c r="AY493" i="18"/>
  <c r="AW50" i="24"/>
  <c r="O14" i="7945" l="1"/>
  <c r="O27" i="7945" s="1"/>
  <c r="O28" i="7945" s="1"/>
  <c r="O35" i="7945" s="1"/>
  <c r="Q13" i="7945"/>
  <c r="P14" i="7945"/>
  <c r="Q14" i="7945" s="1"/>
  <c r="L126" i="24"/>
  <c r="L127" i="24" s="1"/>
  <c r="L123" i="24"/>
  <c r="L125" i="24" s="1"/>
  <c r="K36" i="7945"/>
  <c r="K41" i="7945"/>
  <c r="L139" i="24"/>
  <c r="L138" i="24"/>
  <c r="L140" i="24" s="1"/>
  <c r="AX50" i="24"/>
  <c r="L88" i="24"/>
  <c r="L87" i="24"/>
  <c r="AY505" i="18"/>
  <c r="AY479" i="18" s="1"/>
  <c r="AY47" i="24" s="1"/>
  <c r="AZ493" i="18"/>
  <c r="L56" i="24"/>
  <c r="L57" i="24"/>
  <c r="AX870" i="18"/>
  <c r="O15" i="7945" l="1"/>
  <c r="O44" i="7945" s="1"/>
  <c r="O41" i="7945"/>
  <c r="O42" i="7945" s="1"/>
  <c r="O36" i="7945"/>
  <c r="P27" i="7945"/>
  <c r="P15" i="7945"/>
  <c r="AY870" i="18"/>
  <c r="K42" i="7945"/>
  <c r="L58" i="24"/>
  <c r="L94" i="24" s="1"/>
  <c r="L95" i="24" s="1"/>
  <c r="L91" i="24"/>
  <c r="L93" i="24" s="1"/>
  <c r="L78" i="24"/>
  <c r="M100" i="24"/>
  <c r="M59" i="24"/>
  <c r="M34" i="24" s="1"/>
  <c r="AZ505" i="18"/>
  <c r="AZ479" i="18" s="1"/>
  <c r="AZ47" i="24" s="1"/>
  <c r="BA493" i="18"/>
  <c r="AY50" i="24"/>
  <c r="Q15" i="7945" l="1"/>
  <c r="P44" i="7945"/>
  <c r="Q44" i="7945" s="1"/>
  <c r="P28" i="7945"/>
  <c r="Q27" i="7945"/>
  <c r="M101" i="24"/>
  <c r="M109" i="24" s="1"/>
  <c r="L82" i="24"/>
  <c r="L79" i="24"/>
  <c r="L83" i="24" s="1"/>
  <c r="BA505" i="18"/>
  <c r="BA479" i="18" s="1"/>
  <c r="BA47" i="24" s="1"/>
  <c r="BB493" i="18"/>
  <c r="AZ870" i="18"/>
  <c r="AZ50" i="24"/>
  <c r="M35" i="24"/>
  <c r="M37" i="24" s="1"/>
  <c r="M102" i="24" l="1"/>
  <c r="M122" i="24" s="1"/>
  <c r="Q28" i="7945"/>
  <c r="P35" i="7945"/>
  <c r="M165" i="24"/>
  <c r="M166" i="24" s="1"/>
  <c r="M90" i="24"/>
  <c r="M43" i="24"/>
  <c r="M55" i="24" s="1"/>
  <c r="M77" i="24"/>
  <c r="BA870" i="18"/>
  <c r="BB505" i="18"/>
  <c r="BB479" i="18" s="1"/>
  <c r="BB47" i="24" s="1"/>
  <c r="BC493" i="18"/>
  <c r="BA50" i="24"/>
  <c r="M110" i="24"/>
  <c r="M113" i="24"/>
  <c r="M103" i="24" l="1"/>
  <c r="M118" i="24" s="1"/>
  <c r="P41" i="7945"/>
  <c r="P36" i="7945"/>
  <c r="Q36" i="7945" s="1"/>
  <c r="Q35" i="7945"/>
  <c r="BB870" i="18"/>
  <c r="M81" i="24"/>
  <c r="M124" i="24"/>
  <c r="M54" i="24"/>
  <c r="M86" i="24"/>
  <c r="BB50" i="24"/>
  <c r="M114" i="24"/>
  <c r="M111" i="24"/>
  <c r="BC505" i="18"/>
  <c r="BC479" i="18" s="1"/>
  <c r="BC47" i="24" s="1"/>
  <c r="BD493" i="18"/>
  <c r="M92" i="24"/>
  <c r="M104" i="24" l="1"/>
  <c r="Q41" i="7945"/>
  <c r="P42" i="7945"/>
  <c r="Q42" i="7945" s="1"/>
  <c r="M105" i="24"/>
  <c r="M106" i="24"/>
  <c r="M88" i="24"/>
  <c r="M87" i="24"/>
  <c r="M120" i="24"/>
  <c r="M119" i="24"/>
  <c r="M57" i="24"/>
  <c r="M56" i="24"/>
  <c r="BC870" i="18"/>
  <c r="BD505" i="18"/>
  <c r="BD479" i="18" s="1"/>
  <c r="BD47" i="24" s="1"/>
  <c r="BE493" i="18"/>
  <c r="BC50" i="24"/>
  <c r="M132" i="24"/>
  <c r="M136" i="24" s="1"/>
  <c r="M115" i="24"/>
  <c r="Q49" i="7945" l="1"/>
  <c r="Q53" i="7945" s="1"/>
  <c r="Q48" i="7945"/>
  <c r="M58" i="24"/>
  <c r="M94" i="24" s="1"/>
  <c r="M95" i="24" s="1"/>
  <c r="M91" i="24"/>
  <c r="M93" i="24" s="1"/>
  <c r="M78" i="24"/>
  <c r="BE505" i="18"/>
  <c r="BE479" i="18" s="1"/>
  <c r="BE47" i="24" s="1"/>
  <c r="BF493" i="18"/>
  <c r="BD870" i="18"/>
  <c r="BD50" i="24"/>
  <c r="M139" i="24"/>
  <c r="M138" i="24"/>
  <c r="M140" i="24" s="1"/>
  <c r="N100" i="24"/>
  <c r="N59" i="24"/>
  <c r="N34" i="24" s="1"/>
  <c r="M126" i="24"/>
  <c r="M127" i="24" s="1"/>
  <c r="M123" i="24"/>
  <c r="M125" i="24" s="1"/>
  <c r="Q52" i="7945" l="1"/>
  <c r="Q54" i="7945" s="1"/>
  <c r="D26" i="7943" s="1"/>
  <c r="E23" i="7943" s="1"/>
  <c r="Q50" i="7945"/>
  <c r="BF505" i="18"/>
  <c r="BF479" i="18" s="1"/>
  <c r="BF47" i="24" s="1"/>
  <c r="BG493" i="18"/>
  <c r="N35" i="24"/>
  <c r="N165" i="24" s="1"/>
  <c r="N166" i="24" s="1"/>
  <c r="BE50" i="24"/>
  <c r="M82" i="24"/>
  <c r="M79" i="24"/>
  <c r="M83" i="24" s="1"/>
  <c r="N101" i="24"/>
  <c r="N102" i="24" s="1"/>
  <c r="BE870" i="18"/>
  <c r="BF870" i="18" l="1"/>
  <c r="N37" i="24"/>
  <c r="N77" i="24" s="1"/>
  <c r="N109" i="24"/>
  <c r="N110" i="24" s="1"/>
  <c r="BG505" i="18"/>
  <c r="BG479" i="18" s="1"/>
  <c r="BG47" i="24" s="1"/>
  <c r="BH493" i="18"/>
  <c r="N122" i="24"/>
  <c r="N103" i="24"/>
  <c r="BF50" i="24"/>
  <c r="N113" i="24" l="1"/>
  <c r="N43" i="24"/>
  <c r="N55" i="24" s="1"/>
  <c r="N54" i="24" s="1"/>
  <c r="N90" i="24"/>
  <c r="N92" i="24" s="1"/>
  <c r="N111" i="24"/>
  <c r="N114" i="24"/>
  <c r="BG50" i="24"/>
  <c r="N81" i="24"/>
  <c r="N118" i="24"/>
  <c r="N104" i="24"/>
  <c r="N124" i="24"/>
  <c r="BG870" i="18"/>
  <c r="BH505" i="18"/>
  <c r="BH479" i="18" s="1"/>
  <c r="BH47" i="24" s="1"/>
  <c r="BI493" i="18"/>
  <c r="BI505" i="18" s="1"/>
  <c r="BI479" i="18" s="1"/>
  <c r="BI47" i="24" s="1"/>
  <c r="N86" i="24" l="1"/>
  <c r="N88" i="24" s="1"/>
  <c r="N120" i="24"/>
  <c r="N119" i="24"/>
  <c r="BI50" i="24"/>
  <c r="N105" i="24"/>
  <c r="N106" i="24"/>
  <c r="BH50" i="24"/>
  <c r="N56" i="24"/>
  <c r="N57" i="24"/>
  <c r="BH870" i="18"/>
  <c r="BI870" i="18" s="1"/>
  <c r="N115" i="24"/>
  <c r="N132" i="24"/>
  <c r="N136" i="24" s="1"/>
  <c r="N87" i="24" l="1"/>
  <c r="N126" i="24"/>
  <c r="N127" i="24" s="1"/>
  <c r="N123" i="24"/>
  <c r="N125" i="24" s="1"/>
  <c r="N58" i="24"/>
  <c r="N94" i="24" s="1"/>
  <c r="N95" i="24" s="1"/>
  <c r="N91" i="24"/>
  <c r="N93" i="24" s="1"/>
  <c r="N78" i="24"/>
  <c r="N139" i="24"/>
  <c r="N138" i="24"/>
  <c r="N140" i="24" s="1"/>
  <c r="O100" i="24"/>
  <c r="O59" i="24"/>
  <c r="O34" i="24" s="1"/>
  <c r="N79" i="24" l="1"/>
  <c r="N83" i="24" s="1"/>
  <c r="N82" i="24"/>
  <c r="O101" i="24"/>
  <c r="O109" i="24" s="1"/>
  <c r="O102" i="24"/>
  <c r="O35" i="24"/>
  <c r="O165" i="24" s="1"/>
  <c r="O166" i="24" s="1"/>
  <c r="O37" i="24" l="1"/>
  <c r="O43" i="24" s="1"/>
  <c r="O55" i="24" s="1"/>
  <c r="O122" i="24"/>
  <c r="O103" i="24"/>
  <c r="O113" i="24"/>
  <c r="O110" i="24"/>
  <c r="O90" i="24" l="1"/>
  <c r="O77" i="24"/>
  <c r="O81" i="24" s="1"/>
  <c r="O114" i="24"/>
  <c r="O111" i="24"/>
  <c r="O118" i="24"/>
  <c r="O104" i="24"/>
  <c r="O124" i="24"/>
  <c r="O54" i="24"/>
  <c r="O86" i="24"/>
  <c r="O92" i="24"/>
  <c r="O106" i="24" l="1"/>
  <c r="O105" i="24"/>
  <c r="O120" i="24"/>
  <c r="O119" i="24"/>
  <c r="O115" i="24"/>
  <c r="O132" i="24"/>
  <c r="O136" i="24" s="1"/>
  <c r="O88" i="24"/>
  <c r="O87" i="24"/>
  <c r="O56" i="24"/>
  <c r="O57" i="24"/>
  <c r="O58" i="24" l="1"/>
  <c r="O94" i="24" s="1"/>
  <c r="O95" i="24" s="1"/>
  <c r="O91" i="24"/>
  <c r="O93" i="24" s="1"/>
  <c r="O78" i="24"/>
  <c r="O123" i="24"/>
  <c r="O125" i="24" s="1"/>
  <c r="O126" i="24"/>
  <c r="O127" i="24" s="1"/>
  <c r="O139" i="24"/>
  <c r="O138" i="24"/>
  <c r="O140" i="24" s="1"/>
  <c r="P100" i="24"/>
  <c r="P59" i="24"/>
  <c r="P34" i="24" s="1"/>
  <c r="O82" i="24" l="1"/>
  <c r="O79" i="24"/>
  <c r="O83" i="24" s="1"/>
  <c r="P101" i="24"/>
  <c r="P109" i="24" s="1"/>
  <c r="P35" i="24"/>
  <c r="P165" i="24" s="1"/>
  <c r="P166" i="24" s="1"/>
  <c r="P102" i="24" l="1"/>
  <c r="P122" i="24" s="1"/>
  <c r="P37" i="24"/>
  <c r="P90" i="24" s="1"/>
  <c r="P113" i="24"/>
  <c r="P110" i="24"/>
  <c r="P103" i="24" l="1"/>
  <c r="P118" i="24" s="1"/>
  <c r="P43" i="24"/>
  <c r="P55" i="24" s="1"/>
  <c r="P86" i="24" s="1"/>
  <c r="P77" i="24"/>
  <c r="P81" i="24" s="1"/>
  <c r="P114" i="24"/>
  <c r="P111" i="24"/>
  <c r="P124" i="24"/>
  <c r="P104" i="24"/>
  <c r="P92" i="24"/>
  <c r="P54" i="24" l="1"/>
  <c r="P56" i="24" s="1"/>
  <c r="P88" i="24"/>
  <c r="P87" i="24"/>
  <c r="P106" i="24"/>
  <c r="P105" i="24"/>
  <c r="P115" i="24"/>
  <c r="P132" i="24"/>
  <c r="P136" i="24" s="1"/>
  <c r="P120" i="24"/>
  <c r="P119" i="24"/>
  <c r="P57" i="24" l="1"/>
  <c r="P78" i="24" s="1"/>
  <c r="P138" i="24"/>
  <c r="P140" i="24" s="1"/>
  <c r="P139" i="24"/>
  <c r="P126" i="24"/>
  <c r="P127" i="24" s="1"/>
  <c r="P123" i="24"/>
  <c r="P125" i="24" s="1"/>
  <c r="Q100" i="24"/>
  <c r="Q59" i="24"/>
  <c r="Q34" i="24" s="1"/>
  <c r="Q35" i="24" s="1"/>
  <c r="Q37" i="24" s="1"/>
  <c r="P58" i="24" l="1"/>
  <c r="P94" i="24" s="1"/>
  <c r="P95" i="24" s="1"/>
  <c r="P91" i="24"/>
  <c r="P93" i="24" s="1"/>
  <c r="Q90" i="24"/>
  <c r="Q43" i="24"/>
  <c r="Q55" i="24" s="1"/>
  <c r="Q77" i="24"/>
  <c r="Q101" i="24"/>
  <c r="Q109" i="24" s="1"/>
  <c r="P79" i="24"/>
  <c r="P83" i="24" s="1"/>
  <c r="P82" i="24"/>
  <c r="Q102" i="24" l="1"/>
  <c r="Q103" i="24" s="1"/>
  <c r="Q81" i="24"/>
  <c r="Q110" i="24"/>
  <c r="Q113" i="24"/>
  <c r="Q86" i="24"/>
  <c r="Q54" i="24"/>
  <c r="Q92" i="24"/>
  <c r="Q122" i="24" l="1"/>
  <c r="Q124" i="24" s="1"/>
  <c r="Q56" i="24"/>
  <c r="Q57" i="24"/>
  <c r="Q88" i="24"/>
  <c r="Q87" i="24"/>
  <c r="Q114" i="24"/>
  <c r="Q111" i="24"/>
  <c r="Q118" i="24"/>
  <c r="Q104" i="24"/>
  <c r="Q132" i="24" l="1"/>
  <c r="Q136" i="24" s="1"/>
  <c r="Q115" i="24"/>
  <c r="Q105" i="24"/>
  <c r="Q106" i="24"/>
  <c r="Q58" i="24"/>
  <c r="Q94" i="24" s="1"/>
  <c r="Q95" i="24" s="1"/>
  <c r="Q91" i="24"/>
  <c r="Q93" i="24" s="1"/>
  <c r="Q78" i="24"/>
  <c r="Q120" i="24"/>
  <c r="Q119" i="24"/>
  <c r="R100" i="24"/>
  <c r="R59" i="24"/>
  <c r="R34" i="24" s="1"/>
  <c r="R35" i="24" s="1"/>
  <c r="R37" i="24" s="1"/>
  <c r="Q79" i="24" l="1"/>
  <c r="Q83" i="24" s="1"/>
  <c r="Q82" i="24"/>
  <c r="R90" i="24"/>
  <c r="R77" i="24"/>
  <c r="R43" i="24"/>
  <c r="R55" i="24" s="1"/>
  <c r="R101" i="24"/>
  <c r="R109" i="24" s="1"/>
  <c r="Q126" i="24"/>
  <c r="Q127" i="24" s="1"/>
  <c r="Q123" i="24"/>
  <c r="Q125" i="24" s="1"/>
  <c r="Q138" i="24"/>
  <c r="Q140" i="24" s="1"/>
  <c r="Q139" i="24"/>
  <c r="R86" i="24" l="1"/>
  <c r="R54" i="24"/>
  <c r="R92" i="24"/>
  <c r="R110" i="24"/>
  <c r="R113" i="24"/>
  <c r="R81" i="24"/>
  <c r="R102" i="24"/>
  <c r="R56" i="24" l="1"/>
  <c r="R57" i="24"/>
  <c r="R111" i="24"/>
  <c r="R114" i="24"/>
  <c r="R122" i="24"/>
  <c r="R103" i="24"/>
  <c r="R88" i="24"/>
  <c r="R87" i="24"/>
  <c r="R118" i="24" l="1"/>
  <c r="R104" i="24"/>
  <c r="R115" i="24"/>
  <c r="R132" i="24"/>
  <c r="R136" i="24" s="1"/>
  <c r="R124" i="24"/>
  <c r="R58" i="24"/>
  <c r="R94" i="24" s="1"/>
  <c r="R95" i="24" s="1"/>
  <c r="R91" i="24"/>
  <c r="R93" i="24" s="1"/>
  <c r="R78" i="24"/>
  <c r="S100" i="24"/>
  <c r="S59" i="24"/>
  <c r="S34" i="24" s="1"/>
  <c r="S35" i="24" s="1"/>
  <c r="S37" i="24" s="1"/>
  <c r="R82" i="24" l="1"/>
  <c r="R79" i="24"/>
  <c r="R83" i="24" s="1"/>
  <c r="S43" i="24"/>
  <c r="S55" i="24" s="1"/>
  <c r="S90" i="24"/>
  <c r="S77" i="24"/>
  <c r="R138" i="24"/>
  <c r="R140" i="24" s="1"/>
  <c r="R139" i="24"/>
  <c r="R106" i="24"/>
  <c r="R105" i="24"/>
  <c r="R120" i="24"/>
  <c r="R119" i="24"/>
  <c r="S101" i="24"/>
  <c r="S102" i="24" s="1"/>
  <c r="S109" i="24" l="1"/>
  <c r="S110" i="24" s="1"/>
  <c r="S122" i="24"/>
  <c r="S103" i="24"/>
  <c r="S118" i="24" s="1"/>
  <c r="S120" i="24" s="1"/>
  <c r="S81" i="24"/>
  <c r="S92" i="24"/>
  <c r="S86" i="24"/>
  <c r="S54" i="24"/>
  <c r="R126" i="24"/>
  <c r="R127" i="24" s="1"/>
  <c r="R123" i="24"/>
  <c r="R125" i="24" s="1"/>
  <c r="S113" i="24" l="1"/>
  <c r="S57" i="24"/>
  <c r="S56" i="24"/>
  <c r="S88" i="24"/>
  <c r="S87" i="24"/>
  <c r="S124" i="24"/>
  <c r="S119" i="24"/>
  <c r="S114" i="24"/>
  <c r="S111" i="24"/>
  <c r="S104" i="24"/>
  <c r="S132" i="24" l="1"/>
  <c r="S136" i="24" s="1"/>
  <c r="S115" i="24"/>
  <c r="S106" i="24"/>
  <c r="S105" i="24"/>
  <c r="T100" i="24"/>
  <c r="T59" i="24"/>
  <c r="T34" i="24" s="1"/>
  <c r="T35" i="24" s="1"/>
  <c r="T37" i="24" s="1"/>
  <c r="S58" i="24"/>
  <c r="S94" i="24" s="1"/>
  <c r="S95" i="24" s="1"/>
  <c r="S91" i="24"/>
  <c r="S93" i="24" s="1"/>
  <c r="S78" i="24"/>
  <c r="T43" i="24" l="1"/>
  <c r="T55" i="24" s="1"/>
  <c r="T77" i="24"/>
  <c r="T90" i="24"/>
  <c r="S138" i="24"/>
  <c r="S140" i="24" s="1"/>
  <c r="S139" i="24"/>
  <c r="T101" i="24"/>
  <c r="T109" i="24" s="1"/>
  <c r="S126" i="24"/>
  <c r="S127" i="24" s="1"/>
  <c r="S123" i="24"/>
  <c r="S125" i="24" s="1"/>
  <c r="S82" i="24"/>
  <c r="S79" i="24"/>
  <c r="S83" i="24" s="1"/>
  <c r="T102" i="24" l="1"/>
  <c r="T122" i="24" s="1"/>
  <c r="T92" i="24"/>
  <c r="T81" i="24"/>
  <c r="T113" i="24"/>
  <c r="T110" i="24"/>
  <c r="T54" i="24"/>
  <c r="T86" i="24"/>
  <c r="T103" i="24" l="1"/>
  <c r="T118" i="24" s="1"/>
  <c r="T114" i="24"/>
  <c r="T111" i="24"/>
  <c r="T88" i="24"/>
  <c r="T87" i="24"/>
  <c r="T124" i="24"/>
  <c r="T56" i="24"/>
  <c r="T57" i="24"/>
  <c r="T104" i="24" l="1"/>
  <c r="T106" i="24" s="1"/>
  <c r="T58" i="24"/>
  <c r="T94" i="24" s="1"/>
  <c r="T95" i="24" s="1"/>
  <c r="T91" i="24"/>
  <c r="T93" i="24" s="1"/>
  <c r="T78" i="24"/>
  <c r="T132" i="24"/>
  <c r="T136" i="24" s="1"/>
  <c r="T115" i="24"/>
  <c r="T120" i="24"/>
  <c r="T119" i="24"/>
  <c r="U100" i="24"/>
  <c r="U59" i="24"/>
  <c r="U34" i="24" s="1"/>
  <c r="U35" i="24" s="1"/>
  <c r="U37" i="24" s="1"/>
  <c r="T105" i="24" l="1"/>
  <c r="T126" i="24" s="1"/>
  <c r="T127" i="24" s="1"/>
  <c r="T138" i="24"/>
  <c r="T140" i="24" s="1"/>
  <c r="T139" i="24"/>
  <c r="T82" i="24"/>
  <c r="T79" i="24"/>
  <c r="T83" i="24" s="1"/>
  <c r="U77" i="24"/>
  <c r="U43" i="24"/>
  <c r="U55" i="24" s="1"/>
  <c r="U90" i="24"/>
  <c r="U101" i="24"/>
  <c r="U102" i="24" s="1"/>
  <c r="T123" i="24" l="1"/>
  <c r="T125" i="24" s="1"/>
  <c r="U109" i="24"/>
  <c r="U113" i="24" s="1"/>
  <c r="U54" i="24"/>
  <c r="U86" i="24"/>
  <c r="U122" i="24"/>
  <c r="U103" i="24"/>
  <c r="U81" i="24"/>
  <c r="U92" i="24"/>
  <c r="U110" i="24" l="1"/>
  <c r="U111" i="24" s="1"/>
  <c r="U118" i="24"/>
  <c r="U104" i="24"/>
  <c r="U88" i="24"/>
  <c r="U87" i="24"/>
  <c r="U114" i="24"/>
  <c r="U124" i="24"/>
  <c r="U56" i="24"/>
  <c r="U57" i="24"/>
  <c r="U105" i="24" l="1"/>
  <c r="U106" i="24"/>
  <c r="U115" i="24"/>
  <c r="U132" i="24"/>
  <c r="U136" i="24" s="1"/>
  <c r="U58" i="24"/>
  <c r="U94" i="24" s="1"/>
  <c r="U95" i="24" s="1"/>
  <c r="U91" i="24"/>
  <c r="U93" i="24" s="1"/>
  <c r="U78" i="24"/>
  <c r="V100" i="24"/>
  <c r="V59" i="24"/>
  <c r="V34" i="24" s="1"/>
  <c r="V35" i="24" s="1"/>
  <c r="V37" i="24" s="1"/>
  <c r="U120" i="24"/>
  <c r="U119" i="24"/>
  <c r="U82" i="24" l="1"/>
  <c r="U79" i="24"/>
  <c r="U83" i="24" s="1"/>
  <c r="U139" i="24"/>
  <c r="U138" i="24"/>
  <c r="U140" i="24" s="1"/>
  <c r="V77" i="24"/>
  <c r="V90" i="24"/>
  <c r="V43" i="24"/>
  <c r="V55" i="24" s="1"/>
  <c r="V101" i="24"/>
  <c r="V102" i="24" s="1"/>
  <c r="U123" i="24"/>
  <c r="U125" i="24" s="1"/>
  <c r="U126" i="24"/>
  <c r="U127" i="24" s="1"/>
  <c r="V109" i="24" l="1"/>
  <c r="V110" i="24" s="1"/>
  <c r="V92" i="24"/>
  <c r="V81" i="24"/>
  <c r="V103" i="24"/>
  <c r="V122" i="24"/>
  <c r="V86" i="24"/>
  <c r="V54" i="24"/>
  <c r="V113" i="24" l="1"/>
  <c r="V118" i="24"/>
  <c r="V104" i="24"/>
  <c r="V111" i="24"/>
  <c r="V114" i="24"/>
  <c r="V124" i="24"/>
  <c r="V57" i="24"/>
  <c r="V56" i="24"/>
  <c r="V88" i="24"/>
  <c r="V87" i="24"/>
  <c r="V58" i="24" l="1"/>
  <c r="V94" i="24" s="1"/>
  <c r="V95" i="24" s="1"/>
  <c r="V78" i="24"/>
  <c r="V91" i="24"/>
  <c r="V93" i="24" s="1"/>
  <c r="V105" i="24"/>
  <c r="V106" i="24"/>
  <c r="V115" i="24"/>
  <c r="V132" i="24"/>
  <c r="V136" i="24" s="1"/>
  <c r="W100" i="24"/>
  <c r="W59" i="24"/>
  <c r="W34" i="24" s="1"/>
  <c r="W35" i="24" s="1"/>
  <c r="W37" i="24" s="1"/>
  <c r="V120" i="24"/>
  <c r="V119" i="24"/>
  <c r="V139" i="24" l="1"/>
  <c r="V138" i="24"/>
  <c r="V140" i="24" s="1"/>
  <c r="V123" i="24"/>
  <c r="V125" i="24" s="1"/>
  <c r="V126" i="24"/>
  <c r="V127" i="24" s="1"/>
  <c r="W43" i="24"/>
  <c r="W55" i="24" s="1"/>
  <c r="W90" i="24"/>
  <c r="W77" i="24"/>
  <c r="V82" i="24"/>
  <c r="V79" i="24"/>
  <c r="V83" i="24" s="1"/>
  <c r="W101" i="24"/>
  <c r="W109" i="24" s="1"/>
  <c r="W102" i="24" l="1"/>
  <c r="W92" i="24"/>
  <c r="W81" i="24"/>
  <c r="W54" i="24"/>
  <c r="W86" i="24"/>
  <c r="W113" i="24"/>
  <c r="W110" i="24"/>
  <c r="W103" i="24"/>
  <c r="W122" i="24"/>
  <c r="W88" i="24" l="1"/>
  <c r="W87" i="24"/>
  <c r="W57" i="24"/>
  <c r="W56" i="24"/>
  <c r="W111" i="24"/>
  <c r="W114" i="24"/>
  <c r="W124" i="24"/>
  <c r="W118" i="24"/>
  <c r="W104" i="24"/>
  <c r="W105" i="24" l="1"/>
  <c r="W106" i="24"/>
  <c r="W132" i="24"/>
  <c r="W136" i="24" s="1"/>
  <c r="W115" i="24"/>
  <c r="X100" i="24"/>
  <c r="X59" i="24"/>
  <c r="X34" i="24" s="1"/>
  <c r="X35" i="24" s="1"/>
  <c r="X37" i="24" s="1"/>
  <c r="W58" i="24"/>
  <c r="W94" i="24" s="1"/>
  <c r="W95" i="24" s="1"/>
  <c r="W78" i="24"/>
  <c r="W91" i="24"/>
  <c r="W93" i="24" s="1"/>
  <c r="W120" i="24"/>
  <c r="W119" i="24"/>
  <c r="X43" i="24" l="1"/>
  <c r="X55" i="24" s="1"/>
  <c r="X90" i="24"/>
  <c r="X77" i="24"/>
  <c r="X101" i="24"/>
  <c r="X109" i="24" s="1"/>
  <c r="W138" i="24"/>
  <c r="W140" i="24" s="1"/>
  <c r="W139" i="24"/>
  <c r="W79" i="24"/>
  <c r="W83" i="24" s="1"/>
  <c r="W82" i="24"/>
  <c r="W123" i="24"/>
  <c r="W125" i="24" s="1"/>
  <c r="W126" i="24"/>
  <c r="W127" i="24" s="1"/>
  <c r="X102" i="24" l="1"/>
  <c r="X122" i="24" s="1"/>
  <c r="X113" i="24"/>
  <c r="X110" i="24"/>
  <c r="X81" i="24"/>
  <c r="X54" i="24"/>
  <c r="X86" i="24"/>
  <c r="X92" i="24"/>
  <c r="X103" i="24" l="1"/>
  <c r="X118" i="24" s="1"/>
  <c r="X124" i="24"/>
  <c r="X56" i="24"/>
  <c r="X57" i="24"/>
  <c r="X88" i="24"/>
  <c r="X87" i="24"/>
  <c r="X111" i="24"/>
  <c r="X114" i="24"/>
  <c r="X104" i="24" l="1"/>
  <c r="X106" i="24" s="1"/>
  <c r="X58" i="24"/>
  <c r="X94" i="24" s="1"/>
  <c r="X95" i="24" s="1"/>
  <c r="X78" i="24"/>
  <c r="X91" i="24"/>
  <c r="X93" i="24" s="1"/>
  <c r="X120" i="24"/>
  <c r="X119" i="24"/>
  <c r="X132" i="24"/>
  <c r="X136" i="24" s="1"/>
  <c r="X115" i="24"/>
  <c r="Y100" i="24"/>
  <c r="Y59" i="24"/>
  <c r="Y34" i="24" s="1"/>
  <c r="Y35" i="24" s="1"/>
  <c r="Y37" i="24" s="1"/>
  <c r="X105" i="24" l="1"/>
  <c r="X126" i="24" s="1"/>
  <c r="X127" i="24" s="1"/>
  <c r="X138" i="24"/>
  <c r="X140" i="24" s="1"/>
  <c r="X139" i="24"/>
  <c r="Y90" i="24"/>
  <c r="Y77" i="24"/>
  <c r="Y43" i="24"/>
  <c r="Y55" i="24" s="1"/>
  <c r="X79" i="24"/>
  <c r="X83" i="24" s="1"/>
  <c r="X82" i="24"/>
  <c r="Y101" i="24"/>
  <c r="Y109" i="24" s="1"/>
  <c r="X123" i="24" l="1"/>
  <c r="X125" i="24" s="1"/>
  <c r="Y102" i="24"/>
  <c r="Y103" i="24" s="1"/>
  <c r="Y81" i="24"/>
  <c r="Y92" i="24"/>
  <c r="Y54" i="24"/>
  <c r="Y86" i="24"/>
  <c r="Y110" i="24"/>
  <c r="Y113" i="24"/>
  <c r="Y122" i="24" l="1"/>
  <c r="Y124" i="24" s="1"/>
  <c r="Y88" i="24"/>
  <c r="Y87" i="24"/>
  <c r="Y56" i="24"/>
  <c r="Y57" i="24"/>
  <c r="Y118" i="24"/>
  <c r="Y104" i="24"/>
  <c r="Y111" i="24"/>
  <c r="Y114" i="24"/>
  <c r="Y120" i="24" l="1"/>
  <c r="Y119" i="24"/>
  <c r="Y58" i="24"/>
  <c r="Y94" i="24" s="1"/>
  <c r="Y95" i="24" s="1"/>
  <c r="Y78" i="24"/>
  <c r="Y91" i="24"/>
  <c r="Y93" i="24" s="1"/>
  <c r="Z100" i="24"/>
  <c r="Z59" i="24"/>
  <c r="Z34" i="24" s="1"/>
  <c r="Z35" i="24" s="1"/>
  <c r="Z37" i="24" s="1"/>
  <c r="Y132" i="24"/>
  <c r="Y136" i="24" s="1"/>
  <c r="Y115" i="24"/>
  <c r="Y105" i="24"/>
  <c r="Y106" i="24"/>
  <c r="Z101" i="24" l="1"/>
  <c r="Z109" i="24" s="1"/>
  <c r="Y79" i="24"/>
  <c r="Y83" i="24" s="1"/>
  <c r="Y82" i="24"/>
  <c r="Y123" i="24"/>
  <c r="Y125" i="24" s="1"/>
  <c r="Y126" i="24"/>
  <c r="Y127" i="24" s="1"/>
  <c r="Z43" i="24"/>
  <c r="Z55" i="24" s="1"/>
  <c r="Z77" i="24"/>
  <c r="Z90" i="24"/>
  <c r="Y139" i="24"/>
  <c r="Y138" i="24"/>
  <c r="Y140" i="24" s="1"/>
  <c r="Z102" i="24" l="1"/>
  <c r="Z122" i="24" s="1"/>
  <c r="Z54" i="24"/>
  <c r="Z86" i="24"/>
  <c r="Z92" i="24"/>
  <c r="Z81" i="24"/>
  <c r="Z110" i="24"/>
  <c r="Z113" i="24"/>
  <c r="Z103" i="24" l="1"/>
  <c r="Z118" i="24" s="1"/>
  <c r="Z124" i="24"/>
  <c r="Z88" i="24"/>
  <c r="Z87" i="24"/>
  <c r="Z114" i="24"/>
  <c r="Z111" i="24"/>
  <c r="Z56" i="24"/>
  <c r="Z57" i="24"/>
  <c r="Z104" i="24" l="1"/>
  <c r="Z106" i="24" s="1"/>
  <c r="AA100" i="24"/>
  <c r="AA59" i="24"/>
  <c r="AA34" i="24" s="1"/>
  <c r="Z120" i="24"/>
  <c r="Z119" i="24"/>
  <c r="Z58" i="24"/>
  <c r="Z94" i="24" s="1"/>
  <c r="Z95" i="24" s="1"/>
  <c r="Z91" i="24"/>
  <c r="Z93" i="24" s="1"/>
  <c r="Z78" i="24"/>
  <c r="Z115" i="24"/>
  <c r="Z132" i="24"/>
  <c r="Z136" i="24" s="1"/>
  <c r="Z105" i="24" l="1"/>
  <c r="Z139" i="24"/>
  <c r="Z138" i="24"/>
  <c r="Z140" i="24" s="1"/>
  <c r="Z126" i="24"/>
  <c r="Z127" i="24" s="1"/>
  <c r="Z123" i="24"/>
  <c r="Z125" i="24" s="1"/>
  <c r="Z79" i="24"/>
  <c r="Z83" i="24" s="1"/>
  <c r="Z82" i="24"/>
  <c r="AA35" i="24"/>
  <c r="AA37" i="24" s="1"/>
  <c r="AA101" i="24"/>
  <c r="AA109" i="24" s="1"/>
  <c r="AA110" i="24" l="1"/>
  <c r="AA113" i="24"/>
  <c r="AA90" i="24"/>
  <c r="AA77" i="24"/>
  <c r="AA43" i="24"/>
  <c r="AA55" i="24" s="1"/>
  <c r="AA102" i="24"/>
  <c r="AA54" i="24" l="1"/>
  <c r="AA86" i="24"/>
  <c r="AA103" i="24"/>
  <c r="AA122" i="24"/>
  <c r="AA81" i="24"/>
  <c r="AA92" i="24"/>
  <c r="AA114" i="24"/>
  <c r="AA111" i="24"/>
  <c r="AA132" i="24" l="1"/>
  <c r="AA136" i="24" s="1"/>
  <c r="AA115" i="24"/>
  <c r="AA124" i="24"/>
  <c r="AA118" i="24"/>
  <c r="AA104" i="24"/>
  <c r="AA88" i="24"/>
  <c r="AA87" i="24"/>
  <c r="AA56" i="24"/>
  <c r="AA57" i="24"/>
  <c r="AA105" i="24" l="1"/>
  <c r="AA106" i="24"/>
  <c r="AB100" i="24"/>
  <c r="AB59" i="24"/>
  <c r="AB34" i="24" s="1"/>
  <c r="AB35" i="24" s="1"/>
  <c r="AB37" i="24" s="1"/>
  <c r="AA120" i="24"/>
  <c r="AA119" i="24"/>
  <c r="AA58" i="24"/>
  <c r="AA94" i="24" s="1"/>
  <c r="AA95" i="24" s="1"/>
  <c r="AA78" i="24"/>
  <c r="AA91" i="24"/>
  <c r="AA93" i="24" s="1"/>
  <c r="AA138" i="24"/>
  <c r="AA140" i="24" s="1"/>
  <c r="AA139" i="24"/>
  <c r="AA79" i="24" l="1"/>
  <c r="AA83" i="24" s="1"/>
  <c r="AA82" i="24"/>
  <c r="AB90" i="24"/>
  <c r="AB77" i="24"/>
  <c r="AB43" i="24"/>
  <c r="AB55" i="24" s="1"/>
  <c r="AB101" i="24"/>
  <c r="AB109" i="24" s="1"/>
  <c r="AA126" i="24"/>
  <c r="AA127" i="24" s="1"/>
  <c r="AA123" i="24"/>
  <c r="AA125" i="24" s="1"/>
  <c r="AB110" i="24" l="1"/>
  <c r="AB113" i="24"/>
  <c r="AB54" i="24"/>
  <c r="AB86" i="24"/>
  <c r="AB81" i="24"/>
  <c r="AB92" i="24"/>
  <c r="AB102" i="24"/>
  <c r="AB88" i="24" l="1"/>
  <c r="AB87" i="24"/>
  <c r="AB56" i="24"/>
  <c r="AB57" i="24"/>
  <c r="AB122" i="24"/>
  <c r="AB103" i="24"/>
  <c r="AB114" i="24"/>
  <c r="AB111" i="24"/>
  <c r="AB115" i="24" l="1"/>
  <c r="AB132" i="24"/>
  <c r="AB136" i="24" s="1"/>
  <c r="AC100" i="24"/>
  <c r="AC59" i="24"/>
  <c r="AC34" i="24" s="1"/>
  <c r="AB118" i="24"/>
  <c r="AB104" i="24"/>
  <c r="AB124" i="24"/>
  <c r="AB58" i="24"/>
  <c r="AB94" i="24" s="1"/>
  <c r="AB95" i="24" s="1"/>
  <c r="AB78" i="24"/>
  <c r="AB91" i="24"/>
  <c r="AB93" i="24" s="1"/>
  <c r="AB120" i="24" l="1"/>
  <c r="AB119" i="24"/>
  <c r="AB106" i="24"/>
  <c r="AB105" i="24"/>
  <c r="AB138" i="24"/>
  <c r="AB140" i="24" s="1"/>
  <c r="AB139" i="24"/>
  <c r="AC35" i="24"/>
  <c r="AC37" i="24" s="1"/>
  <c r="AB82" i="24"/>
  <c r="AB79" i="24"/>
  <c r="AB83" i="24" s="1"/>
  <c r="AC101" i="24"/>
  <c r="AC109" i="24" s="1"/>
  <c r="AC102" i="24" l="1"/>
  <c r="AC103" i="24" s="1"/>
  <c r="AC118" i="24" s="1"/>
  <c r="AC120" i="24" s="1"/>
  <c r="AC43" i="24"/>
  <c r="AC55" i="24" s="1"/>
  <c r="AC90" i="24"/>
  <c r="AC77" i="24"/>
  <c r="AB126" i="24"/>
  <c r="AB127" i="24" s="1"/>
  <c r="AB123" i="24"/>
  <c r="AB125" i="24" s="1"/>
  <c r="AC113" i="24"/>
  <c r="AC110" i="24"/>
  <c r="AC122" i="24" l="1"/>
  <c r="AC124" i="24" s="1"/>
  <c r="AC114" i="24"/>
  <c r="AC111" i="24"/>
  <c r="AC119" i="24"/>
  <c r="AC104" i="24"/>
  <c r="AC81" i="24"/>
  <c r="AC92" i="24"/>
  <c r="AC54" i="24"/>
  <c r="AC86" i="24"/>
  <c r="AC88" i="24" l="1"/>
  <c r="AC87" i="24"/>
  <c r="AC106" i="24"/>
  <c r="AC105" i="24"/>
  <c r="AC57" i="24"/>
  <c r="AC56" i="24"/>
  <c r="AC115" i="24"/>
  <c r="AC132" i="24"/>
  <c r="AC136" i="24" s="1"/>
  <c r="AD100" i="24" l="1"/>
  <c r="AD59" i="24"/>
  <c r="AD34" i="24" s="1"/>
  <c r="AD35" i="24" s="1"/>
  <c r="AD37" i="24" s="1"/>
  <c r="AC58" i="24"/>
  <c r="AC94" i="24" s="1"/>
  <c r="AC95" i="24" s="1"/>
  <c r="AC78" i="24"/>
  <c r="AC91" i="24"/>
  <c r="AC93" i="24" s="1"/>
  <c r="AC126" i="24"/>
  <c r="AC127" i="24" s="1"/>
  <c r="AC123" i="24"/>
  <c r="AC125" i="24" s="1"/>
  <c r="AC138" i="24"/>
  <c r="AC140" i="24" s="1"/>
  <c r="AC139" i="24"/>
  <c r="AC82" i="24" l="1"/>
  <c r="AC79" i="24"/>
  <c r="AC83" i="24" s="1"/>
  <c r="AD101" i="24"/>
  <c r="AD102" i="24" s="1"/>
  <c r="AD90" i="24"/>
  <c r="AD43" i="24"/>
  <c r="AD55" i="24" s="1"/>
  <c r="AD77" i="24"/>
  <c r="AD109" i="24" l="1"/>
  <c r="AD110" i="24" s="1"/>
  <c r="AD54" i="24"/>
  <c r="AD86" i="24"/>
  <c r="AD92" i="24"/>
  <c r="AD81" i="24"/>
  <c r="AD103" i="24"/>
  <c r="AD122" i="24"/>
  <c r="AD113" i="24" l="1"/>
  <c r="AD88" i="24"/>
  <c r="AD87" i="24"/>
  <c r="AD111" i="24"/>
  <c r="AD114" i="24"/>
  <c r="AD124" i="24"/>
  <c r="AD118" i="24"/>
  <c r="AD104" i="24"/>
  <c r="AD57" i="24"/>
  <c r="AD56" i="24"/>
  <c r="AD120" i="24" l="1"/>
  <c r="AD119" i="24"/>
  <c r="AD58" i="24"/>
  <c r="AD94" i="24" s="1"/>
  <c r="AD95" i="24" s="1"/>
  <c r="AD91" i="24"/>
  <c r="AD93" i="24" s="1"/>
  <c r="AD78" i="24"/>
  <c r="AE100" i="24"/>
  <c r="AE59" i="24"/>
  <c r="AE34" i="24" s="1"/>
  <c r="AE35" i="24" s="1"/>
  <c r="AE37" i="24" s="1"/>
  <c r="AD115" i="24"/>
  <c r="AD132" i="24"/>
  <c r="AD136" i="24" s="1"/>
  <c r="AD105" i="24"/>
  <c r="AD106" i="24"/>
  <c r="AE101" i="24" l="1"/>
  <c r="AE109" i="24" s="1"/>
  <c r="AE43" i="24"/>
  <c r="AE55" i="24" s="1"/>
  <c r="AE90" i="24"/>
  <c r="AE77" i="24"/>
  <c r="AD79" i="24"/>
  <c r="AD83" i="24" s="1"/>
  <c r="AD82" i="24"/>
  <c r="AD123" i="24"/>
  <c r="AD125" i="24" s="1"/>
  <c r="AD126" i="24"/>
  <c r="AD127" i="24" s="1"/>
  <c r="AD138" i="24"/>
  <c r="AD140" i="24" s="1"/>
  <c r="AD139" i="24"/>
  <c r="AE102" i="24" l="1"/>
  <c r="AE122" i="24" s="1"/>
  <c r="AE81" i="24"/>
  <c r="AE54" i="24"/>
  <c r="AE86" i="24"/>
  <c r="AE103" i="24"/>
  <c r="AE92" i="24"/>
  <c r="AE110" i="24"/>
  <c r="AE113" i="24"/>
  <c r="AE88" i="24" l="1"/>
  <c r="AE87" i="24"/>
  <c r="AE118" i="24"/>
  <c r="AE104" i="24"/>
  <c r="AE124" i="24"/>
  <c r="AE56" i="24"/>
  <c r="AE57" i="24"/>
  <c r="AE114" i="24"/>
  <c r="AE111" i="24"/>
  <c r="AE106" i="24" l="1"/>
  <c r="AE105" i="24"/>
  <c r="AF100" i="24"/>
  <c r="AF59" i="24"/>
  <c r="AF34" i="24" s="1"/>
  <c r="AF35" i="24" s="1"/>
  <c r="AF37" i="24" s="1"/>
  <c r="AE115" i="24"/>
  <c r="AE132" i="24"/>
  <c r="AE136" i="24" s="1"/>
  <c r="AE120" i="24"/>
  <c r="AE119" i="24"/>
  <c r="AE58" i="24"/>
  <c r="AE94" i="24" s="1"/>
  <c r="AE95" i="24" s="1"/>
  <c r="AE91" i="24"/>
  <c r="AE93" i="24" s="1"/>
  <c r="AE78" i="24"/>
  <c r="AF101" i="24" l="1"/>
  <c r="AF109" i="24" s="1"/>
  <c r="AE138" i="24"/>
  <c r="AE140" i="24" s="1"/>
  <c r="AE139" i="24"/>
  <c r="AE79" i="24"/>
  <c r="AE83" i="24" s="1"/>
  <c r="AE82" i="24"/>
  <c r="AF77" i="24"/>
  <c r="AF90" i="24"/>
  <c r="AF43" i="24"/>
  <c r="AF55" i="24" s="1"/>
  <c r="AE123" i="24"/>
  <c r="AE125" i="24" s="1"/>
  <c r="AE126" i="24"/>
  <c r="AE127" i="24" s="1"/>
  <c r="AF102" i="24" l="1"/>
  <c r="AF122" i="24" s="1"/>
  <c r="AF81" i="24"/>
  <c r="AF92" i="24"/>
  <c r="AF54" i="24"/>
  <c r="AF86" i="24"/>
  <c r="AF113" i="24"/>
  <c r="AF110" i="24"/>
  <c r="AF103" i="24" l="1"/>
  <c r="AF56" i="24"/>
  <c r="AF57" i="24"/>
  <c r="AF88" i="24"/>
  <c r="AF87" i="24"/>
  <c r="AF118" i="24"/>
  <c r="AF104" i="24"/>
  <c r="AF124" i="24"/>
  <c r="AF111" i="24"/>
  <c r="AF114" i="24"/>
  <c r="AF115" i="24" l="1"/>
  <c r="AF132" i="24"/>
  <c r="AF136" i="24" s="1"/>
  <c r="AF105" i="24"/>
  <c r="AF106" i="24"/>
  <c r="AF120" i="24"/>
  <c r="AF119" i="24"/>
  <c r="AF58" i="24"/>
  <c r="AF94" i="24" s="1"/>
  <c r="AF95" i="24" s="1"/>
  <c r="AF91" i="24"/>
  <c r="AF93" i="24" s="1"/>
  <c r="AF78" i="24"/>
  <c r="AG100" i="24"/>
  <c r="AG59" i="24"/>
  <c r="AG34" i="24" s="1"/>
  <c r="AG35" i="24" s="1"/>
  <c r="AG37" i="24" s="1"/>
  <c r="AF79" i="24" l="1"/>
  <c r="AF83" i="24" s="1"/>
  <c r="AF82" i="24"/>
  <c r="AG90" i="24"/>
  <c r="AG77" i="24"/>
  <c r="AG43" i="24"/>
  <c r="AG55" i="24" s="1"/>
  <c r="AG101" i="24"/>
  <c r="AG102" i="24" s="1"/>
  <c r="AF123" i="24"/>
  <c r="AF125" i="24" s="1"/>
  <c r="AF126" i="24"/>
  <c r="AF127" i="24" s="1"/>
  <c r="AF138" i="24"/>
  <c r="AF140" i="24" s="1"/>
  <c r="AF139" i="24"/>
  <c r="AG122" i="24" l="1"/>
  <c r="AG103" i="24"/>
  <c r="AG54" i="24"/>
  <c r="AG86" i="24"/>
  <c r="AG92" i="24"/>
  <c r="AG81" i="24"/>
  <c r="AG109" i="24"/>
  <c r="AG118" i="24" l="1"/>
  <c r="AG104" i="24"/>
  <c r="AG88" i="24"/>
  <c r="AG87" i="24"/>
  <c r="AG57" i="24"/>
  <c r="AG56" i="24"/>
  <c r="AG110" i="24"/>
  <c r="AG113" i="24"/>
  <c r="AG124" i="24"/>
  <c r="AG111" i="24" l="1"/>
  <c r="AG114" i="24"/>
  <c r="AH100" i="24"/>
  <c r="AH59" i="24"/>
  <c r="AH34" i="24" s="1"/>
  <c r="AH35" i="24" s="1"/>
  <c r="AH37" i="24" s="1"/>
  <c r="AG58" i="24"/>
  <c r="AG94" i="24" s="1"/>
  <c r="AG95" i="24" s="1"/>
  <c r="AG91" i="24"/>
  <c r="AG93" i="24" s="1"/>
  <c r="AG78" i="24"/>
  <c r="AG106" i="24"/>
  <c r="AG105" i="24"/>
  <c r="AG120" i="24"/>
  <c r="AG119" i="24"/>
  <c r="AH77" i="24" l="1"/>
  <c r="AH43" i="24"/>
  <c r="AH55" i="24" s="1"/>
  <c r="AH90" i="24"/>
  <c r="AH101" i="24"/>
  <c r="AH102" i="24" s="1"/>
  <c r="AG126" i="24"/>
  <c r="AG127" i="24" s="1"/>
  <c r="AG123" i="24"/>
  <c r="AG125" i="24" s="1"/>
  <c r="AG79" i="24"/>
  <c r="AG83" i="24" s="1"/>
  <c r="AG82" i="24"/>
  <c r="AG115" i="24"/>
  <c r="AG132" i="24"/>
  <c r="AG136" i="24" s="1"/>
  <c r="AH109" i="24" l="1"/>
  <c r="AH110" i="24" s="1"/>
  <c r="AH86" i="24"/>
  <c r="AH54" i="24"/>
  <c r="AG139" i="24"/>
  <c r="AG138" i="24"/>
  <c r="AG140" i="24" s="1"/>
  <c r="AH122" i="24"/>
  <c r="AH103" i="24"/>
  <c r="AH92" i="24"/>
  <c r="AH81" i="24"/>
  <c r="AH113" i="24" l="1"/>
  <c r="AH88" i="24"/>
  <c r="AH87" i="24"/>
  <c r="AH118" i="24"/>
  <c r="AH104" i="24"/>
  <c r="AH124" i="24"/>
  <c r="AH57" i="24"/>
  <c r="AH56" i="24"/>
  <c r="AH111" i="24"/>
  <c r="AH114" i="24"/>
  <c r="AH120" i="24" l="1"/>
  <c r="AH119" i="24"/>
  <c r="AH58" i="24"/>
  <c r="AH94" i="24" s="1"/>
  <c r="AH95" i="24" s="1"/>
  <c r="AH91" i="24"/>
  <c r="AH93" i="24" s="1"/>
  <c r="AH78" i="24"/>
  <c r="AH105" i="24"/>
  <c r="AH106" i="24"/>
  <c r="AH132" i="24"/>
  <c r="AH136" i="24" s="1"/>
  <c r="AH115" i="24"/>
  <c r="AI100" i="24"/>
  <c r="AI59" i="24"/>
  <c r="AI34" i="24" s="1"/>
  <c r="AI35" i="24" s="1"/>
  <c r="AI37" i="24" s="1"/>
  <c r="AI43" i="24" l="1"/>
  <c r="AI55" i="24" s="1"/>
  <c r="AI90" i="24"/>
  <c r="AI77" i="24"/>
  <c r="AH123" i="24"/>
  <c r="AH125" i="24" s="1"/>
  <c r="AH126" i="24"/>
  <c r="AH127" i="24" s="1"/>
  <c r="AH82" i="24"/>
  <c r="AH79" i="24"/>
  <c r="AH83" i="24" s="1"/>
  <c r="AI101" i="24"/>
  <c r="AI109" i="24" s="1"/>
  <c r="AH138" i="24"/>
  <c r="AH140" i="24" s="1"/>
  <c r="AH139" i="24"/>
  <c r="AI102" i="24" l="1"/>
  <c r="AI103" i="24" s="1"/>
  <c r="AI92" i="24"/>
  <c r="AI81" i="24"/>
  <c r="AI110" i="24"/>
  <c r="AI113" i="24"/>
  <c r="AI86" i="24"/>
  <c r="AI54" i="24"/>
  <c r="AI122" i="24" l="1"/>
  <c r="AI124" i="24" s="1"/>
  <c r="AI111" i="24"/>
  <c r="AI114" i="24"/>
  <c r="AI57" i="24"/>
  <c r="AI56" i="24"/>
  <c r="AI88" i="24"/>
  <c r="AI87" i="24"/>
  <c r="AI118" i="24"/>
  <c r="AI104" i="24"/>
  <c r="AI120" i="24" l="1"/>
  <c r="AI119" i="24"/>
  <c r="AJ100" i="24"/>
  <c r="AJ59" i="24"/>
  <c r="AJ34" i="24" s="1"/>
  <c r="AI105" i="24"/>
  <c r="AI106" i="24"/>
  <c r="AI58" i="24"/>
  <c r="AI94" i="24" s="1"/>
  <c r="AI95" i="24" s="1"/>
  <c r="AI78" i="24"/>
  <c r="AI91" i="24"/>
  <c r="AI93" i="24" s="1"/>
  <c r="AI115" i="24"/>
  <c r="AI132" i="24"/>
  <c r="AI136" i="24" s="1"/>
  <c r="AI138" i="24" l="1"/>
  <c r="AI140" i="24" s="1"/>
  <c r="AI139" i="24"/>
  <c r="AI79" i="24"/>
  <c r="AI83" i="24" s="1"/>
  <c r="AI82" i="24"/>
  <c r="AI123" i="24"/>
  <c r="AI125" i="24" s="1"/>
  <c r="AI126" i="24"/>
  <c r="AI127" i="24" s="1"/>
  <c r="AJ35" i="24"/>
  <c r="AJ37" i="24" s="1"/>
  <c r="AJ101" i="24"/>
  <c r="AJ109" i="24" s="1"/>
  <c r="AJ102" i="24" l="1"/>
  <c r="AJ103" i="24" s="1"/>
  <c r="AJ90" i="24"/>
  <c r="AJ77" i="24"/>
  <c r="AJ43" i="24"/>
  <c r="AJ55" i="24" s="1"/>
  <c r="AJ110" i="24"/>
  <c r="AJ113" i="24"/>
  <c r="AJ122" i="24" l="1"/>
  <c r="AJ124" i="24" s="1"/>
  <c r="AJ118" i="24"/>
  <c r="AJ104" i="24"/>
  <c r="AJ114" i="24"/>
  <c r="AJ111" i="24"/>
  <c r="AJ54" i="24"/>
  <c r="AJ86" i="24"/>
  <c r="AJ81" i="24"/>
  <c r="AJ92" i="24"/>
  <c r="AJ56" i="24" l="1"/>
  <c r="AJ57" i="24"/>
  <c r="AJ105" i="24"/>
  <c r="AJ106" i="24"/>
  <c r="AJ132" i="24"/>
  <c r="AJ136" i="24" s="1"/>
  <c r="AJ115" i="24"/>
  <c r="AJ88" i="24"/>
  <c r="AJ87" i="24"/>
  <c r="AJ120" i="24"/>
  <c r="AJ119" i="24"/>
  <c r="AJ138" i="24" l="1"/>
  <c r="AJ140" i="24" s="1"/>
  <c r="AJ139" i="24"/>
  <c r="AJ126" i="24"/>
  <c r="AJ127" i="24" s="1"/>
  <c r="AJ123" i="24"/>
  <c r="AJ125" i="24" s="1"/>
  <c r="AJ58" i="24"/>
  <c r="AJ94" i="24" s="1"/>
  <c r="AJ95" i="24" s="1"/>
  <c r="AJ78" i="24"/>
  <c r="AJ91" i="24"/>
  <c r="AJ93" i="24" s="1"/>
  <c r="AK100" i="24"/>
  <c r="AK59" i="24"/>
  <c r="AK34" i="24" s="1"/>
  <c r="AK35" i="24" s="1"/>
  <c r="AK37" i="24" s="1"/>
  <c r="AJ79" i="24" l="1"/>
  <c r="AJ83" i="24" s="1"/>
  <c r="AJ82" i="24"/>
  <c r="AK101" i="24"/>
  <c r="AK102" i="24" s="1"/>
  <c r="AK77" i="24"/>
  <c r="AK43" i="24"/>
  <c r="AK55" i="24" s="1"/>
  <c r="AK90" i="24"/>
  <c r="AK109" i="24" l="1"/>
  <c r="AK110" i="24" s="1"/>
  <c r="AK92" i="24"/>
  <c r="AK54" i="24"/>
  <c r="AK86" i="24"/>
  <c r="AK81" i="24"/>
  <c r="AK103" i="24"/>
  <c r="AK122" i="24"/>
  <c r="AK113" i="24" l="1"/>
  <c r="AK57" i="24"/>
  <c r="AK56" i="24"/>
  <c r="AK88" i="24"/>
  <c r="AK87" i="24"/>
  <c r="AK111" i="24"/>
  <c r="AK114" i="24"/>
  <c r="AK124" i="24"/>
  <c r="AK118" i="24"/>
  <c r="AK104" i="24"/>
  <c r="AK132" i="24" l="1"/>
  <c r="AK136" i="24" s="1"/>
  <c r="AK115" i="24"/>
  <c r="AK106" i="24"/>
  <c r="AK105" i="24"/>
  <c r="AL100" i="24"/>
  <c r="AL59" i="24"/>
  <c r="AL34" i="24" s="1"/>
  <c r="AK120" i="24"/>
  <c r="AK119" i="24"/>
  <c r="AK58" i="24"/>
  <c r="AK94" i="24" s="1"/>
  <c r="AK95" i="24" s="1"/>
  <c r="AK91" i="24"/>
  <c r="AK93" i="24" s="1"/>
  <c r="AK78" i="24"/>
  <c r="AK123" i="24" l="1"/>
  <c r="AK125" i="24" s="1"/>
  <c r="AK126" i="24"/>
  <c r="AK127" i="24" s="1"/>
  <c r="AL35" i="24"/>
  <c r="AL37" i="24" s="1"/>
  <c r="AK82" i="24"/>
  <c r="AK79" i="24"/>
  <c r="AK83" i="24" s="1"/>
  <c r="AL101" i="24"/>
  <c r="AL102" i="24" s="1"/>
  <c r="AK139" i="24"/>
  <c r="AK138" i="24"/>
  <c r="AK140" i="24" s="1"/>
  <c r="AL109" i="24" l="1"/>
  <c r="AL113" i="24" s="1"/>
  <c r="AL122" i="24"/>
  <c r="AL103" i="24"/>
  <c r="AL43" i="24"/>
  <c r="AL55" i="24" s="1"/>
  <c r="AL90" i="24"/>
  <c r="AL77" i="24"/>
  <c r="AL110" i="24" l="1"/>
  <c r="AL111" i="24" s="1"/>
  <c r="AL81" i="24"/>
  <c r="AL92" i="24"/>
  <c r="AL118" i="24"/>
  <c r="AL104" i="24"/>
  <c r="AL54" i="24"/>
  <c r="AL86" i="24"/>
  <c r="AL124" i="24"/>
  <c r="AL114" i="24" l="1"/>
  <c r="AL120" i="24"/>
  <c r="AL119" i="24"/>
  <c r="AL88" i="24"/>
  <c r="AL87" i="24"/>
  <c r="AL56" i="24"/>
  <c r="AL57" i="24"/>
  <c r="AL106" i="24"/>
  <c r="AL105" i="24"/>
  <c r="AL132" i="24"/>
  <c r="AL136" i="24" s="1"/>
  <c r="AL115" i="24"/>
  <c r="AL123" i="24" l="1"/>
  <c r="AL125" i="24" s="1"/>
  <c r="AL126" i="24"/>
  <c r="AL127" i="24" s="1"/>
  <c r="AL58" i="24"/>
  <c r="AL94" i="24" s="1"/>
  <c r="AL95" i="24" s="1"/>
  <c r="AL78" i="24"/>
  <c r="AL91" i="24"/>
  <c r="AL93" i="24" s="1"/>
  <c r="AM100" i="24"/>
  <c r="AM59" i="24"/>
  <c r="AM34" i="24" s="1"/>
  <c r="AL139" i="24"/>
  <c r="AL138" i="24"/>
  <c r="AL140" i="24" s="1"/>
  <c r="AM35" i="24" l="1"/>
  <c r="AM37" i="24" s="1"/>
  <c r="AL82" i="24"/>
  <c r="AL79" i="24"/>
  <c r="AL83" i="24" s="1"/>
  <c r="AM101" i="24"/>
  <c r="AM102" i="24" s="1"/>
  <c r="AM109" i="24" l="1"/>
  <c r="AM110" i="24" s="1"/>
  <c r="AM103" i="24"/>
  <c r="AM122" i="24"/>
  <c r="AM77" i="24"/>
  <c r="AM43" i="24"/>
  <c r="AM55" i="24" s="1"/>
  <c r="AM90" i="24"/>
  <c r="AM113" i="24" l="1"/>
  <c r="AM81" i="24"/>
  <c r="AM92" i="24"/>
  <c r="AM124" i="24"/>
  <c r="AM54" i="24"/>
  <c r="AM86" i="24"/>
  <c r="AM118" i="24"/>
  <c r="AM104" i="24"/>
  <c r="AM111" i="24"/>
  <c r="AM114" i="24"/>
  <c r="AM115" i="24" l="1"/>
  <c r="AM132" i="24"/>
  <c r="AM136" i="24" s="1"/>
  <c r="AM57" i="24"/>
  <c r="AM56" i="24"/>
  <c r="AM105" i="24"/>
  <c r="AM106" i="24"/>
  <c r="AM120" i="24"/>
  <c r="AM119" i="24"/>
  <c r="AM88" i="24"/>
  <c r="AM87" i="24"/>
  <c r="AM58" i="24" l="1"/>
  <c r="AM94" i="24" s="1"/>
  <c r="AM95" i="24" s="1"/>
  <c r="AM91" i="24"/>
  <c r="AM93" i="24" s="1"/>
  <c r="AM78" i="24"/>
  <c r="AM139" i="24"/>
  <c r="AM138" i="24"/>
  <c r="AM140" i="24" s="1"/>
  <c r="AM123" i="24"/>
  <c r="AM125" i="24" s="1"/>
  <c r="AM126" i="24"/>
  <c r="AM127" i="24" s="1"/>
  <c r="AN100" i="24"/>
  <c r="AN59" i="24"/>
  <c r="AN34" i="24" s="1"/>
  <c r="AN35" i="24" s="1"/>
  <c r="AN37" i="24" s="1"/>
  <c r="AN90" i="24" l="1"/>
  <c r="AN77" i="24"/>
  <c r="AN43" i="24"/>
  <c r="AN55" i="24" s="1"/>
  <c r="AM79" i="24"/>
  <c r="AM83" i="24" s="1"/>
  <c r="AM82" i="24"/>
  <c r="AN101" i="24"/>
  <c r="AN109" i="24" s="1"/>
  <c r="AN102" i="24" l="1"/>
  <c r="AN103" i="24" s="1"/>
  <c r="AN54" i="24"/>
  <c r="AN86" i="24"/>
  <c r="AN110" i="24"/>
  <c r="AN113" i="24"/>
  <c r="AN81" i="24"/>
  <c r="AN92" i="24"/>
  <c r="AN122" i="24" l="1"/>
  <c r="AN124" i="24" s="1"/>
  <c r="AN114" i="24"/>
  <c r="AN111" i="24"/>
  <c r="AN88" i="24"/>
  <c r="AN87" i="24"/>
  <c r="AN56" i="24"/>
  <c r="AN57" i="24"/>
  <c r="AN118" i="24"/>
  <c r="AN104" i="24"/>
  <c r="AN120" i="24" l="1"/>
  <c r="AN119" i="24"/>
  <c r="AO100" i="24"/>
  <c r="AO59" i="24"/>
  <c r="AO34" i="24" s="1"/>
  <c r="AO35" i="24" s="1"/>
  <c r="AO37" i="24" s="1"/>
  <c r="AN106" i="24"/>
  <c r="AN105" i="24"/>
  <c r="AN115" i="24"/>
  <c r="AN132" i="24"/>
  <c r="AN136" i="24" s="1"/>
  <c r="AN58" i="24"/>
  <c r="AN94" i="24" s="1"/>
  <c r="AN95" i="24" s="1"/>
  <c r="AN91" i="24"/>
  <c r="AN93" i="24" s="1"/>
  <c r="AN78" i="24"/>
  <c r="AN82" i="24" l="1"/>
  <c r="AN79" i="24"/>
  <c r="AN83" i="24" s="1"/>
  <c r="AO90" i="24"/>
  <c r="AO43" i="24"/>
  <c r="AO55" i="24" s="1"/>
  <c r="AO77" i="24"/>
  <c r="AN126" i="24"/>
  <c r="AN127" i="24" s="1"/>
  <c r="AN123" i="24"/>
  <c r="AN125" i="24" s="1"/>
  <c r="AO101" i="24"/>
  <c r="AO109" i="24" s="1"/>
  <c r="AN139" i="24"/>
  <c r="AN138" i="24"/>
  <c r="AN140" i="24" s="1"/>
  <c r="AO102" i="24" l="1"/>
  <c r="AO122" i="24" s="1"/>
  <c r="AO54" i="24"/>
  <c r="AO86" i="24"/>
  <c r="AO92" i="24"/>
  <c r="AO81" i="24"/>
  <c r="AO110" i="24"/>
  <c r="AO113" i="24"/>
  <c r="AO103" i="24" l="1"/>
  <c r="AO118" i="24" s="1"/>
  <c r="AO88" i="24"/>
  <c r="AO87" i="24"/>
  <c r="AO124" i="24"/>
  <c r="AO111" i="24"/>
  <c r="AO114" i="24"/>
  <c r="AO57" i="24"/>
  <c r="AO56" i="24"/>
  <c r="AO104" i="24" l="1"/>
  <c r="AO106" i="24" s="1"/>
  <c r="AO132" i="24"/>
  <c r="AO136" i="24" s="1"/>
  <c r="AO115" i="24"/>
  <c r="AP100" i="24"/>
  <c r="AP59" i="24"/>
  <c r="AP34" i="24" s="1"/>
  <c r="AP35" i="24" s="1"/>
  <c r="AP37" i="24" s="1"/>
  <c r="AO58" i="24"/>
  <c r="AO94" i="24" s="1"/>
  <c r="AO95" i="24" s="1"/>
  <c r="AO78" i="24"/>
  <c r="AO91" i="24"/>
  <c r="AO93" i="24" s="1"/>
  <c r="AO120" i="24"/>
  <c r="AO119" i="24"/>
  <c r="AO105" i="24" l="1"/>
  <c r="AO126" i="24" s="1"/>
  <c r="AO127" i="24" s="1"/>
  <c r="AP101" i="24"/>
  <c r="AP109" i="24" s="1"/>
  <c r="AP43" i="24"/>
  <c r="AP55" i="24" s="1"/>
  <c r="AP90" i="24"/>
  <c r="AP77" i="24"/>
  <c r="AO139" i="24"/>
  <c r="AO138" i="24"/>
  <c r="AO140" i="24" s="1"/>
  <c r="AO79" i="24"/>
  <c r="AO83" i="24" s="1"/>
  <c r="AO82" i="24"/>
  <c r="AO123" i="24" l="1"/>
  <c r="AO125" i="24" s="1"/>
  <c r="AP102" i="24"/>
  <c r="AP122" i="24" s="1"/>
  <c r="AP92" i="24"/>
  <c r="AP81" i="24"/>
  <c r="AP54" i="24"/>
  <c r="AP86" i="24"/>
  <c r="AP113" i="24"/>
  <c r="AP110" i="24"/>
  <c r="AP103" i="24" l="1"/>
  <c r="AP118" i="24" s="1"/>
  <c r="AP88" i="24"/>
  <c r="AP87" i="24"/>
  <c r="AP111" i="24"/>
  <c r="AP114" i="24"/>
  <c r="AP56" i="24"/>
  <c r="AP57" i="24"/>
  <c r="AP124" i="24"/>
  <c r="AP104" i="24" l="1"/>
  <c r="AP58" i="24"/>
  <c r="AP94" i="24" s="1"/>
  <c r="AP95" i="24" s="1"/>
  <c r="AP91" i="24"/>
  <c r="AP93" i="24" s="1"/>
  <c r="AP78" i="24"/>
  <c r="AQ100" i="24"/>
  <c r="AQ59" i="24"/>
  <c r="AQ34" i="24" s="1"/>
  <c r="AQ35" i="24" s="1"/>
  <c r="AQ37" i="24" s="1"/>
  <c r="AP115" i="24"/>
  <c r="AP132" i="24"/>
  <c r="AP136" i="24" s="1"/>
  <c r="AP105" i="24"/>
  <c r="AP106" i="24"/>
  <c r="AP120" i="24"/>
  <c r="AP119" i="24"/>
  <c r="AP138" i="24" l="1"/>
  <c r="AP140" i="24" s="1"/>
  <c r="AP139" i="24"/>
  <c r="AQ43" i="24"/>
  <c r="AQ55" i="24" s="1"/>
  <c r="AQ90" i="24"/>
  <c r="AQ77" i="24"/>
  <c r="AQ101" i="24"/>
  <c r="AQ102" i="24" s="1"/>
  <c r="AP79" i="24"/>
  <c r="AP83" i="24" s="1"/>
  <c r="AP82" i="24"/>
  <c r="AP126" i="24"/>
  <c r="AP127" i="24" s="1"/>
  <c r="AP123" i="24"/>
  <c r="AP125" i="24" s="1"/>
  <c r="AQ109" i="24" l="1"/>
  <c r="AQ110" i="24" s="1"/>
  <c r="AQ81" i="24"/>
  <c r="AQ103" i="24"/>
  <c r="AQ122" i="24"/>
  <c r="AQ92" i="24"/>
  <c r="AQ54" i="24"/>
  <c r="AQ86" i="24"/>
  <c r="AQ113" i="24" l="1"/>
  <c r="AQ118" i="24"/>
  <c r="AQ104" i="24"/>
  <c r="AQ124" i="24"/>
  <c r="AQ88" i="24"/>
  <c r="AQ87" i="24"/>
  <c r="AQ56" i="24"/>
  <c r="AQ57" i="24"/>
  <c r="AQ111" i="24"/>
  <c r="AQ114" i="24"/>
  <c r="AR100" i="24" l="1"/>
  <c r="AR59" i="24"/>
  <c r="AR34" i="24" s="1"/>
  <c r="AQ132" i="24"/>
  <c r="AQ136" i="24" s="1"/>
  <c r="AQ115" i="24"/>
  <c r="AQ106" i="24"/>
  <c r="AQ105" i="24"/>
  <c r="AQ58" i="24"/>
  <c r="AQ94" i="24" s="1"/>
  <c r="AQ95" i="24" s="1"/>
  <c r="AQ78" i="24"/>
  <c r="AQ91" i="24"/>
  <c r="AQ93" i="24" s="1"/>
  <c r="AQ120" i="24"/>
  <c r="AQ119" i="24"/>
  <c r="AQ126" i="24" l="1"/>
  <c r="AQ127" i="24" s="1"/>
  <c r="AQ123" i="24"/>
  <c r="AQ125" i="24" s="1"/>
  <c r="AQ138" i="24"/>
  <c r="AQ140" i="24" s="1"/>
  <c r="AQ139" i="24"/>
  <c r="AR35" i="24"/>
  <c r="AR37" i="24" s="1"/>
  <c r="AQ79" i="24"/>
  <c r="AQ83" i="24" s="1"/>
  <c r="AQ82" i="24"/>
  <c r="AR101" i="24"/>
  <c r="AR109" i="24" s="1"/>
  <c r="AR102" i="24" l="1"/>
  <c r="AR122" i="24" s="1"/>
  <c r="AR43" i="24"/>
  <c r="AR55" i="24" s="1"/>
  <c r="AR77" i="24"/>
  <c r="AR90" i="24"/>
  <c r="AR113" i="24"/>
  <c r="AR110" i="24"/>
  <c r="AR103" i="24" l="1"/>
  <c r="AR104" i="24" s="1"/>
  <c r="AR111" i="24"/>
  <c r="AR114" i="24"/>
  <c r="AR81" i="24"/>
  <c r="AR124" i="24"/>
  <c r="AR92" i="24"/>
  <c r="AR54" i="24"/>
  <c r="AR86" i="24"/>
  <c r="AR118" i="24" l="1"/>
  <c r="AR120" i="24" s="1"/>
  <c r="AR105" i="24"/>
  <c r="AR106" i="24"/>
  <c r="AR88" i="24"/>
  <c r="AR87" i="24"/>
  <c r="AR56" i="24"/>
  <c r="AR57" i="24"/>
  <c r="AR115" i="24"/>
  <c r="AR132" i="24"/>
  <c r="AR136" i="24" s="1"/>
  <c r="AR119" i="24" l="1"/>
  <c r="AS100" i="24"/>
  <c r="AS59" i="24"/>
  <c r="AS34" i="24" s="1"/>
  <c r="AS35" i="24" s="1"/>
  <c r="AS37" i="24" s="1"/>
  <c r="AR138" i="24"/>
  <c r="AR140" i="24" s="1"/>
  <c r="AR139" i="24"/>
  <c r="AR58" i="24"/>
  <c r="AR94" i="24" s="1"/>
  <c r="AR95" i="24" s="1"/>
  <c r="AR91" i="24"/>
  <c r="AR93" i="24" s="1"/>
  <c r="AR78" i="24"/>
  <c r="AR123" i="24"/>
  <c r="AR125" i="24" s="1"/>
  <c r="AR126" i="24"/>
  <c r="AR127" i="24" s="1"/>
  <c r="AR82" i="24" l="1"/>
  <c r="AR79" i="24"/>
  <c r="AR83" i="24" s="1"/>
  <c r="AS90" i="24"/>
  <c r="AS77" i="24"/>
  <c r="AS43" i="24"/>
  <c r="AS55" i="24" s="1"/>
  <c r="AS101" i="24"/>
  <c r="AS109" i="24" s="1"/>
  <c r="AS102" i="24" l="1"/>
  <c r="AS122" i="24" s="1"/>
  <c r="AS81" i="24"/>
  <c r="AS113" i="24"/>
  <c r="AS110" i="24"/>
  <c r="AS86" i="24"/>
  <c r="AS54" i="24"/>
  <c r="AS92" i="24"/>
  <c r="AS103" i="24" l="1"/>
  <c r="AS104" i="24" s="1"/>
  <c r="AS56" i="24"/>
  <c r="AS57" i="24"/>
  <c r="AS88" i="24"/>
  <c r="AS87" i="24"/>
  <c r="AS111" i="24"/>
  <c r="AS114" i="24"/>
  <c r="AS124" i="24"/>
  <c r="AS118" i="24" l="1"/>
  <c r="AS120" i="24" s="1"/>
  <c r="AS105" i="24"/>
  <c r="AS106" i="24"/>
  <c r="AS132" i="24"/>
  <c r="AS136" i="24" s="1"/>
  <c r="AS115" i="24"/>
  <c r="AS58" i="24"/>
  <c r="AS94" i="24" s="1"/>
  <c r="AS95" i="24" s="1"/>
  <c r="AS91" i="24"/>
  <c r="AS93" i="24" s="1"/>
  <c r="AS78" i="24"/>
  <c r="AT100" i="24"/>
  <c r="AT59" i="24"/>
  <c r="AT34" i="24" s="1"/>
  <c r="AT35" i="24" s="1"/>
  <c r="AT37" i="24" s="1"/>
  <c r="AS119" i="24" l="1"/>
  <c r="AT101" i="24"/>
  <c r="AT102" i="24" s="1"/>
  <c r="AT43" i="24"/>
  <c r="AT55" i="24" s="1"/>
  <c r="AT77" i="24"/>
  <c r="AT90" i="24"/>
  <c r="AS138" i="24"/>
  <c r="AS140" i="24" s="1"/>
  <c r="AS139" i="24"/>
  <c r="AS82" i="24"/>
  <c r="AS79" i="24"/>
  <c r="AS83" i="24" s="1"/>
  <c r="AS126" i="24"/>
  <c r="AS127" i="24" s="1"/>
  <c r="AS123" i="24"/>
  <c r="AS125" i="24" s="1"/>
  <c r="AT109" i="24" l="1"/>
  <c r="AT110" i="24" s="1"/>
  <c r="AT92" i="24"/>
  <c r="AT54" i="24"/>
  <c r="AT86" i="24"/>
  <c r="AT122" i="24"/>
  <c r="AT103" i="24"/>
  <c r="AT81" i="24"/>
  <c r="AT113" i="24" l="1"/>
  <c r="AT118" i="24"/>
  <c r="AT104" i="24"/>
  <c r="AT124" i="24"/>
  <c r="AT88" i="24"/>
  <c r="AT87" i="24"/>
  <c r="AT57" i="24"/>
  <c r="AT56" i="24"/>
  <c r="AT114" i="24"/>
  <c r="AT111" i="24"/>
  <c r="AT58" i="24" l="1"/>
  <c r="AT94" i="24" s="1"/>
  <c r="AT95" i="24" s="1"/>
  <c r="AT91" i="24"/>
  <c r="AT93" i="24" s="1"/>
  <c r="AT78" i="24"/>
  <c r="AT115" i="24"/>
  <c r="AT132" i="24"/>
  <c r="AT136" i="24" s="1"/>
  <c r="AT105" i="24"/>
  <c r="AT106" i="24"/>
  <c r="AU100" i="24"/>
  <c r="AU59" i="24"/>
  <c r="AU34" i="24" s="1"/>
  <c r="AU35" i="24" s="1"/>
  <c r="AU37" i="24" s="1"/>
  <c r="AT120" i="24"/>
  <c r="AT119" i="24"/>
  <c r="AT138" i="24" l="1"/>
  <c r="AT140" i="24" s="1"/>
  <c r="AT139" i="24"/>
  <c r="AT126" i="24"/>
  <c r="AT127" i="24" s="1"/>
  <c r="AT123" i="24"/>
  <c r="AT125" i="24" s="1"/>
  <c r="AT79" i="24"/>
  <c r="AT83" i="24" s="1"/>
  <c r="AT82" i="24"/>
  <c r="AU43" i="24"/>
  <c r="AU55" i="24" s="1"/>
  <c r="AU77" i="24"/>
  <c r="AU90" i="24"/>
  <c r="AU101" i="24"/>
  <c r="AU109" i="24" s="1"/>
  <c r="AU102" i="24" l="1"/>
  <c r="AU54" i="24"/>
  <c r="AU86" i="24"/>
  <c r="AU122" i="24"/>
  <c r="AU103" i="24"/>
  <c r="AU110" i="24"/>
  <c r="AU113" i="24"/>
  <c r="AU92" i="24"/>
  <c r="AU81" i="24"/>
  <c r="AU111" i="24" l="1"/>
  <c r="AU114" i="24"/>
  <c r="AU88" i="24"/>
  <c r="AU87" i="24"/>
  <c r="AU118" i="24"/>
  <c r="AU104" i="24"/>
  <c r="AU124" i="24"/>
  <c r="AU57" i="24"/>
  <c r="AU56" i="24"/>
  <c r="AU105" i="24" l="1"/>
  <c r="AU106" i="24"/>
  <c r="AU120" i="24"/>
  <c r="AU119" i="24"/>
  <c r="AV100" i="24"/>
  <c r="AV59" i="24"/>
  <c r="AV34" i="24" s="1"/>
  <c r="AV35" i="24" s="1"/>
  <c r="AV37" i="24" s="1"/>
  <c r="AU58" i="24"/>
  <c r="AU94" i="24" s="1"/>
  <c r="AU95" i="24" s="1"/>
  <c r="AU78" i="24"/>
  <c r="AU91" i="24"/>
  <c r="AU93" i="24" s="1"/>
  <c r="AU115" i="24"/>
  <c r="AU132" i="24"/>
  <c r="AU136" i="24" s="1"/>
  <c r="AV101" i="24" l="1"/>
  <c r="AV109" i="24" s="1"/>
  <c r="AV77" i="24"/>
  <c r="AV43" i="24"/>
  <c r="AV55" i="24" s="1"/>
  <c r="AV90" i="24"/>
  <c r="AU139" i="24"/>
  <c r="AU138" i="24"/>
  <c r="AU140" i="24" s="1"/>
  <c r="AU79" i="24"/>
  <c r="AU83" i="24" s="1"/>
  <c r="AU82" i="24"/>
  <c r="AU126" i="24"/>
  <c r="AU127" i="24" s="1"/>
  <c r="AU123" i="24"/>
  <c r="AU125" i="24" s="1"/>
  <c r="AV102" i="24" l="1"/>
  <c r="AV122" i="24" s="1"/>
  <c r="AV54" i="24"/>
  <c r="AV86" i="24"/>
  <c r="AV81" i="24"/>
  <c r="AV92" i="24"/>
  <c r="AV113" i="24"/>
  <c r="AV110" i="24"/>
  <c r="AV103" i="24" l="1"/>
  <c r="AV118" i="24" s="1"/>
  <c r="AV114" i="24"/>
  <c r="AV111" i="24"/>
  <c r="AV124" i="24"/>
  <c r="AV88" i="24"/>
  <c r="AV87" i="24"/>
  <c r="AV57" i="24"/>
  <c r="AV56" i="24"/>
  <c r="AV104" i="24" l="1"/>
  <c r="AV105" i="24" s="1"/>
  <c r="AV115" i="24"/>
  <c r="AV132" i="24"/>
  <c r="AV136" i="24" s="1"/>
  <c r="AV58" i="24"/>
  <c r="AV94" i="24" s="1"/>
  <c r="AV95" i="24" s="1"/>
  <c r="AV91" i="24"/>
  <c r="AV93" i="24" s="1"/>
  <c r="AV78" i="24"/>
  <c r="AW100" i="24"/>
  <c r="AW59" i="24"/>
  <c r="AW34" i="24" s="1"/>
  <c r="AW35" i="24" s="1"/>
  <c r="AW37" i="24" s="1"/>
  <c r="AV120" i="24"/>
  <c r="AV119" i="24"/>
  <c r="AV106" i="24" l="1"/>
  <c r="AW101" i="24"/>
  <c r="AW102" i="24" s="1"/>
  <c r="AV126" i="24"/>
  <c r="AV127" i="24" s="1"/>
  <c r="AV123" i="24"/>
  <c r="AV125" i="24" s="1"/>
  <c r="AV82" i="24"/>
  <c r="AV79" i="24"/>
  <c r="AV83" i="24" s="1"/>
  <c r="AV138" i="24"/>
  <c r="AV140" i="24" s="1"/>
  <c r="AV139" i="24"/>
  <c r="AW90" i="24"/>
  <c r="AW77" i="24"/>
  <c r="AW43" i="24"/>
  <c r="AW55" i="24" s="1"/>
  <c r="AW109" i="24" l="1"/>
  <c r="AW113" i="24" s="1"/>
  <c r="AW81" i="24"/>
  <c r="AW54" i="24"/>
  <c r="AW86" i="24"/>
  <c r="AW92" i="24"/>
  <c r="AW103" i="24"/>
  <c r="AW122" i="24"/>
  <c r="AW110" i="24" l="1"/>
  <c r="AW111" i="24" s="1"/>
  <c r="AW88" i="24"/>
  <c r="AW87" i="24"/>
  <c r="AW124" i="24"/>
  <c r="AW56" i="24"/>
  <c r="AW57" i="24"/>
  <c r="AW118" i="24"/>
  <c r="AW104" i="24"/>
  <c r="AW114" i="24" l="1"/>
  <c r="AX100" i="24"/>
  <c r="AX59" i="24"/>
  <c r="AX34" i="24" s="1"/>
  <c r="AX35" i="24" s="1"/>
  <c r="AX37" i="24" s="1"/>
  <c r="AW106" i="24"/>
  <c r="AW105" i="24"/>
  <c r="AW132" i="24"/>
  <c r="AW136" i="24" s="1"/>
  <c r="AW115" i="24"/>
  <c r="AW120" i="24"/>
  <c r="AW119" i="24"/>
  <c r="AW58" i="24"/>
  <c r="AW94" i="24" s="1"/>
  <c r="AW95" i="24" s="1"/>
  <c r="AW91" i="24"/>
  <c r="AW93" i="24" s="1"/>
  <c r="AW78" i="24"/>
  <c r="AW139" i="24" l="1"/>
  <c r="AW138" i="24"/>
  <c r="AW140" i="24" s="1"/>
  <c r="AW82" i="24"/>
  <c r="AW79" i="24"/>
  <c r="AW83" i="24" s="1"/>
  <c r="AW126" i="24"/>
  <c r="AW127" i="24" s="1"/>
  <c r="AW123" i="24"/>
  <c r="AW125" i="24" s="1"/>
  <c r="AX90" i="24"/>
  <c r="AX77" i="24"/>
  <c r="AX43" i="24"/>
  <c r="AX55" i="24" s="1"/>
  <c r="AX101" i="24"/>
  <c r="AX102" i="24" s="1"/>
  <c r="AX109" i="24" l="1"/>
  <c r="AX113" i="24" s="1"/>
  <c r="AX92" i="24"/>
  <c r="AX81" i="24"/>
  <c r="AX122" i="24"/>
  <c r="AX103" i="24"/>
  <c r="AX54" i="24"/>
  <c r="AX86" i="24"/>
  <c r="AX110" i="24" l="1"/>
  <c r="AX111" i="24" s="1"/>
  <c r="AX118" i="24"/>
  <c r="AX104" i="24"/>
  <c r="AX88" i="24"/>
  <c r="AX87" i="24"/>
  <c r="AX124" i="24"/>
  <c r="AX56" i="24"/>
  <c r="AX57" i="24"/>
  <c r="AX114" i="24" l="1"/>
  <c r="AX105" i="24"/>
  <c r="AX106" i="24"/>
  <c r="AX58" i="24"/>
  <c r="AX94" i="24" s="1"/>
  <c r="AX95" i="24" s="1"/>
  <c r="AX91" i="24"/>
  <c r="AX93" i="24" s="1"/>
  <c r="AX78" i="24"/>
  <c r="AY100" i="24"/>
  <c r="AY59" i="24"/>
  <c r="AY34" i="24" s="1"/>
  <c r="AY35" i="24" s="1"/>
  <c r="AY37" i="24" s="1"/>
  <c r="AX115" i="24"/>
  <c r="AX132" i="24"/>
  <c r="AX136" i="24" s="1"/>
  <c r="AX120" i="24"/>
  <c r="AX119" i="24"/>
  <c r="AY101" i="24" l="1"/>
  <c r="AY109" i="24" s="1"/>
  <c r="AX79" i="24"/>
  <c r="AX83" i="24" s="1"/>
  <c r="AX82" i="24"/>
  <c r="AX126" i="24"/>
  <c r="AX127" i="24" s="1"/>
  <c r="AX123" i="24"/>
  <c r="AX125" i="24" s="1"/>
  <c r="AY90" i="24"/>
  <c r="AY43" i="24"/>
  <c r="AY55" i="24" s="1"/>
  <c r="AY77" i="24"/>
  <c r="AX139" i="24"/>
  <c r="AX138" i="24"/>
  <c r="AX140" i="24" s="1"/>
  <c r="AY102" i="24" l="1"/>
  <c r="AY122" i="24" s="1"/>
  <c r="AY54" i="24"/>
  <c r="AY86" i="24"/>
  <c r="AY92" i="24"/>
  <c r="AY81" i="24"/>
  <c r="AY113" i="24"/>
  <c r="AY110" i="24"/>
  <c r="AY103" i="24" l="1"/>
  <c r="AY118" i="24" s="1"/>
  <c r="AY111" i="24"/>
  <c r="AY114" i="24"/>
  <c r="AY124" i="24"/>
  <c r="AY88" i="24"/>
  <c r="AY87" i="24"/>
  <c r="AY57" i="24"/>
  <c r="AY56" i="24"/>
  <c r="AY104" i="24" l="1"/>
  <c r="AY105" i="24" s="1"/>
  <c r="AZ100" i="24"/>
  <c r="AZ59" i="24"/>
  <c r="AZ34" i="24" s="1"/>
  <c r="AZ35" i="24" s="1"/>
  <c r="AZ37" i="24" s="1"/>
  <c r="AY58" i="24"/>
  <c r="AY94" i="24" s="1"/>
  <c r="AY95" i="24" s="1"/>
  <c r="AY91" i="24"/>
  <c r="AY93" i="24" s="1"/>
  <c r="AY78" i="24"/>
  <c r="AY132" i="24"/>
  <c r="AY136" i="24" s="1"/>
  <c r="AY115" i="24"/>
  <c r="AY120" i="24"/>
  <c r="AY119" i="24"/>
  <c r="AY106" i="24" l="1"/>
  <c r="AY139" i="24"/>
  <c r="AY138" i="24"/>
  <c r="AY140" i="24" s="1"/>
  <c r="AY123" i="24"/>
  <c r="AY125" i="24" s="1"/>
  <c r="AY126" i="24"/>
  <c r="AY127" i="24" s="1"/>
  <c r="AZ90" i="24"/>
  <c r="AZ77" i="24"/>
  <c r="AZ43" i="24"/>
  <c r="AZ55" i="24" s="1"/>
  <c r="AY82" i="24"/>
  <c r="AY79" i="24"/>
  <c r="AY83" i="24" s="1"/>
  <c r="AZ101" i="24"/>
  <c r="AZ109" i="24" s="1"/>
  <c r="AZ102" i="24" l="1"/>
  <c r="AZ122" i="24" s="1"/>
  <c r="AZ92" i="24"/>
  <c r="AZ81" i="24"/>
  <c r="AZ110" i="24"/>
  <c r="AZ113" i="24"/>
  <c r="AZ54" i="24"/>
  <c r="AZ86" i="24"/>
  <c r="AZ103" i="24" l="1"/>
  <c r="AZ118" i="24" s="1"/>
  <c r="AZ88" i="24"/>
  <c r="AZ87" i="24"/>
  <c r="AZ124" i="24"/>
  <c r="AZ114" i="24"/>
  <c r="AZ111" i="24"/>
  <c r="AZ57" i="24"/>
  <c r="AZ56" i="24"/>
  <c r="AZ104" i="24" l="1"/>
  <c r="AZ105" i="24" s="1"/>
  <c r="AZ106" i="24"/>
  <c r="BA100" i="24"/>
  <c r="BA59" i="24"/>
  <c r="BA34" i="24" s="1"/>
  <c r="BA35" i="24" s="1"/>
  <c r="BA37" i="24" s="1"/>
  <c r="AZ58" i="24"/>
  <c r="AZ94" i="24" s="1"/>
  <c r="AZ95" i="24" s="1"/>
  <c r="AZ91" i="24"/>
  <c r="AZ93" i="24" s="1"/>
  <c r="AZ78" i="24"/>
  <c r="AZ132" i="24"/>
  <c r="AZ136" i="24" s="1"/>
  <c r="AZ115" i="24"/>
  <c r="AZ120" i="24"/>
  <c r="AZ119" i="24"/>
  <c r="AZ82" i="24" l="1"/>
  <c r="AZ79" i="24"/>
  <c r="AZ83" i="24" s="1"/>
  <c r="BA101" i="24"/>
  <c r="BA109" i="24" s="1"/>
  <c r="BA77" i="24"/>
  <c r="BA43" i="24"/>
  <c r="BA55" i="24" s="1"/>
  <c r="BA90" i="24"/>
  <c r="AZ138" i="24"/>
  <c r="AZ140" i="24" s="1"/>
  <c r="AZ139" i="24"/>
  <c r="AZ123" i="24"/>
  <c r="AZ125" i="24" s="1"/>
  <c r="AZ126" i="24"/>
  <c r="AZ127" i="24" s="1"/>
  <c r="BA102" i="24" l="1"/>
  <c r="BA122" i="24" s="1"/>
  <c r="BA54" i="24"/>
  <c r="BA86" i="24"/>
  <c r="BA110" i="24"/>
  <c r="BA113" i="24"/>
  <c r="BA81" i="24"/>
  <c r="BA92" i="24"/>
  <c r="BA103" i="24" l="1"/>
  <c r="BA118" i="24" s="1"/>
  <c r="BA124" i="24"/>
  <c r="BA111" i="24"/>
  <c r="BA114" i="24"/>
  <c r="BA88" i="24"/>
  <c r="BA87" i="24"/>
  <c r="BA56" i="24"/>
  <c r="BA57" i="24"/>
  <c r="BA104" i="24" l="1"/>
  <c r="BA115" i="24"/>
  <c r="BA132" i="24"/>
  <c r="BA136" i="24" s="1"/>
  <c r="BA58" i="24"/>
  <c r="BA94" i="24" s="1"/>
  <c r="BA95" i="24" s="1"/>
  <c r="BA78" i="24"/>
  <c r="BA91" i="24"/>
  <c r="BA93" i="24" s="1"/>
  <c r="BB100" i="24"/>
  <c r="BB59" i="24"/>
  <c r="BB34" i="24" s="1"/>
  <c r="BB35" i="24" s="1"/>
  <c r="BB37" i="24" s="1"/>
  <c r="BA105" i="24"/>
  <c r="BA106" i="24"/>
  <c r="BA120" i="24"/>
  <c r="BA119" i="24"/>
  <c r="BA126" i="24" l="1"/>
  <c r="BA127" i="24" s="1"/>
  <c r="BA123" i="24"/>
  <c r="BA125" i="24" s="1"/>
  <c r="BB90" i="24"/>
  <c r="BB43" i="24"/>
  <c r="BB55" i="24" s="1"/>
  <c r="BB77" i="24"/>
  <c r="BA139" i="24"/>
  <c r="BA138" i="24"/>
  <c r="BA140" i="24" s="1"/>
  <c r="BB101" i="24"/>
  <c r="BB109" i="24" s="1"/>
  <c r="BA82" i="24"/>
  <c r="BA79" i="24"/>
  <c r="BA83" i="24" s="1"/>
  <c r="BB102" i="24" l="1"/>
  <c r="BB103" i="24" s="1"/>
  <c r="BB54" i="24"/>
  <c r="BB86" i="24"/>
  <c r="BB92" i="24"/>
  <c r="BB81" i="24"/>
  <c r="BB110" i="24"/>
  <c r="BB113" i="24"/>
  <c r="BB122" i="24" l="1"/>
  <c r="BB124" i="24" s="1"/>
  <c r="BB118" i="24"/>
  <c r="BB104" i="24"/>
  <c r="BB88" i="24"/>
  <c r="BB87" i="24"/>
  <c r="BB111" i="24"/>
  <c r="BB114" i="24"/>
  <c r="BB57" i="24"/>
  <c r="BB56" i="24"/>
  <c r="BB58" i="24" l="1"/>
  <c r="BB94" i="24" s="1"/>
  <c r="BB95" i="24" s="1"/>
  <c r="BB78" i="24"/>
  <c r="BB91" i="24"/>
  <c r="BB93" i="24" s="1"/>
  <c r="BB105" i="24"/>
  <c r="BB106" i="24"/>
  <c r="BB115" i="24"/>
  <c r="BB132" i="24"/>
  <c r="BB136" i="24" s="1"/>
  <c r="BC100" i="24"/>
  <c r="BC59" i="24"/>
  <c r="BC34" i="24" s="1"/>
  <c r="BC35" i="24" s="1"/>
  <c r="BC37" i="24" s="1"/>
  <c r="BB120" i="24"/>
  <c r="BB119" i="24"/>
  <c r="BB138" i="24" l="1"/>
  <c r="BB140" i="24" s="1"/>
  <c r="BB139" i="24"/>
  <c r="BC90" i="24"/>
  <c r="BC77" i="24"/>
  <c r="BC43" i="24"/>
  <c r="BC55" i="24" s="1"/>
  <c r="BB123" i="24"/>
  <c r="BB125" i="24" s="1"/>
  <c r="BB126" i="24"/>
  <c r="BB127" i="24" s="1"/>
  <c r="BB79" i="24"/>
  <c r="BB83" i="24" s="1"/>
  <c r="BB82" i="24"/>
  <c r="BC101" i="24"/>
  <c r="BC102" i="24" s="1"/>
  <c r="BC109" i="24" l="1"/>
  <c r="BC110" i="24" s="1"/>
  <c r="BC54" i="24"/>
  <c r="BC86" i="24"/>
  <c r="BC103" i="24"/>
  <c r="BC122" i="24"/>
  <c r="BC81" i="24"/>
  <c r="BC92" i="24"/>
  <c r="BC113" i="24" l="1"/>
  <c r="BC124" i="24"/>
  <c r="BC114" i="24"/>
  <c r="BC111" i="24"/>
  <c r="BC118" i="24"/>
  <c r="BC104" i="24"/>
  <c r="BC88" i="24"/>
  <c r="BC87" i="24"/>
  <c r="BC56" i="24"/>
  <c r="BC57" i="24"/>
  <c r="BC115" i="24" l="1"/>
  <c r="BC132" i="24"/>
  <c r="BC136" i="24" s="1"/>
  <c r="BC105" i="24"/>
  <c r="BC106" i="24"/>
  <c r="BD100" i="24"/>
  <c r="BD59" i="24"/>
  <c r="BD34" i="24" s="1"/>
  <c r="BD35" i="24" s="1"/>
  <c r="BD37" i="24" s="1"/>
  <c r="BC120" i="24"/>
  <c r="BC119" i="24"/>
  <c r="BC58" i="24"/>
  <c r="BC94" i="24" s="1"/>
  <c r="BC95" i="24" s="1"/>
  <c r="BC78" i="24"/>
  <c r="BC91" i="24"/>
  <c r="BC93" i="24" s="1"/>
  <c r="BD43" i="24" l="1"/>
  <c r="BD55" i="24" s="1"/>
  <c r="BD77" i="24"/>
  <c r="BD90" i="24"/>
  <c r="BC138" i="24"/>
  <c r="BC140" i="24" s="1"/>
  <c r="BC139" i="24"/>
  <c r="BD101" i="24"/>
  <c r="BD102" i="24" s="1"/>
  <c r="BC123" i="24"/>
  <c r="BC125" i="24" s="1"/>
  <c r="BC126" i="24"/>
  <c r="BC127" i="24" s="1"/>
  <c r="BC79" i="24"/>
  <c r="BC83" i="24" s="1"/>
  <c r="BC82" i="24"/>
  <c r="BD54" i="24" l="1"/>
  <c r="BD86" i="24"/>
  <c r="BD103" i="24"/>
  <c r="BD122" i="24"/>
  <c r="BD92" i="24"/>
  <c r="BD81" i="24"/>
  <c r="BD109" i="24"/>
  <c r="BD88" i="24" l="1"/>
  <c r="BD87" i="24"/>
  <c r="BD124" i="24"/>
  <c r="BD118" i="24"/>
  <c r="BD104" i="24"/>
  <c r="BD110" i="24"/>
  <c r="BD113" i="24"/>
  <c r="BD57" i="24"/>
  <c r="BD56" i="24"/>
  <c r="BD106" i="24" l="1"/>
  <c r="BD105" i="24"/>
  <c r="BD120" i="24"/>
  <c r="BD119" i="24"/>
  <c r="BD58" i="24"/>
  <c r="BD94" i="24" s="1"/>
  <c r="BD95" i="24" s="1"/>
  <c r="BD91" i="24"/>
  <c r="BD93" i="24" s="1"/>
  <c r="BD78" i="24"/>
  <c r="BD114" i="24"/>
  <c r="BD111" i="24"/>
  <c r="BE100" i="24"/>
  <c r="BE59" i="24"/>
  <c r="BE34" i="24" s="1"/>
  <c r="BE35" i="24" s="1"/>
  <c r="BE37" i="24" s="1"/>
  <c r="BD82" i="24" l="1"/>
  <c r="BD79" i="24"/>
  <c r="BD83" i="24" s="1"/>
  <c r="BE90" i="24"/>
  <c r="BE43" i="24"/>
  <c r="BE55" i="24" s="1"/>
  <c r="BE77" i="24"/>
  <c r="BD126" i="24"/>
  <c r="BD127" i="24" s="1"/>
  <c r="BD123" i="24"/>
  <c r="BD125" i="24" s="1"/>
  <c r="BE101" i="24"/>
  <c r="BE102" i="24" s="1"/>
  <c r="BD132" i="24"/>
  <c r="BD136" i="24" s="1"/>
  <c r="BD115" i="24"/>
  <c r="BE109" i="24" l="1"/>
  <c r="BE113" i="24" s="1"/>
  <c r="BD139" i="24"/>
  <c r="BD138" i="24"/>
  <c r="BD140" i="24" s="1"/>
  <c r="BE54" i="24"/>
  <c r="BE86" i="24"/>
  <c r="BE81" i="24"/>
  <c r="BE92" i="24"/>
  <c r="BE122" i="24"/>
  <c r="BE103" i="24"/>
  <c r="BE110" i="24" l="1"/>
  <c r="BE111" i="24" s="1"/>
  <c r="BE88" i="24"/>
  <c r="BE87" i="24"/>
  <c r="BE118" i="24"/>
  <c r="BE104" i="24"/>
  <c r="BE124" i="24"/>
  <c r="BE56" i="24"/>
  <c r="BE57" i="24"/>
  <c r="BE114" i="24" l="1"/>
  <c r="BE106" i="24"/>
  <c r="BE105" i="24"/>
  <c r="BE120" i="24"/>
  <c r="BE119" i="24"/>
  <c r="BE58" i="24"/>
  <c r="BE94" i="24" s="1"/>
  <c r="BE95" i="24" s="1"/>
  <c r="BE91" i="24"/>
  <c r="BE93" i="24" s="1"/>
  <c r="BE78" i="24"/>
  <c r="BE132" i="24"/>
  <c r="BE136" i="24" s="1"/>
  <c r="BE115" i="24"/>
  <c r="BF100" i="24"/>
  <c r="BF59" i="24"/>
  <c r="BF34" i="24" s="1"/>
  <c r="BF35" i="24" s="1"/>
  <c r="BF37" i="24" s="1"/>
  <c r="BE79" i="24" l="1"/>
  <c r="BE83" i="24" s="1"/>
  <c r="BE82" i="24"/>
  <c r="BF101" i="24"/>
  <c r="BF109" i="24" s="1"/>
  <c r="BE126" i="24"/>
  <c r="BE127" i="24" s="1"/>
  <c r="BE123" i="24"/>
  <c r="BE125" i="24" s="1"/>
  <c r="BF43" i="24"/>
  <c r="BF55" i="24" s="1"/>
  <c r="BF77" i="24"/>
  <c r="BF90" i="24"/>
  <c r="BE138" i="24"/>
  <c r="BE140" i="24" s="1"/>
  <c r="BE139" i="24"/>
  <c r="BF102" i="24" l="1"/>
  <c r="BF122" i="24" s="1"/>
  <c r="BF110" i="24"/>
  <c r="BF113" i="24"/>
  <c r="BF81" i="24"/>
  <c r="BF92" i="24"/>
  <c r="BF86" i="24"/>
  <c r="BF54" i="24"/>
  <c r="BF103" i="24" l="1"/>
  <c r="BF104" i="24" s="1"/>
  <c r="BF124" i="24"/>
  <c r="BF56" i="24"/>
  <c r="BF57" i="24"/>
  <c r="BF88" i="24"/>
  <c r="BF87" i="24"/>
  <c r="BF114" i="24"/>
  <c r="BF111" i="24"/>
  <c r="BF118" i="24" l="1"/>
  <c r="BF120" i="24" s="1"/>
  <c r="BG100" i="24"/>
  <c r="BG59" i="24"/>
  <c r="BG34" i="24" s="1"/>
  <c r="BG35" i="24" s="1"/>
  <c r="BG37" i="24" s="1"/>
  <c r="BF106" i="24"/>
  <c r="BF105" i="24"/>
  <c r="BF115" i="24"/>
  <c r="BF132" i="24"/>
  <c r="BF136" i="24" s="1"/>
  <c r="BF58" i="24"/>
  <c r="BF94" i="24" s="1"/>
  <c r="BF95" i="24" s="1"/>
  <c r="BF91" i="24"/>
  <c r="BF93" i="24" s="1"/>
  <c r="BF78" i="24"/>
  <c r="BF119" i="24" l="1"/>
  <c r="BF138" i="24"/>
  <c r="BF140" i="24" s="1"/>
  <c r="BF139" i="24"/>
  <c r="BG77" i="24"/>
  <c r="BG90" i="24"/>
  <c r="BG43" i="24"/>
  <c r="BG55" i="24" s="1"/>
  <c r="BF123" i="24"/>
  <c r="BF125" i="24" s="1"/>
  <c r="BF126" i="24"/>
  <c r="BF127" i="24" s="1"/>
  <c r="BF82" i="24"/>
  <c r="BF79" i="24"/>
  <c r="BF83" i="24" s="1"/>
  <c r="BG101" i="24"/>
  <c r="BG102" i="24" s="1"/>
  <c r="BG109" i="24" l="1"/>
  <c r="BG110" i="24" s="1"/>
  <c r="BG54" i="24"/>
  <c r="BG86" i="24"/>
  <c r="BG92" i="24"/>
  <c r="BG81" i="24"/>
  <c r="BG103" i="24"/>
  <c r="BG122" i="24"/>
  <c r="BG113" i="24" l="1"/>
  <c r="BG111" i="24"/>
  <c r="BG114" i="24"/>
  <c r="BG88" i="24"/>
  <c r="BG87" i="24"/>
  <c r="BG124" i="24"/>
  <c r="BG118" i="24"/>
  <c r="BG104" i="24"/>
  <c r="BG56" i="24"/>
  <c r="BG57" i="24"/>
  <c r="BG120" i="24" l="1"/>
  <c r="BG119" i="24"/>
  <c r="BH100" i="24"/>
  <c r="BH59" i="24"/>
  <c r="BH34" i="24" s="1"/>
  <c r="BH35" i="24" s="1"/>
  <c r="BH37" i="24" s="1"/>
  <c r="BG58" i="24"/>
  <c r="BG94" i="24" s="1"/>
  <c r="BG95" i="24" s="1"/>
  <c r="BG91" i="24"/>
  <c r="BG93" i="24" s="1"/>
  <c r="BG78" i="24"/>
  <c r="BG106" i="24"/>
  <c r="BG105" i="24"/>
  <c r="BG115" i="24"/>
  <c r="BG132" i="24"/>
  <c r="BG136" i="24" s="1"/>
  <c r="BG79" i="24" l="1"/>
  <c r="BG83" i="24" s="1"/>
  <c r="BG82" i="24"/>
  <c r="BH43" i="24"/>
  <c r="BH55" i="24" s="1"/>
  <c r="BH90" i="24"/>
  <c r="BH77" i="24"/>
  <c r="BG139" i="24"/>
  <c r="BG138" i="24"/>
  <c r="BG140" i="24" s="1"/>
  <c r="BH101" i="24"/>
  <c r="BH102" i="24" s="1"/>
  <c r="BG123" i="24"/>
  <c r="BG125" i="24" s="1"/>
  <c r="BG126" i="24"/>
  <c r="BG127" i="24" s="1"/>
  <c r="BH109" i="24" l="1"/>
  <c r="BH110" i="24" s="1"/>
  <c r="BH81" i="24"/>
  <c r="BH92" i="24"/>
  <c r="BH54" i="24"/>
  <c r="BH86" i="24"/>
  <c r="BH103" i="24"/>
  <c r="BH122" i="24"/>
  <c r="BH113" i="24" l="1"/>
  <c r="BH57" i="24"/>
  <c r="BH56" i="24"/>
  <c r="BH114" i="24"/>
  <c r="BH111" i="24"/>
  <c r="BH88" i="24"/>
  <c r="BH87" i="24"/>
  <c r="BH124" i="24"/>
  <c r="BH118" i="24"/>
  <c r="BH104" i="24"/>
  <c r="BH115" i="24" l="1"/>
  <c r="BH132" i="24"/>
  <c r="BH136" i="24" s="1"/>
  <c r="BI100" i="24"/>
  <c r="BI59" i="24"/>
  <c r="BI34" i="24" s="1"/>
  <c r="BI35" i="24" s="1"/>
  <c r="BI37" i="24" s="1"/>
  <c r="BH105" i="24"/>
  <c r="BH106" i="24"/>
  <c r="BH120" i="24"/>
  <c r="BH119" i="24"/>
  <c r="BH58" i="24"/>
  <c r="BH94" i="24" s="1"/>
  <c r="BH95" i="24" s="1"/>
  <c r="BH91" i="24"/>
  <c r="BH93" i="24" s="1"/>
  <c r="BH78" i="24"/>
  <c r="BH82" i="24" l="1"/>
  <c r="BH79" i="24"/>
  <c r="BH83" i="24" s="1"/>
  <c r="BI43" i="24"/>
  <c r="BI55" i="24" s="1"/>
  <c r="BI77" i="24"/>
  <c r="BI90" i="24"/>
  <c r="BH126" i="24"/>
  <c r="BH127" i="24" s="1"/>
  <c r="BH123" i="24"/>
  <c r="BH125" i="24" s="1"/>
  <c r="BI101" i="24"/>
  <c r="BI102" i="24" s="1"/>
  <c r="BH139" i="24"/>
  <c r="BH138" i="24"/>
  <c r="BH140" i="24" s="1"/>
  <c r="BI103" i="24" l="1"/>
  <c r="BI122" i="24"/>
  <c r="BI92" i="24"/>
  <c r="E92" i="24" s="1"/>
  <c r="E90" i="24"/>
  <c r="BI54" i="24"/>
  <c r="BI86" i="24"/>
  <c r="BI81" i="24"/>
  <c r="E81" i="24" s="1"/>
  <c r="E77" i="24"/>
  <c r="BI109" i="24"/>
  <c r="BI88" i="24" l="1"/>
  <c r="E88" i="24" s="1"/>
  <c r="D88" i="24" s="1"/>
  <c r="BI87" i="24"/>
  <c r="BI57" i="24"/>
  <c r="BI56" i="24"/>
  <c r="BI113" i="24"/>
  <c r="E113" i="24" s="1"/>
  <c r="BI110" i="24"/>
  <c r="E109" i="24"/>
  <c r="BI124" i="24"/>
  <c r="E124" i="24" s="1"/>
  <c r="R23" i="2" s="1"/>
  <c r="E122" i="24"/>
  <c r="R22" i="2" s="1"/>
  <c r="BI118" i="24"/>
  <c r="BI104" i="24"/>
  <c r="BI120" i="24" l="1"/>
  <c r="E120" i="24" s="1"/>
  <c r="D120" i="24" s="1"/>
  <c r="R28" i="2" s="1"/>
  <c r="BI119" i="24"/>
  <c r="BI111" i="24"/>
  <c r="BI114" i="24"/>
  <c r="E114" i="24" s="1"/>
  <c r="E110" i="24"/>
  <c r="D109" i="24" s="1"/>
  <c r="R27" i="2" s="1"/>
  <c r="BI105" i="24"/>
  <c r="BI106" i="24"/>
  <c r="BI58" i="24"/>
  <c r="BI94" i="24" s="1"/>
  <c r="BI78" i="24"/>
  <c r="BI91" i="24"/>
  <c r="BI95" i="24" l="1"/>
  <c r="E95" i="24" s="1"/>
  <c r="E94" i="24"/>
  <c r="BI79" i="24"/>
  <c r="BI82" i="24"/>
  <c r="E82" i="24" s="1"/>
  <c r="E78" i="24"/>
  <c r="D77" i="24" s="1"/>
  <c r="BI126" i="24"/>
  <c r="BI123" i="24"/>
  <c r="BI132" i="24"/>
  <c r="BI136" i="24" s="1"/>
  <c r="BI115" i="24"/>
  <c r="E115" i="24" s="1"/>
  <c r="R11" i="2" s="1"/>
  <c r="E111" i="24"/>
  <c r="R10" i="2" s="1"/>
  <c r="BI93" i="24"/>
  <c r="E93" i="24" s="1"/>
  <c r="E91" i="24"/>
  <c r="BI139" i="24" l="1"/>
  <c r="BI138" i="24"/>
  <c r="BI140" i="24" s="1"/>
  <c r="BI125" i="24"/>
  <c r="E125" i="24" s="1"/>
  <c r="R21" i="2" s="1"/>
  <c r="R25" i="2" s="1"/>
  <c r="E123" i="24"/>
  <c r="R20" i="2" s="1"/>
  <c r="R24" i="2" s="1"/>
  <c r="BI127" i="24"/>
  <c r="E127" i="24" s="1"/>
  <c r="R19" i="2" s="1"/>
  <c r="E126" i="24"/>
  <c r="R18" i="2" s="1"/>
  <c r="BI83" i="24"/>
  <c r="E83" i="24" s="1"/>
  <c r="E79" i="24"/>
</calcChain>
</file>

<file path=xl/comments1.xml><?xml version="1.0" encoding="utf-8"?>
<comments xmlns="http://schemas.openxmlformats.org/spreadsheetml/2006/main">
  <authors>
    <author>Hogan, Susan</author>
  </authors>
  <commentList>
    <comment ref="B42" authorId="0" shapeId="0">
      <text>
        <r>
          <rPr>
            <b/>
            <sz val="9"/>
            <color indexed="81"/>
            <rFont val="Tahoma"/>
            <family val="2"/>
          </rPr>
          <t xml:space="preserve">20161017: </t>
        </r>
        <r>
          <rPr>
            <sz val="9"/>
            <color indexed="81"/>
            <rFont val="Tahoma"/>
            <family val="2"/>
          </rPr>
          <t xml:space="preserve">Updated ABN and contact person </t>
        </r>
      </text>
    </comment>
    <comment ref="AN42" authorId="0" shapeId="0">
      <text>
        <r>
          <rPr>
            <b/>
            <sz val="9"/>
            <color indexed="81"/>
            <rFont val="Tahoma"/>
            <family val="2"/>
          </rPr>
          <t xml:space="preserve">20161017: </t>
        </r>
        <r>
          <rPr>
            <sz val="9"/>
            <color indexed="81"/>
            <rFont val="Tahoma"/>
            <family val="2"/>
          </rPr>
          <t xml:space="preserve">Updated ABN and contact person </t>
        </r>
      </text>
    </comment>
    <comment ref="F89"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 ref="H89" authorId="0" shapeId="0">
      <text>
        <r>
          <rPr>
            <b/>
            <sz val="9"/>
            <color rgb="FF000000"/>
            <rFont val="Tahoma"/>
            <family val="2"/>
          </rPr>
          <t>Hogan, Susan:</t>
        </r>
        <r>
          <rPr>
            <sz val="9"/>
            <color rgb="FF000000"/>
            <rFont val="Tahoma"/>
            <family val="2"/>
          </rPr>
          <t xml:space="preserve">
This is the last year in the CRCP. The years count backward from FRCP_y1.
</t>
        </r>
      </text>
    </comment>
  </commentList>
</comments>
</file>

<file path=xl/comments2.xml><?xml version="1.0" encoding="utf-8"?>
<comments xmlns="http://schemas.openxmlformats.org/spreadsheetml/2006/main">
  <authors>
    <author>Rick Miles</author>
    <author>kyap</author>
    <author>Ben Stonehouse</author>
    <author>Ben Stonehouse4_</author>
  </authors>
  <commentList>
    <comment ref="E5" authorId="0" shape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customer contributions, asset disposals and depreciation.</t>
        </r>
      </text>
    </comment>
    <comment ref="J6" authorId="1" shapeId="0">
      <text>
        <r>
          <rPr>
            <sz val="8"/>
            <color indexed="81"/>
            <rFont val="Tahoma"/>
            <family val="2"/>
          </rPr>
          <t>Based on the opening RAB values determined in the RFM.</t>
        </r>
      </text>
    </comment>
    <comment ref="K6" authorId="1" shapeId="0">
      <text>
        <r>
          <rPr>
            <sz val="8"/>
            <color indexed="81"/>
            <rFont val="Tahoma"/>
            <family val="2"/>
          </rPr>
          <t xml:space="preserve">Inputs for assets under construction are only relevant for DNSPs moving from an as-commissioned approach to an as-incurred approach for recognising capex. Based on values added to the opening RAB in the RFM. </t>
        </r>
      </text>
    </comment>
    <comment ref="L6" authorId="0" shapeId="0">
      <text>
        <r>
          <rPr>
            <sz val="8"/>
            <color indexed="81"/>
            <rFont val="Tahoma"/>
            <family val="2"/>
          </rPr>
          <t>Set equal to remaining economic life of asset. Enter a valid numeric life or n/a.</t>
        </r>
      </text>
    </comment>
    <comment ref="M6" authorId="1" shapeId="0">
      <text>
        <r>
          <rPr>
            <sz val="8"/>
            <color indexed="81"/>
            <rFont val="Tahoma"/>
            <family val="2"/>
          </rPr>
          <t>Set to standard economic life of asset. Enter a valid numeric life or n/a.</t>
        </r>
      </text>
    </comment>
    <comment ref="N6" authorId="1" shapeId="0">
      <text>
        <r>
          <rPr>
            <sz val="8"/>
            <color indexed="81"/>
            <rFont val="Tahoma"/>
            <family val="2"/>
          </rPr>
          <t>Based on the opening tax asset values derived using a method agreed to by the AER or otherwise determined in the RFM.</t>
        </r>
      </text>
    </comment>
    <comment ref="O6" authorId="0" shapeId="0">
      <text>
        <r>
          <rPr>
            <sz val="8"/>
            <color indexed="81"/>
            <rFont val="Tahoma"/>
            <family val="2"/>
          </rPr>
          <t>Set equal to remaining tax life of asset. Enter a valid numeric life or n/a.</t>
        </r>
      </text>
    </comment>
    <comment ref="P6" authorId="1" shapeId="0">
      <text>
        <r>
          <rPr>
            <sz val="8"/>
            <color indexed="81"/>
            <rFont val="Tahoma"/>
            <family val="2"/>
          </rPr>
          <t>Set equal to tax life specified by the Australian Tax Office for the category of assets and commissioning date. Enter a valid numeric life or n/a.</t>
        </r>
      </text>
    </comment>
    <comment ref="Q6" authorId="1" shapeId="0">
      <text>
        <r>
          <rPr>
            <sz val="8"/>
            <color indexed="81"/>
            <rFont val="Tahoma"/>
            <family val="2"/>
          </rPr>
          <t>Insert the base financial year that the regulatory control period commences in.</t>
        </r>
      </text>
    </comment>
    <comment ref="R6" authorId="1" shapeId="0">
      <text>
        <r>
          <rPr>
            <sz val="8"/>
            <color indexed="81"/>
            <rFont val="Tahoma"/>
            <family val="2"/>
          </rPr>
          <t>Insert the number of years for the regulatory control period (must be an integer)</t>
        </r>
      </text>
    </comment>
    <comment ref="Q7" authorId="2" shapeId="0">
      <text>
        <r>
          <rPr>
            <sz val="8"/>
            <color indexed="81"/>
            <rFont val="Tahoma"/>
            <family val="2"/>
          </rPr>
          <t>Use the following format:
Calendar years: 20XX
Financial years: 20XX-YY</t>
        </r>
      </text>
    </comment>
    <comment ref="I36" authorId="2" shapeId="0">
      <text>
        <r>
          <rPr>
            <sz val="8"/>
            <color indexed="81"/>
            <rFont val="Tahoma"/>
            <family val="2"/>
          </rPr>
          <t>Asset class 30 should be used for equity raising costs if intending to update equity raising costs when smoothing revenue.</t>
        </r>
      </text>
    </comment>
    <comment ref="J37" authorId="1" shapeId="0">
      <text>
        <r>
          <rPr>
            <sz val="8"/>
            <color indexed="81"/>
            <rFont val="Tahoma"/>
            <family val="2"/>
          </rPr>
          <t>Total opening asset value includes the total value for assets under construction.</t>
        </r>
      </text>
    </comment>
    <comment ref="E39" authorId="1" shapeId="0">
      <text>
        <r>
          <rPr>
            <sz val="8"/>
            <color indexed="81"/>
            <rFont val="Tahoma"/>
            <family val="2"/>
          </rPr>
          <t>Exclude half year rate of return. Inputs are assumed to be in end of year terms.</t>
        </r>
      </text>
    </comment>
    <comment ref="Q72" authorId="1" shapeId="0">
      <text>
        <r>
          <rPr>
            <sz val="8"/>
            <color indexed="81"/>
            <rFont val="Tahoma"/>
            <family val="2"/>
          </rPr>
          <t>Total for the regulatory control period.</t>
        </r>
      </text>
    </comment>
    <comment ref="E73" authorId="1" shapeId="0">
      <text>
        <r>
          <rPr>
            <sz val="8"/>
            <color indexed="81"/>
            <rFont val="Tahoma"/>
            <family val="2"/>
          </rPr>
          <t>Exclude half year rate of return. Inputs are assumed to be in end of year terms.</t>
        </r>
      </text>
    </comment>
    <comment ref="Q106" authorId="1" shapeId="0">
      <text>
        <r>
          <rPr>
            <sz val="8"/>
            <color indexed="81"/>
            <rFont val="Tahoma"/>
            <family val="2"/>
          </rPr>
          <t>Total for the regulatory control period.</t>
        </r>
      </text>
    </comment>
    <comment ref="E107" authorId="1" shapeId="0">
      <text>
        <r>
          <rPr>
            <sz val="8"/>
            <color indexed="81"/>
            <rFont val="Tahoma"/>
            <family val="2"/>
          </rPr>
          <t>Exclude half year rate of return. Inputs are assumed to be in end of year terms.</t>
        </r>
      </text>
    </comment>
    <comment ref="Q140" authorId="1" shapeId="0">
      <text>
        <r>
          <rPr>
            <sz val="8"/>
            <color indexed="81"/>
            <rFont val="Tahoma"/>
            <family val="2"/>
          </rPr>
          <t>Total for the regulatory control period.</t>
        </r>
      </text>
    </comment>
    <comment ref="E141" authorId="1" shapeId="0">
      <text>
        <r>
          <rPr>
            <sz val="8"/>
            <color indexed="81"/>
            <rFont val="Tahoma"/>
            <family val="2"/>
          </rPr>
          <t>Exclude half year rate of return. Inputs are assumed to be in end of year terms.</t>
        </r>
      </text>
    </comment>
    <comment ref="Q174" authorId="1" shapeId="0">
      <text>
        <r>
          <rPr>
            <sz val="8"/>
            <color indexed="81"/>
            <rFont val="Tahoma"/>
            <family val="2"/>
          </rPr>
          <t>Total for the regulatory control period.</t>
        </r>
      </text>
    </comment>
    <comment ref="E175" authorId="1" shapeId="0">
      <text>
        <r>
          <rPr>
            <sz val="8"/>
            <color indexed="81"/>
            <rFont val="Tahoma"/>
            <family val="2"/>
          </rPr>
          <t>Inputs are assumed to be in end of year terms.</t>
        </r>
      </text>
    </comment>
    <comment ref="E186" authorId="1" shapeId="0">
      <text>
        <r>
          <rPr>
            <sz val="8"/>
            <color indexed="81"/>
            <rFont val="Tahoma"/>
            <family val="2"/>
          </rPr>
          <t>The calculation for benchmark debt raising costs is based on the practice of treating the allowance as an opex line item.</t>
        </r>
      </text>
    </comment>
    <comment ref="Q188" authorId="1" shapeId="0">
      <text>
        <r>
          <rPr>
            <sz val="8"/>
            <color indexed="81"/>
            <rFont val="Tahoma"/>
            <family val="2"/>
          </rPr>
          <t>Total for the regulatory control period.</t>
        </r>
      </text>
    </comment>
    <comment ref="E189" authorId="1" shapeId="0">
      <text>
        <r>
          <rPr>
            <sz val="8"/>
            <color indexed="81"/>
            <rFont val="Tahoma"/>
            <family val="2"/>
          </rPr>
          <t>Inputs are assumed to be in end of year terms.</t>
        </r>
      </text>
    </comment>
    <comment ref="Q206" authorId="1" shapeId="0">
      <text>
        <r>
          <rPr>
            <sz val="8"/>
            <color indexed="81"/>
            <rFont val="Tahoma"/>
            <family val="2"/>
          </rPr>
          <t>Total for the regulatory control period.</t>
        </r>
      </text>
    </comment>
    <comment ref="E212" authorId="3" shapeId="0">
      <text>
        <r>
          <rPr>
            <sz val="8"/>
            <color indexed="81"/>
            <rFont val="Tahoma"/>
            <family val="2"/>
          </rPr>
          <t>For existing assets there may be an existing accumulated tax loss. If this is the case then the tax loss being carried forward into the first year of this regulatory control period should be recorded in this cell ($ nominal).</t>
        </r>
      </text>
    </comment>
    <comment ref="F212" authorId="3" shapeId="0">
      <text>
        <r>
          <rPr>
            <sz val="8"/>
            <color indexed="81"/>
            <rFont val="Tahoma"/>
            <family val="2"/>
          </rPr>
          <t>Obtain carried forward tax loss from tax accounts or company statutory accounts.</t>
        </r>
      </text>
    </comment>
    <comment ref="F216" authorId="2" shapeId="0">
      <text>
        <r>
          <rPr>
            <sz val="8"/>
            <color indexed="81"/>
            <rFont val="Tahoma"/>
            <family val="2"/>
          </rPr>
          <t xml:space="preserve">Clause 6.4.2(b)(1) requires the AER to specify in the PTRM a methodology that is likely to result in the best estimate of expected inflation. The AER uses an approach that calculates the geometric average based on the inflation forecasts for two years sourced from the latest available Reserve Bank of Australia’s (RBA’s) </t>
        </r>
        <r>
          <rPr>
            <i/>
            <sz val="8"/>
            <color indexed="81"/>
            <rFont val="Tahoma"/>
            <family val="2"/>
          </rPr>
          <t>Statement of monetary policy</t>
        </r>
        <r>
          <rPr>
            <sz val="8"/>
            <color indexed="81"/>
            <rFont val="Tahoma"/>
            <family val="2"/>
          </rPr>
          <t xml:space="preserve"> and the mid-point of the RBA’s target inflation band for eight years.</t>
        </r>
      </text>
    </comment>
    <comment ref="F217" authorId="2" shapeId="0">
      <text>
        <r>
          <rPr>
            <sz val="8"/>
            <color indexed="81"/>
            <rFont val="Tahoma"/>
            <family val="2"/>
          </rPr>
          <t xml:space="preserve">Clause 6.5.2(f) requires that the return on equity for a regulatory control period must be estimated such that it contributes to the acheivement of the allowed rate of return objective.
See the AER's latest </t>
        </r>
        <r>
          <rPr>
            <i/>
            <sz val="8"/>
            <color indexed="81"/>
            <rFont val="Tahoma"/>
            <family val="2"/>
          </rPr>
          <t xml:space="preserve">Rate of return guideline </t>
        </r>
        <r>
          <rPr>
            <sz val="8"/>
            <color indexed="81"/>
            <rFont val="Tahoma"/>
            <family val="2"/>
          </rPr>
          <t>for guidance on estimating the return on equity.</t>
        </r>
      </text>
    </comment>
    <comment ref="F218" authorId="2" shapeId="0">
      <text>
        <r>
          <rPr>
            <sz val="8"/>
            <color indexed="81"/>
            <rFont val="Tahoma"/>
            <family val="2"/>
          </rPr>
          <t xml:space="preserve">Clause 6.5.3 requires that the cost of corporate income tax be estimated with regard to the value of imputation credits (gamma).
See the AER's latest </t>
        </r>
        <r>
          <rPr>
            <i/>
            <sz val="8"/>
            <color indexed="81"/>
            <rFont val="Tahoma"/>
            <family val="2"/>
          </rPr>
          <t xml:space="preserve">Rate of return guideline </t>
        </r>
        <r>
          <rPr>
            <sz val="8"/>
            <color indexed="81"/>
            <rFont val="Tahoma"/>
            <family val="2"/>
          </rPr>
          <t>for guidance on estimating gamma.</t>
        </r>
      </text>
    </comment>
    <comment ref="F219" authorId="2" shapeId="0">
      <text>
        <r>
          <rPr>
            <sz val="8"/>
            <color indexed="81"/>
            <rFont val="Tahoma"/>
            <family val="2"/>
          </rPr>
          <t>Clause 6.5.2(d)(1) requires that the allowed rate of return be a weighted average of the return on equity and the return on debt.
See the AER's latest</t>
        </r>
        <r>
          <rPr>
            <i/>
            <sz val="8"/>
            <color indexed="81"/>
            <rFont val="Tahoma"/>
            <family val="2"/>
          </rPr>
          <t xml:space="preserve"> Rate of return guideline</t>
        </r>
        <r>
          <rPr>
            <sz val="8"/>
            <color indexed="81"/>
            <rFont val="Tahoma"/>
            <family val="2"/>
          </rPr>
          <t xml:space="preserve"> for guidance on estimating gearing.</t>
        </r>
      </text>
    </comment>
    <comment ref="F222" authorId="2" shapeId="0">
      <text>
        <r>
          <rPr>
            <sz val="8"/>
            <color indexed="81"/>
            <rFont val="Tahoma"/>
            <family val="2"/>
          </rPr>
          <t xml:space="preserve">Clause 6.5.2(h) requires that the return on debt for a regulatory control period must be estimated such that it contributes to the acheivement of the allowed rate of return objective.
In accordance with clause 6.5.2(i)(2), this post tax revenue model allows the return on debt to vary between different regulatory years. It can also accommodate a return on debt that is constant across the regulatory control period (as per clause 6.5.2(i)(1)).
See the AER's latest </t>
        </r>
        <r>
          <rPr>
            <i/>
            <sz val="8"/>
            <color indexed="81"/>
            <rFont val="Tahoma"/>
            <family val="2"/>
          </rPr>
          <t>Rate of return guideline</t>
        </r>
        <r>
          <rPr>
            <sz val="8"/>
            <color indexed="81"/>
            <rFont val="Tahoma"/>
            <family val="2"/>
          </rPr>
          <t xml:space="preserve"> for guidance on estimating the return on debt.
Note that, under the AER's trailing average portfolio approach, the return on debt entered here is not the spot rate for a given year, but the portfolio return on debt (reflecting any earlier debt included in that portfolio).</t>
        </r>
      </text>
    </comment>
    <comment ref="F229" authorId="1" shapeId="0">
      <text>
        <r>
          <rPr>
            <sz val="8"/>
            <color indexed="81"/>
            <rFont val="Tahoma"/>
            <family val="2"/>
          </rPr>
          <t>Set the value of the imputation credit payout ratio to be consistent with that used to determine gamma, which is the product of the imputation credit payout ratio and the utilisation rate of imputation credits (theta).</t>
        </r>
      </text>
    </comment>
    <comment ref="F230" authorId="1" shapeId="0">
      <text>
        <r>
          <rPr>
            <sz val="8"/>
            <color indexed="81"/>
            <rFont val="Tahoma"/>
            <family val="2"/>
          </rPr>
          <t>Deternined in accordance with the methodology set out in the report by Allen Consulting Group,</t>
        </r>
        <r>
          <rPr>
            <i/>
            <sz val="8"/>
            <color indexed="81"/>
            <rFont val="Tahoma"/>
            <family val="2"/>
          </rPr>
          <t xml:space="preserve"> Debt and equity raising transaction costs: final report to the ACCC</t>
        </r>
        <r>
          <rPr>
            <sz val="8"/>
            <color indexed="81"/>
            <rFont val="Tahoma"/>
            <family val="2"/>
          </rPr>
          <t>,  December 2004.</t>
        </r>
      </text>
    </comment>
    <comment ref="F231" authorId="1" shapeId="0">
      <text>
        <r>
          <rPr>
            <sz val="8"/>
            <color indexed="81"/>
            <rFont val="Tahoma"/>
            <family val="2"/>
          </rPr>
          <t>Determined in accordance with the AER methodology (see AER,</t>
        </r>
        <r>
          <rPr>
            <i/>
            <sz val="8"/>
            <color indexed="81"/>
            <rFont val="Tahoma"/>
            <family val="2"/>
          </rPr>
          <t xml:space="preserve"> Final decision, Powerlink transmission determination 2012–13 to 2016–17</t>
        </r>
        <r>
          <rPr>
            <sz val="8"/>
            <color indexed="81"/>
            <rFont val="Tahoma"/>
            <family val="2"/>
          </rPr>
          <t>, April 2012, pp. 145–152 and
AER,</t>
        </r>
        <r>
          <rPr>
            <i/>
            <sz val="8"/>
            <color indexed="81"/>
            <rFont val="Tahoma"/>
            <family val="2"/>
          </rPr>
          <t xml:space="preserve"> Draft decision, Powerlink transmission determination 2012–13 to 2016–17</t>
        </r>
        <r>
          <rPr>
            <sz val="8"/>
            <color indexed="81"/>
            <rFont val="Tahoma"/>
            <family val="2"/>
          </rPr>
          <t>, November 2011, pp. 152–159).</t>
        </r>
      </text>
    </comment>
    <comment ref="F232" authorId="1" shapeId="0">
      <text>
        <r>
          <rPr>
            <sz val="8"/>
            <color indexed="81"/>
            <rFont val="Tahoma"/>
            <family val="2"/>
          </rPr>
          <t>Determined in accordance with the AER methodology (see AER,</t>
        </r>
        <r>
          <rPr>
            <i/>
            <sz val="8"/>
            <color indexed="81"/>
            <rFont val="Tahoma"/>
            <family val="2"/>
          </rPr>
          <t xml:space="preserve"> Final decision, Powerlink transmission determination 2012–13 to 2016–17</t>
        </r>
        <r>
          <rPr>
            <sz val="8"/>
            <color indexed="81"/>
            <rFont val="Tahoma"/>
            <family val="2"/>
          </rPr>
          <t>, April 2012, pp. 145–152 and
AER,</t>
        </r>
        <r>
          <rPr>
            <i/>
            <sz val="8"/>
            <color indexed="81"/>
            <rFont val="Tahoma"/>
            <family val="2"/>
          </rPr>
          <t xml:space="preserve"> Draft decision, Powerlink transmission determination 2012–13 to 2016–17</t>
        </r>
        <r>
          <rPr>
            <sz val="8"/>
            <color indexed="81"/>
            <rFont val="Tahoma"/>
            <family val="2"/>
          </rPr>
          <t>, November 2011, pp. 152–159).</t>
        </r>
      </text>
    </comment>
    <comment ref="F233" authorId="1" shapeId="0">
      <text>
        <r>
          <rPr>
            <sz val="8"/>
            <color indexed="81"/>
            <rFont val="Tahoma"/>
            <family val="2"/>
          </rPr>
          <t xml:space="preserve">Based on the notional debt issue size and deternined in accordance with the methodology set out in the report by Allen Consulting Group, </t>
        </r>
        <r>
          <rPr>
            <i/>
            <sz val="8"/>
            <color indexed="81"/>
            <rFont val="Tahoma"/>
            <family val="2"/>
          </rPr>
          <t>Debt and equity raising transaction costs: final report to the ACCC</t>
        </r>
        <r>
          <rPr>
            <sz val="8"/>
            <color indexed="81"/>
            <rFont val="Tahoma"/>
            <family val="2"/>
          </rPr>
          <t>,  December 2004.</t>
        </r>
      </text>
    </comment>
    <comment ref="E240" authorId="1" shapeId="0">
      <text>
        <r>
          <rPr>
            <sz val="8"/>
            <color indexed="81"/>
            <rFont val="Tahoma"/>
            <family val="2"/>
          </rPr>
          <t xml:space="preserve">Energy delivered forecasts may be obtained from AEMO's latest </t>
        </r>
        <r>
          <rPr>
            <i/>
            <sz val="8"/>
            <color indexed="81"/>
            <rFont val="Tahoma"/>
            <family val="2"/>
          </rPr>
          <t xml:space="preserve">National electricity forecasting report </t>
        </r>
        <r>
          <rPr>
            <sz val="8"/>
            <color indexed="81"/>
            <rFont val="Tahoma"/>
            <family val="2"/>
          </rPr>
          <t>or other relevant industry sources.</t>
        </r>
      </text>
    </comment>
    <comment ref="E244" authorId="1" shapeId="0">
      <text>
        <r>
          <rPr>
            <sz val="8"/>
            <color indexed="81"/>
            <rFont val="Tahoma"/>
            <family val="2"/>
          </rPr>
          <t xml:space="preserve">DNSPs may need to amend this input table to account for their particular tariff schedules. Subsequent calculations in the 'Forecast revenues' sheet may be affected. </t>
        </r>
      </text>
    </comment>
    <comment ref="E275" authorId="1" shapeId="0">
      <text>
        <r>
          <rPr>
            <sz val="8"/>
            <color indexed="81"/>
            <rFont val="Tahoma"/>
            <family val="2"/>
          </rPr>
          <t xml:space="preserve">DNSPs may need to amend this input table to account for their particular tariff schedules. Subsequent calculations in the 'Forecast revenues' sheet may be affected. </t>
        </r>
      </text>
    </comment>
    <comment ref="E307" authorId="1" shapeId="0">
      <text>
        <r>
          <rPr>
            <sz val="8"/>
            <color indexed="81"/>
            <rFont val="Tahoma"/>
            <family val="2"/>
          </rPr>
          <t xml:space="preserve">DNSPs may need to amend this input table to account for their particular tariff schedules. Subsequent calculations in the 'Forecast revenues' sheet may be affected. </t>
        </r>
      </text>
    </comment>
  </commentList>
</comments>
</file>

<file path=xl/comments3.xml><?xml version="1.0" encoding="utf-8"?>
<comments xmlns="http://schemas.openxmlformats.org/spreadsheetml/2006/main">
  <authors>
    <author>Ben Stonehouse</author>
    <author>Stonehouse, Ben</author>
  </authors>
  <commentList>
    <comment ref="G17" authorId="0" shapeId="0">
      <text>
        <r>
          <rPr>
            <sz val="8"/>
            <color indexed="81"/>
            <rFont val="Tahoma"/>
            <family val="2"/>
          </rPr>
          <t>The white cells show formula approximations of the WACC in different forms. It should be noted that these formulae differ from formulae found in some literature because Te and Td (obtained from the cash flow analysis) are used in place of the corporate tax rate T.</t>
        </r>
      </text>
    </comment>
    <comment ref="R17" authorId="0" shapeId="0">
      <text>
        <r>
          <rPr>
            <sz val="8"/>
            <color indexed="81"/>
            <rFont val="Tahoma"/>
            <family val="2"/>
          </rPr>
          <t>The orange cells show WACC derived from cashflow analysis (on the Analysis tab). They refer to cash flow after removal of revenue adjustments.</t>
        </r>
      </text>
    </comment>
    <comment ref="G18" authorId="1" shapeId="0">
      <text>
        <r>
          <rPr>
            <sz val="8"/>
            <color indexed="81"/>
            <rFont val="Tahoma"/>
            <family val="2"/>
          </rPr>
          <t>As per Officer (1994), after-tax cashflow and WACC definition (iii).</t>
        </r>
      </text>
    </comment>
    <comment ref="G20" authorId="1" shapeId="0">
      <text>
        <r>
          <rPr>
            <sz val="8"/>
            <color indexed="81"/>
            <rFont val="Tahoma"/>
            <family val="2"/>
          </rPr>
          <t>As per Officer (1994), after-tax cashflow and WACC definition (ii).</t>
        </r>
      </text>
    </comment>
    <comment ref="G22" authorId="1" shapeId="0">
      <text>
        <r>
          <rPr>
            <sz val="8"/>
            <color indexed="81"/>
            <rFont val="Tahoma"/>
            <family val="2"/>
          </rPr>
          <t>As per Officer (1994), before tax cashflow and WACC definition (i).</t>
        </r>
      </text>
    </comment>
    <comment ref="G27" authorId="0" shapeId="0">
      <text>
        <r>
          <rPr>
            <sz val="8"/>
            <color indexed="81"/>
            <rFont val="Tahoma"/>
            <family val="2"/>
          </rPr>
          <t>Te is calculated from the cash flows and will vary with the framework chosen for regulatory determination. The button below will copy the value from R27 and place it here. However, the Te calculation will only be accurate if the WACC is constant (at the start of a regulatory control period prior to any annual cost of debt updates).</t>
        </r>
      </text>
    </comment>
    <comment ref="G28" authorId="0" shapeId="0">
      <text>
        <r>
          <rPr>
            <sz val="8"/>
            <color indexed="81"/>
            <rFont val="Tahoma"/>
            <family val="2"/>
          </rPr>
          <t>Td is calculated from the cash flows and will vary with the framework chosen for regulatory determination. The button below will copy the value from R28 and place it here. However, the Td calculation will only be accurate if the WACC is constant (at the start of a regulatory control period prior to any annual cost of debt updates).</t>
        </r>
      </text>
    </comment>
  </commentList>
</comments>
</file>

<file path=xl/comments4.xml><?xml version="1.0" encoding="utf-8"?>
<comments xmlns="http://schemas.openxmlformats.org/spreadsheetml/2006/main">
  <authors>
    <author>kyap</author>
  </authors>
  <commentList>
    <comment ref="B4" authorId="0" shapeId="0">
      <text>
        <r>
          <rPr>
            <sz val="8"/>
            <color indexed="81"/>
            <rFont val="Tahoma"/>
            <family val="2"/>
          </rPr>
          <t>The Assets and Analysis worksheets display 55 years of data so that the effective tax rate for the DNSP can be estimated.</t>
        </r>
      </text>
    </comment>
  </commentList>
</comments>
</file>

<file path=xl/comments5.xml><?xml version="1.0" encoding="utf-8"?>
<comments xmlns="http://schemas.openxmlformats.org/spreadsheetml/2006/main">
  <authors>
    <author>Ben Stonehouse</author>
    <author>Luke Griffin</author>
    <author>david chapman</author>
  </authors>
  <commentList>
    <comment ref="B4" authorId="0" shapeId="0">
      <text>
        <r>
          <rPr>
            <sz val="9"/>
            <color indexed="81"/>
            <rFont val="Tahoma"/>
            <family val="2"/>
          </rPr>
          <t>The Assets and Analysis worksheets display 55 years of data so that the effective tax rate for the DNSP can be estimated.</t>
        </r>
      </text>
    </comment>
    <comment ref="C77" authorId="1" shapeId="0">
      <text>
        <r>
          <rPr>
            <sz val="8"/>
            <color indexed="81"/>
            <rFont val="Tahoma"/>
            <family val="2"/>
          </rPr>
          <t>Calculated as the percentage difference between pre and post tax cash flows.</t>
        </r>
      </text>
    </comment>
    <comment ref="B84" authorId="2" shapeId="0">
      <text>
        <r>
          <rPr>
            <sz val="8"/>
            <color indexed="81"/>
            <rFont val="Tahoma"/>
            <family val="2"/>
          </rPr>
          <t>Cash Flow to debt represents cash flows from perspective of the borrower. It does not reflect actual cash received by the lender.</t>
        </r>
      </text>
    </comment>
    <comment ref="C86" authorId="2" shapeId="0">
      <text>
        <r>
          <rPr>
            <sz val="8"/>
            <color indexed="81"/>
            <rFont val="Tahoma"/>
            <family val="2"/>
          </rPr>
          <t>This row calculates the utilisation of the debt shield to reduce taxable income.</t>
        </r>
      </text>
    </comment>
    <comment ref="E88" authorId="2" shapeId="0">
      <text>
        <r>
          <rPr>
            <sz val="8"/>
            <color indexed="81"/>
            <rFont val="Tahoma"/>
            <family val="2"/>
          </rPr>
          <t>When the tax shield is fully utilised this value will equal Rd*(1-T).</t>
        </r>
      </text>
    </comment>
    <comment ref="C109" authorId="1" shapeId="0">
      <text>
        <r>
          <rPr>
            <sz val="8"/>
            <color indexed="81"/>
            <rFont val="Tahoma"/>
            <family val="2"/>
          </rPr>
          <t>Calculated as the percentage difference between pre and post tax cash flows.</t>
        </r>
      </text>
    </comment>
    <comment ref="B116" authorId="2" shapeId="0">
      <text>
        <r>
          <rPr>
            <sz val="8"/>
            <color indexed="81"/>
            <rFont val="Tahoma"/>
            <family val="2"/>
          </rPr>
          <t>Cash Flow to debt represents cash flows from perspective of the borrower. It does not reflect actual cash received by the lender.</t>
        </r>
      </text>
    </comment>
    <comment ref="C118" authorId="2" shapeId="0">
      <text>
        <r>
          <rPr>
            <sz val="8"/>
            <color indexed="81"/>
            <rFont val="Tahoma"/>
            <family val="2"/>
          </rPr>
          <t>This row calculates the utilisation of the debt shield to reduce taxable income.</t>
        </r>
      </text>
    </comment>
    <comment ref="E120" authorId="2" shapeId="0">
      <text>
        <r>
          <rPr>
            <sz val="8"/>
            <color indexed="81"/>
            <rFont val="Tahoma"/>
            <family val="2"/>
          </rPr>
          <t>When the tax shield is fully utilised this value will equal Rd*(1-T).</t>
        </r>
      </text>
    </comment>
  </commentList>
</comments>
</file>

<file path=xl/comments6.xml><?xml version="1.0" encoding="utf-8"?>
<comments xmlns="http://schemas.openxmlformats.org/spreadsheetml/2006/main">
  <authors>
    <author>kyap</author>
  </authors>
  <commentList>
    <comment ref="E2" authorId="0" shapeId="0">
      <text>
        <r>
          <rPr>
            <sz val="8"/>
            <color indexed="81"/>
            <rFont val="Tahoma"/>
            <family val="2"/>
          </rPr>
          <t>DNSPs may need to amend these tables to account for their particular tariff schedules.</t>
        </r>
      </text>
    </comment>
  </commentList>
</comments>
</file>

<file path=xl/comments7.xml><?xml version="1.0" encoding="utf-8"?>
<comments xmlns="http://schemas.openxmlformats.org/spreadsheetml/2006/main">
  <authors>
    <author>Ben Stonehouse</author>
  </authors>
  <commentList>
    <comment ref="F47" authorId="0" shapeId="0">
      <text>
        <r>
          <rPr>
            <sz val="8"/>
            <color indexed="81"/>
            <rFont val="Tahoma"/>
            <family val="2"/>
          </rPr>
          <t>Clause 6.5.9 sets out the requirements for the X factors used to smooth revenue across the period.</t>
        </r>
      </text>
    </comment>
    <comment ref="F63" authorId="0" shapeId="0">
      <text>
        <r>
          <rPr>
            <sz val="8"/>
            <color indexed="81"/>
            <rFont val="Tahoma"/>
            <family val="2"/>
          </rPr>
          <t>Clause 6.5.9 sets out the requirements for the X factors used to smooth revenue across the period.</t>
        </r>
      </text>
    </comment>
    <comment ref="F83" authorId="0" shapeId="0">
      <text>
        <r>
          <rPr>
            <sz val="8"/>
            <color indexed="81"/>
            <rFont val="Tahoma"/>
            <family val="2"/>
          </rPr>
          <t>Clause 6.5.9 sets out the requirements for the X factors used to smooth revenue across the period.</t>
        </r>
      </text>
    </comment>
  </commentList>
</comments>
</file>

<file path=xl/comments8.xml><?xml version="1.0" encoding="utf-8"?>
<comments xmlns="http://schemas.openxmlformats.org/spreadsheetml/2006/main">
  <authors>
    <author>Ben Stonehouse</author>
  </authors>
  <commentList>
    <comment ref="T57" authorId="0" shapeId="0">
      <text>
        <r>
          <rPr>
            <sz val="8"/>
            <color indexed="81"/>
            <rFont val="Tahoma"/>
            <family val="2"/>
          </rPr>
          <t>This is the increase which, if applied year-on-year across the period, would lead to the total change shown above (in other words, the geometric mean).</t>
        </r>
      </text>
    </comment>
    <comment ref="G59" authorId="0" shapeId="0">
      <text>
        <r>
          <rPr>
            <sz val="8"/>
            <color indexed="81"/>
            <rFont val="Tahoma"/>
            <family val="2"/>
          </rPr>
          <t>This row is the indicative starting price (total revenue divided by total forecast energy, for consistency with other forms of control) escalated in accordance with the pricing formula (CPI-X). The expected revenue row is derived from this pricing formula applied to individual tariff components (with individual demand forecasts) from the Forecast revenues sheet. This reflects the fact that under a WAPC, the key figure targeted by the form of control is prices after consideration of demand.</t>
        </r>
      </text>
    </comment>
    <comment ref="G63" authorId="0" shapeId="0">
      <text>
        <r>
          <rPr>
            <sz val="8"/>
            <color indexed="81"/>
            <rFont val="Tahoma"/>
            <family val="2"/>
          </rPr>
          <t>This row is the base indicator and the price path ($/MWh) row is derived using total forecast energy. This reflects the fact that under a revenue cap, the expected revenue ($m) is the key figure targeted by the form of control.</t>
        </r>
      </text>
    </comment>
    <comment ref="G73" authorId="0" shapeId="0">
      <text>
        <r>
          <rPr>
            <sz val="8"/>
            <color indexed="81"/>
            <rFont val="Tahoma"/>
            <family val="2"/>
          </rPr>
          <t xml:space="preserve">This row is the base indicator and the expected revenue ($m) row is derived using total forecast energy. This reflects the fact that under a revenue yield cap, the revenue yield ($/MWh) is the key figure targeted by the form of control. </t>
        </r>
      </text>
    </comment>
  </commentList>
</comments>
</file>

<file path=xl/sharedStrings.xml><?xml version="1.0" encoding="utf-8"?>
<sst xmlns="http://schemas.openxmlformats.org/spreadsheetml/2006/main" count="2552" uniqueCount="1278">
  <si>
    <t>Inflation Rate</t>
  </si>
  <si>
    <t>f</t>
  </si>
  <si>
    <t>Corporate Tax Rate</t>
  </si>
  <si>
    <t>T</t>
  </si>
  <si>
    <t>Te</t>
  </si>
  <si>
    <t>Td</t>
  </si>
  <si>
    <t>E/V</t>
  </si>
  <si>
    <t>D/V</t>
  </si>
  <si>
    <t>Nominal Vanilla WACC</t>
  </si>
  <si>
    <t>Real Vanilla WACC</t>
  </si>
  <si>
    <t>Capital Expenditure</t>
  </si>
  <si>
    <t>Tax Depreciation</t>
  </si>
  <si>
    <t>Residual Tax Value (end period)</t>
  </si>
  <si>
    <t>Revenue Building Blocks</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</si>
  <si>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</si>
  <si>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</si>
  <si>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</si>
  <si>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</si>
  <si>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</si>
  <si>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</si>
  <si>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</si>
  <si>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</si>
  <si>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</si>
  <si>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</si>
  <si>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</si>
  <si>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</si>
  <si>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</si>
  <si>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</si>
  <si>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</si>
  <si>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</si>
  <si>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</si>
  <si>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</si>
  <si>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</si>
  <si>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</si>
  <si>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</si>
  <si>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</si>
  <si>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</si>
  <si>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</si>
  <si>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</si>
  <si>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Cumulative Inflation Index (CPI end period)</t>
  </si>
  <si>
    <t>Value</t>
  </si>
  <si>
    <t>NPV</t>
  </si>
  <si>
    <t>Td  =</t>
  </si>
  <si>
    <t>Return on Capital</t>
  </si>
  <si>
    <t>Net Tax Costs</t>
  </si>
  <si>
    <t>Net Cash Flow to Debt</t>
  </si>
  <si>
    <t>(intermediate tax calculation)</t>
  </si>
  <si>
    <t>%ROE (1 year)</t>
  </si>
  <si>
    <t>%real ROE (1 year)</t>
  </si>
  <si>
    <t>Asset Class 1</t>
  </si>
  <si>
    <t>Asset Class 2</t>
  </si>
  <si>
    <t>Opening Asset Value</t>
  </si>
  <si>
    <t>Remaining Life</t>
  </si>
  <si>
    <t>Standard Life</t>
  </si>
  <si>
    <t>Year</t>
  </si>
  <si>
    <t>Cost of Capital</t>
  </si>
  <si>
    <t>Asset Class 3</t>
  </si>
  <si>
    <t>Capex</t>
  </si>
  <si>
    <t>Initial Asset Base</t>
  </si>
  <si>
    <t>Energy</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</si>
  <si>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</si>
  <si>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</si>
  <si>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</si>
  <si>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</si>
  <si>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</si>
  <si>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</si>
  <si>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</si>
  <si>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</si>
  <si>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</si>
  <si>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</si>
  <si>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</si>
  <si>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</si>
  <si>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</si>
  <si>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</si>
  <si>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Tax Standard Life</t>
  </si>
  <si>
    <t>Tax Remaining Life</t>
  </si>
  <si>
    <t>Rd</t>
  </si>
  <si>
    <t>Rrd</t>
  </si>
  <si>
    <t>Cash Flow Analysis Below This Line</t>
  </si>
  <si>
    <t xml:space="preserve"> - Opex</t>
  </si>
  <si>
    <t>Energy Delivered Forecast (MWh)</t>
  </si>
  <si>
    <t xml:space="preserve"> -  Pre-tax</t>
  </si>
  <si>
    <t xml:space="preserve"> -  Post-tax </t>
  </si>
  <si>
    <t>Total</t>
  </si>
  <si>
    <t>Proportion of Equity Funding</t>
  </si>
  <si>
    <t>Proportion of Debt Funding</t>
  </si>
  <si>
    <t>Net Present Values</t>
  </si>
  <si>
    <t>Project NPV Check</t>
  </si>
  <si>
    <t>Deduction Utilised to Reduce Tax</t>
  </si>
  <si>
    <t>Unutilised Deductions Carried Forward</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</si>
  <si>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</si>
  <si>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</si>
  <si>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</si>
  <si>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</si>
  <si>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</si>
  <si>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</si>
  <si>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Asset Class 18</t>
  </si>
  <si>
    <t>Asset Class 19</t>
  </si>
  <si>
    <t>Asset Class 20</t>
  </si>
  <si>
    <t>Debt raising costs</t>
  </si>
  <si>
    <t>Real Straight-line Depreciation</t>
  </si>
  <si>
    <t>Inflation Assumption (CPI % increase)</t>
  </si>
  <si>
    <t>Inflation on Opening RAB</t>
  </si>
  <si>
    <t>Nominal Straight-line Depreciation</t>
  </si>
  <si>
    <t>Nominal Residual RAB (end period)</t>
  </si>
  <si>
    <t>Inflated Nominal Residual RAB (start period)</t>
  </si>
  <si>
    <t>Real Residual RAB (end period)</t>
  </si>
  <si>
    <t>Real Residual RAB (start period)</t>
  </si>
  <si>
    <t>Return of Capital</t>
  </si>
  <si>
    <t>Revenue Forecasts in Absence of Corporate Tax</t>
  </si>
  <si>
    <t>Nominal Regulatory Depreciation</t>
  </si>
  <si>
    <t>Opening Tax Value</t>
  </si>
  <si>
    <t>Input cells are in blue</t>
  </si>
  <si>
    <t xml:space="preserve">Pre-tax Real WACC </t>
  </si>
  <si>
    <t xml:space="preserve">Post-tax Nominal WACC </t>
  </si>
  <si>
    <t xml:space="preserve">Post-tax Real WACC </t>
  </si>
  <si>
    <t xml:space="preserve">Pre-tax Nominal WACC </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</si>
  <si>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</si>
  <si>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</si>
  <si>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</si>
  <si>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</si>
  <si>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</si>
  <si>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</si>
  <si>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</si>
  <si>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</si>
  <si>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</si>
  <si>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</si>
  <si>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</si>
  <si>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</si>
  <si>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</si>
  <si>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</si>
  <si>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</si>
  <si>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</si>
  <si>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</si>
  <si>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</si>
  <si>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</si>
  <si>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</si>
  <si>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</si>
  <si>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</si>
  <si>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</si>
  <si>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</si>
  <si>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</si>
  <si>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This sheet provides for the calculation of X factors under three basic forms of control, namely a weighted average price cap, revenue cap and revenue yield. </t>
  </si>
  <si>
    <t>Standing Charge ($ per customer per year)</t>
  </si>
  <si>
    <t>Non TOU Energy (c/kWh)</t>
  </si>
  <si>
    <t>Peak Energy (c/KWh) BLK 1</t>
  </si>
  <si>
    <t>Peak Energy (c/KWh) BLK 2</t>
  </si>
  <si>
    <t>Off Peak Energy (c/kWh) BLK 1</t>
  </si>
  <si>
    <t>Off Peak Energy (c/kWh) BLK 2</t>
  </si>
  <si>
    <t>Peak Demand ($/kVa) BLK 1</t>
  </si>
  <si>
    <t>Peak Demand ($/kVa) BLK 2</t>
  </si>
  <si>
    <t>Off Peak Demand ($/kVa) BLK 1</t>
  </si>
  <si>
    <t>Off Peak Demand ($/kVa) BLK 2</t>
  </si>
  <si>
    <t>Residential A</t>
  </si>
  <si>
    <t>Residential B</t>
  </si>
  <si>
    <t>Residential C</t>
  </si>
  <si>
    <t>Small Business A</t>
  </si>
  <si>
    <t>Small Business B</t>
  </si>
  <si>
    <t>Small Business C</t>
  </si>
  <si>
    <t>Large Business A</t>
  </si>
  <si>
    <t>Large Business B</t>
  </si>
  <si>
    <t>Large Business C</t>
  </si>
  <si>
    <t>Customer Numbers</t>
  </si>
  <si>
    <t>Non TOU Energy (kWh)</t>
  </si>
  <si>
    <t>Peak Energy (KWh) BLK 1</t>
  </si>
  <si>
    <t>Peak Energy (KWh) BLK 2</t>
  </si>
  <si>
    <t>Off Peak Energy (KWh) BLK 1</t>
  </si>
  <si>
    <t>Off Peak Energy (KWh) BLK 2</t>
  </si>
  <si>
    <t>Peak Demand (kVa) BLK 1</t>
  </si>
  <si>
    <t>Peak Demand (kVa) BLK 2</t>
  </si>
  <si>
    <t>Off Peak Demand (kVa) BLK 1</t>
  </si>
  <si>
    <t>Off Peak Demand (kVa) BLK 2</t>
  </si>
  <si>
    <t>Quantities</t>
  </si>
  <si>
    <t>Prices</t>
  </si>
  <si>
    <t>Revenues</t>
  </si>
  <si>
    <t>P_0</t>
  </si>
  <si>
    <t>positive P0, X imply real decrease in price/ revenue constraint</t>
  </si>
  <si>
    <t>Revenue cap</t>
  </si>
  <si>
    <t>Other</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</si>
  <si>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</si>
  <si>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</si>
  <si>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</si>
  <si>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</si>
  <si>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</si>
  <si>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</si>
  <si>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Standing Charge</t>
  </si>
  <si>
    <t>Non TOU Energy</t>
  </si>
  <si>
    <t>Peak Energy BLK 1</t>
  </si>
  <si>
    <t>Peak Energy BLK 2</t>
  </si>
  <si>
    <t>Off Peak Energy BLK 1</t>
  </si>
  <si>
    <t>Off Peak Energy BLK 2</t>
  </si>
  <si>
    <t>Peak Demand BLK 1</t>
  </si>
  <si>
    <t>Peak Demand BLK 2</t>
  </si>
  <si>
    <t>Off Peak Demand BLK 1</t>
  </si>
  <si>
    <t>Off Peak Demand BLK 2</t>
  </si>
  <si>
    <t>Asset Class 21</t>
  </si>
  <si>
    <t>Asset Class 22</t>
  </si>
  <si>
    <t>Asset Class 23</t>
  </si>
  <si>
    <t>Asset Class 24</t>
  </si>
  <si>
    <t>Asset Class 25</t>
  </si>
  <si>
    <t>Asset Class 26</t>
  </si>
  <si>
    <t>Asset Class 27</t>
  </si>
  <si>
    <t>Asset Class 28</t>
  </si>
  <si>
    <t>Asset Class 29</t>
  </si>
  <si>
    <t>Asset Class 30</t>
  </si>
  <si>
    <t xml:space="preserve"> - Pre-tax Income</t>
  </si>
  <si>
    <t>n/a</t>
  </si>
  <si>
    <t>Length of Regulatory Control Period (Year)</t>
  </si>
  <si>
    <t>Final decision checks</t>
  </si>
  <si>
    <t>Constant</t>
  </si>
  <si>
    <t>Re</t>
  </si>
  <si>
    <t>Rre</t>
  </si>
  <si>
    <t>Varying</t>
  </si>
  <si>
    <t>Corporate tax rate</t>
  </si>
  <si>
    <t>Time Varying WACC</t>
  </si>
  <si>
    <t>Time Varying Return on Debt</t>
  </si>
  <si>
    <t>Time Varying Nominal Vanilla WACC</t>
  </si>
  <si>
    <t>Cumulative Discount Factor</t>
  </si>
  <si>
    <t>Inverse Cumulative Discount Factor</t>
  </si>
  <si>
    <t>Annual Building Blocks ($m Nominal)</t>
  </si>
  <si>
    <t>This column contains calculations that presume a constant WACC. They are therefore to be used at the start of the regulatory period (prior to any annual debt updates).</t>
  </si>
  <si>
    <t>At the start of the regulatory control period, use this button to copy across the cashflow-calculated Te and Td.</t>
  </si>
  <si>
    <t>Cash flow to debt before Tax calculation</t>
  </si>
  <si>
    <t xml:space="preserve"> Introduction</t>
  </si>
  <si>
    <t>Note that year 5 quantities are transferred from the table above as a reference point</t>
  </si>
  <si>
    <t>X_02</t>
  </si>
  <si>
    <t>X_03</t>
  </si>
  <si>
    <t>X_04</t>
  </si>
  <si>
    <t>X_05</t>
  </si>
  <si>
    <t>X_06</t>
  </si>
  <si>
    <t>X_07</t>
  </si>
  <si>
    <t>X_08</t>
  </si>
  <si>
    <t>X_09</t>
  </si>
  <si>
    <t>X_10</t>
  </si>
  <si>
    <t>If the regulatory control period is longer than 5 years, expand this section to input forecast sales quantities for years 6 through to 10.</t>
  </si>
  <si>
    <t>RAB and Capex ($m Nominal)</t>
  </si>
  <si>
    <t>Opening RAB</t>
  </si>
  <si>
    <t>Capex Rate</t>
  </si>
  <si>
    <t>Dividend Assessment ($m Nominal)</t>
  </si>
  <si>
    <t>Dividends</t>
  </si>
  <si>
    <t>Dividend Reinvestment</t>
  </si>
  <si>
    <t>Benchmark Cash Flows ($m Nominal)</t>
  </si>
  <si>
    <t>Revenue (smoothed)</t>
  </si>
  <si>
    <t>Opex</t>
  </si>
  <si>
    <t>Interest Payment</t>
  </si>
  <si>
    <t>Internal Cash Flow</t>
  </si>
  <si>
    <t>Retained Cash Flow (excl. dividend reinvestment)</t>
  </si>
  <si>
    <t>Benchmark Capex Funding ($m Nominal)</t>
  </si>
  <si>
    <t>Capex Funding Requirement</t>
  </si>
  <si>
    <t>Debt Component</t>
  </si>
  <si>
    <t>Equity Component</t>
  </si>
  <si>
    <t>Equity Requirement (SEO)</t>
  </si>
  <si>
    <t>Equity Requirement</t>
  </si>
  <si>
    <t>Dividend Reinvestment Plan Requirement</t>
  </si>
  <si>
    <t>External Equity (SEO) Requirement</t>
  </si>
  <si>
    <t>Total Equity Requirement</t>
  </si>
  <si>
    <t>SEO</t>
  </si>
  <si>
    <t>DRPC</t>
  </si>
  <si>
    <t>Dividend Reinvestment Plan Take Up</t>
  </si>
  <si>
    <t>DRPT</t>
  </si>
  <si>
    <t>DRC</t>
  </si>
  <si>
    <t>Weighted average price cap</t>
  </si>
  <si>
    <t>Revenue yield cap</t>
  </si>
  <si>
    <t>Equity raising costs</t>
  </si>
  <si>
    <t>Imputation Credit Payout Ratio</t>
  </si>
  <si>
    <t>Post-tax Real Return on Equity</t>
  </si>
  <si>
    <t>Formula approximations of WACC</t>
  </si>
  <si>
    <t>Cashflow derivations of WACC</t>
  </si>
  <si>
    <t>First year difference ($m)</t>
  </si>
  <si>
    <t>NPV (unsmoothed)</t>
  </si>
  <si>
    <t>First year difference (%)</t>
  </si>
  <si>
    <t>NPV (smoothed)</t>
  </si>
  <si>
    <t>NPV difference (smoothed vs unsmoothed)</t>
  </si>
  <si>
    <t>Final year difference ($m)</t>
  </si>
  <si>
    <t>Final year difference (%)</t>
  </si>
  <si>
    <t>Base Regulatory Year</t>
  </si>
  <si>
    <t>Revenue Cap</t>
  </si>
  <si>
    <t>Revenue Yield</t>
  </si>
  <si>
    <t>X factors</t>
  </si>
  <si>
    <t>Trailing Average Portfolio Return on Debt</t>
  </si>
  <si>
    <t>Nominal Pre-tax Return on Debt</t>
  </si>
  <si>
    <t>Real Pre-tax Return on Debt</t>
  </si>
  <si>
    <t>γ</t>
  </si>
  <si>
    <t>Average yearly change</t>
  </si>
  <si>
    <t>Total cumulative change</t>
  </si>
  <si>
    <t>_WAPC</t>
  </si>
  <si>
    <t>_RevCap</t>
  </si>
  <si>
    <t>_RevYld</t>
  </si>
  <si>
    <t>Form of control options (VBA)</t>
  </si>
  <si>
    <t>ERC options (text)</t>
  </si>
  <si>
    <t>Update_ERC</t>
  </si>
  <si>
    <t>Ignore_ERC</t>
  </si>
  <si>
    <t>Select form of control for ERC calculation</t>
  </si>
  <si>
    <t>Reverse lookup text (text)</t>
  </si>
  <si>
    <t>Cautions</t>
  </si>
  <si>
    <t>Discount Rates</t>
  </si>
  <si>
    <t>The "Default Smooth" option will set year 1 smoothed revenue equal to year 1 unsmoothed revenue, and then determine the constant X factor for all remaining years so that total NPV(smoothed) = NPV (unsmoothed)</t>
  </si>
  <si>
    <t>Revenue Adjustments</t>
  </si>
  <si>
    <t>Unsmoothed - Annual Revenue Requirement</t>
  </si>
  <si>
    <t>Annual Revenue Requirement (unsmoothed)</t>
  </si>
  <si>
    <t>Operating Expenditure</t>
  </si>
  <si>
    <t>Net Tax Allowance</t>
  </si>
  <si>
    <t>The buttons below each row of X factors will smooth total revenue, while also iteratively updating equity raising costs.</t>
  </si>
  <si>
    <t>update ERC when smoothing (default)</t>
  </si>
  <si>
    <t>do NOT update ERC when smoothing</t>
  </si>
  <si>
    <t>If you do not intend to update equity raising costs, use this drop down menu:</t>
  </si>
  <si>
    <t>Value of Imputation Credits (gamma)</t>
  </si>
  <si>
    <t>Forecast Sales Quantities (Years 1-5, including final year of previous regulatory control period)</t>
  </si>
  <si>
    <t>Forecast Sales Quantities (Years 6-10)</t>
  </si>
  <si>
    <t>Instructions and Warnings</t>
  </si>
  <si>
    <t>Cumulative Discount Rate</t>
  </si>
  <si>
    <t>X Factors</t>
  </si>
  <si>
    <t>Revenue Yield ($/MWh)</t>
  </si>
  <si>
    <t>Forecast Energy Throughput (MWh)</t>
  </si>
  <si>
    <t>Weighted Average Price Cap</t>
  </si>
  <si>
    <t>Expected Revenue (smoothed)</t>
  </si>
  <si>
    <t>Price Path Analysis ($ Nominal)</t>
  </si>
  <si>
    <t>Revenue Smoothing ($m Nominal)</t>
  </si>
  <si>
    <t>Total Revenue</t>
  </si>
  <si>
    <t>Forecast Sales Quantities</t>
  </si>
  <si>
    <t>Forecast Prices</t>
  </si>
  <si>
    <t>Tariff Quantities</t>
  </si>
  <si>
    <t>Forecast Revenues ($ Nominal)</t>
  </si>
  <si>
    <t>Total Forecast Revenues ($ Nominal)</t>
  </si>
  <si>
    <t>Smoothed - Expected Revenue</t>
  </si>
  <si>
    <t>Debt and Equity Raising Costs – Transaction Costs (per cent)</t>
  </si>
  <si>
    <t>Summary of Asset Roll Forward ($m Nominal)</t>
  </si>
  <si>
    <t>Net Capex</t>
  </si>
  <si>
    <t>Straight-line Depreciation</t>
  </si>
  <si>
    <t>Closing RAB</t>
  </si>
  <si>
    <t>Nominal Net Capex</t>
  </si>
  <si>
    <t>Opening Regulatory Asset Base (RAB)</t>
  </si>
  <si>
    <t>Real Net Capital Expenditure (capex)</t>
  </si>
  <si>
    <t>Check</t>
  </si>
  <si>
    <t>In almost all cases, this should be the same form of control as used to smooth on the X factor tab</t>
  </si>
  <si>
    <t>ERC_options (VBA)</t>
  </si>
  <si>
    <t>Post-Tax Revenue Model</t>
  </si>
  <si>
    <t>Clause 6.2.6 requires that the form of control applicable to standard control services be of a CPI–X form.</t>
  </si>
  <si>
    <t>All forms of control (Weighted Average Price Cap, Revenue Cap, Revenue Yield)</t>
  </si>
  <si>
    <t>Electricity Distribution Network Service Provider</t>
  </si>
  <si>
    <t>Electricity Distribution Module</t>
  </si>
  <si>
    <t>Nominal Vanilla WACC (varying)</t>
  </si>
  <si>
    <t>Inflation Assumption (CPI % increase) (constant)</t>
  </si>
  <si>
    <t>Return of Capital (regulatory depreciation)</t>
  </si>
  <si>
    <t>Building Block Components ($m, Nominal)</t>
  </si>
  <si>
    <t>Price Cap Calculation ($m, Nominal)</t>
  </si>
  <si>
    <t>Revenue Cap Calculation ($m, Nominal)</t>
  </si>
  <si>
    <t>Revenue Yield/Average Revenue Cap Calculation ($m, Nominal)</t>
  </si>
  <si>
    <t>Annual Percentage Impact on Revenues</t>
  </si>
  <si>
    <t>Annual Percentage Impact on Prices</t>
  </si>
  <si>
    <t>Building Block Components ($m Nominal)</t>
  </si>
  <si>
    <t>The trailing average portfolio return on debt must be entered up to the year of update (ie. year 1 at the final decision, year 2 in the first annual update etc). Future years can be left blank.</t>
  </si>
  <si>
    <t>Hence, it should only be used at the start of the regulatory control period - adjust the X factor for individual years when updating the return on debt within a period</t>
  </si>
  <si>
    <t>Select year of update for annual return on debt</t>
  </si>
  <si>
    <t>Version:</t>
  </si>
  <si>
    <t>Date:</t>
  </si>
  <si>
    <t>Description</t>
  </si>
  <si>
    <t>Capex in year</t>
  </si>
  <si>
    <t>Post-tax Nominal Return on Equity</t>
  </si>
  <si>
    <t>Entity details</t>
  </si>
  <si>
    <t>Trading name</t>
  </si>
  <si>
    <t>ACN / ABN</t>
  </si>
  <si>
    <t>Business address</t>
  </si>
  <si>
    <t>Address 1</t>
  </si>
  <si>
    <t>Address 2</t>
  </si>
  <si>
    <t>Suburb</t>
  </si>
  <si>
    <t>State</t>
  </si>
  <si>
    <t>Postal address</t>
  </si>
  <si>
    <t>Contact name/s</t>
  </si>
  <si>
    <t>Contact phone/s</t>
  </si>
  <si>
    <t>Contact email address/s</t>
  </si>
  <si>
    <t>Forthcoming regulatory control period</t>
  </si>
  <si>
    <t>Current regulatory control period</t>
  </si>
  <si>
    <t>Previous regulatory control period</t>
  </si>
  <si>
    <t>Sector</t>
  </si>
  <si>
    <t>Electricity</t>
  </si>
  <si>
    <t>Segment</t>
  </si>
  <si>
    <t>Distribution</t>
  </si>
  <si>
    <t>Source</t>
  </si>
  <si>
    <t>Regulatory proposal</t>
  </si>
  <si>
    <t>Regulatory Year Ending</t>
  </si>
  <si>
    <t>Reporting Period Type</t>
  </si>
  <si>
    <t>PTRM</t>
  </si>
  <si>
    <t>Security Classification</t>
  </si>
  <si>
    <t>Postcode</t>
  </si>
  <si>
    <t>Business short name</t>
  </si>
  <si>
    <t>Some rows are hidden. To facilitate the automatic import, please do not delete or add rows on this sheet.</t>
  </si>
  <si>
    <t>Regulatory process details</t>
  </si>
  <si>
    <t>Form of control</t>
  </si>
  <si>
    <t>Amended model submission - reason</t>
  </si>
  <si>
    <t>Bob Smith</t>
  </si>
  <si>
    <t>Julie Lee</t>
  </si>
  <si>
    <t>Total Adjustments</t>
  </si>
  <si>
    <t>Tax income?</t>
  </si>
  <si>
    <t>Tax Expense?</t>
  </si>
  <si>
    <t>Yes</t>
  </si>
  <si>
    <t>No</t>
  </si>
  <si>
    <t>Revenue Subtotal</t>
  </si>
  <si>
    <t>Additional Tax Income calculations</t>
  </si>
  <si>
    <t>Revenue For Tax Assessment Subtotal</t>
  </si>
  <si>
    <t xml:space="preserve"> - Add Customer Contributions</t>
  </si>
  <si>
    <t xml:space="preserve"> - Tax expense revenue adjustments</t>
  </si>
  <si>
    <t xml:space="preserve">Revenue Adjustments </t>
  </si>
  <si>
    <t>Nominal Cash Flow to Equity Holders (excluding revenue adjustments)</t>
  </si>
  <si>
    <t xml:space="preserve"> - Deduct Non-Tax Income Revenue Adjustments</t>
  </si>
  <si>
    <t>Revenue Subtotal (excluding revenue adjustments)</t>
  </si>
  <si>
    <t>Imputation credit value (excluding revenue adjustments)</t>
  </si>
  <si>
    <t>Taxable income (excluding revenue adjustments)</t>
  </si>
  <si>
    <t>Tax payable (excluding revenue adjustments)</t>
  </si>
  <si>
    <t>Tax loss carried forward (excluding revenue adjustments)</t>
  </si>
  <si>
    <t>Taxable income before loss carried forward (excluding revenue adjustments)</t>
  </si>
  <si>
    <t>Restatement of figures above</t>
  </si>
  <si>
    <t>Net Cash Flow to Debt (excluding revenue adjustments)</t>
  </si>
  <si>
    <t>Real Cash Flow to Equity (excluding revenue adjustments)</t>
  </si>
  <si>
    <t>123 Straight Street</t>
  </si>
  <si>
    <t>Sydney</t>
  </si>
  <si>
    <t>NSW</t>
  </si>
  <si>
    <t>PO Box 123</t>
  </si>
  <si>
    <t>Consolidated</t>
  </si>
  <si>
    <t>Public</t>
  </si>
  <si>
    <t>Shared asset decrements as per NER 6.4.3(a)(6A) &amp; 6.4.4</t>
  </si>
  <si>
    <t>Control period carryover as per NER 6.4.3(a)(6) &amp; 6.4.3(b)(6)</t>
  </si>
  <si>
    <t>Tax</t>
  </si>
  <si>
    <t>Tax Loss Carried Forward From Previous Period</t>
  </si>
  <si>
    <t>ICPR</t>
  </si>
  <si>
    <t>Opening TAB</t>
  </si>
  <si>
    <t>Net Capex (without cap cons)</t>
  </si>
  <si>
    <t>Capital contributions</t>
  </si>
  <si>
    <t>Closing TAB</t>
  </si>
  <si>
    <t xml:space="preserve"> This option affects which cautions are displayed (shown in this section, the sections below and on the input page) and the import into DMS.</t>
  </si>
  <si>
    <t>Aus Elec</t>
  </si>
  <si>
    <t>%</t>
  </si>
  <si>
    <t>$/MWh</t>
  </si>
  <si>
    <t>GWh</t>
  </si>
  <si>
    <t>Forecast Energy</t>
  </si>
  <si>
    <t>Expected Revenue</t>
  </si>
  <si>
    <t>Price Path</t>
  </si>
  <si>
    <t>$m Nominal</t>
  </si>
  <si>
    <t>$m Real</t>
  </si>
  <si>
    <t>Expected Corporate Tax Rate</t>
  </si>
  <si>
    <t>Revenue yield</t>
  </si>
  <si>
    <t>Maximum Allowed Revenue</t>
  </si>
  <si>
    <t>January 2015</t>
  </si>
  <si>
    <t>The full PTRM handbook is available on the AER website at http://www.aer.gov.au/node/27616</t>
  </si>
  <si>
    <t>1. Prior to the commencement of the regulatory control period</t>
  </si>
  <si>
    <t xml:space="preserve">1a. Fill out input cells on the 'DMS Input' sheet. These input cells are highlighted blue. </t>
  </si>
  <si>
    <t>This information also controls the automatic import of the PTRM into the AER's Data Management System (DMS).</t>
  </si>
  <si>
    <t xml:space="preserve">1b. Fill out input cells on the 'PTRM Input' sheet. These input cells are highlighted blue. </t>
  </si>
  <si>
    <t>In general, input expenditure data should be valued in real dollar terms of the year indicated, as at the end of that year.</t>
  </si>
  <si>
    <t>Units and basis for entry are specified where required for each data table.</t>
  </si>
  <si>
    <t>Review any cautions (which are generated based on data entered) before continuing.</t>
  </si>
  <si>
    <t>This sheet provides input cells for each X factor and contains macro buttons which should be used to goal seek an X factor value for a specific year to equate the NPVs of smoothed and unsmoothed revenues.</t>
  </si>
  <si>
    <t>2. Within the regulatory control period when updating the annual return on debt</t>
  </si>
  <si>
    <t xml:space="preserve">2a. Update input cells on the 'DMS Input' sheet. These input cells are highlighted blue. </t>
  </si>
  <si>
    <t>Check that the contact details are still current and describe the new amendment.</t>
  </si>
  <si>
    <t xml:space="preserve">2b. Update input cells on the 'PTRM Input' sheet. These input cells are highlighted blue. </t>
  </si>
  <si>
    <t>The basis for updating the annual return on debt will be in accordance with the relevant regulatory decision prior to the commencement of the period.</t>
  </si>
  <si>
    <t xml:space="preserve">Indicate the year of the annual debt update (cell F21) to ensure the correct content-sensitive cautions are displayed. </t>
  </si>
  <si>
    <t>Enter new X factors for this year (and potentially later years within the regulatory control period) in order to equate the NPVs of smoothed and unsmoothed revenues.</t>
  </si>
  <si>
    <t>The macro buttons should be used to goal seek the X factor for these specific years.</t>
  </si>
  <si>
    <t>Note that X factors for earlier years within the regulatory control period should not be changed.</t>
  </si>
  <si>
    <t>Version</t>
  </si>
  <si>
    <t>Date</t>
  </si>
  <si>
    <t>Explicitly recognised revenue adjustments in building block calculations</t>
  </si>
  <si>
    <t xml:space="preserve">Revised and expanded summary tables and reporting </t>
  </si>
  <si>
    <t>Standardised many elements with transmission PTRM</t>
  </si>
  <si>
    <t>June 2008</t>
  </si>
  <si>
    <t>June 2009</t>
  </si>
  <si>
    <t>Various non-consequential errors corrected</t>
  </si>
  <si>
    <t>Incorporated equity raising cost calculations into automatic smoothing process</t>
  </si>
  <si>
    <r>
      <t xml:space="preserve">In general, the only row that should be changed is the </t>
    </r>
    <r>
      <rPr>
        <i/>
        <sz val="10"/>
        <rFont val="Arial"/>
        <family val="2"/>
      </rPr>
      <t>Trailing Average Portfolio Return on Debt</t>
    </r>
    <r>
      <rPr>
        <sz val="10"/>
        <rFont val="Arial"/>
        <family val="2"/>
      </rPr>
      <t xml:space="preserve"> (row 222).</t>
    </r>
  </si>
  <si>
    <t>Initial model, based on transmission PTRM</t>
  </si>
  <si>
    <t>Enabled automatic import into AER DMS</t>
  </si>
  <si>
    <t>VERSION RECORD</t>
  </si>
  <si>
    <t>EBSS increments as per NER 6.4.3(a)(5) &amp; 6.5.8</t>
  </si>
  <si>
    <t>CESS increments as per NER 6.4.3(a)(5) &amp; 6.5.8A</t>
  </si>
  <si>
    <t>Total Equity Raising Costs</t>
  </si>
  <si>
    <t>Debt Raising Costs</t>
  </si>
  <si>
    <t>Subsequent Equity Raising Costs</t>
  </si>
  <si>
    <t>Dividend Reinvestment Plan Costs</t>
  </si>
  <si>
    <t>External Equity Raising (SEO) Costs</t>
  </si>
  <si>
    <t>This provides information on the service provider submitting the PTRM and the context for the PTRM preparation.</t>
  </si>
  <si>
    <t>RAB roll forward</t>
  </si>
  <si>
    <t>TAB roll forward</t>
  </si>
  <si>
    <t>bob@auselec.net.au</t>
  </si>
  <si>
    <t>julie@auselec.net.au</t>
  </si>
  <si>
    <t>Throughout the rest of the workbook, defined name ranges are used to identify data that is imported into the DMS.</t>
  </si>
  <si>
    <t>This sheet requests information that allows the AER to automatically import the PTRM into our data management system (DMS).</t>
  </si>
  <si>
    <t>This sheet's metadata relates to the business and context for the PTRM (rather than the PTRM itself).</t>
  </si>
  <si>
    <t>Some of this data is automatically populated based on data entered on the PTRM input sheet. Only change blue input cells.</t>
  </si>
  <si>
    <t>This provides the data for the PTRM calculations.</t>
  </si>
  <si>
    <t>The X factor values may differ for each year of the regulatory control period but must be set such that the NPV of annual expected revenues (smoothed) is equal to the NPV of the annual revenue requirements (unsmoothed) for that period.</t>
  </si>
  <si>
    <t>1c. Determine the expected revenue (smoothed revenue) using the 'X factors' sheet</t>
  </si>
  <si>
    <t>2c. Determine the expected revenue (smoothed revenue) using the 'X factors' sheet</t>
  </si>
  <si>
    <t>Allowed time-varying return on debt, and revenue revisions for annual return on debt update</t>
  </si>
  <si>
    <t>Effective Tax Rate for Debt (effective debt shield)</t>
  </si>
  <si>
    <t>Effective Tax Rate for Equity (from relevant cashflows)</t>
  </si>
  <si>
    <t xml:space="preserve">However, these calculations presume a constant WACC so Te/Td should not be updated during a regulatory control period </t>
  </si>
  <si>
    <t>when annually updating the return on debt - just use the same Te/Td from the final decision.</t>
  </si>
  <si>
    <t>Asset Values ($m Nominal)</t>
  </si>
  <si>
    <t>Tax Values ($m Nominal)</t>
  </si>
  <si>
    <t>Analysis Including Revenue Adjustments</t>
  </si>
  <si>
    <t>Analysis Excluding Revenue Adjustments (check target WACC is met)</t>
  </si>
  <si>
    <t>Return on Equity - Individual Years</t>
  </si>
  <si>
    <t>Return on Equity - Regulatory Control Period</t>
  </si>
  <si>
    <t>Building Block Total</t>
  </si>
  <si>
    <t>Summary for Generation of Graphs</t>
  </si>
  <si>
    <t>PV for End of Period Assets</t>
  </si>
  <si>
    <t>Total Adjustments Included as Tax Income</t>
  </si>
  <si>
    <t>Total Adjustments Included as Non-tax Income</t>
  </si>
  <si>
    <t>Total Adjustments Included as Tax Expense</t>
  </si>
  <si>
    <t>Total Adjustments Included as Non-tax Expense</t>
  </si>
  <si>
    <t>2016-17</t>
  </si>
  <si>
    <t>BUSINESS &amp; OTHER DETAILS</t>
  </si>
  <si>
    <t>Instructions</t>
  </si>
  <si>
    <t>SUBMISSION PARTICULARS INPUT SHEETS</t>
  </si>
  <si>
    <t>CA</t>
  </si>
  <si>
    <t>CATEGORY ANALYSIS</t>
  </si>
  <si>
    <t>REGULATORY REPORTING STATEMENT</t>
  </si>
  <si>
    <t>CPI</t>
  </si>
  <si>
    <t>EB</t>
  </si>
  <si>
    <t>ECONOMIC BENCHMARKING</t>
  </si>
  <si>
    <t>POST TAX REVENUE MODEL</t>
  </si>
  <si>
    <t>Reset</t>
  </si>
  <si>
    <t>RFM</t>
  </si>
  <si>
    <t>ROLL FORWARD MODEL</t>
  </si>
  <si>
    <t>WACC</t>
  </si>
  <si>
    <t>WEIGHTED AVERAGE COST OF CAPITAL</t>
  </si>
  <si>
    <t>p/code</t>
  </si>
  <si>
    <t>ActewAGL Distribution</t>
  </si>
  <si>
    <t>Ausgrid</t>
  </si>
  <si>
    <t>AusNet (D)</t>
  </si>
  <si>
    <t>AusNet (T)</t>
  </si>
  <si>
    <t>Endeavour Energy</t>
  </si>
  <si>
    <t>Energex</t>
  </si>
  <si>
    <t>Ergon Energy</t>
  </si>
  <si>
    <t>Essential Energy</t>
  </si>
  <si>
    <t>Jemena Electricity</t>
  </si>
  <si>
    <t>Powercor Australia</t>
  </si>
  <si>
    <t>Powerlink</t>
  </si>
  <si>
    <t>SA Power Networks</t>
  </si>
  <si>
    <t>TasNetworks (D)</t>
  </si>
  <si>
    <t>TasNetworks (T)</t>
  </si>
  <si>
    <t>TransGrid</t>
  </si>
  <si>
    <t>United Energy</t>
  </si>
  <si>
    <t>Model or RIN Type</t>
  </si>
  <si>
    <t>Data quality (actual, estimate, public, consolidated)</t>
  </si>
  <si>
    <t>RIN response - version no.</t>
  </si>
  <si>
    <t>Amended RIN submission - amendment reason</t>
  </si>
  <si>
    <t>Template - version no.</t>
  </si>
  <si>
    <t>EBSS - First application of scheme in forthcoming period?</t>
  </si>
  <si>
    <t>Australian Transmission Co.</t>
  </si>
  <si>
    <t>dms_ABN_List</t>
  </si>
  <si>
    <t>dms_Sector_List</t>
  </si>
  <si>
    <t>dms_Segment_List</t>
  </si>
  <si>
    <t>dms_FormControl</t>
  </si>
  <si>
    <t>Gas</t>
  </si>
  <si>
    <t>Ausgrid (Tx Assets)</t>
  </si>
  <si>
    <t>Transmission</t>
  </si>
  <si>
    <t>Australian Distribution Co.</t>
  </si>
  <si>
    <t>Final decision</t>
  </si>
  <si>
    <t>Revised regulatory proposal</t>
  </si>
  <si>
    <t>After appeal</t>
  </si>
  <si>
    <t>Draft decision</t>
  </si>
  <si>
    <t>2015-16</t>
  </si>
  <si>
    <t>Directlink</t>
  </si>
  <si>
    <t>Murraylink</t>
  </si>
  <si>
    <t>ActewAGL Distribution (Tx Assets)</t>
  </si>
  <si>
    <t>dms_State_List</t>
  </si>
  <si>
    <t>ACT</t>
  </si>
  <si>
    <t>SA</t>
  </si>
  <si>
    <t>Vic</t>
  </si>
  <si>
    <t>Qld</t>
  </si>
  <si>
    <t>Tas</t>
  </si>
  <si>
    <t>dms_CRCPlength_List</t>
  </si>
  <si>
    <t>dms_FRCPlength_List</t>
  </si>
  <si>
    <t>dms_JurisdictionList</t>
  </si>
  <si>
    <t>-</t>
  </si>
  <si>
    <t>Jurisdiction</t>
  </si>
  <si>
    <t>Data in these columns used for data validation and database purposes.</t>
  </si>
  <si>
    <t>Intermediate tax calculation (excluding revenue adjustments)</t>
  </si>
  <si>
    <t>Date last modified:</t>
  </si>
  <si>
    <t>Feeder Types</t>
  </si>
  <si>
    <t>Feeder Names</t>
  </si>
  <si>
    <t>CBD</t>
  </si>
  <si>
    <t>Urban</t>
  </si>
  <si>
    <t>Short rural</t>
  </si>
  <si>
    <t>long rural</t>
  </si>
  <si>
    <t>EXTRA</t>
  </si>
  <si>
    <t>dms_TradingName_List</t>
  </si>
  <si>
    <t>dms_TradingNameFull_List</t>
  </si>
  <si>
    <t>dms_FormControl_List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</si>
  <si>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</si>
  <si>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</si>
  <si>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</si>
  <si>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</si>
  <si>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</si>
  <si>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</si>
  <si>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</si>
  <si>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</si>
  <si>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</si>
  <si>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</si>
  <si>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</si>
  <si>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</si>
  <si>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</si>
  <si>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dms_ContactName1_List</t>
  </si>
  <si>
    <t>dms_ContactPh1_List</t>
  </si>
  <si>
    <t>dms_ContactEmail_List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</si>
  <si>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</si>
  <si>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</si>
  <si>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</si>
  <si>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</si>
  <si>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</si>
  <si>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</si>
  <si>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</si>
  <si>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</si>
  <si>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</si>
  <si>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</si>
  <si>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</si>
  <si>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</si>
  <si>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2014-19 Distribution Determination</t>
  </si>
  <si>
    <t>40 Bunda Street</t>
  </si>
  <si>
    <t>CANBERRA</t>
  </si>
  <si>
    <t>2600</t>
  </si>
  <si>
    <t>GPO BOX 366</t>
  </si>
  <si>
    <t>Robert Walker</t>
  </si>
  <si>
    <t>02 6248 3847</t>
  </si>
  <si>
    <t>robert.walker@actewagle.com.au</t>
  </si>
  <si>
    <t>NO</t>
  </si>
  <si>
    <t>YES</t>
  </si>
  <si>
    <t>Long rural</t>
  </si>
  <si>
    <t>distribution determination</t>
  </si>
  <si>
    <t>ActewAGL Gas</t>
  </si>
  <si>
    <t>x</t>
  </si>
  <si>
    <t>Philip Deamer</t>
  </si>
  <si>
    <t>02 6248 3438</t>
  </si>
  <si>
    <t>GasAAReview@actewagl.com.au</t>
  </si>
  <si>
    <t>Amadeus</t>
  </si>
  <si>
    <t>APT Pipelines (NT) Pty Ltd</t>
  </si>
  <si>
    <t>NT</t>
  </si>
  <si>
    <t>Level 19, HSBC Building</t>
  </si>
  <si>
    <t>580 George Street</t>
  </si>
  <si>
    <t>SYDNEY</t>
  </si>
  <si>
    <t>2000</t>
  </si>
  <si>
    <t>Alexandra Curran</t>
  </si>
  <si>
    <t>02 9275 0020</t>
  </si>
  <si>
    <t>alexandra.curran@apa.com.au</t>
  </si>
  <si>
    <t>570 George St</t>
  </si>
  <si>
    <t>John Thomson</t>
  </si>
  <si>
    <t>(02) 9269 2312</t>
  </si>
  <si>
    <t>john.thomson@ausgrid.com.au</t>
  </si>
  <si>
    <t>AusNet Services (D)</t>
  </si>
  <si>
    <t>Calendar</t>
  </si>
  <si>
    <t>December</t>
  </si>
  <si>
    <t>2016-20 Distribution Determination</t>
  </si>
  <si>
    <t>Level 32</t>
  </si>
  <si>
    <t>2 Southbank Boulevard</t>
  </si>
  <si>
    <t>SOUTHBANK</t>
  </si>
  <si>
    <t>3006</t>
  </si>
  <si>
    <t>Locked Bag 14051</t>
  </si>
  <si>
    <t>MELBOURNE CITY MAIL CENTRE</t>
  </si>
  <si>
    <t>VIC</t>
  </si>
  <si>
    <t>Hannah Williams</t>
  </si>
  <si>
    <t>03 9683 4088</t>
  </si>
  <si>
    <t>hwilliams@powercor.com.au</t>
  </si>
  <si>
    <t>March</t>
  </si>
  <si>
    <t>transmission determination</t>
  </si>
  <si>
    <t>CitiPower</t>
  </si>
  <si>
    <t>40 Market Street</t>
  </si>
  <si>
    <t>MELBOURNE</t>
  </si>
  <si>
    <t>3000</t>
  </si>
  <si>
    <t>Locked Bag 14090</t>
  </si>
  <si>
    <t>ElectraNet</t>
  </si>
  <si>
    <t>52-55 East Terrace</t>
  </si>
  <si>
    <t>Rymill Park</t>
  </si>
  <si>
    <t>ADELAIDE</t>
  </si>
  <si>
    <t>5000</t>
  </si>
  <si>
    <t>PO Box 7096</t>
  </si>
  <si>
    <t>Hutt Street Post Office</t>
  </si>
  <si>
    <t>Bill Jackson</t>
  </si>
  <si>
    <t>08 8404 7969</t>
  </si>
  <si>
    <t>jackson.bill@electranet.com.au</t>
  </si>
  <si>
    <t>51 Huntingwood Drive</t>
  </si>
  <si>
    <t>HUNTINGWOOD</t>
  </si>
  <si>
    <t>2148</t>
  </si>
  <si>
    <t>PO Box 811</t>
  </si>
  <si>
    <t>SEVEN HILLS</t>
  </si>
  <si>
    <t>Jon Hocking</t>
  </si>
  <si>
    <t>02 9853 4386 / 0407 348 156</t>
  </si>
  <si>
    <t>Jon.Hocking@Endeavourenergy.com.au</t>
  </si>
  <si>
    <t>2015-20 Distribution Determination</t>
  </si>
  <si>
    <t>26 Reddacliff Street</t>
  </si>
  <si>
    <t>NEWSTEAD</t>
  </si>
  <si>
    <t>4006</t>
  </si>
  <si>
    <t>QLD</t>
  </si>
  <si>
    <t>Nicola Roscoe</t>
  </si>
  <si>
    <t>07 3664 5891</t>
  </si>
  <si>
    <t>nicolaroscoe@energex.com.au</t>
  </si>
  <si>
    <t>22 Walker Street</t>
  </si>
  <si>
    <t>TOWNSVILLE</t>
  </si>
  <si>
    <t>4810</t>
  </si>
  <si>
    <t>Po Box 264</t>
  </si>
  <si>
    <t>FORTITUDE VALLEY</t>
  </si>
  <si>
    <t>Jenny Doyle, Group Manager Regulatory Affairs</t>
  </si>
  <si>
    <t>(07) 3851 6416</t>
  </si>
  <si>
    <t>jenny.doyle@ergon.com.au</t>
  </si>
  <si>
    <t>8 Buller Street</t>
  </si>
  <si>
    <t>PORT MACQUARIE</t>
  </si>
  <si>
    <t>PO Box 5730</t>
  </si>
  <si>
    <t>Catherine Waddell</t>
  </si>
  <si>
    <t>02 6338 3553</t>
  </si>
  <si>
    <t>catherine.waddell@essentialenergy.com.au</t>
  </si>
  <si>
    <t>Level 16</t>
  </si>
  <si>
    <t>567 Collins Street</t>
  </si>
  <si>
    <t>PO Box 16182</t>
  </si>
  <si>
    <t>Robert McMillan</t>
  </si>
  <si>
    <t>03 9173 7000</t>
  </si>
  <si>
    <t>robert.mcmillan@jemena.com.au</t>
  </si>
  <si>
    <t>Locked bag 14090</t>
  </si>
  <si>
    <t>Queensland Electricity Transmission Corporation Limited trading as Powerlink Queensland</t>
  </si>
  <si>
    <t>33 Harold St</t>
  </si>
  <si>
    <t>VIRGINIA</t>
  </si>
  <si>
    <t>4014</t>
  </si>
  <si>
    <t>PO Box 1193</t>
  </si>
  <si>
    <t>Jennifer Harris</t>
  </si>
  <si>
    <t>07 3860 2667</t>
  </si>
  <si>
    <t>jharris@powerlink.com.au</t>
  </si>
  <si>
    <t>Roma to Brisbane Pipeline</t>
  </si>
  <si>
    <t>APT Petroleum Pipelines Limited t/a Roma to Brisbane Pipeline</t>
  </si>
  <si>
    <t>009 737 393</t>
  </si>
  <si>
    <t>1 Anzac Highway</t>
  </si>
  <si>
    <t>KESWICK</t>
  </si>
  <si>
    <t>5035</t>
  </si>
  <si>
    <t>GPO Box 77</t>
  </si>
  <si>
    <t>Damien O'Connor</t>
  </si>
  <si>
    <t>08 8404 5066</t>
  </si>
  <si>
    <t>damien.oconnor@sapowernetworks.com.au</t>
  </si>
  <si>
    <t>21 Kirksway Place</t>
  </si>
  <si>
    <t>HOBART</t>
  </si>
  <si>
    <t>7000</t>
  </si>
  <si>
    <t>GPO Box 191</t>
  </si>
  <si>
    <t>Leigh Mayne</t>
  </si>
  <si>
    <t>03 6270 3691</t>
  </si>
  <si>
    <t>rrp2012@auroraenergy.com.au</t>
  </si>
  <si>
    <t>Critical Infrastructure</t>
  </si>
  <si>
    <t>High density commercial</t>
  </si>
  <si>
    <t>High density rural</t>
  </si>
  <si>
    <t>Low density rural</t>
  </si>
  <si>
    <t>1-7 Maria Street</t>
  </si>
  <si>
    <t>LENAH VALLEY</t>
  </si>
  <si>
    <t>7008</t>
  </si>
  <si>
    <t>PO Box 606</t>
  </si>
  <si>
    <t>MOONAH</t>
  </si>
  <si>
    <t>Heath Dillon</t>
  </si>
  <si>
    <t>03 6274 3664</t>
  </si>
  <si>
    <t>heath.dillon@transend.com.au</t>
  </si>
  <si>
    <t>180 Thomas Street</t>
  </si>
  <si>
    <t>PO Box A1000</t>
  </si>
  <si>
    <t>SYDNEY SOUTH</t>
  </si>
  <si>
    <t>Level 3</t>
  </si>
  <si>
    <t>6 Nexus Court</t>
  </si>
  <si>
    <t>MULGRAVE</t>
  </si>
  <si>
    <t>3149</t>
  </si>
  <si>
    <t>PO Box 449</t>
  </si>
  <si>
    <t>MOUNT WAVERLEY</t>
  </si>
  <si>
    <t>Mathew Abraham</t>
  </si>
  <si>
    <t>03 8846 9758</t>
  </si>
  <si>
    <t>mathew.abraham@ue.com.au</t>
  </si>
  <si>
    <t>Western Power (D)</t>
  </si>
  <si>
    <t>WA</t>
  </si>
  <si>
    <t>Judy Hunter</t>
  </si>
  <si>
    <t>08 9326 6239</t>
  </si>
  <si>
    <t>Western Power (T)</t>
  </si>
  <si>
    <t>for DNSP only</t>
  </si>
  <si>
    <t xml:space="preserve">dms_Model_List </t>
  </si>
  <si>
    <t>DELETE NR 'CRY' IF NOT AN ANNUAL RIN (EB, CA , ARR)</t>
  </si>
  <si>
    <t>dms_RYE_Formula_Result</t>
  </si>
  <si>
    <t>dms_0203_ProjectType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</si>
  <si>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</si>
  <si>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</si>
  <si>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</si>
  <si>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</si>
  <si>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</si>
  <si>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</si>
  <si>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</si>
  <si>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</si>
  <si>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</si>
  <si>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</si>
  <si>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</si>
  <si>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</si>
  <si>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</si>
  <si>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</si>
  <si>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ANNUAL REPORTING STATEMENT</t>
  </si>
  <si>
    <t>=LEFT(dms_SingleYear_FinalYear_Result,2)&amp;RIGHT(dms_SingleYear_FinalYear_Result,2)</t>
  </si>
  <si>
    <t>Formula errors are OK</t>
  </si>
  <si>
    <t>New line on new route - single circuit</t>
  </si>
  <si>
    <t>Circuit line length in km</t>
  </si>
  <si>
    <t>0's</t>
  </si>
  <si>
    <t>days</t>
  </si>
  <si>
    <t>minutes/customer</t>
  </si>
  <si>
    <t>Customer / km</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</si>
  <si>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</si>
  <si>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</si>
  <si>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</si>
  <si>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</si>
  <si>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</si>
  <si>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</si>
  <si>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</si>
  <si>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</si>
  <si>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</si>
  <si>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</si>
  <si>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=LEFT(dms_MultiYear_FinalYear_Result,2)&amp;RIGHT(dms_MultiYear_FinalYear_Result,2)</t>
  </si>
  <si>
    <t>Line rebuild over existing route - dual circuit</t>
  </si>
  <si>
    <t>Number</t>
  </si>
  <si>
    <t>total spend $0s</t>
  </si>
  <si>
    <t>(per cent)</t>
  </si>
  <si>
    <t>Reconductor - Single circuit</t>
  </si>
  <si>
    <t>net circuit km added</t>
  </si>
  <si>
    <t>Years</t>
  </si>
  <si>
    <t>=LEFT(dms_CRCP_FinalYear_Result,2)&amp;RIGHT(dms_CRCP_FinalYear_Result,2)</t>
  </si>
  <si>
    <t>Reconductor - Dual circuit</t>
  </si>
  <si>
    <t>Trees</t>
  </si>
  <si>
    <t>Defects</t>
  </si>
  <si>
    <t>Spans</t>
  </si>
  <si>
    <t/>
  </si>
  <si>
    <t>for TNSP only</t>
  </si>
  <si>
    <t>dms_SourceList</t>
  </si>
  <si>
    <t>dms_FormControl_Choices</t>
  </si>
  <si>
    <t>dms_FRCPlength_Num_List</t>
  </si>
  <si>
    <t>dms_FinalYear_List</t>
  </si>
  <si>
    <t>dms_CRCPlength_Num_List</t>
  </si>
  <si>
    <t>dms_CFinalYear_List</t>
  </si>
  <si>
    <t>dms_RCP_fyear_list</t>
  </si>
  <si>
    <t>dms_CRY_ListF</t>
  </si>
  <si>
    <t>dms_CRY_ListC</t>
  </si>
  <si>
    <t>dms_RCP_cyear_list</t>
  </si>
  <si>
    <t>CRCP_y1</t>
  </si>
  <si>
    <t>dms_fy1</t>
  </si>
  <si>
    <t>dms_cy1</t>
  </si>
  <si>
    <t>CRCP_y2</t>
  </si>
  <si>
    <t>dms_fy2</t>
  </si>
  <si>
    <t>2006-07</t>
  </si>
  <si>
    <t>dms_cy2</t>
  </si>
  <si>
    <t>number</t>
  </si>
  <si>
    <t>CRCP_y3</t>
  </si>
  <si>
    <t>dms_fy3</t>
  </si>
  <si>
    <t>2007-08</t>
  </si>
  <si>
    <t>2008</t>
  </si>
  <si>
    <t>dms_cy3</t>
  </si>
  <si>
    <t>CRCP_y4</t>
  </si>
  <si>
    <t>dms_fy4</t>
  </si>
  <si>
    <t>2008-09</t>
  </si>
  <si>
    <t>2009</t>
  </si>
  <si>
    <t>dms_cy4</t>
  </si>
  <si>
    <t>CRCP_y5</t>
  </si>
  <si>
    <t>dms_fy5</t>
  </si>
  <si>
    <t>2009-10</t>
  </si>
  <si>
    <t>2010</t>
  </si>
  <si>
    <t>dms_cy5</t>
  </si>
  <si>
    <t>CRCP_y6</t>
  </si>
  <si>
    <t>dms_fy6</t>
  </si>
  <si>
    <t>2010-11</t>
  </si>
  <si>
    <t>2011</t>
  </si>
  <si>
    <t>dms_cy6</t>
  </si>
  <si>
    <t>CRCP_y7</t>
  </si>
  <si>
    <t>dms_fy7</t>
  </si>
  <si>
    <t>2011-12</t>
  </si>
  <si>
    <t>2012</t>
  </si>
  <si>
    <t>dms_cy7</t>
  </si>
  <si>
    <t>CRCP_y8</t>
  </si>
  <si>
    <t>dms_fy8</t>
  </si>
  <si>
    <t>2012-13</t>
  </si>
  <si>
    <t>2013</t>
  </si>
  <si>
    <t>dms_cy8</t>
  </si>
  <si>
    <t>CRCP_y9</t>
  </si>
  <si>
    <t>dms_fy9</t>
  </si>
  <si>
    <t>2013-14</t>
  </si>
  <si>
    <t>2014</t>
  </si>
  <si>
    <t>dms_cy9</t>
  </si>
  <si>
    <t>CRCP_y10</t>
  </si>
  <si>
    <t>dms_fy10</t>
  </si>
  <si>
    <t>2014-15</t>
  </si>
  <si>
    <t>2015</t>
  </si>
  <si>
    <t>dms_cy10</t>
  </si>
  <si>
    <t>Reporting</t>
  </si>
  <si>
    <t>dms_fy11</t>
  </si>
  <si>
    <t>2016</t>
  </si>
  <si>
    <t>dms_cy11</t>
  </si>
  <si>
    <t>dms_fy12</t>
  </si>
  <si>
    <t>2017</t>
  </si>
  <si>
    <t>dms_cy12</t>
  </si>
  <si>
    <t>dms_FRCP_years</t>
  </si>
  <si>
    <t>dms_CRCP_years</t>
  </si>
  <si>
    <t>dms_CRCP_index</t>
  </si>
  <si>
    <t>dms_fy13</t>
  </si>
  <si>
    <t>2017-18</t>
  </si>
  <si>
    <t>2018</t>
  </si>
  <si>
    <t>dms_cy13</t>
  </si>
  <si>
    <t>dms_FRCP_y1</t>
  </si>
  <si>
    <t>dms_CRCP_yZ</t>
  </si>
  <si>
    <t>dms_fy14</t>
  </si>
  <si>
    <t>2018-19</t>
  </si>
  <si>
    <t>dms_cy14</t>
  </si>
  <si>
    <t>dms_FRCP_y2</t>
  </si>
  <si>
    <t>dms_CRCP_yY</t>
  </si>
  <si>
    <t>dms_fy15</t>
  </si>
  <si>
    <t>2019-20</t>
  </si>
  <si>
    <t>2020</t>
  </si>
  <si>
    <t>dms_cy15</t>
  </si>
  <si>
    <t>dms_DataQuality_List</t>
  </si>
  <si>
    <t>dms_FRCP_y3</t>
  </si>
  <si>
    <t>dms_CRCP_yX</t>
  </si>
  <si>
    <t>Actual</t>
  </si>
  <si>
    <t>dms_FRCP_y4</t>
  </si>
  <si>
    <t>dms_CRCP_yW</t>
  </si>
  <si>
    <t>Estimate</t>
  </si>
  <si>
    <t>dms_FRCP_y5</t>
  </si>
  <si>
    <t>dms_CRCP_yV</t>
  </si>
  <si>
    <t>dms_FRCP_y6</t>
  </si>
  <si>
    <t>dms_CRCP_yU</t>
  </si>
  <si>
    <t>Recast</t>
  </si>
  <si>
    <t>dms_FRCP_y7</t>
  </si>
  <si>
    <t>dms_CRCP_yT</t>
  </si>
  <si>
    <t>dms_FRCP_y8</t>
  </si>
  <si>
    <t>dms_CRCP_yS</t>
  </si>
  <si>
    <t>dms_FRCP_y9</t>
  </si>
  <si>
    <t>dms_CRCP_yR</t>
  </si>
  <si>
    <t>dms_FRCP_y10</t>
  </si>
  <si>
    <t>dms_CRCP_yQ</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</si>
  <si>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</si>
  <si>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</si>
  <si>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</si>
  <si>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</si>
  <si>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</si>
  <si>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</si>
  <si>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</si>
  <si>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</si>
  <si>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</si>
  <si>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</si>
  <si>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</si>
  <si>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</si>
  <si>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</si>
  <si>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</si>
  <si>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</si>
  <si>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</si>
  <si>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</si>
  <si>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</si>
  <si>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</si>
  <si>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</si>
  <si>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</si>
  <si>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</si>
  <si>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</si>
  <si>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</si>
  <si>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</si>
  <si>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</si>
  <si>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</si>
  <si>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</si>
  <si>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</si>
  <si>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</si>
  <si>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</si>
  <si>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</si>
  <si>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</si>
  <si>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</si>
  <si>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</si>
  <si>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</si>
  <si>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</si>
  <si>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</si>
  <si>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CRY</t>
  </si>
  <si>
    <t>APPLY NR 'CRY' IF AN ANNUAL RIN (EB, CA , ARR) - including multi year annual RINs eg. Recast CA. EB</t>
  </si>
  <si>
    <t>Please select the correct submission type from the dropdown list.</t>
  </si>
  <si>
    <t>Submission Date</t>
  </si>
  <si>
    <t>dd/mm/yyyy</t>
  </si>
  <si>
    <t>dms_SubmissionDate</t>
  </si>
  <si>
    <t>Please enter date this file submitted to AER (dd/mm/yyyy)</t>
  </si>
  <si>
    <t>dms_Sector</t>
  </si>
  <si>
    <t>=INDEX(dms_Sector_List,MATCH(dms_TradingName,dms_TradingName_List))</t>
  </si>
  <si>
    <t>dms_Segment</t>
  </si>
  <si>
    <t>=INDEX(dms_Segment_List,MATCH(dms_TradingName,dms_TradingName_List))</t>
  </si>
  <si>
    <t>dms_RYE</t>
  </si>
  <si>
    <t>=IF(dms_MultiYear_Flag=1,LEFT(dms_Specified_FinalYear,2)&amp;RIGHT(dms_Specified_FinalYear,2),INDEX(dms_RYE_Formula_Result,MATCH(dms_Model,dms_Model_List)))</t>
  </si>
  <si>
    <t>dms_RPT</t>
  </si>
  <si>
    <t>=INDEX(dms_RPT_List,MATCH(dms_TradingName,dms_TradingName_List))</t>
  </si>
  <si>
    <t>dms_Model</t>
  </si>
  <si>
    <t>Drop down selection</t>
  </si>
  <si>
    <t>dms_Classification</t>
  </si>
  <si>
    <t>Always Public</t>
  </si>
  <si>
    <t>dms_TemplateNumber</t>
  </si>
  <si>
    <t>Dollar $ real month</t>
  </si>
  <si>
    <t>dms_RPTMonth</t>
  </si>
  <si>
    <t>=INDEX(dms_RPTMonth_List,MATCH(dms_TradingName,dms_TradingName_List))</t>
  </si>
  <si>
    <t>Dollar $ real  (the last month before the FRCP_y1)</t>
  </si>
  <si>
    <t>dms_DollarReal</t>
  </si>
  <si>
    <t>=IF(SUM(dms_SingleYear_Model)&gt;0,CONCATENATE(dms_RPTMonth)&amp;" "&amp;VALUE((LEFT(CRY,2))&amp;RIGHT(CRY,2)),CONCATENATE(dms_RPTMonth)&amp;" "&amp;VALUE((LEFT(dms_CRCP_FinalYear_Result,2)&amp;RIGHT(dms_CRCP_FinalYear_Result,2))))</t>
  </si>
  <si>
    <t>=INDEX(dms_FormControl_List,MATCH(dms_TradingName,dms_TradingName_List))</t>
  </si>
  <si>
    <t>dms_RINversion</t>
  </si>
  <si>
    <t>dms_Jurisdiction</t>
  </si>
  <si>
    <t>=INDEX(dms_JurisdictionList,MATCH(dms_TradingName,dms_TradingName_List))</t>
  </si>
  <si>
    <t>Backcast Multiyear EB, CA or ARR?</t>
  </si>
  <si>
    <t>dms_MultiYear_Flag</t>
  </si>
  <si>
    <t>1=y, 0-n</t>
  </si>
  <si>
    <t>dms_Specified_FinalYear</t>
  </si>
  <si>
    <t>The result here is returned to dms_CRCP_FinalYear_Result if dms_MultiYear_Flag is set to 1</t>
  </si>
  <si>
    <t>Single Year Model T/F</t>
  </si>
  <si>
    <t>dms_EB</t>
  </si>
  <si>
    <t>dms_CA</t>
  </si>
  <si>
    <t>=dms_SingleYear_Model</t>
  </si>
  <si>
    <t>dms_ARR</t>
  </si>
  <si>
    <t>Single Year Final Year Reference</t>
  </si>
  <si>
    <t>dms_SingleYear_FinalYear_Ref</t>
  </si>
  <si>
    <t>This is the reference for EB, CA &amp; ARR RINs</t>
  </si>
  <si>
    <t>Single Year Final Year Result</t>
  </si>
  <si>
    <t>dms_SingleYear_FinalYear_Result</t>
  </si>
  <si>
    <t>=INDIRECT(dms_SingleYear_FinalYear_Ref)</t>
  </si>
  <si>
    <t>Formula errors OK</t>
  </si>
  <si>
    <t>FRCP length in years</t>
  </si>
  <si>
    <t>dms_FRCPlength_Num</t>
  </si>
  <si>
    <t>=INDEX(dms_FRCPlength_List,MATCH(dms_TradingName,dms_TradingName_List))</t>
  </si>
  <si>
    <t>Multi Year Final Year Reference</t>
  </si>
  <si>
    <t>dms_MultiYear_FinalYear_Ref</t>
  </si>
  <si>
    <t>=INDEX(dms_FinalYear_List,MATCH(dms_FRCPlength_Num,dms_FRCPlength_Num_List))</t>
  </si>
  <si>
    <t>Multi Year Final Year Result</t>
  </si>
  <si>
    <t>dms_MultiYear_FinalYear_Result</t>
  </si>
  <si>
    <t>=IF(dms_MultiYear_Flag=0,INDIRECT(dms_MultiYear_FinalYear_Ref),dms_Specified_FinalYear)</t>
  </si>
  <si>
    <t>CRCP length in years</t>
  </si>
  <si>
    <t>dms_CRCPlength_Num</t>
  </si>
  <si>
    <t>=INDEX(dms_CRCPlength_List,MATCH(dms_TradingName,dms_TradingName_List))</t>
  </si>
  <si>
    <t>CRCP Final Year Reference</t>
  </si>
  <si>
    <t>dms_CRCP_FinalYear_Ref</t>
  </si>
  <si>
    <t>=INDEX(dms_CFinalYear_List,MATCH(dms_CRCPlength_Num,dms_CRCPlength_Num_List))</t>
  </si>
  <si>
    <t>CRCP First Year Result</t>
  </si>
  <si>
    <t>dms_CRCP_FirstYear_Result</t>
  </si>
  <si>
    <t>=INDEX(dms_CRCP_years,MATCH(dms_CRCPlength_Num,dms_CRCP_index))</t>
  </si>
  <si>
    <t>CRCP Final Year Result</t>
  </si>
  <si>
    <t>dms_CRCP_FinalYear_Result</t>
  </si>
  <si>
    <t>=IF(dms_MultiYear_Flag=0,(IF(SUM(dms_SingleYear_Model)&gt;0,CRY,dms_CRCP_yZ)),dms_Specified_FinalYear)</t>
  </si>
  <si>
    <t>Table 6.6.3 - Public lighting repair - no. business days</t>
  </si>
  <si>
    <t>dms_663</t>
  </si>
  <si>
    <t>Distribution Determination Reference</t>
  </si>
  <si>
    <t xml:space="preserve">Backcast templates only - unit of measure </t>
  </si>
  <si>
    <t>dms_Backcast_UOM</t>
  </si>
  <si>
    <r>
      <t xml:space="preserve">If the cover sheet is for </t>
    </r>
    <r>
      <rPr>
        <b/>
        <sz val="11"/>
        <color theme="5" tint="-0.249977111117893"/>
        <rFont val="Arial"/>
        <family val="2"/>
      </rPr>
      <t>Backcast</t>
    </r>
    <r>
      <rPr>
        <sz val="11"/>
        <color theme="5" tint="-0.249977111117893"/>
        <rFont val="Arial"/>
        <family val="2"/>
      </rPr>
      <t xml:space="preserve"> data ensure to apply </t>
    </r>
    <r>
      <rPr>
        <b/>
        <sz val="11"/>
        <color theme="5" tint="-0.249977111117893"/>
        <rFont val="Arial"/>
        <family val="2"/>
      </rPr>
      <t xml:space="preserve">dms_Backcast_UOM </t>
    </r>
    <r>
      <rPr>
        <sz val="11"/>
        <color theme="5" tint="-0.249977111117893"/>
        <rFont val="Arial"/>
        <family val="2"/>
      </rPr>
      <t>named range to this field. Otherwise, do not apply this named range.</t>
    </r>
  </si>
  <si>
    <t>EB/CA Unit of Measure for Monetary Values</t>
  </si>
  <si>
    <t>dms_dollar_nom_UOM</t>
  </si>
  <si>
    <t>If the cover sheet is attached to an EB files make sure this field is set</t>
  </si>
  <si>
    <t>discard this record?</t>
  </si>
  <si>
    <t>dms_DISCARD</t>
  </si>
  <si>
    <t>If record is to be discarded from DB set this flag to YES</t>
  </si>
  <si>
    <t>USES NAMED RANGES FLAG</t>
  </si>
  <si>
    <t>yes</t>
  </si>
  <si>
    <t>dms_Defined_Names_Used</t>
  </si>
  <si>
    <t>2020-21</t>
  </si>
  <si>
    <t>2021-22</t>
  </si>
  <si>
    <t>2022-23</t>
  </si>
  <si>
    <t>2021</t>
  </si>
  <si>
    <r>
      <t xml:space="preserve">Complete the following business details regulatory template </t>
    </r>
    <r>
      <rPr>
        <b/>
        <sz val="10"/>
        <color indexed="10"/>
        <rFont val="Arial"/>
        <family val="2"/>
      </rPr>
      <t>before</t>
    </r>
    <r>
      <rPr>
        <sz val="1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</si>
  <si>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Select business name from drop down list first</t>
  </si>
  <si>
    <t>Commencing regulatory year</t>
  </si>
  <si>
    <t>Last completed regulatory year</t>
  </si>
  <si>
    <t>dms_FinalYear</t>
  </si>
  <si>
    <t>dms_DeterminationRef</t>
  </si>
  <si>
    <t>added (Albury and Victora) for AGN</t>
  </si>
  <si>
    <t>FOR ELECTRICITY BUSINESSES ONLY</t>
  </si>
  <si>
    <t>MAIFI flag</t>
  </si>
  <si>
    <t>dms_MAIFI_flag_List</t>
  </si>
  <si>
    <t>AGN (Albury)</t>
  </si>
  <si>
    <t>Australian Gas Networks Limited (reporting data for Albury)</t>
  </si>
  <si>
    <t>Level 6</t>
  </si>
  <si>
    <t>400 King William Street</t>
  </si>
  <si>
    <t>PO Box 6468</t>
  </si>
  <si>
    <t>Halifax Street</t>
  </si>
  <si>
    <t>Craig de Laine</t>
  </si>
  <si>
    <t xml:space="preserve">08 8418 1129 </t>
  </si>
  <si>
    <t>craig.delaine@agn.com.au</t>
  </si>
  <si>
    <t>AGN (Albury and Victoria)</t>
  </si>
  <si>
    <t>Australian Gas Networks Limited (reporting data for Albury and Victoria)</t>
  </si>
  <si>
    <t>AGN (SA)</t>
  </si>
  <si>
    <t>Australian Gas Networks Limited (reporting data for SA)</t>
  </si>
  <si>
    <t>AGN (Victoria)</t>
  </si>
  <si>
    <t>Australian Gas Networks Limited (reporting data for Victoria)</t>
  </si>
  <si>
    <t>APA GasNet</t>
  </si>
  <si>
    <t>APA GasNet Australia (Operations) Pty Ltd</t>
  </si>
  <si>
    <t>065083009</t>
  </si>
  <si>
    <t>PO Box R41</t>
  </si>
  <si>
    <t>ROYAL EXCHANGE</t>
  </si>
  <si>
    <t>1225</t>
  </si>
  <si>
    <t>02 9693 0000</t>
  </si>
  <si>
    <t>AusNet (Gas)</t>
  </si>
  <si>
    <t>AusNet Gas Services</t>
  </si>
  <si>
    <t>086015036</t>
  </si>
  <si>
    <t>X</t>
  </si>
  <si>
    <t>Ausnet Services (Transmission) Ltd</t>
  </si>
  <si>
    <t>8001</t>
  </si>
  <si>
    <t>Clare Thompson</t>
  </si>
  <si>
    <t>03 9695 6670</t>
  </si>
  <si>
    <t>clare.e.thompson@ausnetservices.com.au</t>
  </si>
  <si>
    <t>02 1234 5678</t>
  </si>
  <si>
    <t>Australian Distribution Co. (Vic)</t>
  </si>
  <si>
    <t>Australian Distribution Co. (Victoria)</t>
  </si>
  <si>
    <t>1730</t>
  </si>
  <si>
    <t>2444</t>
  </si>
  <si>
    <t>JGN</t>
  </si>
  <si>
    <t>Jemena Gas Networks (NSW) Ltd</t>
  </si>
  <si>
    <t>003 004 322</t>
  </si>
  <si>
    <t>Multinet Gas</t>
  </si>
  <si>
    <t>Multinet Gas (DB No.1) Pty Ltd (ACN 086 026 986), Multinet Gas (DB No.2) Pty Ltd (ACN 086 230 122)</t>
  </si>
  <si>
    <t>086026986</t>
  </si>
  <si>
    <t>Stephanie McDougall</t>
  </si>
  <si>
    <t>03 8846 9538</t>
  </si>
  <si>
    <t>Stephanie.McDougall@ue.com.au</t>
  </si>
  <si>
    <t>7009</t>
  </si>
  <si>
    <t>NSW Electricity Networks Operations Pty Ltd trading as TransGrid</t>
  </si>
  <si>
    <t>1235</t>
  </si>
  <si>
    <t>Garrie Chubb</t>
  </si>
  <si>
    <t>0408 210 221</t>
  </si>
  <si>
    <t>garrie.chubb@transgrid.com.au</t>
  </si>
  <si>
    <t>363 Wellington Street</t>
  </si>
  <si>
    <t>PERTH</t>
  </si>
  <si>
    <t>6000</t>
  </si>
  <si>
    <t>GPO Box L921</t>
  </si>
  <si>
    <t>judy.hunter@westernpower.com.au</t>
  </si>
  <si>
    <t>For EB &amp; Reset RINs only</t>
  </si>
  <si>
    <t>For AARs only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</si>
  <si>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</si>
  <si>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Drop down selector box for CA &amp; Reset RINs.</t>
  </si>
  <si>
    <t>For CA &amp; Reset RINs only</t>
  </si>
  <si>
    <t>For DNSPs only</t>
  </si>
  <si>
    <t>dms_Reason_Interruption_Detailed</t>
  </si>
  <si>
    <t>dms_030605_UOM</t>
  </si>
  <si>
    <t>dms_03060703_UOM</t>
  </si>
  <si>
    <t>For all files either AER or business needs to be able to specify the type of submission</t>
  </si>
  <si>
    <t>For PTRM &amp; RFM templates we must provide a choice in case they change their form of control - otherwise it is drawn from the business specific lookup table above.</t>
  </si>
  <si>
    <t xml:space="preserve">For PTRM files - this field set the text for the named range "DMS_Xfactor" which in all cases is simply the text "x factors" - this saves putting in each old gas PTRM file </t>
  </si>
  <si>
    <t>DMS_Xfactor</t>
  </si>
  <si>
    <t>x factors</t>
  </si>
  <si>
    <t>PTRM update 1</t>
  </si>
  <si>
    <t>PTRM update 2</t>
  </si>
  <si>
    <t>PTRM update 3</t>
  </si>
  <si>
    <t>PTRM update 4</t>
  </si>
  <si>
    <t>PTRM update 5</t>
  </si>
  <si>
    <t>PTRM update 6</t>
  </si>
  <si>
    <t>PTRM update 7</t>
  </si>
  <si>
    <t>These are indeces and lookup values for various dates. All step from the value placed in FRCP_y1 on the business and other details worksheet</t>
  </si>
  <si>
    <t>These date tables are currently used in the Recast templates to provide column headings and conditional formatting</t>
  </si>
  <si>
    <t>CRY from input cell on business sheet</t>
  </si>
  <si>
    <t>CRY - financial</t>
  </si>
  <si>
    <t>dms_FinYears</t>
  </si>
  <si>
    <t>CRY calendar</t>
  </si>
  <si>
    <t>dms_CalYears</t>
  </si>
  <si>
    <t>dms_CRYf_y1</t>
  </si>
  <si>
    <t>dms_CRYc_y1</t>
  </si>
  <si>
    <t>dms_CRYf_y2</t>
  </si>
  <si>
    <t>dms_CRYc_y2</t>
  </si>
  <si>
    <t>dms_CRYf_y3</t>
  </si>
  <si>
    <t>dms_CRYc_y3</t>
  </si>
  <si>
    <t>dms_CRYf_y4</t>
  </si>
  <si>
    <t>dms_CRYc_y4</t>
  </si>
  <si>
    <t>dms_CRYf_y5</t>
  </si>
  <si>
    <t>dms_CRYc_y5</t>
  </si>
  <si>
    <t>dms_CRYf_y6</t>
  </si>
  <si>
    <t>dms_CRYc_y6</t>
  </si>
  <si>
    <t>dms_CRYf_y7</t>
  </si>
  <si>
    <t>dms_CRYc_y7</t>
  </si>
  <si>
    <t>dms_CRYf_y8</t>
  </si>
  <si>
    <t>dms_CRYc_y8</t>
  </si>
  <si>
    <t>dms_CRYf_y9</t>
  </si>
  <si>
    <t>dms_CRYc_y9</t>
  </si>
  <si>
    <t>dms_CRYf_y10</t>
  </si>
  <si>
    <t>dms_CRYc_y10</t>
  </si>
  <si>
    <t>dms_FRCP_y11</t>
  </si>
  <si>
    <t>CRCP_y11</t>
  </si>
  <si>
    <t>dms_CRCP_yP</t>
  </si>
  <si>
    <t>dms_CRYf_y11</t>
  </si>
  <si>
    <t>dms_CRYc_y11</t>
  </si>
  <si>
    <t>dms_FRCP_y12</t>
  </si>
  <si>
    <t>CRCP_y12</t>
  </si>
  <si>
    <t>dms_CRCP_yO</t>
  </si>
  <si>
    <t>dms_CRYf_y12</t>
  </si>
  <si>
    <t>dms_CRYc_y12</t>
  </si>
  <si>
    <t>dms_FRCP_y13</t>
  </si>
  <si>
    <t>CRCP_y13</t>
  </si>
  <si>
    <t>dms_CRCP_yN</t>
  </si>
  <si>
    <t>dms_CRYf_y13</t>
  </si>
  <si>
    <t>dms_CRYc_y13</t>
  </si>
  <si>
    <t>dms_FRCP_y14</t>
  </si>
  <si>
    <t>CRCP_y14</t>
  </si>
  <si>
    <t>dms_CRCP_yM</t>
  </si>
  <si>
    <t>dms_CRYf_y14</t>
  </si>
  <si>
    <t>dms_CRYc_y14</t>
  </si>
  <si>
    <t>dms_FRCP_y15</t>
  </si>
  <si>
    <t>CRCP_y15</t>
  </si>
  <si>
    <t>dms_CRCP_yL</t>
  </si>
  <si>
    <t>dms_CRYf_y15</t>
  </si>
  <si>
    <t>dms_CRYc_y15</t>
  </si>
  <si>
    <t>dms_CRYf_y16</t>
  </si>
  <si>
    <t>dms_CRYc_y16</t>
  </si>
  <si>
    <t>These are drop down lists for businesses to select the correct FRCP_y1 on the business and other details worksheet.
This also populates the column headings in the worksheets</t>
  </si>
  <si>
    <t>dms_CRYf_y17</t>
  </si>
  <si>
    <t>dms_CRYc_y17</t>
  </si>
  <si>
    <t>dms_FRCP_fyear_list</t>
  </si>
  <si>
    <t>dms_FRCP_ListF</t>
  </si>
  <si>
    <t>dms_FRCP_ListC</t>
  </si>
  <si>
    <t>dms_FRCP_cyear_list</t>
  </si>
  <si>
    <t>dms_CRYf_y18</t>
  </si>
  <si>
    <t>dms_CRYc_y18</t>
  </si>
  <si>
    <t>dms_frcp_fy1</t>
  </si>
  <si>
    <t>dms_crcp_cy1</t>
  </si>
  <si>
    <t>dms_CRYf_y19</t>
  </si>
  <si>
    <t>dms_CRYc_y19</t>
  </si>
  <si>
    <t>dms_frcp_fy2</t>
  </si>
  <si>
    <t>dms_crcp_cy2</t>
  </si>
  <si>
    <t>dms_CRYf_y20</t>
  </si>
  <si>
    <t>dms_CRYc_y20</t>
  </si>
  <si>
    <t>dms_frcp_fy3</t>
  </si>
  <si>
    <t>2019</t>
  </si>
  <si>
    <t>dms_crcp_cy3</t>
  </si>
  <si>
    <t>dms_frcp_fy4</t>
  </si>
  <si>
    <t>dms_crcp_cy4</t>
  </si>
  <si>
    <t>dms_frcp_fy5</t>
  </si>
  <si>
    <t>dms_crcp_cy5</t>
  </si>
  <si>
    <t>dms_frcp_fy6</t>
  </si>
  <si>
    <t>2022</t>
  </si>
  <si>
    <t>dms_crcp_cy6</t>
  </si>
  <si>
    <t>dms_frcp_fy7</t>
  </si>
  <si>
    <t>2023</t>
  </si>
  <si>
    <t>dms_crcp_cy7</t>
  </si>
  <si>
    <t>dms_frcp_fy8</t>
  </si>
  <si>
    <t>2023-24</t>
  </si>
  <si>
    <t>2024</t>
  </si>
  <si>
    <t>dms_crcp_cy8</t>
  </si>
  <si>
    <t>dms_frcp_fy9</t>
  </si>
  <si>
    <t>2024-25</t>
  </si>
  <si>
    <t>2025</t>
  </si>
  <si>
    <t>dms_crcp_cy9</t>
  </si>
  <si>
    <t>dms_frcp_fy10</t>
  </si>
  <si>
    <t>2025-26</t>
  </si>
  <si>
    <t>2026</t>
  </si>
  <si>
    <t>dms_crcp_cy10</t>
  </si>
  <si>
    <t>dms_frcp_fy11</t>
  </si>
  <si>
    <t>2026-27</t>
  </si>
  <si>
    <t>2027</t>
  </si>
  <si>
    <t>dms_crcp_cy11</t>
  </si>
  <si>
    <t>dms_frcp_fy12</t>
  </si>
  <si>
    <t>2027-28</t>
  </si>
  <si>
    <t>2028</t>
  </si>
  <si>
    <t>dms_crcp_cy12</t>
  </si>
  <si>
    <t>dms_frcp_fy13</t>
  </si>
  <si>
    <t>2028-29</t>
  </si>
  <si>
    <t>2029</t>
  </si>
  <si>
    <t>dms_crcp_cy13</t>
  </si>
  <si>
    <t>dms_frcp_fy14</t>
  </si>
  <si>
    <t>2029-30</t>
  </si>
  <si>
    <t>2030</t>
  </si>
  <si>
    <t>dms_crcp_cy14</t>
  </si>
  <si>
    <t>dms_frcp_fy15</t>
  </si>
  <si>
    <t>2030-31</t>
  </si>
  <si>
    <t>2031</t>
  </si>
  <si>
    <t>dms_crcp_cy15</t>
  </si>
  <si>
    <t>dms_fy16</t>
  </si>
  <si>
    <t>dms_cy16</t>
  </si>
  <si>
    <t>dms_fy17</t>
  </si>
  <si>
    <t>dms_cy17</t>
  </si>
  <si>
    <t>dms_fy18</t>
  </si>
  <si>
    <t>dms_cy18</t>
  </si>
  <si>
    <t>dms_fy19</t>
  </si>
  <si>
    <t>dms_cy19</t>
  </si>
  <si>
    <t>dms_fy20</t>
  </si>
  <si>
    <t>dms_cy20</t>
  </si>
  <si>
    <t>2031-32</t>
  </si>
  <si>
    <t>2032-33</t>
  </si>
  <si>
    <t>2033-34</t>
  </si>
  <si>
    <t>2034-35</t>
  </si>
  <si>
    <t>2035-36</t>
  </si>
  <si>
    <t>Pre 1999 Assets</t>
  </si>
  <si>
    <t>Post 1999-2010 Assets</t>
  </si>
  <si>
    <t>New Capex (Post 2010)</t>
  </si>
  <si>
    <t>O&amp;M</t>
  </si>
  <si>
    <t>GSL Payments</t>
  </si>
  <si>
    <t>Elevation 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</si>
</sst>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_(* #,##0.00_);_(* \(#,##0.00\);_(* &quot;-&quot;??_);_(@_)"/>
    <numFmt numFmtId="167" formatCode="0.0%"/>
    <numFmt numFmtId="168" formatCode="0.0"/>
    <numFmt numFmtId="169" formatCode="_-* #,##0.0_-;\-* #,##0.0_-;_-* &quot;-&quot;??_-;_-@_-"/>
    <numFmt numFmtId="170" formatCode="_(* #,##0.0_);_(* \(#,##0.0\);_(* &quot;-&quot;??_);_(@_)"/>
    <numFmt numFmtId="171" formatCode="_-* #,##0_-;\-* #,##0_-;_-* &quot;-&quot;??_-;_-@_-"/>
    <numFmt numFmtId="172" formatCode="0.000"/>
    <numFmt numFmtId="173" formatCode="_-&quot;$&quot;* #,##0_-;\-&quot;$&quot;* #,##0_-;_-&quot;$&quot;* &quot;-&quot;??_-;_-@_-"/>
    <numFmt numFmtId="174" formatCode="#,##0.00_ ;\-#,##0.00\ "/>
    <numFmt numFmtId="175" formatCode="#,##0_ ;\-#,##0\ "/>
    <numFmt numFmtId="176" formatCode="0.000000000"/>
    <numFmt numFmtId="177" formatCode="_-&quot;$&quot;* #,##0.0_-;\-&quot;$&quot;* #,##0.0_-;_-&quot;$&quot;* &quot;-&quot;??_-;_-@_-"/>
    <numFmt numFmtId="178" formatCode="0.0000000000000000%"/>
    <numFmt numFmtId="179" formatCode="0.000000000000000%"/>
    <numFmt numFmtId="180" formatCode="0.0000000000000000"/>
    <numFmt numFmtId="181" formatCode="\(0#\)\ ####\ ####"/>
    <numFmt numFmtId="182" formatCode="_-* #,##0.000_-;\-* #,##0.000_-;_-* &quot;-&quot;??_-;_-@_-"/>
    <numFmt numFmtId="183" formatCode="##\ ###\ ###\ ###\ ##0"/>
    <numFmt numFmtId="184" formatCode="_([$€-2]* #,##0.00_);_([$€-2]* \(#,##0.00\);_([$€-2]* &quot;-&quot;??_)"/>
    <numFmt numFmtId="185" formatCode="_-* #,##0.00_-;[Red]\(#,##0.00\)_-;_-* &quot;-&quot;??_-;_-@_-"/>
    <numFmt numFmtId="186" formatCode="mm/dd/yy"/>
    <numFmt numFmtId="187" formatCode="0_);[Red]\(0\)"/>
    <numFmt numFmtId="188" formatCode="_(* #,##0.0_);_(* \(#,##0.0\);_(* &quot;-&quot;?_);_(@_)"/>
    <numFmt numFmtId="189" formatCode="_(* #,##0_);_(* \(#,##0\);_(* &quot;-&quot;?_);_(@_)"/>
    <numFmt numFmtId="190" formatCode="#,##0.0_);\(#,##0.0\)"/>
    <numFmt numFmtId="191" formatCode="#,##0;[Red]\(#,##0.0\)"/>
    <numFmt numFmtId="192" formatCode="#,##0_ ;[Red]\(#,##0\)\ "/>
    <numFmt numFmtId="193" formatCode="#,##0.00;\(#,##0.00\)"/>
    <numFmt numFmtId="194" formatCode="_)d\-mmm\-yy_)"/>
    <numFmt numFmtId="195" formatCode="_(#,##0.0_);\(#,##0.0\);_(&quot;-&quot;_)"/>
    <numFmt numFmtId="196" formatCode="_(###0_);\(###0\);_(###0_)"/>
    <numFmt numFmtId="197" formatCode="#,##0.0000_);[Red]\(#,##0.0000\)"/>
    <numFmt numFmtId="198" formatCode="#,##0.000_ ;[Red]\-#,##0.000\ "/>
    <numFmt numFmtId="199" formatCode="_(&quot;$&quot;* #,##0.00_);_(&quot;$&quot;* \(#,##0.00\);_(&quot;$&quot;* &quot;-&quot;??_);_(@_)"/>
    <numFmt numFmtId="200" formatCode="0.00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Arial"/>
      <family val="2"/>
    </font>
    <font>
      <b/>
      <sz val="10"/>
      <color indexed="12"/>
      <name val="Arial"/>
      <family val="2"/>
    </font>
    <font>
      <i/>
      <sz val="8"/>
      <color indexed="81"/>
      <name val="Tahoma"/>
      <family val="2"/>
    </font>
    <font>
      <sz val="10"/>
      <color indexed="22"/>
      <name val="Arial"/>
      <family val="2"/>
    </font>
    <font>
      <i/>
      <sz val="8"/>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sz val="9"/>
      <color indexed="12"/>
      <name val="Arial"/>
      <family val="2"/>
    </font>
    <font>
      <b/>
      <sz val="16"/>
      <name val="Arial"/>
      <family val="2"/>
    </font>
    <font>
      <sz val="10"/>
      <color rgb="FFFF0000"/>
      <name val="Arial"/>
      <family val="2"/>
    </font>
    <font>
      <sz val="10"/>
      <color theme="0" tint="-0.249977111117893"/>
      <name val="Arial"/>
      <family val="2"/>
    </font>
    <font>
      <sz val="9"/>
      <color rgb="FFFF0000"/>
      <name val="Arial"/>
      <family val="2"/>
    </font>
    <font>
      <sz val="10"/>
      <color rgb="FF000000"/>
      <name val="Arial"/>
      <family val="2"/>
    </font>
    <font>
      <sz val="9"/>
      <color rgb="FF000000"/>
      <name val="Arial"/>
      <family val="2"/>
    </font>
    <font>
      <b/>
      <sz val="16"/>
      <color indexed="9"/>
      <name val="Arial"/>
      <family val="2"/>
    </font>
    <font>
      <b/>
      <i/>
      <sz val="10"/>
      <name val="Arial"/>
      <family val="2"/>
    </font>
    <font>
      <sz val="10"/>
      <color theme="0" tint="-0.34998626667073579"/>
      <name val="Arial"/>
      <family val="2"/>
    </font>
    <font>
      <b/>
      <sz val="10"/>
      <color theme="0" tint="-0.34998626667073579"/>
      <name val="Arial"/>
      <family val="2"/>
    </font>
    <font>
      <b/>
      <sz val="10"/>
      <color rgb="FFFF0000"/>
      <name val="Arial"/>
      <family val="2"/>
    </font>
    <font>
      <u/>
      <sz val="10"/>
      <name val="Arial"/>
      <family val="2"/>
    </font>
    <font>
      <sz val="10"/>
      <color theme="0"/>
      <name val="Arial"/>
      <family val="2"/>
    </font>
    <font>
      <sz val="10"/>
      <color rgb="FF00B050"/>
      <name val="Arial"/>
      <family val="2"/>
    </font>
    <font>
      <i/>
      <sz val="10"/>
      <color rgb="FF00B050"/>
      <name val="Arial"/>
      <family val="2"/>
    </font>
    <font>
      <sz val="9"/>
      <color rgb="FF00B050"/>
      <name val="Arial"/>
      <family val="2"/>
    </font>
    <font>
      <b/>
      <sz val="10"/>
      <color rgb="FF00B050"/>
      <name val="Arial"/>
      <family val="2"/>
    </font>
    <font>
      <b/>
      <sz val="42"/>
      <name val="Arial"/>
      <family val="2"/>
    </font>
    <font>
      <sz val="26"/>
      <name val="Arial"/>
      <family val="2"/>
    </font>
    <font>
      <sz val="22"/>
      <name val="Arial"/>
      <family val="2"/>
    </font>
    <font>
      <b/>
      <sz val="12"/>
      <color theme="0"/>
      <name val="Calibri"/>
      <family val="2"/>
      <scheme val="minor"/>
    </font>
    <font>
      <sz val="10"/>
      <color theme="1"/>
      <name val="Arial"/>
      <family val="2"/>
    </font>
    <font>
      <b/>
      <u/>
      <sz val="10"/>
      <name val="Arial"/>
      <family val="2"/>
    </font>
    <font>
      <sz val="10"/>
      <name val="TimesNewRoman"/>
    </font>
    <font>
      <sz val="9"/>
      <color indexed="81"/>
      <name val="Tahoma"/>
      <family val="2"/>
    </font>
    <font>
      <sz val="8"/>
      <color rgb="FFFF0000"/>
      <name val="Arial"/>
      <family val="2"/>
    </font>
    <font>
      <b/>
      <sz val="7"/>
      <name val="Arial"/>
      <family val="2"/>
    </font>
    <font>
      <sz val="11"/>
      <color theme="1"/>
      <name val="Arial"/>
      <family val="2"/>
    </font>
    <font>
      <b/>
      <sz val="11"/>
      <color theme="1"/>
      <name val="Arial"/>
      <family val="2"/>
    </font>
    <font>
      <b/>
      <sz val="16"/>
      <color theme="0"/>
      <name val="Arial"/>
      <family val="2"/>
    </font>
    <font>
      <b/>
      <sz val="9"/>
      <color indexed="10"/>
      <name val="Arial"/>
      <family val="2"/>
    </font>
    <font>
      <b/>
      <sz val="12"/>
      <color theme="0"/>
      <name val="Arial"/>
      <family val="2"/>
    </font>
    <font>
      <sz val="16"/>
      <color indexed="51"/>
      <name val="Arial"/>
      <family val="2"/>
    </font>
    <font>
      <sz val="10"/>
      <color indexed="51"/>
      <name val="Arial"/>
      <family val="2"/>
    </font>
    <font>
      <b/>
      <sz val="10"/>
      <color indexed="51"/>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9"/>
      <name val="Arial"/>
      <family val="2"/>
    </font>
    <font>
      <sz val="11"/>
      <color theme="1"/>
      <name val="Calibri"/>
      <family val="2"/>
    </font>
    <font>
      <u/>
      <sz val="8.5"/>
      <color indexed="12"/>
      <name val="Arial"/>
      <family val="2"/>
    </font>
    <font>
      <b/>
      <sz val="9"/>
      <color indexed="9"/>
      <name val="Arial"/>
      <family val="2"/>
    </font>
    <font>
      <b/>
      <sz val="14"/>
      <color theme="1"/>
      <name val="Arial"/>
      <family val="2"/>
    </font>
    <font>
      <b/>
      <sz val="11"/>
      <color theme="1"/>
      <name val="Calibri"/>
      <family val="2"/>
      <scheme val="minor"/>
    </font>
    <font>
      <sz val="10"/>
      <color theme="7" tint="-0.249977111117893"/>
      <name val="Arial"/>
      <family val="2"/>
    </font>
    <font>
      <sz val="10"/>
      <color indexed="8"/>
      <name val="Arial"/>
      <family val="2"/>
    </font>
    <font>
      <sz val="11"/>
      <color theme="0" tint="-0.34998626667073579"/>
      <name val="Arial"/>
      <family val="2"/>
    </font>
    <font>
      <b/>
      <sz val="10"/>
      <color theme="1"/>
      <name val="Arial"/>
      <family val="2"/>
    </font>
    <font>
      <b/>
      <sz val="11"/>
      <color rgb="FFFF0000"/>
      <name val="Arial"/>
      <family val="2"/>
    </font>
    <font>
      <sz val="10"/>
      <color theme="0" tint="-0.499984740745262"/>
      <name val="Arial"/>
      <family val="2"/>
    </font>
    <font>
      <sz val="11"/>
      <name val="Calibri"/>
      <family val="2"/>
      <scheme val="minor"/>
    </font>
    <font>
      <b/>
      <sz val="16"/>
      <color theme="0" tint="-4.9989318521683403E-2"/>
      <name val="Arial"/>
      <family val="2"/>
    </font>
    <font>
      <b/>
      <sz val="10"/>
      <color theme="0" tint="-4.9989318521683403E-2"/>
      <name val="Arial"/>
      <family val="2"/>
    </font>
    <font>
      <sz val="10"/>
      <color theme="4" tint="-0.249977111117893"/>
      <name val="Arial"/>
      <family val="2"/>
    </font>
    <font>
      <sz val="10"/>
      <color rgb="FFFFCC00"/>
      <name val="Arial"/>
      <family val="2"/>
    </font>
    <font>
      <b/>
      <sz val="12"/>
      <color rgb="FFFF0000"/>
      <name val="Calibri"/>
      <family val="2"/>
      <scheme val="minor"/>
    </font>
    <font>
      <b/>
      <sz val="10"/>
      <color rgb="FFFFCC00"/>
      <name val="Arial"/>
      <family val="2"/>
    </font>
    <font>
      <sz val="10"/>
      <color rgb="FFFFFFFF"/>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b/>
      <sz val="11"/>
      <color theme="5" tint="-0.249977111117893"/>
      <name val="Arial"/>
      <family val="2"/>
    </font>
    <font>
      <b/>
      <sz val="16"/>
      <color rgb="FFFF0000"/>
      <name val="Arial"/>
      <family val="2"/>
    </font>
    <font>
      <sz val="10"/>
      <color theme="5" tint="-0.249977111117893"/>
      <name val="Arial"/>
      <family val="2"/>
    </font>
    <font>
      <b/>
      <sz val="11"/>
      <name val="Calibri"/>
      <family val="2"/>
      <scheme val="minor"/>
    </font>
    <font>
      <u/>
      <sz val="11"/>
      <color theme="10"/>
      <name val="Calibri"/>
      <family val="2"/>
      <scheme val="minor"/>
    </font>
    <font>
      <u/>
      <sz val="10"/>
      <color indexed="12"/>
      <name val="Arial"/>
      <family val="2"/>
    </font>
    <font>
      <b/>
      <i/>
      <sz val="12"/>
      <color theme="0"/>
      <name val="Arial"/>
      <family val="2"/>
    </font>
    <font>
      <sz val="14"/>
      <color rgb="FFFF0000"/>
      <name val="Arial"/>
      <family val="2"/>
    </font>
    <font>
      <b/>
      <sz val="12"/>
      <color theme="1"/>
      <name val="Calibri"/>
      <family val="2"/>
      <scheme val="minor"/>
    </font>
    <font>
      <sz val="11"/>
      <color theme="8" tint="-0.249977111117893"/>
      <name val="Arial"/>
      <family val="2"/>
    </font>
    <font>
      <sz val="11"/>
      <color rgb="FF44546A"/>
      <name val="Calibri"/>
      <family val="2"/>
      <scheme val="minor"/>
    </font>
    <font>
      <b/>
      <sz val="11"/>
      <name val="Arial"/>
      <family val="2"/>
    </font>
    <font>
      <b/>
      <sz val="10"/>
      <color rgb="FF000000"/>
      <name val="Arial"/>
      <family val="2"/>
    </font>
    <font>
      <b/>
      <sz val="11"/>
      <color rgb="FF000000"/>
      <name val="Arial"/>
      <family val="2"/>
    </font>
    <font>
      <sz val="11"/>
      <color rgb="FF000000"/>
      <name val="Arial"/>
      <family val="2"/>
    </font>
    <font>
      <sz val="10"/>
      <color rgb="FF808080"/>
      <name val="Arial"/>
      <family val="2"/>
    </font>
    <font>
      <sz val="9"/>
      <color rgb="FF808080"/>
      <name val="Arial"/>
      <family val="2"/>
    </font>
    <font>
      <b/>
      <sz val="9"/>
      <color indexed="81"/>
      <name val="Tahoma"/>
      <family val="2"/>
    </font>
    <font>
      <b/>
      <sz val="9"/>
      <color rgb="FF000000"/>
      <name val="Tahoma"/>
      <family val="2"/>
    </font>
    <font>
      <sz val="9"/>
      <color rgb="FF000000"/>
      <name val="Tahoma"/>
      <family val="2"/>
    </font>
  </fonts>
  <fills count="91">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27"/>
        <bgColor indexed="64"/>
      </patternFill>
    </fill>
    <fill>
      <patternFill patternType="solid">
        <fgColor theme="0"/>
        <bgColor indexed="64"/>
      </patternFill>
    </fill>
    <fill>
      <patternFill patternType="solid">
        <fgColor theme="4" tint="-0.499984740745262"/>
        <bgColor indexed="64"/>
      </patternFill>
    </fill>
    <fill>
      <patternFill patternType="solid">
        <fgColor theme="0" tint="-0.24994659260841701"/>
        <bgColor indexed="64"/>
      </patternFill>
    </fill>
    <fill>
      <patternFill patternType="solid">
        <fgColor theme="1"/>
        <bgColor indexed="64"/>
      </patternFill>
    </fill>
    <fill>
      <patternFill patternType="solid">
        <fgColor theme="0" tint="-0.499984740745262"/>
        <bgColor indexed="64"/>
      </patternFill>
    </fill>
    <fill>
      <patternFill patternType="solid">
        <fgColor rgb="FFCCFFFF"/>
        <bgColor indexed="64"/>
      </patternFill>
    </fill>
    <fill>
      <patternFill patternType="solid">
        <fgColor indexed="8"/>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rgb="FFFFFFCC"/>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42"/>
        <bgColor indexed="64"/>
      </patternFill>
    </fill>
    <fill>
      <patternFill patternType="mediumGray">
        <fgColor indexed="22"/>
      </patternFill>
    </fill>
    <fill>
      <patternFill patternType="gray0625">
        <bgColor indexed="44"/>
      </patternFill>
    </fill>
    <fill>
      <patternFill patternType="solid">
        <fgColor indexed="62"/>
        <bgColor indexed="64"/>
      </patternFill>
    </fill>
    <fill>
      <patternFill patternType="solid">
        <fgColor theme="7"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DAEEF3"/>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366092"/>
        <bgColor rgb="FF000000"/>
      </patternFill>
    </fill>
    <fill>
      <patternFill patternType="solid">
        <fgColor rgb="FFFFFFFF"/>
        <bgColor rgb="FF000000"/>
      </patternFill>
    </fill>
    <fill>
      <patternFill patternType="solid">
        <fgColor rgb="FFFFFFCC"/>
        <bgColor rgb="FF000000"/>
      </patternFill>
    </fill>
    <fill>
      <patternFill patternType="solid">
        <fgColor theme="4" tint="0.39997558519241921"/>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9" tint="0.79998168889431442"/>
        <bgColor indexed="64"/>
      </patternFill>
    </fill>
    <fill>
      <patternFill patternType="solid">
        <fgColor rgb="FFFCD5B4"/>
        <bgColor rgb="FF000000"/>
      </patternFill>
    </fill>
    <fill>
      <patternFill patternType="solid">
        <fgColor theme="6" tint="0.39997558519241921"/>
        <bgColor rgb="FF000000"/>
      </patternFill>
    </fill>
    <fill>
      <patternFill patternType="solid">
        <fgColor theme="7" tint="0.59999389629810485"/>
        <bgColor rgb="FF000000"/>
      </patternFill>
    </fill>
    <fill>
      <patternFill patternType="solid">
        <fgColor theme="6" tint="0.79998168889431442"/>
        <bgColor rgb="FF000000"/>
      </patternFill>
    </fill>
    <fill>
      <patternFill patternType="solid">
        <fgColor rgb="FFE4DFEC"/>
        <bgColor rgb="FF000000"/>
      </patternFill>
    </fill>
    <fill>
      <patternFill patternType="solid">
        <fgColor rgb="FFCCC0DA"/>
        <bgColor rgb="FF000000"/>
      </patternFill>
    </fill>
    <fill>
      <patternFill patternType="solid">
        <fgColor theme="7" tint="0.79998168889431442"/>
        <bgColor rgb="FF000000"/>
      </patternFill>
    </fill>
    <fill>
      <patternFill patternType="solid">
        <fgColor theme="0" tint="-0.14999847407452621"/>
        <bgColor rgb="FF000000"/>
      </patternFill>
    </fill>
    <fill>
      <patternFill patternType="solid">
        <fgColor rgb="FFFFFFFF"/>
        <bgColor indexed="64"/>
      </patternFill>
    </fill>
    <fill>
      <patternFill patternType="solid">
        <fgColor rgb="FFD0FFFF"/>
        <bgColor indexed="64"/>
      </patternFill>
    </fill>
    <fill>
      <patternFill patternType="solid">
        <fgColor rgb="FFFFFF00"/>
        <bgColor indexed="64"/>
      </patternFill>
    </fill>
    <fill>
      <patternFill patternType="solid">
        <fgColor rgb="FFFFCC99"/>
        <bgColor indexed="64"/>
      </patternFill>
    </fill>
    <fill>
      <patternFill patternType="solid">
        <fgColor rgb="FFFF99FF"/>
        <bgColor indexed="64"/>
      </patternFill>
    </fill>
    <fill>
      <patternFill patternType="solid">
        <fgColor rgb="FF66CCFF"/>
        <bgColor indexed="64"/>
      </patternFill>
    </fill>
  </fills>
  <borders count="252">
    <border>
      <left/>
      <right/>
      <top/>
      <bottom/>
      <diagonal/>
    </border>
    <border>
      <left/>
      <right/>
      <top style="thin">
        <color indexed="64"/>
      </top>
      <bottom style="thin">
        <color indexed="64"/>
      </bottom>
      <diagonal/>
    </border>
    <border>
      <left/>
      <right/>
      <top/>
      <bottom style="thin">
        <color indexed="64"/>
      </bottom>
      <diagonal/>
    </border>
    <border>
      <left/>
      <right/>
      <top style="thin">
        <color indexed="22"/>
      </top>
      <bottom/>
      <diagonal/>
    </border>
    <border>
      <left/>
      <right/>
      <top style="thin">
        <color indexed="64"/>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55"/>
      </left>
      <right/>
      <top style="thin">
        <color indexed="55"/>
      </top>
      <bottom/>
      <diagonal/>
    </border>
    <border>
      <left/>
      <right/>
      <top style="thin">
        <color indexed="55"/>
      </top>
      <bottom/>
      <diagonal/>
    </border>
    <border>
      <left style="thin">
        <color indexed="23"/>
      </left>
      <right style="thin">
        <color indexed="23"/>
      </right>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23"/>
      </bottom>
      <diagonal/>
    </border>
    <border>
      <left/>
      <right style="dashed">
        <color indexed="64"/>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dotted">
        <color auto="1"/>
      </right>
      <top/>
      <bottom/>
      <diagonal/>
    </border>
    <border>
      <left style="dashed">
        <color auto="1"/>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style="thin">
        <color theme="0" tint="-0.499984740745262"/>
      </right>
      <top/>
      <bottom style="thin">
        <color theme="0" tint="-0.499984740745262"/>
      </bottom>
      <diagonal/>
    </border>
    <border>
      <left style="thin">
        <color indexed="23"/>
      </left>
      <right style="thin">
        <color indexed="23"/>
      </right>
      <top style="thin">
        <color indexed="23"/>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right/>
      <top style="thin">
        <color theme="0" tint="-0.499984740745262"/>
      </top>
      <bottom style="double">
        <color theme="0" tint="-0.499984740745262"/>
      </bottom>
      <diagonal/>
    </border>
    <border>
      <left/>
      <right/>
      <top style="thin">
        <color auto="1"/>
      </top>
      <bottom style="thin">
        <color auto="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auto="1"/>
      </top>
      <bottom/>
      <diagonal/>
    </border>
    <border>
      <left style="thin">
        <color rgb="FF808080"/>
      </left>
      <right/>
      <top/>
      <bottom/>
      <diagonal/>
    </border>
    <border>
      <left style="thin">
        <color rgb="FF808080"/>
      </left>
      <right/>
      <top style="thin">
        <color rgb="FF808080"/>
      </top>
      <bottom/>
      <diagonal/>
    </border>
    <border>
      <left/>
      <right/>
      <top style="thin">
        <color rgb="FF808080"/>
      </top>
      <bottom/>
      <diagonal/>
    </border>
    <border>
      <left/>
      <right/>
      <top/>
      <bottom style="thin">
        <color auto="1"/>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38"/>
      </bottom>
      <diagonal/>
    </border>
    <border>
      <left style="thin">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0" tint="-0.34998626667073579"/>
      </right>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top style="thin">
        <color theme="0" tint="-0.34998626667073579"/>
      </top>
      <bottom style="thin">
        <color theme="0" tint="-0.34998626667073579"/>
      </bottom>
      <diagonal/>
    </border>
    <border>
      <left/>
      <right/>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thin">
        <color theme="0" tint="-0.34998626667073579"/>
      </left>
      <right/>
      <top/>
      <bottom style="thin">
        <color theme="0" tint="-0.34998626667073579"/>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thin">
        <color indexed="64"/>
      </right>
      <top style="thin">
        <color theme="0" tint="-0.24994659260841701"/>
      </top>
      <bottom style="medium">
        <color auto="1"/>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thin">
        <color rgb="FFBFBFBF"/>
      </left>
      <right/>
      <top style="medium">
        <color indexed="64"/>
      </top>
      <bottom style="medium">
        <color auto="1"/>
      </bottom>
      <diagonal/>
    </border>
    <border>
      <left style="thin">
        <color rgb="FFBFBFBF"/>
      </left>
      <right style="thin">
        <color indexed="64"/>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style="thin">
        <color rgb="FFBFBFBF"/>
      </left>
      <right/>
      <top style="thin">
        <color rgb="FFBFBFBF"/>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auto="1"/>
      </left>
      <right style="thin">
        <color auto="1"/>
      </right>
      <top/>
      <bottom style="thin">
        <color theme="0" tint="-0.24994659260841701"/>
      </bottom>
      <diagonal/>
    </border>
    <border>
      <left/>
      <right style="medium">
        <color indexed="64"/>
      </right>
      <top style="thin">
        <color theme="0" tint="-0.34998626667073579"/>
      </top>
      <bottom style="thin">
        <color theme="0" tint="-0.34998626667073579"/>
      </bottom>
      <diagonal/>
    </border>
    <border>
      <left style="medium">
        <color auto="1"/>
      </left>
      <right style="thin">
        <color auto="1"/>
      </right>
      <top style="thin">
        <color theme="0" tint="-0.24994659260841701"/>
      </top>
      <bottom style="thin">
        <color theme="0" tint="-0.24994659260841701"/>
      </bottom>
      <diagonal/>
    </border>
    <border>
      <left/>
      <right style="medium">
        <color indexed="64"/>
      </right>
      <top style="thin">
        <color theme="0" tint="-0.34998626667073579"/>
      </top>
      <bottom style="medium">
        <color indexed="64"/>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style="thin">
        <color indexed="64"/>
      </right>
      <top style="medium">
        <color auto="1"/>
      </top>
      <bottom style="thin">
        <color theme="0" tint="-0.24994659260841701"/>
      </bottom>
      <diagonal/>
    </border>
    <border>
      <left style="medium">
        <color indexed="64"/>
      </left>
      <right/>
      <top/>
      <bottom style="thin">
        <color indexed="64"/>
      </bottom>
      <diagonal/>
    </border>
    <border>
      <left/>
      <right style="medium">
        <color auto="1"/>
      </right>
      <top/>
      <bottom style="thin">
        <color auto="1"/>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right/>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right/>
      <top/>
      <bottom style="medium">
        <color indexed="38"/>
      </bottom>
      <diagonal/>
    </border>
    <border>
      <left/>
      <right/>
      <top/>
      <bottom style="medium">
        <color auto="1"/>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medium">
        <color indexed="64"/>
      </left>
      <right style="thin">
        <color theme="0" tint="-0.34998626667073579"/>
      </right>
      <top style="thin">
        <color theme="0" tint="-0.34998626667073579"/>
      </top>
      <bottom/>
      <diagonal/>
    </border>
    <border>
      <left style="thin">
        <color theme="0" tint="-0.24994659260841701"/>
      </left>
      <right style="thin">
        <color indexed="64"/>
      </right>
      <top style="thin">
        <color theme="0" tint="-0.24994659260841701"/>
      </top>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right style="medium">
        <color rgb="FFFF0000"/>
      </right>
      <top style="medium">
        <color rgb="FFFF0000"/>
      </top>
      <bottom style="medium">
        <color auto="1"/>
      </bottom>
      <diagonal/>
    </border>
    <border>
      <left style="medium">
        <color rgb="FFFF0000"/>
      </left>
      <right style="thin">
        <color indexed="64"/>
      </right>
      <top style="medium">
        <color indexed="64"/>
      </top>
      <bottom style="medium">
        <color auto="1"/>
      </bottom>
      <diagonal/>
    </border>
    <border>
      <left style="thin">
        <color rgb="FFBFBFBF"/>
      </left>
      <right style="medium">
        <color rgb="FFFF0000"/>
      </right>
      <top style="medium">
        <color indexed="64"/>
      </top>
      <bottom style="medium">
        <color indexed="64"/>
      </bottom>
      <diagonal/>
    </border>
    <border>
      <left style="medium">
        <color indexed="64"/>
      </left>
      <right/>
      <top style="thin">
        <color indexed="64"/>
      </top>
      <bottom/>
      <diagonal/>
    </border>
    <border>
      <left style="medium">
        <color rgb="FFFF0000"/>
      </left>
      <right/>
      <top/>
      <bottom/>
      <diagonal/>
    </border>
    <border>
      <left style="thin">
        <color theme="0" tint="-0.24994659260841701"/>
      </left>
      <right style="medium">
        <color rgb="FFFF0000"/>
      </right>
      <top/>
      <bottom style="thin">
        <color theme="0" tint="-0.24994659260841701"/>
      </bottom>
      <diagonal/>
    </border>
    <border>
      <left/>
      <right style="medium">
        <color rgb="FFFF0000"/>
      </right>
      <top/>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rgb="FFFF0000"/>
      </left>
      <right style="thin">
        <color theme="0" tint="-0.24994659260841701"/>
      </right>
      <top style="thin">
        <color theme="0" tint="-0.24994659260841701"/>
      </top>
      <bottom style="thin">
        <color theme="0" tint="-0.24994659260841701"/>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rgb="FFFF0000"/>
      </left>
      <right style="thin">
        <color theme="0" tint="-0.24994659260841701"/>
      </right>
      <top style="thin">
        <color theme="0" tint="-0.24994659260841701"/>
      </top>
      <bottom style="medium">
        <color auto="1"/>
      </bottom>
      <diagonal/>
    </border>
    <border>
      <left style="thin">
        <color theme="0" tint="-0.24994659260841701"/>
      </left>
      <right style="medium">
        <color rgb="FFFF0000"/>
      </right>
      <top style="thin">
        <color theme="0" tint="-0.24994659260841701"/>
      </top>
      <bottom style="medium">
        <color indexed="64"/>
      </bottom>
      <diagonal/>
    </border>
    <border>
      <left style="thin">
        <color theme="0" tint="-0.24994659260841701"/>
      </left>
      <right style="thin">
        <color indexed="64"/>
      </right>
      <top style="medium">
        <color indexed="64"/>
      </top>
      <bottom style="medium">
        <color indexed="64"/>
      </bottom>
      <diagonal/>
    </border>
    <border>
      <left style="medium">
        <color rgb="FFFF0000"/>
      </left>
      <right/>
      <top style="medium">
        <color indexed="64"/>
      </top>
      <bottom style="medium">
        <color indexed="64"/>
      </bottom>
      <diagonal/>
    </border>
    <border>
      <left style="medium">
        <color rgb="FFFF0000"/>
      </left>
      <right style="thin">
        <color theme="0" tint="-0.24994659260841701"/>
      </right>
      <top style="medium">
        <color indexed="64"/>
      </top>
      <bottom/>
      <diagonal/>
    </border>
    <border>
      <left style="medium">
        <color rgb="FFFF0000"/>
      </left>
      <right style="thin">
        <color theme="0" tint="-0.24994659260841701"/>
      </right>
      <top style="medium">
        <color indexed="64"/>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rgb="FFFF0000"/>
      </left>
      <right style="thin">
        <color theme="0" tint="-0.24994659260841701"/>
      </right>
      <top style="thin">
        <color theme="0" tint="-0.24994659260841701"/>
      </top>
      <bottom style="medium">
        <color rgb="FFFF0000"/>
      </bottom>
      <diagonal/>
    </border>
    <border>
      <left style="thin">
        <color theme="0" tint="-0.24994659260841701"/>
      </left>
      <right style="thin">
        <color theme="0" tint="-0.24994659260841701"/>
      </right>
      <top style="thin">
        <color theme="0" tint="-0.24994659260841701"/>
      </top>
      <bottom style="medium">
        <color rgb="FFFF0000"/>
      </bottom>
      <diagonal/>
    </border>
    <border>
      <left style="thin">
        <color theme="0" tint="-0.24994659260841701"/>
      </left>
      <right style="thin">
        <color indexed="64"/>
      </right>
      <top style="thin">
        <color theme="0" tint="-0.24994659260841701"/>
      </top>
      <bottom style="medium">
        <color rgb="FFFF0000"/>
      </bottom>
      <diagonal/>
    </border>
    <border>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8" tint="-0.249977111117893"/>
      </left>
      <right/>
      <top style="medium">
        <color theme="8" tint="-0.249977111117893"/>
      </top>
      <bottom/>
      <diagonal/>
    </border>
    <border>
      <left/>
      <right/>
      <top style="medium">
        <color theme="8" tint="-0.249977111117893"/>
      </top>
      <bottom/>
      <diagonal/>
    </border>
    <border>
      <left/>
      <right style="medium">
        <color theme="8" tint="-0.249977111117893"/>
      </right>
      <top style="medium">
        <color theme="8" tint="-0.249977111117893"/>
      </top>
      <bottom/>
      <diagonal/>
    </border>
    <border>
      <left style="medium">
        <color theme="9" tint="-0.249977111117893"/>
      </left>
      <right style="thin">
        <color rgb="FFA6A6A6"/>
      </right>
      <top style="medium">
        <color auto="1"/>
      </top>
      <bottom style="medium">
        <color auto="1"/>
      </bottom>
      <diagonal/>
    </border>
    <border>
      <left style="thin">
        <color rgb="FFA6A6A6"/>
      </left>
      <right style="thin">
        <color rgb="FFA6A6A6"/>
      </right>
      <top style="medium">
        <color indexed="64"/>
      </top>
      <bottom style="medium">
        <color indexed="64"/>
      </bottom>
      <diagonal/>
    </border>
    <border>
      <left style="medium">
        <color auto="1"/>
      </left>
      <right style="thin">
        <color rgb="FFA6A6A6"/>
      </right>
      <top style="medium">
        <color auto="1"/>
      </top>
      <bottom style="medium">
        <color auto="1"/>
      </bottom>
      <diagonal/>
    </border>
    <border>
      <left style="thin">
        <color rgb="FFBFBFBF"/>
      </left>
      <right style="medium">
        <color theme="9" tint="-0.249977111117893"/>
      </right>
      <top style="medium">
        <color indexed="64"/>
      </top>
      <bottom style="medium">
        <color indexed="64"/>
      </bottom>
      <diagonal/>
    </border>
    <border>
      <left style="medium">
        <color theme="8" tint="-0.249977111117893"/>
      </left>
      <right style="thin">
        <color theme="0" tint="-0.24994659260841701"/>
      </right>
      <top style="medium">
        <color indexed="64"/>
      </top>
      <bottom style="medium">
        <color indexed="64"/>
      </bottom>
      <diagonal/>
    </border>
    <border>
      <left/>
      <right style="medium">
        <color theme="8" tint="-0.249977111117893"/>
      </right>
      <top style="medium">
        <color indexed="64"/>
      </top>
      <bottom style="medium">
        <color indexed="64"/>
      </bottom>
      <diagonal/>
    </border>
    <border>
      <left style="medium">
        <color theme="9" tint="-0.249977111117893"/>
      </left>
      <right style="thin">
        <color rgb="FFA6A6A6"/>
      </right>
      <top/>
      <bottom style="thin">
        <color rgb="FFA6A6A6"/>
      </bottom>
      <diagonal/>
    </border>
    <border>
      <left style="thin">
        <color rgb="FFA6A6A6"/>
      </left>
      <right style="thin">
        <color rgb="FFA6A6A6"/>
      </right>
      <top/>
      <bottom style="thin">
        <color rgb="FFA6A6A6"/>
      </bottom>
      <diagonal/>
    </border>
    <border>
      <left style="medium">
        <color indexed="64"/>
      </left>
      <right style="thin">
        <color rgb="FFA6A6A6"/>
      </right>
      <top/>
      <bottom style="thin">
        <color rgb="FFA6A6A6"/>
      </bottom>
      <diagonal/>
    </border>
    <border>
      <left style="thin">
        <color rgb="FFBFBFBF"/>
      </left>
      <right style="medium">
        <color theme="9" tint="-0.249977111117893"/>
      </right>
      <top/>
      <bottom style="thin">
        <color rgb="FFBFBFBF"/>
      </bottom>
      <diagonal/>
    </border>
    <border>
      <left style="medium">
        <color theme="8" tint="-0.249977111117893"/>
      </left>
      <right/>
      <top/>
      <bottom/>
      <diagonal/>
    </border>
    <border>
      <left/>
      <right style="medium">
        <color theme="8" tint="-0.249977111117893"/>
      </right>
      <top/>
      <bottom/>
      <diagonal/>
    </border>
    <border>
      <left style="medium">
        <color theme="9" tint="-0.249977111117893"/>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medium">
        <color indexed="64"/>
      </left>
      <right style="thin">
        <color rgb="FFA6A6A6"/>
      </right>
      <top style="thin">
        <color rgb="FFA6A6A6"/>
      </top>
      <bottom style="thin">
        <color rgb="FFA6A6A6"/>
      </bottom>
      <diagonal/>
    </border>
    <border>
      <left style="thin">
        <color rgb="FFBFBFBF"/>
      </left>
      <right style="medium">
        <color theme="9" tint="-0.249977111117893"/>
      </right>
      <top style="thin">
        <color rgb="FFBFBFBF"/>
      </top>
      <bottom style="thin">
        <color rgb="FFBFBFBF"/>
      </bottom>
      <diagonal/>
    </border>
    <border>
      <left style="medium">
        <color theme="9" tint="-0.249977111117893"/>
      </left>
      <right style="thin">
        <color rgb="FFA6A6A6"/>
      </right>
      <top style="thin">
        <color rgb="FFA6A6A6"/>
      </top>
      <bottom style="thin">
        <color rgb="FFBFBFBF"/>
      </bottom>
      <diagonal/>
    </border>
    <border>
      <left style="thin">
        <color rgb="FFA6A6A6"/>
      </left>
      <right style="thin">
        <color rgb="FFA6A6A6"/>
      </right>
      <top style="thin">
        <color rgb="FFA6A6A6"/>
      </top>
      <bottom style="thin">
        <color rgb="FFBFBFBF"/>
      </bottom>
      <diagonal/>
    </border>
    <border>
      <left style="medium">
        <color indexed="64"/>
      </left>
      <right style="thin">
        <color rgb="FFA6A6A6"/>
      </right>
      <top style="thin">
        <color rgb="FFA6A6A6"/>
      </top>
      <bottom style="thin">
        <color rgb="FFBFBFBF"/>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style="thin">
        <color theme="0" tint="-0.24994659260841701"/>
      </right>
      <top style="medium">
        <color auto="1"/>
      </top>
      <bottom style="thin">
        <color theme="0" tint="-0.24994659260841701"/>
      </bottom>
      <diagonal/>
    </border>
    <border>
      <left style="medium">
        <color theme="9" tint="-0.249977111117893"/>
      </left>
      <right style="thin">
        <color theme="0" tint="-0.24994659260841701"/>
      </right>
      <top style="thin">
        <color theme="0" tint="-0.24994659260841701"/>
      </top>
      <bottom style="thin">
        <color theme="0" tint="-0.24994659260841701"/>
      </bottom>
      <diagonal/>
    </border>
    <border>
      <left/>
      <right/>
      <top style="medium">
        <color auto="1"/>
      </top>
      <bottom style="thin">
        <color rgb="FFBFBFBF"/>
      </bottom>
      <diagonal/>
    </border>
    <border>
      <left style="medium">
        <color indexed="64"/>
      </left>
      <right style="thin">
        <color indexed="64"/>
      </right>
      <top style="medium">
        <color indexed="64"/>
      </top>
      <bottom style="thin">
        <color rgb="FFBFBFBF"/>
      </bottom>
      <diagonal/>
    </border>
    <border>
      <left/>
      <right style="medium">
        <color indexed="64"/>
      </right>
      <top style="thin">
        <color rgb="FFBFBFBF"/>
      </top>
      <bottom style="thin">
        <color rgb="FFBFBFBF"/>
      </bottom>
      <diagonal/>
    </border>
    <border>
      <left style="medium">
        <color indexed="64"/>
      </left>
      <right style="medium">
        <color indexed="64"/>
      </right>
      <top/>
      <bottom style="thin">
        <color rgb="FFBFBFBF"/>
      </bottom>
      <diagonal/>
    </border>
    <border>
      <left/>
      <right/>
      <top style="thin">
        <color rgb="FFBFBFBF"/>
      </top>
      <bottom style="thin">
        <color rgb="FFBFBFBF"/>
      </bottom>
      <diagonal/>
    </border>
    <border>
      <left style="medium">
        <color auto="1"/>
      </left>
      <right style="thin">
        <color auto="1"/>
      </right>
      <top style="thin">
        <color rgb="FFBFBFBF"/>
      </top>
      <bottom style="thin">
        <color rgb="FFBFBFBF"/>
      </bottom>
      <diagonal/>
    </border>
    <border>
      <left style="medium">
        <color indexed="64"/>
      </left>
      <right style="medium">
        <color indexed="64"/>
      </right>
      <top style="thin">
        <color rgb="FFBFBFBF"/>
      </top>
      <bottom style="thin">
        <color rgb="FFBFBFBF"/>
      </bottom>
      <diagonal/>
    </border>
    <border>
      <left style="medium">
        <color theme="8" tint="-0.249977111117893"/>
      </left>
      <right/>
      <top/>
      <bottom style="medium">
        <color theme="8" tint="-0.249977111117893"/>
      </bottom>
      <diagonal/>
    </border>
    <border>
      <left style="medium">
        <color indexed="64"/>
      </left>
      <right style="thin">
        <color theme="0" tint="-0.24994659260841701"/>
      </right>
      <top style="thin">
        <color theme="0" tint="-0.24994659260841701"/>
      </top>
      <bottom style="medium">
        <color theme="8" tint="-0.249977111117893"/>
      </bottom>
      <diagonal/>
    </border>
    <border>
      <left style="thin">
        <color theme="0" tint="-0.24994659260841701"/>
      </left>
      <right style="thin">
        <color indexed="64"/>
      </right>
      <top style="thin">
        <color theme="0" tint="-0.24994659260841701"/>
      </top>
      <bottom style="medium">
        <color theme="8" tint="-0.249977111117893"/>
      </bottom>
      <diagonal/>
    </border>
    <border>
      <left/>
      <right/>
      <top/>
      <bottom style="medium">
        <color theme="8" tint="-0.249977111117893"/>
      </bottom>
      <diagonal/>
    </border>
    <border>
      <left/>
      <right style="medium">
        <color theme="8" tint="-0.249977111117893"/>
      </right>
      <top/>
      <bottom style="medium">
        <color theme="8" tint="-0.249977111117893"/>
      </bottom>
      <diagonal/>
    </border>
    <border>
      <left/>
      <right/>
      <top/>
      <bottom style="thin">
        <color rgb="FFBFBFBF"/>
      </bottom>
      <diagonal/>
    </border>
    <border>
      <left style="medium">
        <color indexed="64"/>
      </left>
      <right style="thin">
        <color indexed="64"/>
      </right>
      <top style="thin">
        <color rgb="FFBFBFBF"/>
      </top>
      <bottom style="medium">
        <color auto="1"/>
      </bottom>
      <diagonal/>
    </border>
    <border>
      <left style="thin">
        <color indexed="64"/>
      </left>
      <right style="medium">
        <color indexed="64"/>
      </right>
      <top style="thin">
        <color rgb="FFBFBFBF"/>
      </top>
      <bottom style="medium">
        <color indexed="64"/>
      </bottom>
      <diagonal/>
    </border>
    <border>
      <left style="medium">
        <color theme="9" tint="-0.249977111117893"/>
      </left>
      <right style="thin">
        <color theme="0" tint="-0.24994659260841701"/>
      </right>
      <top style="thin">
        <color theme="0" tint="-0.24994659260841701"/>
      </top>
      <bottom style="medium">
        <color theme="9" tint="-0.249977111117893"/>
      </bottom>
      <diagonal/>
    </border>
    <border>
      <left style="thin">
        <color theme="0" tint="-0.24994659260841701"/>
      </left>
      <right style="thin">
        <color theme="0" tint="-0.24994659260841701"/>
      </right>
      <top style="thin">
        <color theme="0" tint="-0.24994659260841701"/>
      </top>
      <bottom style="medium">
        <color theme="9" tint="-0.249977111117893"/>
      </bottom>
      <diagonal/>
    </border>
    <border>
      <left style="thin">
        <color theme="0" tint="-0.24994659260841701"/>
      </left>
      <right style="thin">
        <color indexed="64"/>
      </right>
      <top style="thin">
        <color theme="0" tint="-0.24994659260841701"/>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s>
  <cellStyleXfs count="597">
    <xf numFmtId="0" fontId="0" fillId="0" borderId="0"/>
    <xf numFmtId="43" fontId="6" fillId="0" borderId="0" applyFont="0" applyFill="0" applyBorder="0" applyAlignment="0" applyProtection="0"/>
    <xf numFmtId="44" fontId="6" fillId="0" borderId="0" applyFont="0" applyFill="0" applyBorder="0" applyAlignment="0" applyProtection="0"/>
    <xf numFmtId="165" fontId="6" fillId="2" borderId="0" applyFont="0" applyBorder="0" applyAlignment="0">
      <alignment horizontal="right"/>
      <protection locked="0"/>
    </xf>
    <xf numFmtId="165" fontId="6" fillId="3" borderId="0" applyFont="0" applyBorder="0">
      <alignment horizontal="right"/>
      <protection locked="0"/>
    </xf>
    <xf numFmtId="9" fontId="6"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41" fillId="10" borderId="0"/>
    <xf numFmtId="0" fontId="6" fillId="0" borderId="0"/>
    <xf numFmtId="0" fontId="5" fillId="0" borderId="0"/>
    <xf numFmtId="0" fontId="41" fillId="13" borderId="0">
      <alignment horizontal="left" vertical="center"/>
      <protection locked="0"/>
    </xf>
    <xf numFmtId="0" fontId="55" fillId="12" borderId="0">
      <alignment vertical="center"/>
      <protection locked="0"/>
    </xf>
    <xf numFmtId="0" fontId="6" fillId="0" borderId="0" applyFill="0"/>
    <xf numFmtId="0" fontId="6" fillId="0" borderId="0"/>
    <xf numFmtId="0" fontId="6" fillId="0" borderId="0"/>
    <xf numFmtId="0" fontId="6" fillId="0" borderId="0"/>
    <xf numFmtId="184" fontId="6" fillId="0" borderId="0"/>
    <xf numFmtId="0" fontId="70" fillId="0" borderId="0"/>
    <xf numFmtId="0" fontId="70"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185" fontId="31" fillId="0" borderId="0"/>
    <xf numFmtId="185" fontId="31" fillId="0" borderId="0"/>
    <xf numFmtId="0" fontId="72"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2" fillId="30" borderId="0" applyNumberFormat="0" applyBorder="0" applyAlignment="0" applyProtection="0"/>
    <xf numFmtId="0" fontId="72" fillId="34" borderId="0" applyNumberFormat="0" applyBorder="0" applyAlignment="0" applyProtection="0"/>
    <xf numFmtId="0" fontId="73" fillId="31" borderId="0" applyNumberFormat="0" applyBorder="0" applyAlignment="0" applyProtection="0"/>
    <xf numFmtId="0" fontId="73" fillId="35" borderId="0" applyNumberFormat="0" applyBorder="0" applyAlignment="0" applyProtection="0"/>
    <xf numFmtId="0" fontId="72" fillId="27" borderId="0" applyNumberFormat="0" applyBorder="0" applyAlignment="0" applyProtection="0"/>
    <xf numFmtId="0" fontId="72" fillId="31" borderId="0" applyNumberFormat="0" applyBorder="0" applyAlignment="0" applyProtection="0"/>
    <xf numFmtId="0" fontId="73" fillId="31" borderId="0" applyNumberFormat="0" applyBorder="0" applyAlignment="0" applyProtection="0"/>
    <xf numFmtId="0" fontId="73" fillId="36" borderId="0" applyNumberFormat="0" applyBorder="0" applyAlignment="0" applyProtection="0"/>
    <xf numFmtId="0" fontId="72" fillId="37" borderId="0" applyNumberFormat="0" applyBorder="0" applyAlignment="0" applyProtection="0"/>
    <xf numFmtId="0" fontId="72" fillId="27"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2" fillId="30" borderId="0" applyNumberFormat="0" applyBorder="0" applyAlignment="0" applyProtection="0"/>
    <xf numFmtId="0" fontId="72"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4" fillId="0" borderId="0"/>
    <xf numFmtId="42" fontId="75" fillId="0" borderId="0" applyFont="0" applyFill="0" applyBorder="0" applyAlignment="0" applyProtection="0"/>
    <xf numFmtId="0" fontId="76" fillId="40" borderId="0" applyNumberFormat="0" applyBorder="0" applyAlignment="0" applyProtection="0"/>
    <xf numFmtId="0" fontId="77" fillId="0" borderId="0" applyNumberFormat="0" applyFill="0" applyBorder="0" applyAlignment="0"/>
    <xf numFmtId="165" fontId="6" fillId="7" borderId="0" applyNumberFormat="0" applyFont="0" applyBorder="0" applyAlignment="0">
      <alignment horizontal="right"/>
    </xf>
    <xf numFmtId="165" fontId="6" fillId="7" borderId="0" applyNumberFormat="0" applyFont="0" applyBorder="0" applyAlignment="0">
      <alignment horizontal="right"/>
    </xf>
    <xf numFmtId="0" fontId="78" fillId="0" borderId="0" applyNumberFormat="0" applyFill="0" applyBorder="0" applyAlignment="0">
      <protection locked="0"/>
    </xf>
    <xf numFmtId="0" fontId="79" fillId="24" borderId="70" applyNumberFormat="0" applyAlignment="0" applyProtection="0"/>
    <xf numFmtId="0" fontId="80" fillId="41" borderId="71" applyNumberFormat="0" applyAlignment="0" applyProtection="0"/>
    <xf numFmtId="41" fontId="6" fillId="0" borderId="0" applyFont="0" applyFill="0" applyBorder="0" applyAlignment="0" applyProtection="0"/>
    <xf numFmtId="0" fontId="81"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6" fontId="8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8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0" fontId="84" fillId="42"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184" fontId="72" fillId="0" borderId="0" applyFont="0" applyFill="0" applyBorder="0" applyAlignment="0" applyProtection="0"/>
    <xf numFmtId="0" fontId="85" fillId="0" borderId="0" applyNumberFormat="0" applyFill="0" applyBorder="0" applyAlignment="0" applyProtection="0"/>
    <xf numFmtId="187" fontId="6" fillId="0" borderId="0" applyFont="0" applyFill="0" applyBorder="0" applyAlignment="0" applyProtection="0"/>
    <xf numFmtId="187" fontId="6" fillId="0" borderId="0" applyFont="0" applyFill="0" applyBorder="0" applyAlignment="0" applyProtection="0"/>
    <xf numFmtId="0" fontId="86" fillId="0" borderId="0"/>
    <xf numFmtId="0" fontId="87" fillId="0" borderId="0"/>
    <xf numFmtId="0" fontId="88" fillId="45" borderId="0" applyNumberFormat="0" applyBorder="0" applyAlignment="0" applyProtection="0"/>
    <xf numFmtId="0" fontId="8" fillId="0" borderId="0" applyFill="0" applyBorder="0">
      <alignment vertical="center"/>
    </xf>
    <xf numFmtId="0" fontId="89" fillId="0" borderId="72" applyNumberFormat="0" applyFill="0" applyAlignment="0" applyProtection="0"/>
    <xf numFmtId="0" fontId="8" fillId="0" borderId="0" applyFill="0" applyBorder="0">
      <alignment vertical="center"/>
    </xf>
    <xf numFmtId="0" fontId="29" fillId="0" borderId="0" applyFill="0" applyBorder="0">
      <alignment vertical="center"/>
    </xf>
    <xf numFmtId="0" fontId="90" fillId="0" borderId="73" applyNumberFormat="0" applyFill="0" applyAlignment="0" applyProtection="0"/>
    <xf numFmtId="0" fontId="29" fillId="0" borderId="0" applyFill="0" applyBorder="0">
      <alignment vertical="center"/>
    </xf>
    <xf numFmtId="0" fontId="91" fillId="0" borderId="74" applyNumberFormat="0" applyFill="0" applyAlignment="0" applyProtection="0"/>
    <xf numFmtId="0" fontId="91" fillId="0" borderId="74" applyNumberFormat="0" applyFill="0" applyAlignment="0" applyProtection="0"/>
    <xf numFmtId="0" fontId="30" fillId="0" borderId="0" applyFill="0" applyBorder="0">
      <alignment vertical="center"/>
    </xf>
    <xf numFmtId="0" fontId="30" fillId="0" borderId="0" applyFill="0" applyBorder="0">
      <alignment vertical="center"/>
    </xf>
    <xf numFmtId="0" fontId="31" fillId="0" borderId="0" applyFill="0" applyBorder="0">
      <alignment vertical="center"/>
    </xf>
    <xf numFmtId="0" fontId="91" fillId="0" borderId="0" applyNumberFormat="0" applyFill="0" applyBorder="0" applyAlignment="0" applyProtection="0"/>
    <xf numFmtId="0" fontId="31" fillId="0" borderId="0" applyFill="0" applyBorder="0">
      <alignment vertical="center"/>
    </xf>
    <xf numFmtId="167" fontId="92" fillId="0" borderId="0"/>
    <xf numFmtId="0" fontId="93" fillId="0" borderId="0" applyNumberFormat="0" applyFill="0" applyBorder="0" applyAlignment="0" applyProtection="0">
      <alignment vertical="top"/>
      <protection locked="0"/>
    </xf>
    <xf numFmtId="0" fontId="94" fillId="0" borderId="0" applyFill="0" applyBorder="0">
      <alignment horizontal="center" vertical="center"/>
      <protection locked="0"/>
    </xf>
    <xf numFmtId="0" fontId="95" fillId="0" borderId="0" applyFill="0" applyBorder="0">
      <alignment horizontal="left" vertical="center"/>
      <protection locked="0"/>
    </xf>
    <xf numFmtId="188" fontId="6" fillId="3" borderId="0" applyFont="0" applyBorder="0">
      <alignment horizontal="right"/>
    </xf>
    <xf numFmtId="0" fontId="96" fillId="22" borderId="70" applyNumberFormat="0" applyAlignment="0" applyProtection="0"/>
    <xf numFmtId="165" fontId="6" fillId="8" borderId="0" applyFont="0" applyBorder="0" applyAlignment="0">
      <alignment horizontal="right"/>
      <protection locked="0"/>
    </xf>
    <xf numFmtId="165" fontId="6" fillId="2" borderId="0" applyFont="0" applyBorder="0" applyAlignment="0">
      <alignment horizontal="right"/>
      <protection locked="0"/>
    </xf>
    <xf numFmtId="189" fontId="6" fillId="46" borderId="0" applyFont="0" applyBorder="0">
      <alignment horizontal="right"/>
      <protection locked="0"/>
    </xf>
    <xf numFmtId="189" fontId="6" fillId="46" borderId="0" applyFont="0" applyBorder="0">
      <alignment horizontal="right"/>
      <protection locked="0"/>
    </xf>
    <xf numFmtId="165" fontId="6" fillId="3" borderId="0" applyFont="0" applyBorder="0">
      <alignment horizontal="right"/>
      <protection locked="0"/>
    </xf>
    <xf numFmtId="0" fontId="31" fillId="7" borderId="0"/>
    <xf numFmtId="0" fontId="97" fillId="0" borderId="75" applyNumberFormat="0" applyFill="0" applyAlignment="0" applyProtection="0"/>
    <xf numFmtId="190" fontId="98" fillId="0" borderId="0"/>
    <xf numFmtId="0" fontId="17" fillId="0" borderId="0" applyFill="0" applyBorder="0">
      <alignment horizontal="left" vertical="center"/>
    </xf>
    <xf numFmtId="0" fontId="99" fillId="25" borderId="0" applyNumberFormat="0" applyBorder="0" applyAlignment="0" applyProtection="0"/>
    <xf numFmtId="175" fontId="10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72" fillId="0" borderId="0"/>
    <xf numFmtId="0" fontId="6" fillId="0" borderId="0"/>
    <xf numFmtId="0" fontId="75" fillId="0" borderId="0"/>
    <xf numFmtId="0" fontId="6" fillId="4" borderId="0"/>
    <xf numFmtId="0" fontId="6" fillId="0" borderId="0"/>
    <xf numFmtId="0" fontId="4" fillId="0" borderId="0"/>
    <xf numFmtId="0" fontId="6" fillId="0" borderId="0"/>
    <xf numFmtId="0" fontId="6" fillId="0" borderId="0"/>
    <xf numFmtId="0" fontId="6" fillId="23" borderId="76" applyNumberFormat="0" applyFont="0" applyAlignment="0" applyProtection="0"/>
    <xf numFmtId="0" fontId="101" fillId="24" borderId="77" applyNumberFormat="0" applyAlignment="0" applyProtection="0"/>
    <xf numFmtId="191" fontId="6" fillId="0" borderId="0" applyFill="0" applyBorder="0"/>
    <xf numFmtId="191" fontId="6" fillId="0" borderId="0" applyFill="0" applyBorder="0"/>
    <xf numFmtId="191"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7" fontId="102" fillId="0" borderId="0"/>
    <xf numFmtId="0" fontId="30" fillId="0" borderId="0" applyFill="0" applyBorder="0">
      <alignment vertical="center"/>
    </xf>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192" fontId="103" fillId="0" borderId="14"/>
    <xf numFmtId="0" fontId="104" fillId="0" borderId="64">
      <alignment horizontal="center"/>
    </xf>
    <xf numFmtId="3" fontId="81" fillId="0" borderId="0" applyFont="0" applyFill="0" applyBorder="0" applyAlignment="0" applyProtection="0"/>
    <xf numFmtId="0" fontId="81" fillId="47" borderId="0" applyNumberFormat="0" applyFont="0" applyBorder="0" applyAlignment="0" applyProtection="0"/>
    <xf numFmtId="193" fontId="6" fillId="0" borderId="0"/>
    <xf numFmtId="193" fontId="6" fillId="0" borderId="0"/>
    <xf numFmtId="193" fontId="6" fillId="0" borderId="0"/>
    <xf numFmtId="194" fontId="31" fillId="0" borderId="0" applyFill="0" applyBorder="0">
      <alignment horizontal="right" vertical="center"/>
    </xf>
    <xf numFmtId="195" fontId="31" fillId="0" borderId="0" applyFill="0" applyBorder="0">
      <alignment horizontal="right" vertical="center"/>
    </xf>
    <xf numFmtId="196" fontId="31" fillId="0" borderId="0" applyFill="0" applyBorder="0">
      <alignment horizontal="right" vertical="center"/>
    </xf>
    <xf numFmtId="0" fontId="6" fillId="23" borderId="0" applyNumberFormat="0" applyFont="0" applyBorder="0" applyAlignment="0" applyProtection="0"/>
    <xf numFmtId="0" fontId="6" fillId="23" borderId="0" applyNumberFormat="0" applyFont="0" applyBorder="0" applyAlignment="0" applyProtection="0"/>
    <xf numFmtId="0" fontId="6" fillId="24" borderId="0" applyNumberFormat="0" applyFont="0" applyBorder="0" applyAlignment="0" applyProtection="0"/>
    <xf numFmtId="0" fontId="6" fillId="24" borderId="0" applyNumberFormat="0" applyFont="0" applyBorder="0" applyAlignment="0" applyProtection="0"/>
    <xf numFmtId="0" fontId="6" fillId="26" borderId="0" applyNumberFormat="0" applyFont="0" applyBorder="0" applyAlignment="0" applyProtection="0"/>
    <xf numFmtId="0" fontId="6" fillId="26"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6" borderId="0" applyNumberFormat="0" applyFont="0" applyBorder="0" applyAlignment="0" applyProtection="0"/>
    <xf numFmtId="0" fontId="6" fillId="26"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105" fillId="0" borderId="0" applyNumberFormat="0" applyFill="0" applyBorder="0" applyAlignment="0" applyProtection="0"/>
    <xf numFmtId="0" fontId="6" fillId="0" borderId="0"/>
    <xf numFmtId="0" fontId="6" fillId="0" borderId="0"/>
    <xf numFmtId="0" fontId="6" fillId="0" borderId="0"/>
    <xf numFmtId="0" fontId="17" fillId="0" borderId="0"/>
    <xf numFmtId="0" fontId="106" fillId="0" borderId="0"/>
    <xf numFmtId="15" fontId="6" fillId="0" borderId="0"/>
    <xf numFmtId="15" fontId="6" fillId="0" borderId="0"/>
    <xf numFmtId="15" fontId="6" fillId="0" borderId="0"/>
    <xf numFmtId="10" fontId="6" fillId="0" borderId="0"/>
    <xf numFmtId="10" fontId="6" fillId="0" borderId="0"/>
    <xf numFmtId="10" fontId="6" fillId="0" borderId="0"/>
    <xf numFmtId="0" fontId="107" fillId="15" borderId="2" applyBorder="0" applyProtection="0">
      <alignment horizontal="centerContinuous" vertical="center"/>
    </xf>
    <xf numFmtId="0" fontId="108" fillId="0" borderId="0" applyBorder="0" applyProtection="0">
      <alignment vertical="center"/>
    </xf>
    <xf numFmtId="0" fontId="109" fillId="0" borderId="0">
      <alignment horizontal="left"/>
    </xf>
    <xf numFmtId="0" fontId="109" fillId="0" borderId="78" applyFill="0" applyBorder="0" applyProtection="0">
      <alignment horizontal="left" vertical="top"/>
    </xf>
    <xf numFmtId="49" fontId="6" fillId="0" borderId="0" applyFont="0" applyFill="0" applyBorder="0" applyAlignment="0" applyProtection="0"/>
    <xf numFmtId="0" fontId="110" fillId="0" borderId="0"/>
    <xf numFmtId="49" fontId="6" fillId="0" borderId="0" applyFont="0" applyFill="0" applyBorder="0" applyAlignment="0" applyProtection="0"/>
    <xf numFmtId="0" fontId="111" fillId="0" borderId="0"/>
    <xf numFmtId="0" fontId="111" fillId="0" borderId="0"/>
    <xf numFmtId="0" fontId="110" fillId="0" borderId="0"/>
    <xf numFmtId="190" fontId="112" fillId="0" borderId="0"/>
    <xf numFmtId="0" fontId="105" fillId="0" borderId="0" applyNumberFormat="0" applyFill="0" applyBorder="0" applyAlignment="0" applyProtection="0"/>
    <xf numFmtId="0" fontId="113" fillId="0" borderId="0" applyFill="0" applyBorder="0">
      <alignment horizontal="left" vertical="center"/>
      <protection locked="0"/>
    </xf>
    <xf numFmtId="0" fontId="110" fillId="0" borderId="0"/>
    <xf numFmtId="0" fontId="114" fillId="0" borderId="0" applyFill="0" applyBorder="0">
      <alignment horizontal="left" vertical="center"/>
      <protection locked="0"/>
    </xf>
    <xf numFmtId="0" fontId="84" fillId="0" borderId="79" applyNumberFormat="0" applyFill="0" applyAlignment="0" applyProtection="0"/>
    <xf numFmtId="0" fontId="115" fillId="0" borderId="0" applyNumberFormat="0" applyFill="0" applyBorder="0" applyAlignment="0" applyProtection="0"/>
    <xf numFmtId="197" fontId="6" fillId="0" borderId="2" applyBorder="0" applyProtection="0">
      <alignment horizontal="right"/>
    </xf>
    <xf numFmtId="197" fontId="6" fillId="0" borderId="2" applyBorder="0" applyProtection="0">
      <alignment horizontal="right"/>
    </xf>
    <xf numFmtId="197" fontId="6" fillId="0" borderId="2" applyBorder="0" applyProtection="0">
      <alignment horizontal="right"/>
    </xf>
    <xf numFmtId="0" fontId="3" fillId="0" borderId="0"/>
    <xf numFmtId="0" fontId="6" fillId="0" borderId="0"/>
    <xf numFmtId="44" fontId="6" fillId="0" borderId="0" applyFont="0" applyFill="0" applyBorder="0" applyAlignment="0" applyProtection="0"/>
    <xf numFmtId="0" fontId="91" fillId="0" borderId="83" applyNumberFormat="0" applyFill="0" applyAlignment="0" applyProtection="0"/>
    <xf numFmtId="0" fontId="91" fillId="0" borderId="83" applyNumberFormat="0" applyFill="0" applyAlignment="0" applyProtection="0"/>
    <xf numFmtId="0" fontId="72" fillId="0" borderId="0"/>
    <xf numFmtId="0" fontId="3" fillId="0" borderId="0"/>
    <xf numFmtId="0" fontId="3" fillId="0" borderId="0"/>
    <xf numFmtId="0" fontId="107" fillId="15" borderId="56" applyBorder="0" applyProtection="0">
      <alignment horizontal="centerContinuous" vertical="center"/>
    </xf>
    <xf numFmtId="197" fontId="6" fillId="0" borderId="56" applyBorder="0" applyProtection="0">
      <alignment horizontal="right"/>
    </xf>
    <xf numFmtId="197" fontId="6" fillId="0" borderId="56" applyBorder="0" applyProtection="0">
      <alignment horizontal="right"/>
    </xf>
    <xf numFmtId="184" fontId="6" fillId="0" borderId="0"/>
    <xf numFmtId="0" fontId="3" fillId="0" borderId="0">
      <protection locked="0"/>
    </xf>
    <xf numFmtId="198" fontId="6" fillId="18" borderId="84" applyFill="0">
      <alignment horizontal="right" vertical="center" wrapText="1"/>
      <protection locked="0"/>
    </xf>
    <xf numFmtId="198" fontId="56" fillId="19" borderId="67">
      <alignment horizontal="right" vertical="center" wrapText="1"/>
    </xf>
    <xf numFmtId="0" fontId="3" fillId="0" borderId="0"/>
    <xf numFmtId="0" fontId="117" fillId="0" borderId="0"/>
    <xf numFmtId="9" fontId="3" fillId="0" borderId="0" applyFont="0" applyFill="0" applyBorder="0" applyAlignment="0" applyProtection="0"/>
    <xf numFmtId="0" fontId="80" fillId="41" borderId="71" applyNumberFormat="0" applyAlignment="0" applyProtection="0"/>
    <xf numFmtId="0" fontId="3" fillId="0" borderId="0"/>
    <xf numFmtId="0" fontId="3" fillId="0" borderId="0"/>
    <xf numFmtId="0" fontId="6" fillId="0" borderId="0" applyFill="0"/>
    <xf numFmtId="0" fontId="3" fillId="0" borderId="0"/>
    <xf numFmtId="0" fontId="118" fillId="0" borderId="0" applyNumberFormat="0" applyFill="0" applyBorder="0" applyAlignment="0" applyProtection="0">
      <alignment vertical="top"/>
      <protection locked="0"/>
    </xf>
    <xf numFmtId="188" fontId="6" fillId="3" borderId="0" applyFont="0" applyBorder="0">
      <alignment horizontal="right"/>
    </xf>
    <xf numFmtId="167" fontId="6" fillId="3" borderId="0" applyFont="0" applyBorder="0" applyAlignment="0"/>
    <xf numFmtId="165" fontId="6" fillId="2" borderId="0" applyFont="0" applyBorder="0" applyAlignment="0">
      <alignment horizontal="right"/>
      <protection locked="0"/>
    </xf>
    <xf numFmtId="10" fontId="6" fillId="2" borderId="0" applyFont="0" applyBorder="0">
      <alignment horizontal="right"/>
      <protection locked="0"/>
    </xf>
    <xf numFmtId="3" fontId="6" fillId="48" borderId="0" applyFont="0" applyBorder="0">
      <protection locked="0"/>
    </xf>
    <xf numFmtId="167" fontId="29" fillId="48" borderId="0" applyBorder="0" applyAlignment="0">
      <protection locked="0"/>
    </xf>
    <xf numFmtId="167" fontId="119" fillId="49" borderId="0" applyBorder="0" applyAlignment="0"/>
    <xf numFmtId="188" fontId="116" fillId="7" borderId="18" applyFont="0" applyBorder="0" applyAlignment="0"/>
    <xf numFmtId="167" fontId="29" fillId="7" borderId="0" applyFont="0" applyBorder="0" applyAlignment="0"/>
    <xf numFmtId="0" fontId="3" fillId="0" borderId="0">
      <protection locked="0"/>
    </xf>
    <xf numFmtId="0" fontId="2" fillId="0" borderId="0"/>
    <xf numFmtId="0" fontId="2" fillId="0" borderId="0"/>
    <xf numFmtId="0" fontId="2" fillId="0" borderId="0"/>
    <xf numFmtId="0" fontId="2" fillId="0" borderId="0"/>
    <xf numFmtId="0" fontId="6" fillId="4" borderId="0"/>
    <xf numFmtId="0" fontId="6" fillId="61" borderId="0"/>
    <xf numFmtId="0" fontId="2" fillId="51" borderId="0" applyNumberFormat="0" applyBorder="0" applyAlignment="0" applyProtection="0"/>
    <xf numFmtId="0" fontId="2" fillId="52" borderId="0" applyNumberFormat="0" applyBorder="0" applyAlignment="0" applyProtection="0"/>
    <xf numFmtId="165" fontId="6" fillId="7" borderId="0" applyNumberFormat="0" applyFont="0" applyBorder="0" applyAlignment="0">
      <alignment horizontal="right"/>
    </xf>
    <xf numFmtId="0" fontId="79" fillId="24" borderId="70" applyNumberFormat="0" applyAlignment="0" applyProtection="0"/>
    <xf numFmtId="0" fontId="79" fillId="24" borderId="70" applyNumberFormat="0" applyAlignment="0" applyProtection="0"/>
    <xf numFmtId="43" fontId="2" fillId="0" borderId="0" applyFont="0" applyFill="0" applyBorder="0" applyAlignment="0" applyProtection="0"/>
    <xf numFmtId="166" fontId="6"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9"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9" fontId="143" fillId="63" borderId="90">
      <alignment horizontal="center" vertical="center" wrapText="1"/>
    </xf>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1" fillId="0" borderId="159" applyNumberFormat="0" applyFill="0" applyAlignment="0" applyProtection="0"/>
    <xf numFmtId="0" fontId="93" fillId="0" borderId="0" applyNumberFormat="0" applyFill="0" applyBorder="0" applyAlignment="0" applyProtection="0">
      <alignment vertical="top"/>
      <protection locked="0"/>
    </xf>
    <xf numFmtId="0" fontId="144" fillId="0" borderId="0" applyNumberFormat="0" applyFill="0" applyBorder="0" applyAlignment="0" applyProtection="0"/>
    <xf numFmtId="0" fontId="145" fillId="0" borderId="0" applyNumberFormat="0" applyFill="0" applyBorder="0" applyAlignment="0" applyProtection="0">
      <alignment vertical="top"/>
      <protection locked="0"/>
    </xf>
    <xf numFmtId="0" fontId="96" fillId="22" borderId="70" applyNumberFormat="0" applyAlignment="0" applyProtection="0"/>
    <xf numFmtId="0" fontId="96" fillId="22" borderId="70" applyNumberFormat="0" applyAlignment="0" applyProtection="0"/>
    <xf numFmtId="165" fontId="6" fillId="8" borderId="0" applyFont="0" applyBorder="0" applyAlignment="0">
      <alignment horizontal="right"/>
      <protection locked="0"/>
    </xf>
    <xf numFmtId="165" fontId="6" fillId="8" borderId="0" applyFont="0" applyBorder="0" applyAlignment="0">
      <alignment horizontal="right"/>
      <protection locked="0"/>
    </xf>
    <xf numFmtId="165" fontId="6" fillId="8" borderId="0" applyFont="0" applyBorder="0" applyAlignment="0">
      <alignment horizontal="right"/>
      <protection locked="0"/>
    </xf>
    <xf numFmtId="165" fontId="6" fillId="2" borderId="0" applyFont="0" applyBorder="0" applyAlignment="0">
      <alignment horizontal="right"/>
      <protection locked="0"/>
    </xf>
    <xf numFmtId="189" fontId="6" fillId="46" borderId="0" applyFont="0" applyBorder="0">
      <alignment horizontal="right"/>
      <protection locked="0"/>
    </xf>
    <xf numFmtId="165" fontId="6" fillId="3" borderId="0" applyFont="0" applyBorder="0">
      <alignment horizontal="right"/>
      <protection locked="0"/>
    </xf>
    <xf numFmtId="198" fontId="2" fillId="18" borderId="67">
      <protection locked="0"/>
    </xf>
    <xf numFmtId="198" fontId="2" fillId="18" borderId="67">
      <protection locked="0"/>
    </xf>
    <xf numFmtId="49" fontId="2" fillId="18" borderId="67" applyFont="0" applyAlignment="0">
      <alignment horizontal="left" vertical="center" wrapText="1"/>
      <protection locked="0"/>
    </xf>
    <xf numFmtId="49" fontId="2" fillId="18" borderId="67" applyFont="0" applyAlignment="0">
      <alignment horizontal="left" vertical="center" wrapText="1"/>
      <protection locked="0"/>
    </xf>
    <xf numFmtId="49" fontId="2" fillId="18" borderId="67" applyFont="0" applyAlignment="0">
      <alignment horizontal="left" vertical="center" wrapText="1"/>
      <protection locked="0"/>
    </xf>
    <xf numFmtId="198" fontId="2" fillId="19" borderId="67"/>
    <xf numFmtId="198" fontId="2" fillId="19" borderId="67"/>
    <xf numFmtId="0" fontId="6" fillId="0" borderId="0"/>
    <xf numFmtId="0" fontId="6" fillId="0" borderId="0"/>
    <xf numFmtId="0" fontId="6" fillId="4" borderId="0"/>
    <xf numFmtId="0" fontId="2" fillId="0" borderId="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4" borderId="0"/>
    <xf numFmtId="0" fontId="6" fillId="4" borderId="0"/>
    <xf numFmtId="0" fontId="6" fillId="0" borderId="0"/>
    <xf numFmtId="0" fontId="72" fillId="0" borderId="0"/>
    <xf numFmtId="0" fontId="72" fillId="0" borderId="0"/>
    <xf numFmtId="0" fontId="6" fillId="0" borderId="0"/>
    <xf numFmtId="0" fontId="6" fillId="0" borderId="0"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4" borderId="0"/>
    <xf numFmtId="0" fontId="6" fillId="0" borderId="0"/>
    <xf numFmtId="0" fontId="6" fillId="4" borderId="0"/>
    <xf numFmtId="0" fontId="2" fillId="0" borderId="0"/>
    <xf numFmtId="0" fontId="2" fillId="0" borderId="0"/>
    <xf numFmtId="0" fontId="6" fillId="0" borderId="0"/>
    <xf numFmtId="0" fontId="6" fillId="0" borderId="0"/>
    <xf numFmtId="0" fontId="2"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6" fillId="4"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6" fillId="0" borderId="0"/>
    <xf numFmtId="0" fontId="6" fillId="23" borderId="76" applyNumberFormat="0" applyFont="0" applyAlignment="0" applyProtection="0"/>
    <xf numFmtId="0" fontId="6" fillId="23" borderId="76" applyNumberFormat="0" applyFont="0" applyAlignment="0" applyProtection="0"/>
    <xf numFmtId="0" fontId="6" fillId="23" borderId="76" applyNumberFormat="0" applyFont="0" applyAlignment="0" applyProtection="0"/>
    <xf numFmtId="0" fontId="6" fillId="23" borderId="76" applyNumberFormat="0" applyFont="0" applyAlignment="0" applyProtection="0"/>
    <xf numFmtId="0" fontId="6" fillId="23" borderId="76" applyNumberFormat="0" applyFont="0" applyAlignment="0" applyProtection="0"/>
    <xf numFmtId="0" fontId="6" fillId="23" borderId="76" applyNumberFormat="0" applyFont="0" applyAlignment="0" applyProtection="0"/>
    <xf numFmtId="0" fontId="6" fillId="23" borderId="76" applyNumberFormat="0" applyFont="0" applyAlignment="0" applyProtection="0"/>
    <xf numFmtId="0" fontId="6" fillId="23" borderId="76" applyNumberFormat="0" applyFont="0" applyAlignment="0" applyProtection="0"/>
    <xf numFmtId="0" fontId="101" fillId="24" borderId="77" applyNumberFormat="0" applyAlignment="0" applyProtection="0"/>
    <xf numFmtId="0" fontId="101" fillId="24" borderId="77"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160">
      <alignment horizontal="center"/>
    </xf>
    <xf numFmtId="0" fontId="104" fillId="0" borderId="160">
      <alignment horizontal="center"/>
    </xf>
    <xf numFmtId="0" fontId="104" fillId="0" borderId="160">
      <alignment horizontal="center"/>
    </xf>
    <xf numFmtId="0" fontId="104" fillId="0" borderId="160">
      <alignment horizontal="center"/>
    </xf>
    <xf numFmtId="0" fontId="104" fillId="0" borderId="160">
      <alignment horizontal="center"/>
    </xf>
    <xf numFmtId="0" fontId="104" fillId="0" borderId="160">
      <alignment horizontal="center"/>
    </xf>
    <xf numFmtId="198" fontId="62" fillId="18" borderId="86">
      <alignment horizontal="right" indent="2"/>
      <protection locked="0"/>
    </xf>
    <xf numFmtId="0" fontId="6" fillId="0" borderId="0"/>
    <xf numFmtId="0" fontId="6" fillId="0" borderId="0"/>
    <xf numFmtId="0" fontId="6" fillId="0" borderId="0"/>
    <xf numFmtId="0" fontId="6" fillId="0" borderId="0"/>
    <xf numFmtId="0" fontId="6" fillId="0" borderId="0"/>
    <xf numFmtId="0" fontId="84" fillId="0" borderId="79" applyNumberFormat="0" applyFill="0" applyAlignment="0" applyProtection="0"/>
    <xf numFmtId="0" fontId="84" fillId="0" borderId="79" applyNumberFormat="0" applyFill="0" applyAlignment="0" applyProtection="0"/>
    <xf numFmtId="0" fontId="1"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43" fontId="6" fillId="0" borderId="0" applyFont="0" applyFill="0" applyBorder="0" applyAlignment="0" applyProtection="0"/>
    <xf numFmtId="0" fontId="6" fillId="0" borderId="0"/>
    <xf numFmtId="0" fontId="6" fillId="0" borderId="0" applyFill="0"/>
    <xf numFmtId="0" fontId="6" fillId="4" borderId="0"/>
    <xf numFmtId="0" fontId="6" fillId="4" borderId="0"/>
    <xf numFmtId="0" fontId="6" fillId="4"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4" fillId="0" borderId="160">
      <alignment horizontal="center"/>
    </xf>
    <xf numFmtId="0" fontId="104" fillId="0" borderId="160">
      <alignment horizontal="center"/>
    </xf>
    <xf numFmtId="0" fontId="104" fillId="0" borderId="160">
      <alignment horizontal="center"/>
    </xf>
    <xf numFmtId="0" fontId="104" fillId="0" borderId="160">
      <alignment horizontal="center"/>
    </xf>
    <xf numFmtId="0" fontId="104" fillId="0" borderId="160">
      <alignment horizontal="center"/>
    </xf>
    <xf numFmtId="0" fontId="104" fillId="0" borderId="160">
      <alignment horizontal="center"/>
    </xf>
    <xf numFmtId="0" fontId="104" fillId="0" borderId="160">
      <alignment horizontal="center"/>
    </xf>
    <xf numFmtId="0" fontId="1" fillId="0" borderId="0"/>
    <xf numFmtId="0" fontId="1" fillId="0" borderId="0"/>
    <xf numFmtId="0" fontId="1" fillId="0" borderId="0"/>
  </cellStyleXfs>
  <cellXfs count="1630">
    <xf numFmtId="0" fontId="0" fillId="0" borderId="0" xfId="0"/>
    <xf numFmtId="0" fontId="0" fillId="0" borderId="0" xfId="0" applyAlignment="1">
      <alignment horizontal="center"/>
    </xf>
    <xf numFmtId="0" fontId="0" fillId="0" borderId="0" xfId="0" applyBorder="1"/>
    <xf numFmtId="10" fontId="6" fillId="0" borderId="0" xfId="5" applyNumberFormat="1"/>
    <xf numFmtId="0" fontId="0" fillId="0" borderId="0" xfId="0" applyFill="1"/>
    <xf numFmtId="0" fontId="18"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12" fillId="0" borderId="0" xfId="0" applyFont="1" applyProtection="1">
      <protection locked="0"/>
    </xf>
    <xf numFmtId="0" fontId="0" fillId="0" borderId="0" xfId="0" applyFill="1" applyProtection="1">
      <protection locked="0"/>
    </xf>
    <xf numFmtId="0" fontId="10" fillId="0" borderId="0" xfId="0" applyFont="1" applyProtection="1">
      <protection locked="0"/>
    </xf>
    <xf numFmtId="0" fontId="6" fillId="0" borderId="0" xfId="0" applyFont="1" applyFill="1" applyProtection="1">
      <protection locked="0"/>
    </xf>
    <xf numFmtId="0" fontId="14" fillId="0" borderId="0" xfId="0" applyFont="1" applyProtection="1">
      <protection locked="0"/>
    </xf>
    <xf numFmtId="0" fontId="12" fillId="0" borderId="0" xfId="0" applyFont="1" applyBorder="1" applyAlignment="1">
      <alignment horizontal="left" vertical="center"/>
    </xf>
    <xf numFmtId="0" fontId="22" fillId="0" borderId="0" xfId="0" applyFont="1" applyProtection="1">
      <protection locked="0"/>
    </xf>
    <xf numFmtId="0" fontId="0" fillId="4" borderId="0" xfId="0" applyFill="1" applyBorder="1" applyAlignment="1">
      <alignment wrapText="1"/>
    </xf>
    <xf numFmtId="0" fontId="0" fillId="4" borderId="0" xfId="0" applyFill="1"/>
    <xf numFmtId="0" fontId="8" fillId="4" borderId="0" xfId="0" applyFont="1" applyFill="1" applyAlignment="1">
      <alignment horizontal="center" wrapText="1"/>
    </xf>
    <xf numFmtId="10" fontId="8" fillId="4" borderId="0" xfId="5" applyNumberFormat="1" applyFont="1" applyFill="1" applyAlignment="1">
      <alignment horizontal="center" wrapText="1"/>
    </xf>
    <xf numFmtId="0" fontId="0" fillId="4" borderId="0" xfId="0" applyFill="1" applyBorder="1"/>
    <xf numFmtId="0" fontId="12" fillId="4" borderId="0" xfId="0" applyFont="1" applyFill="1" applyBorder="1" applyAlignment="1">
      <alignment wrapText="1"/>
    </xf>
    <xf numFmtId="0" fontId="0" fillId="4" borderId="0" xfId="0" applyFill="1" applyBorder="1" applyAlignment="1">
      <alignment vertical="center" wrapText="1"/>
    </xf>
    <xf numFmtId="0" fontId="12" fillId="4" borderId="0" xfId="0" applyFont="1" applyFill="1" applyBorder="1" applyAlignment="1">
      <alignment horizontal="left" vertical="center"/>
    </xf>
    <xf numFmtId="0" fontId="8" fillId="4" borderId="0" xfId="0" applyFont="1" applyFill="1" applyBorder="1" applyAlignment="1">
      <alignment horizontal="center"/>
    </xf>
    <xf numFmtId="10" fontId="8" fillId="4" borderId="0" xfId="5" applyNumberFormat="1" applyFont="1" applyFill="1" applyBorder="1" applyAlignment="1">
      <alignment horizontal="center"/>
    </xf>
    <xf numFmtId="0" fontId="8" fillId="4" borderId="0" xfId="0" applyFont="1" applyFill="1" applyBorder="1"/>
    <xf numFmtId="0" fontId="0" fillId="4" borderId="0" xfId="0" applyFill="1" applyAlignment="1">
      <alignment horizontal="center"/>
    </xf>
    <xf numFmtId="0" fontId="0" fillId="4" borderId="0" xfId="0" applyFill="1" applyAlignment="1"/>
    <xf numFmtId="10" fontId="6" fillId="4" borderId="0" xfId="5" applyNumberFormat="1" applyFill="1"/>
    <xf numFmtId="171" fontId="12" fillId="4" borderId="0" xfId="1" applyNumberFormat="1" applyFont="1" applyFill="1"/>
    <xf numFmtId="0" fontId="23" fillId="4" borderId="0" xfId="0" applyFont="1" applyFill="1" applyAlignment="1">
      <alignment horizontal="center"/>
    </xf>
    <xf numFmtId="0" fontId="23" fillId="4" borderId="0" xfId="0" applyFont="1" applyFill="1" applyAlignment="1">
      <alignment horizontal="right"/>
    </xf>
    <xf numFmtId="0" fontId="8" fillId="4" borderId="0" xfId="0" applyFont="1" applyFill="1"/>
    <xf numFmtId="43" fontId="23" fillId="4" borderId="0" xfId="1" applyFont="1" applyFill="1" applyAlignment="1">
      <alignment horizontal="left"/>
    </xf>
    <xf numFmtId="43" fontId="12" fillId="4" borderId="0" xfId="1" applyFont="1" applyFill="1"/>
    <xf numFmtId="0" fontId="8" fillId="4" borderId="0" xfId="0" applyFont="1" applyFill="1" applyAlignment="1">
      <alignment horizontal="right"/>
    </xf>
    <xf numFmtId="0" fontId="0" fillId="4" borderId="2" xfId="0" applyFill="1" applyBorder="1"/>
    <xf numFmtId="0" fontId="8" fillId="4" borderId="2" xfId="0" applyFont="1" applyFill="1" applyBorder="1" applyAlignment="1">
      <alignment horizontal="right"/>
    </xf>
    <xf numFmtId="171" fontId="12" fillId="0" borderId="2" xfId="1" applyNumberFormat="1" applyFont="1" applyFill="1" applyBorder="1"/>
    <xf numFmtId="43" fontId="0" fillId="4" borderId="0" xfId="0" applyNumberFormat="1" applyFill="1"/>
    <xf numFmtId="0" fontId="8" fillId="0" borderId="0" xfId="0" applyFont="1" applyFill="1" applyBorder="1" applyAlignment="1" applyProtection="1">
      <alignment horizontal="center"/>
      <protection locked="0"/>
    </xf>
    <xf numFmtId="0" fontId="12" fillId="4" borderId="0" xfId="0" applyFont="1" applyFill="1" applyProtection="1">
      <protection locked="0"/>
    </xf>
    <xf numFmtId="0" fontId="12" fillId="4" borderId="0" xfId="0" applyFont="1" applyFill="1" applyAlignment="1" applyProtection="1">
      <alignment horizontal="center"/>
      <protection locked="0"/>
    </xf>
    <xf numFmtId="10" fontId="12" fillId="4" borderId="0" xfId="5" applyNumberFormat="1" applyFont="1" applyFill="1" applyProtection="1">
      <protection locked="0"/>
    </xf>
    <xf numFmtId="10" fontId="12" fillId="4" borderId="0" xfId="0" applyNumberFormat="1" applyFont="1" applyFill="1" applyProtection="1">
      <protection locked="0"/>
    </xf>
    <xf numFmtId="0" fontId="0" fillId="4" borderId="0" xfId="0" applyFill="1" applyProtection="1">
      <protection locked="0"/>
    </xf>
    <xf numFmtId="0" fontId="0" fillId="4" borderId="0" xfId="0" applyFill="1" applyAlignment="1" applyProtection="1">
      <alignment horizontal="center"/>
      <protection locked="0"/>
    </xf>
    <xf numFmtId="0" fontId="8" fillId="4" borderId="0" xfId="0" applyFont="1" applyFill="1" applyBorder="1" applyAlignment="1" applyProtection="1">
      <alignment horizontal="center"/>
      <protection locked="0"/>
    </xf>
    <xf numFmtId="0" fontId="12" fillId="4" borderId="0" xfId="0" applyFont="1" applyFill="1" applyBorder="1" applyProtection="1">
      <protection locked="0"/>
    </xf>
    <xf numFmtId="0" fontId="10" fillId="4" borderId="0" xfId="0" applyFont="1" applyFill="1" applyProtection="1">
      <protection locked="0"/>
    </xf>
    <xf numFmtId="0" fontId="8" fillId="4" borderId="0" xfId="0" applyFont="1" applyFill="1" applyProtection="1">
      <protection locked="0"/>
    </xf>
    <xf numFmtId="0" fontId="8" fillId="4" borderId="0" xfId="0" applyFont="1" applyFill="1" applyAlignment="1" applyProtection="1">
      <alignment horizontal="center"/>
      <protection locked="0"/>
    </xf>
    <xf numFmtId="0" fontId="8" fillId="4" borderId="0" xfId="0" applyFont="1" applyFill="1" applyBorder="1" applyProtection="1">
      <protection locked="0"/>
    </xf>
    <xf numFmtId="0" fontId="12" fillId="4" borderId="0" xfId="0" applyFont="1" applyFill="1" applyBorder="1" applyAlignment="1" applyProtection="1">
      <alignment horizontal="center"/>
      <protection locked="0"/>
    </xf>
    <xf numFmtId="0" fontId="0" fillId="4" borderId="0" xfId="0" applyFill="1" applyBorder="1" applyProtection="1">
      <protection locked="0"/>
    </xf>
    <xf numFmtId="43" fontId="12" fillId="4" borderId="0" xfId="1" applyFont="1" applyFill="1" applyProtection="1">
      <protection locked="0"/>
    </xf>
    <xf numFmtId="0" fontId="12" fillId="4" borderId="0" xfId="0" applyFont="1" applyFill="1" applyAlignment="1" applyProtection="1">
      <alignment wrapText="1"/>
      <protection locked="0"/>
    </xf>
    <xf numFmtId="43" fontId="12" fillId="0" borderId="0" xfId="1" applyFont="1" applyFill="1" applyBorder="1" applyProtection="1">
      <protection locked="0"/>
    </xf>
    <xf numFmtId="0" fontId="8" fillId="4" borderId="0" xfId="0" applyFont="1" applyFill="1" applyBorder="1" applyAlignment="1">
      <alignment vertical="center"/>
    </xf>
    <xf numFmtId="0" fontId="15" fillId="0" borderId="0" xfId="0" applyFont="1" applyFill="1" applyProtection="1">
      <protection locked="0"/>
    </xf>
    <xf numFmtId="0" fontId="8" fillId="0" borderId="0" xfId="0" applyFont="1" applyFill="1" applyBorder="1" applyAlignment="1">
      <alignment horizontal="center"/>
    </xf>
    <xf numFmtId="10" fontId="6" fillId="4" borderId="0" xfId="5" applyNumberFormat="1" applyFill="1" applyBorder="1"/>
    <xf numFmtId="43" fontId="6" fillId="4" borderId="0" xfId="1" applyFill="1" applyBorder="1"/>
    <xf numFmtId="0" fontId="8" fillId="4" borderId="0" xfId="0" applyFont="1" applyFill="1" applyAlignment="1">
      <alignment horizontal="center"/>
    </xf>
    <xf numFmtId="0" fontId="17" fillId="4" borderId="0" xfId="0" applyFont="1" applyFill="1" applyBorder="1" applyAlignment="1" applyProtection="1">
      <alignment horizontal="left"/>
      <protection locked="0"/>
    </xf>
    <xf numFmtId="43" fontId="6" fillId="4" borderId="0" xfId="1" applyFill="1" applyProtection="1">
      <protection locked="0"/>
    </xf>
    <xf numFmtId="43" fontId="0" fillId="4" borderId="0" xfId="1" applyFont="1" applyFill="1" applyProtection="1">
      <protection locked="0"/>
    </xf>
    <xf numFmtId="0" fontId="22" fillId="4" borderId="0" xfId="0" applyFont="1" applyFill="1" applyProtection="1">
      <protection locked="0"/>
    </xf>
    <xf numFmtId="10" fontId="0" fillId="4" borderId="0" xfId="5" applyNumberFormat="1" applyFont="1" applyFill="1" applyProtection="1">
      <protection locked="0"/>
    </xf>
    <xf numFmtId="167" fontId="0" fillId="4" borderId="0" xfId="5" applyNumberFormat="1" applyFont="1" applyFill="1" applyProtection="1">
      <protection locked="0"/>
    </xf>
    <xf numFmtId="0" fontId="17" fillId="4" borderId="0" xfId="0" applyFont="1" applyFill="1"/>
    <xf numFmtId="0" fontId="18" fillId="4" borderId="0" xfId="0" applyFont="1" applyFill="1"/>
    <xf numFmtId="0" fontId="0" fillId="4" borderId="0" xfId="0" applyFill="1" applyAlignment="1">
      <alignment wrapText="1"/>
    </xf>
    <xf numFmtId="0" fontId="0" fillId="4" borderId="0" xfId="0" applyFill="1" applyBorder="1" applyAlignment="1"/>
    <xf numFmtId="0" fontId="15" fillId="4" borderId="0" xfId="0" applyFont="1" applyFill="1" applyBorder="1" applyProtection="1">
      <protection locked="0"/>
    </xf>
    <xf numFmtId="0" fontId="15" fillId="4" borderId="0" xfId="0" applyFont="1" applyFill="1" applyProtection="1">
      <protection locked="0"/>
    </xf>
    <xf numFmtId="0" fontId="6" fillId="4" borderId="0" xfId="0" applyFont="1" applyFill="1" applyProtection="1">
      <protection locked="0"/>
    </xf>
    <xf numFmtId="0" fontId="14" fillId="4" borderId="0" xfId="0" applyFont="1" applyFill="1" applyProtection="1">
      <protection locked="0"/>
    </xf>
    <xf numFmtId="0" fontId="11" fillId="4" borderId="0" xfId="0" applyFont="1" applyFill="1" applyProtection="1">
      <protection locked="0"/>
    </xf>
    <xf numFmtId="170" fontId="12" fillId="4" borderId="0" xfId="0" applyNumberFormat="1" applyFont="1" applyFill="1" applyProtection="1">
      <protection locked="0"/>
    </xf>
    <xf numFmtId="10" fontId="15" fillId="4" borderId="0" xfId="0" applyNumberFormat="1" applyFont="1" applyFill="1" applyBorder="1" applyProtection="1">
      <protection locked="0"/>
    </xf>
    <xf numFmtId="10" fontId="11" fillId="4" borderId="0" xfId="5" applyNumberFormat="1" applyFont="1" applyFill="1" applyProtection="1">
      <protection locked="0"/>
    </xf>
    <xf numFmtId="164" fontId="11" fillId="4" borderId="0" xfId="0" applyNumberFormat="1" applyFont="1" applyFill="1" applyProtection="1">
      <protection locked="0"/>
    </xf>
    <xf numFmtId="43" fontId="0" fillId="4" borderId="0" xfId="0" applyNumberFormat="1" applyFill="1" applyProtection="1">
      <protection locked="0"/>
    </xf>
    <xf numFmtId="10" fontId="0" fillId="4" borderId="0" xfId="0" applyNumberFormat="1" applyFill="1" applyBorder="1" applyProtection="1">
      <protection locked="0"/>
    </xf>
    <xf numFmtId="0" fontId="12" fillId="4" borderId="0" xfId="0" applyFont="1" applyFill="1"/>
    <xf numFmtId="10" fontId="8" fillId="4" borderId="0" xfId="5" applyNumberFormat="1" applyFont="1" applyFill="1" applyBorder="1" applyAlignment="1" applyProtection="1">
      <alignment horizontal="center"/>
      <protection locked="0"/>
    </xf>
    <xf numFmtId="0" fontId="8" fillId="0" borderId="0" xfId="0" applyFont="1" applyFill="1" applyAlignment="1">
      <alignment horizontal="right"/>
    </xf>
    <xf numFmtId="0" fontId="12" fillId="0" borderId="0" xfId="0" applyFont="1"/>
    <xf numFmtId="171" fontId="12" fillId="5" borderId="6" xfId="1" applyNumberFormat="1" applyFont="1" applyFill="1" applyBorder="1" applyAlignment="1">
      <alignment horizontal="right" vertical="center"/>
    </xf>
    <xf numFmtId="0" fontId="13" fillId="4" borderId="0" xfId="0" applyFont="1" applyFill="1" applyBorder="1" applyAlignment="1">
      <alignment horizontal="center" vertical="center"/>
    </xf>
    <xf numFmtId="0" fontId="28" fillId="4" borderId="0" xfId="0" applyFont="1" applyFill="1" applyProtection="1">
      <protection locked="0"/>
    </xf>
    <xf numFmtId="0" fontId="17" fillId="4" borderId="0" xfId="0" applyFont="1" applyFill="1" applyBorder="1"/>
    <xf numFmtId="0" fontId="12" fillId="4" borderId="0" xfId="0" applyFont="1" applyFill="1" applyBorder="1" applyAlignment="1"/>
    <xf numFmtId="0" fontId="12" fillId="4" borderId="2" xfId="0" applyFont="1" applyFill="1" applyBorder="1"/>
    <xf numFmtId="0" fontId="8" fillId="4" borderId="2" xfId="0" applyFont="1" applyFill="1" applyBorder="1"/>
    <xf numFmtId="170" fontId="0" fillId="4" borderId="0" xfId="0" applyNumberFormat="1" applyFill="1" applyBorder="1" applyProtection="1">
      <protection locked="0"/>
    </xf>
    <xf numFmtId="10" fontId="6" fillId="5" borderId="5" xfId="5" applyNumberFormat="1" applyFill="1" applyBorder="1" applyAlignment="1">
      <alignment vertical="center"/>
    </xf>
    <xf numFmtId="10" fontId="6" fillId="5" borderId="7" xfId="5" applyNumberFormat="1" applyFill="1" applyBorder="1" applyAlignment="1">
      <alignment vertical="center"/>
    </xf>
    <xf numFmtId="43" fontId="12" fillId="5" borderId="7" xfId="1" applyNumberFormat="1" applyFont="1" applyFill="1" applyBorder="1" applyAlignment="1">
      <alignment horizontal="right" vertical="center"/>
    </xf>
    <xf numFmtId="43" fontId="12" fillId="5" borderId="0" xfId="1" applyNumberFormat="1" applyFont="1" applyFill="1" applyBorder="1" applyAlignment="1">
      <alignment horizontal="right" vertical="center"/>
    </xf>
    <xf numFmtId="43" fontId="12" fillId="5" borderId="0" xfId="1" applyFont="1" applyFill="1" applyBorder="1" applyAlignment="1">
      <alignment horizontal="center" vertical="center"/>
    </xf>
    <xf numFmtId="169" fontId="23" fillId="4" borderId="0" xfId="1" applyNumberFormat="1" applyFont="1" applyFill="1"/>
    <xf numFmtId="169" fontId="12" fillId="4" borderId="0" xfId="1" applyNumberFormat="1" applyFont="1" applyFill="1"/>
    <xf numFmtId="43" fontId="23" fillId="4" borderId="2" xfId="1" applyNumberFormat="1" applyFont="1" applyFill="1" applyBorder="1" applyAlignment="1">
      <alignment horizontal="right"/>
    </xf>
    <xf numFmtId="43" fontId="23" fillId="4" borderId="0" xfId="1" applyNumberFormat="1" applyFont="1" applyFill="1" applyAlignment="1">
      <alignment horizontal="right"/>
    </xf>
    <xf numFmtId="0" fontId="0" fillId="6" borderId="4" xfId="0" applyFill="1" applyBorder="1"/>
    <xf numFmtId="0" fontId="0" fillId="6" borderId="0" xfId="0" applyFill="1" applyBorder="1"/>
    <xf numFmtId="0" fontId="26" fillId="6" borderId="0" xfId="0" applyFont="1" applyFill="1" applyBorder="1"/>
    <xf numFmtId="0" fontId="0" fillId="6" borderId="2" xfId="0" applyFill="1" applyBorder="1"/>
    <xf numFmtId="0" fontId="18" fillId="7" borderId="1" xfId="0" applyFont="1" applyFill="1" applyBorder="1"/>
    <xf numFmtId="0" fontId="17" fillId="7" borderId="1" xfId="0" applyFont="1" applyFill="1" applyBorder="1"/>
    <xf numFmtId="0" fontId="17" fillId="7" borderId="1" xfId="0" applyFont="1" applyFill="1" applyBorder="1" applyAlignment="1">
      <alignment horizontal="center"/>
    </xf>
    <xf numFmtId="10" fontId="17" fillId="7" borderId="1" xfId="5" applyNumberFormat="1" applyFont="1" applyFill="1" applyBorder="1" applyAlignment="1">
      <alignment horizontal="center"/>
    </xf>
    <xf numFmtId="0" fontId="0" fillId="6" borderId="1" xfId="0" applyFill="1" applyBorder="1"/>
    <xf numFmtId="0" fontId="0" fillId="6" borderId="1" xfId="0" applyFill="1" applyBorder="1" applyAlignment="1">
      <alignment wrapText="1"/>
    </xf>
    <xf numFmtId="44" fontId="8" fillId="6" borderId="1" xfId="0" applyNumberFormat="1" applyFont="1" applyFill="1" applyBorder="1" applyAlignment="1">
      <alignment horizontal="center" wrapText="1"/>
    </xf>
    <xf numFmtId="0" fontId="17" fillId="6" borderId="1" xfId="0" applyFont="1" applyFill="1" applyBorder="1" applyAlignment="1">
      <alignment vertical="center"/>
    </xf>
    <xf numFmtId="0" fontId="6" fillId="6" borderId="1" xfId="0" applyFont="1" applyFill="1" applyBorder="1"/>
    <xf numFmtId="0" fontId="19" fillId="6" borderId="1" xfId="0" applyFont="1" applyFill="1" applyBorder="1" applyAlignment="1">
      <alignment vertical="center" wrapText="1"/>
    </xf>
    <xf numFmtId="0" fontId="19" fillId="6" borderId="1" xfId="0" applyFont="1" applyFill="1" applyBorder="1" applyAlignment="1">
      <alignment wrapText="1"/>
    </xf>
    <xf numFmtId="0" fontId="17" fillId="6" borderId="1" xfId="0" applyFont="1" applyFill="1" applyBorder="1" applyAlignment="1">
      <alignment horizontal="left" vertical="center"/>
    </xf>
    <xf numFmtId="0" fontId="0" fillId="6" borderId="1" xfId="0" applyFill="1" applyBorder="1" applyAlignment="1">
      <alignment vertical="center" wrapText="1"/>
    </xf>
    <xf numFmtId="0" fontId="7" fillId="7" borderId="1" xfId="0" applyFont="1" applyFill="1" applyBorder="1" applyProtection="1">
      <protection locked="0"/>
    </xf>
    <xf numFmtId="0" fontId="7" fillId="7" borderId="1" xfId="0" applyFont="1" applyFill="1" applyBorder="1" applyAlignment="1" applyProtection="1">
      <alignment horizontal="right"/>
      <protection locked="0"/>
    </xf>
    <xf numFmtId="43" fontId="7" fillId="7" borderId="1" xfId="1" applyFont="1" applyFill="1" applyBorder="1" applyProtection="1">
      <protection locked="0"/>
    </xf>
    <xf numFmtId="43" fontId="7" fillId="7" borderId="1" xfId="1" applyFont="1" applyFill="1" applyBorder="1" applyAlignment="1" applyProtection="1">
      <alignment horizontal="center"/>
      <protection locked="0"/>
    </xf>
    <xf numFmtId="0" fontId="0" fillId="7" borderId="1" xfId="0" applyFill="1" applyBorder="1" applyProtection="1">
      <protection locked="0"/>
    </xf>
    <xf numFmtId="0" fontId="8" fillId="6" borderId="1" xfId="0" applyFont="1" applyFill="1" applyBorder="1"/>
    <xf numFmtId="0" fontId="0" fillId="6" borderId="1" xfId="0" applyFill="1" applyBorder="1" applyProtection="1">
      <protection locked="0"/>
    </xf>
    <xf numFmtId="0" fontId="8" fillId="7" borderId="1" xfId="0" applyFont="1" applyFill="1" applyBorder="1" applyAlignment="1">
      <alignment horizontal="center"/>
    </xf>
    <xf numFmtId="0" fontId="17" fillId="7" borderId="1" xfId="0" applyFont="1" applyFill="1" applyBorder="1" applyAlignment="1">
      <alignment horizontal="left"/>
    </xf>
    <xf numFmtId="171" fontId="12" fillId="6" borderId="1" xfId="1" applyNumberFormat="1" applyFont="1" applyFill="1" applyBorder="1"/>
    <xf numFmtId="43" fontId="12" fillId="6" borderId="1" xfId="1" applyFont="1" applyFill="1" applyBorder="1"/>
    <xf numFmtId="0" fontId="8" fillId="7" borderId="1" xfId="0" applyFont="1" applyFill="1" applyBorder="1" applyAlignment="1" applyProtection="1">
      <alignment horizontal="center"/>
      <protection locked="0"/>
    </xf>
    <xf numFmtId="0" fontId="17" fillId="7" borderId="1" xfId="0" applyFont="1" applyFill="1" applyBorder="1" applyAlignment="1" applyProtection="1">
      <alignment horizontal="left"/>
      <protection locked="0"/>
    </xf>
    <xf numFmtId="0" fontId="29" fillId="7" borderId="1" xfId="0" applyFont="1" applyFill="1" applyBorder="1" applyAlignment="1" applyProtection="1">
      <alignment horizontal="center"/>
      <protection locked="0"/>
    </xf>
    <xf numFmtId="0" fontId="15" fillId="6" borderId="1" xfId="0" applyFont="1" applyFill="1" applyBorder="1" applyProtection="1">
      <protection locked="0"/>
    </xf>
    <xf numFmtId="0" fontId="8" fillId="6" borderId="1" xfId="0" applyFont="1" applyFill="1" applyBorder="1" applyProtection="1">
      <protection locked="0"/>
    </xf>
    <xf numFmtId="10" fontId="15" fillId="6" borderId="1" xfId="0" applyNumberFormat="1" applyFont="1" applyFill="1" applyBorder="1" applyProtection="1">
      <protection locked="0"/>
    </xf>
    <xf numFmtId="0" fontId="12" fillId="6" borderId="1" xfId="0" applyFont="1" applyFill="1" applyBorder="1" applyProtection="1">
      <protection locked="0"/>
    </xf>
    <xf numFmtId="10" fontId="0" fillId="6" borderId="5" xfId="0" applyNumberFormat="1" applyFill="1" applyBorder="1" applyProtection="1">
      <protection locked="0"/>
    </xf>
    <xf numFmtId="10" fontId="0" fillId="6" borderId="7" xfId="0" applyNumberFormat="1" applyFill="1" applyBorder="1" applyProtection="1">
      <protection locked="0"/>
    </xf>
    <xf numFmtId="170" fontId="0" fillId="4" borderId="9" xfId="1" applyNumberFormat="1" applyFont="1" applyFill="1" applyBorder="1" applyProtection="1">
      <protection locked="0"/>
    </xf>
    <xf numFmtId="0" fontId="8" fillId="6" borderId="5" xfId="0" applyFont="1" applyFill="1" applyBorder="1" applyProtection="1">
      <protection locked="0"/>
    </xf>
    <xf numFmtId="0" fontId="15" fillId="6" borderId="6" xfId="0" applyFont="1" applyFill="1" applyBorder="1" applyProtection="1">
      <protection locked="0"/>
    </xf>
    <xf numFmtId="0" fontId="8" fillId="6" borderId="5" xfId="0" applyFont="1" applyFill="1" applyBorder="1" applyAlignment="1" applyProtection="1">
      <alignment horizontal="left"/>
      <protection locked="0"/>
    </xf>
    <xf numFmtId="10" fontId="8" fillId="6" borderId="6" xfId="5" applyNumberFormat="1" applyFont="1" applyFill="1" applyBorder="1" applyAlignment="1" applyProtection="1">
      <alignment horizontal="center"/>
      <protection locked="0"/>
    </xf>
    <xf numFmtId="10" fontId="0" fillId="6" borderId="6" xfId="0" applyNumberFormat="1" applyFill="1" applyBorder="1" applyProtection="1">
      <protection locked="0"/>
    </xf>
    <xf numFmtId="10" fontId="8" fillId="6" borderId="6" xfId="5" applyNumberFormat="1" applyFont="1" applyFill="1" applyBorder="1" applyProtection="1">
      <protection locked="0"/>
    </xf>
    <xf numFmtId="170" fontId="6" fillId="4" borderId="0" xfId="1" applyNumberFormat="1" applyFill="1" applyBorder="1" applyProtection="1"/>
    <xf numFmtId="170" fontId="0" fillId="4" borderId="0" xfId="0" applyNumberFormat="1" applyFill="1" applyBorder="1" applyProtection="1"/>
    <xf numFmtId="170" fontId="12" fillId="4" borderId="5" xfId="0" applyNumberFormat="1" applyFont="1" applyFill="1" applyBorder="1" applyProtection="1"/>
    <xf numFmtId="170" fontId="12" fillId="4" borderId="6" xfId="0" applyNumberFormat="1" applyFont="1" applyFill="1" applyBorder="1" applyProtection="1"/>
    <xf numFmtId="170" fontId="12" fillId="4" borderId="7" xfId="0" applyNumberFormat="1" applyFont="1" applyFill="1" applyBorder="1" applyProtection="1"/>
    <xf numFmtId="170" fontId="12" fillId="4" borderId="0" xfId="0" applyNumberFormat="1" applyFont="1" applyFill="1" applyBorder="1" applyProtection="1"/>
    <xf numFmtId="170" fontId="8" fillId="4" borderId="7" xfId="0" applyNumberFormat="1" applyFont="1" applyFill="1" applyBorder="1" applyProtection="1"/>
    <xf numFmtId="170" fontId="8" fillId="4" borderId="0" xfId="0" applyNumberFormat="1" applyFont="1" applyFill="1" applyBorder="1" applyProtection="1"/>
    <xf numFmtId="10" fontId="12" fillId="4" borderId="7" xfId="5" applyNumberFormat="1" applyFont="1" applyFill="1" applyBorder="1" applyProtection="1"/>
    <xf numFmtId="10" fontId="12" fillId="4" borderId="0" xfId="5" applyNumberFormat="1" applyFont="1" applyFill="1" applyBorder="1" applyProtection="1"/>
    <xf numFmtId="10" fontId="8" fillId="7" borderId="1" xfId="5" applyNumberFormat="1" applyFont="1" applyFill="1" applyBorder="1" applyProtection="1">
      <protection locked="0"/>
    </xf>
    <xf numFmtId="10" fontId="8" fillId="6" borderId="1" xfId="5" applyNumberFormat="1" applyFont="1" applyFill="1" applyBorder="1" applyProtection="1">
      <protection locked="0"/>
    </xf>
    <xf numFmtId="170" fontId="0" fillId="4" borderId="5" xfId="0" applyNumberFormat="1" applyFill="1" applyBorder="1" applyProtection="1"/>
    <xf numFmtId="170" fontId="0" fillId="4" borderId="6" xfId="0" applyNumberFormat="1" applyFill="1" applyBorder="1" applyProtection="1"/>
    <xf numFmtId="170" fontId="0" fillId="4" borderId="7" xfId="0" applyNumberFormat="1" applyFill="1" applyBorder="1" applyProtection="1"/>
    <xf numFmtId="170" fontId="0" fillId="4" borderId="7" xfId="0" applyNumberFormat="1" applyFill="1" applyBorder="1" applyProtection="1">
      <protection locked="0"/>
    </xf>
    <xf numFmtId="0" fontId="0" fillId="4" borderId="3" xfId="0" applyFill="1" applyBorder="1" applyProtection="1">
      <protection locked="0"/>
    </xf>
    <xf numFmtId="0" fontId="30" fillId="6" borderId="14" xfId="0" applyFont="1" applyFill="1" applyBorder="1" applyAlignment="1">
      <alignment horizontal="center"/>
    </xf>
    <xf numFmtId="0" fontId="30" fillId="6" borderId="15" xfId="0" applyFont="1" applyFill="1" applyBorder="1" applyAlignment="1">
      <alignment horizontal="center"/>
    </xf>
    <xf numFmtId="0" fontId="12" fillId="4" borderId="0" xfId="1" applyNumberFormat="1" applyFont="1" applyFill="1" applyBorder="1" applyAlignment="1">
      <alignment horizontal="right" vertical="center"/>
    </xf>
    <xf numFmtId="0" fontId="8" fillId="4" borderId="4" xfId="0" applyFont="1" applyFill="1" applyBorder="1" applyAlignment="1">
      <alignment horizontal="center" vertical="center"/>
    </xf>
    <xf numFmtId="171" fontId="12" fillId="4" borderId="0" xfId="1" applyNumberFormat="1" applyFont="1" applyFill="1" applyBorder="1" applyAlignment="1">
      <alignment horizontal="right" vertical="center"/>
    </xf>
    <xf numFmtId="0" fontId="12" fillId="4" borderId="0" xfId="0" applyFont="1" applyFill="1" applyBorder="1"/>
    <xf numFmtId="2" fontId="12" fillId="4" borderId="0" xfId="0" applyNumberFormat="1" applyFont="1" applyFill="1"/>
    <xf numFmtId="0" fontId="12" fillId="4" borderId="0" xfId="0" applyFont="1" applyFill="1" applyAlignment="1">
      <alignment wrapText="1"/>
    </xf>
    <xf numFmtId="0" fontId="29" fillId="4" borderId="0" xfId="0" applyFont="1" applyFill="1" applyBorder="1" applyAlignment="1" applyProtection="1">
      <alignment horizontal="center"/>
      <protection locked="0"/>
    </xf>
    <xf numFmtId="171" fontId="12" fillId="4" borderId="0" xfId="1" applyNumberFormat="1" applyFont="1" applyFill="1" applyBorder="1"/>
    <xf numFmtId="43" fontId="12" fillId="4" borderId="0" xfId="1" applyFont="1" applyFill="1" applyBorder="1"/>
    <xf numFmtId="43" fontId="12" fillId="4" borderId="6" xfId="1" applyNumberFormat="1" applyFont="1" applyFill="1" applyBorder="1" applyAlignment="1">
      <alignment horizontal="right" vertical="center"/>
    </xf>
    <xf numFmtId="43" fontId="12" fillId="4" borderId="0" xfId="1" applyNumberFormat="1" applyFont="1" applyFill="1" applyBorder="1" applyAlignment="1">
      <alignment horizontal="right" vertical="center"/>
    </xf>
    <xf numFmtId="44" fontId="23" fillId="0" borderId="0" xfId="0" applyNumberFormat="1" applyFont="1"/>
    <xf numFmtId="43" fontId="23" fillId="3" borderId="8" xfId="1" applyNumberFormat="1" applyFont="1" applyFill="1" applyBorder="1" applyAlignment="1">
      <alignment horizontal="right"/>
    </xf>
    <xf numFmtId="43" fontId="23" fillId="3" borderId="11" xfId="1" applyNumberFormat="1" applyFont="1" applyFill="1" applyBorder="1" applyAlignment="1">
      <alignment horizontal="right"/>
    </xf>
    <xf numFmtId="43" fontId="23" fillId="3" borderId="9" xfId="1" applyNumberFormat="1" applyFont="1" applyFill="1" applyBorder="1" applyAlignment="1">
      <alignment horizontal="right"/>
    </xf>
    <xf numFmtId="43" fontId="23" fillId="3" borderId="0" xfId="1" applyNumberFormat="1" applyFont="1" applyFill="1" applyAlignment="1">
      <alignment horizontal="right"/>
    </xf>
    <xf numFmtId="0" fontId="32" fillId="0" borderId="0" xfId="0" applyFont="1"/>
    <xf numFmtId="169" fontId="12" fillId="4" borderId="0" xfId="1" applyNumberFormat="1" applyFont="1" applyFill="1" applyBorder="1"/>
    <xf numFmtId="0" fontId="12" fillId="0" borderId="0" xfId="0" applyFont="1" applyFill="1" applyBorder="1"/>
    <xf numFmtId="0" fontId="0" fillId="0" borderId="0" xfId="0" applyFill="1" applyBorder="1"/>
    <xf numFmtId="0" fontId="8" fillId="6" borderId="1" xfId="0" applyFont="1" applyFill="1" applyBorder="1" applyAlignment="1">
      <alignment vertical="center"/>
    </xf>
    <xf numFmtId="0" fontId="8" fillId="4" borderId="0" xfId="2" applyNumberFormat="1" applyFont="1" applyFill="1" applyBorder="1" applyAlignment="1">
      <alignment horizontal="right" vertical="center"/>
    </xf>
    <xf numFmtId="0" fontId="8" fillId="4" borderId="0" xfId="0" applyFont="1" applyFill="1" applyBorder="1" applyAlignment="1">
      <alignment horizontal="right" vertical="center"/>
    </xf>
    <xf numFmtId="0" fontId="9" fillId="6" borderId="1" xfId="0" applyFont="1" applyFill="1" applyBorder="1" applyAlignment="1">
      <alignment vertical="center"/>
    </xf>
    <xf numFmtId="0" fontId="8" fillId="6" borderId="1" xfId="0" applyFont="1" applyFill="1" applyBorder="1" applyAlignment="1"/>
    <xf numFmtId="2" fontId="0" fillId="8" borderId="6" xfId="0" applyNumberFormat="1" applyFill="1" applyBorder="1"/>
    <xf numFmtId="2" fontId="0" fillId="8" borderId="0" xfId="0" applyNumberFormat="1" applyFill="1" applyBorder="1"/>
    <xf numFmtId="43" fontId="0" fillId="5" borderId="6" xfId="0" applyNumberFormat="1" applyFill="1" applyBorder="1" applyAlignment="1">
      <alignment horizontal="right"/>
    </xf>
    <xf numFmtId="43" fontId="6" fillId="5" borderId="6" xfId="5" applyNumberFormat="1" applyFill="1" applyBorder="1" applyAlignment="1">
      <alignment horizontal="right"/>
    </xf>
    <xf numFmtId="43" fontId="0" fillId="5" borderId="0" xfId="0" applyNumberFormat="1" applyFill="1" applyBorder="1" applyAlignment="1">
      <alignment horizontal="right"/>
    </xf>
    <xf numFmtId="43" fontId="6" fillId="5" borderId="0" xfId="5" applyNumberFormat="1" applyFill="1" applyBorder="1" applyAlignment="1">
      <alignment horizontal="right"/>
    </xf>
    <xf numFmtId="43" fontId="12" fillId="5" borderId="0" xfId="0" applyNumberFormat="1" applyFont="1" applyFill="1"/>
    <xf numFmtId="43" fontId="12" fillId="4" borderId="0" xfId="1" applyFont="1" applyFill="1" applyBorder="1" applyAlignment="1">
      <alignment horizontal="center" vertical="center"/>
    </xf>
    <xf numFmtId="44" fontId="27" fillId="4" borderId="0" xfId="0" applyNumberFormat="1" applyFont="1" applyFill="1" applyBorder="1" applyAlignment="1">
      <alignment wrapText="1"/>
    </xf>
    <xf numFmtId="44" fontId="27" fillId="4" borderId="0" xfId="0" applyNumberFormat="1" applyFont="1" applyFill="1"/>
    <xf numFmtId="0" fontId="8" fillId="4" borderId="16" xfId="0" quotePrefix="1" applyFont="1" applyFill="1" applyBorder="1" applyAlignment="1">
      <alignment horizontal="right" vertical="center"/>
    </xf>
    <xf numFmtId="0" fontId="8" fillId="6" borderId="1" xfId="0" applyFont="1" applyFill="1" applyBorder="1" applyAlignment="1">
      <alignment horizontal="left" vertical="center"/>
    </xf>
    <xf numFmtId="39" fontId="12" fillId="5" borderId="5" xfId="1" applyNumberFormat="1" applyFont="1" applyFill="1" applyBorder="1" applyAlignment="1">
      <alignment horizontal="right" vertical="center"/>
    </xf>
    <xf numFmtId="0" fontId="32" fillId="6" borderId="1" xfId="0" applyFont="1" applyFill="1" applyBorder="1" applyAlignment="1">
      <alignment vertical="center" wrapText="1"/>
    </xf>
    <xf numFmtId="0" fontId="12" fillId="0" borderId="0" xfId="0" applyFont="1" applyAlignment="1"/>
    <xf numFmtId="0" fontId="34" fillId="0" borderId="0" xfId="0" applyFont="1" applyFill="1" applyAlignment="1">
      <alignment horizontal="left"/>
    </xf>
    <xf numFmtId="0" fontId="34" fillId="0" borderId="0" xfId="0" applyFont="1" applyFill="1" applyAlignment="1">
      <alignment horizontal="center"/>
    </xf>
    <xf numFmtId="0" fontId="34" fillId="0" borderId="0" xfId="0" applyFont="1" applyFill="1"/>
    <xf numFmtId="0" fontId="34" fillId="0" borderId="0" xfId="0" applyFont="1"/>
    <xf numFmtId="175" fontId="0" fillId="4" borderId="0" xfId="0" applyNumberFormat="1" applyFill="1" applyBorder="1" applyAlignment="1">
      <alignment vertical="center" wrapText="1"/>
    </xf>
    <xf numFmtId="175" fontId="34" fillId="0" borderId="0" xfId="0" applyNumberFormat="1" applyFont="1" applyFill="1" applyAlignment="1">
      <alignment horizontal="left"/>
    </xf>
    <xf numFmtId="175" fontId="34" fillId="0" borderId="0" xfId="0" applyNumberFormat="1" applyFont="1" applyFill="1" applyAlignment="1">
      <alignment horizontal="center"/>
    </xf>
    <xf numFmtId="175" fontId="34" fillId="0" borderId="0" xfId="0" applyNumberFormat="1" applyFont="1" applyFill="1"/>
    <xf numFmtId="175" fontId="34" fillId="0" borderId="0" xfId="0" applyNumberFormat="1" applyFont="1"/>
    <xf numFmtId="175" fontId="0" fillId="0" borderId="0" xfId="0" applyNumberFormat="1" applyFill="1"/>
    <xf numFmtId="10" fontId="6" fillId="4" borderId="0" xfId="5" applyNumberFormat="1" applyFill="1" applyAlignment="1"/>
    <xf numFmtId="0" fontId="0" fillId="6" borderId="1" xfId="0" applyFill="1" applyBorder="1" applyAlignment="1"/>
    <xf numFmtId="0" fontId="8" fillId="0" borderId="0" xfId="0" applyFont="1" applyAlignment="1">
      <alignment horizontal="left"/>
    </xf>
    <xf numFmtId="10" fontId="8" fillId="4" borderId="0" xfId="5" applyNumberFormat="1" applyFont="1" applyFill="1" applyBorder="1" applyAlignment="1">
      <alignment horizontal="right"/>
    </xf>
    <xf numFmtId="44" fontId="27" fillId="4" borderId="0" xfId="2" applyFont="1" applyFill="1"/>
    <xf numFmtId="0" fontId="8" fillId="4" borderId="0" xfId="0" applyFont="1" applyFill="1" applyBorder="1" applyAlignment="1">
      <alignment horizontal="right"/>
    </xf>
    <xf numFmtId="8" fontId="8" fillId="6" borderId="5" xfId="1" applyNumberFormat="1" applyFont="1" applyFill="1" applyBorder="1"/>
    <xf numFmtId="44" fontId="27" fillId="4" borderId="0" xfId="2" applyFont="1" applyFill="1" applyBorder="1"/>
    <xf numFmtId="44" fontId="8" fillId="4" borderId="0" xfId="2" applyFont="1" applyFill="1" applyBorder="1"/>
    <xf numFmtId="0" fontId="8" fillId="0" borderId="0" xfId="0" applyFont="1" applyAlignment="1">
      <alignment horizontal="center"/>
    </xf>
    <xf numFmtId="171" fontId="0" fillId="4" borderId="0" xfId="1" applyNumberFormat="1" applyFont="1" applyFill="1" applyBorder="1" applyAlignment="1">
      <alignment vertical="center" wrapText="1"/>
    </xf>
    <xf numFmtId="2" fontId="0" fillId="4" borderId="0" xfId="0" applyNumberFormat="1" applyFill="1" applyBorder="1" applyAlignment="1">
      <alignment wrapText="1"/>
    </xf>
    <xf numFmtId="43" fontId="12" fillId="5" borderId="5" xfId="1" applyNumberFormat="1" applyFont="1" applyFill="1" applyBorder="1" applyAlignment="1">
      <alignment horizontal="right" vertical="center"/>
    </xf>
    <xf numFmtId="43" fontId="12" fillId="5" borderId="6" xfId="1" applyNumberFormat="1" applyFont="1" applyFill="1" applyBorder="1" applyAlignment="1">
      <alignment horizontal="right" vertical="center"/>
    </xf>
    <xf numFmtId="43" fontId="12" fillId="4" borderId="0" xfId="0" applyNumberFormat="1" applyFont="1" applyFill="1" applyBorder="1" applyAlignment="1">
      <alignment horizontal="left" vertical="center"/>
    </xf>
    <xf numFmtId="43" fontId="0" fillId="9" borderId="0" xfId="0" applyNumberFormat="1" applyFill="1" applyBorder="1"/>
    <xf numFmtId="0" fontId="0" fillId="9" borderId="0" xfId="0" applyFill="1" applyBorder="1"/>
    <xf numFmtId="10" fontId="0" fillId="5" borderId="5" xfId="5" applyNumberFormat="1" applyFont="1" applyFill="1" applyBorder="1" applyAlignment="1">
      <alignment horizontal="right"/>
    </xf>
    <xf numFmtId="10" fontId="6" fillId="5" borderId="6" xfId="5" applyNumberFormat="1" applyFill="1" applyBorder="1" applyAlignment="1">
      <alignment horizontal="right"/>
    </xf>
    <xf numFmtId="0" fontId="0" fillId="9" borderId="0" xfId="0" applyFill="1"/>
    <xf numFmtId="0" fontId="36" fillId="4" borderId="0" xfId="0" applyFont="1" applyFill="1" applyBorder="1" applyAlignment="1">
      <alignment vertical="center"/>
    </xf>
    <xf numFmtId="10" fontId="36" fillId="9" borderId="0" xfId="5" applyNumberFormat="1" applyFont="1" applyFill="1"/>
    <xf numFmtId="174" fontId="36" fillId="9" borderId="0" xfId="1" applyNumberFormat="1" applyFont="1" applyFill="1" applyBorder="1" applyAlignment="1">
      <alignment vertical="center"/>
    </xf>
    <xf numFmtId="10" fontId="12" fillId="4" borderId="0" xfId="5" applyNumberFormat="1" applyFont="1" applyFill="1" applyBorder="1" applyAlignment="1" applyProtection="1">
      <alignment horizontal="center"/>
      <protection locked="0"/>
    </xf>
    <xf numFmtId="172" fontId="8" fillId="4" borderId="0" xfId="1" applyNumberFormat="1" applyFont="1" applyFill="1" applyBorder="1" applyAlignment="1" applyProtection="1">
      <alignment horizontal="center"/>
      <protection locked="0"/>
    </xf>
    <xf numFmtId="10" fontId="12" fillId="6" borderId="0" xfId="0" applyNumberFormat="1" applyFont="1" applyFill="1" applyBorder="1" applyAlignment="1" applyProtection="1">
      <alignment horizontal="center"/>
      <protection locked="0"/>
    </xf>
    <xf numFmtId="10" fontId="8" fillId="6" borderId="0" xfId="0" applyNumberFormat="1" applyFont="1" applyFill="1" applyBorder="1" applyAlignment="1" applyProtection="1">
      <alignment horizontal="center"/>
      <protection locked="0"/>
    </xf>
    <xf numFmtId="10" fontId="12" fillId="6" borderId="0" xfId="5" applyNumberFormat="1" applyFont="1" applyFill="1" applyBorder="1" applyAlignment="1" applyProtection="1">
      <alignment horizontal="center"/>
      <protection locked="0"/>
    </xf>
    <xf numFmtId="43" fontId="12" fillId="4" borderId="0" xfId="1" applyFont="1" applyFill="1" applyBorder="1" applyProtection="1">
      <protection locked="0"/>
    </xf>
    <xf numFmtId="43" fontId="8" fillId="4" borderId="0" xfId="1" applyFont="1" applyFill="1" applyBorder="1" applyAlignment="1" applyProtection="1">
      <alignment horizontal="center" wrapText="1"/>
      <protection locked="0"/>
    </xf>
    <xf numFmtId="10" fontId="12" fillId="4" borderId="0" xfId="5" applyNumberFormat="1" applyFont="1" applyFill="1" applyBorder="1" applyAlignment="1" applyProtection="1">
      <alignment horizontal="center"/>
    </xf>
    <xf numFmtId="10" fontId="12" fillId="4" borderId="0" xfId="5" applyNumberFormat="1" applyFont="1" applyFill="1" applyBorder="1" applyProtection="1">
      <protection locked="0"/>
    </xf>
    <xf numFmtId="10" fontId="8" fillId="4" borderId="0" xfId="5" applyNumberFormat="1" applyFont="1" applyFill="1" applyBorder="1" applyAlignment="1" applyProtection="1">
      <alignment horizontal="center"/>
    </xf>
    <xf numFmtId="10" fontId="12" fillId="4" borderId="0" xfId="0" applyNumberFormat="1" applyFont="1" applyFill="1" applyBorder="1" applyAlignment="1" applyProtection="1">
      <alignment horizontal="center"/>
    </xf>
    <xf numFmtId="0" fontId="20" fillId="4" borderId="0" xfId="0" applyFont="1" applyFill="1" applyBorder="1" applyAlignment="1" applyProtection="1">
      <alignment horizontal="center"/>
      <protection locked="0"/>
    </xf>
    <xf numFmtId="10" fontId="12" fillId="4" borderId="0" xfId="5" applyNumberFormat="1" applyFont="1" applyFill="1" applyBorder="1" applyAlignment="1" applyProtection="1">
      <alignment horizontal="right"/>
      <protection locked="0"/>
    </xf>
    <xf numFmtId="10" fontId="37" fillId="4" borderId="0" xfId="5" applyNumberFormat="1" applyFont="1" applyFill="1" applyBorder="1" applyAlignment="1" applyProtection="1">
      <alignment horizontal="right"/>
      <protection locked="0"/>
    </xf>
    <xf numFmtId="9" fontId="12" fillId="4" borderId="0" xfId="5" applyNumberFormat="1" applyFont="1" applyFill="1" applyBorder="1" applyAlignment="1" applyProtection="1">
      <alignment horizontal="right"/>
      <protection locked="0"/>
    </xf>
    <xf numFmtId="9" fontId="37" fillId="4" borderId="0" xfId="5" applyNumberFormat="1" applyFont="1" applyFill="1" applyBorder="1" applyAlignment="1" applyProtection="1">
      <alignment horizontal="right"/>
      <protection locked="0"/>
    </xf>
    <xf numFmtId="10" fontId="12" fillId="4" borderId="0" xfId="5" applyNumberFormat="1" applyFont="1" applyFill="1" applyBorder="1" applyAlignment="1" applyProtection="1">
      <alignment horizontal="right"/>
    </xf>
    <xf numFmtId="10" fontId="37" fillId="4" borderId="0" xfId="5" applyNumberFormat="1" applyFont="1" applyFill="1" applyBorder="1" applyAlignment="1" applyProtection="1">
      <alignment horizontal="right"/>
    </xf>
    <xf numFmtId="0" fontId="12" fillId="4" borderId="0" xfId="0" applyFont="1" applyFill="1" applyAlignment="1" applyProtection="1">
      <alignment horizontal="right"/>
      <protection locked="0"/>
    </xf>
    <xf numFmtId="10" fontId="8" fillId="4" borderId="0" xfId="5" applyNumberFormat="1" applyFont="1" applyFill="1" applyBorder="1" applyAlignment="1" applyProtection="1">
      <alignment horizontal="right"/>
    </xf>
    <xf numFmtId="10" fontId="12" fillId="4" borderId="0" xfId="0" applyNumberFormat="1" applyFont="1" applyFill="1" applyBorder="1" applyAlignment="1" applyProtection="1">
      <alignment horizontal="right"/>
    </xf>
    <xf numFmtId="0" fontId="12" fillId="4" borderId="0" xfId="0" applyFont="1" applyFill="1" applyBorder="1" applyAlignment="1" applyProtection="1">
      <alignment horizontal="right"/>
      <protection locked="0"/>
    </xf>
    <xf numFmtId="166" fontId="0" fillId="4" borderId="0" xfId="1" applyNumberFormat="1" applyFont="1" applyFill="1" applyProtection="1">
      <protection locked="0"/>
    </xf>
    <xf numFmtId="10" fontId="0" fillId="9" borderId="0" xfId="0" applyNumberFormat="1" applyFill="1" applyBorder="1" applyProtection="1">
      <protection locked="0"/>
    </xf>
    <xf numFmtId="9" fontId="0" fillId="4" borderId="0" xfId="5" applyFont="1" applyFill="1" applyProtection="1">
      <protection locked="0"/>
    </xf>
    <xf numFmtId="0" fontId="8" fillId="6" borderId="1" xfId="0" applyFont="1" applyFill="1" applyBorder="1" applyAlignment="1">
      <alignment vertical="center"/>
    </xf>
    <xf numFmtId="0" fontId="38" fillId="9" borderId="0" xfId="0" applyFont="1" applyFill="1" applyAlignment="1" applyProtection="1">
      <alignment horizontal="left"/>
      <protection locked="0"/>
    </xf>
    <xf numFmtId="0" fontId="38" fillId="4" borderId="0" xfId="0" applyFont="1" applyFill="1" applyBorder="1" applyAlignment="1" applyProtection="1">
      <alignment horizontal="left"/>
      <protection locked="0"/>
    </xf>
    <xf numFmtId="10" fontId="6" fillId="6" borderId="1" xfId="5" applyNumberFormat="1" applyFill="1" applyBorder="1"/>
    <xf numFmtId="0" fontId="8" fillId="9" borderId="0" xfId="0" applyFont="1" applyFill="1" applyBorder="1" applyAlignment="1">
      <alignment horizontal="left" vertical="center"/>
    </xf>
    <xf numFmtId="43" fontId="27" fillId="4" borderId="20" xfId="1" applyFont="1" applyFill="1" applyBorder="1"/>
    <xf numFmtId="10" fontId="8" fillId="4" borderId="0" xfId="5" applyNumberFormat="1" applyFont="1" applyFill="1" applyBorder="1" applyAlignment="1">
      <alignment horizontal="left"/>
    </xf>
    <xf numFmtId="0" fontId="8" fillId="9" borderId="0" xfId="0" applyFont="1" applyFill="1" applyAlignment="1">
      <alignment horizontal="center"/>
    </xf>
    <xf numFmtId="43" fontId="27" fillId="9" borderId="0" xfId="1" applyFont="1" applyFill="1" applyBorder="1"/>
    <xf numFmtId="10" fontId="8" fillId="9" borderId="0" xfId="5" applyNumberFormat="1" applyFont="1" applyFill="1" applyBorder="1" applyAlignment="1">
      <alignment horizontal="left"/>
    </xf>
    <xf numFmtId="0" fontId="8" fillId="9" borderId="0" xfId="0" applyFont="1" applyFill="1" applyBorder="1" applyAlignment="1">
      <alignment horizontal="left"/>
    </xf>
    <xf numFmtId="44" fontId="38" fillId="4" borderId="0" xfId="0" applyNumberFormat="1" applyFont="1" applyFill="1" applyAlignment="1">
      <alignment horizontal="center" vertical="top"/>
    </xf>
    <xf numFmtId="10" fontId="36" fillId="4" borderId="0" xfId="5" applyNumberFormat="1" applyFont="1" applyFill="1" applyBorder="1"/>
    <xf numFmtId="0" fontId="12" fillId="4" borderId="0" xfId="0" applyFont="1" applyFill="1" applyBorder="1" applyAlignment="1">
      <alignment horizontal="left" vertical="center"/>
    </xf>
    <xf numFmtId="0" fontId="8" fillId="6" borderId="1" xfId="0" applyFont="1" applyFill="1" applyBorder="1" applyAlignment="1">
      <alignment vertical="center"/>
    </xf>
    <xf numFmtId="0" fontId="12" fillId="4" borderId="0" xfId="0" applyFont="1" applyFill="1" applyBorder="1" applyAlignment="1">
      <alignment vertical="center"/>
    </xf>
    <xf numFmtId="0" fontId="0" fillId="9" borderId="0" xfId="0" applyFill="1" applyAlignment="1" applyProtection="1">
      <alignment horizontal="center"/>
      <protection locked="0"/>
    </xf>
    <xf numFmtId="175" fontId="0" fillId="9" borderId="0" xfId="0" applyNumberFormat="1" applyFill="1"/>
    <xf numFmtId="0" fontId="12" fillId="4" borderId="0" xfId="6" applyFill="1"/>
    <xf numFmtId="0" fontId="12" fillId="0" borderId="0" xfId="6"/>
    <xf numFmtId="0" fontId="17" fillId="4" borderId="0" xfId="6" applyFont="1" applyFill="1" applyBorder="1" applyAlignment="1">
      <alignment horizontal="left"/>
    </xf>
    <xf numFmtId="0" fontId="12" fillId="7" borderId="1" xfId="6" applyFill="1" applyBorder="1"/>
    <xf numFmtId="0" fontId="8" fillId="7" borderId="1" xfId="6" applyFont="1" applyFill="1" applyBorder="1"/>
    <xf numFmtId="0" fontId="8" fillId="7" borderId="1" xfId="6" applyFont="1" applyFill="1" applyBorder="1" applyAlignment="1">
      <alignment horizontal="right"/>
    </xf>
    <xf numFmtId="0" fontId="8" fillId="6" borderId="1" xfId="6" applyFont="1" applyFill="1" applyBorder="1" applyAlignment="1">
      <alignment horizontal="right"/>
    </xf>
    <xf numFmtId="0" fontId="8" fillId="6" borderId="1" xfId="6" applyFont="1" applyFill="1" applyBorder="1"/>
    <xf numFmtId="0" fontId="8" fillId="4" borderId="0" xfId="6" applyFont="1" applyFill="1" applyBorder="1" applyAlignment="1">
      <alignment horizontal="right"/>
    </xf>
    <xf numFmtId="0" fontId="8" fillId="4" borderId="0" xfId="6" applyFont="1" applyFill="1" applyBorder="1"/>
    <xf numFmtId="0" fontId="12" fillId="4" borderId="0" xfId="6" applyFill="1" applyBorder="1"/>
    <xf numFmtId="0" fontId="12" fillId="4" borderId="13" xfId="6" applyFont="1" applyFill="1" applyBorder="1"/>
    <xf numFmtId="43" fontId="12" fillId="4" borderId="0" xfId="6" applyNumberFormat="1" applyFill="1" applyBorder="1"/>
    <xf numFmtId="43" fontId="8" fillId="6" borderId="1" xfId="6" applyNumberFormat="1" applyFont="1" applyFill="1" applyBorder="1" applyAlignment="1">
      <alignment horizontal="right"/>
    </xf>
    <xf numFmtId="43" fontId="8" fillId="4" borderId="0" xfId="6" applyNumberFormat="1" applyFont="1" applyFill="1" applyBorder="1" applyAlignment="1">
      <alignment horizontal="right"/>
    </xf>
    <xf numFmtId="43" fontId="12" fillId="4" borderId="2" xfId="6" applyNumberFormat="1" applyFill="1" applyBorder="1"/>
    <xf numFmtId="166" fontId="12" fillId="9" borderId="0" xfId="6" applyNumberFormat="1" applyFont="1" applyFill="1" applyBorder="1" applyAlignment="1">
      <alignment horizontal="right"/>
    </xf>
    <xf numFmtId="166" fontId="8" fillId="9" borderId="0" xfId="6" applyNumberFormat="1" applyFont="1" applyFill="1" applyBorder="1" applyAlignment="1">
      <alignment horizontal="right"/>
    </xf>
    <xf numFmtId="166" fontId="12" fillId="4" borderId="0" xfId="6" applyNumberFormat="1" applyFill="1" applyBorder="1"/>
    <xf numFmtId="166" fontId="12" fillId="9" borderId="0" xfId="6" applyNumberFormat="1" applyFill="1" applyBorder="1"/>
    <xf numFmtId="166" fontId="12" fillId="4" borderId="13" xfId="6" applyNumberFormat="1" applyFill="1" applyBorder="1"/>
    <xf numFmtId="0" fontId="12" fillId="0" borderId="0" xfId="6" applyFill="1"/>
    <xf numFmtId="10" fontId="12" fillId="5" borderId="5" xfId="7" applyNumberFormat="1" applyFill="1" applyBorder="1" applyAlignment="1">
      <alignment vertical="center"/>
    </xf>
    <xf numFmtId="10" fontId="12" fillId="5" borderId="7" xfId="7" applyNumberFormat="1" applyFill="1" applyBorder="1" applyAlignment="1">
      <alignment vertical="center"/>
    </xf>
    <xf numFmtId="0" fontId="37" fillId="4" borderId="0" xfId="6" applyFont="1" applyFill="1" applyBorder="1"/>
    <xf numFmtId="0" fontId="0" fillId="4" borderId="0" xfId="0" applyFill="1" applyBorder="1"/>
    <xf numFmtId="43" fontId="6" fillId="4" borderId="0" xfId="0" applyNumberFormat="1" applyFont="1" applyFill="1" applyBorder="1" applyAlignment="1">
      <alignment horizontal="left" vertical="center"/>
    </xf>
    <xf numFmtId="0" fontId="6" fillId="4" borderId="0" xfId="0" applyFont="1" applyFill="1" applyBorder="1" applyAlignment="1">
      <alignment vertical="center"/>
    </xf>
    <xf numFmtId="0" fontId="6" fillId="4" borderId="0" xfId="0" applyFont="1" applyFill="1" applyBorder="1" applyAlignment="1">
      <alignment horizontal="left" vertical="center"/>
    </xf>
    <xf numFmtId="0" fontId="6" fillId="9" borderId="13" xfId="0" applyFont="1" applyFill="1" applyBorder="1" applyAlignment="1">
      <alignment horizontal="center"/>
    </xf>
    <xf numFmtId="43" fontId="6" fillId="9" borderId="0" xfId="0" applyNumberFormat="1" applyFont="1" applyFill="1" applyBorder="1"/>
    <xf numFmtId="0" fontId="6" fillId="4" borderId="0" xfId="0" applyFont="1" applyFill="1" applyBorder="1" applyAlignment="1" applyProtection="1">
      <alignment horizontal="center"/>
      <protection locked="0"/>
    </xf>
    <xf numFmtId="0" fontId="6" fillId="0" borderId="0" xfId="0" applyFont="1"/>
    <xf numFmtId="43" fontId="0" fillId="9" borderId="0" xfId="0" applyNumberFormat="1" applyFill="1" applyBorder="1" applyAlignment="1">
      <alignment horizontal="center"/>
    </xf>
    <xf numFmtId="174" fontId="6" fillId="9" borderId="0" xfId="1" applyNumberFormat="1" applyFont="1" applyFill="1" applyBorder="1" applyAlignment="1">
      <alignment vertical="center"/>
    </xf>
    <xf numFmtId="0" fontId="6" fillId="0" borderId="0" xfId="0" applyFont="1" applyProtection="1">
      <protection locked="0"/>
    </xf>
    <xf numFmtId="0" fontId="6" fillId="4" borderId="0" xfId="0" applyFont="1" applyFill="1" applyAlignment="1" applyProtection="1">
      <alignment horizontal="center"/>
      <protection locked="0"/>
    </xf>
    <xf numFmtId="0" fontId="6" fillId="4" borderId="0" xfId="0" applyFont="1" applyFill="1" applyBorder="1" applyAlignment="1" applyProtection="1">
      <alignment horizontal="left"/>
      <protection locked="0"/>
    </xf>
    <xf numFmtId="0" fontId="6" fillId="4" borderId="17" xfId="0" applyFont="1" applyFill="1" applyBorder="1" applyProtection="1">
      <protection locked="0"/>
    </xf>
    <xf numFmtId="0" fontId="6" fillId="9" borderId="0" xfId="0" applyFont="1" applyFill="1" applyProtection="1">
      <protection locked="0"/>
    </xf>
    <xf numFmtId="0" fontId="6" fillId="4" borderId="0" xfId="6" applyFont="1" applyFill="1"/>
    <xf numFmtId="0" fontId="8" fillId="9" borderId="0" xfId="0" applyFont="1" applyFill="1"/>
    <xf numFmtId="0" fontId="8" fillId="9" borderId="0" xfId="0" applyFont="1" applyFill="1" applyBorder="1" applyAlignment="1">
      <alignment horizontal="right"/>
    </xf>
    <xf numFmtId="8" fontId="8" fillId="9" borderId="0" xfId="1" applyNumberFormat="1" applyFont="1" applyFill="1" applyBorder="1"/>
    <xf numFmtId="44" fontId="27" fillId="9" borderId="0" xfId="2" applyFont="1" applyFill="1" applyBorder="1"/>
    <xf numFmtId="2" fontId="27" fillId="9" borderId="0" xfId="0" applyNumberFormat="1" applyFont="1" applyFill="1"/>
    <xf numFmtId="43" fontId="8" fillId="4" borderId="0" xfId="1" applyFont="1" applyFill="1" applyBorder="1"/>
    <xf numFmtId="0" fontId="6" fillId="9" borderId="0" xfId="0" applyFont="1" applyFill="1"/>
    <xf numFmtId="0" fontId="27" fillId="9" borderId="0" xfId="0" applyFont="1" applyFill="1" applyAlignment="1">
      <alignment horizontal="left"/>
    </xf>
    <xf numFmtId="0" fontId="27" fillId="9" borderId="0" xfId="2" applyNumberFormat="1" applyFont="1" applyFill="1" applyBorder="1" applyAlignment="1">
      <alignment horizontal="left" vertical="top"/>
    </xf>
    <xf numFmtId="0" fontId="6" fillId="4" borderId="0" xfId="0" applyFont="1" applyFill="1"/>
    <xf numFmtId="43" fontId="6" fillId="4" borderId="0" xfId="1" applyFont="1" applyFill="1" applyBorder="1"/>
    <xf numFmtId="43" fontId="27" fillId="4" borderId="0" xfId="1" applyFont="1" applyFill="1" applyBorder="1"/>
    <xf numFmtId="167" fontId="27" fillId="9" borderId="0" xfId="5" applyNumberFormat="1" applyFont="1" applyFill="1"/>
    <xf numFmtId="0" fontId="27" fillId="9" borderId="0" xfId="1" applyNumberFormat="1" applyFont="1" applyFill="1" applyBorder="1"/>
    <xf numFmtId="0" fontId="27" fillId="4" borderId="0" xfId="1" applyNumberFormat="1" applyFont="1" applyFill="1" applyBorder="1"/>
    <xf numFmtId="0" fontId="8" fillId="4" borderId="0" xfId="1" applyNumberFormat="1" applyFont="1" applyFill="1" applyBorder="1"/>
    <xf numFmtId="44" fontId="27" fillId="4" borderId="23" xfId="2" applyFont="1" applyFill="1" applyBorder="1"/>
    <xf numFmtId="3" fontId="27" fillId="4" borderId="23" xfId="2" applyNumberFormat="1" applyFont="1" applyFill="1" applyBorder="1"/>
    <xf numFmtId="0" fontId="27" fillId="4" borderId="0" xfId="0" applyFont="1" applyFill="1" applyAlignment="1"/>
    <xf numFmtId="0" fontId="8" fillId="4" borderId="0" xfId="0" applyFont="1" applyFill="1" applyAlignment="1"/>
    <xf numFmtId="176" fontId="12" fillId="4" borderId="0" xfId="6" applyNumberFormat="1" applyFill="1"/>
    <xf numFmtId="0" fontId="0" fillId="4" borderId="0" xfId="0" applyFill="1" applyBorder="1"/>
    <xf numFmtId="0" fontId="17" fillId="4" borderId="0" xfId="0" applyFont="1" applyFill="1" applyBorder="1" applyAlignment="1">
      <alignment horizontal="left"/>
    </xf>
    <xf numFmtId="0" fontId="8" fillId="6" borderId="1" xfId="0" applyFont="1" applyFill="1" applyBorder="1" applyAlignment="1">
      <alignment vertical="center"/>
    </xf>
    <xf numFmtId="0" fontId="8" fillId="9" borderId="0" xfId="1" applyNumberFormat="1" applyFont="1" applyFill="1" applyBorder="1" applyAlignment="1">
      <alignment horizontal="right" vertical="center"/>
    </xf>
    <xf numFmtId="0" fontId="8" fillId="4" borderId="0" xfId="1" applyNumberFormat="1" applyFont="1" applyFill="1" applyBorder="1" applyAlignment="1" applyProtection="1">
      <alignment horizontal="right" wrapText="1"/>
      <protection locked="0"/>
    </xf>
    <xf numFmtId="0" fontId="8" fillId="6" borderId="1" xfId="0" applyFont="1" applyFill="1" applyBorder="1" applyAlignment="1">
      <alignment vertical="center"/>
    </xf>
    <xf numFmtId="0" fontId="8" fillId="7" borderId="1" xfId="0" applyFont="1" applyFill="1" applyBorder="1" applyAlignment="1">
      <alignment horizontal="right"/>
    </xf>
    <xf numFmtId="0" fontId="12" fillId="9" borderId="0" xfId="0" applyFont="1" applyFill="1"/>
    <xf numFmtId="10" fontId="6" fillId="6" borderId="1" xfId="5" applyNumberFormat="1" applyFont="1" applyFill="1" applyBorder="1"/>
    <xf numFmtId="10" fontId="8" fillId="6" borderId="1" xfId="5" applyNumberFormat="1" applyFont="1" applyFill="1" applyBorder="1"/>
    <xf numFmtId="0" fontId="6" fillId="9" borderId="0" xfId="0" applyFont="1" applyFill="1" applyBorder="1"/>
    <xf numFmtId="171" fontId="0" fillId="9" borderId="0" xfId="0" applyNumberFormat="1" applyFill="1" applyBorder="1"/>
    <xf numFmtId="10" fontId="0" fillId="9" borderId="0" xfId="5" applyNumberFormat="1" applyFont="1" applyFill="1" applyBorder="1"/>
    <xf numFmtId="3" fontId="0" fillId="9" borderId="0" xfId="0" applyNumberFormat="1" applyFill="1" applyBorder="1"/>
    <xf numFmtId="177" fontId="0" fillId="9" borderId="0" xfId="0" applyNumberFormat="1" applyFill="1" applyBorder="1"/>
    <xf numFmtId="10" fontId="12" fillId="9" borderId="0" xfId="5" applyNumberFormat="1" applyFont="1" applyFill="1" applyBorder="1" applyAlignment="1">
      <alignment horizontal="center"/>
    </xf>
    <xf numFmtId="10" fontId="0" fillId="6" borderId="5" xfId="0" applyNumberFormat="1" applyFill="1" applyBorder="1"/>
    <xf numFmtId="3" fontId="27" fillId="9" borderId="20" xfId="0" applyNumberFormat="1" applyFont="1" applyFill="1" applyBorder="1"/>
    <xf numFmtId="10" fontId="0" fillId="4" borderId="0" xfId="5" applyNumberFormat="1" applyFont="1" applyFill="1" applyBorder="1" applyAlignment="1">
      <alignment vertical="center" wrapText="1"/>
    </xf>
    <xf numFmtId="166" fontId="12" fillId="0" borderId="5" xfId="6" applyNumberFormat="1" applyFill="1" applyBorder="1"/>
    <xf numFmtId="0" fontId="18" fillId="9" borderId="0" xfId="0" applyFont="1" applyFill="1"/>
    <xf numFmtId="0" fontId="0" fillId="9" borderId="0" xfId="0" applyFill="1" applyBorder="1" applyAlignment="1">
      <alignment vertical="center" wrapText="1"/>
    </xf>
    <xf numFmtId="0" fontId="0" fillId="9" borderId="0" xfId="0" applyFill="1" applyBorder="1" applyAlignment="1">
      <alignment wrapText="1"/>
    </xf>
    <xf numFmtId="10" fontId="12" fillId="9" borderId="0" xfId="5" applyNumberFormat="1" applyFont="1" applyFill="1" applyBorder="1" applyAlignment="1">
      <alignment horizontal="right"/>
    </xf>
    <xf numFmtId="0" fontId="0" fillId="9" borderId="0" xfId="0" applyFill="1" applyBorder="1" applyAlignment="1">
      <alignment horizontal="right"/>
    </xf>
    <xf numFmtId="10" fontId="0" fillId="9" borderId="0" xfId="5" applyNumberFormat="1" applyFont="1" applyFill="1" applyBorder="1" applyAlignment="1">
      <alignment horizontal="right"/>
    </xf>
    <xf numFmtId="178" fontId="0" fillId="4" borderId="0" xfId="0" applyNumberFormat="1" applyFill="1"/>
    <xf numFmtId="179" fontId="0" fillId="4" borderId="0" xfId="0" applyNumberFormat="1" applyFill="1"/>
    <xf numFmtId="0" fontId="37" fillId="4" borderId="0" xfId="6" applyFont="1" applyFill="1" applyBorder="1" applyAlignment="1">
      <alignment horizontal="right"/>
    </xf>
    <xf numFmtId="0" fontId="6" fillId="4" borderId="0" xfId="0" applyFont="1" applyFill="1" applyBorder="1"/>
    <xf numFmtId="0" fontId="17" fillId="4" borderId="0" xfId="0" applyFont="1" applyFill="1" applyBorder="1" applyAlignment="1">
      <alignment horizontal="left"/>
    </xf>
    <xf numFmtId="0" fontId="8" fillId="6" borderId="1" xfId="0" applyFont="1" applyFill="1" applyBorder="1" applyAlignment="1">
      <alignment vertical="center"/>
    </xf>
    <xf numFmtId="10" fontId="6" fillId="4" borderId="0" xfId="5" applyNumberFormat="1" applyFont="1" applyFill="1" applyBorder="1"/>
    <xf numFmtId="10" fontId="6" fillId="4" borderId="0" xfId="5" applyNumberFormat="1" applyFont="1" applyFill="1" applyBorder="1" applyAlignment="1">
      <alignment horizontal="right"/>
    </xf>
    <xf numFmtId="0" fontId="6" fillId="9" borderId="0" xfId="0" applyFont="1" applyFill="1" applyBorder="1" applyAlignment="1">
      <alignment horizontal="left" vertical="center"/>
    </xf>
    <xf numFmtId="10" fontId="6" fillId="9" borderId="0" xfId="5" applyNumberFormat="1" applyFont="1" applyFill="1" applyBorder="1"/>
    <xf numFmtId="43" fontId="6" fillId="9" borderId="0" xfId="1" applyFont="1" applyFill="1" applyBorder="1"/>
    <xf numFmtId="44" fontId="6" fillId="4" borderId="0" xfId="2" applyFont="1" applyFill="1" applyBorder="1"/>
    <xf numFmtId="8" fontId="6" fillId="4" borderId="0" xfId="1" applyNumberFormat="1" applyFont="1" applyFill="1" applyBorder="1"/>
    <xf numFmtId="10" fontId="6" fillId="5" borderId="6" xfId="5" applyNumberFormat="1" applyFont="1" applyFill="1" applyBorder="1" applyAlignment="1">
      <alignment horizontal="center"/>
    </xf>
    <xf numFmtId="0" fontId="6" fillId="4" borderId="0" xfId="0" applyFont="1" applyFill="1" applyBorder="1" applyAlignment="1"/>
    <xf numFmtId="0" fontId="6" fillId="0" borderId="0" xfId="0" applyFont="1" applyAlignment="1"/>
    <xf numFmtId="8" fontId="6" fillId="4" borderId="0" xfId="0" applyNumberFormat="1" applyFont="1" applyFill="1" applyBorder="1"/>
    <xf numFmtId="0" fontId="6" fillId="4" borderId="0" xfId="0" applyFont="1" applyFill="1" applyAlignment="1"/>
    <xf numFmtId="171" fontId="6" fillId="4" borderId="0" xfId="1" applyNumberFormat="1" applyFont="1" applyFill="1"/>
    <xf numFmtId="0" fontId="45" fillId="4" borderId="0" xfId="0" applyFont="1" applyFill="1"/>
    <xf numFmtId="10" fontId="46" fillId="4" borderId="0" xfId="5" applyNumberFormat="1" applyFont="1" applyFill="1" applyBorder="1"/>
    <xf numFmtId="10" fontId="47" fillId="4" borderId="0" xfId="5" applyNumberFormat="1" applyFont="1" applyFill="1" applyBorder="1"/>
    <xf numFmtId="0" fontId="47" fillId="4" borderId="0" xfId="0" applyFont="1" applyFill="1" applyBorder="1"/>
    <xf numFmtId="0" fontId="47" fillId="4" borderId="0" xfId="0" applyFont="1" applyFill="1"/>
    <xf numFmtId="10" fontId="48" fillId="4" borderId="0" xfId="5" applyNumberFormat="1" applyFont="1" applyFill="1" applyBorder="1"/>
    <xf numFmtId="0" fontId="6" fillId="9" borderId="7" xfId="0" applyFont="1" applyFill="1" applyBorder="1" applyAlignment="1">
      <alignment horizontal="left"/>
    </xf>
    <xf numFmtId="0" fontId="8" fillId="6" borderId="1" xfId="0" applyFont="1" applyFill="1" applyBorder="1" applyAlignment="1">
      <alignment vertical="center"/>
    </xf>
    <xf numFmtId="2" fontId="6" fillId="9" borderId="0" xfId="0" applyNumberFormat="1" applyFont="1" applyFill="1" applyBorder="1"/>
    <xf numFmtId="44" fontId="36" fillId="4" borderId="0" xfId="0" applyNumberFormat="1" applyFont="1" applyFill="1" applyAlignment="1">
      <alignment horizontal="right" vertical="top"/>
    </xf>
    <xf numFmtId="44" fontId="49" fillId="4" borderId="0" xfId="0" applyNumberFormat="1" applyFont="1" applyFill="1"/>
    <xf numFmtId="44" fontId="50" fillId="4" borderId="0" xfId="0" applyNumberFormat="1" applyFont="1" applyFill="1" applyAlignment="1">
      <alignment horizontal="center" vertical="top"/>
    </xf>
    <xf numFmtId="0" fontId="51" fillId="4" borderId="0" xfId="0" applyFont="1" applyFill="1"/>
    <xf numFmtId="0" fontId="48" fillId="4" borderId="0" xfId="0" applyFont="1" applyFill="1" applyAlignment="1">
      <alignment horizontal="center" vertical="top"/>
    </xf>
    <xf numFmtId="0" fontId="48" fillId="4" borderId="0" xfId="0" applyFont="1" applyFill="1"/>
    <xf numFmtId="0" fontId="12" fillId="4" borderId="0" xfId="0" applyFont="1" applyFill="1" applyBorder="1" applyAlignment="1">
      <alignment horizontal="left" vertical="center"/>
    </xf>
    <xf numFmtId="0" fontId="0" fillId="4" borderId="0" xfId="0" applyFill="1" applyBorder="1"/>
    <xf numFmtId="0" fontId="8" fillId="6" borderId="1" xfId="0" applyFont="1" applyFill="1" applyBorder="1" applyAlignment="1">
      <alignment vertical="center"/>
    </xf>
    <xf numFmtId="43" fontId="6" fillId="4" borderId="0" xfId="0" applyNumberFormat="1" applyFont="1" applyFill="1" applyBorder="1" applyAlignment="1">
      <alignment vertical="center"/>
    </xf>
    <xf numFmtId="43" fontId="6" fillId="4" borderId="0" xfId="0" applyNumberFormat="1" applyFont="1" applyFill="1" applyBorder="1" applyAlignment="1">
      <alignment horizontal="center" vertical="center"/>
    </xf>
    <xf numFmtId="43" fontId="12" fillId="4" borderId="13" xfId="0" applyNumberFormat="1" applyFont="1" applyFill="1" applyBorder="1" applyAlignment="1">
      <alignment horizontal="center" vertical="center"/>
    </xf>
    <xf numFmtId="0" fontId="6" fillId="9" borderId="0" xfId="0" applyFont="1" applyFill="1" applyBorder="1" applyAlignment="1">
      <alignment horizontal="left"/>
    </xf>
    <xf numFmtId="10" fontId="8" fillId="0" borderId="0" xfId="5" applyNumberFormat="1" applyFont="1" applyFill="1" applyBorder="1" applyAlignment="1">
      <alignment horizontal="right"/>
    </xf>
    <xf numFmtId="39" fontId="12" fillId="5" borderId="7" xfId="1" applyNumberFormat="1" applyFont="1" applyFill="1" applyBorder="1" applyAlignment="1">
      <alignment horizontal="right" vertical="center"/>
    </xf>
    <xf numFmtId="174" fontId="6" fillId="5" borderId="22" xfId="1" applyNumberFormat="1" applyFill="1" applyBorder="1" applyAlignment="1">
      <alignment vertical="center"/>
    </xf>
    <xf numFmtId="0" fontId="0" fillId="5" borderId="27" xfId="0" applyFill="1" applyBorder="1" applyAlignment="1"/>
    <xf numFmtId="174" fontId="6" fillId="5" borderId="0" xfId="1" applyNumberFormat="1" applyFill="1" applyBorder="1" applyAlignment="1">
      <alignment vertical="center"/>
    </xf>
    <xf numFmtId="0" fontId="8" fillId="4" borderId="28" xfId="0" applyFont="1" applyFill="1" applyBorder="1" applyAlignment="1">
      <alignment horizontal="center" vertical="center" wrapText="1"/>
    </xf>
    <xf numFmtId="0" fontId="8" fillId="4" borderId="28" xfId="0" applyFont="1" applyFill="1" applyBorder="1" applyAlignment="1">
      <alignment horizontal="center" vertical="center"/>
    </xf>
    <xf numFmtId="0" fontId="8" fillId="4" borderId="0" xfId="0" applyFont="1" applyFill="1" applyBorder="1" applyAlignment="1">
      <alignment horizontal="left"/>
    </xf>
    <xf numFmtId="0" fontId="8" fillId="4" borderId="30"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32" xfId="0" applyFont="1" applyFill="1" applyBorder="1" applyAlignment="1">
      <alignment horizontal="center" vertical="center"/>
    </xf>
    <xf numFmtId="175" fontId="6" fillId="5" borderId="22" xfId="1" applyNumberFormat="1" applyFill="1" applyBorder="1" applyAlignment="1">
      <alignment vertical="center"/>
    </xf>
    <xf numFmtId="175" fontId="6" fillId="5" borderId="33" xfId="1" applyNumberFormat="1" applyFill="1" applyBorder="1" applyAlignment="1">
      <alignment vertical="center"/>
    </xf>
    <xf numFmtId="175" fontId="6" fillId="5" borderId="0" xfId="1" applyNumberFormat="1" applyFill="1" applyBorder="1" applyAlignment="1">
      <alignment vertical="center"/>
    </xf>
    <xf numFmtId="175" fontId="6" fillId="5" borderId="34" xfId="1" applyNumberFormat="1" applyFill="1" applyBorder="1" applyAlignment="1">
      <alignment vertical="center"/>
    </xf>
    <xf numFmtId="0" fontId="8" fillId="9" borderId="28" xfId="0" applyFont="1" applyFill="1" applyBorder="1" applyAlignment="1">
      <alignment horizontal="center" vertical="center"/>
    </xf>
    <xf numFmtId="175" fontId="6" fillId="9" borderId="29" xfId="1" applyNumberFormat="1" applyFill="1" applyBorder="1" applyAlignment="1">
      <alignment vertical="center"/>
    </xf>
    <xf numFmtId="175" fontId="6" fillId="9" borderId="35" xfId="1" applyNumberFormat="1" applyFill="1" applyBorder="1" applyAlignment="1">
      <alignment vertical="center"/>
    </xf>
    <xf numFmtId="175" fontId="6" fillId="9" borderId="0" xfId="1" applyNumberFormat="1" applyFill="1" applyBorder="1" applyAlignment="1">
      <alignment vertical="center"/>
    </xf>
    <xf numFmtId="0" fontId="12" fillId="4" borderId="34" xfId="0" applyFont="1" applyFill="1" applyBorder="1" applyAlignment="1">
      <alignment horizontal="left"/>
    </xf>
    <xf numFmtId="0" fontId="8" fillId="4" borderId="36" xfId="0" applyFont="1" applyFill="1" applyBorder="1" applyAlignment="1">
      <alignment vertical="center"/>
    </xf>
    <xf numFmtId="175" fontId="6" fillId="5" borderId="29" xfId="1" applyNumberFormat="1" applyFill="1" applyBorder="1" applyAlignment="1">
      <alignment horizontal="right" vertical="center"/>
    </xf>
    <xf numFmtId="175" fontId="6" fillId="5" borderId="35" xfId="1" applyNumberFormat="1" applyFill="1" applyBorder="1" applyAlignment="1">
      <alignment vertical="center"/>
    </xf>
    <xf numFmtId="43" fontId="0" fillId="4" borderId="0" xfId="0" applyNumberFormat="1" applyFill="1" applyBorder="1" applyAlignment="1">
      <alignment vertical="center" wrapText="1"/>
    </xf>
    <xf numFmtId="0" fontId="6" fillId="4" borderId="3" xfId="0" applyFont="1" applyFill="1" applyBorder="1" applyProtection="1">
      <protection locked="0"/>
    </xf>
    <xf numFmtId="0" fontId="6" fillId="4" borderId="0" xfId="0" applyFont="1" applyFill="1" applyBorder="1" applyProtection="1">
      <protection locked="0"/>
    </xf>
    <xf numFmtId="0" fontId="0" fillId="9" borderId="0" xfId="0" applyFill="1" applyProtection="1">
      <protection locked="0"/>
    </xf>
    <xf numFmtId="0" fontId="6" fillId="4" borderId="3" xfId="0" applyFont="1" applyFill="1" applyBorder="1" applyAlignment="1" applyProtection="1">
      <alignment horizontal="left"/>
      <protection locked="0"/>
    </xf>
    <xf numFmtId="0" fontId="8" fillId="4" borderId="0" xfId="0" applyFont="1" applyFill="1" applyBorder="1" applyAlignment="1" applyProtection="1">
      <alignment horizontal="left"/>
      <protection locked="0"/>
    </xf>
    <xf numFmtId="0" fontId="0" fillId="4" borderId="0" xfId="0" applyFill="1" applyBorder="1"/>
    <xf numFmtId="0" fontId="6" fillId="4" borderId="0" xfId="0" applyFont="1" applyFill="1" applyBorder="1" applyAlignment="1">
      <alignment vertical="center" wrapText="1"/>
    </xf>
    <xf numFmtId="43" fontId="8" fillId="4" borderId="0" xfId="0" applyNumberFormat="1" applyFont="1" applyFill="1" applyBorder="1" applyAlignment="1">
      <alignment horizontal="left" vertical="center"/>
    </xf>
    <xf numFmtId="0" fontId="8" fillId="4" borderId="0" xfId="0" applyFont="1" applyFill="1" applyBorder="1" applyAlignment="1">
      <alignment horizontal="left" vertical="center"/>
    </xf>
    <xf numFmtId="10" fontId="6" fillId="5" borderId="5" xfId="5" applyNumberFormat="1" applyFont="1" applyFill="1" applyBorder="1" applyAlignment="1">
      <alignment horizontal="center"/>
    </xf>
    <xf numFmtId="0" fontId="43" fillId="9" borderId="26" xfId="0" applyFont="1" applyFill="1" applyBorder="1"/>
    <xf numFmtId="0" fontId="8" fillId="9" borderId="0" xfId="0" applyFont="1" applyFill="1" applyBorder="1" applyAlignment="1">
      <alignment horizontal="center"/>
    </xf>
    <xf numFmtId="0" fontId="44" fillId="9" borderId="0" xfId="0" applyFont="1" applyFill="1" applyBorder="1" applyAlignment="1">
      <alignment horizontal="center"/>
    </xf>
    <xf numFmtId="0" fontId="43" fillId="9" borderId="0" xfId="0" applyFont="1" applyFill="1" applyBorder="1"/>
    <xf numFmtId="175" fontId="12" fillId="9" borderId="0" xfId="0" applyNumberFormat="1" applyFont="1" applyFill="1"/>
    <xf numFmtId="0" fontId="0" fillId="9" borderId="0" xfId="0" applyFill="1" applyAlignment="1"/>
    <xf numFmtId="0" fontId="0" fillId="9" borderId="0" xfId="0" applyFill="1" applyBorder="1" applyAlignment="1" applyProtection="1">
      <alignment horizontal="center"/>
      <protection locked="0"/>
    </xf>
    <xf numFmtId="10" fontId="12" fillId="4" borderId="29" xfId="5" applyNumberFormat="1" applyFont="1" applyFill="1" applyBorder="1" applyAlignment="1" applyProtection="1">
      <alignment horizontal="right"/>
      <protection locked="0"/>
    </xf>
    <xf numFmtId="10" fontId="12" fillId="4" borderId="35" xfId="5" applyNumberFormat="1" applyFont="1" applyFill="1" applyBorder="1" applyAlignment="1" applyProtection="1">
      <alignment horizontal="right"/>
      <protection locked="0"/>
    </xf>
    <xf numFmtId="0" fontId="12" fillId="4" borderId="35" xfId="0" applyFont="1" applyFill="1" applyBorder="1" applyAlignment="1" applyProtection="1">
      <alignment horizontal="right"/>
      <protection locked="0"/>
    </xf>
    <xf numFmtId="0" fontId="12" fillId="4" borderId="38" xfId="0" applyFont="1" applyFill="1" applyBorder="1" applyAlignment="1" applyProtection="1">
      <alignment horizontal="right"/>
      <protection locked="0"/>
    </xf>
    <xf numFmtId="175" fontId="6" fillId="9" borderId="21" xfId="1" applyNumberFormat="1" applyFill="1" applyBorder="1" applyAlignment="1">
      <alignment vertical="center"/>
    </xf>
    <xf numFmtId="175" fontId="6" fillId="9" borderId="22" xfId="1" applyNumberFormat="1" applyFill="1" applyBorder="1" applyAlignment="1">
      <alignment vertical="center"/>
    </xf>
    <xf numFmtId="175" fontId="6" fillId="9" borderId="33" xfId="1" applyNumberFormat="1" applyFill="1" applyBorder="1" applyAlignment="1">
      <alignment vertical="center"/>
    </xf>
    <xf numFmtId="175" fontId="6" fillId="9" borderId="27" xfId="1" applyNumberFormat="1" applyFill="1" applyBorder="1" applyAlignment="1">
      <alignment vertical="center"/>
    </xf>
    <xf numFmtId="175" fontId="6" fillId="9" borderId="34" xfId="1" applyNumberFormat="1" applyFill="1" applyBorder="1" applyAlignment="1">
      <alignment vertical="center"/>
    </xf>
    <xf numFmtId="175" fontId="6" fillId="9" borderId="39" xfId="1" applyNumberFormat="1" applyFill="1" applyBorder="1" applyAlignment="1">
      <alignment vertical="center"/>
    </xf>
    <xf numFmtId="175" fontId="6" fillId="9" borderId="40" xfId="1" applyNumberFormat="1" applyFill="1" applyBorder="1" applyAlignment="1">
      <alignment vertical="center"/>
    </xf>
    <xf numFmtId="175" fontId="6" fillId="9" borderId="36" xfId="1" applyNumberFormat="1" applyFill="1" applyBorder="1" applyAlignment="1">
      <alignment vertical="center"/>
    </xf>
    <xf numFmtId="175" fontId="6" fillId="9" borderId="30" xfId="1" applyNumberFormat="1" applyFill="1" applyBorder="1" applyAlignment="1">
      <alignment vertical="center"/>
    </xf>
    <xf numFmtId="175" fontId="6" fillId="9" borderId="31" xfId="1" applyNumberFormat="1" applyFill="1" applyBorder="1" applyAlignment="1">
      <alignment vertical="center"/>
    </xf>
    <xf numFmtId="175" fontId="6" fillId="9" borderId="32" xfId="1" applyNumberFormat="1" applyFill="1" applyBorder="1" applyAlignment="1">
      <alignment vertical="center"/>
    </xf>
    <xf numFmtId="0" fontId="0" fillId="11" borderId="45" xfId="0" applyFill="1" applyBorder="1" applyProtection="1">
      <protection locked="0"/>
    </xf>
    <xf numFmtId="0" fontId="8" fillId="11" borderId="45" xfId="0" applyFont="1" applyFill="1" applyBorder="1" applyAlignment="1">
      <alignment horizontal="center" vertical="center"/>
    </xf>
    <xf numFmtId="0" fontId="0" fillId="9" borderId="0" xfId="0" applyFill="1" applyBorder="1" applyProtection="1">
      <protection locked="0"/>
    </xf>
    <xf numFmtId="0" fontId="8" fillId="9" borderId="0" xfId="0" applyFont="1" applyFill="1" applyBorder="1" applyAlignment="1">
      <alignment horizontal="center" vertical="center"/>
    </xf>
    <xf numFmtId="173" fontId="6" fillId="4" borderId="22" xfId="2" applyNumberFormat="1" applyFill="1" applyBorder="1" applyProtection="1">
      <protection locked="0"/>
    </xf>
    <xf numFmtId="0" fontId="0" fillId="4" borderId="0" xfId="0" applyFill="1" applyBorder="1"/>
    <xf numFmtId="0" fontId="8" fillId="7" borderId="45" xfId="0" applyFont="1" applyFill="1" applyBorder="1" applyAlignment="1">
      <alignment horizontal="center"/>
    </xf>
    <xf numFmtId="0" fontId="6" fillId="6" borderId="45" xfId="0" applyFont="1" applyFill="1" applyBorder="1"/>
    <xf numFmtId="0" fontId="0" fillId="6" borderId="45" xfId="0" applyFill="1" applyBorder="1"/>
    <xf numFmtId="10" fontId="6" fillId="6" borderId="45" xfId="5" applyNumberFormat="1" applyFont="1" applyFill="1" applyBorder="1"/>
    <xf numFmtId="10" fontId="0" fillId="6" borderId="7" xfId="0" applyNumberFormat="1" applyFill="1" applyBorder="1"/>
    <xf numFmtId="0" fontId="25" fillId="9" borderId="0" xfId="0" applyFont="1" applyFill="1"/>
    <xf numFmtId="0" fontId="33" fillId="9" borderId="0" xfId="0" applyFont="1" applyFill="1"/>
    <xf numFmtId="0" fontId="35" fillId="9" borderId="0" xfId="0" applyFont="1" applyFill="1" applyAlignment="1">
      <alignment vertical="center"/>
    </xf>
    <xf numFmtId="0" fontId="32" fillId="9" borderId="0" xfId="0" applyFont="1" applyFill="1"/>
    <xf numFmtId="0" fontId="17" fillId="9" borderId="0" xfId="0" applyFont="1" applyFill="1"/>
    <xf numFmtId="0" fontId="0" fillId="9" borderId="2" xfId="0" applyFill="1" applyBorder="1"/>
    <xf numFmtId="0" fontId="0" fillId="4" borderId="0" xfId="0" applyFill="1" applyBorder="1"/>
    <xf numFmtId="0" fontId="36" fillId="4" borderId="0" xfId="0" applyFont="1" applyFill="1"/>
    <xf numFmtId="0" fontId="36" fillId="4" borderId="0" xfId="0" applyFont="1" applyFill="1" applyAlignment="1">
      <alignment horizontal="right"/>
    </xf>
    <xf numFmtId="0" fontId="8" fillId="9" borderId="0" xfId="0" applyFont="1" applyFill="1" applyProtection="1">
      <protection locked="0"/>
    </xf>
    <xf numFmtId="43" fontId="0" fillId="9" borderId="0" xfId="0" applyNumberFormat="1" applyFill="1" applyProtection="1">
      <protection locked="0"/>
    </xf>
    <xf numFmtId="170" fontId="12" fillId="9" borderId="0" xfId="0" applyNumberFormat="1" applyFont="1" applyFill="1" applyProtection="1">
      <protection locked="0"/>
    </xf>
    <xf numFmtId="0" fontId="6" fillId="9" borderId="0" xfId="0" applyFont="1" applyFill="1" applyBorder="1" applyAlignment="1" applyProtection="1">
      <alignment horizontal="left"/>
      <protection locked="0"/>
    </xf>
    <xf numFmtId="0" fontId="6" fillId="9" borderId="0" xfId="0" applyFont="1" applyFill="1" applyBorder="1" applyProtection="1">
      <protection locked="0"/>
    </xf>
    <xf numFmtId="170" fontId="6" fillId="9" borderId="9" xfId="1" applyNumberFormat="1" applyFont="1" applyFill="1" applyBorder="1" applyProtection="1"/>
    <xf numFmtId="0" fontId="43" fillId="9" borderId="46" xfId="0" applyFont="1" applyFill="1" applyBorder="1" applyAlignment="1">
      <alignment horizontal="left"/>
    </xf>
    <xf numFmtId="0" fontId="43" fillId="9" borderId="47" xfId="0" applyFont="1" applyFill="1" applyBorder="1" applyAlignment="1">
      <alignment horizontal="left"/>
    </xf>
    <xf numFmtId="0" fontId="43" fillId="9" borderId="48" xfId="0" applyFont="1" applyFill="1" applyBorder="1" applyAlignment="1">
      <alignment horizontal="left"/>
    </xf>
    <xf numFmtId="0" fontId="43" fillId="9" borderId="49" xfId="0" applyFont="1" applyFill="1" applyBorder="1" applyAlignment="1">
      <alignment horizontal="left"/>
    </xf>
    <xf numFmtId="0" fontId="43" fillId="9" borderId="50" xfId="0" applyFont="1" applyFill="1" applyBorder="1"/>
    <xf numFmtId="0" fontId="43" fillId="9" borderId="51" xfId="0" applyFont="1" applyFill="1" applyBorder="1"/>
    <xf numFmtId="0" fontId="43" fillId="9" borderId="50" xfId="0" applyFont="1" applyFill="1" applyBorder="1" applyAlignment="1">
      <alignment horizontal="left"/>
    </xf>
    <xf numFmtId="0" fontId="43" fillId="9" borderId="51" xfId="0" applyFont="1" applyFill="1" applyBorder="1" applyAlignment="1">
      <alignment horizontal="left"/>
    </xf>
    <xf numFmtId="44" fontId="27" fillId="9" borderId="0" xfId="2" applyFont="1" applyFill="1"/>
    <xf numFmtId="0" fontId="17" fillId="4" borderId="0" xfId="0" applyFont="1" applyFill="1" applyBorder="1" applyAlignment="1">
      <alignment horizontal="left"/>
    </xf>
    <xf numFmtId="0" fontId="0" fillId="4" borderId="0" xfId="0" applyFill="1" applyBorder="1"/>
    <xf numFmtId="0" fontId="0" fillId="7" borderId="45" xfId="0" applyFill="1" applyBorder="1"/>
    <xf numFmtId="0" fontId="12" fillId="11" borderId="45" xfId="0" applyFont="1" applyFill="1" applyBorder="1" applyProtection="1">
      <protection locked="0"/>
    </xf>
    <xf numFmtId="0" fontId="12" fillId="11" borderId="45" xfId="0" applyFont="1" applyFill="1" applyBorder="1" applyAlignment="1" applyProtection="1">
      <alignment horizontal="center"/>
      <protection locked="0"/>
    </xf>
    <xf numFmtId="43" fontId="12" fillId="11" borderId="45" xfId="1" applyFont="1" applyFill="1" applyBorder="1" applyProtection="1">
      <protection locked="0"/>
    </xf>
    <xf numFmtId="0" fontId="8" fillId="11" borderId="45" xfId="1" applyNumberFormat="1" applyFont="1" applyFill="1" applyBorder="1" applyAlignment="1" applyProtection="1">
      <alignment horizontal="right" wrapText="1"/>
      <protection locked="0"/>
    </xf>
    <xf numFmtId="43" fontId="8" fillId="11" borderId="45" xfId="1" applyFont="1" applyFill="1" applyBorder="1" applyAlignment="1" applyProtection="1">
      <alignment horizontal="center" wrapText="1"/>
      <protection locked="0"/>
    </xf>
    <xf numFmtId="0" fontId="8" fillId="11" borderId="45" xfId="0" applyFont="1" applyFill="1" applyBorder="1" applyAlignment="1" applyProtection="1">
      <alignment horizontal="center" wrapText="1"/>
      <protection locked="0"/>
    </xf>
    <xf numFmtId="0" fontId="12" fillId="11" borderId="45" xfId="0" applyFont="1" applyFill="1" applyBorder="1" applyAlignment="1" applyProtection="1">
      <alignment wrapText="1"/>
      <protection locked="0"/>
    </xf>
    <xf numFmtId="0" fontId="17" fillId="11" borderId="45" xfId="0" applyFont="1" applyFill="1" applyBorder="1" applyAlignment="1" applyProtection="1">
      <alignment horizontal="left"/>
      <protection locked="0"/>
    </xf>
    <xf numFmtId="0" fontId="52" fillId="9" borderId="0" xfId="0" applyFont="1" applyFill="1"/>
    <xf numFmtId="0" fontId="53" fillId="9" borderId="0" xfId="0" applyFont="1" applyFill="1"/>
    <xf numFmtId="0" fontId="54" fillId="6" borderId="0" xfId="0" applyFont="1" applyFill="1"/>
    <xf numFmtId="43" fontId="6" fillId="4" borderId="0" xfId="2" applyNumberFormat="1" applyFont="1" applyFill="1" applyBorder="1"/>
    <xf numFmtId="43" fontId="6" fillId="9" borderId="0" xfId="2" applyNumberFormat="1" applyFont="1" applyFill="1" applyBorder="1"/>
    <xf numFmtId="43" fontId="6" fillId="4" borderId="44" xfId="2" applyNumberFormat="1" applyFont="1" applyFill="1" applyBorder="1"/>
    <xf numFmtId="43" fontId="42" fillId="4" borderId="23" xfId="2" applyNumberFormat="1" applyFont="1" applyFill="1" applyBorder="1"/>
    <xf numFmtId="43" fontId="8" fillId="4" borderId="0" xfId="2" applyNumberFormat="1" applyFont="1" applyFill="1" applyBorder="1"/>
    <xf numFmtId="43" fontId="27" fillId="4" borderId="23" xfId="2" applyNumberFormat="1" applyFont="1" applyFill="1" applyBorder="1"/>
    <xf numFmtId="43" fontId="6" fillId="4" borderId="0" xfId="0" applyNumberFormat="1" applyFont="1" applyFill="1"/>
    <xf numFmtId="43" fontId="8" fillId="4" borderId="0" xfId="0" applyNumberFormat="1" applyFont="1" applyFill="1"/>
    <xf numFmtId="43" fontId="0" fillId="9" borderId="0" xfId="0" applyNumberFormat="1" applyFill="1"/>
    <xf numFmtId="43" fontId="0" fillId="9" borderId="24" xfId="0" applyNumberFormat="1" applyFill="1" applyBorder="1"/>
    <xf numFmtId="43" fontId="42" fillId="9" borderId="20" xfId="0" applyNumberFormat="1" applyFont="1" applyFill="1" applyBorder="1"/>
    <xf numFmtId="43" fontId="8" fillId="9" borderId="0" xfId="0" applyNumberFormat="1" applyFont="1" applyFill="1" applyBorder="1"/>
    <xf numFmtId="43" fontId="8" fillId="9" borderId="24" xfId="0" applyNumberFormat="1" applyFont="1" applyFill="1" applyBorder="1"/>
    <xf numFmtId="43" fontId="0" fillId="6" borderId="5" xfId="0" applyNumberFormat="1" applyFill="1" applyBorder="1"/>
    <xf numFmtId="43" fontId="27" fillId="9" borderId="20" xfId="0" applyNumberFormat="1" applyFont="1" applyFill="1" applyBorder="1"/>
    <xf numFmtId="43" fontId="27" fillId="9" borderId="20" xfId="2" applyNumberFormat="1" applyFont="1" applyFill="1" applyBorder="1" applyAlignment="1">
      <alignment horizontal="center"/>
    </xf>
    <xf numFmtId="43" fontId="12" fillId="9" borderId="0" xfId="2" applyNumberFormat="1" applyFont="1" applyFill="1" applyBorder="1" applyAlignment="1">
      <alignment horizontal="center"/>
    </xf>
    <xf numFmtId="43" fontId="8" fillId="9" borderId="0" xfId="0" applyNumberFormat="1" applyFont="1" applyFill="1"/>
    <xf numFmtId="180" fontId="0" fillId="4" borderId="0" xfId="0" applyNumberFormat="1" applyFill="1"/>
    <xf numFmtId="0" fontId="8" fillId="6" borderId="1" xfId="0" applyFont="1" applyFill="1" applyBorder="1" applyAlignment="1">
      <alignment vertical="center"/>
    </xf>
    <xf numFmtId="0" fontId="35" fillId="9" borderId="0" xfId="0" applyFont="1" applyFill="1" applyAlignment="1">
      <alignment horizontal="right" vertical="center"/>
    </xf>
    <xf numFmtId="17" fontId="35" fillId="9" borderId="0" xfId="0" quotePrefix="1" applyNumberFormat="1" applyFont="1" applyFill="1" applyAlignment="1">
      <alignment vertical="center"/>
    </xf>
    <xf numFmtId="0" fontId="35" fillId="9" borderId="0" xfId="0" applyFont="1" applyFill="1" applyAlignment="1">
      <alignment horizontal="left" vertical="center"/>
    </xf>
    <xf numFmtId="0" fontId="6" fillId="4" borderId="0" xfId="0" quotePrefix="1" applyFont="1" applyFill="1" applyBorder="1" applyAlignment="1">
      <alignment vertical="center" wrapText="1"/>
    </xf>
    <xf numFmtId="0" fontId="6" fillId="4" borderId="0" xfId="0" quotePrefix="1" applyFont="1" applyFill="1" applyAlignment="1"/>
    <xf numFmtId="9" fontId="0" fillId="4" borderId="0" xfId="0" applyNumberFormat="1" applyFill="1" applyBorder="1" applyAlignment="1">
      <alignment vertical="center" wrapText="1"/>
    </xf>
    <xf numFmtId="43" fontId="12" fillId="5" borderId="0" xfId="1" applyFont="1" applyFill="1" applyBorder="1" applyAlignment="1">
      <alignment horizontal="right" vertical="center"/>
    </xf>
    <xf numFmtId="168" fontId="0" fillId="8" borderId="0" xfId="0" applyNumberFormat="1" applyFill="1" applyBorder="1" applyAlignment="1">
      <alignment horizontal="right"/>
    </xf>
    <xf numFmtId="0" fontId="24" fillId="9" borderId="0" xfId="0" applyFont="1" applyFill="1" applyBorder="1" applyAlignment="1">
      <alignment horizontal="center"/>
    </xf>
    <xf numFmtId="0" fontId="17" fillId="9" borderId="0" xfId="0" applyFont="1" applyFill="1" applyBorder="1" applyAlignment="1">
      <alignment horizontal="left"/>
    </xf>
    <xf numFmtId="0" fontId="12" fillId="9" borderId="0" xfId="0" applyFont="1" applyFill="1" applyBorder="1"/>
    <xf numFmtId="167" fontId="0" fillId="9" borderId="0" xfId="5" applyNumberFormat="1" applyFont="1" applyFill="1" applyBorder="1"/>
    <xf numFmtId="171" fontId="0" fillId="9" borderId="0" xfId="1" applyNumberFormat="1" applyFont="1" applyFill="1" applyBorder="1"/>
    <xf numFmtId="169" fontId="0" fillId="9" borderId="0" xfId="0" applyNumberFormat="1" applyFill="1" applyBorder="1"/>
    <xf numFmtId="168" fontId="0" fillId="9" borderId="0" xfId="0" applyNumberFormat="1" applyFill="1" applyBorder="1"/>
    <xf numFmtId="0" fontId="23" fillId="9" borderId="0" xfId="0" applyFont="1" applyFill="1" applyBorder="1" applyAlignment="1">
      <alignment horizontal="right"/>
    </xf>
    <xf numFmtId="0" fontId="8" fillId="9" borderId="0" xfId="0" applyFont="1" applyFill="1" applyBorder="1"/>
    <xf numFmtId="171" fontId="12" fillId="9" borderId="0" xfId="1" applyNumberFormat="1" applyFont="1" applyFill="1" applyBorder="1"/>
    <xf numFmtId="43" fontId="23" fillId="9" borderId="0" xfId="1" applyFont="1" applyFill="1" applyBorder="1" applyAlignment="1">
      <alignment horizontal="right"/>
    </xf>
    <xf numFmtId="43" fontId="23" fillId="9" borderId="0" xfId="1" applyNumberFormat="1" applyFont="1" applyFill="1" applyBorder="1" applyAlignment="1">
      <alignment horizontal="right"/>
    </xf>
    <xf numFmtId="169" fontId="12" fillId="9" borderId="0" xfId="1" applyNumberFormat="1" applyFont="1" applyFill="1" applyBorder="1"/>
    <xf numFmtId="43" fontId="12" fillId="9" borderId="0" xfId="1" applyFont="1" applyFill="1" applyBorder="1"/>
    <xf numFmtId="0" fontId="12" fillId="9" borderId="0" xfId="6" applyFill="1" applyBorder="1"/>
    <xf numFmtId="43" fontId="12" fillId="9" borderId="0" xfId="6" applyNumberFormat="1" applyFill="1"/>
    <xf numFmtId="0" fontId="12" fillId="9" borderId="0" xfId="6" applyFill="1"/>
    <xf numFmtId="43" fontId="12" fillId="9" borderId="5" xfId="6" applyNumberFormat="1" applyFill="1" applyBorder="1"/>
    <xf numFmtId="43" fontId="12" fillId="9" borderId="6" xfId="6" applyNumberFormat="1" applyFill="1" applyBorder="1"/>
    <xf numFmtId="43" fontId="12" fillId="9" borderId="0" xfId="6" applyNumberFormat="1" applyFill="1" applyBorder="1"/>
    <xf numFmtId="43" fontId="12" fillId="9" borderId="21" xfId="6" applyNumberFormat="1" applyFill="1" applyBorder="1"/>
    <xf numFmtId="43" fontId="12" fillId="9" borderId="22" xfId="6" applyNumberFormat="1" applyFill="1" applyBorder="1"/>
    <xf numFmtId="43" fontId="12" fillId="9" borderId="2" xfId="6" applyNumberFormat="1" applyFill="1" applyBorder="1"/>
    <xf numFmtId="0" fontId="8" fillId="9" borderId="4" xfId="6" applyFont="1" applyFill="1" applyBorder="1"/>
    <xf numFmtId="43" fontId="8" fillId="9" borderId="4" xfId="6" applyNumberFormat="1" applyFont="1" applyFill="1" applyBorder="1" applyAlignment="1">
      <alignment horizontal="right"/>
    </xf>
    <xf numFmtId="0" fontId="12" fillId="9" borderId="0" xfId="6" applyFont="1" applyFill="1" applyBorder="1"/>
    <xf numFmtId="166" fontId="12" fillId="9" borderId="21" xfId="6" applyNumberFormat="1" applyFill="1" applyBorder="1"/>
    <xf numFmtId="0" fontId="12" fillId="9" borderId="13" xfId="6" applyFont="1" applyFill="1" applyBorder="1"/>
    <xf numFmtId="10" fontId="12" fillId="9" borderId="5" xfId="7" applyNumberFormat="1" applyFont="1" applyFill="1" applyBorder="1"/>
    <xf numFmtId="10" fontId="12" fillId="9" borderId="6" xfId="7" applyNumberFormat="1" applyFont="1" applyFill="1" applyBorder="1"/>
    <xf numFmtId="10" fontId="12" fillId="9" borderId="0" xfId="6" applyNumberFormat="1" applyFill="1"/>
    <xf numFmtId="10" fontId="12" fillId="9" borderId="0" xfId="7" applyNumberFormat="1" applyFont="1" applyFill="1" applyBorder="1"/>
    <xf numFmtId="0" fontId="8" fillId="9" borderId="0" xfId="6" applyFont="1" applyFill="1" applyBorder="1" applyAlignment="1">
      <alignment horizontal="right"/>
    </xf>
    <xf numFmtId="0" fontId="8" fillId="9" borderId="4" xfId="6" applyFont="1" applyFill="1" applyBorder="1" applyAlignment="1">
      <alignment horizontal="right"/>
    </xf>
    <xf numFmtId="43" fontId="12" fillId="9" borderId="0" xfId="7" applyNumberFormat="1" applyFont="1" applyFill="1"/>
    <xf numFmtId="0" fontId="8" fillId="9" borderId="0" xfId="6" applyFont="1" applyFill="1" applyBorder="1"/>
    <xf numFmtId="43" fontId="8" fillId="9" borderId="0" xfId="6" applyNumberFormat="1" applyFont="1" applyFill="1" applyBorder="1" applyAlignment="1">
      <alignment horizontal="right"/>
    </xf>
    <xf numFmtId="0" fontId="6" fillId="9" borderId="0" xfId="6" applyFont="1" applyFill="1" applyBorder="1"/>
    <xf numFmtId="43" fontId="36" fillId="9" borderId="0" xfId="6" applyNumberFormat="1" applyFont="1" applyFill="1" applyBorder="1" applyAlignment="1">
      <alignment horizontal="left"/>
    </xf>
    <xf numFmtId="0" fontId="12" fillId="9" borderId="0" xfId="6" applyFont="1" applyFill="1"/>
    <xf numFmtId="0" fontId="6" fillId="9" borderId="0" xfId="6" applyFont="1" applyFill="1"/>
    <xf numFmtId="43" fontId="23" fillId="9" borderId="0" xfId="1" applyNumberFormat="1" applyFont="1" applyFill="1" applyAlignment="1">
      <alignment horizontal="right"/>
    </xf>
    <xf numFmtId="169" fontId="23" fillId="9" borderId="0" xfId="1" applyNumberFormat="1" applyFont="1" applyFill="1"/>
    <xf numFmtId="43" fontId="23" fillId="9" borderId="2" xfId="1" applyNumberFormat="1" applyFont="1" applyFill="1" applyBorder="1" applyAlignment="1">
      <alignment horizontal="right"/>
    </xf>
    <xf numFmtId="43" fontId="23" fillId="9" borderId="0" xfId="1" applyFont="1" applyFill="1" applyAlignment="1">
      <alignment horizontal="right"/>
    </xf>
    <xf numFmtId="169" fontId="12" fillId="9" borderId="0" xfId="1" applyNumberFormat="1" applyFont="1" applyFill="1"/>
    <xf numFmtId="0" fontId="23" fillId="9" borderId="0" xfId="0" applyFont="1" applyFill="1" applyAlignment="1">
      <alignment horizontal="right"/>
    </xf>
    <xf numFmtId="171" fontId="12" fillId="9" borderId="0" xfId="1" applyNumberFormat="1" applyFont="1" applyFill="1"/>
    <xf numFmtId="0" fontId="8" fillId="9" borderId="0" xfId="0" applyFont="1" applyFill="1" applyAlignment="1">
      <alignment horizontal="right"/>
    </xf>
    <xf numFmtId="0" fontId="8" fillId="9" borderId="2" xfId="0" applyFont="1" applyFill="1" applyBorder="1" applyAlignment="1">
      <alignment horizontal="right"/>
    </xf>
    <xf numFmtId="171" fontId="12" fillId="9" borderId="2" xfId="1" applyNumberFormat="1" applyFont="1" applyFill="1" applyBorder="1"/>
    <xf numFmtId="0" fontId="8" fillId="6" borderId="1" xfId="0" applyFont="1" applyFill="1" applyBorder="1" applyAlignment="1">
      <alignment vertical="center"/>
    </xf>
    <xf numFmtId="0" fontId="12" fillId="4" borderId="0" xfId="0" applyFont="1" applyFill="1" applyBorder="1" applyAlignment="1">
      <alignment horizontal="left" vertical="center"/>
    </xf>
    <xf numFmtId="0" fontId="0" fillId="4" borderId="0" xfId="0" applyFill="1" applyBorder="1"/>
    <xf numFmtId="0" fontId="6" fillId="9" borderId="0" xfId="13" applyFont="1" applyFill="1" applyBorder="1" applyAlignment="1" applyProtection="1">
      <alignment vertical="center"/>
    </xf>
    <xf numFmtId="0" fontId="6" fillId="9" borderId="0" xfId="13" applyFont="1" applyFill="1" applyBorder="1" applyProtection="1"/>
    <xf numFmtId="0" fontId="6" fillId="9" borderId="0" xfId="13" applyFont="1" applyFill="1" applyBorder="1" applyAlignment="1" applyProtection="1">
      <alignment horizontal="center"/>
    </xf>
    <xf numFmtId="0" fontId="6" fillId="9" borderId="0" xfId="13" applyFont="1" applyFill="1" applyBorder="1" applyAlignment="1" applyProtection="1">
      <alignment horizontal="left" vertical="top" wrapText="1"/>
    </xf>
    <xf numFmtId="0" fontId="24" fillId="9" borderId="0" xfId="13" applyFont="1" applyFill="1" applyBorder="1" applyAlignment="1" applyProtection="1">
      <alignment vertical="center"/>
    </xf>
    <xf numFmtId="0" fontId="56" fillId="9" borderId="0" xfId="13" applyFont="1" applyFill="1" applyBorder="1" applyProtection="1"/>
    <xf numFmtId="0" fontId="8" fillId="7" borderId="1" xfId="0" applyFont="1" applyFill="1" applyBorder="1"/>
    <xf numFmtId="0" fontId="56" fillId="9" borderId="0" xfId="13" applyFont="1" applyFill="1" applyBorder="1" applyProtection="1">
      <protection hidden="1"/>
    </xf>
    <xf numFmtId="0" fontId="6" fillId="9" borderId="0" xfId="13" applyFont="1" applyFill="1" applyBorder="1" applyProtection="1">
      <protection hidden="1"/>
    </xf>
    <xf numFmtId="0" fontId="36" fillId="9" borderId="0" xfId="13" applyFont="1" applyFill="1" applyBorder="1" applyProtection="1"/>
    <xf numFmtId="0" fontId="6" fillId="4" borderId="2" xfId="0" applyFont="1" applyFill="1" applyBorder="1"/>
    <xf numFmtId="10" fontId="6" fillId="9" borderId="0" xfId="5" applyNumberFormat="1" applyFill="1"/>
    <xf numFmtId="0" fontId="56" fillId="0" borderId="0" xfId="13" applyFont="1" applyFill="1" applyBorder="1" applyProtection="1"/>
    <xf numFmtId="0" fontId="56" fillId="0" borderId="0" xfId="13" applyFont="1" applyFill="1" applyBorder="1" applyProtection="1">
      <protection hidden="1"/>
    </xf>
    <xf numFmtId="0" fontId="8" fillId="4" borderId="0" xfId="0" applyFont="1" applyFill="1" applyBorder="1" applyAlignment="1">
      <alignment wrapText="1"/>
    </xf>
    <xf numFmtId="10" fontId="6" fillId="5" borderId="6" xfId="5" applyNumberFormat="1" applyFill="1" applyBorder="1" applyAlignment="1">
      <alignment vertical="center"/>
    </xf>
    <xf numFmtId="10" fontId="6" fillId="5" borderId="0" xfId="5" applyNumberFormat="1" applyFill="1" applyBorder="1" applyAlignment="1">
      <alignment vertical="center"/>
    </xf>
    <xf numFmtId="0" fontId="6" fillId="4" borderId="0" xfId="0" quotePrefix="1" applyFont="1" applyFill="1" applyProtection="1">
      <protection locked="0"/>
    </xf>
    <xf numFmtId="0" fontId="15" fillId="4" borderId="0" xfId="0" quotePrefix="1" applyFont="1" applyFill="1" applyBorder="1" applyProtection="1">
      <protection locked="0"/>
    </xf>
    <xf numFmtId="0" fontId="22" fillId="9" borderId="0" xfId="0" applyFont="1" applyFill="1" applyProtection="1">
      <protection locked="0"/>
    </xf>
    <xf numFmtId="0" fontId="15" fillId="9" borderId="0" xfId="0" applyFont="1" applyFill="1" applyProtection="1">
      <protection locked="0"/>
    </xf>
    <xf numFmtId="0" fontId="0" fillId="4" borderId="2" xfId="0" applyFill="1" applyBorder="1" applyProtection="1">
      <protection locked="0"/>
    </xf>
    <xf numFmtId="0" fontId="8" fillId="4" borderId="2" xfId="0" applyFont="1" applyFill="1" applyBorder="1" applyProtection="1">
      <protection locked="0"/>
    </xf>
    <xf numFmtId="170" fontId="6" fillId="4" borderId="0" xfId="0" applyNumberFormat="1" applyFont="1" applyFill="1" applyProtection="1">
      <protection locked="0"/>
    </xf>
    <xf numFmtId="0" fontId="6" fillId="4" borderId="0" xfId="0" applyFont="1" applyFill="1" applyAlignment="1" applyProtection="1">
      <alignment horizontal="left" indent="1"/>
      <protection locked="0"/>
    </xf>
    <xf numFmtId="0" fontId="8" fillId="4" borderId="0" xfId="0" applyFont="1" applyFill="1" applyAlignment="1" applyProtection="1">
      <alignment horizontal="left" indent="1"/>
      <protection locked="0"/>
    </xf>
    <xf numFmtId="0" fontId="8" fillId="4" borderId="0" xfId="0" applyFont="1" applyFill="1" applyAlignment="1" applyProtection="1">
      <protection locked="0"/>
    </xf>
    <xf numFmtId="170" fontId="6" fillId="9" borderId="0" xfId="0" applyNumberFormat="1" applyFont="1" applyFill="1" applyProtection="1">
      <protection locked="0"/>
    </xf>
    <xf numFmtId="0" fontId="12" fillId="9" borderId="0" xfId="0" applyFont="1" applyFill="1" applyProtection="1">
      <protection locked="0"/>
    </xf>
    <xf numFmtId="0" fontId="0" fillId="4" borderId="0" xfId="0" applyFill="1" applyBorder="1"/>
    <xf numFmtId="0" fontId="36" fillId="4" borderId="0" xfId="0" applyFont="1" applyFill="1" applyAlignment="1">
      <alignment wrapText="1"/>
    </xf>
    <xf numFmtId="43" fontId="6" fillId="9" borderId="0" xfId="0" applyNumberFormat="1" applyFont="1" applyFill="1" applyBorder="1" applyAlignment="1">
      <alignment vertical="center"/>
    </xf>
    <xf numFmtId="9" fontId="6" fillId="9" borderId="0" xfId="5" applyFont="1" applyFill="1" applyBorder="1" applyAlignment="1">
      <alignment horizontal="center"/>
    </xf>
    <xf numFmtId="10" fontId="6" fillId="9" borderId="0" xfId="5" applyNumberFormat="1" applyFill="1" applyBorder="1" applyAlignment="1">
      <alignment horizontal="right"/>
    </xf>
    <xf numFmtId="10" fontId="0" fillId="9" borderId="0" xfId="0" applyNumberFormat="1" applyFill="1" applyBorder="1" applyAlignment="1">
      <alignment horizontal="right"/>
    </xf>
    <xf numFmtId="171" fontId="6" fillId="5" borderId="5" xfId="1" applyNumberFormat="1" applyFont="1" applyFill="1" applyBorder="1" applyAlignment="1">
      <alignment horizontal="right" vertical="center"/>
    </xf>
    <xf numFmtId="0" fontId="6" fillId="9" borderId="0" xfId="0" applyFont="1" applyFill="1" applyBorder="1" applyAlignment="1">
      <alignment horizontal="center" vertical="center"/>
    </xf>
    <xf numFmtId="2" fontId="6" fillId="9" borderId="0" xfId="0" applyNumberFormat="1" applyFont="1" applyFill="1"/>
    <xf numFmtId="44" fontId="27" fillId="9" borderId="0" xfId="0" applyNumberFormat="1" applyFont="1" applyFill="1"/>
    <xf numFmtId="10" fontId="36" fillId="9" borderId="0" xfId="5" applyNumberFormat="1" applyFont="1" applyFill="1" applyBorder="1" applyAlignment="1">
      <alignment horizontal="left"/>
    </xf>
    <xf numFmtId="182" fontId="12" fillId="5" borderId="0" xfId="0" applyNumberFormat="1" applyFont="1" applyFill="1"/>
    <xf numFmtId="182" fontId="6" fillId="5" borderId="0" xfId="5" applyNumberFormat="1" applyFill="1" applyBorder="1" applyAlignment="1">
      <alignment horizontal="right"/>
    </xf>
    <xf numFmtId="43" fontId="6" fillId="4" borderId="13" xfId="0" applyNumberFormat="1" applyFont="1" applyFill="1" applyBorder="1" applyAlignment="1">
      <alignment horizontal="center" vertical="center"/>
    </xf>
    <xf numFmtId="10" fontId="0" fillId="4" borderId="0" xfId="0" applyNumberFormat="1" applyFill="1" applyProtection="1">
      <protection locked="0"/>
    </xf>
    <xf numFmtId="169" fontId="6" fillId="9" borderId="0" xfId="1" applyNumberFormat="1" applyFont="1" applyFill="1" applyBorder="1"/>
    <xf numFmtId="0" fontId="8" fillId="7" borderId="1" xfId="0" applyFont="1" applyFill="1" applyBorder="1" applyProtection="1"/>
    <xf numFmtId="0" fontId="8" fillId="6" borderId="1" xfId="0" applyFont="1" applyFill="1" applyBorder="1" applyAlignment="1" applyProtection="1">
      <alignment vertical="center"/>
    </xf>
    <xf numFmtId="0" fontId="8" fillId="6" borderId="45" xfId="0" applyFont="1" applyFill="1" applyBorder="1" applyAlignment="1">
      <alignment vertical="center"/>
    </xf>
    <xf numFmtId="0" fontId="6" fillId="4" borderId="0" xfId="0" applyFont="1" applyFill="1" applyAlignment="1">
      <alignment horizontal="left"/>
    </xf>
    <xf numFmtId="0" fontId="57" fillId="9" borderId="0" xfId="0" applyFont="1" applyFill="1"/>
    <xf numFmtId="0" fontId="6" fillId="9" borderId="56" xfId="0" applyFont="1" applyFill="1" applyBorder="1"/>
    <xf numFmtId="0" fontId="6" fillId="9" borderId="52" xfId="0" applyFont="1" applyFill="1" applyBorder="1" applyAlignment="1">
      <alignment horizontal="left"/>
    </xf>
    <xf numFmtId="17" fontId="6" fillId="9" borderId="52" xfId="0" quotePrefix="1" applyNumberFormat="1" applyFont="1" applyFill="1" applyBorder="1"/>
    <xf numFmtId="0" fontId="6" fillId="9" borderId="52" xfId="0" applyFont="1" applyFill="1" applyBorder="1"/>
    <xf numFmtId="0" fontId="6" fillId="9" borderId="0" xfId="0" applyFont="1" applyFill="1" applyAlignment="1">
      <alignment horizontal="left"/>
    </xf>
    <xf numFmtId="0" fontId="6" fillId="9" borderId="0" xfId="0" quotePrefix="1" applyFont="1" applyFill="1" applyAlignment="1">
      <alignment horizontal="left"/>
    </xf>
    <xf numFmtId="0" fontId="6" fillId="9" borderId="0" xfId="0" quotePrefix="1" applyFont="1" applyFill="1"/>
    <xf numFmtId="0" fontId="58" fillId="9" borderId="0" xfId="0" applyFont="1" applyFill="1"/>
    <xf numFmtId="17" fontId="6" fillId="9" borderId="0" xfId="0" quotePrefix="1" applyNumberFormat="1" applyFont="1" applyFill="1"/>
    <xf numFmtId="0" fontId="6" fillId="9" borderId="0" xfId="0" applyFont="1" applyFill="1" applyBorder="1" applyAlignment="1">
      <alignment horizontal="right"/>
    </xf>
    <xf numFmtId="10" fontId="0" fillId="0" borderId="0" xfId="5" applyNumberFormat="1" applyFont="1" applyAlignment="1" applyProtection="1">
      <alignment horizontal="center"/>
      <protection locked="0"/>
    </xf>
    <xf numFmtId="10" fontId="0" fillId="0" borderId="0" xfId="0" applyNumberFormat="1" applyAlignment="1" applyProtection="1">
      <alignment horizontal="center"/>
      <protection locked="0"/>
    </xf>
    <xf numFmtId="170" fontId="6" fillId="4" borderId="0" xfId="1" applyNumberFormat="1" applyFill="1" applyProtection="1">
      <protection locked="0"/>
    </xf>
    <xf numFmtId="170" fontId="0" fillId="4" borderId="5" xfId="1" applyNumberFormat="1" applyFont="1" applyFill="1" applyBorder="1" applyProtection="1">
      <protection locked="0"/>
    </xf>
    <xf numFmtId="170" fontId="0" fillId="4" borderId="6" xfId="1" applyNumberFormat="1" applyFont="1" applyFill="1" applyBorder="1" applyProtection="1"/>
    <xf numFmtId="170" fontId="0" fillId="4" borderId="7" xfId="1" applyNumberFormat="1" applyFont="1" applyFill="1" applyBorder="1" applyProtection="1">
      <protection locked="0"/>
    </xf>
    <xf numFmtId="170" fontId="0" fillId="4" borderId="0" xfId="1" applyNumberFormat="1" applyFont="1" applyFill="1" applyBorder="1" applyProtection="1"/>
    <xf numFmtId="170" fontId="0" fillId="4" borderId="0" xfId="1" applyNumberFormat="1" applyFont="1" applyFill="1" applyProtection="1">
      <protection locked="0"/>
    </xf>
    <xf numFmtId="170" fontId="0" fillId="4" borderId="6" xfId="1" applyNumberFormat="1" applyFont="1" applyFill="1" applyBorder="1" applyProtection="1">
      <protection locked="0"/>
    </xf>
    <xf numFmtId="170" fontId="0" fillId="4" borderId="0" xfId="1" applyNumberFormat="1" applyFont="1" applyFill="1" applyProtection="1"/>
    <xf numFmtId="170" fontId="12" fillId="4" borderId="5" xfId="1" applyNumberFormat="1" applyFont="1" applyFill="1" applyBorder="1" applyProtection="1">
      <protection locked="0"/>
    </xf>
    <xf numFmtId="170" fontId="12" fillId="4" borderId="6" xfId="1" applyNumberFormat="1" applyFont="1" applyFill="1" applyBorder="1" applyProtection="1">
      <protection locked="0"/>
    </xf>
    <xf numFmtId="170" fontId="0" fillId="4" borderId="8" xfId="1" applyNumberFormat="1" applyFont="1" applyFill="1" applyBorder="1" applyProtection="1">
      <protection locked="0"/>
    </xf>
    <xf numFmtId="170" fontId="6" fillId="4" borderId="0" xfId="1" applyNumberFormat="1" applyFont="1" applyFill="1" applyBorder="1" applyProtection="1">
      <protection locked="0"/>
    </xf>
    <xf numFmtId="170" fontId="8" fillId="9" borderId="5" xfId="1" applyNumberFormat="1" applyFont="1" applyFill="1" applyBorder="1" applyProtection="1">
      <protection locked="0"/>
    </xf>
    <xf numFmtId="170" fontId="8" fillId="9" borderId="6" xfId="1" applyNumberFormat="1" applyFont="1" applyFill="1" applyBorder="1" applyProtection="1">
      <protection locked="0"/>
    </xf>
    <xf numFmtId="170" fontId="0" fillId="9" borderId="0" xfId="0" applyNumberFormat="1" applyFill="1" applyProtection="1">
      <protection locked="0"/>
    </xf>
    <xf numFmtId="170" fontId="0" fillId="9" borderId="5" xfId="1" applyNumberFormat="1" applyFont="1" applyFill="1" applyBorder="1" applyProtection="1">
      <protection locked="0"/>
    </xf>
    <xf numFmtId="170" fontId="6" fillId="4" borderId="55" xfId="1" applyNumberFormat="1" applyFont="1" applyFill="1" applyBorder="1" applyProtection="1">
      <protection locked="0"/>
    </xf>
    <xf numFmtId="170" fontId="0" fillId="9" borderId="55" xfId="1" applyNumberFormat="1" applyFont="1" applyFill="1" applyBorder="1" applyProtection="1"/>
    <xf numFmtId="170" fontId="0" fillId="9" borderId="6" xfId="1" applyNumberFormat="1" applyFont="1" applyFill="1" applyBorder="1" applyProtection="1"/>
    <xf numFmtId="170" fontId="0" fillId="9" borderId="7" xfId="1" applyNumberFormat="1" applyFont="1" applyFill="1" applyBorder="1" applyProtection="1">
      <protection locked="0"/>
    </xf>
    <xf numFmtId="170" fontId="12" fillId="9" borderId="0" xfId="1" applyNumberFormat="1" applyFont="1" applyFill="1" applyBorder="1" applyProtection="1">
      <protection locked="0"/>
    </xf>
    <xf numFmtId="170" fontId="0" fillId="9" borderId="0" xfId="1" applyNumberFormat="1" applyFont="1" applyFill="1" applyBorder="1" applyProtection="1">
      <protection locked="0"/>
    </xf>
    <xf numFmtId="170" fontId="0" fillId="4" borderId="0" xfId="0" applyNumberFormat="1" applyFill="1" applyProtection="1">
      <protection locked="0"/>
    </xf>
    <xf numFmtId="170" fontId="13" fillId="4" borderId="7" xfId="1" applyNumberFormat="1" applyFont="1" applyFill="1" applyBorder="1" applyProtection="1">
      <protection locked="0"/>
    </xf>
    <xf numFmtId="170" fontId="12" fillId="4" borderId="0" xfId="1" applyNumberFormat="1" applyFont="1" applyFill="1" applyBorder="1" applyProtection="1"/>
    <xf numFmtId="170" fontId="13" fillId="4" borderId="0" xfId="1" applyNumberFormat="1" applyFont="1" applyFill="1" applyProtection="1">
      <protection locked="0"/>
    </xf>
    <xf numFmtId="170" fontId="12" fillId="4" borderId="0" xfId="5" applyNumberFormat="1" applyFont="1" applyFill="1" applyProtection="1">
      <protection locked="0"/>
    </xf>
    <xf numFmtId="170" fontId="12" fillId="4" borderId="6" xfId="1" applyNumberFormat="1" applyFont="1" applyFill="1" applyBorder="1" applyProtection="1"/>
    <xf numFmtId="170" fontId="12" fillId="4" borderId="53" xfId="1" applyNumberFormat="1" applyFont="1" applyFill="1" applyBorder="1" applyProtection="1">
      <protection locked="0"/>
    </xf>
    <xf numFmtId="170" fontId="12" fillId="9" borderId="0" xfId="1" applyNumberFormat="1" applyFont="1" applyFill="1" applyBorder="1" applyProtection="1"/>
    <xf numFmtId="170" fontId="12" fillId="9" borderId="53" xfId="1" applyNumberFormat="1" applyFont="1" applyFill="1" applyBorder="1" applyProtection="1"/>
    <xf numFmtId="170" fontId="12" fillId="4" borderId="7" xfId="1" applyNumberFormat="1" applyFont="1" applyFill="1" applyBorder="1" applyProtection="1">
      <protection locked="0"/>
    </xf>
    <xf numFmtId="170" fontId="6" fillId="4" borderId="7" xfId="1" applyNumberFormat="1" applyFill="1" applyBorder="1" applyProtection="1">
      <protection locked="0"/>
    </xf>
    <xf numFmtId="170" fontId="6" fillId="9" borderId="0" xfId="1" applyNumberFormat="1" applyFill="1" applyBorder="1" applyProtection="1"/>
    <xf numFmtId="170" fontId="15" fillId="6" borderId="1" xfId="1" applyNumberFormat="1" applyFont="1" applyFill="1" applyBorder="1" applyProtection="1">
      <protection locked="0"/>
    </xf>
    <xf numFmtId="170" fontId="15" fillId="4" borderId="0" xfId="1" applyNumberFormat="1" applyFont="1" applyFill="1" applyBorder="1" applyProtection="1">
      <protection locked="0"/>
    </xf>
    <xf numFmtId="170" fontId="8" fillId="6" borderId="12" xfId="1" applyNumberFormat="1" applyFont="1" applyFill="1" applyBorder="1" applyProtection="1">
      <protection locked="0"/>
    </xf>
    <xf numFmtId="170" fontId="12" fillId="6" borderId="10" xfId="1" applyNumberFormat="1" applyFont="1" applyFill="1" applyBorder="1" applyProtection="1">
      <protection locked="0"/>
    </xf>
    <xf numFmtId="170" fontId="12" fillId="4" borderId="0" xfId="1" applyNumberFormat="1" applyFont="1" applyFill="1" applyBorder="1" applyProtection="1">
      <protection locked="0"/>
    </xf>
    <xf numFmtId="170" fontId="15" fillId="4" borderId="0" xfId="0" applyNumberFormat="1" applyFont="1" applyFill="1" applyBorder="1" applyProtection="1">
      <protection locked="0"/>
    </xf>
    <xf numFmtId="170" fontId="0" fillId="4" borderId="5" xfId="1" applyNumberFormat="1" applyFont="1" applyFill="1" applyBorder="1" applyProtection="1"/>
    <xf numFmtId="170" fontId="0" fillId="4" borderId="7" xfId="1" applyNumberFormat="1" applyFont="1" applyFill="1" applyBorder="1" applyProtection="1"/>
    <xf numFmtId="170" fontId="0" fillId="4" borderId="2" xfId="0" applyNumberFormat="1" applyFill="1" applyBorder="1" applyProtection="1">
      <protection locked="0"/>
    </xf>
    <xf numFmtId="170" fontId="6" fillId="4" borderId="0" xfId="1" applyNumberFormat="1" applyFont="1" applyFill="1" applyBorder="1" applyProtection="1"/>
    <xf numFmtId="170" fontId="6" fillId="9" borderId="8" xfId="1" applyNumberFormat="1" applyFont="1" applyFill="1" applyBorder="1" applyProtection="1"/>
    <xf numFmtId="170" fontId="6" fillId="4" borderId="11" xfId="1" applyNumberFormat="1" applyFill="1" applyBorder="1" applyProtection="1"/>
    <xf numFmtId="170" fontId="8" fillId="4" borderId="0" xfId="0" applyNumberFormat="1" applyFont="1" applyFill="1" applyProtection="1">
      <protection locked="0"/>
    </xf>
    <xf numFmtId="170" fontId="6" fillId="4" borderId="7" xfId="1" applyNumberFormat="1" applyFill="1" applyBorder="1" applyProtection="1"/>
    <xf numFmtId="170" fontId="6" fillId="4" borderId="53" xfId="1" applyNumberFormat="1" applyFill="1" applyBorder="1" applyProtection="1"/>
    <xf numFmtId="170" fontId="0" fillId="4" borderId="53" xfId="0" applyNumberFormat="1" applyFill="1" applyBorder="1" applyProtection="1"/>
    <xf numFmtId="170" fontId="10" fillId="4" borderId="0" xfId="0" applyNumberFormat="1" applyFont="1" applyFill="1" applyProtection="1">
      <protection locked="0"/>
    </xf>
    <xf numFmtId="170" fontId="14" fillId="4" borderId="0" xfId="0" applyNumberFormat="1" applyFont="1" applyFill="1" applyProtection="1">
      <protection locked="0"/>
    </xf>
    <xf numFmtId="170" fontId="0" fillId="4" borderId="6" xfId="0" applyNumberFormat="1" applyFill="1" applyBorder="1" applyProtection="1">
      <protection locked="0"/>
    </xf>
    <xf numFmtId="170" fontId="12" fillId="6" borderId="1" xfId="0" applyNumberFormat="1" applyFont="1" applyFill="1" applyBorder="1" applyProtection="1">
      <protection locked="0"/>
    </xf>
    <xf numFmtId="170" fontId="6" fillId="4" borderId="3" xfId="0" applyNumberFormat="1" applyFont="1" applyFill="1" applyBorder="1" applyProtection="1">
      <protection locked="0"/>
    </xf>
    <xf numFmtId="170" fontId="22" fillId="4" borderId="3" xfId="0" applyNumberFormat="1" applyFont="1" applyFill="1" applyBorder="1" applyProtection="1">
      <protection locked="0"/>
    </xf>
    <xf numFmtId="170" fontId="6" fillId="9" borderId="0" xfId="0" applyNumberFormat="1" applyFont="1" applyFill="1" applyBorder="1" applyProtection="1">
      <protection locked="0"/>
    </xf>
    <xf numFmtId="170" fontId="6" fillId="4" borderId="0" xfId="0" applyNumberFormat="1" applyFont="1" applyFill="1" applyBorder="1" applyProtection="1">
      <protection locked="0"/>
    </xf>
    <xf numFmtId="170" fontId="22" fillId="4" borderId="0" xfId="0" applyNumberFormat="1" applyFont="1" applyFill="1" applyBorder="1" applyProtection="1">
      <protection locked="0"/>
    </xf>
    <xf numFmtId="170" fontId="8" fillId="0" borderId="0" xfId="0" applyNumberFormat="1" applyFont="1" applyProtection="1">
      <protection locked="0"/>
    </xf>
    <xf numFmtId="170" fontId="8" fillId="4" borderId="0" xfId="0" applyNumberFormat="1" applyFont="1" applyFill="1" applyBorder="1" applyProtection="1">
      <protection locked="0"/>
    </xf>
    <xf numFmtId="170" fontId="6" fillId="4" borderId="0" xfId="0" applyNumberFormat="1" applyFont="1" applyFill="1" applyBorder="1" applyAlignment="1" applyProtection="1">
      <alignment horizontal="right"/>
      <protection locked="0"/>
    </xf>
    <xf numFmtId="0" fontId="0" fillId="9" borderId="0" xfId="0" applyFill="1" applyAlignment="1">
      <alignment wrapText="1"/>
    </xf>
    <xf numFmtId="0" fontId="0" fillId="9" borderId="0" xfId="0" applyFill="1" applyAlignment="1">
      <alignment horizontal="center" vertical="center"/>
    </xf>
    <xf numFmtId="0" fontId="8" fillId="6" borderId="45" xfId="0" applyFont="1" applyFill="1" applyBorder="1"/>
    <xf numFmtId="0" fontId="8" fillId="11" borderId="45" xfId="0" applyFont="1" applyFill="1" applyBorder="1" applyProtection="1">
      <protection locked="0"/>
    </xf>
    <xf numFmtId="0" fontId="6" fillId="9" borderId="0" xfId="182" applyFont="1" applyFill="1" applyBorder="1" applyProtection="1">
      <protection hidden="1"/>
    </xf>
    <xf numFmtId="0" fontId="8" fillId="9" borderId="0" xfId="182" applyFont="1" applyFill="1" applyBorder="1" applyAlignment="1" applyProtection="1">
      <alignment horizontal="left"/>
    </xf>
    <xf numFmtId="0" fontId="6" fillId="9" borderId="0" xfId="182" applyFont="1" applyFill="1" applyBorder="1" applyAlignment="1" applyProtection="1"/>
    <xf numFmtId="0" fontId="56" fillId="9" borderId="0" xfId="182" applyFont="1" applyFill="1" applyBorder="1" applyProtection="1"/>
    <xf numFmtId="0" fontId="56" fillId="0" borderId="0" xfId="182" applyFont="1" applyFill="1" applyBorder="1" applyProtection="1"/>
    <xf numFmtId="0" fontId="8" fillId="9" borderId="0" xfId="182" quotePrefix="1" applyFont="1" applyFill="1" applyBorder="1" applyAlignment="1" applyProtection="1">
      <alignment horizontal="left"/>
    </xf>
    <xf numFmtId="0" fontId="6" fillId="9" borderId="0" xfId="182" applyFont="1" applyFill="1" applyBorder="1" applyAlignment="1" applyProtection="1">
      <alignment horizontal="left"/>
    </xf>
    <xf numFmtId="0" fontId="6" fillId="9" borderId="0" xfId="182" applyFont="1" applyFill="1" applyBorder="1" applyProtection="1"/>
    <xf numFmtId="0" fontId="6" fillId="9" borderId="0" xfId="182" applyFont="1" applyFill="1" applyBorder="1" applyAlignment="1" applyProtection="1">
      <alignment horizontal="left" indent="1"/>
    </xf>
    <xf numFmtId="0" fontId="8" fillId="9" borderId="0" xfId="182" applyFont="1" applyFill="1" applyBorder="1" applyAlignment="1" applyProtection="1">
      <alignment horizontal="left" indent="1"/>
    </xf>
    <xf numFmtId="0" fontId="6" fillId="9" borderId="0" xfId="182" applyFont="1" applyFill="1" applyBorder="1" applyAlignment="1" applyProtection="1">
      <alignment horizontal="right" indent="1"/>
    </xf>
    <xf numFmtId="0" fontId="6" fillId="14" borderId="53" xfId="182" applyFont="1" applyFill="1" applyBorder="1" applyAlignment="1" applyProtection="1">
      <alignment horizontal="left"/>
      <protection locked="0"/>
    </xf>
    <xf numFmtId="0" fontId="8" fillId="9" borderId="0" xfId="182" applyFont="1" applyFill="1" applyBorder="1" applyAlignment="1" applyProtection="1">
      <alignment horizontal="left" vertical="top"/>
    </xf>
    <xf numFmtId="0" fontId="6" fillId="9" borderId="0" xfId="182" applyFont="1" applyFill="1" applyBorder="1" applyAlignment="1" applyProtection="1">
      <alignment horizontal="center" vertical="top"/>
    </xf>
    <xf numFmtId="0" fontId="6" fillId="9" borderId="0" xfId="182" applyFont="1" applyFill="1" applyBorder="1" applyAlignment="1" applyProtection="1">
      <alignment vertical="top"/>
    </xf>
    <xf numFmtId="0" fontId="36" fillId="9" borderId="0" xfId="182" applyFont="1" applyFill="1" applyBorder="1" applyProtection="1"/>
    <xf numFmtId="0" fontId="6" fillId="9" borderId="0" xfId="182" applyFont="1" applyFill="1" applyBorder="1" applyAlignment="1" applyProtection="1">
      <alignment horizontal="center"/>
    </xf>
    <xf numFmtId="0" fontId="8" fillId="6" borderId="45" xfId="0" applyFont="1" applyFill="1" applyBorder="1" applyAlignment="1" applyProtection="1">
      <alignment vertical="center"/>
    </xf>
    <xf numFmtId="0" fontId="6" fillId="14" borderId="53" xfId="182" applyFont="1" applyFill="1" applyBorder="1" applyAlignment="1" applyProtection="1">
      <alignment horizontal="left"/>
    </xf>
    <xf numFmtId="0" fontId="6" fillId="0" borderId="0" xfId="166"/>
    <xf numFmtId="0" fontId="0" fillId="4" borderId="0" xfId="0" applyFill="1" applyBorder="1"/>
    <xf numFmtId="3" fontId="27" fillId="9" borderId="0" xfId="0" applyNumberFormat="1" applyFont="1" applyFill="1" applyBorder="1"/>
    <xf numFmtId="0" fontId="0" fillId="4" borderId="0" xfId="0" applyFill="1" applyBorder="1"/>
    <xf numFmtId="0" fontId="6" fillId="50" borderId="0" xfId="166" applyFill="1"/>
    <xf numFmtId="43" fontId="42" fillId="9" borderId="0" xfId="0" applyNumberFormat="1" applyFont="1" applyFill="1" applyBorder="1"/>
    <xf numFmtId="43" fontId="27" fillId="9" borderId="0" xfId="2" applyNumberFormat="1" applyFont="1" applyFill="1" applyBorder="1" applyAlignment="1">
      <alignment horizontal="center"/>
    </xf>
    <xf numFmtId="10" fontId="6" fillId="9" borderId="0" xfId="5" applyNumberFormat="1" applyFont="1" applyFill="1" applyBorder="1" applyAlignment="1">
      <alignment horizontal="right"/>
    </xf>
    <xf numFmtId="43" fontId="27" fillId="9" borderId="0" xfId="0" applyNumberFormat="1" applyFont="1" applyFill="1" applyBorder="1"/>
    <xf numFmtId="0" fontId="6" fillId="0" borderId="0" xfId="0" applyFont="1" applyFill="1" applyBorder="1"/>
    <xf numFmtId="181" fontId="6" fillId="14" borderId="53" xfId="182" applyNumberFormat="1" applyFont="1" applyFill="1" applyBorder="1" applyAlignment="1" applyProtection="1">
      <alignment horizontal="left" vertical="center"/>
      <protection locked="0"/>
    </xf>
    <xf numFmtId="181" fontId="6" fillId="14" borderId="0" xfId="182" applyNumberFormat="1" applyFont="1" applyFill="1" applyBorder="1" applyAlignment="1" applyProtection="1">
      <alignment horizontal="left" vertical="center"/>
      <protection locked="0"/>
    </xf>
    <xf numFmtId="0" fontId="6" fillId="0" borderId="0" xfId="170"/>
    <xf numFmtId="0" fontId="6" fillId="0" borderId="0" xfId="170" applyAlignment="1">
      <alignment vertical="center"/>
    </xf>
    <xf numFmtId="49" fontId="63" fillId="50" borderId="0" xfId="170" applyNumberFormat="1" applyFont="1" applyFill="1" applyAlignment="1" applyProtection="1">
      <alignment horizontal="right"/>
    </xf>
    <xf numFmtId="0" fontId="6" fillId="50" borderId="0" xfId="170" applyFill="1"/>
    <xf numFmtId="0" fontId="62" fillId="50" borderId="0" xfId="170" applyFont="1" applyFill="1" applyProtection="1"/>
    <xf numFmtId="0" fontId="62" fillId="50" borderId="0" xfId="170" applyFont="1" applyFill="1" applyAlignment="1" applyProtection="1">
      <alignment horizontal="center"/>
    </xf>
    <xf numFmtId="1" fontId="62" fillId="50" borderId="0" xfId="170" applyNumberFormat="1" applyFont="1" applyFill="1" applyProtection="1"/>
    <xf numFmtId="49" fontId="45" fillId="50" borderId="0" xfId="170" applyNumberFormat="1" applyFont="1" applyFill="1" applyAlignment="1" applyProtection="1">
      <alignment horizontal="right" vertical="center"/>
    </xf>
    <xf numFmtId="0" fontId="6" fillId="50" borderId="0" xfId="170" applyFont="1" applyFill="1" applyAlignment="1">
      <alignment vertical="center"/>
    </xf>
    <xf numFmtId="0" fontId="0" fillId="50" borderId="0" xfId="268" applyFont="1" applyFill="1" applyAlignment="1">
      <alignment vertical="center"/>
    </xf>
    <xf numFmtId="0" fontId="62" fillId="50" borderId="0" xfId="268" applyFont="1" applyFill="1" applyProtection="1"/>
    <xf numFmtId="0" fontId="62" fillId="9" borderId="0" xfId="170" applyFont="1" applyFill="1" applyProtection="1"/>
    <xf numFmtId="0" fontId="62" fillId="9" borderId="0" xfId="170" applyFont="1" applyFill="1" applyAlignment="1" applyProtection="1">
      <alignment horizontal="center"/>
    </xf>
    <xf numFmtId="1" fontId="62" fillId="9" borderId="0" xfId="170" applyNumberFormat="1" applyFont="1" applyFill="1" applyProtection="1"/>
    <xf numFmtId="49" fontId="62" fillId="9" borderId="0" xfId="170" applyNumberFormat="1" applyFont="1" applyFill="1" applyProtection="1"/>
    <xf numFmtId="0" fontId="8" fillId="0" borderId="58" xfId="268" applyFont="1" applyBorder="1" applyAlignment="1">
      <alignment vertical="center" wrapText="1"/>
    </xf>
    <xf numFmtId="0" fontId="8" fillId="0" borderId="57" xfId="166" applyFont="1" applyBorder="1" applyAlignment="1">
      <alignment vertical="center" wrapText="1"/>
    </xf>
    <xf numFmtId="0" fontId="8" fillId="0" borderId="57" xfId="268" applyFont="1" applyBorder="1" applyAlignment="1">
      <alignment vertical="center" wrapText="1"/>
    </xf>
    <xf numFmtId="0" fontId="8" fillId="0" borderId="59" xfId="268" applyFont="1" applyBorder="1" applyAlignment="1">
      <alignment vertical="center" wrapText="1"/>
    </xf>
    <xf numFmtId="0" fontId="8" fillId="0" borderId="60" xfId="268" applyFont="1" applyFill="1" applyBorder="1" applyAlignment="1">
      <alignment vertical="center" wrapText="1"/>
    </xf>
    <xf numFmtId="0" fontId="8" fillId="0" borderId="0" xfId="268" applyFont="1" applyFill="1" applyBorder="1" applyAlignment="1">
      <alignment vertical="center" wrapText="1"/>
    </xf>
    <xf numFmtId="0" fontId="8" fillId="0" borderId="61" xfId="268" applyFont="1" applyFill="1" applyBorder="1" applyAlignment="1">
      <alignment vertical="center" wrapText="1"/>
    </xf>
    <xf numFmtId="0" fontId="62" fillId="9" borderId="85" xfId="170" applyFont="1" applyFill="1" applyBorder="1" applyAlignment="1" applyProtection="1">
      <alignment vertical="top"/>
    </xf>
    <xf numFmtId="0" fontId="62" fillId="9" borderId="85" xfId="268" applyFont="1" applyFill="1" applyBorder="1" applyAlignment="1" applyProtection="1">
      <alignment vertical="top"/>
    </xf>
    <xf numFmtId="0" fontId="6" fillId="0" borderId="95" xfId="170" applyBorder="1" applyAlignment="1">
      <alignment vertical="center"/>
    </xf>
    <xf numFmtId="49" fontId="6" fillId="0" borderId="96" xfId="170" applyNumberFormat="1" applyBorder="1" applyAlignment="1">
      <alignment vertical="center"/>
    </xf>
    <xf numFmtId="0" fontId="6" fillId="0" borderId="94" xfId="170" applyBorder="1" applyAlignment="1">
      <alignment vertical="center"/>
    </xf>
    <xf numFmtId="0" fontId="6" fillId="0" borderId="97" xfId="170" applyBorder="1" applyAlignment="1">
      <alignment vertical="center"/>
    </xf>
    <xf numFmtId="0" fontId="6" fillId="0" borderId="67" xfId="170" applyBorder="1" applyAlignment="1">
      <alignment vertical="center"/>
    </xf>
    <xf numFmtId="49" fontId="6" fillId="0" borderId="50" xfId="170" applyNumberFormat="1" applyBorder="1" applyAlignment="1">
      <alignment vertical="center"/>
    </xf>
    <xf numFmtId="0" fontId="6" fillId="0" borderId="98" xfId="170" applyBorder="1" applyAlignment="1">
      <alignment vertical="center"/>
    </xf>
    <xf numFmtId="0" fontId="6" fillId="0" borderId="99" xfId="170" applyBorder="1" applyAlignment="1">
      <alignment vertical="center"/>
    </xf>
    <xf numFmtId="0" fontId="62" fillId="9" borderId="68" xfId="170" applyFont="1" applyFill="1" applyBorder="1" applyAlignment="1" applyProtection="1">
      <alignment vertical="top"/>
    </xf>
    <xf numFmtId="0" fontId="62" fillId="9" borderId="68" xfId="268" applyFont="1" applyFill="1" applyBorder="1" applyAlignment="1" applyProtection="1">
      <alignment vertical="top"/>
    </xf>
    <xf numFmtId="0" fontId="6" fillId="0" borderId="67" xfId="166" applyFont="1" applyBorder="1" applyAlignment="1">
      <alignment vertical="center"/>
    </xf>
    <xf numFmtId="0" fontId="6" fillId="0" borderId="98" xfId="170" applyBorder="1"/>
    <xf numFmtId="0" fontId="6" fillId="0" borderId="67" xfId="170" applyBorder="1"/>
    <xf numFmtId="0" fontId="6" fillId="0" borderId="99" xfId="170" applyBorder="1"/>
    <xf numFmtId="0" fontId="62" fillId="19" borderId="68" xfId="268" applyFont="1" applyFill="1" applyBorder="1" applyAlignment="1" applyProtection="1">
      <alignment vertical="top"/>
    </xf>
    <xf numFmtId="0" fontId="0" fillId="0" borderId="67" xfId="166" applyFont="1" applyBorder="1" applyAlignment="1">
      <alignment vertical="center"/>
    </xf>
    <xf numFmtId="0" fontId="62" fillId="9" borderId="68" xfId="268" applyFont="1" applyFill="1" applyBorder="1" applyAlignment="1" applyProtection="1">
      <alignment vertical="top" wrapText="1"/>
    </xf>
    <xf numFmtId="49" fontId="6" fillId="0" borderId="50" xfId="166" applyNumberFormat="1" applyFont="1" applyBorder="1" applyAlignment="1">
      <alignment vertical="center"/>
    </xf>
    <xf numFmtId="0" fontId="6" fillId="0" borderId="101" xfId="170" applyBorder="1"/>
    <xf numFmtId="0" fontId="62" fillId="9" borderId="0" xfId="170" applyFont="1" applyFill="1" applyAlignment="1" applyProtection="1">
      <alignment vertical="center"/>
    </xf>
    <xf numFmtId="0" fontId="62" fillId="9" borderId="0" xfId="170" applyFont="1" applyFill="1" applyAlignment="1" applyProtection="1">
      <alignment horizontal="center" vertical="center"/>
    </xf>
    <xf numFmtId="1" fontId="62" fillId="9" borderId="0" xfId="170" applyNumberFormat="1" applyFont="1" applyFill="1" applyAlignment="1" applyProtection="1">
      <alignment vertical="center"/>
    </xf>
    <xf numFmtId="0" fontId="8" fillId="0" borderId="106" xfId="170" applyFont="1" applyFill="1" applyBorder="1" applyAlignment="1">
      <alignment vertical="center" wrapText="1"/>
    </xf>
    <xf numFmtId="0" fontId="8" fillId="0" borderId="107" xfId="170" applyFont="1" applyFill="1" applyBorder="1" applyAlignment="1">
      <alignment vertical="center" wrapText="1"/>
    </xf>
    <xf numFmtId="0" fontId="8" fillId="0" borderId="108" xfId="170" applyFont="1" applyFill="1" applyBorder="1" applyAlignment="1">
      <alignment vertical="center" wrapText="1"/>
    </xf>
    <xf numFmtId="0" fontId="8" fillId="54" borderId="109" xfId="170" applyFont="1" applyFill="1" applyBorder="1" applyAlignment="1">
      <alignment vertical="center" wrapText="1"/>
    </xf>
    <xf numFmtId="0" fontId="6" fillId="0" borderId="0" xfId="170" applyAlignment="1">
      <alignment horizontal="center"/>
    </xf>
    <xf numFmtId="0" fontId="6" fillId="56" borderId="112" xfId="170" applyFont="1" applyFill="1" applyBorder="1" applyAlignment="1" applyProtection="1">
      <alignment horizontal="center" wrapText="1"/>
    </xf>
    <xf numFmtId="0" fontId="116" fillId="56" borderId="112" xfId="170" applyFont="1" applyFill="1" applyBorder="1" applyAlignment="1" applyProtection="1">
      <alignment horizontal="center" vertical="center"/>
    </xf>
    <xf numFmtId="0" fontId="6" fillId="55" borderId="0" xfId="175" applyFill="1" applyBorder="1" applyAlignment="1">
      <alignment horizontal="center"/>
    </xf>
    <xf numFmtId="0" fontId="6" fillId="55" borderId="114" xfId="175" applyFill="1" applyBorder="1" applyAlignment="1">
      <alignment horizontal="center" vertical="center" wrapText="1"/>
    </xf>
    <xf numFmtId="0" fontId="6" fillId="56" borderId="117" xfId="170" applyFont="1" applyFill="1" applyBorder="1" applyAlignment="1" applyProtection="1">
      <alignment horizontal="center" wrapText="1"/>
    </xf>
    <xf numFmtId="0" fontId="6" fillId="55" borderId="67" xfId="175" applyFill="1" applyBorder="1" applyAlignment="1">
      <alignment horizontal="center" vertical="center" wrapText="1"/>
    </xf>
    <xf numFmtId="0" fontId="6" fillId="0" borderId="117" xfId="170" applyFont="1" applyFill="1" applyBorder="1"/>
    <xf numFmtId="0" fontId="6" fillId="0" borderId="118" xfId="170" applyFont="1" applyFill="1" applyBorder="1"/>
    <xf numFmtId="0" fontId="6" fillId="0" borderId="117" xfId="170" applyFont="1" applyFill="1" applyBorder="1" applyAlignment="1">
      <alignment vertical="center"/>
    </xf>
    <xf numFmtId="0" fontId="6" fillId="0" borderId="116" xfId="170" applyFont="1" applyFill="1" applyBorder="1" applyAlignment="1">
      <alignment vertical="center"/>
    </xf>
    <xf numFmtId="0" fontId="6" fillId="0" borderId="120" xfId="170" applyFont="1" applyFill="1" applyBorder="1" applyAlignment="1">
      <alignment vertical="center"/>
    </xf>
    <xf numFmtId="0" fontId="6" fillId="56" borderId="121" xfId="170" applyFont="1" applyFill="1" applyBorder="1" applyAlignment="1" applyProtection="1">
      <alignment horizontal="center" wrapText="1"/>
    </xf>
    <xf numFmtId="0" fontId="6" fillId="0" borderId="121" xfId="170" applyFont="1" applyFill="1" applyBorder="1" applyAlignment="1">
      <alignment vertical="center"/>
    </xf>
    <xf numFmtId="0" fontId="6" fillId="0" borderId="121" xfId="170" applyFont="1" applyFill="1" applyBorder="1"/>
    <xf numFmtId="0" fontId="6" fillId="0" borderId="122" xfId="170" applyFont="1" applyFill="1" applyBorder="1"/>
    <xf numFmtId="0" fontId="6" fillId="55" borderId="101" xfId="175" applyFill="1" applyBorder="1" applyAlignment="1">
      <alignment horizontal="center" vertical="center" wrapText="1"/>
    </xf>
    <xf numFmtId="0" fontId="63" fillId="55" borderId="80" xfId="170" applyFont="1" applyFill="1" applyBorder="1" applyProtection="1"/>
    <xf numFmtId="0" fontId="8" fillId="54" borderId="91" xfId="170" applyFont="1" applyFill="1" applyBorder="1" applyAlignment="1">
      <alignment vertical="center" wrapText="1"/>
    </xf>
    <xf numFmtId="0" fontId="6" fillId="0" borderId="57" xfId="170" applyBorder="1"/>
    <xf numFmtId="0" fontId="8" fillId="54" borderId="92" xfId="170" applyFont="1" applyFill="1" applyBorder="1" applyAlignment="1">
      <alignment vertical="center" wrapText="1"/>
    </xf>
    <xf numFmtId="0" fontId="62" fillId="55" borderId="124" xfId="170" applyFont="1" applyFill="1" applyBorder="1" applyProtection="1"/>
    <xf numFmtId="0" fontId="62" fillId="55" borderId="125" xfId="170" applyFont="1" applyFill="1" applyBorder="1" applyProtection="1"/>
    <xf numFmtId="0" fontId="6" fillId="0" borderId="95" xfId="170" applyBorder="1"/>
    <xf numFmtId="0" fontId="6" fillId="55" borderId="95" xfId="175" applyFill="1" applyBorder="1" applyAlignment="1">
      <alignment horizontal="center" vertical="center" wrapText="1"/>
    </xf>
    <xf numFmtId="0" fontId="6" fillId="55" borderId="97" xfId="175" applyFill="1" applyBorder="1" applyAlignment="1">
      <alignment horizontal="center" vertical="center" wrapText="1"/>
    </xf>
    <xf numFmtId="0" fontId="62" fillId="55" borderId="86" xfId="170" applyFont="1" applyFill="1" applyBorder="1" applyProtection="1"/>
    <xf numFmtId="0" fontId="62" fillId="55" borderId="127" xfId="170" applyFont="1" applyFill="1" applyBorder="1" applyProtection="1"/>
    <xf numFmtId="0" fontId="6" fillId="55" borderId="99" xfId="175" applyFill="1" applyBorder="1" applyAlignment="1">
      <alignment horizontal="center" vertical="center" wrapText="1"/>
    </xf>
    <xf numFmtId="0" fontId="62" fillId="55" borderId="129" xfId="170" applyFont="1" applyFill="1" applyBorder="1" applyProtection="1"/>
    <xf numFmtId="0" fontId="62" fillId="55" borderId="81" xfId="170" applyFont="1" applyFill="1" applyBorder="1" applyProtection="1"/>
    <xf numFmtId="0" fontId="62" fillId="55" borderId="87" xfId="170" applyFont="1" applyFill="1" applyBorder="1" applyProtection="1"/>
    <xf numFmtId="0" fontId="63" fillId="55" borderId="90" xfId="170" applyFont="1" applyFill="1" applyBorder="1" applyProtection="1"/>
    <xf numFmtId="0" fontId="62" fillId="55" borderId="126" xfId="170" applyFont="1" applyFill="1" applyBorder="1" applyProtection="1"/>
    <xf numFmtId="0" fontId="62" fillId="55" borderId="128" xfId="170" applyFont="1" applyFill="1" applyBorder="1" applyProtection="1"/>
    <xf numFmtId="0" fontId="62" fillId="55" borderId="135" xfId="170" applyFont="1" applyFill="1" applyBorder="1" applyProtection="1"/>
    <xf numFmtId="0" fontId="6" fillId="9" borderId="126" xfId="268" applyFill="1" applyBorder="1" applyAlignment="1" applyProtection="1">
      <alignment vertical="center"/>
    </xf>
    <xf numFmtId="0" fontId="6" fillId="9" borderId="128" xfId="268" applyFill="1" applyBorder="1" applyAlignment="1" applyProtection="1">
      <alignment vertical="center"/>
    </xf>
    <xf numFmtId="0" fontId="6" fillId="9" borderId="135" xfId="268" applyFill="1" applyBorder="1" applyAlignment="1" applyProtection="1">
      <alignment vertical="center"/>
    </xf>
    <xf numFmtId="0" fontId="41" fillId="15" borderId="57" xfId="268" applyFont="1" applyFill="1" applyBorder="1" applyAlignment="1" applyProtection="1">
      <alignment vertical="center"/>
      <protection locked="0"/>
    </xf>
    <xf numFmtId="0" fontId="62" fillId="12" borderId="0" xfId="268" applyFont="1" applyFill="1" applyBorder="1" applyProtection="1"/>
    <xf numFmtId="0" fontId="6" fillId="0" borderId="0" xfId="268"/>
    <xf numFmtId="0" fontId="41" fillId="15" borderId="0" xfId="268" applyFont="1" applyFill="1" applyBorder="1" applyAlignment="1" applyProtection="1">
      <alignment horizontal="left" vertical="center"/>
    </xf>
    <xf numFmtId="0" fontId="35" fillId="15" borderId="0" xfId="268" applyFont="1" applyFill="1" applyBorder="1" applyAlignment="1" applyProtection="1">
      <alignment vertical="center"/>
    </xf>
    <xf numFmtId="0" fontId="41" fillId="15" borderId="0" xfId="268" applyFont="1" applyFill="1" applyBorder="1" applyAlignment="1" applyProtection="1">
      <alignment vertical="center"/>
    </xf>
    <xf numFmtId="0" fontId="64" fillId="16" borderId="0" xfId="268" applyFont="1" applyFill="1" applyAlignment="1">
      <alignment vertical="center"/>
    </xf>
    <xf numFmtId="0" fontId="62" fillId="9" borderId="0" xfId="268" applyFont="1" applyFill="1" applyProtection="1">
      <protection locked="0"/>
    </xf>
    <xf numFmtId="0" fontId="62" fillId="9" borderId="0" xfId="268" applyFont="1" applyFill="1" applyProtection="1"/>
    <xf numFmtId="0" fontId="8" fillId="7" borderId="0" xfId="268" applyFont="1" applyFill="1" applyBorder="1" applyAlignment="1" applyProtection="1">
      <alignment vertical="center"/>
    </xf>
    <xf numFmtId="0" fontId="6" fillId="7" borderId="0" xfId="268" applyFont="1" applyFill="1" applyBorder="1" applyAlignment="1" applyProtection="1">
      <alignment vertical="center"/>
    </xf>
    <xf numFmtId="0" fontId="15" fillId="9" borderId="0" xfId="268" applyFont="1" applyFill="1" applyAlignment="1" applyProtection="1">
      <alignment horizontal="left" vertical="top" wrapText="1"/>
    </xf>
    <xf numFmtId="0" fontId="6" fillId="9" borderId="0" xfId="268" applyFont="1" applyFill="1" applyAlignment="1" applyProtection="1">
      <alignment horizontal="left" vertical="top" wrapText="1"/>
    </xf>
    <xf numFmtId="0" fontId="66" fillId="12" borderId="0" xfId="268" applyFont="1" applyFill="1"/>
    <xf numFmtId="0" fontId="6" fillId="9" borderId="0" xfId="268" applyFont="1" applyFill="1" applyProtection="1"/>
    <xf numFmtId="0" fontId="67" fillId="17" borderId="60" xfId="268" applyFont="1" applyFill="1" applyBorder="1" applyAlignment="1" applyProtection="1">
      <alignment horizontal="center"/>
    </xf>
    <xf numFmtId="0" fontId="68" fillId="17" borderId="0" xfId="268" applyFont="1" applyFill="1" applyBorder="1" applyProtection="1"/>
    <xf numFmtId="0" fontId="6" fillId="17" borderId="0" xfId="268" applyFont="1" applyFill="1" applyBorder="1" applyProtection="1"/>
    <xf numFmtId="0" fontId="6" fillId="17" borderId="61" xfId="268" applyFont="1" applyFill="1" applyBorder="1" applyProtection="1"/>
    <xf numFmtId="0" fontId="130" fillId="17" borderId="60" xfId="268" applyFont="1" applyFill="1" applyBorder="1" applyAlignment="1" applyProtection="1">
      <alignment horizontal="left" indent="1"/>
    </xf>
    <xf numFmtId="0" fontId="130" fillId="17" borderId="60" xfId="268" quotePrefix="1" applyFont="1" applyFill="1" applyBorder="1" applyAlignment="1" applyProtection="1">
      <alignment horizontal="left" indent="1"/>
    </xf>
    <xf numFmtId="0" fontId="6" fillId="17" borderId="0" xfId="268" applyFont="1" applyFill="1" applyBorder="1" applyAlignment="1" applyProtection="1">
      <alignment horizontal="left"/>
    </xf>
    <xf numFmtId="0" fontId="68" fillId="17" borderId="63" xfId="268" applyFont="1" applyFill="1" applyBorder="1" applyAlignment="1" applyProtection="1">
      <alignment horizontal="left" indent="1"/>
    </xf>
    <xf numFmtId="0" fontId="6" fillId="17" borderId="89" xfId="268" applyFont="1" applyFill="1" applyBorder="1" applyAlignment="1" applyProtection="1"/>
    <xf numFmtId="0" fontId="6" fillId="17" borderId="89" xfId="268" applyFont="1" applyFill="1" applyBorder="1" applyProtection="1"/>
    <xf numFmtId="0" fontId="6" fillId="17" borderId="65" xfId="268" applyFont="1" applyFill="1" applyBorder="1" applyProtection="1"/>
    <xf numFmtId="0" fontId="68" fillId="17" borderId="58" xfId="268" applyFont="1" applyFill="1" applyBorder="1" applyAlignment="1" applyProtection="1">
      <alignment horizontal="left" indent="1"/>
    </xf>
    <xf numFmtId="0" fontId="6" fillId="17" borderId="57" xfId="268" applyFont="1" applyFill="1" applyBorder="1" applyAlignment="1" applyProtection="1"/>
    <xf numFmtId="0" fontId="6" fillId="17" borderId="57" xfId="268" applyFont="1" applyFill="1" applyBorder="1" applyProtection="1"/>
    <xf numFmtId="0" fontId="6" fillId="17" borderId="59" xfId="268" applyFont="1" applyFill="1" applyBorder="1" applyProtection="1"/>
    <xf numFmtId="0" fontId="6" fillId="0" borderId="0" xfId="268" applyAlignment="1">
      <alignment horizontal="left"/>
    </xf>
    <xf numFmtId="0" fontId="13" fillId="17" borderId="61" xfId="268" applyFont="1" applyFill="1" applyBorder="1" applyAlignment="1" applyProtection="1"/>
    <xf numFmtId="0" fontId="69" fillId="17" borderId="60" xfId="268" applyFont="1" applyFill="1" applyBorder="1" applyAlignment="1" applyProtection="1">
      <alignment horizontal="left" indent="1"/>
    </xf>
    <xf numFmtId="0" fontId="13" fillId="17" borderId="0" xfId="268" applyFont="1" applyFill="1" applyBorder="1" applyAlignment="1" applyProtection="1">
      <alignment horizontal="right" indent="1"/>
    </xf>
    <xf numFmtId="0" fontId="13" fillId="17" borderId="0" xfId="268" applyFont="1" applyFill="1" applyBorder="1" applyProtection="1"/>
    <xf numFmtId="0" fontId="6" fillId="19" borderId="15" xfId="268" applyFont="1" applyFill="1" applyBorder="1" applyAlignment="1" applyProtection="1">
      <alignment horizontal="left"/>
      <protection locked="0"/>
    </xf>
    <xf numFmtId="0" fontId="6" fillId="18" borderId="15" xfId="268" applyFont="1" applyFill="1" applyBorder="1" applyAlignment="1" applyProtection="1">
      <alignment horizontal="left"/>
      <protection locked="0"/>
    </xf>
    <xf numFmtId="0" fontId="6" fillId="17" borderId="61" xfId="268" applyFont="1" applyFill="1" applyBorder="1" applyAlignment="1" applyProtection="1"/>
    <xf numFmtId="0" fontId="68" fillId="17" borderId="60" xfId="268" applyFont="1" applyFill="1" applyBorder="1" applyAlignment="1" applyProtection="1">
      <alignment horizontal="left" indent="1"/>
    </xf>
    <xf numFmtId="0" fontId="68" fillId="17" borderId="138" xfId="268" applyFont="1" applyFill="1" applyBorder="1" applyAlignment="1" applyProtection="1">
      <alignment horizontal="left" indent="1"/>
    </xf>
    <xf numFmtId="0" fontId="6" fillId="17" borderId="139" xfId="268" applyFont="1" applyFill="1" applyBorder="1" applyProtection="1"/>
    <xf numFmtId="0" fontId="6" fillId="17" borderId="0" xfId="268" applyFont="1" applyFill="1" applyBorder="1" applyAlignment="1" applyProtection="1"/>
    <xf numFmtId="0" fontId="130" fillId="17" borderId="60" xfId="268" applyFont="1" applyFill="1" applyBorder="1" applyAlignment="1" applyProtection="1">
      <alignment horizontal="left" vertical="top"/>
    </xf>
    <xf numFmtId="0" fontId="6" fillId="17" borderId="0" xfId="268" applyFont="1" applyFill="1" applyBorder="1" applyAlignment="1" applyProtection="1">
      <alignment horizontal="center" vertical="top"/>
    </xf>
    <xf numFmtId="0" fontId="6" fillId="17" borderId="0" xfId="268" applyFont="1" applyFill="1" applyBorder="1" applyAlignment="1" applyProtection="1">
      <alignment vertical="top"/>
    </xf>
    <xf numFmtId="0" fontId="6" fillId="17" borderId="61" xfId="268" applyFont="1" applyFill="1" applyBorder="1" applyAlignment="1" applyProtection="1">
      <alignment vertical="top"/>
    </xf>
    <xf numFmtId="0" fontId="6" fillId="17" borderId="0" xfId="268" applyFont="1" applyFill="1" applyBorder="1" applyAlignment="1" applyProtection="1">
      <alignment horizontal="center"/>
    </xf>
    <xf numFmtId="0" fontId="131" fillId="17" borderId="61" xfId="268" applyFont="1" applyFill="1" applyBorder="1" applyProtection="1"/>
    <xf numFmtId="0" fontId="132" fillId="60" borderId="58" xfId="16" applyFont="1" applyFill="1" applyBorder="1" applyAlignment="1" applyProtection="1">
      <alignment horizontal="left" indent="1"/>
    </xf>
    <xf numFmtId="0" fontId="6" fillId="60" borderId="57" xfId="16" applyFont="1" applyFill="1" applyBorder="1" applyAlignment="1" applyProtection="1"/>
    <xf numFmtId="0" fontId="6" fillId="60" borderId="57" xfId="16" applyFont="1" applyFill="1" applyBorder="1" applyProtection="1"/>
    <xf numFmtId="0" fontId="6" fillId="60" borderId="59" xfId="16" applyFont="1" applyFill="1" applyBorder="1" applyProtection="1"/>
    <xf numFmtId="0" fontId="130" fillId="60" borderId="60" xfId="16" applyFont="1" applyFill="1" applyBorder="1" applyAlignment="1" applyProtection="1">
      <alignment horizontal="left" indent="1"/>
    </xf>
    <xf numFmtId="0" fontId="8" fillId="62" borderId="90" xfId="306" applyFont="1" applyFill="1" applyBorder="1" applyAlignment="1" applyProtection="1">
      <alignment horizontal="center" vertical="center"/>
      <protection locked="0"/>
    </xf>
    <xf numFmtId="0" fontId="131" fillId="60" borderId="0" xfId="16" applyFont="1" applyFill="1" applyBorder="1" applyAlignment="1" applyProtection="1">
      <alignment horizontal="right"/>
    </xf>
    <xf numFmtId="0" fontId="133" fillId="60" borderId="0" xfId="16" applyFont="1" applyFill="1" applyBorder="1" applyAlignment="1" applyProtection="1">
      <alignment horizontal="center"/>
    </xf>
    <xf numFmtId="0" fontId="6" fillId="60" borderId="0" xfId="16" applyFont="1" applyFill="1" applyBorder="1" applyProtection="1"/>
    <xf numFmtId="0" fontId="6" fillId="60" borderId="61" xfId="16" applyFont="1" applyFill="1" applyBorder="1" applyProtection="1"/>
    <xf numFmtId="0" fontId="134" fillId="60" borderId="60" xfId="16" applyFont="1" applyFill="1" applyBorder="1" applyAlignment="1" applyProtection="1">
      <alignment horizontal="left" indent="1"/>
    </xf>
    <xf numFmtId="0" fontId="135" fillId="60" borderId="0" xfId="16" applyFont="1" applyFill="1" applyBorder="1" applyProtection="1"/>
    <xf numFmtId="0" fontId="132" fillId="60" borderId="63" xfId="16" applyFont="1" applyFill="1" applyBorder="1" applyAlignment="1" applyProtection="1">
      <alignment horizontal="left" indent="1"/>
    </xf>
    <xf numFmtId="0" fontId="6" fillId="60" borderId="89" xfId="16" applyFont="1" applyFill="1" applyBorder="1" applyAlignment="1" applyProtection="1"/>
    <xf numFmtId="0" fontId="6" fillId="60" borderId="89" xfId="16" applyFont="1" applyFill="1" applyBorder="1" applyProtection="1"/>
    <xf numFmtId="0" fontId="6" fillId="60" borderId="65" xfId="16" applyFont="1" applyFill="1" applyBorder="1" applyProtection="1"/>
    <xf numFmtId="0" fontId="133" fillId="0" borderId="0" xfId="16" applyFont="1" applyFill="1" applyBorder="1" applyAlignment="1" applyProtection="1">
      <alignment horizontal="left"/>
    </xf>
    <xf numFmtId="0" fontId="6" fillId="0" borderId="0" xfId="268" applyFill="1"/>
    <xf numFmtId="0" fontId="62" fillId="9" borderId="89" xfId="268" applyFont="1" applyFill="1" applyBorder="1" applyProtection="1"/>
    <xf numFmtId="0" fontId="6" fillId="20" borderId="140" xfId="268" applyFont="1" applyFill="1" applyBorder="1" applyAlignment="1" applyProtection="1"/>
    <xf numFmtId="0" fontId="136" fillId="20" borderId="47" xfId="268" applyFont="1" applyFill="1" applyBorder="1" applyAlignment="1" applyProtection="1">
      <alignment vertical="top"/>
    </xf>
    <xf numFmtId="0" fontId="62" fillId="20" borderId="57" xfId="268" applyFont="1" applyFill="1" applyBorder="1" applyProtection="1"/>
    <xf numFmtId="0" fontId="62" fillId="20" borderId="59" xfId="268" applyFont="1" applyFill="1" applyBorder="1" applyProtection="1"/>
    <xf numFmtId="0" fontId="6" fillId="20" borderId="141" xfId="268" applyFont="1" applyFill="1" applyBorder="1" applyProtection="1"/>
    <xf numFmtId="0" fontId="8" fillId="18" borderId="90" xfId="268" applyFont="1" applyFill="1" applyBorder="1" applyProtection="1">
      <protection locked="0"/>
    </xf>
    <xf numFmtId="0" fontId="62" fillId="20" borderId="0" xfId="268" applyFont="1" applyFill="1" applyBorder="1" applyProtection="1"/>
    <xf numFmtId="0" fontId="62" fillId="20" borderId="61" xfId="268" applyFont="1" applyFill="1" applyBorder="1" applyProtection="1"/>
    <xf numFmtId="0" fontId="6" fillId="20" borderId="142" xfId="268" applyFont="1" applyFill="1" applyBorder="1" applyAlignment="1" applyProtection="1">
      <alignment vertical="center"/>
    </xf>
    <xf numFmtId="0" fontId="6" fillId="20" borderId="136" xfId="268" applyFont="1" applyFill="1" applyBorder="1" applyAlignment="1" applyProtection="1">
      <alignment vertical="top"/>
    </xf>
    <xf numFmtId="0" fontId="137" fillId="20" borderId="0" xfId="189" applyFont="1" applyFill="1" applyBorder="1" applyProtection="1"/>
    <xf numFmtId="0" fontId="127" fillId="20" borderId="0" xfId="268" applyFont="1" applyFill="1" applyBorder="1" applyAlignment="1" applyProtection="1">
      <alignment vertical="top"/>
    </xf>
    <xf numFmtId="0" fontId="127" fillId="20" borderId="61" xfId="268" applyFont="1" applyFill="1" applyBorder="1" applyAlignment="1" applyProtection="1">
      <alignment vertical="top"/>
    </xf>
    <xf numFmtId="0" fontId="6" fillId="20" borderId="63" xfId="268" applyFont="1" applyFill="1" applyBorder="1" applyProtection="1"/>
    <xf numFmtId="0" fontId="6" fillId="18" borderId="82" xfId="268" applyFont="1" applyFill="1" applyBorder="1" applyAlignment="1" applyProtection="1">
      <alignment horizontal="center"/>
      <protection locked="0"/>
    </xf>
    <xf numFmtId="0" fontId="62" fillId="20" borderId="89" xfId="268" applyFont="1" applyFill="1" applyBorder="1" applyProtection="1"/>
    <xf numFmtId="0" fontId="62" fillId="20" borderId="65" xfId="268" applyFont="1" applyFill="1" applyBorder="1" applyProtection="1"/>
    <xf numFmtId="0" fontId="6" fillId="20" borderId="94" xfId="268" applyFont="1" applyFill="1" applyBorder="1" applyAlignment="1" applyProtection="1">
      <alignment vertical="top"/>
    </xf>
    <xf numFmtId="0" fontId="6" fillId="20" borderId="95" xfId="268" applyFont="1" applyFill="1" applyBorder="1" applyAlignment="1" applyProtection="1">
      <alignment horizontal="center" vertical="top"/>
    </xf>
    <xf numFmtId="0" fontId="138" fillId="20" borderId="95" xfId="268" quotePrefix="1" applyFont="1" applyFill="1" applyBorder="1" applyAlignment="1" applyProtection="1">
      <alignment vertical="top"/>
    </xf>
    <xf numFmtId="0" fontId="127" fillId="20" borderId="96" xfId="268" quotePrefix="1" applyFont="1" applyFill="1" applyBorder="1" applyAlignment="1" applyProtection="1">
      <alignment vertical="top"/>
    </xf>
    <xf numFmtId="0" fontId="127" fillId="20" borderId="144" xfId="268" applyFont="1" applyFill="1" applyBorder="1" applyAlignment="1" applyProtection="1">
      <alignment vertical="top"/>
    </xf>
    <xf numFmtId="0" fontId="127" fillId="20" borderId="145" xfId="268" applyFont="1" applyFill="1" applyBorder="1" applyAlignment="1" applyProtection="1">
      <alignment vertical="top"/>
    </xf>
    <xf numFmtId="0" fontId="6" fillId="0" borderId="0" xfId="268" applyAlignment="1">
      <alignment vertical="center"/>
    </xf>
    <xf numFmtId="0" fontId="62" fillId="9" borderId="0" xfId="268" applyFont="1" applyFill="1" applyAlignment="1" applyProtection="1">
      <alignment vertical="center"/>
    </xf>
    <xf numFmtId="0" fontId="6" fillId="20" borderId="98" xfId="268" applyFont="1" applyFill="1" applyBorder="1" applyAlignment="1" applyProtection="1">
      <alignment vertical="top"/>
    </xf>
    <xf numFmtId="0" fontId="6" fillId="20" borderId="67" xfId="268" applyFont="1" applyFill="1" applyBorder="1" applyAlignment="1" applyProtection="1">
      <alignment horizontal="center" vertical="top"/>
    </xf>
    <xf numFmtId="0" fontId="138" fillId="20" borderId="67" xfId="268" quotePrefix="1" applyFont="1" applyFill="1" applyBorder="1" applyAlignment="1" applyProtection="1">
      <alignment vertical="top"/>
    </xf>
    <xf numFmtId="0" fontId="127" fillId="20" borderId="50" xfId="268" quotePrefix="1" applyFont="1" applyFill="1" applyBorder="1" applyAlignment="1" applyProtection="1">
      <alignment vertical="top"/>
    </xf>
    <xf numFmtId="0" fontId="127" fillId="20" borderId="146" xfId="268" applyFont="1" applyFill="1" applyBorder="1" applyAlignment="1" applyProtection="1">
      <alignment vertical="top"/>
    </xf>
    <xf numFmtId="0" fontId="127" fillId="20" borderId="134" xfId="268" applyFont="1" applyFill="1" applyBorder="1" applyAlignment="1" applyProtection="1">
      <alignment vertical="top"/>
    </xf>
    <xf numFmtId="0" fontId="8" fillId="20" borderId="67" xfId="268" applyFont="1" applyFill="1" applyBorder="1" applyAlignment="1" applyProtection="1">
      <alignment horizontal="center" vertical="top"/>
    </xf>
    <xf numFmtId="0" fontId="8" fillId="18" borderId="67" xfId="268" applyFont="1" applyFill="1" applyBorder="1" applyAlignment="1" applyProtection="1">
      <alignment horizontal="center" vertical="top"/>
    </xf>
    <xf numFmtId="0" fontId="138" fillId="20" borderId="67" xfId="268" applyFont="1" applyFill="1" applyBorder="1" applyAlignment="1" applyProtection="1">
      <alignment vertical="top"/>
    </xf>
    <xf numFmtId="0" fontId="127" fillId="20" borderId="50" xfId="268" applyFont="1" applyFill="1" applyBorder="1" applyAlignment="1" applyProtection="1">
      <alignment vertical="top"/>
    </xf>
    <xf numFmtId="0" fontId="36" fillId="20" borderId="98" xfId="268" applyFont="1" applyFill="1" applyBorder="1" applyAlignment="1" applyProtection="1">
      <alignment vertical="top"/>
    </xf>
    <xf numFmtId="0" fontId="36" fillId="20" borderId="67" xfId="268" applyFont="1" applyFill="1" applyBorder="1" applyAlignment="1" applyProtection="1">
      <alignment horizontal="center" vertical="top"/>
    </xf>
    <xf numFmtId="0" fontId="36" fillId="20" borderId="67" xfId="268" applyFont="1" applyFill="1" applyBorder="1" applyAlignment="1" applyProtection="1">
      <alignment vertical="top"/>
    </xf>
    <xf numFmtId="0" fontId="36" fillId="20" borderId="50" xfId="268" applyFont="1" applyFill="1" applyBorder="1" applyAlignment="1" applyProtection="1">
      <alignment vertical="top"/>
    </xf>
    <xf numFmtId="0" fontId="36" fillId="20" borderId="146" xfId="268" applyFont="1" applyFill="1" applyBorder="1" applyAlignment="1" applyProtection="1">
      <alignment vertical="top"/>
    </xf>
    <xf numFmtId="0" fontId="36" fillId="20" borderId="134" xfId="268" applyFont="1" applyFill="1" applyBorder="1" applyAlignment="1" applyProtection="1">
      <alignment vertical="top"/>
    </xf>
    <xf numFmtId="0" fontId="6" fillId="20" borderId="67" xfId="268" quotePrefix="1" applyFont="1" applyFill="1" applyBorder="1" applyAlignment="1" applyProtection="1">
      <alignment horizontal="center" vertical="top"/>
    </xf>
    <xf numFmtId="0" fontId="6" fillId="20" borderId="100" xfId="268" applyFont="1" applyFill="1" applyBorder="1" applyAlignment="1" applyProtection="1">
      <alignment vertical="top"/>
    </xf>
    <xf numFmtId="0" fontId="6" fillId="20" borderId="101" xfId="268" applyFont="1" applyFill="1" applyBorder="1" applyAlignment="1" applyProtection="1">
      <alignment horizontal="center" vertical="top"/>
    </xf>
    <xf numFmtId="0" fontId="138" fillId="20" borderId="101" xfId="268" quotePrefix="1" applyFont="1" applyFill="1" applyBorder="1" applyAlignment="1" applyProtection="1">
      <alignment vertical="top"/>
    </xf>
    <xf numFmtId="0" fontId="127" fillId="20" borderId="102" xfId="268" quotePrefix="1" applyFont="1" applyFill="1" applyBorder="1" applyAlignment="1" applyProtection="1">
      <alignment vertical="top"/>
    </xf>
    <xf numFmtId="0" fontId="127" fillId="20" borderId="147" xfId="268" applyFont="1" applyFill="1" applyBorder="1" applyAlignment="1" applyProtection="1">
      <alignment vertical="top"/>
    </xf>
    <xf numFmtId="0" fontId="127" fillId="20" borderId="148" xfId="268" applyFont="1" applyFill="1" applyBorder="1" applyAlignment="1" applyProtection="1">
      <alignment vertical="top"/>
    </xf>
    <xf numFmtId="0" fontId="6" fillId="20" borderId="91" xfId="268" applyFont="1" applyFill="1" applyBorder="1" applyAlignment="1" applyProtection="1">
      <alignment horizontal="left" vertical="top" indent="2"/>
    </xf>
    <xf numFmtId="0" fontId="6" fillId="55" borderId="57" xfId="268" applyFont="1" applyFill="1" applyBorder="1" applyAlignment="1">
      <alignment horizontal="center"/>
    </xf>
    <xf numFmtId="0" fontId="6" fillId="20" borderId="149" xfId="268" applyFont="1" applyFill="1" applyBorder="1" applyAlignment="1" applyProtection="1">
      <alignment horizontal="left" vertical="top" indent="2"/>
    </xf>
    <xf numFmtId="0" fontId="138" fillId="20" borderId="150" xfId="268" quotePrefix="1" applyFont="1" applyFill="1" applyBorder="1" applyAlignment="1" applyProtection="1">
      <alignment vertical="top"/>
    </xf>
    <xf numFmtId="0" fontId="127" fillId="20" borderId="151" xfId="268" quotePrefix="1" applyFont="1" applyFill="1" applyBorder="1" applyAlignment="1" applyProtection="1">
      <alignment vertical="top"/>
    </xf>
    <xf numFmtId="0" fontId="127" fillId="20" borderId="139" xfId="268" applyFont="1" applyFill="1" applyBorder="1" applyAlignment="1" applyProtection="1">
      <alignment vertical="top"/>
    </xf>
    <xf numFmtId="0" fontId="6" fillId="20" borderId="152" xfId="268" applyFont="1" applyFill="1" applyBorder="1" applyAlignment="1" applyProtection="1">
      <alignment horizontal="left" vertical="top" indent="2"/>
    </xf>
    <xf numFmtId="0" fontId="6" fillId="55" borderId="0" xfId="268" applyFont="1" applyFill="1" applyBorder="1" applyAlignment="1">
      <alignment horizontal="center"/>
    </xf>
    <xf numFmtId="0" fontId="138" fillId="20" borderId="114" xfId="268" quotePrefix="1" applyFont="1" applyFill="1" applyBorder="1" applyAlignment="1" applyProtection="1">
      <alignment vertical="top"/>
    </xf>
    <xf numFmtId="0" fontId="127" fillId="20" borderId="48" xfId="268" quotePrefix="1" applyFont="1" applyFill="1" applyBorder="1" applyAlignment="1" applyProtection="1">
      <alignment vertical="top"/>
    </xf>
    <xf numFmtId="0" fontId="127" fillId="20" borderId="153" xfId="268" applyFont="1" applyFill="1" applyBorder="1" applyAlignment="1" applyProtection="1">
      <alignment vertical="top"/>
    </xf>
    <xf numFmtId="0" fontId="127" fillId="20" borderId="131" xfId="268" applyFont="1" applyFill="1" applyBorder="1" applyAlignment="1" applyProtection="1">
      <alignment vertical="top"/>
    </xf>
    <xf numFmtId="0" fontId="6" fillId="20" borderId="132" xfId="268" applyFont="1" applyFill="1" applyBorder="1" applyAlignment="1" applyProtection="1">
      <alignment horizontal="left" vertical="top" indent="2"/>
    </xf>
    <xf numFmtId="0" fontId="62" fillId="20" borderId="60" xfId="268" applyFont="1" applyFill="1" applyBorder="1" applyAlignment="1" applyProtection="1">
      <alignment horizontal="left" indent="2"/>
    </xf>
    <xf numFmtId="0" fontId="56" fillId="20" borderId="0" xfId="268" applyFont="1" applyFill="1" applyBorder="1" applyAlignment="1" applyProtection="1">
      <alignment horizontal="center"/>
    </xf>
    <xf numFmtId="0" fontId="125" fillId="20" borderId="60" xfId="268" applyFont="1" applyFill="1" applyBorder="1" applyAlignment="1" applyProtection="1">
      <alignment horizontal="left"/>
    </xf>
    <xf numFmtId="0" fontId="125" fillId="20" borderId="0" xfId="268" applyFont="1" applyFill="1" applyBorder="1" applyAlignment="1" applyProtection="1">
      <alignment horizontal="center"/>
    </xf>
    <xf numFmtId="0" fontId="126" fillId="20" borderId="61" xfId="268" applyFont="1" applyFill="1" applyBorder="1" applyAlignment="1" applyProtection="1">
      <alignment horizontal="right"/>
    </xf>
    <xf numFmtId="0" fontId="6" fillId="20" borderId="98" xfId="268" applyFont="1" applyFill="1" applyBorder="1" applyAlignment="1" applyProtection="1">
      <alignment horizontal="left" vertical="top" indent="2"/>
    </xf>
    <xf numFmtId="0" fontId="138" fillId="20" borderId="67" xfId="268" quotePrefix="1" applyFont="1" applyFill="1" applyBorder="1" applyAlignment="1" applyProtection="1">
      <alignment horizontal="left" vertical="top"/>
    </xf>
    <xf numFmtId="0" fontId="127" fillId="20" borderId="50" xfId="268" quotePrefix="1" applyFont="1" applyFill="1" applyBorder="1" applyAlignment="1" applyProtection="1">
      <alignment horizontal="left" vertical="top"/>
    </xf>
    <xf numFmtId="0" fontId="6" fillId="0" borderId="0" xfId="268" applyAlignment="1">
      <alignment vertical="top"/>
    </xf>
    <xf numFmtId="0" fontId="6" fillId="0" borderId="0" xfId="268" applyAlignment="1">
      <alignment horizontal="left" vertical="top"/>
    </xf>
    <xf numFmtId="0" fontId="62" fillId="9" borderId="0" xfId="268" applyFont="1" applyFill="1" applyAlignment="1" applyProtection="1">
      <alignment vertical="top"/>
    </xf>
    <xf numFmtId="0" fontId="6" fillId="20" borderId="154" xfId="268" applyFont="1" applyFill="1" applyBorder="1" applyAlignment="1" applyProtection="1">
      <alignment horizontal="left" vertical="top" indent="2"/>
    </xf>
    <xf numFmtId="0" fontId="138" fillId="20" borderId="155" xfId="268" quotePrefix="1" applyFont="1" applyFill="1" applyBorder="1" applyAlignment="1" applyProtection="1">
      <alignment horizontal="left" vertical="top"/>
    </xf>
    <xf numFmtId="0" fontId="127" fillId="20" borderId="156" xfId="268" applyFont="1" applyFill="1" applyBorder="1" applyAlignment="1" applyProtection="1">
      <alignment vertical="top"/>
    </xf>
    <xf numFmtId="0" fontId="8" fillId="20" borderId="100" xfId="268" applyFont="1" applyFill="1" applyBorder="1" applyAlignment="1" applyProtection="1">
      <alignment vertical="top"/>
    </xf>
    <xf numFmtId="0" fontId="138" fillId="20" borderId="101" xfId="268" quotePrefix="1" applyFont="1" applyFill="1" applyBorder="1" applyAlignment="1" applyProtection="1">
      <alignment horizontal="left" vertical="top"/>
    </xf>
    <xf numFmtId="0" fontId="127" fillId="20" borderId="102" xfId="268" quotePrefix="1" applyFont="1" applyFill="1" applyBorder="1" applyAlignment="1" applyProtection="1">
      <alignment horizontal="left" vertical="top"/>
    </xf>
    <xf numFmtId="0" fontId="126" fillId="20" borderId="65" xfId="268" applyFont="1" applyFill="1" applyBorder="1" applyAlignment="1" applyProtection="1">
      <alignment horizontal="right"/>
    </xf>
    <xf numFmtId="0" fontId="6" fillId="20" borderId="132" xfId="268" applyFont="1" applyFill="1" applyBorder="1" applyAlignment="1" applyProtection="1">
      <alignment vertical="top"/>
    </xf>
    <xf numFmtId="0" fontId="6" fillId="20" borderId="114" xfId="268" applyFont="1" applyFill="1" applyBorder="1" applyAlignment="1" applyProtection="1">
      <alignment horizontal="center" vertical="top"/>
    </xf>
    <xf numFmtId="0" fontId="62" fillId="20" borderId="48" xfId="268" applyFont="1" applyFill="1" applyBorder="1" applyAlignment="1" applyProtection="1">
      <alignment vertical="top"/>
    </xf>
    <xf numFmtId="0" fontId="62" fillId="20" borderId="153" xfId="268" applyFont="1" applyFill="1" applyBorder="1" applyAlignment="1" applyProtection="1">
      <alignment vertical="top"/>
    </xf>
    <xf numFmtId="0" fontId="62" fillId="20" borderId="131" xfId="268" applyFont="1" applyFill="1" applyBorder="1" applyAlignment="1" applyProtection="1">
      <alignment vertical="top"/>
    </xf>
    <xf numFmtId="0" fontId="6" fillId="20" borderId="154" xfId="268" applyFont="1" applyFill="1" applyBorder="1" applyAlignment="1" applyProtection="1">
      <alignment vertical="top"/>
    </xf>
    <xf numFmtId="0" fontId="6" fillId="20" borderId="101" xfId="268" applyFont="1" applyFill="1" applyBorder="1" applyAlignment="1" applyProtection="1">
      <alignment horizontal="left" vertical="top"/>
    </xf>
    <xf numFmtId="0" fontId="62" fillId="20" borderId="157" xfId="268" applyFont="1" applyFill="1" applyBorder="1" applyAlignment="1" applyProtection="1">
      <alignment vertical="top"/>
    </xf>
    <xf numFmtId="0" fontId="62" fillId="20" borderId="156" xfId="268" applyFont="1" applyFill="1" applyBorder="1" applyAlignment="1" applyProtection="1">
      <alignment vertical="top"/>
    </xf>
    <xf numFmtId="0" fontId="62" fillId="20" borderId="158" xfId="268" applyFont="1" applyFill="1" applyBorder="1" applyAlignment="1" applyProtection="1">
      <alignment vertical="top"/>
    </xf>
    <xf numFmtId="0" fontId="56" fillId="20" borderId="114" xfId="268" quotePrefix="1" applyFont="1" applyFill="1" applyBorder="1" applyAlignment="1" applyProtection="1">
      <alignment horizontal="center" vertical="center"/>
    </xf>
    <xf numFmtId="0" fontId="138" fillId="20" borderId="95" xfId="268" quotePrefix="1" applyFont="1" applyFill="1" applyBorder="1" applyAlignment="1" applyProtection="1">
      <alignment horizontal="left" vertical="top"/>
    </xf>
    <xf numFmtId="0" fontId="56" fillId="20" borderId="67" xfId="268" quotePrefix="1" applyFont="1" applyFill="1" applyBorder="1" applyAlignment="1" applyProtection="1">
      <alignment horizontal="center" vertical="center"/>
    </xf>
    <xf numFmtId="0" fontId="139" fillId="20" borderId="50" xfId="268" quotePrefix="1" applyFont="1" applyFill="1" applyBorder="1" applyAlignment="1" applyProtection="1">
      <alignment vertical="top"/>
    </xf>
    <xf numFmtId="0" fontId="139" fillId="20" borderId="146" xfId="268" applyFont="1" applyFill="1" applyBorder="1" applyAlignment="1" applyProtection="1">
      <alignment vertical="top"/>
    </xf>
    <xf numFmtId="0" fontId="139" fillId="20" borderId="134" xfId="268" applyFont="1" applyFill="1" applyBorder="1" applyAlignment="1" applyProtection="1">
      <alignment vertical="top"/>
    </xf>
    <xf numFmtId="0" fontId="56" fillId="20" borderId="101" xfId="268" quotePrefix="1" applyFont="1" applyFill="1" applyBorder="1" applyAlignment="1" applyProtection="1">
      <alignment horizontal="center" vertical="center"/>
    </xf>
    <xf numFmtId="0" fontId="139" fillId="20" borderId="102" xfId="268" quotePrefix="1" applyFont="1" applyFill="1" applyBorder="1" applyAlignment="1" applyProtection="1">
      <alignment vertical="top"/>
    </xf>
    <xf numFmtId="0" fontId="139" fillId="20" borderId="147" xfId="268" applyFont="1" applyFill="1" applyBorder="1" applyAlignment="1" applyProtection="1">
      <alignment vertical="top"/>
    </xf>
    <xf numFmtId="0" fontId="139" fillId="20" borderId="148" xfId="268" applyFont="1" applyFill="1" applyBorder="1" applyAlignment="1" applyProtection="1">
      <alignment vertical="top"/>
    </xf>
    <xf numFmtId="0" fontId="141" fillId="50" borderId="0" xfId="170" applyFont="1" applyFill="1" applyProtection="1"/>
    <xf numFmtId="0" fontId="141" fillId="50" borderId="0" xfId="170" applyFont="1" applyFill="1" applyAlignment="1" applyProtection="1">
      <alignment horizontal="center"/>
    </xf>
    <xf numFmtId="0" fontId="142" fillId="50" borderId="0" xfId="170" quotePrefix="1" applyFont="1" applyFill="1"/>
    <xf numFmtId="0" fontId="1" fillId="0" borderId="0" xfId="558"/>
    <xf numFmtId="0" fontId="146" fillId="17" borderId="0" xfId="268" applyFont="1" applyFill="1" applyBorder="1" applyProtection="1"/>
    <xf numFmtId="0" fontId="6" fillId="17" borderId="56" xfId="268" applyFont="1" applyFill="1" applyBorder="1" applyAlignment="1" applyProtection="1"/>
    <xf numFmtId="0" fontId="6" fillId="17" borderId="56" xfId="268" applyFont="1" applyFill="1" applyBorder="1" applyProtection="1"/>
    <xf numFmtId="0" fontId="6" fillId="18" borderId="62" xfId="268" applyFont="1" applyFill="1" applyBorder="1" applyAlignment="1" applyProtection="1">
      <alignment horizontal="left" vertical="center"/>
      <protection locked="0"/>
    </xf>
    <xf numFmtId="0" fontId="6" fillId="18" borderId="66" xfId="268" applyFont="1" applyFill="1" applyBorder="1" applyAlignment="1" applyProtection="1">
      <alignment horizontal="left" vertical="center" wrapText="1"/>
      <protection locked="0"/>
    </xf>
    <xf numFmtId="181" fontId="6" fillId="18" borderId="66" xfId="268" applyNumberFormat="1" applyFont="1" applyFill="1" applyBorder="1" applyAlignment="1" applyProtection="1">
      <alignment horizontal="left" vertical="center"/>
      <protection locked="0"/>
    </xf>
    <xf numFmtId="181" fontId="6" fillId="18" borderId="62" xfId="268" applyNumberFormat="1" applyFont="1" applyFill="1" applyBorder="1" applyAlignment="1" applyProtection="1">
      <alignment horizontal="left" vertical="center"/>
      <protection locked="0"/>
    </xf>
    <xf numFmtId="0" fontId="6" fillId="18" borderId="62" xfId="268" applyFill="1" applyBorder="1" applyAlignment="1" applyProtection="1">
      <alignment horizontal="left" vertical="center"/>
      <protection locked="0"/>
    </xf>
    <xf numFmtId="0" fontId="13" fillId="17" borderId="60" xfId="558" applyFont="1" applyFill="1" applyBorder="1" applyProtection="1">
      <protection locked="0"/>
    </xf>
    <xf numFmtId="0" fontId="13" fillId="17" borderId="0" xfId="558" applyFont="1" applyFill="1" applyBorder="1" applyProtection="1">
      <protection locked="0"/>
    </xf>
    <xf numFmtId="0" fontId="6" fillId="17" borderId="0" xfId="558" applyFont="1" applyFill="1" applyBorder="1" applyProtection="1">
      <protection locked="0"/>
    </xf>
    <xf numFmtId="0" fontId="6" fillId="17" borderId="61" xfId="558" applyFont="1" applyFill="1" applyBorder="1" applyProtection="1">
      <protection locked="0"/>
    </xf>
    <xf numFmtId="0" fontId="130" fillId="17" borderId="60" xfId="558" applyFont="1" applyFill="1" applyBorder="1" applyAlignment="1" applyProtection="1">
      <alignment horizontal="left" indent="1"/>
      <protection locked="0"/>
    </xf>
    <xf numFmtId="0" fontId="125" fillId="18" borderId="90" xfId="558" applyNumberFormat="1" applyFont="1" applyFill="1" applyBorder="1" applyAlignment="1" applyProtection="1">
      <alignment horizontal="center" vertical="center" wrapText="1"/>
      <protection locked="0"/>
    </xf>
    <xf numFmtId="0" fontId="6" fillId="16" borderId="60" xfId="558" applyFont="1" applyFill="1" applyBorder="1" applyAlignment="1" applyProtection="1">
      <alignment horizontal="center" vertical="center"/>
    </xf>
    <xf numFmtId="0" fontId="6" fillId="16" borderId="0" xfId="558" applyFont="1" applyFill="1" applyBorder="1" applyAlignment="1" applyProtection="1">
      <alignment horizontal="center" vertical="center"/>
    </xf>
    <xf numFmtId="0" fontId="47" fillId="0" borderId="0" xfId="268" applyFont="1"/>
    <xf numFmtId="0" fontId="68" fillId="17" borderId="63" xfId="558" applyFont="1" applyFill="1" applyBorder="1" applyAlignment="1" applyProtection="1">
      <alignment horizontal="left" indent="1"/>
      <protection locked="0"/>
    </xf>
    <xf numFmtId="0" fontId="6" fillId="17" borderId="89" xfId="558" applyFont="1" applyFill="1" applyBorder="1" applyAlignment="1" applyProtection="1">
      <protection locked="0"/>
    </xf>
    <xf numFmtId="0" fontId="6" fillId="17" borderId="89" xfId="558" applyFont="1" applyFill="1" applyBorder="1" applyProtection="1">
      <protection locked="0"/>
    </xf>
    <xf numFmtId="0" fontId="6" fillId="17" borderId="65" xfId="558" applyFont="1" applyFill="1" applyBorder="1" applyProtection="1">
      <protection locked="0"/>
    </xf>
    <xf numFmtId="0" fontId="68" fillId="17" borderId="58" xfId="558" applyFont="1" applyFill="1" applyBorder="1" applyAlignment="1" applyProtection="1">
      <alignment horizontal="left" indent="1"/>
      <protection locked="0"/>
    </xf>
    <xf numFmtId="0" fontId="6" fillId="17" borderId="57" xfId="558" applyFont="1" applyFill="1" applyBorder="1" applyAlignment="1" applyProtection="1">
      <protection locked="0"/>
    </xf>
    <xf numFmtId="0" fontId="6" fillId="17" borderId="57" xfId="558" applyFont="1" applyFill="1" applyBorder="1" applyProtection="1">
      <protection locked="0"/>
    </xf>
    <xf numFmtId="0" fontId="6" fillId="17" borderId="59" xfId="558" applyFont="1" applyFill="1" applyBorder="1" applyProtection="1">
      <protection locked="0"/>
    </xf>
    <xf numFmtId="0" fontId="6" fillId="16" borderId="0" xfId="558" quotePrefix="1" applyFont="1" applyFill="1" applyBorder="1" applyAlignment="1" applyProtection="1">
      <alignment horizontal="center" vertical="center"/>
    </xf>
    <xf numFmtId="0" fontId="131" fillId="17" borderId="61" xfId="558" applyFont="1" applyFill="1" applyBorder="1" applyAlignment="1" applyProtection="1">
      <protection locked="0"/>
    </xf>
    <xf numFmtId="0" fontId="13" fillId="17" borderId="61" xfId="558" applyFont="1" applyFill="1" applyBorder="1" applyAlignment="1" applyProtection="1">
      <protection locked="0"/>
    </xf>
    <xf numFmtId="0" fontId="13" fillId="17" borderId="63" xfId="558" applyFont="1" applyFill="1" applyBorder="1" applyAlignment="1" applyProtection="1">
      <alignment horizontal="left" indent="1"/>
      <protection locked="0"/>
    </xf>
    <xf numFmtId="0" fontId="13" fillId="17" borderId="89" xfId="558" applyFont="1" applyFill="1" applyBorder="1" applyProtection="1">
      <protection locked="0"/>
    </xf>
    <xf numFmtId="0" fontId="13" fillId="17" borderId="89" xfId="558" applyFont="1" applyFill="1" applyBorder="1" applyAlignment="1" applyProtection="1">
      <protection locked="0"/>
    </xf>
    <xf numFmtId="0" fontId="13" fillId="17" borderId="65" xfId="558" applyFont="1" applyFill="1" applyBorder="1" applyAlignment="1" applyProtection="1">
      <protection locked="0"/>
    </xf>
    <xf numFmtId="0" fontId="6" fillId="0" borderId="0" xfId="268" quotePrefix="1"/>
    <xf numFmtId="14" fontId="6" fillId="18" borderId="143" xfId="268" quotePrefix="1" applyNumberFormat="1" applyFont="1" applyFill="1" applyBorder="1" applyAlignment="1" applyProtection="1">
      <alignment horizontal="center" vertical="top"/>
      <protection locked="0"/>
    </xf>
    <xf numFmtId="0" fontId="6" fillId="55" borderId="56" xfId="268" applyFont="1" applyFill="1" applyBorder="1" applyAlignment="1">
      <alignment horizontal="center"/>
    </xf>
    <xf numFmtId="0" fontId="127" fillId="20" borderId="56" xfId="268" applyFont="1" applyFill="1" applyBorder="1" applyAlignment="1" applyProtection="1">
      <alignment vertical="top"/>
    </xf>
    <xf numFmtId="0" fontId="125" fillId="20" borderId="160" xfId="268" applyFont="1" applyFill="1" applyBorder="1" applyAlignment="1" applyProtection="1">
      <alignment horizontal="center"/>
    </xf>
    <xf numFmtId="14" fontId="147" fillId="50" borderId="0" xfId="170" applyNumberFormat="1" applyFont="1" applyFill="1" applyAlignment="1">
      <alignment horizontal="left"/>
    </xf>
    <xf numFmtId="0" fontId="121" fillId="20" borderId="59" xfId="558" applyFont="1" applyFill="1" applyBorder="1" applyAlignment="1">
      <alignment horizontal="center"/>
    </xf>
    <xf numFmtId="0" fontId="143" fillId="64" borderId="80" xfId="558" applyFont="1" applyFill="1" applyBorder="1" applyAlignment="1">
      <alignment horizontal="center"/>
    </xf>
    <xf numFmtId="0" fontId="121" fillId="20" borderId="63" xfId="594" applyFont="1" applyFill="1" applyBorder="1"/>
    <xf numFmtId="0" fontId="121" fillId="20" borderId="160" xfId="594" applyFont="1" applyFill="1" applyBorder="1"/>
    <xf numFmtId="0" fontId="121" fillId="20" borderId="65" xfId="594" applyFont="1" applyFill="1" applyBorder="1" applyAlignment="1">
      <alignment horizontal="center"/>
    </xf>
    <xf numFmtId="0" fontId="143" fillId="64" borderId="81" xfId="594" applyFont="1" applyFill="1" applyBorder="1" applyAlignment="1">
      <alignment horizontal="center"/>
    </xf>
    <xf numFmtId="0" fontId="1" fillId="50" borderId="60" xfId="558" applyFill="1" applyBorder="1"/>
    <xf numFmtId="0" fontId="1" fillId="50" borderId="0" xfId="558" applyFill="1" applyBorder="1"/>
    <xf numFmtId="0" fontId="1" fillId="50" borderId="61" xfId="558" applyFill="1" applyBorder="1"/>
    <xf numFmtId="0" fontId="63" fillId="65" borderId="161" xfId="170" applyFont="1" applyFill="1" applyBorder="1" applyAlignment="1" applyProtection="1">
      <alignment wrapText="1"/>
    </xf>
    <xf numFmtId="0" fontId="63" fillId="65" borderId="162" xfId="268" applyFont="1" applyFill="1" applyBorder="1" applyAlignment="1" applyProtection="1">
      <alignment wrapText="1"/>
    </xf>
    <xf numFmtId="49" fontId="63" fillId="65" borderId="163" xfId="170" applyNumberFormat="1" applyFont="1" applyFill="1" applyBorder="1" applyAlignment="1" applyProtection="1">
      <alignment wrapText="1"/>
    </xf>
    <xf numFmtId="0" fontId="8" fillId="66" borderId="164" xfId="166" applyFont="1" applyFill="1" applyBorder="1" applyAlignment="1">
      <alignment horizontal="center" wrapText="1"/>
    </xf>
    <xf numFmtId="0" fontId="8" fillId="66" borderId="14" xfId="166" applyFont="1" applyFill="1" applyBorder="1" applyAlignment="1">
      <alignment horizontal="center" wrapText="1"/>
    </xf>
    <xf numFmtId="1" fontId="8" fillId="66" borderId="78" xfId="166" applyNumberFormat="1" applyFont="1" applyFill="1" applyBorder="1" applyAlignment="1">
      <alignment horizontal="center" wrapText="1"/>
    </xf>
    <xf numFmtId="0" fontId="8" fillId="67" borderId="165" xfId="166" applyFont="1" applyFill="1" applyBorder="1" applyAlignment="1">
      <alignment horizontal="center" wrapText="1"/>
    </xf>
    <xf numFmtId="0" fontId="8" fillId="67" borderId="166" xfId="166" applyFont="1" applyFill="1" applyBorder="1" applyAlignment="1">
      <alignment horizontal="center" wrapText="1"/>
    </xf>
    <xf numFmtId="0" fontId="8" fillId="57" borderId="47" xfId="268" applyFont="1" applyFill="1" applyBorder="1" applyAlignment="1">
      <alignment vertical="center" wrapText="1"/>
    </xf>
    <xf numFmtId="0" fontId="8" fillId="57" borderId="167" xfId="268" applyFont="1" applyFill="1" applyBorder="1" applyAlignment="1">
      <alignment vertical="center" wrapText="1"/>
    </xf>
    <xf numFmtId="0" fontId="8" fillId="58" borderId="167" xfId="268" applyFont="1" applyFill="1" applyBorder="1" applyAlignment="1">
      <alignment vertical="center" wrapText="1"/>
    </xf>
    <xf numFmtId="0" fontId="8" fillId="58" borderId="168" xfId="268" applyFont="1" applyFill="1" applyBorder="1" applyAlignment="1">
      <alignment vertical="center" wrapText="1"/>
    </xf>
    <xf numFmtId="0" fontId="8" fillId="68" borderId="167" xfId="268" applyFont="1" applyFill="1" applyBorder="1" applyAlignment="1">
      <alignment vertical="center" wrapText="1"/>
    </xf>
    <xf numFmtId="0" fontId="8" fillId="68" borderId="168" xfId="268" applyFont="1" applyFill="1" applyBorder="1" applyAlignment="1">
      <alignment vertical="center" wrapText="1"/>
    </xf>
    <xf numFmtId="0" fontId="8" fillId="0" borderId="90" xfId="268" applyFont="1" applyBorder="1" applyAlignment="1">
      <alignment horizontal="center" vertical="center" wrapText="1"/>
    </xf>
    <xf numFmtId="0" fontId="62" fillId="9" borderId="169" xfId="170" applyFont="1" applyFill="1" applyBorder="1" applyAlignment="1" applyProtection="1">
      <alignment vertical="top"/>
    </xf>
    <xf numFmtId="183" fontId="6" fillId="9" borderId="93" xfId="170" applyNumberFormat="1" applyFont="1" applyFill="1" applyBorder="1" applyAlignment="1" applyProtection="1">
      <alignment horizontal="right" vertical="top" indent="1"/>
    </xf>
    <xf numFmtId="0" fontId="6" fillId="0" borderId="94" xfId="166" applyFont="1" applyBorder="1" applyAlignment="1">
      <alignment vertical="top"/>
    </xf>
    <xf numFmtId="0" fontId="6" fillId="0" borderId="95" xfId="170" applyFont="1" applyBorder="1" applyAlignment="1">
      <alignment vertical="top"/>
    </xf>
    <xf numFmtId="0" fontId="56" fillId="9" borderId="95" xfId="170" applyFont="1" applyFill="1" applyBorder="1" applyAlignment="1" applyProtection="1">
      <alignment vertical="top"/>
    </xf>
    <xf numFmtId="0" fontId="56" fillId="9" borderId="95" xfId="170" applyFont="1" applyFill="1" applyBorder="1" applyAlignment="1" applyProtection="1">
      <alignment horizontal="center" vertical="top"/>
    </xf>
    <xf numFmtId="0" fontId="6" fillId="0" borderId="95" xfId="170" applyBorder="1" applyAlignment="1">
      <alignment horizontal="center" vertical="top"/>
    </xf>
    <xf numFmtId="1" fontId="6" fillId="0" borderId="96" xfId="170" applyNumberFormat="1" applyBorder="1" applyAlignment="1">
      <alignment horizontal="center" vertical="top"/>
    </xf>
    <xf numFmtId="0" fontId="6" fillId="0" borderId="132" xfId="166" applyFont="1" applyBorder="1" applyAlignment="1">
      <alignment horizontal="center" vertical="top"/>
    </xf>
    <xf numFmtId="0" fontId="122" fillId="0" borderId="48" xfId="170" applyFont="1" applyBorder="1" applyAlignment="1">
      <alignment vertical="top"/>
    </xf>
    <xf numFmtId="0" fontId="1" fillId="0" borderId="94" xfId="558" applyFont="1" applyBorder="1" applyAlignment="1">
      <alignment horizontal="left" vertical="center"/>
    </xf>
    <xf numFmtId="0" fontId="1" fillId="0" borderId="95" xfId="558" applyFont="1" applyBorder="1" applyAlignment="1">
      <alignment vertical="center"/>
    </xf>
    <xf numFmtId="0" fontId="1" fillId="0" borderId="95" xfId="558" applyFont="1" applyBorder="1" applyAlignment="1">
      <alignment horizontal="left" vertical="center"/>
    </xf>
    <xf numFmtId="49" fontId="6" fillId="0" borderId="96" xfId="170" applyNumberFormat="1" applyBorder="1"/>
    <xf numFmtId="0" fontId="1" fillId="19" borderId="94" xfId="594" applyFill="1" applyBorder="1"/>
    <xf numFmtId="0" fontId="1" fillId="53" borderId="95" xfId="594" applyFill="1" applyBorder="1"/>
    <xf numFmtId="0" fontId="1" fillId="19" borderId="95" xfId="594" applyFill="1" applyBorder="1"/>
    <xf numFmtId="0" fontId="1" fillId="19" borderId="97" xfId="594" applyFill="1" applyBorder="1"/>
    <xf numFmtId="0" fontId="1" fillId="9" borderId="145" xfId="594" applyFill="1" applyBorder="1"/>
    <xf numFmtId="0" fontId="1" fillId="0" borderId="94" xfId="558" applyBorder="1"/>
    <xf numFmtId="0" fontId="1" fillId="0" borderId="95" xfId="558" applyBorder="1"/>
    <xf numFmtId="0" fontId="6" fillId="0" borderId="95" xfId="558" applyFont="1" applyBorder="1"/>
    <xf numFmtId="0" fontId="1" fillId="0" borderId="97" xfId="558" applyBorder="1"/>
    <xf numFmtId="0" fontId="62" fillId="9" borderId="85" xfId="170" applyNumberFormat="1" applyFont="1" applyFill="1" applyBorder="1" applyAlignment="1">
      <alignment vertical="top"/>
    </xf>
    <xf numFmtId="0" fontId="6" fillId="0" borderId="98" xfId="166" applyFont="1" applyBorder="1" applyAlignment="1">
      <alignment vertical="top"/>
    </xf>
    <xf numFmtId="0" fontId="6" fillId="0" borderId="67" xfId="170" applyFont="1" applyBorder="1" applyAlignment="1">
      <alignment vertical="top"/>
    </xf>
    <xf numFmtId="0" fontId="56" fillId="9" borderId="67" xfId="170" applyFont="1" applyFill="1" applyBorder="1" applyAlignment="1" applyProtection="1">
      <alignment vertical="top"/>
    </xf>
    <xf numFmtId="0" fontId="56" fillId="9" borderId="67" xfId="170" applyFont="1" applyFill="1" applyBorder="1" applyAlignment="1" applyProtection="1">
      <alignment horizontal="center" vertical="top"/>
    </xf>
    <xf numFmtId="0" fontId="6" fillId="0" borderId="67" xfId="170" applyBorder="1" applyAlignment="1">
      <alignment horizontal="center" vertical="top"/>
    </xf>
    <xf numFmtId="1" fontId="62" fillId="9" borderId="50" xfId="170" applyNumberFormat="1" applyFont="1" applyFill="1" applyBorder="1" applyAlignment="1" applyProtection="1">
      <alignment horizontal="center" vertical="top"/>
    </xf>
    <xf numFmtId="0" fontId="6" fillId="0" borderId="98" xfId="166" applyFont="1" applyBorder="1" applyAlignment="1">
      <alignment horizontal="center" vertical="top"/>
    </xf>
    <xf numFmtId="0" fontId="6" fillId="0" borderId="50" xfId="170" applyFont="1" applyBorder="1" applyAlignment="1">
      <alignment vertical="top"/>
    </xf>
    <xf numFmtId="0" fontId="1" fillId="0" borderId="98" xfId="558" applyFont="1" applyBorder="1" applyAlignment="1">
      <alignment horizontal="left" vertical="center"/>
    </xf>
    <xf numFmtId="0" fontId="1" fillId="0" borderId="67" xfId="558" applyFont="1" applyBorder="1" applyAlignment="1">
      <alignment vertical="center"/>
    </xf>
    <xf numFmtId="0" fontId="1" fillId="0" borderId="67" xfId="558" applyFont="1" applyBorder="1" applyAlignment="1">
      <alignment horizontal="left" vertical="center"/>
    </xf>
    <xf numFmtId="49" fontId="6" fillId="0" borderId="50" xfId="170" applyNumberFormat="1" applyBorder="1"/>
    <xf numFmtId="0" fontId="1" fillId="0" borderId="98" xfId="558" applyBorder="1"/>
    <xf numFmtId="0" fontId="1" fillId="0" borderId="67" xfId="558" applyBorder="1"/>
    <xf numFmtId="0" fontId="1" fillId="0" borderId="99" xfId="558" applyBorder="1"/>
    <xf numFmtId="0" fontId="1" fillId="9" borderId="134" xfId="558" applyFill="1" applyBorder="1"/>
    <xf numFmtId="0" fontId="6" fillId="0" borderId="67" xfId="558" applyFont="1" applyBorder="1"/>
    <xf numFmtId="0" fontId="149" fillId="9" borderId="169" xfId="170" applyFont="1" applyFill="1" applyBorder="1" applyAlignment="1" applyProtection="1">
      <alignment vertical="top"/>
    </xf>
    <xf numFmtId="0" fontId="149" fillId="9" borderId="85" xfId="170" applyNumberFormat="1" applyFont="1" applyFill="1" applyBorder="1" applyAlignment="1">
      <alignment vertical="top"/>
    </xf>
    <xf numFmtId="0" fontId="149" fillId="9" borderId="170" xfId="170" applyFont="1" applyFill="1" applyBorder="1" applyAlignment="1" applyProtection="1">
      <alignment vertical="top"/>
    </xf>
    <xf numFmtId="183" fontId="6" fillId="9" borderId="88" xfId="170" applyNumberFormat="1" applyFont="1" applyFill="1" applyBorder="1" applyAlignment="1" applyProtection="1">
      <alignment horizontal="right" vertical="top" indent="1"/>
    </xf>
    <xf numFmtId="0" fontId="56" fillId="0" borderId="67" xfId="170" applyFont="1" applyFill="1" applyBorder="1" applyAlignment="1" applyProtection="1">
      <alignment vertical="top"/>
    </xf>
    <xf numFmtId="0" fontId="6" fillId="0" borderId="67" xfId="170" applyFont="1" applyBorder="1" applyAlignment="1">
      <alignment horizontal="center" vertical="top"/>
    </xf>
    <xf numFmtId="0" fontId="122" fillId="0" borderId="50" xfId="170" applyFont="1" applyBorder="1" applyAlignment="1">
      <alignment vertical="top"/>
    </xf>
    <xf numFmtId="0" fontId="149" fillId="9" borderId="68" xfId="170" applyNumberFormat="1" applyFont="1" applyFill="1" applyBorder="1" applyAlignment="1">
      <alignment vertical="top"/>
    </xf>
    <xf numFmtId="0" fontId="1" fillId="0" borderId="98" xfId="594" applyFill="1" applyBorder="1"/>
    <xf numFmtId="0" fontId="1" fillId="0" borderId="67" xfId="594" applyFill="1" applyBorder="1"/>
    <xf numFmtId="0" fontId="1" fillId="0" borderId="99" xfId="594" applyFill="1" applyBorder="1"/>
    <xf numFmtId="0" fontId="0" fillId="9" borderId="134" xfId="594" applyFont="1" applyFill="1" applyBorder="1"/>
    <xf numFmtId="0" fontId="1" fillId="0" borderId="98" xfId="558" applyFill="1" applyBorder="1"/>
    <xf numFmtId="0" fontId="1" fillId="0" borderId="67" xfId="558" applyFill="1" applyBorder="1"/>
    <xf numFmtId="0" fontId="1" fillId="0" borderId="99" xfId="558" applyFill="1" applyBorder="1"/>
    <xf numFmtId="183" fontId="6" fillId="9" borderId="88" xfId="170" quotePrefix="1" applyNumberFormat="1" applyFont="1" applyFill="1" applyBorder="1" applyAlignment="1" applyProtection="1">
      <alignment horizontal="right" vertical="top" indent="1"/>
    </xf>
    <xf numFmtId="1" fontId="62" fillId="0" borderId="50" xfId="170" applyNumberFormat="1" applyFont="1" applyFill="1" applyBorder="1" applyAlignment="1" applyProtection="1">
      <alignment horizontal="center" vertical="top"/>
    </xf>
    <xf numFmtId="0" fontId="62" fillId="9" borderId="170" xfId="170" applyFont="1" applyFill="1" applyBorder="1" applyAlignment="1" applyProtection="1">
      <alignment vertical="top"/>
    </xf>
    <xf numFmtId="0" fontId="1" fillId="53" borderId="98" xfId="594" applyFill="1" applyBorder="1"/>
    <xf numFmtId="0" fontId="1" fillId="53" borderId="67" xfId="594" applyFill="1" applyBorder="1"/>
    <xf numFmtId="0" fontId="1" fillId="19" borderId="99" xfId="594" applyFill="1" applyBorder="1"/>
    <xf numFmtId="0" fontId="1" fillId="9" borderId="134" xfId="594" applyFill="1" applyBorder="1"/>
    <xf numFmtId="0" fontId="62" fillId="9" borderId="68" xfId="170" applyNumberFormat="1" applyFont="1" applyFill="1" applyBorder="1" applyAlignment="1">
      <alignment vertical="top"/>
    </xf>
    <xf numFmtId="0" fontId="1" fillId="19" borderId="98" xfId="594" applyFill="1" applyBorder="1"/>
    <xf numFmtId="0" fontId="62" fillId="9" borderId="68" xfId="578" applyFont="1" applyFill="1" applyBorder="1" applyAlignment="1" applyProtection="1">
      <alignment vertical="top"/>
    </xf>
    <xf numFmtId="183" fontId="6" fillId="9" borderId="88" xfId="578" applyNumberFormat="1" applyFont="1" applyFill="1" applyBorder="1" applyAlignment="1" applyProtection="1">
      <alignment horizontal="right" vertical="top" indent="1"/>
    </xf>
    <xf numFmtId="1" fontId="6" fillId="0" borderId="50" xfId="170" applyNumberFormat="1" applyBorder="1" applyAlignment="1">
      <alignment horizontal="center" vertical="top"/>
    </xf>
    <xf numFmtId="0" fontId="62" fillId="19" borderId="170" xfId="170" applyFont="1" applyFill="1" applyBorder="1" applyAlignment="1" applyProtection="1">
      <alignment vertical="top"/>
    </xf>
    <xf numFmtId="183" fontId="6" fillId="19" borderId="88" xfId="170" applyNumberFormat="1" applyFont="1" applyFill="1" applyBorder="1" applyAlignment="1" applyProtection="1">
      <alignment horizontal="right" vertical="top" indent="1"/>
    </xf>
    <xf numFmtId="0" fontId="0" fillId="19" borderId="98" xfId="166" applyFont="1" applyFill="1" applyBorder="1" applyAlignment="1">
      <alignment vertical="top"/>
    </xf>
    <xf numFmtId="0" fontId="6" fillId="19" borderId="67" xfId="170" applyFont="1" applyFill="1" applyBorder="1" applyAlignment="1">
      <alignment vertical="top"/>
    </xf>
    <xf numFmtId="0" fontId="6" fillId="19" borderId="67" xfId="170" applyFont="1" applyFill="1" applyBorder="1" applyAlignment="1">
      <alignment horizontal="center" vertical="top"/>
    </xf>
    <xf numFmtId="0" fontId="36" fillId="19" borderId="67" xfId="170" applyFont="1" applyFill="1" applyBorder="1" applyAlignment="1">
      <alignment horizontal="center" vertical="top"/>
    </xf>
    <xf numFmtId="1" fontId="62" fillId="19" borderId="50" xfId="170" applyNumberFormat="1" applyFont="1" applyFill="1" applyBorder="1" applyAlignment="1" applyProtection="1">
      <alignment horizontal="center" vertical="top"/>
    </xf>
    <xf numFmtId="0" fontId="6" fillId="19" borderId="98" xfId="166" applyFont="1" applyFill="1" applyBorder="1" applyAlignment="1">
      <alignment horizontal="center" vertical="top"/>
    </xf>
    <xf numFmtId="0" fontId="6" fillId="19" borderId="50" xfId="170" applyFont="1" applyFill="1" applyBorder="1" applyAlignment="1">
      <alignment vertical="top"/>
    </xf>
    <xf numFmtId="0" fontId="6" fillId="19" borderId="98" xfId="170" applyFill="1" applyBorder="1" applyAlignment="1">
      <alignment vertical="center"/>
    </xf>
    <xf numFmtId="0" fontId="6" fillId="19" borderId="67" xfId="170" applyFill="1" applyBorder="1" applyAlignment="1">
      <alignment vertical="center"/>
    </xf>
    <xf numFmtId="0" fontId="6" fillId="19" borderId="67" xfId="166" applyFont="1" applyFill="1" applyBorder="1" applyAlignment="1">
      <alignment vertical="center"/>
    </xf>
    <xf numFmtId="49" fontId="6" fillId="19" borderId="50" xfId="170" applyNumberFormat="1" applyFill="1" applyBorder="1" applyAlignment="1">
      <alignment vertical="center"/>
    </xf>
    <xf numFmtId="0" fontId="6" fillId="19" borderId="99" xfId="170" applyFill="1" applyBorder="1" applyAlignment="1">
      <alignment vertical="center"/>
    </xf>
    <xf numFmtId="0" fontId="62" fillId="19" borderId="68" xfId="170" applyNumberFormat="1" applyFont="1" applyFill="1" applyBorder="1" applyAlignment="1">
      <alignment vertical="top"/>
    </xf>
    <xf numFmtId="0" fontId="56" fillId="19" borderId="67" xfId="170" applyFont="1" applyFill="1" applyBorder="1" applyAlignment="1" applyProtection="1">
      <alignment vertical="top"/>
    </xf>
    <xf numFmtId="0" fontId="56" fillId="19" borderId="67" xfId="170" applyFont="1" applyFill="1" applyBorder="1" applyAlignment="1" applyProtection="1">
      <alignment horizontal="center" vertical="top"/>
    </xf>
    <xf numFmtId="0" fontId="6" fillId="19" borderId="67" xfId="170" applyFill="1" applyBorder="1" applyAlignment="1">
      <alignment horizontal="center" vertical="top"/>
    </xf>
    <xf numFmtId="1" fontId="6" fillId="19" borderId="50" xfId="170" applyNumberFormat="1" applyFill="1" applyBorder="1" applyAlignment="1">
      <alignment horizontal="center" vertical="top"/>
    </xf>
    <xf numFmtId="0" fontId="1" fillId="19" borderId="67" xfId="594" applyFill="1" applyBorder="1"/>
    <xf numFmtId="0" fontId="6" fillId="0" borderId="51" xfId="170" applyFill="1" applyBorder="1" applyAlignment="1">
      <alignment vertical="center"/>
    </xf>
    <xf numFmtId="0" fontId="6" fillId="0" borderId="67" xfId="170" applyFill="1" applyBorder="1"/>
    <xf numFmtId="0" fontId="1" fillId="53" borderId="99" xfId="594" applyFill="1" applyBorder="1"/>
    <xf numFmtId="0" fontId="123" fillId="0" borderId="98" xfId="558" applyFont="1" applyFill="1" applyBorder="1" applyAlignment="1" applyProtection="1">
      <alignment vertical="center" wrapText="1"/>
    </xf>
    <xf numFmtId="0" fontId="123" fillId="0" borderId="67" xfId="558" applyFont="1" applyFill="1" applyBorder="1" applyAlignment="1" applyProtection="1">
      <alignment vertical="center" wrapText="1"/>
    </xf>
    <xf numFmtId="0" fontId="123" fillId="0" borderId="99" xfId="558" applyFont="1" applyFill="1" applyBorder="1" applyAlignment="1" applyProtection="1">
      <alignment vertical="center" wrapText="1"/>
    </xf>
    <xf numFmtId="0" fontId="150" fillId="0" borderId="99" xfId="558" applyFont="1" applyBorder="1"/>
    <xf numFmtId="0" fontId="1" fillId="19" borderId="134" xfId="594" applyFill="1" applyBorder="1"/>
    <xf numFmtId="0" fontId="62" fillId="9" borderId="171" xfId="170" applyFont="1" applyFill="1" applyBorder="1" applyAlignment="1" applyProtection="1">
      <alignment vertical="top"/>
    </xf>
    <xf numFmtId="0" fontId="62" fillId="9" borderId="172" xfId="268" applyFont="1" applyFill="1" applyBorder="1" applyAlignment="1" applyProtection="1">
      <alignment vertical="top"/>
    </xf>
    <xf numFmtId="183" fontId="6" fillId="9" borderId="25" xfId="170" applyNumberFormat="1" applyFont="1" applyFill="1" applyBorder="1" applyAlignment="1" applyProtection="1">
      <alignment horizontal="right" vertical="top" indent="1"/>
    </xf>
    <xf numFmtId="0" fontId="6" fillId="0" borderId="154" xfId="166" applyFont="1" applyBorder="1" applyAlignment="1">
      <alignment vertical="top"/>
    </xf>
    <xf numFmtId="0" fontId="6" fillId="0" borderId="155" xfId="170" applyFont="1" applyBorder="1" applyAlignment="1">
      <alignment vertical="top"/>
    </xf>
    <xf numFmtId="0" fontId="56" fillId="9" borderId="155" xfId="170" applyFont="1" applyFill="1" applyBorder="1" applyAlignment="1" applyProtection="1">
      <alignment vertical="top"/>
    </xf>
    <xf numFmtId="0" fontId="56" fillId="9" borderId="155" xfId="170" applyFont="1" applyFill="1" applyBorder="1" applyAlignment="1" applyProtection="1">
      <alignment horizontal="center" vertical="top"/>
    </xf>
    <xf numFmtId="0" fontId="6" fillId="0" borderId="155" xfId="170" applyBorder="1" applyAlignment="1">
      <alignment horizontal="center" vertical="top"/>
    </xf>
    <xf numFmtId="1" fontId="6" fillId="0" borderId="157" xfId="170" applyNumberFormat="1" applyBorder="1" applyAlignment="1">
      <alignment horizontal="center" vertical="top"/>
    </xf>
    <xf numFmtId="0" fontId="6" fillId="0" borderId="154" xfId="166" applyFont="1" applyBorder="1" applyAlignment="1">
      <alignment horizontal="center" vertical="top"/>
    </xf>
    <xf numFmtId="0" fontId="6" fillId="0" borderId="157" xfId="170" applyFont="1" applyBorder="1" applyAlignment="1">
      <alignment vertical="top"/>
    </xf>
    <xf numFmtId="0" fontId="6" fillId="0" borderId="154" xfId="170" applyBorder="1" applyAlignment="1">
      <alignment vertical="center"/>
    </xf>
    <xf numFmtId="0" fontId="6" fillId="0" borderId="155" xfId="170" applyBorder="1" applyAlignment="1">
      <alignment vertical="center"/>
    </xf>
    <xf numFmtId="0" fontId="6" fillId="0" borderId="155" xfId="166" applyFont="1" applyBorder="1" applyAlignment="1">
      <alignment vertical="center"/>
    </xf>
    <xf numFmtId="49" fontId="6" fillId="0" borderId="157" xfId="170" applyNumberFormat="1" applyBorder="1" applyAlignment="1">
      <alignment vertical="center"/>
    </xf>
    <xf numFmtId="0" fontId="6" fillId="0" borderId="155" xfId="170" applyBorder="1"/>
    <xf numFmtId="0" fontId="6" fillId="0" borderId="173" xfId="170" applyBorder="1"/>
    <xf numFmtId="0" fontId="1" fillId="19" borderId="100" xfId="594" applyFill="1" applyBorder="1"/>
    <xf numFmtId="0" fontId="1" fillId="53" borderId="101" xfId="594" applyFill="1" applyBorder="1"/>
    <xf numFmtId="0" fontId="1" fillId="19" borderId="103" xfId="594" applyFill="1" applyBorder="1"/>
    <xf numFmtId="0" fontId="1" fillId="9" borderId="148" xfId="558" applyFill="1" applyBorder="1"/>
    <xf numFmtId="0" fontId="1" fillId="0" borderId="100" xfId="558" applyBorder="1"/>
    <xf numFmtId="0" fontId="1" fillId="0" borderId="101" xfId="558" applyBorder="1"/>
    <xf numFmtId="0" fontId="6" fillId="0" borderId="101" xfId="558" applyFont="1" applyBorder="1"/>
    <xf numFmtId="0" fontId="1" fillId="0" borderId="103" xfId="558" applyBorder="1"/>
    <xf numFmtId="0" fontId="62" fillId="9" borderId="69" xfId="170" applyNumberFormat="1" applyFont="1" applyFill="1" applyBorder="1" applyAlignment="1">
      <alignment vertical="top"/>
    </xf>
    <xf numFmtId="0" fontId="62" fillId="9" borderId="59" xfId="170" applyFont="1" applyFill="1" applyBorder="1" applyProtection="1"/>
    <xf numFmtId="0" fontId="8" fillId="58" borderId="0" xfId="170" applyFont="1" applyFill="1" applyAlignment="1">
      <alignment vertical="center" wrapText="1"/>
    </xf>
    <xf numFmtId="0" fontId="8" fillId="9" borderId="62" xfId="305" applyFont="1" applyFill="1" applyBorder="1" applyAlignment="1" applyProtection="1">
      <alignment horizontal="center" vertical="center" wrapText="1"/>
    </xf>
    <xf numFmtId="0" fontId="8" fillId="59" borderId="104" xfId="305" applyFont="1" applyFill="1" applyBorder="1" applyAlignment="1" applyProtection="1">
      <alignment horizontal="center" vertical="center" wrapText="1"/>
    </xf>
    <xf numFmtId="0" fontId="63" fillId="59" borderId="90" xfId="170" applyFont="1" applyFill="1" applyBorder="1" applyAlignment="1" applyProtection="1">
      <alignment horizontal="center" vertical="center" wrapText="1"/>
    </xf>
    <xf numFmtId="0" fontId="63" fillId="70" borderId="63" xfId="170" applyFont="1" applyFill="1" applyBorder="1" applyAlignment="1" applyProtection="1">
      <alignment vertical="center"/>
    </xf>
    <xf numFmtId="0" fontId="8" fillId="70" borderId="0" xfId="170" applyFont="1" applyFill="1" applyBorder="1" applyAlignment="1">
      <alignment vertical="center" wrapText="1"/>
    </xf>
    <xf numFmtId="0" fontId="6" fillId="70" borderId="0" xfId="170" applyFill="1" applyBorder="1" applyAlignment="1">
      <alignment vertical="center"/>
    </xf>
    <xf numFmtId="0" fontId="62" fillId="70" borderId="61" xfId="170" applyFont="1" applyFill="1" applyBorder="1" applyAlignment="1" applyProtection="1">
      <alignment vertical="center"/>
    </xf>
    <xf numFmtId="0" fontId="121" fillId="71" borderId="90" xfId="595" applyFont="1" applyFill="1" applyBorder="1" applyAlignment="1">
      <alignment vertical="center"/>
    </xf>
    <xf numFmtId="0" fontId="8" fillId="54" borderId="177" xfId="170" applyFont="1" applyFill="1" applyBorder="1" applyAlignment="1">
      <alignment vertical="center" wrapText="1"/>
    </xf>
    <xf numFmtId="0" fontId="8" fillId="54" borderId="178" xfId="170" applyFont="1" applyFill="1" applyBorder="1" applyAlignment="1">
      <alignment vertical="center" wrapText="1"/>
    </xf>
    <xf numFmtId="0" fontId="6" fillId="0" borderId="110" xfId="268" applyBorder="1" applyAlignment="1" applyProtection="1">
      <alignment horizontal="left" vertical="center"/>
    </xf>
    <xf numFmtId="0" fontId="128" fillId="0" borderId="110" xfId="558" applyFont="1" applyBorder="1"/>
    <xf numFmtId="49" fontId="62" fillId="70" borderId="58" xfId="170" applyNumberFormat="1" applyFont="1" applyFill="1" applyBorder="1" applyProtection="1"/>
    <xf numFmtId="49" fontId="56" fillId="70" borderId="58" xfId="170" applyNumberFormat="1" applyFont="1" applyFill="1" applyBorder="1" applyProtection="1"/>
    <xf numFmtId="0" fontId="6" fillId="70" borderId="57" xfId="170" applyFill="1" applyBorder="1"/>
    <xf numFmtId="0" fontId="62" fillId="70" borderId="94" xfId="170" quotePrefix="1" applyFont="1" applyFill="1" applyBorder="1" applyAlignment="1" applyProtection="1">
      <alignment vertical="center"/>
    </xf>
    <xf numFmtId="0" fontId="124" fillId="70" borderId="97" xfId="170" quotePrefix="1" applyFont="1" applyFill="1" applyBorder="1" applyAlignment="1" applyProtection="1">
      <alignment vertical="center"/>
    </xf>
    <xf numFmtId="0" fontId="6" fillId="70" borderId="0" xfId="170" applyFill="1" applyBorder="1"/>
    <xf numFmtId="0" fontId="36" fillId="70" borderId="61" xfId="170" applyFont="1" applyFill="1" applyBorder="1"/>
    <xf numFmtId="0" fontId="6" fillId="71" borderId="110" xfId="170" applyFont="1" applyFill="1" applyBorder="1" applyAlignment="1"/>
    <xf numFmtId="0" fontId="117" fillId="56" borderId="111" xfId="596" applyFont="1" applyFill="1" applyBorder="1" applyAlignment="1" applyProtection="1">
      <alignment horizontal="center" wrapText="1"/>
    </xf>
    <xf numFmtId="0" fontId="39" fillId="56" borderId="112" xfId="558" applyFont="1" applyFill="1" applyBorder="1" applyAlignment="1" applyProtection="1">
      <alignment horizontal="center" vertical="center" wrapText="1"/>
    </xf>
    <xf numFmtId="0" fontId="39" fillId="56" borderId="113" xfId="558" applyFont="1" applyFill="1" applyBorder="1" applyAlignment="1" applyProtection="1">
      <alignment horizontal="center" vertical="center" wrapText="1"/>
    </xf>
    <xf numFmtId="0" fontId="6" fillId="55" borderId="180" xfId="175" applyFill="1" applyBorder="1" applyAlignment="1">
      <alignment horizontal="center"/>
    </xf>
    <xf numFmtId="0" fontId="6" fillId="55" borderId="181" xfId="175" applyFill="1" applyBorder="1" applyAlignment="1">
      <alignment horizontal="center" vertical="center" wrapText="1"/>
    </xf>
    <xf numFmtId="0" fontId="6" fillId="0" borderId="0" xfId="170" applyBorder="1"/>
    <xf numFmtId="0" fontId="6" fillId="0" borderId="182" xfId="170" applyBorder="1"/>
    <xf numFmtId="0" fontId="6" fillId="0" borderId="115" xfId="268" applyBorder="1" applyAlignment="1" applyProtection="1">
      <alignment horizontal="left" vertical="center"/>
    </xf>
    <xf numFmtId="0" fontId="128" fillId="0" borderId="115" xfId="558" applyFont="1" applyBorder="1"/>
    <xf numFmtId="49" fontId="62" fillId="70" borderId="60" xfId="170" applyNumberFormat="1" applyFont="1" applyFill="1" applyBorder="1" applyProtection="1"/>
    <xf numFmtId="49" fontId="56" fillId="70" borderId="60" xfId="170" applyNumberFormat="1" applyFont="1" applyFill="1" applyBorder="1" applyProtection="1"/>
    <xf numFmtId="0" fontId="62" fillId="70" borderId="98" xfId="170" quotePrefix="1" applyFont="1" applyFill="1" applyBorder="1" applyAlignment="1" applyProtection="1">
      <alignment vertical="center"/>
    </xf>
    <xf numFmtId="0" fontId="124" fillId="70" borderId="99" xfId="170" quotePrefix="1" applyFont="1" applyFill="1" applyBorder="1" applyAlignment="1" applyProtection="1">
      <alignment vertical="center"/>
    </xf>
    <xf numFmtId="0" fontId="6" fillId="71" borderId="115" xfId="170" applyFont="1" applyFill="1" applyBorder="1" applyAlignment="1"/>
    <xf numFmtId="0" fontId="117" fillId="56" borderId="116" xfId="596" applyFont="1" applyFill="1" applyBorder="1" applyAlignment="1" applyProtection="1">
      <alignment horizontal="center" wrapText="1"/>
    </xf>
    <xf numFmtId="0" fontId="116" fillId="56" borderId="117" xfId="558" applyFont="1" applyFill="1" applyBorder="1" applyAlignment="1" applyProtection="1">
      <alignment horizontal="center" vertical="center"/>
    </xf>
    <xf numFmtId="0" fontId="39" fillId="56" borderId="117" xfId="558" applyFont="1" applyFill="1" applyBorder="1" applyAlignment="1" applyProtection="1">
      <alignment horizontal="center" vertical="center" wrapText="1"/>
    </xf>
    <xf numFmtId="0" fontId="39" fillId="56" borderId="118" xfId="558" applyFont="1" applyFill="1" applyBorder="1" applyAlignment="1" applyProtection="1">
      <alignment horizontal="center" vertical="center" wrapText="1"/>
    </xf>
    <xf numFmtId="0" fontId="6" fillId="0" borderId="183" xfId="170" applyBorder="1"/>
    <xf numFmtId="0" fontId="6" fillId="0" borderId="184" xfId="268" applyBorder="1" applyProtection="1"/>
    <xf numFmtId="0" fontId="6" fillId="70" borderId="98" xfId="170" applyFill="1" applyBorder="1"/>
    <xf numFmtId="0" fontId="43" fillId="70" borderId="99" xfId="170" applyFont="1" applyFill="1" applyBorder="1"/>
    <xf numFmtId="0" fontId="6" fillId="70" borderId="61" xfId="170" applyFill="1" applyBorder="1"/>
    <xf numFmtId="0" fontId="6" fillId="0" borderId="110" xfId="268" applyBorder="1" applyProtection="1"/>
    <xf numFmtId="0" fontId="6" fillId="55" borderId="160" xfId="175" applyFill="1" applyBorder="1" applyAlignment="1">
      <alignment horizontal="center"/>
    </xf>
    <xf numFmtId="49" fontId="56" fillId="70" borderId="60" xfId="170" quotePrefix="1" applyNumberFormat="1" applyFont="1" applyFill="1" applyBorder="1" applyProtection="1"/>
    <xf numFmtId="0" fontId="117" fillId="56" borderId="116" xfId="596" applyNumberFormat="1" applyFont="1" applyFill="1" applyBorder="1" applyAlignment="1" applyProtection="1">
      <alignment horizontal="center" wrapText="1"/>
    </xf>
    <xf numFmtId="0" fontId="6" fillId="0" borderId="185" xfId="170" applyBorder="1" applyAlignment="1">
      <alignment vertical="center"/>
    </xf>
    <xf numFmtId="0" fontId="6" fillId="0" borderId="119" xfId="268" applyBorder="1" applyProtection="1"/>
    <xf numFmtId="49" fontId="62" fillId="70" borderId="63" xfId="170" applyNumberFormat="1" applyFont="1" applyFill="1" applyBorder="1" applyProtection="1"/>
    <xf numFmtId="49" fontId="56" fillId="70" borderId="63" xfId="170" applyNumberFormat="1" applyFont="1" applyFill="1" applyBorder="1" applyProtection="1"/>
    <xf numFmtId="0" fontId="6" fillId="70" borderId="160" xfId="170" applyFill="1" applyBorder="1"/>
    <xf numFmtId="0" fontId="62" fillId="70" borderId="100" xfId="170" quotePrefix="1" applyFont="1" applyFill="1" applyBorder="1" applyAlignment="1" applyProtection="1">
      <alignment vertical="center"/>
    </xf>
    <xf numFmtId="0" fontId="124" fillId="70" borderId="103" xfId="170" quotePrefix="1" applyFont="1" applyFill="1" applyBorder="1" applyAlignment="1" applyProtection="1">
      <alignment vertical="center"/>
    </xf>
    <xf numFmtId="0" fontId="6" fillId="70" borderId="65" xfId="170" applyFill="1" applyBorder="1"/>
    <xf numFmtId="0" fontId="6" fillId="71" borderId="119" xfId="170" applyFont="1" applyFill="1" applyBorder="1" applyAlignment="1"/>
    <xf numFmtId="0" fontId="6" fillId="4" borderId="185" xfId="175" applyBorder="1"/>
    <xf numFmtId="0" fontId="6" fillId="9" borderId="186" xfId="268" applyFill="1" applyBorder="1" applyAlignment="1" applyProtection="1">
      <alignment vertical="center"/>
    </xf>
    <xf numFmtId="0" fontId="6" fillId="0" borderId="187" xfId="268" applyBorder="1" applyAlignment="1" applyProtection="1">
      <alignment horizontal="left" vertical="center"/>
    </xf>
    <xf numFmtId="0" fontId="6" fillId="12" borderId="188" xfId="268" applyFill="1" applyBorder="1" applyAlignment="1" applyProtection="1">
      <alignment horizontal="center" vertical="center"/>
    </xf>
    <xf numFmtId="0" fontId="6" fillId="12" borderId="189" xfId="268" applyFill="1" applyBorder="1" applyAlignment="1" applyProtection="1">
      <alignment horizontal="center" vertical="center"/>
    </xf>
    <xf numFmtId="0" fontId="6" fillId="9" borderId="110" xfId="268" applyFill="1" applyBorder="1" applyAlignment="1" applyProtection="1">
      <alignment horizontal="left" vertical="center"/>
    </xf>
    <xf numFmtId="0" fontId="6" fillId="9" borderId="184" xfId="268" applyFill="1" applyBorder="1" applyAlignment="1" applyProtection="1">
      <alignment horizontal="left" vertical="center"/>
    </xf>
    <xf numFmtId="0" fontId="6" fillId="9" borderId="179" xfId="268" applyFill="1" applyBorder="1" applyAlignment="1" applyProtection="1">
      <alignment vertical="center"/>
    </xf>
    <xf numFmtId="0" fontId="1" fillId="0" borderId="0" xfId="558" applyFont="1" applyAlignment="1">
      <alignment horizontal="left" indent="2"/>
    </xf>
    <xf numFmtId="0" fontId="6" fillId="4" borderId="190" xfId="175" applyBorder="1"/>
    <xf numFmtId="0" fontId="6" fillId="0" borderId="191" xfId="170" applyBorder="1"/>
    <xf numFmtId="0" fontId="6" fillId="9" borderId="60" xfId="268" applyFill="1" applyBorder="1" applyAlignment="1" applyProtection="1">
      <alignment vertical="center"/>
    </xf>
    <xf numFmtId="0" fontId="6" fillId="9" borderId="115" xfId="268" applyFill="1" applyBorder="1" applyAlignment="1" applyProtection="1">
      <alignment horizontal="left" vertical="center"/>
    </xf>
    <xf numFmtId="0" fontId="1" fillId="0" borderId="0" xfId="558" applyFont="1" applyAlignment="1">
      <alignment horizontal="left" indent="3"/>
    </xf>
    <xf numFmtId="0" fontId="6" fillId="0" borderId="180" xfId="170" applyBorder="1" applyAlignment="1">
      <alignment vertical="center"/>
    </xf>
    <xf numFmtId="0" fontId="1" fillId="0" borderId="180" xfId="558" applyBorder="1"/>
    <xf numFmtId="0" fontId="128" fillId="0" borderId="119" xfId="558" applyFont="1" applyBorder="1"/>
    <xf numFmtId="0" fontId="1" fillId="0" borderId="0" xfId="558" applyFont="1" applyAlignment="1">
      <alignment horizontal="left" indent="4"/>
    </xf>
    <xf numFmtId="0" fontId="128" fillId="0" borderId="0" xfId="558" applyFont="1"/>
    <xf numFmtId="0" fontId="62" fillId="55" borderId="90" xfId="170" applyFont="1" applyFill="1" applyBorder="1" applyAlignment="1" applyProtection="1">
      <alignment horizontal="left" vertical="top" wrapText="1"/>
    </xf>
    <xf numFmtId="0" fontId="6" fillId="9" borderId="138" xfId="268" applyFill="1" applyBorder="1" applyAlignment="1" applyProtection="1">
      <alignment vertical="center"/>
    </xf>
    <xf numFmtId="0" fontId="6" fillId="9" borderId="119" xfId="268" applyFill="1" applyBorder="1" applyAlignment="1" applyProtection="1">
      <alignment horizontal="left" vertical="center"/>
    </xf>
    <xf numFmtId="0" fontId="121" fillId="72" borderId="137" xfId="595" applyFont="1" applyFill="1" applyBorder="1" applyAlignment="1">
      <alignment vertical="center"/>
    </xf>
    <xf numFmtId="0" fontId="8" fillId="54" borderId="194" xfId="170" applyFont="1" applyFill="1" applyBorder="1" applyAlignment="1">
      <alignment vertical="center" wrapText="1"/>
    </xf>
    <xf numFmtId="0" fontId="6" fillId="9" borderId="81" xfId="268" applyFill="1" applyBorder="1" applyAlignment="1" applyProtection="1">
      <alignment horizontal="left" vertical="center"/>
    </xf>
    <xf numFmtId="0" fontId="6" fillId="71" borderId="135" xfId="170" applyFont="1" applyFill="1" applyBorder="1" applyAlignment="1"/>
    <xf numFmtId="0" fontId="6" fillId="55" borderId="195" xfId="175" applyFill="1" applyBorder="1" applyAlignment="1">
      <alignment horizontal="center"/>
    </xf>
    <xf numFmtId="0" fontId="6" fillId="9" borderId="179" xfId="268" applyFill="1" applyBorder="1" applyAlignment="1" applyProtection="1">
      <alignment vertical="top"/>
    </xf>
    <xf numFmtId="0" fontId="6" fillId="55" borderId="185" xfId="175" applyFill="1" applyBorder="1" applyAlignment="1">
      <alignment horizontal="center"/>
    </xf>
    <xf numFmtId="0" fontId="6" fillId="9" borderId="60" xfId="268" applyFill="1" applyBorder="1" applyAlignment="1" applyProtection="1">
      <alignment vertical="top"/>
    </xf>
    <xf numFmtId="0" fontId="6" fillId="9" borderId="196" xfId="268" applyFill="1" applyBorder="1" applyAlignment="1" applyProtection="1">
      <alignment vertical="center"/>
    </xf>
    <xf numFmtId="0" fontId="6" fillId="55" borderId="197" xfId="175" applyFill="1" applyBorder="1" applyAlignment="1">
      <alignment horizontal="center"/>
    </xf>
    <xf numFmtId="0" fontId="6" fillId="0" borderId="198" xfId="170" applyBorder="1"/>
    <xf numFmtId="0" fontId="6" fillId="0" borderId="199" xfId="170" applyBorder="1"/>
    <xf numFmtId="0" fontId="6" fillId="0" borderId="200" xfId="170" applyBorder="1"/>
    <xf numFmtId="0" fontId="1" fillId="0" borderId="201" xfId="558" applyBorder="1"/>
    <xf numFmtId="0" fontId="6" fillId="0" borderId="202" xfId="170" applyBorder="1"/>
    <xf numFmtId="0" fontId="6" fillId="0" borderId="203" xfId="166" applyBorder="1"/>
    <xf numFmtId="0" fontId="6" fillId="0" borderId="204" xfId="170" applyBorder="1"/>
    <xf numFmtId="0" fontId="62" fillId="9" borderId="204" xfId="170" applyFont="1" applyFill="1" applyBorder="1" applyProtection="1"/>
    <xf numFmtId="0" fontId="62" fillId="9" borderId="204" xfId="170" applyFont="1" applyFill="1" applyBorder="1" applyAlignment="1" applyProtection="1">
      <alignment horizontal="center"/>
    </xf>
    <xf numFmtId="1" fontId="62" fillId="9" borderId="204" xfId="170" applyNumberFormat="1" applyFont="1" applyFill="1" applyBorder="1" applyProtection="1"/>
    <xf numFmtId="0" fontId="6" fillId="0" borderId="205" xfId="170" applyBorder="1"/>
    <xf numFmtId="0" fontId="151" fillId="54" borderId="206" xfId="170" applyFont="1" applyFill="1" applyBorder="1" applyAlignment="1">
      <alignment vertical="center"/>
    </xf>
    <xf numFmtId="0" fontId="6" fillId="54" borderId="207" xfId="170" applyFill="1" applyBorder="1"/>
    <xf numFmtId="0" fontId="62" fillId="54" borderId="207" xfId="170" applyFont="1" applyFill="1" applyBorder="1" applyProtection="1"/>
    <xf numFmtId="0" fontId="62" fillId="54" borderId="208" xfId="170" applyFont="1" applyFill="1" applyBorder="1" applyAlignment="1" applyProtection="1">
      <alignment horizontal="center"/>
    </xf>
    <xf numFmtId="0" fontId="152" fillId="73" borderId="209" xfId="268" applyFont="1" applyFill="1" applyBorder="1" applyAlignment="1" applyProtection="1">
      <alignment vertical="center" wrapText="1"/>
    </xf>
    <xf numFmtId="0" fontId="152" fillId="73" borderId="210" xfId="268" applyFont="1" applyFill="1" applyBorder="1" applyAlignment="1" applyProtection="1">
      <alignment vertical="center" wrapText="1"/>
    </xf>
    <xf numFmtId="0" fontId="152" fillId="73" borderId="211" xfId="268" applyFont="1" applyFill="1" applyBorder="1" applyAlignment="1" applyProtection="1">
      <alignment vertical="center" wrapText="1"/>
    </xf>
    <xf numFmtId="0" fontId="153" fillId="74" borderId="106" xfId="170" applyFont="1" applyFill="1" applyBorder="1" applyAlignment="1" applyProtection="1">
      <alignment horizontal="center" wrapText="1"/>
    </xf>
    <xf numFmtId="0" fontId="6" fillId="74" borderId="107" xfId="166" applyFont="1" applyFill="1" applyBorder="1"/>
    <xf numFmtId="0" fontId="153" fillId="74" borderId="107" xfId="170" applyFont="1" applyFill="1" applyBorder="1" applyAlignment="1" applyProtection="1">
      <alignment wrapText="1"/>
    </xf>
    <xf numFmtId="0" fontId="153" fillId="74" borderId="212" xfId="170" applyFont="1" applyFill="1" applyBorder="1" applyAlignment="1" applyProtection="1">
      <alignment wrapText="1"/>
    </xf>
    <xf numFmtId="0" fontId="8" fillId="65" borderId="213" xfId="170" applyFont="1" applyFill="1" applyBorder="1"/>
    <xf numFmtId="0" fontId="8" fillId="65" borderId="130" xfId="170" applyFont="1" applyFill="1" applyBorder="1" applyAlignment="1">
      <alignment horizontal="center" vertical="center"/>
    </xf>
    <xf numFmtId="0" fontId="8" fillId="65" borderId="192" xfId="170" applyFont="1" applyFill="1" applyBorder="1" applyAlignment="1">
      <alignment horizontal="center" vertical="center"/>
    </xf>
    <xf numFmtId="0" fontId="8" fillId="66" borderId="105" xfId="170" applyFont="1" applyFill="1" applyBorder="1" applyAlignment="1">
      <alignment horizontal="center" vertical="center"/>
    </xf>
    <xf numFmtId="0" fontId="63" fillId="66" borderId="214" xfId="170" applyFont="1" applyFill="1" applyBorder="1" applyAlignment="1" applyProtection="1">
      <alignment horizontal="center" vertical="center"/>
    </xf>
    <xf numFmtId="0" fontId="154" fillId="73" borderId="215" xfId="268" applyFont="1" applyFill="1" applyBorder="1" applyAlignment="1" applyProtection="1">
      <alignment horizontal="center" vertical="center"/>
    </xf>
    <xf numFmtId="49" fontId="154" fillId="73" borderId="216" xfId="268" applyNumberFormat="1" applyFont="1" applyFill="1" applyBorder="1" applyProtection="1"/>
    <xf numFmtId="0" fontId="154" fillId="73" borderId="217" xfId="268" applyFont="1" applyFill="1" applyBorder="1" applyAlignment="1" applyProtection="1">
      <alignment horizontal="center" vertical="center"/>
    </xf>
    <xf numFmtId="0" fontId="126" fillId="75" borderId="111" xfId="170" applyFont="1" applyFill="1" applyBorder="1" applyAlignment="1" applyProtection="1">
      <alignment horizontal="center"/>
    </xf>
    <xf numFmtId="0" fontId="155" fillId="76" borderId="112" xfId="170" quotePrefix="1" applyFont="1" applyFill="1" applyBorder="1"/>
    <xf numFmtId="0" fontId="154" fillId="77" borderId="112" xfId="170" applyFont="1" applyFill="1" applyBorder="1" applyAlignment="1" applyProtection="1">
      <alignment horizontal="center"/>
    </xf>
    <xf numFmtId="0" fontId="156" fillId="76" borderId="112" xfId="170" quotePrefix="1" applyFont="1" applyFill="1" applyBorder="1" applyAlignment="1" applyProtection="1">
      <alignment horizontal="left"/>
    </xf>
    <xf numFmtId="0" fontId="154" fillId="77" borderId="218" xfId="170" applyFont="1" applyFill="1" applyBorder="1" applyAlignment="1" applyProtection="1">
      <alignment horizontal="center"/>
    </xf>
    <xf numFmtId="0" fontId="45" fillId="0" borderId="219" xfId="170" applyFont="1" applyBorder="1"/>
    <xf numFmtId="0" fontId="6" fillId="65" borderId="132" xfId="170" applyFill="1" applyBorder="1" applyAlignment="1">
      <alignment horizontal="center" vertical="center"/>
    </xf>
    <xf numFmtId="0" fontId="6" fillId="65" borderId="133" xfId="170" applyFill="1" applyBorder="1" applyAlignment="1">
      <alignment horizontal="center" vertical="center"/>
    </xf>
    <xf numFmtId="0" fontId="6" fillId="66" borderId="0" xfId="170" applyFill="1" applyBorder="1" applyAlignment="1">
      <alignment horizontal="center" vertical="center"/>
    </xf>
    <xf numFmtId="0" fontId="6" fillId="66" borderId="220" xfId="170" applyFill="1" applyBorder="1" applyAlignment="1">
      <alignment horizontal="center" vertical="center"/>
    </xf>
    <xf numFmtId="0" fontId="154" fillId="73" borderId="221" xfId="268" applyFont="1" applyFill="1" applyBorder="1" applyAlignment="1" applyProtection="1">
      <alignment horizontal="center" vertical="center"/>
    </xf>
    <xf numFmtId="49" fontId="154" fillId="73" borderId="222" xfId="268" applyNumberFormat="1" applyFont="1" applyFill="1" applyBorder="1" applyProtection="1"/>
    <xf numFmtId="0" fontId="154" fillId="73" borderId="223" xfId="268" applyFont="1" applyFill="1" applyBorder="1" applyAlignment="1" applyProtection="1">
      <alignment horizontal="center" vertical="center"/>
    </xf>
    <xf numFmtId="0" fontId="154" fillId="75" borderId="116" xfId="170" applyFont="1" applyFill="1" applyBorder="1" applyAlignment="1" applyProtection="1">
      <alignment horizontal="center"/>
    </xf>
    <xf numFmtId="0" fontId="155" fillId="76" borderId="117" xfId="170" quotePrefix="1" applyFont="1" applyFill="1" applyBorder="1"/>
    <xf numFmtId="0" fontId="154" fillId="77" borderId="117" xfId="170" applyFont="1" applyFill="1" applyBorder="1" applyAlignment="1" applyProtection="1">
      <alignment horizontal="center"/>
    </xf>
    <xf numFmtId="0" fontId="156" fillId="76" borderId="117" xfId="170" quotePrefix="1" applyFont="1" applyFill="1" applyBorder="1" applyAlignment="1" applyProtection="1">
      <alignment horizontal="left"/>
    </xf>
    <xf numFmtId="0" fontId="154" fillId="77" borderId="224" xfId="170" applyFont="1" applyFill="1" applyBorder="1" applyAlignment="1" applyProtection="1">
      <alignment horizontal="center"/>
    </xf>
    <xf numFmtId="49" fontId="1" fillId="0" borderId="219" xfId="558" applyNumberFormat="1" applyBorder="1"/>
    <xf numFmtId="0" fontId="6" fillId="65" borderId="98" xfId="170" applyFill="1" applyBorder="1" applyAlignment="1">
      <alignment horizontal="center" vertical="center"/>
    </xf>
    <xf numFmtId="0" fontId="6" fillId="65" borderId="99" xfId="170" applyFill="1" applyBorder="1" applyAlignment="1">
      <alignment horizontal="center" vertical="center"/>
    </xf>
    <xf numFmtId="0" fontId="6" fillId="0" borderId="219" xfId="170" applyBorder="1"/>
    <xf numFmtId="0" fontId="154" fillId="73" borderId="225" xfId="268" applyFont="1" applyFill="1" applyBorder="1" applyAlignment="1" applyProtection="1">
      <alignment horizontal="center" vertical="center"/>
    </xf>
    <xf numFmtId="49" fontId="154" fillId="73" borderId="226" xfId="268" applyNumberFormat="1" applyFont="1" applyFill="1" applyBorder="1" applyProtection="1"/>
    <xf numFmtId="0" fontId="154" fillId="73" borderId="227" xfId="268" applyFont="1" applyFill="1" applyBorder="1" applyAlignment="1" applyProtection="1">
      <alignment horizontal="center" vertical="center"/>
    </xf>
    <xf numFmtId="0" fontId="6" fillId="0" borderId="0" xfId="170" applyFont="1" applyFill="1" applyBorder="1"/>
    <xf numFmtId="0" fontId="6" fillId="0" borderId="228" xfId="166" applyFont="1" applyFill="1" applyBorder="1"/>
    <xf numFmtId="0" fontId="154" fillId="61" borderId="0" xfId="170" applyFont="1" applyFill="1" applyBorder="1" applyProtection="1"/>
    <xf numFmtId="0" fontId="154" fillId="61" borderId="0" xfId="170" applyFont="1" applyFill="1" applyBorder="1" applyAlignment="1" applyProtection="1">
      <alignment horizontal="center"/>
    </xf>
    <xf numFmtId="1" fontId="154" fillId="61" borderId="0" xfId="170" applyNumberFormat="1" applyFont="1" applyFill="1" applyBorder="1" applyProtection="1"/>
    <xf numFmtId="0" fontId="6" fillId="0" borderId="229" xfId="170" applyFont="1" applyFill="1" applyBorder="1"/>
    <xf numFmtId="0" fontId="153" fillId="78" borderId="230" xfId="170" applyFont="1" applyFill="1" applyBorder="1" applyAlignment="1" applyProtection="1">
      <alignment horizontal="center" vertical="top" wrapText="1"/>
    </xf>
    <xf numFmtId="0" fontId="153" fillId="78" borderId="95" xfId="170" applyFont="1" applyFill="1" applyBorder="1" applyAlignment="1" applyProtection="1">
      <alignment vertical="top" wrapText="1"/>
    </xf>
    <xf numFmtId="0" fontId="153" fillId="78" borderId="97" xfId="170" applyFont="1" applyFill="1" applyBorder="1" applyAlignment="1" applyProtection="1">
      <alignment vertical="top" wrapText="1"/>
    </xf>
    <xf numFmtId="0" fontId="153" fillId="79" borderId="123" xfId="170" applyFont="1" applyFill="1" applyBorder="1" applyAlignment="1" applyProtection="1">
      <alignment horizontal="center" vertical="top" wrapText="1"/>
    </xf>
    <xf numFmtId="0" fontId="153" fillId="79" borderId="80" xfId="170" applyFont="1" applyFill="1" applyBorder="1" applyAlignment="1" applyProtection="1">
      <alignment vertical="top" wrapText="1"/>
    </xf>
    <xf numFmtId="0" fontId="153" fillId="79" borderId="90" xfId="170" applyFont="1" applyFill="1" applyBorder="1" applyAlignment="1" applyProtection="1">
      <alignment vertical="top" wrapText="1"/>
    </xf>
    <xf numFmtId="49" fontId="6" fillId="80" borderId="231" xfId="170" applyNumberFormat="1" applyFont="1" applyFill="1" applyBorder="1" applyAlignment="1">
      <alignment horizontal="right" indent="1"/>
    </xf>
    <xf numFmtId="49" fontId="6" fillId="78" borderId="67" xfId="170" applyNumberFormat="1" applyFont="1" applyFill="1" applyBorder="1"/>
    <xf numFmtId="49" fontId="6" fillId="78" borderId="67" xfId="170" applyNumberFormat="1" applyFont="1" applyFill="1" applyBorder="1" applyAlignment="1" applyProtection="1">
      <alignment horizontal="right" indent="1"/>
    </xf>
    <xf numFmtId="49" fontId="6" fillId="80" borderId="99" xfId="170" applyNumberFormat="1" applyFont="1" applyFill="1" applyBorder="1"/>
    <xf numFmtId="49" fontId="6" fillId="81" borderId="232" xfId="170" applyNumberFormat="1" applyFont="1" applyFill="1" applyBorder="1" applyAlignment="1">
      <alignment horizontal="right" indent="1"/>
    </xf>
    <xf numFmtId="49" fontId="6" fillId="79" borderId="233" xfId="170" applyNumberFormat="1" applyFont="1" applyFill="1" applyBorder="1"/>
    <xf numFmtId="49" fontId="6" fillId="82" borderId="234" xfId="170" applyNumberFormat="1" applyFont="1" applyFill="1" applyBorder="1" applyAlignment="1" applyProtection="1">
      <alignment horizontal="right" indent="1"/>
    </xf>
    <xf numFmtId="49" fontId="6" fillId="83" borderId="235" xfId="170" applyNumberFormat="1" applyFont="1" applyFill="1" applyBorder="1"/>
    <xf numFmtId="49" fontId="6" fillId="81" borderId="236" xfId="170" applyNumberFormat="1" applyFont="1" applyFill="1" applyBorder="1" applyAlignment="1">
      <alignment horizontal="right" indent="1"/>
    </xf>
    <xf numFmtId="49" fontId="6" fillId="79" borderId="237" xfId="170" applyNumberFormat="1" applyFont="1" applyFill="1" applyBorder="1"/>
    <xf numFmtId="49" fontId="6" fillId="83" borderId="238" xfId="170" applyNumberFormat="1" applyFont="1" applyFill="1" applyBorder="1"/>
    <xf numFmtId="0" fontId="6" fillId="0" borderId="239" xfId="170" applyBorder="1"/>
    <xf numFmtId="0" fontId="6" fillId="65" borderId="240" xfId="170" applyFill="1" applyBorder="1" applyAlignment="1">
      <alignment horizontal="center" vertical="center"/>
    </xf>
    <xf numFmtId="0" fontId="6" fillId="65" borderId="241" xfId="170" applyFill="1" applyBorder="1" applyAlignment="1">
      <alignment horizontal="center" vertical="center"/>
    </xf>
    <xf numFmtId="0" fontId="6" fillId="66" borderId="242" xfId="170" applyFill="1" applyBorder="1" applyAlignment="1">
      <alignment horizontal="center" vertical="center"/>
    </xf>
    <xf numFmtId="0" fontId="6" fillId="66" borderId="243" xfId="170" applyFill="1" applyBorder="1" applyAlignment="1">
      <alignment horizontal="center" vertical="center"/>
    </xf>
    <xf numFmtId="49" fontId="6" fillId="81" borderId="244" xfId="170" applyNumberFormat="1" applyFont="1" applyFill="1" applyBorder="1" applyAlignment="1">
      <alignment horizontal="right" indent="1"/>
    </xf>
    <xf numFmtId="49" fontId="6" fillId="84" borderId="94" xfId="170" applyNumberFormat="1" applyFont="1" applyFill="1" applyBorder="1" applyAlignment="1">
      <alignment horizontal="center"/>
    </xf>
    <xf numFmtId="49" fontId="6" fillId="59" borderId="97" xfId="170" applyNumberFormat="1" applyFill="1" applyBorder="1" applyAlignment="1">
      <alignment horizontal="center"/>
    </xf>
    <xf numFmtId="49" fontId="6" fillId="84" borderId="98" xfId="170" applyNumberFormat="1" applyFont="1" applyFill="1" applyBorder="1" applyAlignment="1">
      <alignment horizontal="center"/>
    </xf>
    <xf numFmtId="49" fontId="6" fillId="59" borderId="99" xfId="170" applyNumberFormat="1" applyFill="1" applyBorder="1" applyAlignment="1">
      <alignment horizontal="center"/>
    </xf>
    <xf numFmtId="49" fontId="6" fillId="81" borderId="160" xfId="170" applyNumberFormat="1" applyFont="1" applyFill="1" applyBorder="1" applyAlignment="1">
      <alignment horizontal="right" indent="1"/>
    </xf>
    <xf numFmtId="49" fontId="6" fillId="79" borderId="245" xfId="170" applyNumberFormat="1" applyFont="1" applyFill="1" applyBorder="1"/>
    <xf numFmtId="49" fontId="6" fillId="82" borderId="246" xfId="170" applyNumberFormat="1" applyFont="1" applyFill="1" applyBorder="1" applyAlignment="1" applyProtection="1">
      <alignment horizontal="right" indent="1"/>
    </xf>
    <xf numFmtId="49" fontId="6" fillId="83" borderId="82" xfId="170" applyNumberFormat="1" applyFont="1" applyFill="1" applyBorder="1"/>
    <xf numFmtId="0" fontId="1" fillId="0" borderId="0" xfId="558" applyBorder="1"/>
    <xf numFmtId="49" fontId="6" fillId="80" borderId="247" xfId="170" applyNumberFormat="1" applyFont="1" applyFill="1" applyBorder="1" applyAlignment="1">
      <alignment horizontal="right" indent="1"/>
    </xf>
    <xf numFmtId="49" fontId="6" fillId="78" borderId="248" xfId="170" applyNumberFormat="1" applyFont="1" applyFill="1" applyBorder="1"/>
    <xf numFmtId="49" fontId="6" fillId="78" borderId="248" xfId="170" applyNumberFormat="1" applyFont="1" applyFill="1" applyBorder="1" applyAlignment="1" applyProtection="1">
      <alignment horizontal="right" indent="1"/>
    </xf>
    <xf numFmtId="49" fontId="6" fillId="80" borderId="249" xfId="170" applyNumberFormat="1" applyFont="1" applyFill="1" applyBorder="1"/>
    <xf numFmtId="0" fontId="1" fillId="0" borderId="250" xfId="558" applyBorder="1"/>
    <xf numFmtId="0" fontId="6" fillId="0" borderId="251" xfId="170" applyFont="1" applyFill="1" applyBorder="1"/>
    <xf numFmtId="49" fontId="6" fillId="84" borderId="100" xfId="170" applyNumberFormat="1" applyFont="1" applyFill="1" applyBorder="1" applyAlignment="1">
      <alignment horizontal="center"/>
    </xf>
    <xf numFmtId="49" fontId="6" fillId="59" borderId="103" xfId="170" applyNumberFormat="1" applyFill="1" applyBorder="1" applyAlignment="1">
      <alignment horizontal="center"/>
    </xf>
    <xf numFmtId="2" fontId="0" fillId="85" borderId="0" xfId="0" applyNumberFormat="1" applyFill="1" applyBorder="1" applyAlignment="1">
      <alignment wrapText="1"/>
    </xf>
    <xf numFmtId="169" fontId="0" fillId="85" borderId="0" xfId="1" applyNumberFormat="1" applyFont="1" applyFill="1" applyBorder="1"/>
    <xf numFmtId="170" fontId="0" fillId="85" borderId="9" xfId="1" applyNumberFormat="1" applyFont="1" applyFill="1" applyBorder="1" applyProtection="1">
      <protection locked="0"/>
    </xf>
    <xf numFmtId="43" fontId="6" fillId="85" borderId="0" xfId="2" applyNumberFormat="1" applyFont="1" applyFill="1" applyBorder="1"/>
    <xf numFmtId="43" fontId="12" fillId="85" borderId="0" xfId="1" applyFont="1" applyFill="1" applyBorder="1" applyAlignment="1">
      <alignment horizontal="center" vertical="center"/>
    </xf>
    <xf numFmtId="169" fontId="12" fillId="85" borderId="0" xfId="1" applyNumberFormat="1" applyFont="1" applyFill="1"/>
    <xf numFmtId="167" fontId="0" fillId="85" borderId="0" xfId="5" applyNumberFormat="1" applyFont="1" applyFill="1" applyBorder="1"/>
    <xf numFmtId="43" fontId="12" fillId="85" borderId="0" xfId="0" applyNumberFormat="1" applyFont="1" applyFill="1"/>
    <xf numFmtId="1" fontId="12" fillId="86" borderId="6" xfId="1" applyNumberFormat="1" applyFont="1" applyFill="1" applyBorder="1" applyAlignment="1">
      <alignment horizontal="center" vertical="center"/>
    </xf>
    <xf numFmtId="167" fontId="0" fillId="85" borderId="0" xfId="5" applyNumberFormat="1" applyFont="1" applyFill="1" applyProtection="1">
      <protection locked="0"/>
    </xf>
    <xf numFmtId="169" fontId="12" fillId="85" borderId="0" xfId="1" applyNumberFormat="1" applyFont="1" applyFill="1" applyBorder="1"/>
    <xf numFmtId="169" fontId="23" fillId="85" borderId="0" xfId="1" applyNumberFormat="1" applyFont="1" applyFill="1"/>
    <xf numFmtId="43" fontId="23" fillId="85" borderId="2" xfId="1" applyNumberFormat="1" applyFont="1" applyFill="1" applyBorder="1" applyAlignment="1">
      <alignment horizontal="right"/>
    </xf>
    <xf numFmtId="43" fontId="23" fillId="18" borderId="11" xfId="1" applyNumberFormat="1" applyFont="1" applyFill="1" applyBorder="1" applyAlignment="1">
      <alignment horizontal="right"/>
    </xf>
    <xf numFmtId="43" fontId="23" fillId="85" borderId="0" xfId="1" applyNumberFormat="1" applyFont="1" applyFill="1" applyAlignment="1">
      <alignment horizontal="right"/>
    </xf>
    <xf numFmtId="43" fontId="23" fillId="18" borderId="8" xfId="1" applyNumberFormat="1" applyFont="1" applyFill="1" applyBorder="1" applyAlignment="1">
      <alignment horizontal="right"/>
    </xf>
    <xf numFmtId="175" fontId="6" fillId="85" borderId="30" xfId="1" applyNumberFormat="1" applyFill="1" applyBorder="1" applyAlignment="1">
      <alignment vertical="center"/>
    </xf>
    <xf numFmtId="43" fontId="6" fillId="85" borderId="44" xfId="2" applyNumberFormat="1" applyFont="1" applyFill="1" applyBorder="1"/>
    <xf numFmtId="170" fontId="12" fillId="85" borderId="6" xfId="1" applyNumberFormat="1" applyFont="1" applyFill="1" applyBorder="1" applyProtection="1">
      <protection locked="0"/>
    </xf>
    <xf numFmtId="170" fontId="0" fillId="85" borderId="6" xfId="1" applyNumberFormat="1" applyFont="1" applyFill="1" applyBorder="1" applyProtection="1"/>
    <xf numFmtId="175" fontId="6" fillId="85" borderId="0" xfId="1" applyNumberFormat="1" applyFill="1" applyBorder="1" applyAlignment="1">
      <alignment vertical="center"/>
    </xf>
    <xf numFmtId="175" fontId="6" fillId="85" borderId="27" xfId="1" applyNumberFormat="1" applyFill="1" applyBorder="1" applyAlignment="1">
      <alignment vertical="center"/>
    </xf>
    <xf numFmtId="174" fontId="6" fillId="86" borderId="0" xfId="1" applyNumberFormat="1" applyFill="1" applyBorder="1" applyAlignment="1">
      <alignment vertical="center"/>
    </xf>
    <xf numFmtId="10" fontId="12" fillId="85" borderId="0" xfId="5" applyNumberFormat="1" applyFont="1" applyFill="1" applyBorder="1" applyAlignment="1" applyProtection="1">
      <alignment horizontal="right"/>
    </xf>
    <xf numFmtId="43" fontId="12" fillId="85" borderId="5" xfId="1" applyNumberFormat="1" applyFont="1" applyFill="1" applyBorder="1" applyAlignment="1">
      <alignment horizontal="right" vertical="center"/>
    </xf>
    <xf numFmtId="169" fontId="0" fillId="85" borderId="0" xfId="0" applyNumberFormat="1" applyFill="1" applyBorder="1"/>
    <xf numFmtId="43" fontId="0" fillId="85" borderId="0" xfId="0" applyNumberFormat="1" applyFill="1" applyBorder="1"/>
    <xf numFmtId="168" fontId="12" fillId="85" borderId="0" xfId="1" applyNumberFormat="1" applyFont="1" applyFill="1"/>
    <xf numFmtId="170" fontId="12" fillId="85" borderId="7" xfId="1" applyNumberFormat="1" applyFont="1" applyFill="1" applyBorder="1" applyProtection="1">
      <protection locked="0"/>
    </xf>
    <xf numFmtId="170" fontId="12" fillId="85" borderId="0" xfId="1" applyNumberFormat="1" applyFont="1" applyFill="1" applyBorder="1" applyProtection="1">
      <protection locked="0"/>
    </xf>
    <xf numFmtId="0" fontId="15" fillId="85" borderId="0" xfId="0" applyFont="1" applyFill="1" applyBorder="1" applyProtection="1">
      <protection locked="0"/>
    </xf>
    <xf numFmtId="0" fontId="0" fillId="85" borderId="0" xfId="0" applyFill="1" applyProtection="1">
      <protection locked="0"/>
    </xf>
    <xf numFmtId="170" fontId="12" fillId="88" borderId="10" xfId="1" applyNumberFormat="1" applyFont="1" applyFill="1" applyBorder="1" applyProtection="1">
      <protection locked="0"/>
    </xf>
    <xf numFmtId="171" fontId="0" fillId="85" borderId="0" xfId="1" applyNumberFormat="1" applyFont="1" applyFill="1" applyBorder="1"/>
    <xf numFmtId="170" fontId="0" fillId="85" borderId="5" xfId="1" applyNumberFormat="1" applyFont="1" applyFill="1" applyBorder="1" applyProtection="1"/>
    <xf numFmtId="170" fontId="0" fillId="85" borderId="0" xfId="1" applyNumberFormat="1" applyFont="1" applyFill="1" applyProtection="1">
      <protection locked="0"/>
    </xf>
    <xf numFmtId="170" fontId="0" fillId="85" borderId="0" xfId="1" applyNumberFormat="1" applyFont="1" applyFill="1" applyProtection="1"/>
    <xf numFmtId="170" fontId="0" fillId="85" borderId="0" xfId="1" applyNumberFormat="1" applyFont="1" applyFill="1" applyBorder="1" applyProtection="1"/>
    <xf numFmtId="170" fontId="6" fillId="85" borderId="11" xfId="1" applyNumberFormat="1" applyFill="1" applyBorder="1" applyProtection="1"/>
    <xf numFmtId="170" fontId="6" fillId="85" borderId="0" xfId="1" applyNumberFormat="1" applyFill="1" applyBorder="1" applyProtection="1"/>
    <xf numFmtId="10" fontId="0" fillId="88" borderId="7" xfId="0" applyNumberFormat="1" applyFill="1" applyBorder="1" applyProtection="1">
      <protection locked="0"/>
    </xf>
    <xf numFmtId="10" fontId="0" fillId="88" borderId="6" xfId="0" applyNumberFormat="1" applyFill="1" applyBorder="1" applyProtection="1">
      <protection locked="0"/>
    </xf>
    <xf numFmtId="170" fontId="6" fillId="85" borderId="8" xfId="1" applyNumberFormat="1" applyFont="1" applyFill="1" applyBorder="1" applyProtection="1"/>
    <xf numFmtId="170" fontId="6" fillId="85" borderId="0" xfId="1" applyNumberFormat="1" applyFill="1" applyProtection="1">
      <protection locked="0"/>
    </xf>
    <xf numFmtId="43" fontId="12" fillId="86" borderId="5" xfId="1" applyNumberFormat="1" applyFont="1" applyFill="1" applyBorder="1" applyAlignment="1">
      <alignment horizontal="right" vertical="center"/>
    </xf>
    <xf numFmtId="0" fontId="30" fillId="88" borderId="14" xfId="0" applyFont="1" applyFill="1" applyBorder="1" applyAlignment="1">
      <alignment horizontal="center"/>
    </xf>
    <xf numFmtId="43" fontId="23" fillId="18" borderId="9" xfId="1" applyNumberFormat="1" applyFont="1" applyFill="1" applyBorder="1" applyAlignment="1">
      <alignment horizontal="right"/>
    </xf>
    <xf numFmtId="43" fontId="23" fillId="18" borderId="0" xfId="1" applyNumberFormat="1" applyFont="1" applyFill="1" applyAlignment="1">
      <alignment horizontal="right"/>
    </xf>
    <xf numFmtId="43" fontId="12" fillId="87" borderId="6" xfId="1" applyNumberFormat="1" applyFont="1" applyFill="1" applyBorder="1" applyAlignment="1">
      <alignment horizontal="center" vertical="center"/>
    </xf>
    <xf numFmtId="43" fontId="12" fillId="87" borderId="5" xfId="1" applyNumberFormat="1" applyFont="1" applyFill="1" applyBorder="1" applyAlignment="1">
      <alignment horizontal="right" vertical="center"/>
    </xf>
    <xf numFmtId="170" fontId="6" fillId="85" borderId="0" xfId="1" applyNumberFormat="1" applyFont="1" applyFill="1" applyBorder="1" applyProtection="1"/>
    <xf numFmtId="170" fontId="12" fillId="85" borderId="0" xfId="5" applyNumberFormat="1" applyFont="1" applyFill="1" applyProtection="1">
      <protection locked="0"/>
    </xf>
    <xf numFmtId="170" fontId="0" fillId="85" borderId="7" xfId="1" applyNumberFormat="1" applyFont="1" applyFill="1" applyBorder="1" applyProtection="1"/>
    <xf numFmtId="168" fontId="0" fillId="87" borderId="6" xfId="0" applyNumberFormat="1" applyFill="1" applyBorder="1" applyAlignment="1">
      <alignment horizontal="right"/>
    </xf>
    <xf numFmtId="10" fontId="12" fillId="85" borderId="0" xfId="5" applyNumberFormat="1" applyFont="1" applyFill="1" applyBorder="1" applyAlignment="1" applyProtection="1">
      <alignment horizontal="right"/>
      <protection locked="0"/>
    </xf>
    <xf numFmtId="10" fontId="6" fillId="87" borderId="5" xfId="5" applyNumberFormat="1" applyFill="1" applyBorder="1" applyAlignment="1">
      <alignment vertical="center"/>
    </xf>
    <xf numFmtId="10" fontId="6" fillId="87" borderId="7" xfId="5" applyNumberFormat="1" applyFill="1" applyBorder="1" applyAlignment="1">
      <alignment vertical="center"/>
    </xf>
    <xf numFmtId="10" fontId="0" fillId="87" borderId="5" xfId="5" applyNumberFormat="1" applyFont="1" applyFill="1" applyBorder="1" applyAlignment="1">
      <alignment horizontal="right"/>
    </xf>
    <xf numFmtId="9" fontId="0" fillId="85" borderId="0" xfId="5" applyNumberFormat="1" applyFont="1" applyFill="1" applyBorder="1"/>
    <xf numFmtId="170" fontId="12" fillId="85" borderId="7" xfId="0" applyNumberFormat="1" applyFont="1" applyFill="1" applyBorder="1" applyProtection="1"/>
    <xf numFmtId="43" fontId="8" fillId="85" borderId="0" xfId="0" applyNumberFormat="1" applyFont="1" applyFill="1"/>
    <xf numFmtId="10" fontId="0" fillId="88" borderId="5" xfId="0" applyNumberFormat="1" applyFill="1" applyBorder="1" applyProtection="1">
      <protection locked="0"/>
    </xf>
    <xf numFmtId="170" fontId="12" fillId="85" borderId="0" xfId="0" applyNumberFormat="1" applyFont="1" applyFill="1" applyBorder="1" applyProtection="1"/>
    <xf numFmtId="43" fontId="12" fillId="4" borderId="0" xfId="1" applyNumberFormat="1" applyFont="1" applyFill="1"/>
    <xf numFmtId="182" fontId="12" fillId="85" borderId="0" xfId="1" applyNumberFormat="1" applyFont="1" applyFill="1"/>
    <xf numFmtId="182" fontId="12" fillId="4" borderId="0" xfId="1" applyNumberFormat="1" applyFont="1" applyFill="1"/>
    <xf numFmtId="43" fontId="12" fillId="85" borderId="0" xfId="1" applyNumberFormat="1" applyFont="1" applyFill="1"/>
    <xf numFmtId="172" fontId="0" fillId="87" borderId="6" xfId="0" applyNumberFormat="1" applyFill="1" applyBorder="1" applyAlignment="1">
      <alignment horizontal="right"/>
    </xf>
    <xf numFmtId="43" fontId="12" fillId="85" borderId="0" xfId="1" applyNumberFormat="1" applyFont="1" applyFill="1" applyBorder="1"/>
    <xf numFmtId="43" fontId="12" fillId="9" borderId="0" xfId="1" applyNumberFormat="1" applyFont="1" applyFill="1" applyBorder="1"/>
    <xf numFmtId="43" fontId="12" fillId="85" borderId="6" xfId="1" applyNumberFormat="1" applyFont="1" applyFill="1" applyBorder="1" applyAlignment="1">
      <alignment horizontal="right" vertical="center"/>
    </xf>
    <xf numFmtId="43" fontId="23" fillId="85" borderId="0" xfId="1" applyNumberFormat="1" applyFont="1" applyFill="1"/>
    <xf numFmtId="168" fontId="0" fillId="87" borderId="0" xfId="0" applyNumberFormat="1" applyFill="1" applyBorder="1" applyAlignment="1">
      <alignment horizontal="right"/>
    </xf>
    <xf numFmtId="0" fontId="8" fillId="85" borderId="16" xfId="0" quotePrefix="1" applyFont="1" applyFill="1" applyBorder="1" applyAlignment="1">
      <alignment horizontal="right" vertical="center"/>
    </xf>
    <xf numFmtId="43" fontId="12" fillId="86" borderId="6" xfId="1" applyFont="1" applyFill="1" applyBorder="1" applyAlignment="1">
      <alignment horizontal="right" vertical="center"/>
    </xf>
    <xf numFmtId="170" fontId="12" fillId="85" borderId="0" xfId="1" applyNumberFormat="1" applyFont="1" applyFill="1" applyBorder="1" applyProtection="1"/>
    <xf numFmtId="43" fontId="12" fillId="85" borderId="7" xfId="1" applyNumberFormat="1" applyFont="1" applyFill="1" applyBorder="1" applyAlignment="1">
      <alignment horizontal="right" vertical="center"/>
    </xf>
    <xf numFmtId="10" fontId="0" fillId="85" borderId="0" xfId="5" applyNumberFormat="1" applyFont="1" applyFill="1" applyBorder="1"/>
    <xf numFmtId="0" fontId="12" fillId="87" borderId="0" xfId="0" applyFont="1" applyFill="1" applyProtection="1">
      <protection locked="0"/>
    </xf>
    <xf numFmtId="0" fontId="12" fillId="87" borderId="0" xfId="0" applyFont="1" applyFill="1" applyBorder="1" applyAlignment="1" applyProtection="1">
      <alignment horizontal="center"/>
      <protection locked="0"/>
    </xf>
    <xf numFmtId="10" fontId="12" fillId="87" borderId="0" xfId="5" applyNumberFormat="1" applyFont="1" applyFill="1" applyBorder="1" applyAlignment="1" applyProtection="1">
      <alignment horizontal="right"/>
    </xf>
    <xf numFmtId="0" fontId="12" fillId="87" borderId="0" xfId="0" applyFont="1" applyFill="1" applyAlignment="1" applyProtection="1">
      <alignment horizontal="center"/>
      <protection locked="0"/>
    </xf>
    <xf numFmtId="10" fontId="12" fillId="87" borderId="0" xfId="0" applyNumberFormat="1" applyFont="1" applyFill="1" applyProtection="1">
      <protection locked="0"/>
    </xf>
    <xf numFmtId="43" fontId="23" fillId="89" borderId="0" xfId="1" applyNumberFormat="1" applyFont="1" applyFill="1" applyAlignment="1">
      <alignment horizontal="right"/>
    </xf>
    <xf numFmtId="43" fontId="12" fillId="90" borderId="7" xfId="1" applyNumberFormat="1" applyFont="1" applyFill="1" applyBorder="1" applyAlignment="1">
      <alignment horizontal="right" vertical="center"/>
    </xf>
    <xf numFmtId="169" fontId="6" fillId="85" borderId="0" xfId="1" applyNumberFormat="1" applyFont="1" applyFill="1" applyBorder="1"/>
    <xf numFmtId="43" fontId="6" fillId="86" borderId="6" xfId="1" applyNumberFormat="1" applyFont="1" applyFill="1" applyBorder="1" applyAlignment="1">
      <alignment horizontal="right" vertical="center"/>
    </xf>
    <xf numFmtId="0" fontId="0" fillId="5" borderId="7" xfId="0" applyFill="1" applyBorder="1" applyAlignment="1">
      <alignment horizontal="left"/>
    </xf>
    <xf numFmtId="0" fontId="0" fillId="5" borderId="0" xfId="0" applyFill="1" applyBorder="1" applyAlignment="1">
      <alignment horizontal="left"/>
    </xf>
    <xf numFmtId="0" fontId="6" fillId="5" borderId="7" xfId="0" applyFont="1" applyFill="1" applyBorder="1" applyAlignment="1">
      <alignment horizontal="left"/>
    </xf>
    <xf numFmtId="0" fontId="6" fillId="5" borderId="5" xfId="0" applyFont="1" applyFill="1" applyBorder="1" applyAlignment="1">
      <alignment horizontal="left"/>
    </xf>
    <xf numFmtId="0" fontId="0" fillId="5" borderId="6" xfId="0" applyFill="1" applyBorder="1" applyAlignment="1">
      <alignment horizontal="left"/>
    </xf>
    <xf numFmtId="0" fontId="6" fillId="5" borderId="0" xfId="0" applyFont="1" applyFill="1" applyBorder="1" applyAlignment="1">
      <alignment horizontal="left"/>
    </xf>
    <xf numFmtId="43" fontId="0" fillId="87" borderId="6" xfId="0" applyNumberFormat="1" applyFill="1" applyBorder="1" applyAlignment="1">
      <alignment horizontal="right"/>
    </xf>
    <xf numFmtId="200" fontId="6" fillId="87" borderId="7" xfId="5" applyNumberFormat="1" applyFill="1" applyBorder="1" applyAlignment="1">
      <alignment vertical="center"/>
    </xf>
    <xf numFmtId="43" fontId="0" fillId="87" borderId="0" xfId="0" applyNumberFormat="1" applyFill="1" applyBorder="1" applyAlignment="1">
      <alignment horizontal="right"/>
    </xf>
    <xf numFmtId="43" fontId="0" fillId="86" borderId="0" xfId="0" applyNumberFormat="1" applyFill="1" applyBorder="1" applyAlignment="1">
      <alignment horizontal="right"/>
    </xf>
    <xf numFmtId="166" fontId="6" fillId="0" borderId="0" xfId="1" applyNumberFormat="1" applyFill="1" applyProtection="1">
      <protection locked="0"/>
    </xf>
    <xf numFmtId="175" fontId="6" fillId="85" borderId="35" xfId="1" applyNumberFormat="1" applyFill="1" applyBorder="1" applyAlignment="1">
      <alignment vertical="center"/>
    </xf>
    <xf numFmtId="171" fontId="12" fillId="86" borderId="37" xfId="1" applyNumberFormat="1" applyFont="1" applyFill="1" applyBorder="1" applyAlignment="1">
      <alignment horizontal="right" vertical="center"/>
    </xf>
    <xf numFmtId="167" fontId="6" fillId="87" borderId="7" xfId="5" applyNumberFormat="1" applyFill="1" applyBorder="1" applyAlignment="1">
      <alignment vertical="center"/>
    </xf>
    <xf numFmtId="0" fontId="8" fillId="85" borderId="0" xfId="1" applyNumberFormat="1" applyFont="1" applyFill="1" applyBorder="1" applyAlignment="1">
      <alignment horizontal="right" vertical="center"/>
    </xf>
    <xf numFmtId="0" fontId="6" fillId="86" borderId="21" xfId="5" applyNumberFormat="1" applyFont="1" applyFill="1" applyBorder="1" applyAlignment="1">
      <alignment horizontal="right" vertical="center"/>
    </xf>
    <xf numFmtId="10" fontId="36" fillId="85" borderId="0" xfId="5" applyNumberFormat="1" applyFont="1" applyFill="1"/>
    <xf numFmtId="2" fontId="6" fillId="85" borderId="0" xfId="0" applyNumberFormat="1" applyFont="1" applyFill="1" applyBorder="1"/>
    <xf numFmtId="43" fontId="8" fillId="85" borderId="0" xfId="0" applyNumberFormat="1" applyFont="1" applyFill="1" applyBorder="1"/>
    <xf numFmtId="43" fontId="27" fillId="89" borderId="23" xfId="2" applyNumberFormat="1" applyFont="1" applyFill="1" applyBorder="1"/>
    <xf numFmtId="173" fontId="6" fillId="89" borderId="21" xfId="2" applyNumberFormat="1" applyFill="1" applyBorder="1" applyProtection="1">
      <protection locked="0"/>
    </xf>
    <xf numFmtId="175" fontId="6" fillId="89" borderId="30" xfId="1" applyNumberFormat="1" applyFill="1" applyBorder="1" applyAlignment="1">
      <alignment vertical="center"/>
    </xf>
    <xf numFmtId="175" fontId="6" fillId="90" borderId="27" xfId="1" applyNumberFormat="1" applyFill="1" applyBorder="1" applyAlignment="1">
      <alignment vertical="center"/>
    </xf>
    <xf numFmtId="175" fontId="6" fillId="89" borderId="27" xfId="1" applyNumberFormat="1" applyFill="1" applyBorder="1" applyAlignment="1">
      <alignment vertical="center"/>
    </xf>
    <xf numFmtId="175" fontId="6" fillId="90" borderId="39" xfId="1" applyNumberFormat="1" applyFill="1" applyBorder="1" applyAlignment="1">
      <alignment vertical="center"/>
    </xf>
    <xf numFmtId="175" fontId="6" fillId="85" borderId="21" xfId="1" applyNumberFormat="1" applyFill="1" applyBorder="1" applyAlignment="1">
      <alignment vertical="center"/>
    </xf>
    <xf numFmtId="175" fontId="6" fillId="85" borderId="39" xfId="1" applyNumberFormat="1" applyFill="1" applyBorder="1" applyAlignment="1">
      <alignment vertical="center"/>
    </xf>
    <xf numFmtId="43" fontId="42" fillId="85" borderId="23" xfId="2" applyNumberFormat="1" applyFont="1" applyFill="1" applyBorder="1"/>
    <xf numFmtId="0" fontId="6" fillId="9" borderId="179" xfId="268" applyFill="1" applyBorder="1" applyAlignment="1" applyProtection="1">
      <alignment vertical="center"/>
    </xf>
    <xf numFmtId="0" fontId="6" fillId="9" borderId="60" xfId="268" applyFill="1" applyBorder="1" applyAlignment="1" applyProtection="1">
      <alignment vertical="center"/>
    </xf>
    <xf numFmtId="0" fontId="6" fillId="9" borderId="138" xfId="268" applyFill="1" applyBorder="1" applyAlignment="1" applyProtection="1">
      <alignment vertical="center"/>
    </xf>
    <xf numFmtId="0" fontId="120" fillId="50" borderId="0" xfId="170" applyFont="1" applyFill="1" applyAlignment="1" applyProtection="1">
      <alignment horizontal="center" vertical="center" wrapText="1"/>
    </xf>
    <xf numFmtId="0" fontId="148" fillId="19" borderId="0" xfId="558" applyFont="1" applyFill="1" applyAlignment="1">
      <alignment horizontal="center"/>
    </xf>
    <xf numFmtId="0" fontId="8" fillId="20" borderId="58" xfId="558" applyFont="1" applyFill="1" applyBorder="1" applyAlignment="1">
      <alignment horizontal="center"/>
    </xf>
    <xf numFmtId="0" fontId="8" fillId="20" borderId="57" xfId="558" applyFont="1" applyFill="1" applyBorder="1" applyAlignment="1">
      <alignment horizontal="center"/>
    </xf>
    <xf numFmtId="0" fontId="121" fillId="50" borderId="58" xfId="558" applyFont="1" applyFill="1" applyBorder="1" applyAlignment="1">
      <alignment horizontal="center"/>
    </xf>
    <xf numFmtId="0" fontId="121" fillId="50" borderId="57" xfId="558" applyFont="1" applyFill="1" applyBorder="1" applyAlignment="1">
      <alignment horizontal="center"/>
    </xf>
    <xf numFmtId="0" fontId="121" fillId="50" borderId="59" xfId="558" applyFont="1" applyFill="1" applyBorder="1" applyAlignment="1">
      <alignment horizontal="center"/>
    </xf>
    <xf numFmtId="0" fontId="6" fillId="69" borderId="58" xfId="170" applyFill="1" applyBorder="1" applyAlignment="1">
      <alignment horizontal="center" vertical="center"/>
    </xf>
    <xf numFmtId="0" fontId="6" fillId="69" borderId="57" xfId="170" applyFill="1" applyBorder="1" applyAlignment="1">
      <alignment horizontal="center" vertical="center"/>
    </xf>
    <xf numFmtId="0" fontId="6" fillId="69" borderId="59" xfId="170" applyFill="1" applyBorder="1" applyAlignment="1">
      <alignment horizontal="center" vertical="center"/>
    </xf>
    <xf numFmtId="0" fontId="62" fillId="70" borderId="104" xfId="170" applyFont="1" applyFill="1" applyBorder="1" applyAlignment="1" applyProtection="1">
      <alignment horizontal="left" vertical="top" wrapText="1"/>
    </xf>
    <xf numFmtId="0" fontId="62" fillId="70" borderId="105" xfId="170" applyFont="1" applyFill="1" applyBorder="1" applyAlignment="1" applyProtection="1">
      <alignment horizontal="left" vertical="top" wrapText="1"/>
    </xf>
    <xf numFmtId="0" fontId="62" fillId="70" borderId="123" xfId="170" applyFont="1" applyFill="1" applyBorder="1" applyAlignment="1" applyProtection="1">
      <alignment horizontal="left" vertical="top" wrapText="1"/>
    </xf>
    <xf numFmtId="0" fontId="8" fillId="58" borderId="160" xfId="170" applyFont="1" applyFill="1" applyBorder="1" applyAlignment="1">
      <alignment horizontal="center" vertical="center"/>
    </xf>
    <xf numFmtId="0" fontId="8" fillId="54" borderId="174" xfId="170" applyFont="1" applyFill="1" applyBorder="1" applyAlignment="1">
      <alignment horizontal="center"/>
    </xf>
    <xf numFmtId="0" fontId="8" fillId="54" borderId="175" xfId="170" applyFont="1" applyFill="1" applyBorder="1" applyAlignment="1">
      <alignment horizontal="center"/>
    </xf>
    <xf numFmtId="0" fontId="8" fillId="54" borderId="176" xfId="170" applyFont="1" applyFill="1" applyBorder="1" applyAlignment="1">
      <alignment horizontal="center"/>
    </xf>
    <xf numFmtId="49" fontId="126" fillId="70" borderId="105" xfId="170" applyNumberFormat="1" applyFont="1" applyFill="1" applyBorder="1" applyAlignment="1" applyProtection="1">
      <alignment horizontal="center" vertical="center"/>
    </xf>
    <xf numFmtId="0" fontId="6" fillId="64" borderId="91" xfId="170" applyFont="1" applyFill="1" applyBorder="1" applyAlignment="1">
      <alignment vertical="center" wrapText="1"/>
    </xf>
    <xf numFmtId="0" fontId="6" fillId="64" borderId="192" xfId="170" applyFont="1" applyFill="1" applyBorder="1" applyAlignment="1">
      <alignment vertical="center" wrapText="1"/>
    </xf>
    <xf numFmtId="0" fontId="8" fillId="54" borderId="193" xfId="170" applyFont="1" applyFill="1" applyBorder="1" applyAlignment="1">
      <alignment horizontal="center"/>
    </xf>
    <xf numFmtId="0" fontId="8" fillId="54" borderId="105" xfId="170" applyFont="1" applyFill="1" applyBorder="1" applyAlignment="1">
      <alignment horizontal="center"/>
    </xf>
    <xf numFmtId="0" fontId="8" fillId="54" borderId="123" xfId="170" applyFont="1" applyFill="1" applyBorder="1" applyAlignment="1">
      <alignment horizontal="center"/>
    </xf>
    <xf numFmtId="0" fontId="6" fillId="0" borderId="228" xfId="166" applyFont="1" applyFill="1" applyBorder="1" applyAlignment="1">
      <alignment horizontal="left" vertical="top" wrapText="1"/>
    </xf>
    <xf numFmtId="0" fontId="6" fillId="0" borderId="0" xfId="166" applyFont="1" applyFill="1" applyBorder="1" applyAlignment="1">
      <alignment horizontal="left" vertical="top" wrapText="1"/>
    </xf>
    <xf numFmtId="0" fontId="6" fillId="0" borderId="160" xfId="166" applyFont="1" applyFill="1" applyBorder="1" applyAlignment="1">
      <alignment horizontal="left" vertical="top" wrapText="1"/>
    </xf>
    <xf numFmtId="0" fontId="6" fillId="7" borderId="0" xfId="268" applyFont="1" applyFill="1" applyBorder="1" applyAlignment="1" applyProtection="1">
      <alignment vertical="center" wrapText="1"/>
    </xf>
    <xf numFmtId="0" fontId="65" fillId="7" borderId="0" xfId="268" applyFont="1" applyFill="1" applyBorder="1" applyAlignment="1" applyProtection="1">
      <alignment vertical="center" wrapText="1"/>
    </xf>
    <xf numFmtId="0" fontId="129" fillId="17" borderId="58" xfId="268" applyFont="1" applyFill="1" applyBorder="1" applyAlignment="1" applyProtection="1">
      <alignment horizontal="center"/>
    </xf>
    <xf numFmtId="0" fontId="129" fillId="17" borderId="57" xfId="268" applyFont="1" applyFill="1" applyBorder="1" applyAlignment="1" applyProtection="1">
      <alignment horizontal="center"/>
    </xf>
    <xf numFmtId="0" fontId="129" fillId="17" borderId="59" xfId="268" applyFont="1" applyFill="1" applyBorder="1" applyAlignment="1" applyProtection="1">
      <alignment horizontal="center"/>
    </xf>
    <xf numFmtId="0" fontId="6" fillId="18" borderId="62" xfId="268" applyFont="1" applyFill="1" applyBorder="1" applyAlignment="1" applyProtection="1">
      <alignment horizontal="left"/>
      <protection locked="0"/>
    </xf>
    <xf numFmtId="0" fontId="6" fillId="18" borderId="1" xfId="268" applyFont="1" applyFill="1" applyBorder="1" applyAlignment="1" applyProtection="1">
      <alignment horizontal="left"/>
      <protection locked="0"/>
    </xf>
    <xf numFmtId="183" fontId="6" fillId="19" borderId="52" xfId="268" applyNumberFormat="1" applyFont="1" applyFill="1" applyBorder="1" applyAlignment="1" applyProtection="1">
      <alignment horizontal="left"/>
    </xf>
    <xf numFmtId="0" fontId="13" fillId="17" borderId="0" xfId="268" applyFont="1" applyFill="1" applyBorder="1" applyAlignment="1" applyProtection="1">
      <alignment horizontal="right" indent="1"/>
    </xf>
    <xf numFmtId="0" fontId="13" fillId="17" borderId="18" xfId="268" applyFont="1" applyFill="1" applyBorder="1" applyAlignment="1" applyProtection="1">
      <alignment horizontal="right" indent="1"/>
    </xf>
    <xf numFmtId="0" fontId="6" fillId="18" borderId="66" xfId="268" applyFont="1" applyFill="1" applyBorder="1" applyAlignment="1" applyProtection="1">
      <alignment horizontal="left"/>
      <protection locked="0"/>
    </xf>
    <xf numFmtId="0" fontId="139" fillId="20" borderId="96" xfId="268" applyFont="1" applyFill="1" applyBorder="1" applyAlignment="1" applyProtection="1">
      <alignment horizontal="left" vertical="top" wrapText="1"/>
    </xf>
    <xf numFmtId="0" fontId="139" fillId="20" borderId="144" xfId="268" applyFont="1" applyFill="1" applyBorder="1" applyAlignment="1" applyProtection="1">
      <alignment horizontal="left" vertical="top" wrapText="1"/>
    </xf>
    <xf numFmtId="0" fontId="139" fillId="20" borderId="145" xfId="268" applyFont="1" applyFill="1" applyBorder="1" applyAlignment="1" applyProtection="1">
      <alignment horizontal="left" vertical="top" wrapText="1"/>
    </xf>
    <xf numFmtId="0" fontId="129" fillId="17" borderId="58" xfId="558" applyFont="1" applyFill="1" applyBorder="1" applyAlignment="1" applyProtection="1">
      <alignment horizontal="center"/>
      <protection locked="0"/>
    </xf>
    <xf numFmtId="0" fontId="129" fillId="17" borderId="57" xfId="558" applyFont="1" applyFill="1" applyBorder="1" applyAlignment="1" applyProtection="1">
      <alignment horizontal="center"/>
      <protection locked="0"/>
    </xf>
    <xf numFmtId="0" fontId="129" fillId="17" borderId="59" xfId="558" applyFont="1" applyFill="1" applyBorder="1" applyAlignment="1" applyProtection="1">
      <alignment horizontal="center"/>
      <protection locked="0"/>
    </xf>
    <xf numFmtId="0" fontId="8" fillId="18" borderId="104" xfId="268" applyFont="1" applyFill="1" applyBorder="1" applyAlignment="1" applyProtection="1">
      <alignment horizontal="left"/>
      <protection locked="0"/>
    </xf>
    <xf numFmtId="0" fontId="8" fillId="18" borderId="123" xfId="268" applyFont="1" applyFill="1" applyBorder="1" applyAlignment="1" applyProtection="1">
      <alignment horizontal="left"/>
      <protection locked="0"/>
    </xf>
    <xf numFmtId="0" fontId="6" fillId="18" borderId="104" xfId="268" applyFont="1" applyFill="1" applyBorder="1" applyAlignment="1" applyProtection="1">
      <alignment horizontal="left" vertical="top" wrapText="1"/>
      <protection locked="0"/>
    </xf>
    <xf numFmtId="0" fontId="6" fillId="18" borderId="105" xfId="268" applyFont="1" applyFill="1" applyBorder="1" applyAlignment="1" applyProtection="1">
      <alignment horizontal="left" vertical="top"/>
      <protection locked="0"/>
    </xf>
    <xf numFmtId="0" fontId="6" fillId="18" borderId="123" xfId="268" applyFont="1" applyFill="1" applyBorder="1" applyAlignment="1" applyProtection="1">
      <alignment horizontal="left" vertical="top"/>
      <protection locked="0"/>
    </xf>
    <xf numFmtId="0" fontId="6" fillId="14" borderId="54" xfId="182" applyFont="1" applyFill="1" applyBorder="1" applyAlignment="1" applyProtection="1">
      <alignment horizontal="left" vertical="top" wrapText="1"/>
      <protection locked="0"/>
    </xf>
    <xf numFmtId="0" fontId="6" fillId="14" borderId="55" xfId="182" applyFont="1" applyFill="1" applyBorder="1" applyAlignment="1" applyProtection="1">
      <alignment horizontal="left" vertical="top"/>
      <protection locked="0"/>
    </xf>
    <xf numFmtId="0" fontId="6" fillId="14" borderId="54" xfId="182" applyFont="1" applyFill="1" applyBorder="1" applyAlignment="1" applyProtection="1">
      <alignment vertical="top" wrapText="1"/>
      <protection locked="0"/>
    </xf>
    <xf numFmtId="0" fontId="6" fillId="14" borderId="55" xfId="182" applyFont="1" applyFill="1" applyBorder="1" applyAlignment="1" applyProtection="1">
      <alignment vertical="top" wrapText="1"/>
      <protection locked="0"/>
    </xf>
    <xf numFmtId="0" fontId="6" fillId="14" borderId="54" xfId="182" applyFont="1" applyFill="1" applyBorder="1" applyAlignment="1" applyProtection="1">
      <alignment horizontal="left"/>
    </xf>
    <xf numFmtId="0" fontId="6" fillId="14" borderId="55" xfId="182" applyFont="1" applyFill="1" applyBorder="1" applyAlignment="1" applyProtection="1">
      <alignment horizontal="left"/>
    </xf>
    <xf numFmtId="0" fontId="17" fillId="85" borderId="0" xfId="0" applyFont="1" applyFill="1" applyBorder="1" applyAlignment="1" applyProtection="1">
      <alignment horizontal="left"/>
    </xf>
    <xf numFmtId="0" fontId="6" fillId="5" borderId="5" xfId="0" applyFont="1" applyFill="1" applyBorder="1" applyAlignment="1" applyProtection="1">
      <alignment horizontal="left" vertical="center"/>
    </xf>
    <xf numFmtId="0" fontId="6" fillId="5" borderId="6" xfId="0" applyFont="1" applyFill="1" applyBorder="1" applyAlignment="1" applyProtection="1">
      <alignment horizontal="left" vertical="center"/>
    </xf>
    <xf numFmtId="0" fontId="6" fillId="14" borderId="53" xfId="182" applyFont="1" applyFill="1" applyBorder="1" applyAlignment="1" applyProtection="1">
      <alignment horizontal="left"/>
      <protection locked="0"/>
    </xf>
    <xf numFmtId="0" fontId="6" fillId="14" borderId="0" xfId="182" applyFont="1" applyFill="1" applyBorder="1" applyAlignment="1" applyProtection="1">
      <alignment horizontal="left"/>
      <protection locked="0"/>
    </xf>
    <xf numFmtId="0" fontId="6" fillId="14" borderId="53" xfId="182" applyFont="1" applyFill="1" applyBorder="1" applyAlignment="1" applyProtection="1">
      <alignment horizontal="left" vertical="center" wrapText="1"/>
      <protection locked="0"/>
    </xf>
    <xf numFmtId="0" fontId="6" fillId="14" borderId="0" xfId="182" applyFont="1" applyFill="1" applyBorder="1" applyAlignment="1" applyProtection="1">
      <alignment horizontal="left" vertical="center" wrapText="1"/>
      <protection locked="0"/>
    </xf>
    <xf numFmtId="0" fontId="6" fillId="9" borderId="0" xfId="182" applyFont="1" applyFill="1" applyBorder="1" applyAlignment="1" applyProtection="1">
      <alignment horizontal="right" indent="1"/>
    </xf>
    <xf numFmtId="0" fontId="6" fillId="14" borderId="54" xfId="182" applyFont="1" applyFill="1" applyBorder="1" applyAlignment="1" applyProtection="1">
      <alignment horizontal="left" vertical="center" wrapText="1"/>
      <protection locked="0"/>
    </xf>
    <xf numFmtId="0" fontId="6" fillId="14" borderId="55" xfId="182" applyFont="1" applyFill="1" applyBorder="1" applyAlignment="1" applyProtection="1">
      <alignment horizontal="left" vertical="center" wrapText="1"/>
      <protection locked="0"/>
    </xf>
    <xf numFmtId="181" fontId="6" fillId="14" borderId="53" xfId="182" applyNumberFormat="1" applyFont="1" applyFill="1" applyBorder="1" applyAlignment="1" applyProtection="1">
      <alignment horizontal="left" vertical="center"/>
      <protection locked="0"/>
    </xf>
    <xf numFmtId="181" fontId="6" fillId="14" borderId="0" xfId="182" applyNumberFormat="1" applyFont="1" applyFill="1" applyBorder="1" applyAlignment="1" applyProtection="1">
      <alignment horizontal="left" vertical="center"/>
      <protection locked="0"/>
    </xf>
    <xf numFmtId="0" fontId="6" fillId="14" borderId="53" xfId="0" applyFont="1" applyFill="1" applyBorder="1" applyAlignment="1" applyProtection="1">
      <alignment horizontal="left" vertical="center"/>
      <protection locked="0"/>
    </xf>
    <xf numFmtId="0" fontId="6" fillId="14" borderId="0" xfId="0" applyFont="1" applyFill="1" applyBorder="1" applyAlignment="1" applyProtection="1">
      <alignment horizontal="left" vertical="center"/>
      <protection locked="0"/>
    </xf>
    <xf numFmtId="0" fontId="6" fillId="14" borderId="54" xfId="182" applyFont="1" applyFill="1" applyBorder="1" applyAlignment="1" applyProtection="1">
      <alignment horizontal="left"/>
      <protection locked="0"/>
    </xf>
    <xf numFmtId="0" fontId="6" fillId="14" borderId="55" xfId="182" applyFont="1" applyFill="1" applyBorder="1" applyAlignment="1" applyProtection="1">
      <alignment horizontal="left"/>
      <protection locked="0"/>
    </xf>
    <xf numFmtId="0" fontId="6" fillId="14" borderId="54" xfId="0" applyFont="1" applyFill="1" applyBorder="1" applyAlignment="1" applyProtection="1">
      <alignment horizontal="left" vertical="center"/>
      <protection locked="0"/>
    </xf>
    <xf numFmtId="0" fontId="6" fillId="14" borderId="55" xfId="0" applyFont="1" applyFill="1" applyBorder="1" applyAlignment="1" applyProtection="1">
      <alignment horizontal="left" vertical="center"/>
      <protection locked="0"/>
    </xf>
    <xf numFmtId="183" fontId="6" fillId="9" borderId="31" xfId="165" applyNumberFormat="1" applyFont="1" applyFill="1" applyBorder="1" applyAlignment="1" applyProtection="1">
      <alignment horizontal="left"/>
    </xf>
    <xf numFmtId="0" fontId="6" fillId="5" borderId="5" xfId="0" applyFont="1" applyFill="1" applyBorder="1" applyAlignment="1">
      <alignment horizontal="left"/>
    </xf>
    <xf numFmtId="0" fontId="6" fillId="5" borderId="6" xfId="0" applyFont="1" applyFill="1" applyBorder="1" applyAlignment="1">
      <alignment horizontal="left"/>
    </xf>
    <xf numFmtId="0" fontId="6" fillId="5" borderId="7" xfId="0" applyFont="1" applyFill="1" applyBorder="1" applyAlignment="1">
      <alignment horizontal="left"/>
    </xf>
    <xf numFmtId="0" fontId="6" fillId="5" borderId="0" xfId="0" applyFont="1" applyFill="1" applyBorder="1" applyAlignment="1">
      <alignment horizontal="left"/>
    </xf>
    <xf numFmtId="0" fontId="6" fillId="4" borderId="0" xfId="0" applyFont="1" applyFill="1" applyBorder="1" applyAlignment="1">
      <alignment horizontal="left" vertical="center"/>
    </xf>
    <xf numFmtId="0" fontId="12" fillId="4" borderId="0" xfId="0" applyFont="1" applyFill="1" applyBorder="1" applyAlignment="1">
      <alignment horizontal="left" vertical="center"/>
    </xf>
    <xf numFmtId="0" fontId="12" fillId="4" borderId="13" xfId="0" applyFont="1" applyFill="1" applyBorder="1" applyAlignment="1">
      <alignment horizontal="left" vertical="center"/>
    </xf>
    <xf numFmtId="0" fontId="8" fillId="6" borderId="1" xfId="0" applyFont="1" applyFill="1" applyBorder="1" applyAlignment="1">
      <alignment horizontal="left" vertical="center"/>
    </xf>
    <xf numFmtId="0" fontId="6" fillId="5" borderId="7" xfId="0" applyFont="1" applyFill="1" applyBorder="1" applyAlignment="1">
      <alignment horizontal="right"/>
    </xf>
    <xf numFmtId="0" fontId="0" fillId="5" borderId="0" xfId="0" applyFill="1" applyBorder="1" applyAlignment="1">
      <alignment horizontal="right"/>
    </xf>
    <xf numFmtId="0" fontId="8" fillId="6" borderId="45" xfId="0" applyFont="1" applyFill="1" applyBorder="1" applyAlignment="1">
      <alignment horizontal="left" vertical="center"/>
    </xf>
    <xf numFmtId="0" fontId="0" fillId="5" borderId="7" xfId="0" applyFill="1" applyBorder="1" applyAlignment="1">
      <alignment horizontal="left"/>
    </xf>
    <xf numFmtId="0" fontId="0" fillId="5" borderId="0" xfId="0" applyFill="1" applyBorder="1" applyAlignment="1">
      <alignment horizontal="left"/>
    </xf>
    <xf numFmtId="0" fontId="8" fillId="0" borderId="31" xfId="0" applyFont="1" applyBorder="1" applyAlignment="1">
      <alignment horizontal="center"/>
    </xf>
    <xf numFmtId="0" fontId="8" fillId="0" borderId="32" xfId="0" applyFont="1" applyBorder="1" applyAlignment="1">
      <alignment horizontal="center"/>
    </xf>
    <xf numFmtId="0" fontId="8" fillId="0" borderId="30" xfId="0" applyFont="1" applyBorder="1" applyAlignment="1">
      <alignment horizontal="center"/>
    </xf>
    <xf numFmtId="0" fontId="12" fillId="4" borderId="27" xfId="0" applyFont="1" applyFill="1" applyBorder="1" applyAlignment="1">
      <alignment horizontal="left" vertical="center"/>
    </xf>
    <xf numFmtId="0" fontId="0" fillId="4" borderId="0" xfId="0" applyFill="1" applyBorder="1"/>
    <xf numFmtId="0" fontId="8" fillId="0" borderId="28" xfId="0" applyFont="1" applyBorder="1" applyAlignment="1">
      <alignment horizontal="center"/>
    </xf>
    <xf numFmtId="0" fontId="12" fillId="5" borderId="5" xfId="0" applyFont="1" applyFill="1" applyBorder="1" applyAlignment="1">
      <alignment horizontal="left" vertical="center"/>
    </xf>
    <xf numFmtId="0" fontId="12" fillId="5" borderId="6" xfId="0" applyFont="1" applyFill="1" applyBorder="1" applyAlignment="1">
      <alignment horizontal="left" vertical="center"/>
    </xf>
    <xf numFmtId="0" fontId="12" fillId="5" borderId="7" xfId="0" applyFont="1" applyFill="1" applyBorder="1" applyAlignment="1">
      <alignment horizontal="left"/>
    </xf>
    <xf numFmtId="0" fontId="8" fillId="4" borderId="19" xfId="0" applyFont="1" applyFill="1" applyBorder="1" applyAlignment="1">
      <alignment horizontal="center" wrapText="1"/>
    </xf>
    <xf numFmtId="0" fontId="8" fillId="4" borderId="16" xfId="0" applyFont="1" applyFill="1" applyBorder="1" applyAlignment="1">
      <alignment horizontal="center" wrapText="1"/>
    </xf>
    <xf numFmtId="0" fontId="0" fillId="5" borderId="6" xfId="0" applyFill="1" applyBorder="1" applyAlignment="1">
      <alignment horizontal="left"/>
    </xf>
    <xf numFmtId="0" fontId="17" fillId="4" borderId="0" xfId="0" applyFont="1" applyFill="1" applyBorder="1" applyAlignment="1">
      <alignment horizontal="left"/>
    </xf>
    <xf numFmtId="0" fontId="6" fillId="4" borderId="30" xfId="0" applyFont="1" applyFill="1" applyBorder="1" applyAlignment="1" applyProtection="1">
      <alignment horizontal="center"/>
      <protection locked="0"/>
    </xf>
    <xf numFmtId="0" fontId="6" fillId="4" borderId="31" xfId="0" applyFont="1" applyFill="1" applyBorder="1" applyAlignment="1" applyProtection="1">
      <alignment horizontal="center"/>
      <protection locked="0"/>
    </xf>
    <xf numFmtId="0" fontId="6" fillId="4" borderId="32" xfId="0" applyFont="1" applyFill="1" applyBorder="1" applyAlignment="1" applyProtection="1">
      <alignment horizontal="center"/>
      <protection locked="0"/>
    </xf>
    <xf numFmtId="0" fontId="60" fillId="9" borderId="52" xfId="0" applyFont="1" applyFill="1" applyBorder="1" applyAlignment="1" applyProtection="1">
      <alignment horizontal="center" vertical="top" wrapText="1"/>
      <protection locked="0"/>
    </xf>
    <xf numFmtId="0" fontId="60" fillId="9" borderId="0" xfId="0" applyFont="1" applyFill="1" applyAlignment="1" applyProtection="1">
      <alignment horizontal="center" vertical="top" wrapText="1"/>
      <protection locked="0"/>
    </xf>
    <xf numFmtId="0" fontId="61" fillId="4" borderId="18" xfId="0" applyFont="1" applyFill="1" applyBorder="1" applyAlignment="1">
      <alignment horizontal="center" vertical="center" textRotation="255"/>
    </xf>
    <xf numFmtId="0" fontId="8" fillId="6" borderId="1" xfId="0" applyFont="1" applyFill="1" applyBorder="1" applyAlignment="1">
      <alignment vertical="center"/>
    </xf>
    <xf numFmtId="0" fontId="8" fillId="0" borderId="30" xfId="0" applyFont="1" applyBorder="1" applyAlignment="1">
      <alignment horizontal="center" wrapText="1"/>
    </xf>
    <xf numFmtId="0" fontId="8" fillId="0" borderId="31" xfId="0" applyFont="1" applyBorder="1" applyAlignment="1">
      <alignment horizontal="center" wrapText="1"/>
    </xf>
    <xf numFmtId="0" fontId="8" fillId="0" borderId="32" xfId="0" applyFont="1" applyBorder="1" applyAlignment="1">
      <alignment horizontal="center" wrapText="1"/>
    </xf>
    <xf numFmtId="0" fontId="8" fillId="0" borderId="41" xfId="0" applyFont="1" applyBorder="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10" fontId="6" fillId="5" borderId="25" xfId="7" applyNumberFormat="1" applyFont="1" applyFill="1" applyBorder="1" applyAlignment="1">
      <alignment horizontal="center"/>
    </xf>
    <xf numFmtId="10" fontId="6" fillId="5" borderId="26" xfId="7" applyNumberFormat="1" applyFont="1" applyFill="1" applyBorder="1" applyAlignment="1">
      <alignment horizontal="center"/>
    </xf>
    <xf numFmtId="0" fontId="12" fillId="5" borderId="5" xfId="0" applyFont="1" applyFill="1" applyBorder="1" applyAlignment="1">
      <alignment horizontal="center" vertical="center"/>
    </xf>
    <xf numFmtId="0" fontId="12" fillId="5" borderId="6" xfId="0" applyFont="1" applyFill="1" applyBorder="1" applyAlignment="1">
      <alignment horizontal="center" vertical="center"/>
    </xf>
  </cellXfs>
  <cellStyles count="597">
    <cellStyle name=" 1" xfId="17"/>
    <cellStyle name=" 1 2" xfId="18"/>
    <cellStyle name=" 1 2 2" xfId="19"/>
    <cellStyle name=" 1 2 3" xfId="278"/>
    <cellStyle name=" 1 3" xfId="20"/>
    <cellStyle name=" 1 3 2" xfId="21"/>
    <cellStyle name=" 1 4" xfId="22"/>
    <cellStyle name=" 1_29(d) - Gas extensions -tariffs" xfId="23"/>
    <cellStyle name="_3GIS model v2.77_Distribution Business_Retail Fin Perform " xfId="24"/>
    <cellStyle name="_3GIS model v2.77_Fleet Overhead Costs 2_Retail Fin Perform " xfId="25"/>
    <cellStyle name="_3GIS model v2.77_Fleet Overhead Costs_Retail Fin Perform " xfId="26"/>
    <cellStyle name="_3GIS model v2.77_Forecast 2_Retail Fin Perform " xfId="27"/>
    <cellStyle name="_3GIS model v2.77_Forecast_Retail Fin Perform " xfId="28"/>
    <cellStyle name="_3GIS model v2.77_Funding &amp; Cashflow_1_Retail Fin Perform " xfId="29"/>
    <cellStyle name="_3GIS model v2.77_Funding &amp; Cashflow_Retail Fin Perform " xfId="30"/>
    <cellStyle name="_3GIS model v2.77_Group P&amp;L_1_Retail Fin Perform " xfId="31"/>
    <cellStyle name="_3GIS model v2.77_Group P&amp;L_Retail Fin Perform " xfId="32"/>
    <cellStyle name="_3GIS model v2.77_Opening  Detailed BS_Retail Fin Perform " xfId="33"/>
    <cellStyle name="_3GIS model v2.77_OUTPUT DB_Retail Fin Perform " xfId="34"/>
    <cellStyle name="_3GIS model v2.77_OUTPUT EB_Retail Fin Perform " xfId="35"/>
    <cellStyle name="_3GIS model v2.77_Report_Retail Fin Perform " xfId="36"/>
    <cellStyle name="_3GIS model v2.77_Retail Fin Perform " xfId="37"/>
    <cellStyle name="_3GIS model v2.77_Sheet2 2_Retail Fin Perform " xfId="38"/>
    <cellStyle name="_3GIS model v2.77_Sheet2_Retail Fin Perform " xfId="39"/>
    <cellStyle name="_Capex" xfId="40"/>
    <cellStyle name="_Capex 2" xfId="41"/>
    <cellStyle name="_Capex_29(d) - Gas extensions -tariffs" xfId="42"/>
    <cellStyle name="_UED AMP 2009-14 Final 250309 Less PU" xfId="43"/>
    <cellStyle name="_UED AMP 2009-14 Final 250309 Less PU_1011 monthly" xfId="44"/>
    <cellStyle name="20% - Accent1 2" xfId="45"/>
    <cellStyle name="20% - Accent1 3" xfId="307"/>
    <cellStyle name="20% - Accent2 2" xfId="46"/>
    <cellStyle name="20% - Accent3 2" xfId="47"/>
    <cellStyle name="20% - Accent4 2" xfId="48"/>
    <cellStyle name="20% - Accent5 2" xfId="49"/>
    <cellStyle name="20% - Accent6 2" xfId="50"/>
    <cellStyle name="40% - Accent1 2" xfId="51"/>
    <cellStyle name="40% - Accent1 3" xfId="308"/>
    <cellStyle name="40% - Accent2 2" xfId="52"/>
    <cellStyle name="40% - Accent3 2" xfId="53"/>
    <cellStyle name="40% - Accent4 2" xfId="54"/>
    <cellStyle name="40% - Accent5 2" xfId="55"/>
    <cellStyle name="40% - Accent6 2" xfId="56"/>
    <cellStyle name="60% - Accent1 2" xfId="57"/>
    <cellStyle name="60% - Accent2 2" xfId="58"/>
    <cellStyle name="60% - Accent3 2" xfId="59"/>
    <cellStyle name="60% - Accent4 2" xfId="60"/>
    <cellStyle name="60% - Accent5 2" xfId="61"/>
    <cellStyle name="60% - Accent6 2" xfId="62"/>
    <cellStyle name="Accent1 - 20%" xfId="63"/>
    <cellStyle name="Accent1 - 40%" xfId="64"/>
    <cellStyle name="Accent1 - 60%" xfId="65"/>
    <cellStyle name="Accent1 2" xfId="66"/>
    <cellStyle name="Accent1 3" xfId="559"/>
    <cellStyle name="Accent1 4" xfId="560"/>
    <cellStyle name="Accent1 5" xfId="561"/>
    <cellStyle name="Accent2 - 20%" xfId="67"/>
    <cellStyle name="Accent2 - 40%" xfId="68"/>
    <cellStyle name="Accent2 - 60%" xfId="69"/>
    <cellStyle name="Accent2 2" xfId="70"/>
    <cellStyle name="Accent2 3" xfId="562"/>
    <cellStyle name="Accent2 4" xfId="563"/>
    <cellStyle name="Accent2 5" xfId="564"/>
    <cellStyle name="Accent3 - 20%" xfId="71"/>
    <cellStyle name="Accent3 - 40%" xfId="72"/>
    <cellStyle name="Accent3 - 60%" xfId="73"/>
    <cellStyle name="Accent3 2" xfId="74"/>
    <cellStyle name="Accent3 3" xfId="565"/>
    <cellStyle name="Accent3 4" xfId="566"/>
    <cellStyle name="Accent3 5" xfId="567"/>
    <cellStyle name="Accent4 - 20%" xfId="75"/>
    <cellStyle name="Accent4 - 40%" xfId="76"/>
    <cellStyle name="Accent4 - 60%" xfId="77"/>
    <cellStyle name="Accent4 2" xfId="78"/>
    <cellStyle name="Accent4 3" xfId="568"/>
    <cellStyle name="Accent4 4" xfId="569"/>
    <cellStyle name="Accent4 5" xfId="570"/>
    <cellStyle name="Accent5 - 20%" xfId="79"/>
    <cellStyle name="Accent5 - 40%" xfId="80"/>
    <cellStyle name="Accent5 - 60%" xfId="81"/>
    <cellStyle name="Accent5 2" xfId="82"/>
    <cellStyle name="Accent5 3" xfId="571"/>
    <cellStyle name="Accent5 4" xfId="572"/>
    <cellStyle name="Accent5 5" xfId="573"/>
    <cellStyle name="Accent6 - 20%" xfId="83"/>
    <cellStyle name="Accent6 - 40%" xfId="84"/>
    <cellStyle name="Accent6 - 60%" xfId="85"/>
    <cellStyle name="Accent6 2" xfId="86"/>
    <cellStyle name="Accent6 3" xfId="574"/>
    <cellStyle name="Accent6 4" xfId="575"/>
    <cellStyle name="Accent6 5" xfId="576"/>
    <cellStyle name="Agara" xfId="87"/>
    <cellStyle name="B79812_.wvu.PrintTitlest" xfId="88"/>
    <cellStyle name="Bad 2" xfId="89"/>
    <cellStyle name="Black" xfId="90"/>
    <cellStyle name="Blockout" xfId="91"/>
    <cellStyle name="Blockout 2" xfId="92"/>
    <cellStyle name="Blockout 3" xfId="309"/>
    <cellStyle name="Blue" xfId="93"/>
    <cellStyle name="Calculation 2" xfId="94"/>
    <cellStyle name="Calculation 2 2" xfId="310"/>
    <cellStyle name="Calculation 2 3" xfId="311"/>
    <cellStyle name="Check Cell 2" xfId="95"/>
    <cellStyle name="Check Cell 2 2 2 2" xfId="285"/>
    <cellStyle name="Comma" xfId="1" builtinId="3"/>
    <cellStyle name="Comma [0]7Z_87C" xfId="96"/>
    <cellStyle name="Comma 0" xfId="97"/>
    <cellStyle name="Comma 1" xfId="98"/>
    <cellStyle name="Comma 1 2" xfId="99"/>
    <cellStyle name="Comma 10" xfId="312"/>
    <cellStyle name="Comma 11" xfId="577"/>
    <cellStyle name="Comma 2" xfId="100"/>
    <cellStyle name="Comma 2 2" xfId="101"/>
    <cellStyle name="Comma 2 2 2" xfId="313"/>
    <cellStyle name="Comma 2 2 3" xfId="314"/>
    <cellStyle name="Comma 2 3" xfId="102"/>
    <cellStyle name="Comma 2 3 2" xfId="103"/>
    <cellStyle name="Comma 2 4" xfId="104"/>
    <cellStyle name="Comma 2 5" xfId="105"/>
    <cellStyle name="Comma 2 6" xfId="315"/>
    <cellStyle name="Comma 3" xfId="106"/>
    <cellStyle name="Comma 3 2" xfId="107"/>
    <cellStyle name="Comma 3 2 2" xfId="316"/>
    <cellStyle name="Comma 3 3" xfId="108"/>
    <cellStyle name="Comma 3 3 2" xfId="317"/>
    <cellStyle name="Comma 3 4" xfId="318"/>
    <cellStyle name="Comma 3 5" xfId="319"/>
    <cellStyle name="Comma 3 6" xfId="320"/>
    <cellStyle name="Comma 4" xfId="109"/>
    <cellStyle name="Comma 4 2" xfId="321"/>
    <cellStyle name="Comma 5" xfId="110"/>
    <cellStyle name="Comma 6" xfId="111"/>
    <cellStyle name="Comma 7" xfId="112"/>
    <cellStyle name="Comma 8" xfId="113"/>
    <cellStyle name="Comma 9" xfId="322"/>
    <cellStyle name="Comma 9 2" xfId="323"/>
    <cellStyle name="Comma 9 3" xfId="324"/>
    <cellStyle name="Comma0" xfId="114"/>
    <cellStyle name="Currency" xfId="2" builtinId="4"/>
    <cellStyle name="Currency 11" xfId="115"/>
    <cellStyle name="Currency 11 2" xfId="116"/>
    <cellStyle name="Currency 2" xfId="117"/>
    <cellStyle name="Currency 2 2" xfId="8"/>
    <cellStyle name="Currency 2 2 2" xfId="269"/>
    <cellStyle name="Currency 2 3" xfId="9"/>
    <cellStyle name="Currency 3" xfId="118"/>
    <cellStyle name="Currency 3 2" xfId="119"/>
    <cellStyle name="Currency 4" xfId="120"/>
    <cellStyle name="Currency 4 2" xfId="121"/>
    <cellStyle name="Currency 5" xfId="325"/>
    <cellStyle name="Currency 6" xfId="326"/>
    <cellStyle name="Currency 6 2" xfId="327"/>
    <cellStyle name="Currency 6 3" xfId="328"/>
    <cellStyle name="Currency 7" xfId="329"/>
    <cellStyle name="D4_B8B1_005004B79812_.wvu.PrintTitlest" xfId="122"/>
    <cellStyle name="Date" xfId="123"/>
    <cellStyle name="Date 2" xfId="124"/>
    <cellStyle name="dms_Blue_HDR" xfId="330"/>
    <cellStyle name="Emphasis 1" xfId="125"/>
    <cellStyle name="Emphasis 2" xfId="126"/>
    <cellStyle name="Emphasis 3" xfId="127"/>
    <cellStyle name="Euro" xfId="128"/>
    <cellStyle name="Explanatory Text 2" xfId="129"/>
    <cellStyle name="Fixed" xfId="130"/>
    <cellStyle name="Fixed 2" xfId="131"/>
    <cellStyle name="Gilsans" xfId="132"/>
    <cellStyle name="Gilsansl" xfId="133"/>
    <cellStyle name="Good 2" xfId="134"/>
    <cellStyle name="Heading 1 2" xfId="135"/>
    <cellStyle name="Heading 1 2 2" xfId="136"/>
    <cellStyle name="Heading 1 3" xfId="137"/>
    <cellStyle name="Heading 2 2" xfId="138"/>
    <cellStyle name="Heading 2 2 2" xfId="139"/>
    <cellStyle name="Heading 2 3" xfId="140"/>
    <cellStyle name="Heading 3 2" xfId="141"/>
    <cellStyle name="Heading 3 2 2" xfId="142"/>
    <cellStyle name="Heading 3 2 2 2" xfId="271"/>
    <cellStyle name="Heading 3 2 2 2 2" xfId="331"/>
    <cellStyle name="Heading 3 2 2 2 2 2" xfId="332"/>
    <cellStyle name="Heading 3 2 2 2 2 3" xfId="333"/>
    <cellStyle name="Heading 3 2 2 2 2 4" xfId="334"/>
    <cellStyle name="Heading 3 2 2 2 3" xfId="335"/>
    <cellStyle name="Heading 3 2 2 2 4" xfId="336"/>
    <cellStyle name="Heading 3 2 2 2 5" xfId="337"/>
    <cellStyle name="Heading 3 2 2 3" xfId="338"/>
    <cellStyle name="Heading 3 2 2 3 2" xfId="339"/>
    <cellStyle name="Heading 3 2 2 3 2 2" xfId="340"/>
    <cellStyle name="Heading 3 2 2 3 2 3" xfId="341"/>
    <cellStyle name="Heading 3 2 2 3 2 4" xfId="342"/>
    <cellStyle name="Heading 3 2 2 3 3" xfId="343"/>
    <cellStyle name="Heading 3 2 2 3 4" xfId="344"/>
    <cellStyle name="Heading 3 2 2 3 5" xfId="345"/>
    <cellStyle name="Heading 3 2 2 4" xfId="346"/>
    <cellStyle name="Heading 3 2 2 4 2" xfId="347"/>
    <cellStyle name="Heading 3 2 2 4 3" xfId="348"/>
    <cellStyle name="Heading 3 2 2 4 4" xfId="349"/>
    <cellStyle name="Heading 3 2 2 5" xfId="350"/>
    <cellStyle name="Heading 3 2 2 5 2" xfId="351"/>
    <cellStyle name="Heading 3 2 2 5 3" xfId="352"/>
    <cellStyle name="Heading 3 2 3" xfId="143"/>
    <cellStyle name="Heading 3 2 4" xfId="270"/>
    <cellStyle name="Heading 3 2 4 2" xfId="353"/>
    <cellStyle name="Heading 3 2 4 2 2" xfId="354"/>
    <cellStyle name="Heading 3 2 4 2 3" xfId="355"/>
    <cellStyle name="Heading 3 2 4 2 4" xfId="356"/>
    <cellStyle name="Heading 3 2 4 3" xfId="357"/>
    <cellStyle name="Heading 3 2 4 4" xfId="358"/>
    <cellStyle name="Heading 3 2 4 5" xfId="359"/>
    <cellStyle name="Heading 3 2 5" xfId="360"/>
    <cellStyle name="Heading 3 2 5 2" xfId="361"/>
    <cellStyle name="Heading 3 2 5 2 2" xfId="362"/>
    <cellStyle name="Heading 3 2 5 2 3" xfId="363"/>
    <cellStyle name="Heading 3 2 5 2 4" xfId="364"/>
    <cellStyle name="Heading 3 2 5 3" xfId="365"/>
    <cellStyle name="Heading 3 2 5 4" xfId="366"/>
    <cellStyle name="Heading 3 2 5 5" xfId="367"/>
    <cellStyle name="Heading 3 2 6" xfId="368"/>
    <cellStyle name="Heading 3 2 6 2" xfId="369"/>
    <cellStyle name="Heading 3 2 6 3" xfId="370"/>
    <cellStyle name="Heading 3 2 6 4" xfId="371"/>
    <cellStyle name="Heading 3 2 7" xfId="372"/>
    <cellStyle name="Heading 3 2 7 2" xfId="373"/>
    <cellStyle name="Heading 3 2 7 3" xfId="374"/>
    <cellStyle name="Heading 3 3" xfId="144"/>
    <cellStyle name="Heading 4 2" xfId="145"/>
    <cellStyle name="Heading 4 2 2" xfId="146"/>
    <cellStyle name="Heading 4 3" xfId="147"/>
    <cellStyle name="Heading(4)" xfId="148"/>
    <cellStyle name="Hyperlink 2" xfId="149"/>
    <cellStyle name="Hyperlink 2 2" xfId="290"/>
    <cellStyle name="Hyperlink 2 3" xfId="375"/>
    <cellStyle name="Hyperlink 3" xfId="376"/>
    <cellStyle name="Hyperlink 4" xfId="377"/>
    <cellStyle name="Hyperlink Arrow" xfId="150"/>
    <cellStyle name="Hyperlink Text" xfId="151"/>
    <cellStyle name="import" xfId="291"/>
    <cellStyle name="import%" xfId="292"/>
    <cellStyle name="import_ICRC Electricity model 1-1  (1 Feb 2003) " xfId="152"/>
    <cellStyle name="Input 2" xfId="153"/>
    <cellStyle name="Input 2 2" xfId="378"/>
    <cellStyle name="Input 2 3" xfId="379"/>
    <cellStyle name="Input1" xfId="3"/>
    <cellStyle name="Input1 2" xfId="154"/>
    <cellStyle name="Input1 2 2" xfId="380"/>
    <cellStyle name="Input1 3" xfId="293"/>
    <cellStyle name="Input1 3 2" xfId="381"/>
    <cellStyle name="Input1 4" xfId="382"/>
    <cellStyle name="Input1 5" xfId="383"/>
    <cellStyle name="Input1%" xfId="294"/>
    <cellStyle name="Input1_ICRC Electricity model 1-1  (1 Feb 2003) " xfId="155"/>
    <cellStyle name="Input1default" xfId="295"/>
    <cellStyle name="Input1default%" xfId="296"/>
    <cellStyle name="Input2" xfId="156"/>
    <cellStyle name="Input2 2" xfId="157"/>
    <cellStyle name="Input2 3" xfId="384"/>
    <cellStyle name="Input3" xfId="4"/>
    <cellStyle name="Input3 2" xfId="158"/>
    <cellStyle name="Input3 3" xfId="385"/>
    <cellStyle name="InputCell" xfId="280"/>
    <cellStyle name="InputCell 2" xfId="386"/>
    <cellStyle name="InputCell 3" xfId="387"/>
    <cellStyle name="InputCellText" xfId="388"/>
    <cellStyle name="InputCellText 2" xfId="389"/>
    <cellStyle name="InputCellText 3" xfId="390"/>
    <cellStyle name="key result" xfId="297"/>
    <cellStyle name="Lines" xfId="159"/>
    <cellStyle name="Linked Cell 2" xfId="160"/>
    <cellStyle name="Local import" xfId="298"/>
    <cellStyle name="Local import %" xfId="299"/>
    <cellStyle name="Mine" xfId="161"/>
    <cellStyle name="Model Name" xfId="162"/>
    <cellStyle name="Neutral 2" xfId="163"/>
    <cellStyle name="NonInputCell" xfId="281"/>
    <cellStyle name="NonInputCell 2" xfId="391"/>
    <cellStyle name="NonInputCell 3" xfId="392"/>
    <cellStyle name="Normal" xfId="0" builtinId="0"/>
    <cellStyle name="Normal - Style1" xfId="164"/>
    <cellStyle name="Normal 10" xfId="268"/>
    <cellStyle name="Normal 10 2" xfId="393"/>
    <cellStyle name="Normal 10 2 2 2" xfId="578"/>
    <cellStyle name="Normal 11" xfId="267"/>
    <cellStyle name="Normal 11 2" xfId="394"/>
    <cellStyle name="Normal 11 3" xfId="395"/>
    <cellStyle name="Normal 11 4" xfId="396"/>
    <cellStyle name="Normal 114" xfId="16"/>
    <cellStyle name="Normal 114 2" xfId="579"/>
    <cellStyle name="Normal 12" xfId="301"/>
    <cellStyle name="Normal 12 2" xfId="397"/>
    <cellStyle name="Normal 13" xfId="165"/>
    <cellStyle name="Normal 13 2" xfId="166"/>
    <cellStyle name="Normal 13_29(d) - Gas extensions -tariffs" xfId="167"/>
    <cellStyle name="Normal 14" xfId="286"/>
    <cellStyle name="Normal 14 2" xfId="304"/>
    <cellStyle name="Normal 14 3" xfId="398"/>
    <cellStyle name="Normal 14 3 2" xfId="399"/>
    <cellStyle name="Normal 14 3 3" xfId="400"/>
    <cellStyle name="Normal 14 4" xfId="401"/>
    <cellStyle name="Normal 14 5" xfId="402"/>
    <cellStyle name="Normal 14 6" xfId="596"/>
    <cellStyle name="Normal 15" xfId="168"/>
    <cellStyle name="Normal 15 2" xfId="403"/>
    <cellStyle name="Normal 16" xfId="169"/>
    <cellStyle name="Normal 16 2" xfId="404"/>
    <cellStyle name="Normal 17" xfId="405"/>
    <cellStyle name="Normal 17 2" xfId="406"/>
    <cellStyle name="Normal 17 2 2" xfId="407"/>
    <cellStyle name="Normal 17 2 2 2" xfId="408"/>
    <cellStyle name="Normal 17 2 2 3" xfId="409"/>
    <cellStyle name="Normal 17 2 3" xfId="410"/>
    <cellStyle name="Normal 17 2 4" xfId="411"/>
    <cellStyle name="Normal 17 3" xfId="412"/>
    <cellStyle name="Normal 17 3 2" xfId="413"/>
    <cellStyle name="Normal 17 3 2 2" xfId="414"/>
    <cellStyle name="Normal 17 3 2 3" xfId="415"/>
    <cellStyle name="Normal 17 3 3" xfId="416"/>
    <cellStyle name="Normal 17 3 4" xfId="417"/>
    <cellStyle name="Normal 17 4" xfId="418"/>
    <cellStyle name="Normal 17 4 2" xfId="419"/>
    <cellStyle name="Normal 17 4 3" xfId="420"/>
    <cellStyle name="Normal 17 5" xfId="421"/>
    <cellStyle name="Normal 17 6" xfId="422"/>
    <cellStyle name="Normal 18" xfId="423"/>
    <cellStyle name="Normal 18 2" xfId="424"/>
    <cellStyle name="Normal 19" xfId="425"/>
    <cellStyle name="Normal 2" xfId="6"/>
    <cellStyle name="Normal 2 2" xfId="12"/>
    <cellStyle name="Normal 2 2 2" xfId="170"/>
    <cellStyle name="Normal 2 2 3" xfId="272"/>
    <cellStyle name="Normal 2 2 4" xfId="426"/>
    <cellStyle name="Normal 2 2 5" xfId="427"/>
    <cellStyle name="Normal 2 3" xfId="171"/>
    <cellStyle name="Normal 2 3 2" xfId="172"/>
    <cellStyle name="Normal 2 3 3" xfId="300"/>
    <cellStyle name="Normal 2 3_29(d) - Gas extensions -tariffs" xfId="173"/>
    <cellStyle name="Normal 2 4" xfId="174"/>
    <cellStyle name="Normal 2 4 2" xfId="428"/>
    <cellStyle name="Normal 2 4 3" xfId="429"/>
    <cellStyle name="Normal 2 5" xfId="175"/>
    <cellStyle name="Normal 2 6" xfId="279"/>
    <cellStyle name="Normal 2_29(d) - Gas extensions -tariffs" xfId="176"/>
    <cellStyle name="Normal 20" xfId="430"/>
    <cellStyle name="Normal 20 2" xfId="431"/>
    <cellStyle name="Normal 20 2 2" xfId="432"/>
    <cellStyle name="Normal 20 3" xfId="433"/>
    <cellStyle name="Normal 20 4" xfId="434"/>
    <cellStyle name="Normal 21" xfId="435"/>
    <cellStyle name="Normal 21 2" xfId="436"/>
    <cellStyle name="Normal 21 3" xfId="437"/>
    <cellStyle name="Normal 22" xfId="438"/>
    <cellStyle name="Normal 23" xfId="439"/>
    <cellStyle name="Normal 23 2" xfId="440"/>
    <cellStyle name="Normal 23 2 2" xfId="441"/>
    <cellStyle name="Normal 23 3" xfId="442"/>
    <cellStyle name="Normal 23 4" xfId="443"/>
    <cellStyle name="Normal 24" xfId="444"/>
    <cellStyle name="Normal 24 2" xfId="445"/>
    <cellStyle name="Normal 24 2 2" xfId="446"/>
    <cellStyle name="Normal 24 3" xfId="447"/>
    <cellStyle name="Normal 24 4" xfId="448"/>
    <cellStyle name="Normal 25" xfId="449"/>
    <cellStyle name="Normal 25 2" xfId="450"/>
    <cellStyle name="Normal 25 2 2" xfId="451"/>
    <cellStyle name="Normal 25 3" xfId="452"/>
    <cellStyle name="Normal 25 4" xfId="453"/>
    <cellStyle name="Normal 26" xfId="454"/>
    <cellStyle name="Normal 26 2" xfId="455"/>
    <cellStyle name="Normal 26 2 2" xfId="456"/>
    <cellStyle name="Normal 26 3" xfId="457"/>
    <cellStyle name="Normal 26 4" xfId="458"/>
    <cellStyle name="Normal 27" xfId="459"/>
    <cellStyle name="Normal 28" xfId="303"/>
    <cellStyle name="Normal 28 2" xfId="595"/>
    <cellStyle name="Normal 29" xfId="460"/>
    <cellStyle name="Normal 3" xfId="10"/>
    <cellStyle name="Normal 3 2" xfId="177"/>
    <cellStyle name="Normal 3 3" xfId="287"/>
    <cellStyle name="Normal 3 3 2" xfId="461"/>
    <cellStyle name="Normal 3 3 3" xfId="462"/>
    <cellStyle name="Normal 3 4" xfId="463"/>
    <cellStyle name="Normal 3 5" xfId="282"/>
    <cellStyle name="Normal 3 5 2" xfId="464"/>
    <cellStyle name="Normal 3 5 3" xfId="465"/>
    <cellStyle name="Normal 3_29(d) - Gas extensions -tariffs" xfId="178"/>
    <cellStyle name="Normal 30" xfId="466"/>
    <cellStyle name="Normal 31" xfId="467"/>
    <cellStyle name="Normal 32" xfId="302"/>
    <cellStyle name="Normal 32 2" xfId="594"/>
    <cellStyle name="Normal 33" xfId="468"/>
    <cellStyle name="Normal 34" xfId="558"/>
    <cellStyle name="Normal 35" xfId="580"/>
    <cellStyle name="Normal 36" xfId="581"/>
    <cellStyle name="Normal 37" xfId="582"/>
    <cellStyle name="Normal 38" xfId="179"/>
    <cellStyle name="Normal 38 2" xfId="180"/>
    <cellStyle name="Normal 38_29(d) - Gas extensions -tariffs" xfId="181"/>
    <cellStyle name="Normal 4" xfId="13"/>
    <cellStyle name="Normal 4 2" xfId="182"/>
    <cellStyle name="Normal 4 2 2" xfId="469"/>
    <cellStyle name="Normal 4 2 2 2" xfId="470"/>
    <cellStyle name="Normal 4 2 2 2 2" xfId="471"/>
    <cellStyle name="Normal 4 2 2 2 3" xfId="472"/>
    <cellStyle name="Normal 4 2 2 3" xfId="473"/>
    <cellStyle name="Normal 4 2 2 4" xfId="474"/>
    <cellStyle name="Normal 4 2 3" xfId="475"/>
    <cellStyle name="Normal 4 2 3 2" xfId="476"/>
    <cellStyle name="Normal 4 2 3 2 2" xfId="477"/>
    <cellStyle name="Normal 4 2 3 2 3" xfId="478"/>
    <cellStyle name="Normal 4 2 3 3" xfId="479"/>
    <cellStyle name="Normal 4 2 3 4" xfId="480"/>
    <cellStyle name="Normal 4 3" xfId="183"/>
    <cellStyle name="Normal 4 3 2" xfId="273"/>
    <cellStyle name="Normal 4 3 2 2" xfId="481"/>
    <cellStyle name="Normal 4 3 2 3" xfId="482"/>
    <cellStyle name="Normal 4 3 3" xfId="483"/>
    <cellStyle name="Normal 4 3 3 2" xfId="484"/>
    <cellStyle name="Normal 4 3 4" xfId="485"/>
    <cellStyle name="Normal 4 4" xfId="288"/>
    <cellStyle name="Normal 4 5" xfId="486"/>
    <cellStyle name="Normal 4 6" xfId="487"/>
    <cellStyle name="Normal 4_29(d) - Gas extensions -tariffs" xfId="184"/>
    <cellStyle name="Normal 40" xfId="185"/>
    <cellStyle name="Normal 40 2" xfId="186"/>
    <cellStyle name="Normal 40_29(d) - Gas extensions -tariffs" xfId="187"/>
    <cellStyle name="Normal 5" xfId="188"/>
    <cellStyle name="Normal 5 2" xfId="189"/>
    <cellStyle name="Normal 5 3" xfId="283"/>
    <cellStyle name="Normal 6" xfId="190"/>
    <cellStyle name="Normal 6 2" xfId="191"/>
    <cellStyle name="Normal 6 2 2" xfId="488"/>
    <cellStyle name="Normal 7" xfId="192"/>
    <cellStyle name="Normal 7 2" xfId="193"/>
    <cellStyle name="Normal 7 2 2" xfId="274"/>
    <cellStyle name="Normal 7 2 2 2" xfId="489"/>
    <cellStyle name="Normal 7 2 2 3" xfId="490"/>
    <cellStyle name="Normal 7 2 3" xfId="491"/>
    <cellStyle name="Normal 7 2 4" xfId="492"/>
    <cellStyle name="Normal 8" xfId="194"/>
    <cellStyle name="Normal 8 2" xfId="289"/>
    <cellStyle name="Normal 8 2 2" xfId="493"/>
    <cellStyle name="Normal 8 2 3" xfId="494"/>
    <cellStyle name="Normal 8 2 3 2" xfId="495"/>
    <cellStyle name="Normal 8 2 3 3" xfId="496"/>
    <cellStyle name="Normal 8 2 4" xfId="497"/>
    <cellStyle name="Normal 9" xfId="195"/>
    <cellStyle name="Normal 9 2" xfId="498"/>
    <cellStyle name="Normal_2010 06 22 - IE - Scheme Template for data collection 2" xfId="306"/>
    <cellStyle name="Normal_2010 07 28 - AA - Template for data collection 2" xfId="305"/>
    <cellStyle name="Note 2" xfId="196"/>
    <cellStyle name="Note 2 2" xfId="499"/>
    <cellStyle name="Note 2 3" xfId="500"/>
    <cellStyle name="Note 3" xfId="501"/>
    <cellStyle name="Note 3 2" xfId="502"/>
    <cellStyle name="Note 3 3" xfId="503"/>
    <cellStyle name="Note 4" xfId="504"/>
    <cellStyle name="Note 4 2" xfId="505"/>
    <cellStyle name="Note 4 3" xfId="506"/>
    <cellStyle name="Output 2" xfId="197"/>
    <cellStyle name="Output 2 2" xfId="507"/>
    <cellStyle name="Output 2 3" xfId="508"/>
    <cellStyle name="Percent" xfId="5" builtinId="5"/>
    <cellStyle name="Percent [2]" xfId="198"/>
    <cellStyle name="Percent [2] 2" xfId="199"/>
    <cellStyle name="Percent [2]_29(d) - Gas extensions -tariffs" xfId="200"/>
    <cellStyle name="Percent 10" xfId="583"/>
    <cellStyle name="Percent 11" xfId="584"/>
    <cellStyle name="Percent 12" xfId="509"/>
    <cellStyle name="Percent 12 2" xfId="510"/>
    <cellStyle name="Percent 12 2 2" xfId="511"/>
    <cellStyle name="Percent 12 3" xfId="512"/>
    <cellStyle name="Percent 12 4" xfId="513"/>
    <cellStyle name="Percent 2" xfId="7"/>
    <cellStyle name="Percent 2 2" xfId="201"/>
    <cellStyle name="Percent 2 2 2" xfId="514"/>
    <cellStyle name="Percent 2 2 2 2" xfId="515"/>
    <cellStyle name="Percent 2 2 2 2 2" xfId="516"/>
    <cellStyle name="Percent 2 2 2 2 3" xfId="517"/>
    <cellStyle name="Percent 2 2 2 3" xfId="518"/>
    <cellStyle name="Percent 2 2 2 4" xfId="519"/>
    <cellStyle name="Percent 2 2 3" xfId="520"/>
    <cellStyle name="Percent 2 2 3 2" xfId="521"/>
    <cellStyle name="Percent 2 2 3 2 2" xfId="522"/>
    <cellStyle name="Percent 2 2 3 2 3" xfId="523"/>
    <cellStyle name="Percent 2 2 3 3" xfId="524"/>
    <cellStyle name="Percent 2 2 3 4" xfId="525"/>
    <cellStyle name="Percent 2 3" xfId="526"/>
    <cellStyle name="Percent 2 3 2" xfId="527"/>
    <cellStyle name="Percent 2 3 2 2" xfId="528"/>
    <cellStyle name="Percent 2 3 2 3" xfId="529"/>
    <cellStyle name="Percent 2 3 3" xfId="530"/>
    <cellStyle name="Percent 2 3 4" xfId="531"/>
    <cellStyle name="Percent 2 4" xfId="532"/>
    <cellStyle name="Percent 2 4 2" xfId="533"/>
    <cellStyle name="Percent 2 4 2 2" xfId="534"/>
    <cellStyle name="Percent 2 4 2 3" xfId="535"/>
    <cellStyle name="Percent 2 4 3" xfId="536"/>
    <cellStyle name="Percent 2 4 4" xfId="537"/>
    <cellStyle name="Percent 3" xfId="202"/>
    <cellStyle name="Percent 3 2" xfId="203"/>
    <cellStyle name="Percent 3 4" xfId="284"/>
    <cellStyle name="Percent 3 4 2" xfId="538"/>
    <cellStyle name="Percent 3 4 3" xfId="539"/>
    <cellStyle name="Percent 4" xfId="204"/>
    <cellStyle name="Percent 5" xfId="540"/>
    <cellStyle name="Percent 5 2" xfId="541"/>
    <cellStyle name="Percent 5 3" xfId="542"/>
    <cellStyle name="Percent 6" xfId="543"/>
    <cellStyle name="Percent 7" xfId="205"/>
    <cellStyle name="Percent 8" xfId="585"/>
    <cellStyle name="Percent 9" xfId="586"/>
    <cellStyle name="Percentage" xfId="206"/>
    <cellStyle name="Period Title" xfId="207"/>
    <cellStyle name="PSChar" xfId="208"/>
    <cellStyle name="PSDate" xfId="209"/>
    <cellStyle name="PSDec" xfId="210"/>
    <cellStyle name="PSDetail" xfId="211"/>
    <cellStyle name="PSHeading" xfId="212"/>
    <cellStyle name="PSHeading 2" xfId="544"/>
    <cellStyle name="PSHeading 2 2" xfId="545"/>
    <cellStyle name="PSHeading 2 2 2" xfId="587"/>
    <cellStyle name="PSHeading 2 3" xfId="588"/>
    <cellStyle name="PSHeading 3" xfId="546"/>
    <cellStyle name="PSHeading 3 2" xfId="547"/>
    <cellStyle name="PSHeading 3 2 2" xfId="548"/>
    <cellStyle name="PSHeading 3 2 2 2" xfId="589"/>
    <cellStyle name="PSHeading 3 2 3" xfId="590"/>
    <cellStyle name="PSHeading 3 3" xfId="591"/>
    <cellStyle name="PSHeading 4" xfId="549"/>
    <cellStyle name="PSHeading 4 2" xfId="592"/>
    <cellStyle name="PSHeading 5" xfId="593"/>
    <cellStyle name="PSInt" xfId="213"/>
    <cellStyle name="PSSpacer" xfId="214"/>
    <cellStyle name="Ratio" xfId="215"/>
    <cellStyle name="Ratio 2" xfId="216"/>
    <cellStyle name="Ratio_29(d) - Gas extensions -tariffs" xfId="217"/>
    <cellStyle name="Right Date" xfId="218"/>
    <cellStyle name="Right Number" xfId="219"/>
    <cellStyle name="Right Year" xfId="220"/>
    <cellStyle name="RIN_Input$_3dp" xfId="550"/>
    <cellStyle name="SAPError" xfId="221"/>
    <cellStyle name="SAPError 2" xfId="222"/>
    <cellStyle name="SAPKey" xfId="223"/>
    <cellStyle name="SAPKey 2" xfId="224"/>
    <cellStyle name="SAPLocked" xfId="225"/>
    <cellStyle name="SAPLocked 2" xfId="226"/>
    <cellStyle name="SAPOutput" xfId="227"/>
    <cellStyle name="SAPOutput 2" xfId="228"/>
    <cellStyle name="SAPSpace" xfId="229"/>
    <cellStyle name="SAPSpace 2" xfId="230"/>
    <cellStyle name="SAPText" xfId="231"/>
    <cellStyle name="SAPText 2" xfId="232"/>
    <cellStyle name="SAPUnLocked" xfId="233"/>
    <cellStyle name="SAPUnLocked 2" xfId="234"/>
    <cellStyle name="Sheet Title" xfId="235"/>
    <cellStyle name="SheetHeader1" xfId="11"/>
    <cellStyle name="Style 1" xfId="236"/>
    <cellStyle name="Style 1 2" xfId="237"/>
    <cellStyle name="Style 1 2 2" xfId="551"/>
    <cellStyle name="Style 1 3" xfId="552"/>
    <cellStyle name="Style 1 3 2" xfId="553"/>
    <cellStyle name="Style 1 3 3" xfId="554"/>
    <cellStyle name="Style 1 4" xfId="555"/>
    <cellStyle name="Style 1_29(d) - Gas extensions -tariffs" xfId="238"/>
    <cellStyle name="Style2" xfId="239"/>
    <cellStyle name="Style3" xfId="240"/>
    <cellStyle name="Style4" xfId="241"/>
    <cellStyle name="Style4 2" xfId="242"/>
    <cellStyle name="Style4_29(d) - Gas extensions -tariffs" xfId="243"/>
    <cellStyle name="Style5" xfId="244"/>
    <cellStyle name="Style5 2" xfId="245"/>
    <cellStyle name="Style5_29(d) - Gas extensions -tariffs" xfId="246"/>
    <cellStyle name="Table Head Green" xfId="247"/>
    <cellStyle name="Table Head Green 2" xfId="275"/>
    <cellStyle name="Table Head_pldt" xfId="248"/>
    <cellStyle name="Table Source" xfId="249"/>
    <cellStyle name="Table Units" xfId="250"/>
    <cellStyle name="TableLvl2" xfId="14"/>
    <cellStyle name="TableLvl3" xfId="15"/>
    <cellStyle name="Text" xfId="251"/>
    <cellStyle name="Text 2" xfId="252"/>
    <cellStyle name="Text 3" xfId="253"/>
    <cellStyle name="Text Head 1" xfId="254"/>
    <cellStyle name="Text Head 2" xfId="255"/>
    <cellStyle name="Text Indent 2" xfId="256"/>
    <cellStyle name="Theirs" xfId="257"/>
    <cellStyle name="Title 2" xfId="258"/>
    <cellStyle name="TOC 1" xfId="259"/>
    <cellStyle name="TOC 2" xfId="260"/>
    <cellStyle name="TOC 3" xfId="261"/>
    <cellStyle name="Total 2" xfId="262"/>
    <cellStyle name="Total 2 2" xfId="556"/>
    <cellStyle name="Total 2 3" xfId="557"/>
    <cellStyle name="Warning Text 2" xfId="263"/>
    <cellStyle name="year" xfId="264"/>
    <cellStyle name="year 2" xfId="265"/>
    <cellStyle name="year 2 2" xfId="277"/>
    <cellStyle name="year 3" xfId="276"/>
    <cellStyle name="year_29(d) - Gas extensions -tariffs" xfId="266"/>
  </cellStyles>
  <dxfs count="31">
    <dxf>
      <font>
        <b/>
        <i val="0"/>
        <color rgb="FFFF0000"/>
      </font>
    </dxf>
    <dxf>
      <font>
        <b/>
        <i val="0"/>
        <color rgb="FFFF0000"/>
      </font>
    </dxf>
    <dxf>
      <font>
        <color theme="0" tint="-0.34998626667073579"/>
      </font>
    </dxf>
    <dxf>
      <font>
        <color theme="0" tint="-0.34998626667073579"/>
      </font>
    </dxf>
    <dxf>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numFmt numFmtId="30" formatCode="@"/>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medium">
          <color auto="1"/>
        </left>
        <right style="thin">
          <color theme="0" tint="-0.24994659260841701"/>
        </right>
        <top style="thin">
          <color theme="0" tint="-0.24994659260841701"/>
        </top>
        <bottom style="thin">
          <color theme="0" tint="-0.24994659260841701"/>
        </bottom>
        <vertical/>
        <horizontal/>
      </border>
    </dxf>
    <dxf>
      <numFmt numFmtId="30" formatCode="@"/>
      <alignment horizontal="general"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medium">
          <color auto="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medium">
          <color indexed="64"/>
        </left>
        <right style="thin">
          <color theme="0" tint="-0.24994659260841701"/>
        </right>
        <top style="thin">
          <color theme="0" tint="-0.24994659260841701"/>
        </top>
        <bottom style="thin">
          <color theme="0" tint="-0.24994659260841701"/>
        </bottom>
        <vertical/>
        <horizontal/>
      </border>
    </dxf>
    <dxf>
      <numFmt numFmtId="1" formatCode="0"/>
      <alignment horizontal="center" vertical="top"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alignment horizontal="center"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center"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auto="1"/>
        <name val="Arial"/>
        <scheme val="none"/>
      </font>
      <numFmt numFmtId="183" formatCode="##\ ###\ ###\ ###\ ##0"/>
      <fill>
        <patternFill patternType="solid">
          <fgColor indexed="64"/>
          <bgColor theme="0"/>
        </patternFill>
      </fill>
      <alignment horizontal="right" vertical="top" textRotation="0" wrapText="0" relativeIndent="1" justifyLastLine="0" shrinkToFit="0" readingOrder="0"/>
      <border diagonalUp="0" diagonalDown="0" outline="0">
        <left style="thin">
          <color theme="0" tint="-0.34998626667073579"/>
        </left>
        <right/>
        <top style="thin">
          <color theme="0" tint="-0.34998626667073579"/>
        </top>
        <bottom style="thin">
          <color theme="0" tint="-0.34998626667073579"/>
        </bottom>
      </border>
      <protection locked="1" hidden="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outline="0">
        <left style="medium">
          <color indexed="64"/>
        </left>
        <right/>
        <top style="thin">
          <color theme="0" tint="-0.34998626667073579"/>
        </top>
        <bottom style="thin">
          <color theme="0" tint="-0.34998626667073579"/>
        </bottom>
      </border>
      <protection locked="1" hidden="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1" hidden="0"/>
    </dxf>
    <dxf>
      <border outline="0">
        <left style="medium">
          <color indexed="64"/>
        </left>
        <top style="medium">
          <color indexed="64"/>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FFCC"/>
      <color rgb="FFFFFFFF"/>
      <color rgb="FF808080"/>
      <color rgb="FFCCFFFF"/>
      <color rgb="FF800026"/>
      <color rgb="FFD34602"/>
      <color rgb="FF006D2C"/>
      <color rgb="FF2171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73092592592593"/>
          <c:y val="5.9849780399485082E-2"/>
          <c:w val="0.80274500000000004"/>
          <c:h val="0.75225167079087352"/>
        </c:manualLayout>
      </c:layout>
      <c:lineChart>
        <c:grouping val="standard"/>
        <c:varyColors val="0"/>
        <c:ser>
          <c:idx val="1"/>
          <c:order val="0"/>
          <c:tx>
            <c:v>Nominal revenue requirement</c:v>
          </c:tx>
          <c:spPr>
            <a:ln w="25400">
              <a:solidFill>
                <a:srgbClr val="006D2C"/>
              </a:solidFill>
              <a:prstDash val="solid"/>
            </a:ln>
          </c:spPr>
          <c:marker>
            <c:symbol val="square"/>
            <c:size val="8"/>
            <c:spPr>
              <a:solidFill>
                <a:srgbClr val="006D2C"/>
              </a:solidFill>
              <a:ln>
                <a:solidFill>
                  <a:srgbClr val="006D2C"/>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summary'!$F$12:$K$12</c:f>
              <c:numCache>
                <c:formatCode>_(* #,##0.00_);_(* \(#,##0.00\);_(* "-"??_);_(@_)</c:formatCode>
                <c:ptCount val="6"/>
                <c:pt idx="0">
                  <c:v>10</c:v>
                </c:pt>
                <c:pt idx="1">
                  <c:v>12.585327029005274</c:v>
                </c:pt>
                <c:pt idx="2">
                  <c:v>13.140161558741951</c:v>
                </c:pt>
                <c:pt idx="3">
                  <c:v>13.864930915668488</c:v>
                </c:pt>
                <c:pt idx="4">
                  <c:v>15.111304055194122</c:v>
                </c:pt>
                <c:pt idx="5">
                  <c:v>15.115268073675859</c:v>
                </c:pt>
              </c:numCache>
            </c:numRef>
          </c:val>
          <c:smooth val="0"/>
          <c:extLst>
            <c:ext xmlns:c16="http://schemas.microsoft.com/office/drawing/2014/chart" uri="{C3380CC4-5D6E-409C-BE32-E72D297353CC}">
              <c16:uniqueId val="{00000000-F09D-4289-B206-BD33A050BE99}"/>
            </c:ext>
          </c:extLst>
        </c:ser>
        <c:ser>
          <c:idx val="0"/>
          <c:order val="1"/>
          <c:tx>
            <c:v>Nominal forecast revenue</c:v>
          </c:tx>
          <c:spPr>
            <a:ln w="25400">
              <a:solidFill>
                <a:srgbClr val="D34602"/>
              </a:solidFill>
              <a:prstDash val="solid"/>
            </a:ln>
          </c:spPr>
          <c:marker>
            <c:symbol val="circle"/>
            <c:size val="8"/>
            <c:spPr>
              <a:solidFill>
                <a:srgbClr val="D34602"/>
              </a:solidFill>
              <a:ln>
                <a:solidFill>
                  <a:srgbClr val="D34602"/>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summary'!$F$56:$K$56</c:f>
              <c:numCache>
                <c:formatCode>_(* #,##0.00_);_(* \(#,##0.00\);_(* "-"??_);_(@_)</c:formatCode>
                <c:ptCount val="6"/>
                <c:pt idx="0">
                  <c:v>329.548</c:v>
                </c:pt>
                <c:pt idx="1">
                  <c:v>355.99520145786204</c:v>
                </c:pt>
                <c:pt idx="2">
                  <c:v>358.67916369407845</c:v>
                </c:pt>
                <c:pt idx="3">
                  <c:v>368.14543207549701</c:v>
                </c:pt>
                <c:pt idx="4">
                  <c:v>377.90599019496472</c:v>
                </c:pt>
                <c:pt idx="5">
                  <c:v>387.970523997437</c:v>
                </c:pt>
              </c:numCache>
            </c:numRef>
          </c:val>
          <c:smooth val="0"/>
          <c:extLst>
            <c:ext xmlns:c16="http://schemas.microsoft.com/office/drawing/2014/chart" uri="{C3380CC4-5D6E-409C-BE32-E72D297353CC}">
              <c16:uniqueId val="{00000001-F09D-4289-B206-BD33A050BE99}"/>
            </c:ext>
          </c:extLst>
        </c:ser>
        <c:ser>
          <c:idx val="2"/>
          <c:order val="2"/>
          <c:tx>
            <c:v>Real revenue requirement</c:v>
          </c:tx>
          <c:spPr>
            <a:ln w="25400">
              <a:solidFill>
                <a:srgbClr val="006D2C"/>
              </a:solidFill>
              <a:prstDash val="lgDash"/>
            </a:ln>
          </c:spPr>
          <c:marker>
            <c:symbol val="triangle"/>
            <c:size val="8"/>
            <c:spPr>
              <a:noFill/>
              <a:ln w="12700">
                <a:solidFill>
                  <a:srgbClr val="006D2C"/>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summary'!$F$35:$K$35</c:f>
              <c:numCache>
                <c:formatCode>_(* #,##0.00_);_(* \(#,##0.00\);_(* "-"??_);_(@_)</c:formatCode>
                <c:ptCount val="6"/>
                <c:pt idx="0">
                  <c:v>10</c:v>
                </c:pt>
                <c:pt idx="1">
                  <c:v>12.275972521464373</c:v>
                </c:pt>
                <c:pt idx="2">
                  <c:v>12.502115589544907</c:v>
                </c:pt>
                <c:pt idx="3">
                  <c:v>12.867433055013581</c:v>
                </c:pt>
                <c:pt idx="4">
                  <c:v>13.679415910002554</c:v>
                </c:pt>
                <c:pt idx="5">
                  <c:v>13.346668273095034</c:v>
                </c:pt>
              </c:numCache>
            </c:numRef>
          </c:val>
          <c:smooth val="0"/>
          <c:extLst>
            <c:ext xmlns:c16="http://schemas.microsoft.com/office/drawing/2014/chart" uri="{C3380CC4-5D6E-409C-BE32-E72D297353CC}">
              <c16:uniqueId val="{00000002-F09D-4289-B206-BD33A050BE99}"/>
            </c:ext>
          </c:extLst>
        </c:ser>
        <c:ser>
          <c:idx val="3"/>
          <c:order val="3"/>
          <c:tx>
            <c:v>Real forecast revenue</c:v>
          </c:tx>
          <c:spPr>
            <a:ln w="25400">
              <a:solidFill>
                <a:srgbClr val="D34602"/>
              </a:solidFill>
              <a:prstDash val="lgDash"/>
            </a:ln>
          </c:spPr>
          <c:marker>
            <c:symbol val="diamond"/>
            <c:size val="8"/>
            <c:spPr>
              <a:noFill/>
              <a:ln w="12700">
                <a:solidFill>
                  <a:srgbClr val="D34602"/>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summary'!$F$81:$K$81</c:f>
              <c:numCache>
                <c:formatCode>_(* #,##0.00_);_(* \(#,##0.00\);_(* "-"??_);_(@_)</c:formatCode>
                <c:ptCount val="6"/>
                <c:pt idx="0">
                  <c:v>329.548</c:v>
                </c:pt>
                <c:pt idx="1">
                  <c:v>347.24463661516006</c:v>
                </c:pt>
                <c:pt idx="2">
                  <c:v>341.26280289768317</c:v>
                </c:pt>
                <c:pt idx="3">
                  <c:v>341.65959647063357</c:v>
                </c:pt>
                <c:pt idx="4">
                  <c:v>342.09709472303126</c:v>
                </c:pt>
                <c:pt idx="5">
                  <c:v>342.57506107686186</c:v>
                </c:pt>
              </c:numCache>
            </c:numRef>
          </c:val>
          <c:smooth val="0"/>
          <c:extLst>
            <c:ext xmlns:c16="http://schemas.microsoft.com/office/drawing/2014/chart" uri="{C3380CC4-5D6E-409C-BE32-E72D297353CC}">
              <c16:uniqueId val="{00000003-F09D-4289-B206-BD33A050BE99}"/>
            </c:ext>
          </c:extLst>
        </c:ser>
        <c:dLbls>
          <c:showLegendKey val="0"/>
          <c:showVal val="0"/>
          <c:showCatName val="0"/>
          <c:showSerName val="0"/>
          <c:showPercent val="0"/>
          <c:showBubbleSize val="0"/>
        </c:dLbls>
        <c:marker val="1"/>
        <c:smooth val="0"/>
        <c:axId val="130902272"/>
        <c:axId val="130920832"/>
      </c:lineChart>
      <c:catAx>
        <c:axId val="130902272"/>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0920832"/>
        <c:crosses val="autoZero"/>
        <c:auto val="0"/>
        <c:lblAlgn val="ctr"/>
        <c:lblOffset val="100"/>
        <c:tickLblSkip val="1"/>
        <c:tickMarkSkip val="1"/>
        <c:noMultiLvlLbl val="0"/>
      </c:catAx>
      <c:valAx>
        <c:axId val="130920832"/>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$million</a:t>
                </a:r>
              </a:p>
            </c:rich>
          </c:tx>
          <c:layout>
            <c:manualLayout>
              <c:xMode val="edge"/>
              <c:yMode val="edge"/>
              <c:x val="3.1088888888888889E-3"/>
              <c:y val="0.40798959530814644"/>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0902272"/>
        <c:crosses val="autoZero"/>
        <c:crossBetween val="midCat"/>
      </c:valAx>
      <c:spPr>
        <a:noFill/>
        <a:ln w="25400">
          <a:noFill/>
        </a:ln>
      </c:spPr>
    </c:plotArea>
    <c:legend>
      <c:legendPos val="b"/>
      <c:layout>
        <c:manualLayout>
          <c:xMode val="edge"/>
          <c:yMode val="edge"/>
          <c:x val="0.1323148148148148"/>
          <c:y val="0.8906758422149913"/>
          <c:w val="0.84752407407407404"/>
          <c:h val="0.10156600111061317"/>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37907407407408"/>
          <c:y val="5.9849780399485082E-2"/>
          <c:w val="0.80509685185185187"/>
          <c:h val="0.75225167079087352"/>
        </c:manualLayout>
      </c:layout>
      <c:lineChart>
        <c:grouping val="standard"/>
        <c:varyColors val="0"/>
        <c:ser>
          <c:idx val="1"/>
          <c:order val="0"/>
          <c:tx>
            <c:v>Nominal revenue requirement</c:v>
          </c:tx>
          <c:spPr>
            <a:ln w="25400">
              <a:solidFill>
                <a:srgbClr val="006D2C"/>
              </a:solidFill>
              <a:prstDash val="solid"/>
            </a:ln>
          </c:spPr>
          <c:marker>
            <c:symbol val="square"/>
            <c:size val="8"/>
            <c:spPr>
              <a:solidFill>
                <a:srgbClr val="006D2C"/>
              </a:solidFill>
              <a:ln>
                <a:solidFill>
                  <a:srgbClr val="006D2C"/>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summary'!$F$12:$K$12</c:f>
              <c:numCache>
                <c:formatCode>_(* #,##0.00_);_(* \(#,##0.00\);_(* "-"??_);_(@_)</c:formatCode>
                <c:ptCount val="6"/>
                <c:pt idx="0">
                  <c:v>10</c:v>
                </c:pt>
                <c:pt idx="1">
                  <c:v>12.585327029005274</c:v>
                </c:pt>
                <c:pt idx="2">
                  <c:v>13.140161558741951</c:v>
                </c:pt>
                <c:pt idx="3">
                  <c:v>13.864930915668488</c:v>
                </c:pt>
                <c:pt idx="4">
                  <c:v>15.111304055194122</c:v>
                </c:pt>
                <c:pt idx="5">
                  <c:v>15.115268073675859</c:v>
                </c:pt>
              </c:numCache>
            </c:numRef>
          </c:val>
          <c:smooth val="0"/>
          <c:extLst>
            <c:ext xmlns:c16="http://schemas.microsoft.com/office/drawing/2014/chart" uri="{C3380CC4-5D6E-409C-BE32-E72D297353CC}">
              <c16:uniqueId val="{00000000-B1BD-4FF2-8B02-DBE8B3467127}"/>
            </c:ext>
          </c:extLst>
        </c:ser>
        <c:ser>
          <c:idx val="0"/>
          <c:order val="1"/>
          <c:tx>
            <c:v>Nominal forecast revenue</c:v>
          </c:tx>
          <c:spPr>
            <a:ln w="25400">
              <a:solidFill>
                <a:srgbClr val="D34602"/>
              </a:solidFill>
              <a:prstDash val="solid"/>
            </a:ln>
          </c:spPr>
          <c:marker>
            <c:symbol val="circle"/>
            <c:size val="8"/>
            <c:spPr>
              <a:solidFill>
                <a:srgbClr val="D34602"/>
              </a:solidFill>
              <a:ln>
                <a:solidFill>
                  <a:srgbClr val="D34602"/>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summary'!$F$63:$K$63</c:f>
              <c:numCache>
                <c:formatCode>_(* #,##0.00_);_(* \(#,##0.00\);_(* "-"??_);_(@_)</c:formatCode>
                <c:ptCount val="6"/>
                <c:pt idx="0">
                  <c:v>10</c:v>
                </c:pt>
                <c:pt idx="1">
                  <c:v>5.3385764178658937</c:v>
                </c:pt>
                <c:pt idx="2">
                  <c:v>4.2106722443123941</c:v>
                </c:pt>
                <c:pt idx="3">
                  <c:v>3.3210652730733563</c:v>
                </c:pt>
                <c:pt idx="4">
                  <c:v>2.619409421598172</c:v>
                </c:pt>
                <c:pt idx="5">
                  <c:v>2.0659954423623028</c:v>
                </c:pt>
              </c:numCache>
            </c:numRef>
          </c:val>
          <c:smooth val="0"/>
          <c:extLst>
            <c:ext xmlns:c16="http://schemas.microsoft.com/office/drawing/2014/chart" uri="{C3380CC4-5D6E-409C-BE32-E72D297353CC}">
              <c16:uniqueId val="{00000001-B1BD-4FF2-8B02-DBE8B3467127}"/>
            </c:ext>
          </c:extLst>
        </c:ser>
        <c:ser>
          <c:idx val="2"/>
          <c:order val="2"/>
          <c:tx>
            <c:v>Real revenue requirement</c:v>
          </c:tx>
          <c:spPr>
            <a:ln w="25400">
              <a:solidFill>
                <a:srgbClr val="006D2C"/>
              </a:solidFill>
              <a:prstDash val="lgDash"/>
            </a:ln>
          </c:spPr>
          <c:marker>
            <c:symbol val="triangle"/>
            <c:size val="8"/>
            <c:spPr>
              <a:noFill/>
              <a:ln w="12700">
                <a:solidFill>
                  <a:srgbClr val="006D2C"/>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summary'!$F$35:$K$35</c:f>
              <c:numCache>
                <c:formatCode>_(* #,##0.00_);_(* \(#,##0.00\);_(* "-"??_);_(@_)</c:formatCode>
                <c:ptCount val="6"/>
                <c:pt idx="0">
                  <c:v>10</c:v>
                </c:pt>
                <c:pt idx="1">
                  <c:v>12.275972521464373</c:v>
                </c:pt>
                <c:pt idx="2">
                  <c:v>12.502115589544907</c:v>
                </c:pt>
                <c:pt idx="3">
                  <c:v>12.867433055013581</c:v>
                </c:pt>
                <c:pt idx="4">
                  <c:v>13.679415910002554</c:v>
                </c:pt>
                <c:pt idx="5">
                  <c:v>13.346668273095034</c:v>
                </c:pt>
              </c:numCache>
            </c:numRef>
          </c:val>
          <c:smooth val="0"/>
          <c:extLst>
            <c:ext xmlns:c16="http://schemas.microsoft.com/office/drawing/2014/chart" uri="{C3380CC4-5D6E-409C-BE32-E72D297353CC}">
              <c16:uniqueId val="{00000002-B1BD-4FF2-8B02-DBE8B3467127}"/>
            </c:ext>
          </c:extLst>
        </c:ser>
        <c:ser>
          <c:idx val="3"/>
          <c:order val="3"/>
          <c:tx>
            <c:v>Real forecast revenue</c:v>
          </c:tx>
          <c:spPr>
            <a:ln w="25400">
              <a:solidFill>
                <a:srgbClr val="D34602"/>
              </a:solidFill>
              <a:prstDash val="lgDash"/>
            </a:ln>
          </c:spPr>
          <c:marker>
            <c:symbol val="diamond"/>
            <c:size val="8"/>
            <c:spPr>
              <a:noFill/>
              <a:ln w="12700">
                <a:solidFill>
                  <a:srgbClr val="D34602"/>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summary'!$F$88:$K$88</c:f>
              <c:numCache>
                <c:formatCode>_(* #,##0.00_);_(* \(#,##0.00\);_(* "-"??_);_(@_)</c:formatCode>
                <c:ptCount val="6"/>
                <c:pt idx="0">
                  <c:v>10</c:v>
                </c:pt>
                <c:pt idx="1">
                  <c:v>5.2073511684216678</c:v>
                </c:pt>
                <c:pt idx="2">
                  <c:v>4.0062149063197694</c:v>
                </c:pt>
                <c:pt idx="3">
                  <c:v>3.0821347277186515</c:v>
                </c:pt>
                <c:pt idx="4">
                  <c:v>2.3712044166237458</c:v>
                </c:pt>
                <c:pt idx="5">
                  <c:v>1.8242584708740908</c:v>
                </c:pt>
              </c:numCache>
            </c:numRef>
          </c:val>
          <c:smooth val="0"/>
          <c:extLst>
            <c:ext xmlns:c16="http://schemas.microsoft.com/office/drawing/2014/chart" uri="{C3380CC4-5D6E-409C-BE32-E72D297353CC}">
              <c16:uniqueId val="{00000003-B1BD-4FF2-8B02-DBE8B3467127}"/>
            </c:ext>
          </c:extLst>
        </c:ser>
        <c:dLbls>
          <c:showLegendKey val="0"/>
          <c:showVal val="0"/>
          <c:showCatName val="0"/>
          <c:showSerName val="0"/>
          <c:showPercent val="0"/>
          <c:showBubbleSize val="0"/>
        </c:dLbls>
        <c:marker val="1"/>
        <c:smooth val="0"/>
        <c:axId val="132210688"/>
        <c:axId val="132212608"/>
      </c:lineChart>
      <c:catAx>
        <c:axId val="132210688"/>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2212608"/>
        <c:crosses val="autoZero"/>
        <c:auto val="0"/>
        <c:lblAlgn val="ctr"/>
        <c:lblOffset val="100"/>
        <c:tickLblSkip val="1"/>
        <c:tickMarkSkip val="1"/>
        <c:noMultiLvlLbl val="0"/>
      </c:catAx>
      <c:valAx>
        <c:axId val="132212608"/>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$million</a:t>
                </a:r>
              </a:p>
            </c:rich>
          </c:tx>
          <c:layout>
            <c:manualLayout>
              <c:xMode val="edge"/>
              <c:yMode val="edge"/>
              <c:x val="3.1088888888888889E-3"/>
              <c:y val="0.40798959530814644"/>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2210688"/>
        <c:crosses val="autoZero"/>
        <c:crossBetween val="midCat"/>
      </c:valAx>
      <c:spPr>
        <a:noFill/>
        <a:ln w="25400">
          <a:noFill/>
        </a:ln>
      </c:spPr>
    </c:plotArea>
    <c:legend>
      <c:legendPos val="b"/>
      <c:layout>
        <c:manualLayout>
          <c:xMode val="edge"/>
          <c:yMode val="edge"/>
          <c:x val="0.1323148148148148"/>
          <c:y val="0.8906758422149913"/>
          <c:w val="0.84752407407407404"/>
          <c:h val="0.10156600111061317"/>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13833333333332"/>
          <c:y val="5.9849780399485082E-2"/>
          <c:w val="0.79333759259259262"/>
          <c:h val="0.75225167079087352"/>
        </c:manualLayout>
      </c:layout>
      <c:lineChart>
        <c:grouping val="standard"/>
        <c:varyColors val="0"/>
        <c:ser>
          <c:idx val="1"/>
          <c:order val="0"/>
          <c:tx>
            <c:v>Nominal revenue requirement</c:v>
          </c:tx>
          <c:spPr>
            <a:ln w="25400">
              <a:solidFill>
                <a:srgbClr val="006D2C"/>
              </a:solidFill>
              <a:prstDash val="solid"/>
            </a:ln>
          </c:spPr>
          <c:marker>
            <c:symbol val="square"/>
            <c:size val="8"/>
            <c:spPr>
              <a:solidFill>
                <a:srgbClr val="006D2C"/>
              </a:solidFill>
              <a:ln>
                <a:solidFill>
                  <a:srgbClr val="006D2C"/>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summary'!$F$12:$K$12</c:f>
              <c:numCache>
                <c:formatCode>_(* #,##0.00_);_(* \(#,##0.00\);_(* "-"??_);_(@_)</c:formatCode>
                <c:ptCount val="6"/>
                <c:pt idx="0">
                  <c:v>10</c:v>
                </c:pt>
                <c:pt idx="1">
                  <c:v>12.585327029005274</c:v>
                </c:pt>
                <c:pt idx="2">
                  <c:v>13.140161558741951</c:v>
                </c:pt>
                <c:pt idx="3">
                  <c:v>13.864930915668488</c:v>
                </c:pt>
                <c:pt idx="4">
                  <c:v>15.111304055194122</c:v>
                </c:pt>
                <c:pt idx="5">
                  <c:v>15.115268073675859</c:v>
                </c:pt>
              </c:numCache>
            </c:numRef>
          </c:val>
          <c:smooth val="0"/>
          <c:extLst>
            <c:ext xmlns:c16="http://schemas.microsoft.com/office/drawing/2014/chart" uri="{C3380CC4-5D6E-409C-BE32-E72D297353CC}">
              <c16:uniqueId val="{00000000-33C2-41D2-9BB6-BB997535E928}"/>
            </c:ext>
          </c:extLst>
        </c:ser>
        <c:ser>
          <c:idx val="0"/>
          <c:order val="1"/>
          <c:tx>
            <c:v>Nominal forecast revenue</c:v>
          </c:tx>
          <c:spPr>
            <a:ln w="25400">
              <a:solidFill>
                <a:srgbClr val="D34602"/>
              </a:solidFill>
              <a:prstDash val="solid"/>
            </a:ln>
          </c:spPr>
          <c:marker>
            <c:symbol val="circle"/>
            <c:size val="8"/>
            <c:spPr>
              <a:solidFill>
                <a:srgbClr val="D34602"/>
              </a:solidFill>
              <a:ln>
                <a:solidFill>
                  <a:srgbClr val="D34602"/>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summary'!$F$70:$K$70</c:f>
              <c:numCache>
                <c:formatCode>_(* #,##0.00_);_(* \(#,##0.00\);_(* "-"??_);_(@_)</c:formatCode>
                <c:ptCount val="6"/>
                <c:pt idx="0">
                  <c:v>10</c:v>
                </c:pt>
                <c:pt idx="1">
                  <c:v>10.802532156075229</c:v>
                </c:pt>
                <c:pt idx="2">
                  <c:v>10.884927092675968</c:v>
                </c:pt>
                <c:pt idx="3">
                  <c:v>11.172165620143712</c:v>
                </c:pt>
                <c:pt idx="4">
                  <c:v>11.467315912642468</c:v>
                </c:pt>
                <c:pt idx="5">
                  <c:v>11.770611544627103</c:v>
                </c:pt>
              </c:numCache>
            </c:numRef>
          </c:val>
          <c:smooth val="0"/>
          <c:extLst>
            <c:ext xmlns:c16="http://schemas.microsoft.com/office/drawing/2014/chart" uri="{C3380CC4-5D6E-409C-BE32-E72D297353CC}">
              <c16:uniqueId val="{00000001-33C2-41D2-9BB6-BB997535E928}"/>
            </c:ext>
          </c:extLst>
        </c:ser>
        <c:ser>
          <c:idx val="2"/>
          <c:order val="2"/>
          <c:tx>
            <c:v>Real revenue requirement</c:v>
          </c:tx>
          <c:spPr>
            <a:ln w="25400">
              <a:solidFill>
                <a:srgbClr val="006D2C"/>
              </a:solidFill>
              <a:prstDash val="lgDash"/>
            </a:ln>
          </c:spPr>
          <c:marker>
            <c:symbol val="triangle"/>
            <c:size val="8"/>
            <c:spPr>
              <a:noFill/>
              <a:ln w="12700">
                <a:solidFill>
                  <a:srgbClr val="006D2C"/>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summary'!$F$35:$K$35</c:f>
              <c:numCache>
                <c:formatCode>_(* #,##0.00_);_(* \(#,##0.00\);_(* "-"??_);_(@_)</c:formatCode>
                <c:ptCount val="6"/>
                <c:pt idx="0">
                  <c:v>10</c:v>
                </c:pt>
                <c:pt idx="1">
                  <c:v>12.275972521464373</c:v>
                </c:pt>
                <c:pt idx="2">
                  <c:v>12.502115589544907</c:v>
                </c:pt>
                <c:pt idx="3">
                  <c:v>12.867433055013581</c:v>
                </c:pt>
                <c:pt idx="4">
                  <c:v>13.679415910002554</c:v>
                </c:pt>
                <c:pt idx="5">
                  <c:v>13.346668273095034</c:v>
                </c:pt>
              </c:numCache>
            </c:numRef>
          </c:val>
          <c:smooth val="0"/>
          <c:extLst>
            <c:ext xmlns:c16="http://schemas.microsoft.com/office/drawing/2014/chart" uri="{C3380CC4-5D6E-409C-BE32-E72D297353CC}">
              <c16:uniqueId val="{00000002-33C2-41D2-9BB6-BB997535E928}"/>
            </c:ext>
          </c:extLst>
        </c:ser>
        <c:ser>
          <c:idx val="3"/>
          <c:order val="3"/>
          <c:tx>
            <c:v>Real forecast revenue</c:v>
          </c:tx>
          <c:spPr>
            <a:ln w="25400">
              <a:solidFill>
                <a:srgbClr val="D34602"/>
              </a:solidFill>
              <a:prstDash val="lgDash"/>
            </a:ln>
          </c:spPr>
          <c:marker>
            <c:symbol val="diamond"/>
            <c:size val="8"/>
            <c:spPr>
              <a:noFill/>
              <a:ln w="12700">
                <a:solidFill>
                  <a:srgbClr val="D34602"/>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summary'!$F$95:$K$95</c:f>
              <c:numCache>
                <c:formatCode>_(* #,##0.00_);_(* \(#,##0.00\);_(* "-"??_);_(@_)</c:formatCode>
                <c:ptCount val="6"/>
                <c:pt idx="0">
                  <c:v>10</c:v>
                </c:pt>
                <c:pt idx="1">
                  <c:v>10.536999762071039</c:v>
                </c:pt>
                <c:pt idx="2">
                  <c:v>10.356388396599955</c:v>
                </c:pt>
                <c:pt idx="3">
                  <c:v>10.368395924300382</c:v>
                </c:pt>
                <c:pt idx="4">
                  <c:v>10.380717849860755</c:v>
                </c:pt>
                <c:pt idx="5">
                  <c:v>10.393361658679213</c:v>
                </c:pt>
              </c:numCache>
            </c:numRef>
          </c:val>
          <c:smooth val="0"/>
          <c:extLst>
            <c:ext xmlns:c16="http://schemas.microsoft.com/office/drawing/2014/chart" uri="{C3380CC4-5D6E-409C-BE32-E72D297353CC}">
              <c16:uniqueId val="{00000003-33C2-41D2-9BB6-BB997535E928}"/>
            </c:ext>
          </c:extLst>
        </c:ser>
        <c:dLbls>
          <c:showLegendKey val="0"/>
          <c:showVal val="0"/>
          <c:showCatName val="0"/>
          <c:showSerName val="0"/>
          <c:showPercent val="0"/>
          <c:showBubbleSize val="0"/>
        </c:dLbls>
        <c:marker val="1"/>
        <c:smooth val="0"/>
        <c:axId val="132142976"/>
        <c:axId val="132144512"/>
      </c:lineChart>
      <c:catAx>
        <c:axId val="132142976"/>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2144512"/>
        <c:crosses val="autoZero"/>
        <c:auto val="0"/>
        <c:lblAlgn val="ctr"/>
        <c:lblOffset val="100"/>
        <c:tickLblSkip val="1"/>
        <c:tickMarkSkip val="1"/>
        <c:noMultiLvlLbl val="0"/>
      </c:catAx>
      <c:valAx>
        <c:axId val="132144512"/>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$million</a:t>
                </a:r>
              </a:p>
            </c:rich>
          </c:tx>
          <c:layout>
            <c:manualLayout>
              <c:xMode val="edge"/>
              <c:yMode val="edge"/>
              <c:x val="3.1088888888888889E-3"/>
              <c:y val="0.40798959530814644"/>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2142976"/>
        <c:crosses val="autoZero"/>
        <c:crossBetween val="midCat"/>
      </c:valAx>
      <c:spPr>
        <a:noFill/>
        <a:ln w="25400">
          <a:noFill/>
        </a:ln>
      </c:spPr>
    </c:plotArea>
    <c:legend>
      <c:legendPos val="b"/>
      <c:layout>
        <c:manualLayout>
          <c:xMode val="edge"/>
          <c:yMode val="edge"/>
          <c:x val="0.1323148148148148"/>
          <c:y val="0.8906758422149913"/>
          <c:w val="0.84752407407407404"/>
          <c:h val="0.10156600111061317"/>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38074074074073"/>
          <c:y val="6.7207660709698122E-2"/>
          <c:w val="0.80009518518518519"/>
          <c:h val="0.79298597200496013"/>
        </c:manualLayout>
      </c:layout>
      <c:lineChart>
        <c:grouping val="standard"/>
        <c:varyColors val="0"/>
        <c:ser>
          <c:idx val="2"/>
          <c:order val="0"/>
          <c:tx>
            <c:v>Nominal price path</c:v>
          </c:tx>
          <c:spPr>
            <a:ln w="25400">
              <a:solidFill>
                <a:srgbClr val="800026"/>
              </a:solidFill>
              <a:prstDash val="solid"/>
            </a:ln>
          </c:spPr>
          <c:marker>
            <c:symbol val="square"/>
            <c:size val="8"/>
            <c:spPr>
              <a:solidFill>
                <a:srgbClr val="800026"/>
              </a:solidFill>
              <a:ln>
                <a:solidFill>
                  <a:srgbClr val="800026"/>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summary'!$F$59:$K$59</c:f>
              <c:numCache>
                <c:formatCode>_(* #,##0.00_);_(* \(#,##0.00\);_(* "-"??_);_(@_)</c:formatCode>
                <c:ptCount val="6"/>
                <c:pt idx="0">
                  <c:v>307.41417910447763</c:v>
                </c:pt>
                <c:pt idx="1">
                  <c:v>327.97473295457837</c:v>
                </c:pt>
                <c:pt idx="2">
                  <c:v>326.31824515055121</c:v>
                </c:pt>
                <c:pt idx="3">
                  <c:v>330.70594962178347</c:v>
                </c:pt>
                <c:pt idx="4">
                  <c:v>335.15265156193749</c:v>
                </c:pt>
                <c:pt idx="5">
                  <c:v>339.65914425628625</c:v>
                </c:pt>
              </c:numCache>
            </c:numRef>
          </c:val>
          <c:smooth val="0"/>
          <c:extLst>
            <c:ext xmlns:c16="http://schemas.microsoft.com/office/drawing/2014/chart" uri="{C3380CC4-5D6E-409C-BE32-E72D297353CC}">
              <c16:uniqueId val="{00000000-FC90-472A-A4E2-CB97D7322A49}"/>
            </c:ext>
          </c:extLst>
        </c:ser>
        <c:ser>
          <c:idx val="0"/>
          <c:order val="1"/>
          <c:tx>
            <c:v>Real price path</c:v>
          </c:tx>
          <c:spPr>
            <a:ln w="25400">
              <a:solidFill>
                <a:srgbClr val="2171B5"/>
              </a:solidFill>
              <a:prstDash val="solid"/>
            </a:ln>
          </c:spPr>
          <c:marker>
            <c:symbol val="diamond"/>
            <c:size val="8"/>
            <c:spPr>
              <a:solidFill>
                <a:srgbClr val="2171B5"/>
              </a:solidFill>
              <a:ln>
                <a:solidFill>
                  <a:srgbClr val="2171B5"/>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summary'!$F$84:$K$84</c:f>
              <c:numCache>
                <c:formatCode>_(* #,##0.00_);_(* \(#,##0.00\);_(* "-"??_);_(@_)</c:formatCode>
                <c:ptCount val="6"/>
                <c:pt idx="0">
                  <c:v>307.41417910447763</c:v>
                </c:pt>
                <c:pt idx="1">
                  <c:v>319.91292718940537</c:v>
                </c:pt>
                <c:pt idx="2">
                  <c:v>310.47323136871944</c:v>
                </c:pt>
                <c:pt idx="3">
                  <c:v>306.9136581736675</c:v>
                </c:pt>
                <c:pt idx="4">
                  <c:v>303.39489545775103</c:v>
                </c:pt>
                <c:pt idx="5">
                  <c:v>299.91647532914277</c:v>
                </c:pt>
              </c:numCache>
            </c:numRef>
          </c:val>
          <c:smooth val="0"/>
          <c:extLst>
            <c:ext xmlns:c16="http://schemas.microsoft.com/office/drawing/2014/chart" uri="{C3380CC4-5D6E-409C-BE32-E72D297353CC}">
              <c16:uniqueId val="{00000001-FC90-472A-A4E2-CB97D7322A49}"/>
            </c:ext>
          </c:extLst>
        </c:ser>
        <c:dLbls>
          <c:showLegendKey val="0"/>
          <c:showVal val="0"/>
          <c:showCatName val="0"/>
          <c:showSerName val="0"/>
          <c:showPercent val="0"/>
          <c:showBubbleSize val="0"/>
        </c:dLbls>
        <c:marker val="1"/>
        <c:smooth val="0"/>
        <c:axId val="131323008"/>
        <c:axId val="131324928"/>
      </c:lineChart>
      <c:catAx>
        <c:axId val="131323008"/>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1324928"/>
        <c:crosses val="autoZero"/>
        <c:auto val="0"/>
        <c:lblAlgn val="ctr"/>
        <c:lblOffset val="100"/>
        <c:tickLblSkip val="1"/>
        <c:tickMarkSkip val="1"/>
        <c:noMultiLvlLbl val="0"/>
      </c:catAx>
      <c:valAx>
        <c:axId val="131324928"/>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Indicative</a:t>
                </a:r>
                <a:endParaRPr lang="en-AU" sz="900" baseline="0">
                  <a:latin typeface="+mn-lt"/>
                </a:endParaRPr>
              </a:p>
              <a:p>
                <a:pPr>
                  <a:defRPr sz="900" b="1" i="0" u="none" strike="noStrike" baseline="0">
                    <a:solidFill>
                      <a:srgbClr val="000000"/>
                    </a:solidFill>
                    <a:latin typeface="+mn-lt"/>
                    <a:ea typeface="Arial"/>
                    <a:cs typeface="Arial"/>
                  </a:defRPr>
                </a:pPr>
                <a:r>
                  <a:rPr lang="en-AU" sz="900" baseline="0">
                    <a:latin typeface="+mn-lt"/>
                  </a:rPr>
                  <a:t>price</a:t>
                </a:r>
              </a:p>
              <a:p>
                <a:pPr>
                  <a:defRPr sz="900" b="1" i="0" u="none" strike="noStrike" baseline="0">
                    <a:solidFill>
                      <a:srgbClr val="000000"/>
                    </a:solidFill>
                    <a:latin typeface="+mn-lt"/>
                    <a:ea typeface="Arial"/>
                    <a:cs typeface="Arial"/>
                  </a:defRPr>
                </a:pPr>
                <a:r>
                  <a:rPr lang="en-AU" sz="900">
                    <a:latin typeface="+mn-lt"/>
                  </a:rPr>
                  <a:t>($/MWh)</a:t>
                </a:r>
              </a:p>
            </c:rich>
          </c:tx>
          <c:layout>
            <c:manualLayout>
              <c:xMode val="edge"/>
              <c:yMode val="edge"/>
              <c:x val="4.7759259259259293E-4"/>
              <c:y val="0.41584711493715881"/>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1323008"/>
        <c:crosses val="autoZero"/>
        <c:crossBetween val="midCat"/>
      </c:valAx>
      <c:spPr>
        <a:noFill/>
        <a:ln w="25400">
          <a:noFill/>
        </a:ln>
      </c:spPr>
    </c:plotArea>
    <c:legend>
      <c:legendPos val="b"/>
      <c:layout>
        <c:manualLayout>
          <c:xMode val="edge"/>
          <c:yMode val="edge"/>
          <c:x val="0.15267055555555556"/>
          <c:y val="0.93468758599693358"/>
          <c:w val="0.81930685185185181"/>
          <c:h val="6.5312414003066407E-2"/>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73259259259259"/>
          <c:y val="6.7207660709698122E-2"/>
          <c:w val="0.79774333333333336"/>
          <c:h val="0.79298597200496013"/>
        </c:manualLayout>
      </c:layout>
      <c:lineChart>
        <c:grouping val="standard"/>
        <c:varyColors val="0"/>
        <c:ser>
          <c:idx val="2"/>
          <c:order val="0"/>
          <c:tx>
            <c:v>Nominal price path</c:v>
          </c:tx>
          <c:spPr>
            <a:ln w="25400">
              <a:solidFill>
                <a:srgbClr val="800026"/>
              </a:solidFill>
              <a:prstDash val="solid"/>
            </a:ln>
          </c:spPr>
          <c:marker>
            <c:symbol val="square"/>
            <c:size val="8"/>
            <c:spPr>
              <a:solidFill>
                <a:srgbClr val="800026"/>
              </a:solidFill>
              <a:ln>
                <a:solidFill>
                  <a:srgbClr val="800026"/>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summary'!$F$66:$K$66</c:f>
              <c:numCache>
                <c:formatCode>_(* #,##0.00_);_(* \(#,##0.00\);_(* "-"??_);_(@_)</c:formatCode>
                <c:ptCount val="6"/>
                <c:pt idx="0">
                  <c:v>9.3283582089552244</c:v>
                </c:pt>
                <c:pt idx="1">
                  <c:v>4.9937014110181579</c:v>
                </c:pt>
                <c:pt idx="2">
                  <c:v>3.9493751248730864</c:v>
                </c:pt>
                <c:pt idx="3">
                  <c:v>3.1233589152732932</c:v>
                </c:pt>
                <c:pt idx="4">
                  <c:v>2.4700334180118766</c:v>
                </c:pt>
                <c:pt idx="5">
                  <c:v>1.9533088886310852</c:v>
                </c:pt>
              </c:numCache>
            </c:numRef>
          </c:val>
          <c:smooth val="0"/>
          <c:extLst>
            <c:ext xmlns:c16="http://schemas.microsoft.com/office/drawing/2014/chart" uri="{C3380CC4-5D6E-409C-BE32-E72D297353CC}">
              <c16:uniqueId val="{00000000-9364-46DF-8189-EAB4520563D0}"/>
            </c:ext>
          </c:extLst>
        </c:ser>
        <c:ser>
          <c:idx val="0"/>
          <c:order val="1"/>
          <c:tx>
            <c:v>Real price path</c:v>
          </c:tx>
          <c:spPr>
            <a:ln w="25400">
              <a:solidFill>
                <a:srgbClr val="2171B5"/>
              </a:solidFill>
              <a:prstDash val="solid"/>
            </a:ln>
          </c:spPr>
          <c:marker>
            <c:symbol val="diamond"/>
            <c:size val="8"/>
            <c:spPr>
              <a:solidFill>
                <a:srgbClr val="2171B5"/>
              </a:solidFill>
              <a:ln>
                <a:solidFill>
                  <a:srgbClr val="2171B5"/>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summary'!$F$91:$K$91</c:f>
              <c:numCache>
                <c:formatCode>_(* #,##0.00_);_(* \(#,##0.00\);_(* "-"??_);_(@_)</c:formatCode>
                <c:ptCount val="6"/>
                <c:pt idx="0">
                  <c:v>9.3283582089552244</c:v>
                </c:pt>
                <c:pt idx="1">
                  <c:v>4.870953385698555</c:v>
                </c:pt>
                <c:pt idx="2">
                  <c:v>3.7576055740949297</c:v>
                </c:pt>
                <c:pt idx="3">
                  <c:v>2.8986521457269894</c:v>
                </c:pt>
                <c:pt idx="4">
                  <c:v>2.2359826996516352</c:v>
                </c:pt>
                <c:pt idx="5">
                  <c:v>1.7247570896112503</c:v>
                </c:pt>
              </c:numCache>
            </c:numRef>
          </c:val>
          <c:smooth val="0"/>
          <c:extLst>
            <c:ext xmlns:c16="http://schemas.microsoft.com/office/drawing/2014/chart" uri="{C3380CC4-5D6E-409C-BE32-E72D297353CC}">
              <c16:uniqueId val="{00000001-9364-46DF-8189-EAB4520563D0}"/>
            </c:ext>
          </c:extLst>
        </c:ser>
        <c:dLbls>
          <c:showLegendKey val="0"/>
          <c:showVal val="0"/>
          <c:showCatName val="0"/>
          <c:showSerName val="0"/>
          <c:showPercent val="0"/>
          <c:showBubbleSize val="0"/>
        </c:dLbls>
        <c:marker val="1"/>
        <c:smooth val="0"/>
        <c:axId val="131228416"/>
        <c:axId val="131230336"/>
      </c:lineChart>
      <c:catAx>
        <c:axId val="131228416"/>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1230336"/>
        <c:crosses val="autoZero"/>
        <c:auto val="0"/>
        <c:lblAlgn val="ctr"/>
        <c:lblOffset val="100"/>
        <c:tickLblSkip val="1"/>
        <c:tickMarkSkip val="1"/>
        <c:noMultiLvlLbl val="0"/>
      </c:catAx>
      <c:valAx>
        <c:axId val="131230336"/>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Indicative</a:t>
                </a:r>
                <a:endParaRPr lang="en-AU" sz="900" baseline="0">
                  <a:latin typeface="+mn-lt"/>
                </a:endParaRPr>
              </a:p>
              <a:p>
                <a:pPr>
                  <a:defRPr sz="900" b="1" i="0" u="none" strike="noStrike" baseline="0">
                    <a:solidFill>
                      <a:srgbClr val="000000"/>
                    </a:solidFill>
                    <a:latin typeface="+mn-lt"/>
                    <a:ea typeface="Arial"/>
                    <a:cs typeface="Arial"/>
                  </a:defRPr>
                </a:pPr>
                <a:r>
                  <a:rPr lang="en-AU" sz="900" baseline="0">
                    <a:latin typeface="+mn-lt"/>
                  </a:rPr>
                  <a:t>price</a:t>
                </a:r>
              </a:p>
              <a:p>
                <a:pPr>
                  <a:defRPr sz="900" b="1" i="0" u="none" strike="noStrike" baseline="0">
                    <a:solidFill>
                      <a:srgbClr val="000000"/>
                    </a:solidFill>
                    <a:latin typeface="+mn-lt"/>
                    <a:ea typeface="Arial"/>
                    <a:cs typeface="Arial"/>
                  </a:defRPr>
                </a:pPr>
                <a:r>
                  <a:rPr lang="en-AU" sz="900">
                    <a:latin typeface="+mn-lt"/>
                  </a:rPr>
                  <a:t>($/MWh)</a:t>
                </a:r>
              </a:p>
            </c:rich>
          </c:tx>
          <c:layout>
            <c:manualLayout>
              <c:xMode val="edge"/>
              <c:yMode val="edge"/>
              <c:x val="4.7759259259259293E-4"/>
              <c:y val="0.41584711493715881"/>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1228416"/>
        <c:crosses val="autoZero"/>
        <c:crossBetween val="midCat"/>
      </c:valAx>
      <c:spPr>
        <a:noFill/>
        <a:ln w="25400">
          <a:noFill/>
        </a:ln>
      </c:spPr>
    </c:plotArea>
    <c:legend>
      <c:legendPos val="b"/>
      <c:layout>
        <c:manualLayout>
          <c:xMode val="edge"/>
          <c:yMode val="edge"/>
          <c:x val="0.15267055555555556"/>
          <c:y val="0.93468758599693358"/>
          <c:w val="0.81930685185185181"/>
          <c:h val="6.5312414003066407E-2"/>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73259259259261"/>
          <c:y val="6.7207660709698122E-2"/>
          <c:w val="0.79774333333333336"/>
          <c:h val="0.79298597200496013"/>
        </c:manualLayout>
      </c:layout>
      <c:lineChart>
        <c:grouping val="standard"/>
        <c:varyColors val="0"/>
        <c:ser>
          <c:idx val="2"/>
          <c:order val="0"/>
          <c:tx>
            <c:v>Nominal price path</c:v>
          </c:tx>
          <c:spPr>
            <a:ln w="25400">
              <a:solidFill>
                <a:srgbClr val="800026"/>
              </a:solidFill>
              <a:prstDash val="solid"/>
            </a:ln>
          </c:spPr>
          <c:marker>
            <c:symbol val="square"/>
            <c:size val="8"/>
            <c:spPr>
              <a:solidFill>
                <a:srgbClr val="800026"/>
              </a:solidFill>
              <a:ln>
                <a:solidFill>
                  <a:srgbClr val="800026"/>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summary'!$F$73:$K$73</c:f>
              <c:numCache>
                <c:formatCode>_(* #,##0.00_);_(* \(#,##0.00\);_(* "-"??_);_(@_)</c:formatCode>
                <c:ptCount val="6"/>
                <c:pt idx="0">
                  <c:v>9.3283582089552244</c:v>
                </c:pt>
                <c:pt idx="1">
                  <c:v>10.104682568527579</c:v>
                </c:pt>
                <c:pt idx="2">
                  <c:v>10.209452980801091</c:v>
                </c:pt>
                <c:pt idx="3">
                  <c:v>10.507075357869633</c:v>
                </c:pt>
                <c:pt idx="4">
                  <c:v>10.813373917638511</c:v>
                </c:pt>
                <c:pt idx="5">
                  <c:v>11.128601585129665</c:v>
                </c:pt>
              </c:numCache>
            </c:numRef>
          </c:val>
          <c:smooth val="0"/>
          <c:extLst>
            <c:ext xmlns:c16="http://schemas.microsoft.com/office/drawing/2014/chart" uri="{C3380CC4-5D6E-409C-BE32-E72D297353CC}">
              <c16:uniqueId val="{00000000-704A-49C9-BB53-01D6B5EC0902}"/>
            </c:ext>
          </c:extLst>
        </c:ser>
        <c:ser>
          <c:idx val="0"/>
          <c:order val="1"/>
          <c:tx>
            <c:v>Real price path</c:v>
          </c:tx>
          <c:spPr>
            <a:ln w="25400">
              <a:solidFill>
                <a:srgbClr val="2171B5"/>
              </a:solidFill>
              <a:prstDash val="solid"/>
            </a:ln>
          </c:spPr>
          <c:marker>
            <c:symbol val="diamond"/>
            <c:size val="8"/>
            <c:spPr>
              <a:solidFill>
                <a:srgbClr val="2171B5"/>
              </a:solidFill>
              <a:ln>
                <a:solidFill>
                  <a:srgbClr val="2171B5"/>
                </a:solidFill>
                <a:prstDash val="solid"/>
              </a:ln>
            </c:spPr>
          </c:marker>
          <c:cat>
            <c:strRef>
              <c:f>'Revenue summary'!$F$4:$K$4</c:f>
              <c:strCache>
                <c:ptCount val="6"/>
                <c:pt idx="0">
                  <c:v>2009-10</c:v>
                </c:pt>
                <c:pt idx="1">
                  <c:v>2010-11</c:v>
                </c:pt>
                <c:pt idx="2">
                  <c:v>2011-12</c:v>
                </c:pt>
                <c:pt idx="3">
                  <c:v>2012-13</c:v>
                </c:pt>
                <c:pt idx="4">
                  <c:v>2013-14</c:v>
                </c:pt>
                <c:pt idx="5">
                  <c:v>2014-15</c:v>
                </c:pt>
              </c:strCache>
            </c:strRef>
          </c:cat>
          <c:val>
            <c:numRef>
              <c:f>'Revenue summary'!$F$98:$K$98</c:f>
              <c:numCache>
                <c:formatCode>_(* #,##0.00_);_(* \(#,##0.00\);_(* "-"??_);_(@_)</c:formatCode>
                <c:ptCount val="6"/>
                <c:pt idx="0">
                  <c:v>9.3283582089552244</c:v>
                </c:pt>
                <c:pt idx="1">
                  <c:v>9.8563037149118031</c:v>
                </c:pt>
                <c:pt idx="2">
                  <c:v>9.7137132371924473</c:v>
                </c:pt>
                <c:pt idx="3">
                  <c:v>9.7511548808789605</c:v>
                </c:pt>
                <c:pt idx="4">
                  <c:v>9.7887408439053267</c:v>
                </c:pt>
                <c:pt idx="5">
                  <c:v>9.8264716825524676</c:v>
                </c:pt>
              </c:numCache>
            </c:numRef>
          </c:val>
          <c:smooth val="0"/>
          <c:extLst>
            <c:ext xmlns:c16="http://schemas.microsoft.com/office/drawing/2014/chart" uri="{C3380CC4-5D6E-409C-BE32-E72D297353CC}">
              <c16:uniqueId val="{00000001-704A-49C9-BB53-01D6B5EC0902}"/>
            </c:ext>
          </c:extLst>
        </c:ser>
        <c:dLbls>
          <c:showLegendKey val="0"/>
          <c:showVal val="0"/>
          <c:showCatName val="0"/>
          <c:showSerName val="0"/>
          <c:showPercent val="0"/>
          <c:showBubbleSize val="0"/>
        </c:dLbls>
        <c:marker val="1"/>
        <c:smooth val="0"/>
        <c:axId val="132182016"/>
        <c:axId val="132183936"/>
      </c:lineChart>
      <c:catAx>
        <c:axId val="132182016"/>
        <c:scaling>
          <c:orientation val="minMax"/>
        </c:scaling>
        <c:delete val="0"/>
        <c:axPos val="b"/>
        <c:numFmt formatCode="General" sourceLinked="1"/>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2183936"/>
        <c:crosses val="autoZero"/>
        <c:auto val="0"/>
        <c:lblAlgn val="ctr"/>
        <c:lblOffset val="100"/>
        <c:tickLblSkip val="1"/>
        <c:tickMarkSkip val="1"/>
        <c:noMultiLvlLbl val="0"/>
      </c:catAx>
      <c:valAx>
        <c:axId val="132183936"/>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a:latin typeface="+mn-lt"/>
                  </a:rPr>
                  <a:t>Indicative</a:t>
                </a:r>
                <a:endParaRPr lang="en-AU" sz="900" baseline="0">
                  <a:latin typeface="+mn-lt"/>
                </a:endParaRPr>
              </a:p>
              <a:p>
                <a:pPr>
                  <a:defRPr sz="900" b="1" i="0" u="none" strike="noStrike" baseline="0">
                    <a:solidFill>
                      <a:srgbClr val="000000"/>
                    </a:solidFill>
                    <a:latin typeface="+mn-lt"/>
                    <a:ea typeface="Arial"/>
                    <a:cs typeface="Arial"/>
                  </a:defRPr>
                </a:pPr>
                <a:r>
                  <a:rPr lang="en-AU" sz="900" baseline="0">
                    <a:latin typeface="+mn-lt"/>
                  </a:rPr>
                  <a:t>price</a:t>
                </a:r>
              </a:p>
              <a:p>
                <a:pPr>
                  <a:defRPr sz="900" b="1" i="0" u="none" strike="noStrike" baseline="0">
                    <a:solidFill>
                      <a:srgbClr val="000000"/>
                    </a:solidFill>
                    <a:latin typeface="+mn-lt"/>
                    <a:ea typeface="Arial"/>
                    <a:cs typeface="Arial"/>
                  </a:defRPr>
                </a:pPr>
                <a:r>
                  <a:rPr lang="en-AU" sz="900">
                    <a:latin typeface="+mn-lt"/>
                  </a:rPr>
                  <a:t>($/MWh)</a:t>
                </a:r>
              </a:p>
            </c:rich>
          </c:tx>
          <c:layout>
            <c:manualLayout>
              <c:xMode val="edge"/>
              <c:yMode val="edge"/>
              <c:x val="4.7759259259259293E-4"/>
              <c:y val="0.41584711493715881"/>
            </c:manualLayout>
          </c:layout>
          <c:overlay val="0"/>
          <c:spPr>
            <a:noFill/>
            <a:ln w="25400">
              <a:noFill/>
            </a:ln>
          </c:spPr>
        </c:title>
        <c:numFmt formatCode="#,##0" sourceLinked="0"/>
        <c:majorTickMark val="cross"/>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2182016"/>
        <c:crosses val="autoZero"/>
        <c:crossBetween val="midCat"/>
      </c:valAx>
      <c:spPr>
        <a:noFill/>
        <a:ln w="25400">
          <a:noFill/>
        </a:ln>
      </c:spPr>
    </c:plotArea>
    <c:legend>
      <c:legendPos val="b"/>
      <c:layout>
        <c:manualLayout>
          <c:xMode val="edge"/>
          <c:yMode val="edge"/>
          <c:x val="0.15267055555555556"/>
          <c:y val="0.93468758599693358"/>
          <c:w val="0.81930685185185181"/>
          <c:h val="6.5312414003066407E-2"/>
        </c:manualLayout>
      </c:layout>
      <c:overlay val="0"/>
      <c:spPr>
        <a:solidFill>
          <a:srgbClr val="FFFFFF"/>
        </a:solidFill>
        <a:ln w="25400">
          <a:noFill/>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9444444444443"/>
          <c:y val="6.7986015580096829E-2"/>
          <c:w val="0.78570092592592589"/>
          <c:h val="0.75227268156005767"/>
        </c:manualLayout>
      </c:layout>
      <c:barChart>
        <c:barDir val="col"/>
        <c:grouping val="stacked"/>
        <c:varyColors val="0"/>
        <c:ser>
          <c:idx val="0"/>
          <c:order val="0"/>
          <c:tx>
            <c:strRef>
              <c:f>Analysis!$B$161</c:f>
              <c:strCache>
                <c:ptCount val="1"/>
                <c:pt idx="0">
                  <c:v>Return on Capital</c:v>
                </c:pt>
              </c:strCache>
            </c:strRef>
          </c:tx>
          <c:spPr>
            <a:solidFill>
              <a:srgbClr val="D34602"/>
            </a:solidFill>
            <a:ln w="9525">
              <a:solidFill>
                <a:schemeClr val="tx1"/>
              </a:solidFill>
              <a:prstDash val="solid"/>
            </a:ln>
          </c:spPr>
          <c:invertIfNegative val="0"/>
          <c:cat>
            <c:strRef>
              <c:f>Analysis!$G$4:$K$4</c:f>
              <c:strCache>
                <c:ptCount val="5"/>
                <c:pt idx="0">
                  <c:v>2010-11</c:v>
                </c:pt>
                <c:pt idx="1">
                  <c:v>2011-12</c:v>
                </c:pt>
                <c:pt idx="2">
                  <c:v>2012-13</c:v>
                </c:pt>
                <c:pt idx="3">
                  <c:v>2013-14</c:v>
                </c:pt>
                <c:pt idx="4">
                  <c:v>2014-15</c:v>
                </c:pt>
              </c:strCache>
            </c:strRef>
          </c:cat>
          <c:val>
            <c:numRef>
              <c:f>Analysis!$G$161:$K$161</c:f>
              <c:numCache>
                <c:formatCode>_(* #,##0.0_);_(* \(#,##0.0\);_(* "-"??_);_(@_)</c:formatCode>
                <c:ptCount val="5"/>
                <c:pt idx="0">
                  <c:v>3.3958607487668875</c:v>
                </c:pt>
                <c:pt idx="1">
                  <c:v>3.4666411044836183</c:v>
                </c:pt>
                <c:pt idx="2">
                  <c:v>3.5664289423745474</c:v>
                </c:pt>
                <c:pt idx="3">
                  <c:v>3.6590628552310442</c:v>
                </c:pt>
                <c:pt idx="4">
                  <c:v>3.6882754600445615</c:v>
                </c:pt>
              </c:numCache>
            </c:numRef>
          </c:val>
          <c:extLst>
            <c:ext xmlns:c16="http://schemas.microsoft.com/office/drawing/2014/chart" uri="{C3380CC4-5D6E-409C-BE32-E72D297353CC}">
              <c16:uniqueId val="{00000000-7294-463D-8979-57F98E77D375}"/>
            </c:ext>
          </c:extLst>
        </c:ser>
        <c:ser>
          <c:idx val="1"/>
          <c:order val="1"/>
          <c:tx>
            <c:strRef>
              <c:f>Analysis!$B$162</c:f>
              <c:strCache>
                <c:ptCount val="1"/>
                <c:pt idx="0">
                  <c:v>Opex</c:v>
                </c:pt>
              </c:strCache>
            </c:strRef>
          </c:tx>
          <c:spPr>
            <a:solidFill>
              <a:srgbClr val="2171B5"/>
            </a:solidFill>
            <a:ln w="9525">
              <a:solidFill>
                <a:schemeClr val="tx1"/>
              </a:solidFill>
              <a:prstDash val="solid"/>
            </a:ln>
          </c:spPr>
          <c:invertIfNegative val="0"/>
          <c:cat>
            <c:strRef>
              <c:f>Analysis!$G$4:$K$4</c:f>
              <c:strCache>
                <c:ptCount val="5"/>
                <c:pt idx="0">
                  <c:v>2010-11</c:v>
                </c:pt>
                <c:pt idx="1">
                  <c:v>2011-12</c:v>
                </c:pt>
                <c:pt idx="2">
                  <c:v>2012-13</c:v>
                </c:pt>
                <c:pt idx="3">
                  <c:v>2013-14</c:v>
                </c:pt>
                <c:pt idx="4">
                  <c:v>2014-15</c:v>
                </c:pt>
              </c:strCache>
            </c:strRef>
          </c:cat>
          <c:val>
            <c:numRef>
              <c:f>Analysis!$G$162:$K$162</c:f>
              <c:numCache>
                <c:formatCode>_(* #,##0.0_);_(* \(#,##0.0\);_(* "-"??_);_(@_)</c:formatCode>
                <c:ptCount val="5"/>
                <c:pt idx="0">
                  <c:v>5.5481846193927771</c:v>
                </c:pt>
                <c:pt idx="1">
                  <c:v>6.0855256345683566</c:v>
                </c:pt>
                <c:pt idx="2">
                  <c:v>6.9042490312056941</c:v>
                </c:pt>
                <c:pt idx="3">
                  <c:v>7.7079127816864537</c:v>
                </c:pt>
                <c:pt idx="4">
                  <c:v>8.0829431956179896</c:v>
                </c:pt>
              </c:numCache>
            </c:numRef>
          </c:val>
          <c:extLst>
            <c:ext xmlns:c16="http://schemas.microsoft.com/office/drawing/2014/chart" uri="{C3380CC4-5D6E-409C-BE32-E72D297353CC}">
              <c16:uniqueId val="{00000001-7294-463D-8979-57F98E77D375}"/>
            </c:ext>
          </c:extLst>
        </c:ser>
        <c:ser>
          <c:idx val="2"/>
          <c:order val="2"/>
          <c:tx>
            <c:strRef>
              <c:f>Analysis!$B$164</c:f>
              <c:strCache>
                <c:ptCount val="1"/>
                <c:pt idx="0">
                  <c:v>Return of Capital</c:v>
                </c:pt>
              </c:strCache>
            </c:strRef>
          </c:tx>
          <c:spPr>
            <a:solidFill>
              <a:srgbClr val="006D2C"/>
            </a:solidFill>
            <a:ln w="9525">
              <a:solidFill>
                <a:srgbClr val="000000"/>
              </a:solidFill>
              <a:prstDash val="solid"/>
            </a:ln>
          </c:spPr>
          <c:invertIfNegative val="0"/>
          <c:cat>
            <c:strRef>
              <c:f>Analysis!$G$4:$K$4</c:f>
              <c:strCache>
                <c:ptCount val="5"/>
                <c:pt idx="0">
                  <c:v>2010-11</c:v>
                </c:pt>
                <c:pt idx="1">
                  <c:v>2011-12</c:v>
                </c:pt>
                <c:pt idx="2">
                  <c:v>2012-13</c:v>
                </c:pt>
                <c:pt idx="3">
                  <c:v>2013-14</c:v>
                </c:pt>
                <c:pt idx="4">
                  <c:v>2014-15</c:v>
                </c:pt>
              </c:strCache>
            </c:strRef>
          </c:cat>
          <c:val>
            <c:numRef>
              <c:f>Analysis!$G$164:$K$164</c:f>
              <c:numCache>
                <c:formatCode>_(* #,##0.0_);_(* \(#,##0.0\);_(* "-"??_);_(@_)</c:formatCode>
                <c:ptCount val="5"/>
                <c:pt idx="0">
                  <c:v>1.812706646678228</c:v>
                </c:pt>
                <c:pt idx="1">
                  <c:v>1.9551246910744142</c:v>
                </c:pt>
                <c:pt idx="2">
                  <c:v>2.1101983670762632</c:v>
                </c:pt>
                <c:pt idx="3">
                  <c:v>2.274670476254725</c:v>
                </c:pt>
                <c:pt idx="4">
                  <c:v>2.4424963356561413</c:v>
                </c:pt>
              </c:numCache>
            </c:numRef>
          </c:val>
          <c:extLst>
            <c:ext xmlns:c16="http://schemas.microsoft.com/office/drawing/2014/chart" uri="{C3380CC4-5D6E-409C-BE32-E72D297353CC}">
              <c16:uniqueId val="{00000002-7294-463D-8979-57F98E77D375}"/>
            </c:ext>
          </c:extLst>
        </c:ser>
        <c:ser>
          <c:idx val="3"/>
          <c:order val="3"/>
          <c:tx>
            <c:strRef>
              <c:f>Analysis!$B$165</c:f>
              <c:strCache>
                <c:ptCount val="1"/>
                <c:pt idx="0">
                  <c:v>Net Tax Costs</c:v>
                </c:pt>
              </c:strCache>
            </c:strRef>
          </c:tx>
          <c:spPr>
            <a:solidFill>
              <a:srgbClr val="800026"/>
            </a:solidFill>
            <a:ln w="9525">
              <a:solidFill>
                <a:srgbClr val="000000"/>
              </a:solidFill>
              <a:prstDash val="solid"/>
            </a:ln>
          </c:spPr>
          <c:invertIfNegative val="0"/>
          <c:cat>
            <c:strRef>
              <c:f>Analysis!$G$4:$K$4</c:f>
              <c:strCache>
                <c:ptCount val="5"/>
                <c:pt idx="0">
                  <c:v>2010-11</c:v>
                </c:pt>
                <c:pt idx="1">
                  <c:v>2011-12</c:v>
                </c:pt>
                <c:pt idx="2">
                  <c:v>2012-13</c:v>
                </c:pt>
                <c:pt idx="3">
                  <c:v>2013-14</c:v>
                </c:pt>
                <c:pt idx="4">
                  <c:v>2014-15</c:v>
                </c:pt>
              </c:strCache>
            </c:strRef>
          </c:cat>
          <c:val>
            <c:numRef>
              <c:f>Analysis!$G$165:$K$165</c:f>
              <c:numCache>
                <c:formatCode>_(* #,##0.0_);_(* \(#,##0.0\);_(* "-"??_);_(@_)</c:formatCode>
                <c:ptCount val="5"/>
                <c:pt idx="0">
                  <c:v>1.8285750141673818</c:v>
                </c:pt>
                <c:pt idx="1">
                  <c:v>1.6328701286155609</c:v>
                </c:pt>
                <c:pt idx="2">
                  <c:v>1.2840545750119829</c:v>
                </c:pt>
                <c:pt idx="3">
                  <c:v>1.4696579420219007</c:v>
                </c:pt>
                <c:pt idx="4">
                  <c:v>0.90155308235716691</c:v>
                </c:pt>
              </c:numCache>
            </c:numRef>
          </c:val>
          <c:extLst>
            <c:ext xmlns:c16="http://schemas.microsoft.com/office/drawing/2014/chart" uri="{C3380CC4-5D6E-409C-BE32-E72D297353CC}">
              <c16:uniqueId val="{00000003-7294-463D-8979-57F98E77D375}"/>
            </c:ext>
          </c:extLst>
        </c:ser>
        <c:ser>
          <c:idx val="4"/>
          <c:order val="4"/>
          <c:tx>
            <c:strRef>
              <c:f>Analysis!$B$163</c:f>
              <c:strCache>
                <c:ptCount val="1"/>
                <c:pt idx="0">
                  <c:v>Revenue Adjustments </c:v>
                </c:pt>
              </c:strCache>
            </c:strRef>
          </c:tx>
          <c:spPr>
            <a:solidFill>
              <a:srgbClr val="FFC000"/>
            </a:solidFill>
            <a:ln>
              <a:solidFill>
                <a:schemeClr val="tx1"/>
              </a:solidFill>
            </a:ln>
          </c:spPr>
          <c:invertIfNegative val="0"/>
          <c:cat>
            <c:strRef>
              <c:f>Analysis!$G$4:$K$4</c:f>
              <c:strCache>
                <c:ptCount val="5"/>
                <c:pt idx="0">
                  <c:v>2010-11</c:v>
                </c:pt>
                <c:pt idx="1">
                  <c:v>2011-12</c:v>
                </c:pt>
                <c:pt idx="2">
                  <c:v>2012-13</c:v>
                </c:pt>
                <c:pt idx="3">
                  <c:v>2013-14</c:v>
                </c:pt>
                <c:pt idx="4">
                  <c:v>2014-15</c:v>
                </c:pt>
              </c:strCache>
            </c:strRef>
          </c:cat>
          <c:val>
            <c:numRef>
              <c:f>Analysis!$G$163:$K$163</c:f>
              <c:numCache>
                <c:formatCode>_(* #,##0.0_);_(* \(#,##0.0\);_(* "-"??_);_(@_)</c:formatCode>
                <c:ptCount val="5"/>
                <c:pt idx="0">
                  <c:v>0</c:v>
                </c:pt>
                <c:pt idx="1">
                  <c:v>0</c:v>
                </c:pt>
                <c:pt idx="2">
                  <c:v>0</c:v>
                </c:pt>
                <c:pt idx="3">
                  <c:v>0</c:v>
                </c:pt>
                <c:pt idx="4">
                  <c:v>0</c:v>
                </c:pt>
              </c:numCache>
            </c:numRef>
          </c:val>
          <c:extLst>
            <c:ext xmlns:c16="http://schemas.microsoft.com/office/drawing/2014/chart" uri="{C3380CC4-5D6E-409C-BE32-E72D297353CC}">
              <c16:uniqueId val="{00000004-7294-463D-8979-57F98E77D375}"/>
            </c:ext>
          </c:extLst>
        </c:ser>
        <c:dLbls>
          <c:showLegendKey val="0"/>
          <c:showVal val="0"/>
          <c:showCatName val="0"/>
          <c:showSerName val="0"/>
          <c:showPercent val="0"/>
          <c:showBubbleSize val="0"/>
        </c:dLbls>
        <c:gapWidth val="150"/>
        <c:overlap val="100"/>
        <c:axId val="132026368"/>
        <c:axId val="132027904"/>
      </c:barChart>
      <c:catAx>
        <c:axId val="132026368"/>
        <c:scaling>
          <c:orientation val="minMax"/>
        </c:scaling>
        <c:delete val="0"/>
        <c:axPos val="b"/>
        <c:numFmt formatCode="General" sourceLinked="1"/>
        <c:majorTickMark val="out"/>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2027904"/>
        <c:crosses val="autoZero"/>
        <c:auto val="1"/>
        <c:lblAlgn val="ctr"/>
        <c:lblOffset val="100"/>
        <c:tickLblSkip val="1"/>
        <c:tickMarkSkip val="1"/>
        <c:noMultiLvlLbl val="0"/>
      </c:catAx>
      <c:valAx>
        <c:axId val="132027904"/>
        <c:scaling>
          <c:orientation val="minMax"/>
        </c:scaling>
        <c:delete val="0"/>
        <c:axPos val="l"/>
        <c:majorGridlines>
          <c:spPr>
            <a:ln w="12700">
              <a:solidFill>
                <a:schemeClr val="bg1">
                  <a:lumMod val="65000"/>
                </a:schemeClr>
              </a:solidFill>
              <a:prstDash val="solid"/>
            </a:ln>
          </c:spPr>
        </c:majorGridlines>
        <c:title>
          <c:tx>
            <c:rich>
              <a:bodyPr rot="0" vert="horz"/>
              <a:lstStyle/>
              <a:p>
                <a:pPr>
                  <a:defRPr sz="900" b="1" i="0" u="none" strike="noStrike" baseline="0">
                    <a:solidFill>
                      <a:srgbClr val="000000"/>
                    </a:solidFill>
                    <a:latin typeface="+mn-lt"/>
                    <a:ea typeface="Arial"/>
                    <a:cs typeface="Arial"/>
                  </a:defRPr>
                </a:pPr>
                <a:r>
                  <a:rPr lang="en-AU" sz="900" baseline="0">
                    <a:latin typeface="+mn-lt"/>
                  </a:rPr>
                  <a:t>Revenue</a:t>
                </a:r>
              </a:p>
              <a:p>
                <a:pPr>
                  <a:defRPr sz="900" b="1" i="0" u="none" strike="noStrike" baseline="0">
                    <a:solidFill>
                      <a:srgbClr val="000000"/>
                    </a:solidFill>
                    <a:latin typeface="+mn-lt"/>
                    <a:ea typeface="Arial"/>
                    <a:cs typeface="Arial"/>
                  </a:defRPr>
                </a:pPr>
                <a:r>
                  <a:rPr lang="en-AU" sz="900" baseline="0">
                    <a:latin typeface="+mn-lt"/>
                  </a:rPr>
                  <a:t>($m,</a:t>
                </a:r>
                <a:br>
                  <a:rPr lang="en-AU" sz="900" baseline="0">
                    <a:latin typeface="+mn-lt"/>
                  </a:rPr>
                </a:br>
                <a:r>
                  <a:rPr lang="en-AU" sz="900" baseline="0">
                    <a:latin typeface="+mn-lt"/>
                  </a:rPr>
                  <a:t>nominal)</a:t>
                </a:r>
              </a:p>
            </c:rich>
          </c:tx>
          <c:layout>
            <c:manualLayout>
              <c:xMode val="edge"/>
              <c:yMode val="edge"/>
              <c:x val="3.1088888888888889E-3"/>
              <c:y val="0.38547208692965063"/>
            </c:manualLayout>
          </c:layout>
          <c:overlay val="0"/>
          <c:spPr>
            <a:noFill/>
            <a:ln w="25400">
              <a:noFill/>
            </a:ln>
          </c:spPr>
        </c:title>
        <c:numFmt formatCode="#,##0" sourceLinked="0"/>
        <c:majorTickMark val="out"/>
        <c:minorTickMark val="none"/>
        <c:tickLblPos val="nextTo"/>
        <c:spPr>
          <a:ln w="12700">
            <a:solidFill>
              <a:schemeClr val="bg1">
                <a:lumMod val="6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32026368"/>
        <c:crosses val="autoZero"/>
        <c:crossBetween val="between"/>
      </c:valAx>
      <c:spPr>
        <a:noFill/>
        <a:ln w="25400">
          <a:noFill/>
        </a:ln>
      </c:spPr>
    </c:plotArea>
    <c:legend>
      <c:legendPos val="b"/>
      <c:layout>
        <c:manualLayout>
          <c:xMode val="edge"/>
          <c:yMode val="edge"/>
          <c:x val="6.6360370370370375E-2"/>
          <c:y val="0.87953431589161346"/>
          <c:w val="0.91901999999999995"/>
          <c:h val="0.10885466601409291"/>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chemeClr val="bg1"/>
    </a:solidFill>
    <a:ln w="9525">
      <a:noFill/>
    </a:ln>
  </c:spPr>
  <c:txPr>
    <a:bodyPr/>
    <a:lstStyle/>
    <a:p>
      <a:pPr>
        <a:defRPr sz="10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42</xdr:col>
      <xdr:colOff>155864</xdr:colOff>
      <xdr:row>6</xdr:row>
      <xdr:rowOff>294409</xdr:rowOff>
    </xdr:from>
    <xdr:to>
      <xdr:col>52</xdr:col>
      <xdr:colOff>77847</xdr:colOff>
      <xdr:row>14</xdr:row>
      <xdr:rowOff>37246</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63850900" y="1546266"/>
          <a:ext cx="6045197" cy="1416516"/>
          <a:chOff x="6257924" y="76200"/>
          <a:chExt cx="5973778" cy="1034035"/>
        </a:xfrm>
      </xdr:grpSpPr>
      <xdr:grpSp>
        <xdr:nvGrpSpPr>
          <xdr:cNvPr id="3" name="Group 2">
            <a:extLst>
              <a:ext uri="{FF2B5EF4-FFF2-40B4-BE49-F238E27FC236}">
                <a16:creationId xmlns:a16="http://schemas.microsoft.com/office/drawing/2014/main" id="{00000000-0008-0000-0000-000003000000}"/>
              </a:ext>
            </a:extLst>
          </xdr:cNvPr>
          <xdr:cNvGrpSpPr/>
        </xdr:nvGrpSpPr>
        <xdr:grpSpPr>
          <a:xfrm>
            <a:off x="6257924" y="94034"/>
            <a:ext cx="1753561" cy="971060"/>
            <a:chOff x="11448892" y="2483864"/>
            <a:chExt cx="1750813" cy="517167"/>
          </a:xfrm>
        </xdr:grpSpPr>
        <xdr:sp macro="[0]!MarkConfidential" textlink="">
          <xdr:nvSpPr>
            <xdr:cNvPr id="10" name="Rounded Rectangle 9">
              <a:extLst>
                <a:ext uri="{FF2B5EF4-FFF2-40B4-BE49-F238E27FC236}">
                  <a16:creationId xmlns:a16="http://schemas.microsoft.com/office/drawing/2014/main" id="{00000000-0008-0000-00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a:extLst>
                <a:ext uri="{FF2B5EF4-FFF2-40B4-BE49-F238E27FC236}">
                  <a16:creationId xmlns:a16="http://schemas.microsoft.com/office/drawing/2014/main" id="{00000000-0008-0000-00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000-000004000000}"/>
              </a:ext>
            </a:extLst>
          </xdr:cNvPr>
          <xdr:cNvGrpSpPr/>
        </xdr:nvGrpSpPr>
        <xdr:grpSpPr>
          <a:xfrm>
            <a:off x="9047916" y="76200"/>
            <a:ext cx="3183786" cy="1034035"/>
            <a:chOff x="8959453" y="47625"/>
            <a:chExt cx="3191911" cy="1037397"/>
          </a:xfrm>
        </xdr:grpSpPr>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0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7">
                <a:extLst>
                  <a:ext uri="{FF2B5EF4-FFF2-40B4-BE49-F238E27FC236}">
                    <a16:creationId xmlns:a16="http://schemas.microsoft.com/office/drawing/2014/main" id="{00000000-0008-0000-00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8">
                <a:extLst>
                  <a:ext uri="{FF2B5EF4-FFF2-40B4-BE49-F238E27FC236}">
                    <a16:creationId xmlns:a16="http://schemas.microsoft.com/office/drawing/2014/main" id="{00000000-0008-0000-00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997323</xdr:colOff>
      <xdr:row>0</xdr:row>
      <xdr:rowOff>22412</xdr:rowOff>
    </xdr:from>
    <xdr:to>
      <xdr:col>0</xdr:col>
      <xdr:colOff>2151529</xdr:colOff>
      <xdr:row>3</xdr:row>
      <xdr:rowOff>291353</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997323" y="22412"/>
          <a:ext cx="1154206" cy="1176617"/>
          <a:chOff x="165320" y="2985326"/>
          <a:chExt cx="963805" cy="1410158"/>
        </a:xfrm>
      </xdr:grpSpPr>
      <xdr:grpSp>
        <xdr:nvGrpSpPr>
          <xdr:cNvPr id="3" name="Group 2">
            <a:extLst>
              <a:ext uri="{FF2B5EF4-FFF2-40B4-BE49-F238E27FC236}">
                <a16:creationId xmlns:a16="http://schemas.microsoft.com/office/drawing/2014/main" id="{00000000-0008-0000-0100-000003000000}"/>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00000000-0008-0000-0100-000006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00000000-0008-0000-0100-000004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00000000-0008-0000-0100-000005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85725</xdr:colOff>
      <xdr:row>7</xdr:row>
      <xdr:rowOff>95250</xdr:rowOff>
    </xdr:from>
    <xdr:to>
      <xdr:col>3</xdr:col>
      <xdr:colOff>314325</xdr:colOff>
      <xdr:row>8</xdr:row>
      <xdr:rowOff>104775</xdr:rowOff>
    </xdr:to>
    <xdr:grpSp>
      <xdr:nvGrpSpPr>
        <xdr:cNvPr id="179324" name="Group 1">
          <a:extLst>
            <a:ext uri="{FF2B5EF4-FFF2-40B4-BE49-F238E27FC236}">
              <a16:creationId xmlns:a16="http://schemas.microsoft.com/office/drawing/2014/main" id="{00000000-0008-0000-0200-00007CBC0200}"/>
            </a:ext>
          </a:extLst>
        </xdr:cNvPr>
        <xdr:cNvGrpSpPr>
          <a:grpSpLocks/>
        </xdr:cNvGrpSpPr>
      </xdr:nvGrpSpPr>
      <xdr:grpSpPr bwMode="auto">
        <a:xfrm>
          <a:off x="238125" y="3095625"/>
          <a:ext cx="1885950" cy="352425"/>
          <a:chOff x="13" y="144"/>
          <a:chExt cx="198" cy="37"/>
        </a:xfrm>
      </xdr:grpSpPr>
      <xdr:grpSp>
        <xdr:nvGrpSpPr>
          <xdr:cNvPr id="179332" name="Group 2">
            <a:extLst>
              <a:ext uri="{FF2B5EF4-FFF2-40B4-BE49-F238E27FC236}">
                <a16:creationId xmlns:a16="http://schemas.microsoft.com/office/drawing/2014/main" id="{00000000-0008-0000-0200-000084BC0200}"/>
              </a:ext>
            </a:extLst>
          </xdr:cNvPr>
          <xdr:cNvGrpSpPr>
            <a:grpSpLocks/>
          </xdr:cNvGrpSpPr>
        </xdr:nvGrpSpPr>
        <xdr:grpSpPr bwMode="auto">
          <a:xfrm>
            <a:off x="13" y="152"/>
            <a:ext cx="192" cy="29"/>
            <a:chOff x="13" y="159"/>
            <a:chExt cx="189" cy="27"/>
          </a:xfrm>
        </xdr:grpSpPr>
        <xdr:sp macro="" textlink="">
          <xdr:nvSpPr>
            <xdr:cNvPr id="179335" name="Oval 3">
              <a:extLst>
                <a:ext uri="{FF2B5EF4-FFF2-40B4-BE49-F238E27FC236}">
                  <a16:creationId xmlns:a16="http://schemas.microsoft.com/office/drawing/2014/main" id="{00000000-0008-0000-0200-000087BC0200}"/>
                </a:ext>
              </a:extLst>
            </xdr:cNvPr>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79336" name="Line 4">
              <a:extLst>
                <a:ext uri="{FF2B5EF4-FFF2-40B4-BE49-F238E27FC236}">
                  <a16:creationId xmlns:a16="http://schemas.microsoft.com/office/drawing/2014/main" id="{00000000-0008-0000-0200-000088BC0200}"/>
                </a:ext>
              </a:extLst>
            </xdr:cNvPr>
            <xdr:cNvSpPr>
              <a:spLocks noChangeShapeType="1"/>
            </xdr:cNvSpPr>
          </xdr:nvSpPr>
          <xdr:spPr bwMode="auto">
            <a:xfrm>
              <a:off x="13" y="186"/>
              <a:ext cx="175"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79333" name="Rectangle 5">
            <a:extLst>
              <a:ext uri="{FF2B5EF4-FFF2-40B4-BE49-F238E27FC236}">
                <a16:creationId xmlns:a16="http://schemas.microsoft.com/office/drawing/2014/main" id="{00000000-0008-0000-0200-000085BC0200}"/>
              </a:ext>
            </a:extLst>
          </xdr:cNvPr>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79334" name="Rectangle 6">
            <a:extLst>
              <a:ext uri="{FF2B5EF4-FFF2-40B4-BE49-F238E27FC236}">
                <a16:creationId xmlns:a16="http://schemas.microsoft.com/office/drawing/2014/main" id="{00000000-0008-0000-0200-000086BC0200}"/>
              </a:ext>
            </a:extLst>
          </xdr:cNvPr>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28575</xdr:colOff>
      <xdr:row>0</xdr:row>
      <xdr:rowOff>76200</xdr:rowOff>
    </xdr:from>
    <xdr:to>
      <xdr:col>5</xdr:col>
      <xdr:colOff>228600</xdr:colOff>
      <xdr:row>1</xdr:row>
      <xdr:rowOff>273516</xdr:rowOff>
    </xdr:to>
    <xdr:pic>
      <xdr:nvPicPr>
        <xdr:cNvPr id="179325" name="Picture 13">
          <a:extLst>
            <a:ext uri="{FF2B5EF4-FFF2-40B4-BE49-F238E27FC236}">
              <a16:creationId xmlns:a16="http://schemas.microsoft.com/office/drawing/2014/main" id="{00000000-0008-0000-0200-00007DB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76200"/>
          <a:ext cx="3443968" cy="76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10</xdr:row>
      <xdr:rowOff>47625</xdr:rowOff>
    </xdr:from>
    <xdr:to>
      <xdr:col>1</xdr:col>
      <xdr:colOff>485775</xdr:colOff>
      <xdr:row>28</xdr:row>
      <xdr:rowOff>46874</xdr:rowOff>
    </xdr:to>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104775" y="3724275"/>
          <a:ext cx="533400" cy="3056774"/>
          <a:chOff x="2" y="682"/>
          <a:chExt cx="56" cy="514"/>
        </a:xfrm>
      </xdr:grpSpPr>
      <xdr:sp macro="" textlink="">
        <xdr:nvSpPr>
          <xdr:cNvPr id="16" name="Line 8">
            <a:extLst>
              <a:ext uri="{FF2B5EF4-FFF2-40B4-BE49-F238E27FC236}">
                <a16:creationId xmlns:a16="http://schemas.microsoft.com/office/drawing/2014/main" id="{00000000-0008-0000-0200-000010000000}"/>
              </a:ext>
            </a:extLst>
          </xdr:cNvPr>
          <xdr:cNvSpPr>
            <a:spLocks noChangeShapeType="1"/>
          </xdr:cNvSpPr>
        </xdr:nvSpPr>
        <xdr:spPr bwMode="auto">
          <a:xfrm>
            <a:off x="35" y="682"/>
            <a:ext cx="0" cy="511"/>
          </a:xfrm>
          <a:prstGeom prst="line">
            <a:avLst/>
          </a:prstGeom>
          <a:noFill/>
          <a:ln w="9525">
            <a:solidFill>
              <a:srgbClr val="000000"/>
            </a:solidFill>
            <a:round/>
            <a:headEnd/>
            <a:tailEnd/>
          </a:ln>
          <a:effectLst>
            <a:outerShdw blurRad="63500" dist="38099" dir="2700000" algn="ctr" rotWithShape="0">
              <a:srgbClr val="000000">
                <a:alpha val="74998"/>
              </a:srgbClr>
            </a:outerShdw>
          </a:effectLst>
          <a:extLst/>
        </xdr:spPr>
        <xdr:txBody>
          <a:bodyPr rtlCol="0"/>
          <a:lstStyle/>
          <a:p>
            <a:endParaRPr lang="en-AU"/>
          </a:p>
        </xdr:txBody>
      </xdr:sp>
      <xdr:sp macro="" textlink="">
        <xdr:nvSpPr>
          <xdr:cNvPr id="17" name="Oval 9">
            <a:extLst>
              <a:ext uri="{FF2B5EF4-FFF2-40B4-BE49-F238E27FC236}">
                <a16:creationId xmlns:a16="http://schemas.microsoft.com/office/drawing/2014/main" id="{00000000-0008-0000-0200-000011000000}"/>
              </a:ext>
            </a:extLst>
          </xdr:cNvPr>
          <xdr:cNvSpPr>
            <a:spLocks noChangeArrowheads="1"/>
          </xdr:cNvSpPr>
        </xdr:nvSpPr>
        <xdr:spPr bwMode="auto">
          <a:xfrm>
            <a:off x="2" y="993"/>
            <a:ext cx="36" cy="35"/>
          </a:xfrm>
          <a:prstGeom prst="ellipse">
            <a:avLst/>
          </a:prstGeom>
          <a:solidFill>
            <a:srgbClr val="FFCC99"/>
          </a:solidFill>
          <a:ln w="9525">
            <a:solidFill>
              <a:srgbClr val="000000"/>
            </a:solidFill>
            <a:round/>
            <a:headEnd/>
            <a:tailEnd/>
          </a:ln>
        </xdr:spPr>
      </xdr:sp>
      <xdr:sp macro="" textlink="">
        <xdr:nvSpPr>
          <xdr:cNvPr id="18" name="WordArt 10">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rot="5400000">
            <a:off x="-126" y="828"/>
            <a:ext cx="297"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9" name="WordArt 11">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rot="5400000">
            <a:off x="-33" y="1106"/>
            <a:ext cx="169"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20" name="Text Box 12">
            <a:extLst>
              <a:ext uri="{FF2B5EF4-FFF2-40B4-BE49-F238E27FC236}">
                <a16:creationId xmlns:a16="http://schemas.microsoft.com/office/drawing/2014/main" id="{00000000-0008-0000-0200-000014000000}"/>
              </a:ext>
            </a:extLst>
          </xdr:cNvPr>
          <xdr:cNvSpPr txBox="1">
            <a:spLocks noChangeArrowheads="1"/>
          </xdr:cNvSpPr>
        </xdr:nvSpPr>
        <xdr:spPr bwMode="auto">
          <a:xfrm>
            <a:off x="15" y="998"/>
            <a:ext cx="9" cy="26"/>
          </a:xfrm>
          <a:prstGeom prst="rect">
            <a:avLst/>
          </a:prstGeom>
          <a:noFill/>
          <a:ln>
            <a:noFill/>
          </a:ln>
          <a:effectLst>
            <a:outerShdw blurRad="63500" dist="38099" dir="2700000" sx="999" sy="999" algn="ctr" rotWithShape="0">
              <a:srgbClr val="000000">
                <a:alpha val="74998"/>
              </a:srgbClr>
            </a:outerShdw>
          </a:effectLst>
          <a:extLst/>
        </xdr:spPr>
        <xdr:txBody>
          <a:bodyPr wrap="none" lIns="18288" tIns="22860" rIns="0" bIns="0" anchor="t" upright="1">
            <a:spAutoFit/>
          </a:bodyPr>
          <a:lstStyle/>
          <a:p>
            <a:pPr algn="l" rtl="0">
              <a:defRPr sz="1000"/>
            </a:pPr>
            <a:r>
              <a:rPr lang="en-US" sz="1000" b="1" i="0" u="none" strike="noStrike" baseline="0">
                <a:solidFill>
                  <a:srgbClr val="FFFFFF"/>
                </a:solidFill>
                <a:latin typeface="Arial"/>
                <a:ea typeface="Arial"/>
                <a:cs typeface="Arial"/>
              </a:rPr>
              <a:t>1</a:t>
            </a: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38100</xdr:colOff>
          <xdr:row>29</xdr:row>
          <xdr:rowOff>76200</xdr:rowOff>
        </xdr:from>
        <xdr:to>
          <xdr:col>6</xdr:col>
          <xdr:colOff>657225</xdr:colOff>
          <xdr:row>31</xdr:row>
          <xdr:rowOff>123825</xdr:rowOff>
        </xdr:to>
        <xdr:sp macro="" textlink="">
          <xdr:nvSpPr>
            <xdr:cNvPr id="37972" name="Button 84" hidden="1">
              <a:extLst>
                <a:ext uri="{63B3BB69-23CF-44E3-9099-C40C66FF867C}">
                  <a14:compatExt spid="_x0000_s37972"/>
                </a:ext>
                <a:ext uri="{FF2B5EF4-FFF2-40B4-BE49-F238E27FC236}">
                  <a16:creationId xmlns:a16="http://schemas.microsoft.com/office/drawing/2014/main" id="{00000000-0008-0000-0500-00005494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a:t>
              </a:r>
            </a:p>
            <a:p>
              <a:pPr algn="ctr" rtl="0">
                <a:defRPr sz="1000"/>
              </a:pPr>
              <a:r>
                <a:rPr lang="en-AU" sz="900" b="0" i="0" u="none" strike="noStrike" baseline="0">
                  <a:solidFill>
                    <a:srgbClr val="000000"/>
                  </a:solidFill>
                  <a:latin typeface="Arial"/>
                  <a:cs typeface="Arial"/>
                </a:rPr>
                <a:t>Te and Td</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47625</xdr:colOff>
          <xdr:row>47</xdr:row>
          <xdr:rowOff>104775</xdr:rowOff>
        </xdr:from>
        <xdr:to>
          <xdr:col>6</xdr:col>
          <xdr:colOff>733425</xdr:colOff>
          <xdr:row>49</xdr:row>
          <xdr:rowOff>142875</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0900-000001C4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P0 (price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57150</xdr:colOff>
          <xdr:row>63</xdr:row>
          <xdr:rowOff>76200</xdr:rowOff>
        </xdr:from>
        <xdr:to>
          <xdr:col>6</xdr:col>
          <xdr:colOff>733425</xdr:colOff>
          <xdr:row>65</xdr:row>
          <xdr:rowOff>114300</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0900-000002C4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P0</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47625</xdr:colOff>
          <xdr:row>83</xdr:row>
          <xdr:rowOff>76200</xdr:rowOff>
        </xdr:from>
        <xdr:to>
          <xdr:col>6</xdr:col>
          <xdr:colOff>733425</xdr:colOff>
          <xdr:row>85</xdr:row>
          <xdr:rowOff>104775</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0900-000003C4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P0 </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38100</xdr:colOff>
          <xdr:row>47</xdr:row>
          <xdr:rowOff>95250</xdr:rowOff>
        </xdr:from>
        <xdr:to>
          <xdr:col>7</xdr:col>
          <xdr:colOff>752475</xdr:colOff>
          <xdr:row>49</xdr:row>
          <xdr:rowOff>133350</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0900-00000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X2</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38100</xdr:colOff>
          <xdr:row>47</xdr:row>
          <xdr:rowOff>95250</xdr:rowOff>
        </xdr:from>
        <xdr:to>
          <xdr:col>8</xdr:col>
          <xdr:colOff>762000</xdr:colOff>
          <xdr:row>49</xdr:row>
          <xdr:rowOff>133350</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0900-00000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X3</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47</xdr:row>
          <xdr:rowOff>95250</xdr:rowOff>
        </xdr:from>
        <xdr:to>
          <xdr:col>9</xdr:col>
          <xdr:colOff>762000</xdr:colOff>
          <xdr:row>49</xdr:row>
          <xdr:rowOff>133350</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0900-00000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X4</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47</xdr:row>
          <xdr:rowOff>95250</xdr:rowOff>
        </xdr:from>
        <xdr:to>
          <xdr:col>10</xdr:col>
          <xdr:colOff>762000</xdr:colOff>
          <xdr:row>49</xdr:row>
          <xdr:rowOff>133350</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0900-00000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X5</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47</xdr:row>
          <xdr:rowOff>95250</xdr:rowOff>
        </xdr:from>
        <xdr:to>
          <xdr:col>11</xdr:col>
          <xdr:colOff>762000</xdr:colOff>
          <xdr:row>49</xdr:row>
          <xdr:rowOff>133350</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0900-00000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X6</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38100</xdr:colOff>
          <xdr:row>47</xdr:row>
          <xdr:rowOff>95250</xdr:rowOff>
        </xdr:from>
        <xdr:to>
          <xdr:col>12</xdr:col>
          <xdr:colOff>762000</xdr:colOff>
          <xdr:row>49</xdr:row>
          <xdr:rowOff>133350</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0900-00000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X7</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38100</xdr:colOff>
          <xdr:row>47</xdr:row>
          <xdr:rowOff>95250</xdr:rowOff>
        </xdr:from>
        <xdr:to>
          <xdr:col>13</xdr:col>
          <xdr:colOff>762000</xdr:colOff>
          <xdr:row>49</xdr:row>
          <xdr:rowOff>133350</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0900-00000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X8</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38100</xdr:colOff>
          <xdr:row>47</xdr:row>
          <xdr:rowOff>95250</xdr:rowOff>
        </xdr:from>
        <xdr:to>
          <xdr:col>14</xdr:col>
          <xdr:colOff>762000</xdr:colOff>
          <xdr:row>49</xdr:row>
          <xdr:rowOff>133350</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0900-00000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X9</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38100</xdr:colOff>
          <xdr:row>47</xdr:row>
          <xdr:rowOff>95250</xdr:rowOff>
        </xdr:from>
        <xdr:to>
          <xdr:col>15</xdr:col>
          <xdr:colOff>762000</xdr:colOff>
          <xdr:row>49</xdr:row>
          <xdr:rowOff>133350</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0900-00000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X10</a:t>
              </a:r>
            </a:p>
            <a:p>
              <a:pPr algn="ctr" rtl="0">
                <a:defRPr sz="1000"/>
              </a:pPr>
              <a:r>
                <a:rPr lang="en-AU" sz="900" b="0" i="0" u="none" strike="noStrike" baseline="0">
                  <a:solidFill>
                    <a:srgbClr val="000000"/>
                  </a:solidFill>
                  <a:latin typeface="Arial"/>
                  <a:cs typeface="Arial"/>
                </a:rPr>
                <a:t>(price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63</xdr:row>
          <xdr:rowOff>66675</xdr:rowOff>
        </xdr:from>
        <xdr:to>
          <xdr:col>7</xdr:col>
          <xdr:colOff>742950</xdr:colOff>
          <xdr:row>65</xdr:row>
          <xdr:rowOff>104775</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0900-00000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X2</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63</xdr:row>
          <xdr:rowOff>66675</xdr:rowOff>
        </xdr:from>
        <xdr:to>
          <xdr:col>8</xdr:col>
          <xdr:colOff>742950</xdr:colOff>
          <xdr:row>65</xdr:row>
          <xdr:rowOff>104775</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0900-00000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X3</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63</xdr:row>
          <xdr:rowOff>66675</xdr:rowOff>
        </xdr:from>
        <xdr:to>
          <xdr:col>9</xdr:col>
          <xdr:colOff>742950</xdr:colOff>
          <xdr:row>65</xdr:row>
          <xdr:rowOff>104775</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0900-00001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X4</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xdr:colOff>
          <xdr:row>63</xdr:row>
          <xdr:rowOff>66675</xdr:rowOff>
        </xdr:from>
        <xdr:to>
          <xdr:col>10</xdr:col>
          <xdr:colOff>742950</xdr:colOff>
          <xdr:row>65</xdr:row>
          <xdr:rowOff>104775</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0900-00001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X5</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28575</xdr:colOff>
          <xdr:row>63</xdr:row>
          <xdr:rowOff>66675</xdr:rowOff>
        </xdr:from>
        <xdr:to>
          <xdr:col>11</xdr:col>
          <xdr:colOff>742950</xdr:colOff>
          <xdr:row>65</xdr:row>
          <xdr:rowOff>104775</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0900-00001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X6</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63</xdr:row>
          <xdr:rowOff>66675</xdr:rowOff>
        </xdr:from>
        <xdr:to>
          <xdr:col>12</xdr:col>
          <xdr:colOff>742950</xdr:colOff>
          <xdr:row>65</xdr:row>
          <xdr:rowOff>104775</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0900-00001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X7</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28575</xdr:colOff>
          <xdr:row>63</xdr:row>
          <xdr:rowOff>66675</xdr:rowOff>
        </xdr:from>
        <xdr:to>
          <xdr:col>13</xdr:col>
          <xdr:colOff>742950</xdr:colOff>
          <xdr:row>65</xdr:row>
          <xdr:rowOff>104775</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0900-00001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X8</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28575</xdr:colOff>
          <xdr:row>63</xdr:row>
          <xdr:rowOff>66675</xdr:rowOff>
        </xdr:from>
        <xdr:to>
          <xdr:col>14</xdr:col>
          <xdr:colOff>742950</xdr:colOff>
          <xdr:row>65</xdr:row>
          <xdr:rowOff>104775</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0900-00001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X9</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63</xdr:row>
          <xdr:rowOff>66675</xdr:rowOff>
        </xdr:from>
        <xdr:to>
          <xdr:col>15</xdr:col>
          <xdr:colOff>742950</xdr:colOff>
          <xdr:row>65</xdr:row>
          <xdr:rowOff>104775</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0900-00001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X10</a:t>
              </a:r>
            </a:p>
            <a:p>
              <a:pPr algn="ctr" rtl="0">
                <a:defRPr sz="1000"/>
              </a:pPr>
              <a:r>
                <a:rPr lang="en-AU" sz="900" b="0" i="0" u="none" strike="noStrike" baseline="0">
                  <a:solidFill>
                    <a:srgbClr val="000000"/>
                  </a:solidFill>
                  <a:latin typeface="Arial"/>
                  <a:cs typeface="Arial"/>
                </a:rPr>
                <a:t>(rev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83</xdr:row>
          <xdr:rowOff>76200</xdr:rowOff>
        </xdr:from>
        <xdr:to>
          <xdr:col>7</xdr:col>
          <xdr:colOff>742950</xdr:colOff>
          <xdr:row>85</xdr:row>
          <xdr:rowOff>104775</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0900-00001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X2</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28575</xdr:colOff>
          <xdr:row>83</xdr:row>
          <xdr:rowOff>76200</xdr:rowOff>
        </xdr:from>
        <xdr:to>
          <xdr:col>8</xdr:col>
          <xdr:colOff>742950</xdr:colOff>
          <xdr:row>85</xdr:row>
          <xdr:rowOff>104775</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0900-00001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X3</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83</xdr:row>
          <xdr:rowOff>66675</xdr:rowOff>
        </xdr:from>
        <xdr:to>
          <xdr:col>9</xdr:col>
          <xdr:colOff>742950</xdr:colOff>
          <xdr:row>85</xdr:row>
          <xdr:rowOff>104775</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0900-00001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X4</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xdr:colOff>
          <xdr:row>83</xdr:row>
          <xdr:rowOff>66675</xdr:rowOff>
        </xdr:from>
        <xdr:to>
          <xdr:col>10</xdr:col>
          <xdr:colOff>742950</xdr:colOff>
          <xdr:row>85</xdr:row>
          <xdr:rowOff>104775</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0900-00001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X5</a:t>
              </a:r>
            </a:p>
            <a:p>
              <a:pPr algn="ctr" rtl="0">
                <a:defRPr sz="1000"/>
              </a:pPr>
              <a:r>
                <a:rPr lang="en-AU" sz="900" b="0" i="0" u="none" strike="noStrike" baseline="0">
                  <a:solidFill>
                    <a:srgbClr val="000000"/>
                  </a:solidFill>
                  <a:latin typeface="Arial"/>
                  <a:cs typeface="Arial"/>
                </a:rPr>
                <a:t>(rev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28575</xdr:colOff>
          <xdr:row>83</xdr:row>
          <xdr:rowOff>66675</xdr:rowOff>
        </xdr:from>
        <xdr:to>
          <xdr:col>11</xdr:col>
          <xdr:colOff>742950</xdr:colOff>
          <xdr:row>85</xdr:row>
          <xdr:rowOff>104775</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0900-00001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X6</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83</xdr:row>
          <xdr:rowOff>66675</xdr:rowOff>
        </xdr:from>
        <xdr:to>
          <xdr:col>12</xdr:col>
          <xdr:colOff>742950</xdr:colOff>
          <xdr:row>85</xdr:row>
          <xdr:rowOff>104775</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0900-00001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X7</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28575</xdr:colOff>
          <xdr:row>83</xdr:row>
          <xdr:rowOff>66675</xdr:rowOff>
        </xdr:from>
        <xdr:to>
          <xdr:col>13</xdr:col>
          <xdr:colOff>742950</xdr:colOff>
          <xdr:row>85</xdr:row>
          <xdr:rowOff>104775</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0900-00001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X8</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28575</xdr:colOff>
          <xdr:row>83</xdr:row>
          <xdr:rowOff>66675</xdr:rowOff>
        </xdr:from>
        <xdr:to>
          <xdr:col>14</xdr:col>
          <xdr:colOff>742950</xdr:colOff>
          <xdr:row>85</xdr:row>
          <xdr:rowOff>104775</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0900-00001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X9</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83</xdr:row>
          <xdr:rowOff>66675</xdr:rowOff>
        </xdr:from>
        <xdr:to>
          <xdr:col>15</xdr:col>
          <xdr:colOff>742950</xdr:colOff>
          <xdr:row>85</xdr:row>
          <xdr:rowOff>104775</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0900-00001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Set X10</a:t>
              </a:r>
            </a:p>
            <a:p>
              <a:pPr algn="ctr" rtl="0">
                <a:defRPr sz="1000"/>
              </a:pPr>
              <a:r>
                <a:rPr lang="en-AU" sz="900" b="0" i="0" u="none" strike="noStrike" baseline="0">
                  <a:solidFill>
                    <a:srgbClr val="000000"/>
                  </a:solidFill>
                  <a:latin typeface="Arial"/>
                  <a:cs typeface="Arial"/>
                </a:rPr>
                <a:t>(rev yld)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600075</xdr:colOff>
          <xdr:row>47</xdr:row>
          <xdr:rowOff>104775</xdr:rowOff>
        </xdr:from>
        <xdr:to>
          <xdr:col>5</xdr:col>
          <xdr:colOff>847725</xdr:colOff>
          <xdr:row>49</xdr:row>
          <xdr:rowOff>133350</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0900-00002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Apply default smoothing (WAPC)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581025</xdr:colOff>
          <xdr:row>63</xdr:row>
          <xdr:rowOff>95250</xdr:rowOff>
        </xdr:from>
        <xdr:to>
          <xdr:col>5</xdr:col>
          <xdr:colOff>838200</xdr:colOff>
          <xdr:row>65</xdr:row>
          <xdr:rowOff>114300</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0900-00002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Apply default smoothing (revenue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542925</xdr:colOff>
          <xdr:row>83</xdr:row>
          <xdr:rowOff>76200</xdr:rowOff>
        </xdr:from>
        <xdr:to>
          <xdr:col>5</xdr:col>
          <xdr:colOff>819150</xdr:colOff>
          <xdr:row>85</xdr:row>
          <xdr:rowOff>104775</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0900-00002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Apply default smoothing (revenue yield)</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absoluteAnchor>
    <xdr:pos x="285751" y="1095375"/>
    <xdr:ext cx="5400000" cy="3284672"/>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5750" y="4962525"/>
    <xdr:ext cx="5400000" cy="3284672"/>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04787" y="9034463"/>
    <xdr:ext cx="5400000" cy="3284672"/>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228600" y="1047750"/>
    <xdr:ext cx="5400000" cy="3281367"/>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31913" y="5035826"/>
    <xdr:ext cx="5400000" cy="3281367"/>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31913" y="9011478"/>
    <xdr:ext cx="5400000" cy="3281367"/>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228600" y="1047750"/>
    <xdr:ext cx="5400000" cy="3281366"/>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R/DMT/TEMPLATES/RIN%20Templates/Benchmarking/Benchmarking%202015-16/DNSP%20-%20Benchmarking%20RIN%20-%202015-16%20blank%20template%20(unlocked)%20@%202016032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APN%20RollForward%20and%20PTRM%20model%20ReleaseVer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Unlocked worksheet"/>
    </sheetNames>
    <sheetDataSet>
      <sheetData sheetId="0" refreshError="1">
        <row r="12">
          <cell r="G12" t="str">
            <v>dms_Segment_List</v>
          </cell>
        </row>
        <row r="13">
          <cell r="G13" t="str">
            <v>Distribution</v>
          </cell>
        </row>
        <row r="14">
          <cell r="G14" t="str">
            <v>Distribution</v>
          </cell>
        </row>
        <row r="15">
          <cell r="G15" t="str">
            <v>Distribution</v>
          </cell>
        </row>
        <row r="16">
          <cell r="G16" t="str">
            <v>Distribution</v>
          </cell>
        </row>
        <row r="17">
          <cell r="G17" t="str">
            <v>Distribution</v>
          </cell>
        </row>
        <row r="18">
          <cell r="G18" t="str">
            <v>Distribution</v>
          </cell>
        </row>
        <row r="19">
          <cell r="G19" t="str">
            <v>Transmission</v>
          </cell>
        </row>
        <row r="20">
          <cell r="G20" t="str">
            <v>Distribution</v>
          </cell>
        </row>
        <row r="21">
          <cell r="G21" t="str">
            <v>Transmission</v>
          </cell>
        </row>
        <row r="22">
          <cell r="G22" t="str">
            <v>Distribution</v>
          </cell>
        </row>
        <row r="23">
          <cell r="G23" t="str">
            <v>Transmission</v>
          </cell>
        </row>
        <row r="24">
          <cell r="G24" t="str">
            <v>Transmission</v>
          </cell>
        </row>
        <row r="25">
          <cell r="G25" t="str">
            <v>Distribution</v>
          </cell>
        </row>
        <row r="26">
          <cell r="G26" t="str">
            <v>Distribution</v>
          </cell>
        </row>
        <row r="27">
          <cell r="G27" t="str">
            <v>Distribution</v>
          </cell>
        </row>
        <row r="28">
          <cell r="G28" t="str">
            <v>Distribution</v>
          </cell>
        </row>
        <row r="29">
          <cell r="G29" t="str">
            <v>Distribution</v>
          </cell>
        </row>
        <row r="30">
          <cell r="G30" t="str">
            <v>Transmission</v>
          </cell>
        </row>
        <row r="31">
          <cell r="G31" t="str">
            <v>Distribution</v>
          </cell>
        </row>
        <row r="32">
          <cell r="G32" t="str">
            <v>Transmission</v>
          </cell>
        </row>
        <row r="33">
          <cell r="G33" t="str">
            <v>Distribution</v>
          </cell>
        </row>
        <row r="34">
          <cell r="G34" t="str">
            <v>Distribution</v>
          </cell>
        </row>
        <row r="35">
          <cell r="G35" t="str">
            <v>Distribution</v>
          </cell>
        </row>
        <row r="36">
          <cell r="G36" t="str">
            <v>Transmission</v>
          </cell>
        </row>
        <row r="37">
          <cell r="G37" t="str">
            <v>Transmission</v>
          </cell>
        </row>
        <row r="38">
          <cell r="G38" t="str">
            <v>Distribution</v>
          </cell>
        </row>
        <row r="39">
          <cell r="G39" t="str">
            <v>Distribution</v>
          </cell>
        </row>
        <row r="40">
          <cell r="G40" t="str">
            <v>Distribution</v>
          </cell>
        </row>
        <row r="41">
          <cell r="G41" t="str">
            <v>Distribution</v>
          </cell>
        </row>
        <row r="42">
          <cell r="G42" t="str">
            <v>Transmission</v>
          </cell>
        </row>
        <row r="58">
          <cell r="G58" t="str">
            <v>dms_CRCPlength_Num_List</v>
          </cell>
        </row>
        <row r="59">
          <cell r="G59">
            <v>1</v>
          </cell>
        </row>
        <row r="60">
          <cell r="G60">
            <v>2</v>
          </cell>
        </row>
        <row r="61">
          <cell r="G61">
            <v>3</v>
          </cell>
        </row>
        <row r="62">
          <cell r="G62">
            <v>4</v>
          </cell>
        </row>
        <row r="63">
          <cell r="G63">
            <v>5</v>
          </cell>
        </row>
        <row r="64">
          <cell r="G64">
            <v>6</v>
          </cell>
        </row>
        <row r="65">
          <cell r="G65">
            <v>7</v>
          </cell>
        </row>
        <row r="66">
          <cell r="G66">
            <v>8</v>
          </cell>
        </row>
        <row r="67">
          <cell r="G67">
            <v>9</v>
          </cell>
        </row>
        <row r="68">
          <cell r="G68">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RAB RollForward"/>
      <sheetName val="TAB RollForward"/>
      <sheetName val="PTRM IO"/>
      <sheetName val="Inputs"/>
      <sheetName val="Real Vanilla WACC calculations"/>
    </sheetNames>
    <sheetDataSet>
      <sheetData sheetId="0"/>
      <sheetData sheetId="1"/>
      <sheetData sheetId="2"/>
      <sheetData sheetId="3"/>
      <sheetData sheetId="4">
        <row r="27">
          <cell r="R27" t="str">
            <v>2010-11</v>
          </cell>
        </row>
        <row r="30">
          <cell r="R30">
            <v>11.177950969706064</v>
          </cell>
        </row>
        <row r="32">
          <cell r="R32">
            <v>7</v>
          </cell>
        </row>
        <row r="38">
          <cell r="R38">
            <v>23.608575856424725</v>
          </cell>
        </row>
        <row r="39">
          <cell r="R39">
            <v>28</v>
          </cell>
        </row>
        <row r="40">
          <cell r="R40">
            <v>23.001972629466412</v>
          </cell>
        </row>
        <row r="41">
          <cell r="R41">
            <v>15.957266666666666</v>
          </cell>
        </row>
        <row r="42">
          <cell r="R42">
            <v>11.072577174871219</v>
          </cell>
        </row>
        <row r="43">
          <cell r="R43">
            <v>15</v>
          </cell>
        </row>
        <row r="48">
          <cell r="R48">
            <v>28</v>
          </cell>
        </row>
        <row r="49">
          <cell r="R49">
            <v>15</v>
          </cell>
        </row>
        <row r="50">
          <cell r="R50">
            <v>6.6669595854922283</v>
          </cell>
          <cell r="S50">
            <v>6.533314629258518</v>
          </cell>
          <cell r="T50">
            <v>5.5698546168958742</v>
          </cell>
          <cell r="U50">
            <v>5.7623461538461545</v>
          </cell>
          <cell r="V50">
            <v>4.8324736842105249</v>
          </cell>
        </row>
        <row r="51">
          <cell r="R51">
            <v>4.2746279792746114</v>
          </cell>
          <cell r="S51">
            <v>3.7955991983967943</v>
          </cell>
          <cell r="T51">
            <v>2.826074656188605</v>
          </cell>
          <cell r="U51">
            <v>3.5105000000000004</v>
          </cell>
          <cell r="V51">
            <v>1.9111578947368419</v>
          </cell>
        </row>
        <row r="56">
          <cell r="R56">
            <v>5.3183751295336794</v>
          </cell>
          <cell r="S56">
            <v>5.7282164328657323</v>
          </cell>
          <cell r="T56">
            <v>6.3179882121807474</v>
          </cell>
          <cell r="U56">
            <v>6.8919307692307701</v>
          </cell>
          <cell r="V56">
            <v>6.8885789473684209</v>
          </cell>
        </row>
        <row r="57">
          <cell r="R57">
            <v>7.4438507772020726E-2</v>
          </cell>
          <cell r="S57">
            <v>4.290200400801604E-2</v>
          </cell>
          <cell r="T57">
            <v>7.0563025540275048E-2</v>
          </cell>
          <cell r="U57">
            <v>6.66171153846154E-2</v>
          </cell>
          <cell r="V57">
            <v>0.22992499999999999</v>
          </cell>
        </row>
        <row r="58">
          <cell r="R58">
            <v>0</v>
          </cell>
          <cell r="S58">
            <v>0</v>
          </cell>
          <cell r="T58">
            <v>0</v>
          </cell>
          <cell r="U58">
            <v>0</v>
          </cell>
          <cell r="V58">
            <v>0</v>
          </cell>
        </row>
        <row r="62">
          <cell r="R62">
            <v>2.52E-2</v>
          </cell>
        </row>
        <row r="63">
          <cell r="R63">
            <v>0.1109</v>
          </cell>
        </row>
        <row r="64">
          <cell r="R64">
            <v>8.8700000000000001E-2</v>
          </cell>
        </row>
        <row r="65">
          <cell r="R65">
            <v>0.25</v>
          </cell>
        </row>
        <row r="66">
          <cell r="R66">
            <v>0.6</v>
          </cell>
        </row>
        <row r="67">
          <cell r="R67">
            <v>9.1E-4</v>
          </cell>
        </row>
      </sheetData>
      <sheetData sheetId="5"/>
      <sheetData sheetId="6"/>
    </sheetDataSet>
  </externalBook>
</externalLink>
</file>

<file path=xl/tables/table1.xml><?xml version="1.0" encoding="utf-8"?>
<table xmlns="http://schemas.openxmlformats.org/spreadsheetml/2006/main" id="1" name="Table1" displayName="Table1" ref="B7:AA45" totalsRowShown="0" headerRowDxfId="30" tableBorderDxfId="29" headerRowCellStyle="Normal 10">
  <autoFilter ref="B7:AA45"/>
  <sortState ref="B8:AA43">
    <sortCondition ref="B7:B43"/>
  </sortState>
  <tableColumns count="26">
    <tableColumn id="1" name="dms_TradingName_List" dataDxfId="28" dataCellStyle="Normal 2 2 2"/>
    <tableColumn id="2" name="dms_TradingNameFull_List" dataDxfId="27" dataCellStyle="Normal 10"/>
    <tableColumn id="3" name="dms_ABN_List" dataDxfId="26" dataCellStyle="Normal 2 2 2"/>
    <tableColumn id="4" name="dms_JurisdictionList" dataDxfId="25" dataCellStyle="Normal 13 2"/>
    <tableColumn id="5" name="dms_Sector_List" dataDxfId="24" dataCellStyle="Normal 2 2 2"/>
    <tableColumn id="6" name="dms_Segment_List" dataDxfId="23" dataCellStyle="Normal 2 2 2"/>
    <tableColumn id="7" name="dms_FormControl_List" dataDxfId="22" dataCellStyle="Normal 2 2 2"/>
    <tableColumn id="8" name="dms_RPT_List" dataDxfId="21" dataCellStyle="Normal 2 2 2"/>
    <tableColumn id="9" name="dms_RPTMonth_List" dataDxfId="20" dataCellStyle="Normal 2 2 2"/>
    <tableColumn id="10" name="dms_CRCPlength_List" dataDxfId="19" dataCellStyle="Normal 2 2 2"/>
    <tableColumn id="11" name="dms_FRCPlength_List" dataDxfId="18" dataCellStyle="Normal 2 2 2"/>
    <tableColumn id="12" name="dms_663_List" dataDxfId="17" dataCellStyle="Normal 13 2"/>
    <tableColumn id="13" name="dms_DeterminationRef_List" dataDxfId="16" dataCellStyle="Normal 2 2 2"/>
    <tableColumn id="14" name="dms_Addr1_List" dataDxfId="15" dataCellStyle="Normal 2 2 2"/>
    <tableColumn id="15" name="dms_Addr2_List" dataDxfId="14" dataCellStyle="Normal 2 2 2"/>
    <tableColumn id="16" name="dms_Suburb_List" dataDxfId="13" dataCellStyle="Normal 2 2 2"/>
    <tableColumn id="17" name="dms_State_List" dataDxfId="12" dataCellStyle="Normal 13 2"/>
    <tableColumn id="18" name="dms_PostCode_List" dataDxfId="11" dataCellStyle="Normal 2 2 2"/>
    <tableColumn id="19" name="dms_PAddr1_List" dataDxfId="10" dataCellStyle="Normal 2 2 2"/>
    <tableColumn id="20" name="dms_PAddr2_List" dataDxfId="9" dataCellStyle="Normal 2 2 2"/>
    <tableColumn id="21" name="dms_PSuburb_List" dataDxfId="8" dataCellStyle="Normal 2 2 2"/>
    <tableColumn id="22" name="dms_PState_List" dataDxfId="7" dataCellStyle="Normal 2 2 2"/>
    <tableColumn id="23" name="dms_PPostCode_List" dataDxfId="6" dataCellStyle="Normal 2 2 2"/>
    <tableColumn id="24" name="dms_ContactName1_List" dataDxfId="5" dataCellStyle="Normal 2 2 2"/>
    <tableColumn id="25" name="dms_ContactPh1_List" dataDxfId="4" dataCellStyle="Normal 2 2 2"/>
    <tableColumn id="26" name="dms_ContactEmail_List"/>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7.vml"/><Relationship Id="rId21" Type="http://schemas.openxmlformats.org/officeDocument/2006/relationships/ctrlProp" Target="../ctrlProps/ctrlProp19.xml"/><Relationship Id="rId34" Type="http://schemas.openxmlformats.org/officeDocument/2006/relationships/ctrlProp" Target="../ctrlProps/ctrlProp32.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2" Type="http://schemas.openxmlformats.org/officeDocument/2006/relationships/drawing" Target="../drawings/drawing5.x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1" Type="http://schemas.openxmlformats.org/officeDocument/2006/relationships/printerSettings" Target="../printerSettings/printerSettings10.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omments" Target="../comments7.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9" tint="-0.249977111117893"/>
  </sheetPr>
  <dimension ref="A1:AN140"/>
  <sheetViews>
    <sheetView showGridLines="0" zoomScale="70" zoomScaleNormal="70" workbookViewId="0">
      <selection activeCell="B16" sqref="B16"/>
    </sheetView>
  </sheetViews>
  <sheetFormatPr defaultColWidth="9.140625" defaultRowHeight="15"/>
  <cols>
    <col min="1" max="1" width="24.28515625" style="762" customWidth="1"/>
    <col min="2" max="2" width="33.85546875" style="773" bestFit="1" customWidth="1"/>
    <col min="3" max="3" width="60.5703125" style="773" customWidth="1"/>
    <col min="4" max="4" width="19.85546875" style="762" customWidth="1"/>
    <col min="5" max="5" width="25.140625" style="750" customWidth="1"/>
    <col min="6" max="6" width="21" style="762" customWidth="1"/>
    <col min="7" max="7" width="23" style="762" customWidth="1"/>
    <col min="8" max="8" width="27.5703125" style="773" customWidth="1"/>
    <col min="9" max="9" width="19" style="774" customWidth="1"/>
    <col min="10" max="10" width="25.5703125" style="773" customWidth="1"/>
    <col min="11" max="11" width="27" style="773" customWidth="1"/>
    <col min="12" max="12" width="26.7109375" style="775" customWidth="1"/>
    <col min="13" max="13" width="18.140625" style="762" customWidth="1"/>
    <col min="14" max="14" width="36.28515625" style="762" customWidth="1"/>
    <col min="15" max="15" width="19.85546875" style="763" customWidth="1"/>
    <col min="16" max="16" width="20.140625" style="763" customWidth="1"/>
    <col min="17" max="17" width="21.28515625" style="763" customWidth="1"/>
    <col min="18" max="18" width="19.5703125" style="763" customWidth="1"/>
    <col min="19" max="19" width="24.7109375" style="763" customWidth="1"/>
    <col min="20" max="20" width="21.42578125" style="763" customWidth="1"/>
    <col min="21" max="21" width="21.85546875" style="763" customWidth="1"/>
    <col min="22" max="22" width="22.85546875" style="763" customWidth="1"/>
    <col min="23" max="23" width="21.28515625" style="763" customWidth="1"/>
    <col min="24" max="24" width="26.28515625" style="762" customWidth="1"/>
    <col min="25" max="25" width="29.140625" style="762" customWidth="1"/>
    <col min="26" max="26" width="26.140625" style="762" customWidth="1"/>
    <col min="27" max="27" width="47.140625" style="762" customWidth="1"/>
    <col min="28" max="28" width="3.42578125" style="1020" customWidth="1"/>
    <col min="29" max="29" width="12.140625" style="1020" bestFit="1" customWidth="1"/>
    <col min="30" max="30" width="13.140625" style="762" bestFit="1" customWidth="1"/>
    <col min="31" max="31" width="13.5703125" style="762" bestFit="1" customWidth="1"/>
    <col min="32" max="32" width="12.42578125" style="762" bestFit="1" customWidth="1"/>
    <col min="33" max="33" width="16.7109375" style="762" bestFit="1" customWidth="1"/>
    <col min="34" max="34" width="16.7109375" style="762" customWidth="1"/>
    <col min="35" max="35" width="18" style="762" customWidth="1"/>
    <col min="36" max="36" width="28.85546875" style="762" customWidth="1"/>
    <col min="37" max="37" width="28.5703125" style="762" customWidth="1"/>
    <col min="38" max="38" width="14.28515625" style="762" bestFit="1" customWidth="1"/>
    <col min="39" max="39" width="12.42578125" style="762" bestFit="1" customWidth="1"/>
    <col min="40" max="40" width="37" style="762" customWidth="1"/>
    <col min="41" max="16384" width="9.140625" style="762"/>
  </cols>
  <sheetData>
    <row r="1" spans="2:40" ht="18">
      <c r="B1" s="1514" t="s">
        <v>579</v>
      </c>
      <c r="C1" s="1514"/>
      <c r="D1" s="1514"/>
      <c r="E1" s="1514"/>
      <c r="F1" s="1514"/>
      <c r="G1" s="1514"/>
      <c r="H1" s="1514"/>
      <c r="I1" s="1514"/>
      <c r="J1" s="1514"/>
      <c r="K1" s="1514"/>
      <c r="L1" s="1514"/>
    </row>
    <row r="2" spans="2:40" ht="18">
      <c r="B2" s="764" t="s">
        <v>581</v>
      </c>
      <c r="C2" s="1058">
        <v>42751</v>
      </c>
      <c r="D2" s="754" t="s">
        <v>1060</v>
      </c>
      <c r="E2" s="754"/>
      <c r="F2" s="765"/>
      <c r="G2" s="765"/>
      <c r="H2" s="766"/>
      <c r="I2" s="767"/>
      <c r="J2" s="766"/>
      <c r="K2" s="766"/>
      <c r="L2" s="768"/>
    </row>
    <row r="3" spans="2:40">
      <c r="B3" s="769"/>
      <c r="C3" s="770"/>
      <c r="D3" s="754"/>
      <c r="E3" s="754"/>
      <c r="F3" s="765"/>
      <c r="G3" s="765"/>
      <c r="H3" s="766"/>
      <c r="I3" s="767"/>
      <c r="J3" s="766"/>
      <c r="K3" s="766"/>
      <c r="L3" s="768"/>
    </row>
    <row r="4" spans="2:40" ht="16.5" thickBot="1">
      <c r="B4" s="766"/>
      <c r="C4" s="771"/>
      <c r="D4" s="765"/>
      <c r="E4" s="754"/>
      <c r="F4" s="765"/>
      <c r="G4" s="765"/>
      <c r="H4" s="766"/>
      <c r="I4" s="767"/>
      <c r="J4" s="766"/>
      <c r="K4" s="766"/>
      <c r="L4" s="768"/>
      <c r="AC4" s="1515" t="s">
        <v>1061</v>
      </c>
      <c r="AD4" s="1515"/>
      <c r="AE4" s="1515"/>
      <c r="AF4" s="1515"/>
      <c r="AG4" s="1515"/>
      <c r="AH4" s="1515"/>
      <c r="AI4" s="1515"/>
      <c r="AJ4" s="1515"/>
      <c r="AK4" s="1515"/>
      <c r="AL4" s="1515"/>
      <c r="AM4" s="1515"/>
    </row>
    <row r="5" spans="2:40">
      <c r="AC5" s="1516" t="s">
        <v>582</v>
      </c>
      <c r="AD5" s="1517"/>
      <c r="AE5" s="1517"/>
      <c r="AF5" s="1517"/>
      <c r="AG5" s="1059" t="s">
        <v>541</v>
      </c>
      <c r="AH5" s="1060" t="s">
        <v>1062</v>
      </c>
      <c r="AI5" s="1518" t="s">
        <v>583</v>
      </c>
      <c r="AJ5" s="1519"/>
      <c r="AK5" s="1519"/>
      <c r="AL5" s="1519"/>
      <c r="AM5" s="1520"/>
    </row>
    <row r="6" spans="2:40" ht="15.75" thickBot="1">
      <c r="C6" s="776"/>
      <c r="AC6" s="1061" t="s">
        <v>584</v>
      </c>
      <c r="AD6" s="1062" t="s">
        <v>585</v>
      </c>
      <c r="AE6" s="1062" t="s">
        <v>586</v>
      </c>
      <c r="AF6" s="1062" t="s">
        <v>587</v>
      </c>
      <c r="AG6" s="1063" t="s">
        <v>588</v>
      </c>
      <c r="AH6" s="1064"/>
      <c r="AI6" s="1065"/>
      <c r="AJ6" s="1066"/>
      <c r="AK6" s="1066"/>
      <c r="AL6" s="1066"/>
      <c r="AM6" s="1067"/>
    </row>
    <row r="7" spans="2:40" ht="26.25" thickBot="1">
      <c r="B7" s="1068" t="s">
        <v>589</v>
      </c>
      <c r="C7" s="1069" t="s">
        <v>590</v>
      </c>
      <c r="D7" s="1070" t="s">
        <v>552</v>
      </c>
      <c r="E7" s="1071" t="s">
        <v>576</v>
      </c>
      <c r="F7" s="1072" t="s">
        <v>553</v>
      </c>
      <c r="G7" s="1072" t="s">
        <v>554</v>
      </c>
      <c r="H7" s="1072" t="s">
        <v>591</v>
      </c>
      <c r="I7" s="1072" t="s">
        <v>592</v>
      </c>
      <c r="J7" s="1072" t="s">
        <v>593</v>
      </c>
      <c r="K7" s="1072" t="s">
        <v>574</v>
      </c>
      <c r="L7" s="1073" t="s">
        <v>575</v>
      </c>
      <c r="M7" s="1074" t="s">
        <v>594</v>
      </c>
      <c r="N7" s="1075" t="s">
        <v>595</v>
      </c>
      <c r="O7" s="1076" t="s">
        <v>596</v>
      </c>
      <c r="P7" s="1077" t="s">
        <v>597</v>
      </c>
      <c r="Q7" s="1077" t="s">
        <v>598</v>
      </c>
      <c r="R7" s="1077" t="s">
        <v>568</v>
      </c>
      <c r="S7" s="1077" t="s">
        <v>599</v>
      </c>
      <c r="T7" s="1078" t="s">
        <v>600</v>
      </c>
      <c r="U7" s="1078" t="s">
        <v>601</v>
      </c>
      <c r="V7" s="1078" t="s">
        <v>602</v>
      </c>
      <c r="W7" s="1078" t="s">
        <v>603</v>
      </c>
      <c r="X7" s="1079" t="s">
        <v>604</v>
      </c>
      <c r="Y7" s="1080" t="s">
        <v>605</v>
      </c>
      <c r="Z7" s="1080" t="s">
        <v>606</v>
      </c>
      <c r="AA7" s="1081" t="s">
        <v>607</v>
      </c>
      <c r="AC7" s="777" t="s">
        <v>608</v>
      </c>
      <c r="AD7" s="778" t="s">
        <v>609</v>
      </c>
      <c r="AE7" s="779" t="s">
        <v>610</v>
      </c>
      <c r="AF7" s="780" t="s">
        <v>611</v>
      </c>
      <c r="AG7" s="779" t="s">
        <v>612</v>
      </c>
      <c r="AH7" s="1082" t="s">
        <v>1063</v>
      </c>
      <c r="AI7" s="781" t="s">
        <v>613</v>
      </c>
      <c r="AJ7" s="782" t="s">
        <v>614</v>
      </c>
      <c r="AK7" s="782" t="s">
        <v>615</v>
      </c>
      <c r="AL7" s="782" t="s">
        <v>616</v>
      </c>
      <c r="AM7" s="783" t="s">
        <v>617</v>
      </c>
    </row>
    <row r="8" spans="2:40">
      <c r="B8" s="1083" t="s">
        <v>529</v>
      </c>
      <c r="C8" s="785" t="s">
        <v>529</v>
      </c>
      <c r="D8" s="1084">
        <v>76670568688</v>
      </c>
      <c r="E8" s="1085" t="s">
        <v>569</v>
      </c>
      <c r="F8" s="1086" t="s">
        <v>375</v>
      </c>
      <c r="G8" s="1086" t="s">
        <v>377</v>
      </c>
      <c r="H8" s="1087" t="s">
        <v>177</v>
      </c>
      <c r="I8" s="1088" t="s">
        <v>618</v>
      </c>
      <c r="J8" s="1087" t="s">
        <v>619</v>
      </c>
      <c r="K8" s="1089">
        <v>5</v>
      </c>
      <c r="L8" s="1090">
        <v>5</v>
      </c>
      <c r="M8" s="1091">
        <v>5</v>
      </c>
      <c r="N8" s="1092" t="s">
        <v>620</v>
      </c>
      <c r="O8" s="1093" t="s">
        <v>621</v>
      </c>
      <c r="P8" s="786"/>
      <c r="Q8" s="1094" t="s">
        <v>622</v>
      </c>
      <c r="R8" s="1095" t="s">
        <v>569</v>
      </c>
      <c r="S8" s="787" t="s">
        <v>623</v>
      </c>
      <c r="T8" s="788" t="s">
        <v>624</v>
      </c>
      <c r="U8" s="786"/>
      <c r="V8" s="786" t="s">
        <v>622</v>
      </c>
      <c r="W8" s="786" t="s">
        <v>569</v>
      </c>
      <c r="X8" s="1096">
        <v>2601</v>
      </c>
      <c r="Y8" s="788" t="s">
        <v>625</v>
      </c>
      <c r="Z8" s="786" t="s">
        <v>626</v>
      </c>
      <c r="AA8" s="789" t="s">
        <v>627</v>
      </c>
      <c r="AC8" s="1097" t="s">
        <v>628</v>
      </c>
      <c r="AD8" s="1098" t="s">
        <v>629</v>
      </c>
      <c r="AE8" s="1098" t="s">
        <v>629</v>
      </c>
      <c r="AF8" s="1099" t="s">
        <v>628</v>
      </c>
      <c r="AG8" s="1100" t="s">
        <v>628</v>
      </c>
      <c r="AH8" s="1101"/>
      <c r="AI8" s="1102" t="s">
        <v>584</v>
      </c>
      <c r="AJ8" s="1103" t="s">
        <v>585</v>
      </c>
      <c r="AK8" s="1103" t="s">
        <v>586</v>
      </c>
      <c r="AL8" s="1104" t="s">
        <v>630</v>
      </c>
      <c r="AM8" s="1105"/>
      <c r="AN8" s="1106" t="s">
        <v>529</v>
      </c>
    </row>
    <row r="9" spans="2:40">
      <c r="B9" s="1083" t="s">
        <v>567</v>
      </c>
      <c r="C9" s="785" t="s">
        <v>567</v>
      </c>
      <c r="D9" s="1084">
        <v>76670568688</v>
      </c>
      <c r="E9" s="1107" t="s">
        <v>569</v>
      </c>
      <c r="F9" s="1108" t="s">
        <v>375</v>
      </c>
      <c r="G9" s="1108" t="s">
        <v>377</v>
      </c>
      <c r="H9" s="1109" t="s">
        <v>177</v>
      </c>
      <c r="I9" s="1110" t="s">
        <v>618</v>
      </c>
      <c r="J9" s="1109" t="s">
        <v>619</v>
      </c>
      <c r="K9" s="1111">
        <v>5</v>
      </c>
      <c r="L9" s="1112">
        <v>5</v>
      </c>
      <c r="M9" s="1113">
        <v>5</v>
      </c>
      <c r="N9" s="1114" t="s">
        <v>631</v>
      </c>
      <c r="O9" s="1115" t="s">
        <v>621</v>
      </c>
      <c r="P9" s="790"/>
      <c r="Q9" s="1116" t="s">
        <v>622</v>
      </c>
      <c r="R9" s="1117" t="s">
        <v>569</v>
      </c>
      <c r="S9" s="791" t="s">
        <v>623</v>
      </c>
      <c r="T9" s="792" t="s">
        <v>624</v>
      </c>
      <c r="U9" s="790"/>
      <c r="V9" s="790" t="s">
        <v>622</v>
      </c>
      <c r="W9" s="790" t="s">
        <v>569</v>
      </c>
      <c r="X9" s="1118">
        <v>2601</v>
      </c>
      <c r="Y9" s="792" t="s">
        <v>625</v>
      </c>
      <c r="Z9" s="790" t="s">
        <v>626</v>
      </c>
      <c r="AA9" s="793" t="s">
        <v>627</v>
      </c>
      <c r="AC9" s="1119"/>
      <c r="AD9" s="1120"/>
      <c r="AE9" s="1120"/>
      <c r="AF9" s="1120"/>
      <c r="AG9" s="1121"/>
      <c r="AH9" s="1122"/>
      <c r="AI9" s="1119" t="s">
        <v>584</v>
      </c>
      <c r="AJ9" s="1120" t="s">
        <v>585</v>
      </c>
      <c r="AK9" s="1120" t="s">
        <v>586</v>
      </c>
      <c r="AL9" s="1123" t="s">
        <v>630</v>
      </c>
      <c r="AM9" s="1121"/>
      <c r="AN9" s="1106" t="s">
        <v>567</v>
      </c>
    </row>
    <row r="10" spans="2:40">
      <c r="B10" s="1124" t="s">
        <v>632</v>
      </c>
      <c r="C10" s="784" t="s">
        <v>632</v>
      </c>
      <c r="D10" s="1084">
        <v>76670568688</v>
      </c>
      <c r="E10" s="1107" t="s">
        <v>569</v>
      </c>
      <c r="F10" s="1108" t="s">
        <v>556</v>
      </c>
      <c r="G10" s="1108" t="s">
        <v>377</v>
      </c>
      <c r="H10" s="1109" t="s">
        <v>261</v>
      </c>
      <c r="I10" s="1110" t="s">
        <v>618</v>
      </c>
      <c r="J10" s="1109" t="s">
        <v>619</v>
      </c>
      <c r="K10" s="1111">
        <v>5</v>
      </c>
      <c r="L10" s="1112">
        <v>5</v>
      </c>
      <c r="M10" s="1113" t="s">
        <v>633</v>
      </c>
      <c r="N10" s="1114"/>
      <c r="O10" s="1115" t="s">
        <v>621</v>
      </c>
      <c r="P10" s="790"/>
      <c r="Q10" s="1116" t="s">
        <v>622</v>
      </c>
      <c r="R10" s="1117" t="s">
        <v>569</v>
      </c>
      <c r="S10" s="791" t="s">
        <v>623</v>
      </c>
      <c r="T10" s="792" t="s">
        <v>624</v>
      </c>
      <c r="U10" s="790"/>
      <c r="V10" s="790" t="s">
        <v>622</v>
      </c>
      <c r="W10" s="790" t="s">
        <v>569</v>
      </c>
      <c r="X10" s="1118">
        <v>2601</v>
      </c>
      <c r="Y10" s="792" t="s">
        <v>634</v>
      </c>
      <c r="Z10" s="790" t="s">
        <v>635</v>
      </c>
      <c r="AA10" s="793" t="s">
        <v>636</v>
      </c>
      <c r="AC10" s="1119"/>
      <c r="AD10" s="1120"/>
      <c r="AE10" s="1120"/>
      <c r="AF10" s="1120"/>
      <c r="AG10" s="1121"/>
      <c r="AH10" s="1122"/>
      <c r="AI10" s="1119"/>
      <c r="AJ10" s="1120"/>
      <c r="AK10" s="1120"/>
      <c r="AL10" s="1123"/>
      <c r="AM10" s="1121"/>
      <c r="AN10" s="1125" t="s">
        <v>632</v>
      </c>
    </row>
    <row r="11" spans="2:40">
      <c r="B11" s="1126" t="s">
        <v>1064</v>
      </c>
      <c r="C11" s="795" t="s">
        <v>1065</v>
      </c>
      <c r="D11" s="1127">
        <v>19078551685</v>
      </c>
      <c r="E11" s="1107" t="s">
        <v>571</v>
      </c>
      <c r="F11" s="1108" t="s">
        <v>556</v>
      </c>
      <c r="G11" s="1108" t="s">
        <v>377</v>
      </c>
      <c r="H11" s="1128" t="s">
        <v>261</v>
      </c>
      <c r="I11" s="1129" t="s">
        <v>652</v>
      </c>
      <c r="J11" s="1108" t="s">
        <v>653</v>
      </c>
      <c r="K11" s="1111">
        <v>5</v>
      </c>
      <c r="L11" s="1112">
        <v>5</v>
      </c>
      <c r="M11" s="1113" t="s">
        <v>633</v>
      </c>
      <c r="N11" s="1130"/>
      <c r="O11" s="792" t="s">
        <v>1066</v>
      </c>
      <c r="P11" s="790" t="s">
        <v>1067</v>
      </c>
      <c r="Q11" s="790" t="s">
        <v>675</v>
      </c>
      <c r="R11" s="796" t="s">
        <v>570</v>
      </c>
      <c r="S11" s="791" t="s">
        <v>676</v>
      </c>
      <c r="T11" s="792" t="s">
        <v>1068</v>
      </c>
      <c r="U11" s="790" t="s">
        <v>1069</v>
      </c>
      <c r="V11" s="790" t="s">
        <v>675</v>
      </c>
      <c r="W11" s="790" t="s">
        <v>570</v>
      </c>
      <c r="X11" s="791" t="s">
        <v>676</v>
      </c>
      <c r="Y11" s="792" t="s">
        <v>1070</v>
      </c>
      <c r="Z11" s="790" t="s">
        <v>1071</v>
      </c>
      <c r="AA11" s="793" t="s">
        <v>1072</v>
      </c>
      <c r="AC11" s="1119"/>
      <c r="AD11" s="1120"/>
      <c r="AE11" s="1120"/>
      <c r="AF11" s="1120"/>
      <c r="AG11" s="1121"/>
      <c r="AH11" s="1122"/>
      <c r="AI11" s="1119" t="s">
        <v>584</v>
      </c>
      <c r="AJ11" s="1120" t="s">
        <v>585</v>
      </c>
      <c r="AK11" s="1120" t="s">
        <v>586</v>
      </c>
      <c r="AL11" s="1123" t="s">
        <v>630</v>
      </c>
      <c r="AM11" s="1121"/>
      <c r="AN11" s="1131" t="s">
        <v>1064</v>
      </c>
    </row>
    <row r="12" spans="2:40">
      <c r="B12" s="1126" t="s">
        <v>1073</v>
      </c>
      <c r="C12" s="795" t="s">
        <v>1074</v>
      </c>
      <c r="D12" s="1127">
        <v>19078551685</v>
      </c>
      <c r="E12" s="1107" t="s">
        <v>571</v>
      </c>
      <c r="F12" s="1108" t="s">
        <v>556</v>
      </c>
      <c r="G12" s="1108" t="s">
        <v>377</v>
      </c>
      <c r="H12" s="1128" t="s">
        <v>261</v>
      </c>
      <c r="I12" s="1129" t="s">
        <v>652</v>
      </c>
      <c r="J12" s="1108" t="s">
        <v>653</v>
      </c>
      <c r="K12" s="1111">
        <v>5</v>
      </c>
      <c r="L12" s="1112">
        <v>5</v>
      </c>
      <c r="M12" s="1113" t="s">
        <v>633</v>
      </c>
      <c r="N12" s="1130"/>
      <c r="O12" s="792" t="s">
        <v>1066</v>
      </c>
      <c r="P12" s="790" t="s">
        <v>1067</v>
      </c>
      <c r="Q12" s="790" t="s">
        <v>675</v>
      </c>
      <c r="R12" s="796" t="s">
        <v>570</v>
      </c>
      <c r="S12" s="791" t="s">
        <v>676</v>
      </c>
      <c r="T12" s="792" t="s">
        <v>1068</v>
      </c>
      <c r="U12" s="790" t="s">
        <v>1069</v>
      </c>
      <c r="V12" s="790" t="s">
        <v>675</v>
      </c>
      <c r="W12" s="790" t="s">
        <v>570</v>
      </c>
      <c r="X12" s="791" t="s">
        <v>676</v>
      </c>
      <c r="Y12" s="792" t="s">
        <v>1070</v>
      </c>
      <c r="Z12" s="790" t="s">
        <v>1071</v>
      </c>
      <c r="AA12" s="793" t="s">
        <v>1072</v>
      </c>
      <c r="AC12" s="1119"/>
      <c r="AD12" s="1120"/>
      <c r="AE12" s="1120"/>
      <c r="AF12" s="1120"/>
      <c r="AG12" s="1121"/>
      <c r="AH12" s="1122"/>
      <c r="AI12" s="1119" t="s">
        <v>584</v>
      </c>
      <c r="AJ12" s="1120" t="s">
        <v>585</v>
      </c>
      <c r="AK12" s="1120" t="s">
        <v>586</v>
      </c>
      <c r="AL12" s="1123" t="s">
        <v>630</v>
      </c>
      <c r="AM12" s="1121"/>
      <c r="AN12" s="1131"/>
    </row>
    <row r="13" spans="2:40">
      <c r="B13" s="1126" t="s">
        <v>1075</v>
      </c>
      <c r="C13" s="795" t="s">
        <v>1076</v>
      </c>
      <c r="D13" s="1127">
        <v>19078551685</v>
      </c>
      <c r="E13" s="1107" t="s">
        <v>570</v>
      </c>
      <c r="F13" s="1108" t="s">
        <v>556</v>
      </c>
      <c r="G13" s="1108" t="s">
        <v>377</v>
      </c>
      <c r="H13" s="1109" t="s">
        <v>261</v>
      </c>
      <c r="I13" s="1110" t="s">
        <v>618</v>
      </c>
      <c r="J13" s="1109" t="s">
        <v>619</v>
      </c>
      <c r="K13" s="1111">
        <v>5</v>
      </c>
      <c r="L13" s="1112">
        <v>5</v>
      </c>
      <c r="M13" s="1113">
        <v>5</v>
      </c>
      <c r="N13" s="1114" t="s">
        <v>631</v>
      </c>
      <c r="O13" s="792" t="s">
        <v>1066</v>
      </c>
      <c r="P13" s="790" t="s">
        <v>1067</v>
      </c>
      <c r="Q13" s="790" t="s">
        <v>675</v>
      </c>
      <c r="R13" s="796" t="s">
        <v>570</v>
      </c>
      <c r="S13" s="791" t="s">
        <v>676</v>
      </c>
      <c r="T13" s="792" t="s">
        <v>1068</v>
      </c>
      <c r="U13" s="790" t="s">
        <v>1069</v>
      </c>
      <c r="V13" s="790" t="s">
        <v>675</v>
      </c>
      <c r="W13" s="790" t="s">
        <v>570</v>
      </c>
      <c r="X13" s="791" t="s">
        <v>676</v>
      </c>
      <c r="Y13" s="792" t="s">
        <v>1070</v>
      </c>
      <c r="Z13" s="790" t="s">
        <v>1071</v>
      </c>
      <c r="AA13" s="793" t="s">
        <v>1072</v>
      </c>
      <c r="AC13" s="1132"/>
      <c r="AD13" s="1133"/>
      <c r="AE13" s="1133"/>
      <c r="AF13" s="1133"/>
      <c r="AG13" s="1134"/>
      <c r="AH13" s="1135"/>
      <c r="AI13" s="1119"/>
      <c r="AJ13" s="1120"/>
      <c r="AK13" s="1120"/>
      <c r="AL13" s="1123"/>
      <c r="AM13" s="1121"/>
      <c r="AN13" s="1131" t="s">
        <v>1075</v>
      </c>
    </row>
    <row r="14" spans="2:40">
      <c r="B14" s="1126" t="s">
        <v>1077</v>
      </c>
      <c r="C14" s="795" t="s">
        <v>1078</v>
      </c>
      <c r="D14" s="1127">
        <v>19078551685</v>
      </c>
      <c r="E14" s="1107" t="s">
        <v>571</v>
      </c>
      <c r="F14" s="1108" t="s">
        <v>556</v>
      </c>
      <c r="G14" s="1108" t="s">
        <v>377</v>
      </c>
      <c r="H14" s="1128" t="s">
        <v>261</v>
      </c>
      <c r="I14" s="1129" t="s">
        <v>652</v>
      </c>
      <c r="J14" s="1108" t="s">
        <v>653</v>
      </c>
      <c r="K14" s="1111">
        <v>5</v>
      </c>
      <c r="L14" s="1112">
        <v>5</v>
      </c>
      <c r="M14" s="1113" t="s">
        <v>633</v>
      </c>
      <c r="N14" s="1130"/>
      <c r="O14" s="792"/>
      <c r="P14" s="790"/>
      <c r="Q14" s="790"/>
      <c r="R14" s="790"/>
      <c r="S14" s="791"/>
      <c r="T14" s="792"/>
      <c r="U14" s="790"/>
      <c r="V14" s="790"/>
      <c r="W14" s="790"/>
      <c r="X14" s="1118"/>
      <c r="Y14" s="1119"/>
      <c r="Z14" s="1120"/>
      <c r="AA14" s="1121"/>
      <c r="AC14" s="1132"/>
      <c r="AD14" s="1133"/>
      <c r="AE14" s="1133"/>
      <c r="AF14" s="1133"/>
      <c r="AG14" s="1134"/>
      <c r="AH14" s="1135"/>
      <c r="AI14" s="1119"/>
      <c r="AJ14" s="1120"/>
      <c r="AK14" s="1120"/>
      <c r="AL14" s="1123"/>
      <c r="AM14" s="1121"/>
      <c r="AN14" s="1131" t="s">
        <v>1077</v>
      </c>
    </row>
    <row r="15" spans="2:40">
      <c r="B15" s="1126" t="s">
        <v>637</v>
      </c>
      <c r="C15" s="795" t="s">
        <v>638</v>
      </c>
      <c r="D15" s="1127">
        <v>39009737393</v>
      </c>
      <c r="E15" s="1107" t="s">
        <v>639</v>
      </c>
      <c r="F15" s="1108" t="s">
        <v>556</v>
      </c>
      <c r="G15" s="1108" t="s">
        <v>558</v>
      </c>
      <c r="H15" s="1109" t="s">
        <v>261</v>
      </c>
      <c r="I15" s="1110" t="s">
        <v>618</v>
      </c>
      <c r="J15" s="1109" t="s">
        <v>619</v>
      </c>
      <c r="K15" s="1111">
        <v>5</v>
      </c>
      <c r="L15" s="1112">
        <v>5</v>
      </c>
      <c r="M15" s="1113" t="s">
        <v>633</v>
      </c>
      <c r="N15" s="1114" t="s">
        <v>206</v>
      </c>
      <c r="O15" s="792" t="s">
        <v>640</v>
      </c>
      <c r="P15" s="790" t="s">
        <v>641</v>
      </c>
      <c r="Q15" s="790" t="s">
        <v>642</v>
      </c>
      <c r="R15" s="796" t="s">
        <v>416</v>
      </c>
      <c r="S15" s="791" t="s">
        <v>643</v>
      </c>
      <c r="T15" s="792" t="s">
        <v>640</v>
      </c>
      <c r="U15" s="790" t="s">
        <v>641</v>
      </c>
      <c r="V15" s="790" t="s">
        <v>642</v>
      </c>
      <c r="W15" s="796" t="s">
        <v>416</v>
      </c>
      <c r="X15" s="791" t="s">
        <v>643</v>
      </c>
      <c r="Y15" s="792" t="s">
        <v>644</v>
      </c>
      <c r="Z15" s="790" t="s">
        <v>645</v>
      </c>
      <c r="AA15" s="793" t="s">
        <v>646</v>
      </c>
      <c r="AC15" s="1136"/>
      <c r="AD15" s="1137"/>
      <c r="AE15" s="1137"/>
      <c r="AF15" s="1137"/>
      <c r="AG15" s="1138"/>
      <c r="AH15" s="1122"/>
      <c r="AI15" s="1119"/>
      <c r="AJ15" s="1120"/>
      <c r="AK15" s="1120"/>
      <c r="AL15" s="1123"/>
      <c r="AM15" s="1121"/>
      <c r="AN15" s="1131" t="s">
        <v>637</v>
      </c>
    </row>
    <row r="16" spans="2:40">
      <c r="B16" s="1126" t="s">
        <v>1079</v>
      </c>
      <c r="C16" s="795" t="s">
        <v>1080</v>
      </c>
      <c r="D16" s="1139" t="s">
        <v>1081</v>
      </c>
      <c r="E16" s="1107" t="s">
        <v>571</v>
      </c>
      <c r="F16" s="1108" t="s">
        <v>556</v>
      </c>
      <c r="G16" s="1108" t="s">
        <v>558</v>
      </c>
      <c r="H16" s="1128" t="s">
        <v>261</v>
      </c>
      <c r="I16" s="1110" t="s">
        <v>652</v>
      </c>
      <c r="J16" s="1109" t="s">
        <v>653</v>
      </c>
      <c r="K16" s="1111">
        <v>5</v>
      </c>
      <c r="L16" s="1140">
        <v>5</v>
      </c>
      <c r="M16" s="1113" t="s">
        <v>633</v>
      </c>
      <c r="N16" s="1114"/>
      <c r="O16" s="792" t="s">
        <v>640</v>
      </c>
      <c r="P16" s="790" t="s">
        <v>641</v>
      </c>
      <c r="Q16" s="790" t="s">
        <v>642</v>
      </c>
      <c r="R16" s="796" t="s">
        <v>416</v>
      </c>
      <c r="S16" s="791" t="s">
        <v>643</v>
      </c>
      <c r="T16" s="792" t="s">
        <v>1082</v>
      </c>
      <c r="U16" s="790"/>
      <c r="V16" s="790" t="s">
        <v>1083</v>
      </c>
      <c r="W16" s="796" t="s">
        <v>416</v>
      </c>
      <c r="X16" s="791" t="s">
        <v>1084</v>
      </c>
      <c r="Y16" s="792"/>
      <c r="Z16" s="790" t="s">
        <v>1085</v>
      </c>
      <c r="AA16" s="793"/>
      <c r="AC16" s="1119"/>
      <c r="AD16" s="1120"/>
      <c r="AE16" s="1120"/>
      <c r="AF16" s="1120"/>
      <c r="AG16" s="1121"/>
      <c r="AH16" s="1122"/>
      <c r="AI16" s="1119"/>
      <c r="AJ16" s="1120"/>
      <c r="AK16" s="1120"/>
      <c r="AL16" s="1123"/>
      <c r="AM16" s="1121"/>
      <c r="AN16" s="1131" t="s">
        <v>1079</v>
      </c>
    </row>
    <row r="17" spans="2:40">
      <c r="B17" s="1141" t="s">
        <v>530</v>
      </c>
      <c r="C17" s="795" t="s">
        <v>530</v>
      </c>
      <c r="D17" s="1127">
        <v>67505337385</v>
      </c>
      <c r="E17" s="1107" t="s">
        <v>416</v>
      </c>
      <c r="F17" s="1108" t="s">
        <v>375</v>
      </c>
      <c r="G17" s="1108" t="s">
        <v>377</v>
      </c>
      <c r="H17" s="1109" t="s">
        <v>177</v>
      </c>
      <c r="I17" s="1110" t="s">
        <v>618</v>
      </c>
      <c r="J17" s="1109" t="s">
        <v>619</v>
      </c>
      <c r="K17" s="1111">
        <v>5</v>
      </c>
      <c r="L17" s="1112">
        <v>5</v>
      </c>
      <c r="M17" s="1113">
        <v>5</v>
      </c>
      <c r="N17" s="1130" t="s">
        <v>620</v>
      </c>
      <c r="O17" s="792" t="s">
        <v>647</v>
      </c>
      <c r="P17" s="790"/>
      <c r="Q17" s="790" t="s">
        <v>642</v>
      </c>
      <c r="R17" s="796" t="s">
        <v>416</v>
      </c>
      <c r="S17" s="791">
        <v>2000</v>
      </c>
      <c r="T17" s="792"/>
      <c r="U17" s="790"/>
      <c r="V17" s="790"/>
      <c r="W17" s="790"/>
      <c r="X17" s="791"/>
      <c r="Y17" s="792" t="s">
        <v>648</v>
      </c>
      <c r="Z17" s="790" t="s">
        <v>649</v>
      </c>
      <c r="AA17" s="793" t="s">
        <v>650</v>
      </c>
      <c r="AC17" s="1142" t="s">
        <v>629</v>
      </c>
      <c r="AD17" s="1143" t="s">
        <v>629</v>
      </c>
      <c r="AE17" s="1143" t="s">
        <v>629</v>
      </c>
      <c r="AF17" s="1143" t="s">
        <v>629</v>
      </c>
      <c r="AG17" s="1144" t="s">
        <v>628</v>
      </c>
      <c r="AH17" s="1145"/>
      <c r="AI17" s="1119" t="s">
        <v>584</v>
      </c>
      <c r="AJ17" s="1120" t="s">
        <v>585</v>
      </c>
      <c r="AK17" s="1120" t="s">
        <v>586</v>
      </c>
      <c r="AL17" s="1123" t="s">
        <v>630</v>
      </c>
      <c r="AM17" s="1121"/>
      <c r="AN17" s="1146" t="s">
        <v>530</v>
      </c>
    </row>
    <row r="18" spans="2:40">
      <c r="B18" s="1141" t="s">
        <v>557</v>
      </c>
      <c r="C18" s="795" t="s">
        <v>557</v>
      </c>
      <c r="D18" s="1084">
        <v>67505337385</v>
      </c>
      <c r="E18" s="1107" t="s">
        <v>416</v>
      </c>
      <c r="F18" s="1108" t="s">
        <v>375</v>
      </c>
      <c r="G18" s="1108" t="s">
        <v>377</v>
      </c>
      <c r="H18" s="1109" t="s">
        <v>177</v>
      </c>
      <c r="I18" s="1110" t="s">
        <v>618</v>
      </c>
      <c r="J18" s="1109" t="s">
        <v>619</v>
      </c>
      <c r="K18" s="1111">
        <v>5</v>
      </c>
      <c r="L18" s="1112">
        <v>5</v>
      </c>
      <c r="M18" s="1113">
        <v>5</v>
      </c>
      <c r="N18" s="1114" t="s">
        <v>631</v>
      </c>
      <c r="O18" s="792"/>
      <c r="P18" s="790"/>
      <c r="Q18" s="790"/>
      <c r="R18" s="796" t="s">
        <v>416</v>
      </c>
      <c r="S18" s="791"/>
      <c r="T18" s="792"/>
      <c r="U18" s="790"/>
      <c r="V18" s="790"/>
      <c r="W18" s="790"/>
      <c r="X18" s="791"/>
      <c r="Y18" s="792"/>
      <c r="Z18" s="790"/>
      <c r="AA18" s="793"/>
      <c r="AC18" s="1119"/>
      <c r="AD18" s="1120"/>
      <c r="AE18" s="1120"/>
      <c r="AF18" s="1120"/>
      <c r="AG18" s="1121"/>
      <c r="AH18" s="1122"/>
      <c r="AI18" s="1119" t="s">
        <v>584</v>
      </c>
      <c r="AJ18" s="1120" t="s">
        <v>585</v>
      </c>
      <c r="AK18" s="1120" t="s">
        <v>586</v>
      </c>
      <c r="AL18" s="1123" t="s">
        <v>630</v>
      </c>
      <c r="AM18" s="1121"/>
      <c r="AN18" s="1146" t="s">
        <v>557</v>
      </c>
    </row>
    <row r="19" spans="2:40" ht="15" customHeight="1">
      <c r="B19" s="1141" t="s">
        <v>531</v>
      </c>
      <c r="C19" s="795" t="s">
        <v>651</v>
      </c>
      <c r="D19" s="1127">
        <v>91064651118</v>
      </c>
      <c r="E19" s="1107" t="s">
        <v>571</v>
      </c>
      <c r="F19" s="1108" t="s">
        <v>375</v>
      </c>
      <c r="G19" s="1108" t="s">
        <v>377</v>
      </c>
      <c r="H19" s="1109" t="s">
        <v>177</v>
      </c>
      <c r="I19" s="1110" t="s">
        <v>652</v>
      </c>
      <c r="J19" s="1109" t="s">
        <v>653</v>
      </c>
      <c r="K19" s="1111">
        <v>5</v>
      </c>
      <c r="L19" s="1112">
        <v>5</v>
      </c>
      <c r="M19" s="1113">
        <v>2</v>
      </c>
      <c r="N19" s="1130" t="s">
        <v>654</v>
      </c>
      <c r="O19" s="792" t="s">
        <v>655</v>
      </c>
      <c r="P19" s="790" t="s">
        <v>656</v>
      </c>
      <c r="Q19" s="790" t="s">
        <v>657</v>
      </c>
      <c r="R19" s="790" t="s">
        <v>571</v>
      </c>
      <c r="S19" s="791" t="s">
        <v>658</v>
      </c>
      <c r="T19" s="797" t="s">
        <v>659</v>
      </c>
      <c r="U19" s="790"/>
      <c r="V19" s="790" t="s">
        <v>660</v>
      </c>
      <c r="W19" s="790" t="s">
        <v>661</v>
      </c>
      <c r="X19" s="791">
        <v>8001</v>
      </c>
      <c r="Y19" s="792" t="s">
        <v>662</v>
      </c>
      <c r="Z19" s="798" t="s">
        <v>663</v>
      </c>
      <c r="AA19" s="799" t="s">
        <v>664</v>
      </c>
      <c r="AC19" s="1147"/>
      <c r="AD19" s="1143" t="s">
        <v>629</v>
      </c>
      <c r="AE19" s="1143" t="s">
        <v>629</v>
      </c>
      <c r="AF19" s="1143" t="s">
        <v>629</v>
      </c>
      <c r="AG19" s="1144" t="s">
        <v>628</v>
      </c>
      <c r="AH19" s="1145"/>
      <c r="AI19" s="1119" t="s">
        <v>584</v>
      </c>
      <c r="AJ19" s="1120" t="s">
        <v>585</v>
      </c>
      <c r="AK19" s="1120" t="s">
        <v>586</v>
      </c>
      <c r="AL19" s="1123" t="s">
        <v>630</v>
      </c>
      <c r="AM19" s="1121"/>
      <c r="AN19" s="1146" t="s">
        <v>531</v>
      </c>
    </row>
    <row r="20" spans="2:40" ht="15" customHeight="1">
      <c r="B20" s="1126" t="s">
        <v>1086</v>
      </c>
      <c r="C20" s="795" t="s">
        <v>1087</v>
      </c>
      <c r="D20" s="1139" t="s">
        <v>1088</v>
      </c>
      <c r="E20" s="1107" t="s">
        <v>571</v>
      </c>
      <c r="F20" s="1108" t="s">
        <v>556</v>
      </c>
      <c r="G20" s="1108" t="s">
        <v>377</v>
      </c>
      <c r="H20" s="1128" t="s">
        <v>261</v>
      </c>
      <c r="I20" s="1110" t="s">
        <v>652</v>
      </c>
      <c r="J20" s="1109" t="s">
        <v>653</v>
      </c>
      <c r="K20" s="1111">
        <v>5</v>
      </c>
      <c r="L20" s="1112">
        <v>5</v>
      </c>
      <c r="M20" s="1113" t="s">
        <v>1089</v>
      </c>
      <c r="N20" s="1130"/>
      <c r="O20" s="792"/>
      <c r="P20" s="790"/>
      <c r="Q20" s="790"/>
      <c r="R20" s="790"/>
      <c r="S20" s="791"/>
      <c r="T20" s="797"/>
      <c r="U20" s="790"/>
      <c r="V20" s="790"/>
      <c r="W20" s="790"/>
      <c r="X20" s="791"/>
      <c r="Y20" s="792"/>
      <c r="Z20" s="798"/>
      <c r="AA20" s="799"/>
      <c r="AC20" s="1147"/>
      <c r="AD20" s="1143"/>
      <c r="AE20" s="1143"/>
      <c r="AF20" s="1143"/>
      <c r="AG20" s="1144"/>
      <c r="AH20" s="1122"/>
      <c r="AI20" s="1119"/>
      <c r="AJ20" s="1120"/>
      <c r="AK20" s="1120"/>
      <c r="AL20" s="1123"/>
      <c r="AM20" s="1121"/>
      <c r="AN20" s="1131" t="s">
        <v>1086</v>
      </c>
    </row>
    <row r="21" spans="2:40">
      <c r="B21" s="1141" t="s">
        <v>532</v>
      </c>
      <c r="C21" s="1148" t="s">
        <v>1090</v>
      </c>
      <c r="D21" s="1149">
        <v>48116124362</v>
      </c>
      <c r="E21" s="1107" t="s">
        <v>571</v>
      </c>
      <c r="F21" s="1108" t="s">
        <v>375</v>
      </c>
      <c r="G21" s="1108" t="s">
        <v>558</v>
      </c>
      <c r="H21" s="1109" t="s">
        <v>177</v>
      </c>
      <c r="I21" s="1110" t="s">
        <v>618</v>
      </c>
      <c r="J21" s="1109" t="s">
        <v>665</v>
      </c>
      <c r="K21" s="1111">
        <v>5</v>
      </c>
      <c r="L21" s="1150">
        <v>5</v>
      </c>
      <c r="M21" s="1113">
        <v>2</v>
      </c>
      <c r="N21" s="1114" t="s">
        <v>666</v>
      </c>
      <c r="O21" s="792" t="s">
        <v>655</v>
      </c>
      <c r="P21" s="790" t="s">
        <v>656</v>
      </c>
      <c r="Q21" s="790" t="s">
        <v>657</v>
      </c>
      <c r="R21" s="790" t="s">
        <v>571</v>
      </c>
      <c r="S21" s="791" t="s">
        <v>658</v>
      </c>
      <c r="T21" s="792" t="s">
        <v>659</v>
      </c>
      <c r="U21" s="790"/>
      <c r="V21" s="790" t="s">
        <v>660</v>
      </c>
      <c r="W21" s="790" t="s">
        <v>571</v>
      </c>
      <c r="X21" s="791" t="s">
        <v>1091</v>
      </c>
      <c r="Y21" s="792" t="s">
        <v>1092</v>
      </c>
      <c r="Z21" s="798" t="s">
        <v>1093</v>
      </c>
      <c r="AA21" s="799" t="s">
        <v>1094</v>
      </c>
      <c r="AC21" s="1119"/>
      <c r="AD21" s="1120"/>
      <c r="AE21" s="1120"/>
      <c r="AF21" s="1120"/>
      <c r="AG21" s="1121"/>
      <c r="AH21" s="1122"/>
      <c r="AI21" s="1119" t="s">
        <v>584</v>
      </c>
      <c r="AJ21" s="1120" t="s">
        <v>585</v>
      </c>
      <c r="AK21" s="1120" t="s">
        <v>586</v>
      </c>
      <c r="AL21" s="1123" t="s">
        <v>630</v>
      </c>
      <c r="AM21" s="1121"/>
      <c r="AN21" s="1146" t="s">
        <v>532</v>
      </c>
    </row>
    <row r="22" spans="2:40">
      <c r="B22" s="1151" t="s">
        <v>559</v>
      </c>
      <c r="C22" s="800" t="s">
        <v>559</v>
      </c>
      <c r="D22" s="1152">
        <v>11222333444</v>
      </c>
      <c r="E22" s="1153" t="s">
        <v>577</v>
      </c>
      <c r="F22" s="1154" t="s">
        <v>375</v>
      </c>
      <c r="G22" s="1154" t="s">
        <v>377</v>
      </c>
      <c r="H22" s="1154" t="s">
        <v>177</v>
      </c>
      <c r="I22" s="1155" t="s">
        <v>618</v>
      </c>
      <c r="J22" s="1154" t="s">
        <v>619</v>
      </c>
      <c r="K22" s="1156">
        <v>5</v>
      </c>
      <c r="L22" s="1157">
        <v>5</v>
      </c>
      <c r="M22" s="1158">
        <v>2</v>
      </c>
      <c r="N22" s="1159" t="s">
        <v>631</v>
      </c>
      <c r="O22" s="1160" t="s">
        <v>414</v>
      </c>
      <c r="P22" s="1161"/>
      <c r="Q22" s="1161" t="s">
        <v>642</v>
      </c>
      <c r="R22" s="1162" t="s">
        <v>416</v>
      </c>
      <c r="S22" s="1163" t="s">
        <v>643</v>
      </c>
      <c r="T22" s="1160" t="s">
        <v>417</v>
      </c>
      <c r="U22" s="1161"/>
      <c r="V22" s="1161" t="s">
        <v>642</v>
      </c>
      <c r="W22" s="1161" t="s">
        <v>416</v>
      </c>
      <c r="X22" s="1163">
        <v>2000</v>
      </c>
      <c r="Y22" s="1160" t="s">
        <v>390</v>
      </c>
      <c r="Z22" s="1161" t="s">
        <v>1095</v>
      </c>
      <c r="AA22" s="1164" t="s">
        <v>484</v>
      </c>
      <c r="AC22" s="1119"/>
      <c r="AD22" s="1120"/>
      <c r="AE22" s="1120"/>
      <c r="AF22" s="1120"/>
      <c r="AG22" s="1121"/>
      <c r="AH22" s="1122"/>
      <c r="AI22" s="1119" t="s">
        <v>584</v>
      </c>
      <c r="AJ22" s="1120" t="s">
        <v>585</v>
      </c>
      <c r="AK22" s="1120" t="s">
        <v>586</v>
      </c>
      <c r="AL22" s="1123" t="s">
        <v>630</v>
      </c>
      <c r="AM22" s="1121"/>
      <c r="AN22" s="1165" t="s">
        <v>559</v>
      </c>
    </row>
    <row r="23" spans="2:40">
      <c r="B23" s="1151" t="s">
        <v>1096</v>
      </c>
      <c r="C23" s="800" t="s">
        <v>1097</v>
      </c>
      <c r="D23" s="1152">
        <v>11222333444</v>
      </c>
      <c r="E23" s="1153" t="s">
        <v>571</v>
      </c>
      <c r="F23" s="1154" t="s">
        <v>375</v>
      </c>
      <c r="G23" s="1154" t="s">
        <v>377</v>
      </c>
      <c r="H23" s="1154" t="s">
        <v>177</v>
      </c>
      <c r="I23" s="1155" t="s">
        <v>652</v>
      </c>
      <c r="J23" s="1154" t="s">
        <v>653</v>
      </c>
      <c r="K23" s="1156">
        <v>5</v>
      </c>
      <c r="L23" s="1157">
        <v>5</v>
      </c>
      <c r="M23" s="1158">
        <v>2</v>
      </c>
      <c r="N23" s="1159" t="s">
        <v>631</v>
      </c>
      <c r="O23" s="1160" t="s">
        <v>414</v>
      </c>
      <c r="P23" s="1161"/>
      <c r="Q23" s="1161" t="s">
        <v>669</v>
      </c>
      <c r="R23" s="1162" t="s">
        <v>571</v>
      </c>
      <c r="S23" s="1163" t="s">
        <v>670</v>
      </c>
      <c r="T23" s="1160" t="s">
        <v>417</v>
      </c>
      <c r="U23" s="1161"/>
      <c r="V23" s="1161" t="s">
        <v>669</v>
      </c>
      <c r="W23" s="1161" t="s">
        <v>661</v>
      </c>
      <c r="X23" s="1163" t="s">
        <v>670</v>
      </c>
      <c r="Y23" s="1160" t="s">
        <v>390</v>
      </c>
      <c r="Z23" s="1161" t="s">
        <v>1095</v>
      </c>
      <c r="AA23" s="1164" t="s">
        <v>484</v>
      </c>
      <c r="AC23" s="1119"/>
      <c r="AD23" s="1120"/>
      <c r="AE23" s="1120"/>
      <c r="AF23" s="1120"/>
      <c r="AG23" s="1121"/>
      <c r="AH23" s="1122"/>
      <c r="AI23" s="1119" t="s">
        <v>584</v>
      </c>
      <c r="AJ23" s="1120" t="s">
        <v>585</v>
      </c>
      <c r="AK23" s="1120" t="s">
        <v>586</v>
      </c>
      <c r="AL23" s="1123" t="s">
        <v>630</v>
      </c>
      <c r="AM23" s="1121"/>
      <c r="AN23" s="1165" t="s">
        <v>1096</v>
      </c>
    </row>
    <row r="24" spans="2:40">
      <c r="B24" s="1151" t="s">
        <v>551</v>
      </c>
      <c r="C24" s="800" t="s">
        <v>551</v>
      </c>
      <c r="D24" s="1152">
        <v>11222333444</v>
      </c>
      <c r="E24" s="1153" t="s">
        <v>577</v>
      </c>
      <c r="F24" s="1154" t="s">
        <v>375</v>
      </c>
      <c r="G24" s="1154" t="s">
        <v>558</v>
      </c>
      <c r="H24" s="1166" t="s">
        <v>177</v>
      </c>
      <c r="I24" s="1167" t="s">
        <v>618</v>
      </c>
      <c r="J24" s="1166" t="s">
        <v>619</v>
      </c>
      <c r="K24" s="1168">
        <v>5</v>
      </c>
      <c r="L24" s="1169">
        <v>5</v>
      </c>
      <c r="M24" s="1158">
        <v>5</v>
      </c>
      <c r="N24" s="1159" t="s">
        <v>666</v>
      </c>
      <c r="O24" s="1160" t="s">
        <v>414</v>
      </c>
      <c r="P24" s="1161"/>
      <c r="Q24" s="1161" t="s">
        <v>642</v>
      </c>
      <c r="R24" s="1162" t="s">
        <v>416</v>
      </c>
      <c r="S24" s="1163" t="s">
        <v>643</v>
      </c>
      <c r="T24" s="1160" t="s">
        <v>417</v>
      </c>
      <c r="U24" s="1161"/>
      <c r="V24" s="1161" t="s">
        <v>642</v>
      </c>
      <c r="W24" s="1161" t="s">
        <v>416</v>
      </c>
      <c r="X24" s="1163">
        <v>2000</v>
      </c>
      <c r="Y24" s="1160" t="s">
        <v>390</v>
      </c>
      <c r="Z24" s="1161" t="s">
        <v>1095</v>
      </c>
      <c r="AA24" s="1164" t="s">
        <v>484</v>
      </c>
      <c r="AC24" s="1119"/>
      <c r="AD24" s="1120"/>
      <c r="AE24" s="1120"/>
      <c r="AF24" s="1120"/>
      <c r="AG24" s="1121"/>
      <c r="AH24" s="1122"/>
      <c r="AI24" s="1119" t="s">
        <v>584</v>
      </c>
      <c r="AJ24" s="1120" t="s">
        <v>585</v>
      </c>
      <c r="AK24" s="1120" t="s">
        <v>586</v>
      </c>
      <c r="AL24" s="1123" t="s">
        <v>630</v>
      </c>
      <c r="AM24" s="1121"/>
      <c r="AN24" s="1165" t="s">
        <v>551</v>
      </c>
    </row>
    <row r="25" spans="2:40">
      <c r="B25" s="1141" t="s">
        <v>667</v>
      </c>
      <c r="C25" s="795" t="s">
        <v>667</v>
      </c>
      <c r="D25" s="1127">
        <v>76064651056</v>
      </c>
      <c r="E25" s="1107" t="s">
        <v>571</v>
      </c>
      <c r="F25" s="1108" t="s">
        <v>375</v>
      </c>
      <c r="G25" s="1108" t="s">
        <v>377</v>
      </c>
      <c r="H25" s="1109" t="s">
        <v>177</v>
      </c>
      <c r="I25" s="1110" t="s">
        <v>652</v>
      </c>
      <c r="J25" s="1109" t="s">
        <v>653</v>
      </c>
      <c r="K25" s="1111">
        <v>5</v>
      </c>
      <c r="L25" s="1112">
        <v>5</v>
      </c>
      <c r="M25" s="1113">
        <v>2</v>
      </c>
      <c r="N25" s="1130" t="s">
        <v>654</v>
      </c>
      <c r="O25" s="792" t="s">
        <v>668</v>
      </c>
      <c r="P25" s="790"/>
      <c r="Q25" s="790" t="s">
        <v>669</v>
      </c>
      <c r="R25" s="790" t="s">
        <v>571</v>
      </c>
      <c r="S25" s="791" t="s">
        <v>670</v>
      </c>
      <c r="T25" s="792" t="s">
        <v>671</v>
      </c>
      <c r="U25" s="790"/>
      <c r="V25" s="790" t="s">
        <v>669</v>
      </c>
      <c r="W25" s="790" t="s">
        <v>661</v>
      </c>
      <c r="X25" s="1118">
        <v>8001</v>
      </c>
      <c r="Y25" s="792" t="s">
        <v>662</v>
      </c>
      <c r="Z25" s="790" t="s">
        <v>663</v>
      </c>
      <c r="AA25" s="793" t="s">
        <v>664</v>
      </c>
      <c r="AC25" s="1142" t="s">
        <v>629</v>
      </c>
      <c r="AD25" s="1143" t="s">
        <v>629</v>
      </c>
      <c r="AE25" s="1170" t="s">
        <v>628</v>
      </c>
      <c r="AF25" s="1170" t="s">
        <v>628</v>
      </c>
      <c r="AG25" s="1144" t="s">
        <v>628</v>
      </c>
      <c r="AH25" s="1135"/>
      <c r="AI25" s="1119" t="s">
        <v>584</v>
      </c>
      <c r="AJ25" s="1120" t="s">
        <v>585</v>
      </c>
      <c r="AK25" s="1120" t="s">
        <v>586</v>
      </c>
      <c r="AL25" s="1123" t="s">
        <v>630</v>
      </c>
      <c r="AM25" s="1121"/>
      <c r="AN25" s="1146" t="s">
        <v>667</v>
      </c>
    </row>
    <row r="26" spans="2:40">
      <c r="B26" s="1141" t="s">
        <v>565</v>
      </c>
      <c r="C26" s="795" t="s">
        <v>565</v>
      </c>
      <c r="D26" s="1127">
        <v>16779340889</v>
      </c>
      <c r="E26" s="1107" t="s">
        <v>572</v>
      </c>
      <c r="F26" s="1108" t="s">
        <v>375</v>
      </c>
      <c r="G26" s="1108" t="s">
        <v>558</v>
      </c>
      <c r="H26" s="1109" t="s">
        <v>177</v>
      </c>
      <c r="I26" s="1110" t="s">
        <v>618</v>
      </c>
      <c r="J26" s="1109" t="s">
        <v>619</v>
      </c>
      <c r="K26" s="1111">
        <v>9</v>
      </c>
      <c r="L26" s="1150">
        <v>5</v>
      </c>
      <c r="M26" s="1113">
        <v>5</v>
      </c>
      <c r="N26" s="1114" t="s">
        <v>666</v>
      </c>
      <c r="O26" s="792"/>
      <c r="P26" s="790"/>
      <c r="Q26" s="790"/>
      <c r="R26" s="801" t="s">
        <v>416</v>
      </c>
      <c r="S26" s="791"/>
      <c r="T26" s="792"/>
      <c r="U26" s="790"/>
      <c r="V26" s="790"/>
      <c r="W26" s="790"/>
      <c r="X26" s="791"/>
      <c r="Y26" s="792"/>
      <c r="Z26" s="790"/>
      <c r="AA26" s="793"/>
      <c r="AC26" s="1119"/>
      <c r="AD26" s="1120"/>
      <c r="AE26" s="1120"/>
      <c r="AF26" s="1120"/>
      <c r="AG26" s="1121"/>
      <c r="AH26" s="1122"/>
      <c r="AI26" s="1119" t="s">
        <v>584</v>
      </c>
      <c r="AJ26" s="1120" t="s">
        <v>585</v>
      </c>
      <c r="AK26" s="1120" t="s">
        <v>586</v>
      </c>
      <c r="AL26" s="1123" t="s">
        <v>630</v>
      </c>
      <c r="AM26" s="1121"/>
      <c r="AN26" s="1146" t="s">
        <v>565</v>
      </c>
    </row>
    <row r="27" spans="2:40">
      <c r="B27" s="1141" t="s">
        <v>672</v>
      </c>
      <c r="C27" s="795" t="s">
        <v>672</v>
      </c>
      <c r="D27" s="1127">
        <v>41094482416</v>
      </c>
      <c r="E27" s="1107" t="s">
        <v>570</v>
      </c>
      <c r="F27" s="1108" t="s">
        <v>375</v>
      </c>
      <c r="G27" s="1108" t="s">
        <v>558</v>
      </c>
      <c r="H27" s="1109" t="s">
        <v>177</v>
      </c>
      <c r="I27" s="1110" t="s">
        <v>618</v>
      </c>
      <c r="J27" s="1109" t="s">
        <v>619</v>
      </c>
      <c r="K27" s="1111">
        <v>5</v>
      </c>
      <c r="L27" s="1150">
        <v>5</v>
      </c>
      <c r="M27" s="1113">
        <v>5</v>
      </c>
      <c r="N27" s="1114" t="s">
        <v>666</v>
      </c>
      <c r="O27" s="792" t="s">
        <v>673</v>
      </c>
      <c r="P27" s="790" t="s">
        <v>674</v>
      </c>
      <c r="Q27" s="790" t="s">
        <v>675</v>
      </c>
      <c r="R27" s="796" t="s">
        <v>570</v>
      </c>
      <c r="S27" s="791" t="s">
        <v>676</v>
      </c>
      <c r="T27" s="792" t="s">
        <v>677</v>
      </c>
      <c r="U27" s="790" t="s">
        <v>678</v>
      </c>
      <c r="V27" s="790" t="s">
        <v>675</v>
      </c>
      <c r="W27" s="790" t="s">
        <v>570</v>
      </c>
      <c r="X27" s="1118">
        <v>5000</v>
      </c>
      <c r="Y27" s="792" t="s">
        <v>679</v>
      </c>
      <c r="Z27" s="790" t="s">
        <v>680</v>
      </c>
      <c r="AA27" s="793" t="s">
        <v>681</v>
      </c>
      <c r="AC27" s="1119"/>
      <c r="AD27" s="1120"/>
      <c r="AE27" s="1120"/>
      <c r="AF27" s="1120"/>
      <c r="AG27" s="1121"/>
      <c r="AH27" s="1122"/>
      <c r="AI27" s="1119" t="s">
        <v>584</v>
      </c>
      <c r="AJ27" s="1120" t="s">
        <v>585</v>
      </c>
      <c r="AK27" s="1120" t="s">
        <v>586</v>
      </c>
      <c r="AL27" s="1123" t="s">
        <v>630</v>
      </c>
      <c r="AM27" s="1121"/>
      <c r="AN27" s="1146" t="s">
        <v>672</v>
      </c>
    </row>
    <row r="28" spans="2:40">
      <c r="B28" s="1141" t="s">
        <v>533</v>
      </c>
      <c r="C28" s="795" t="s">
        <v>533</v>
      </c>
      <c r="D28" s="1127">
        <v>59253130878</v>
      </c>
      <c r="E28" s="1107" t="s">
        <v>416</v>
      </c>
      <c r="F28" s="1108" t="s">
        <v>375</v>
      </c>
      <c r="G28" s="1108" t="s">
        <v>377</v>
      </c>
      <c r="H28" s="1109" t="s">
        <v>177</v>
      </c>
      <c r="I28" s="1110" t="s">
        <v>618</v>
      </c>
      <c r="J28" s="1109" t="s">
        <v>619</v>
      </c>
      <c r="K28" s="1111">
        <v>5</v>
      </c>
      <c r="L28" s="1112">
        <v>5</v>
      </c>
      <c r="M28" s="1113">
        <v>5</v>
      </c>
      <c r="N28" s="1130" t="s">
        <v>620</v>
      </c>
      <c r="O28" s="792" t="s">
        <v>682</v>
      </c>
      <c r="P28" s="790"/>
      <c r="Q28" s="790" t="s">
        <v>683</v>
      </c>
      <c r="R28" s="796" t="s">
        <v>416</v>
      </c>
      <c r="S28" s="791" t="s">
        <v>684</v>
      </c>
      <c r="T28" s="792" t="s">
        <v>685</v>
      </c>
      <c r="U28" s="790"/>
      <c r="V28" s="790" t="s">
        <v>686</v>
      </c>
      <c r="W28" s="790" t="s">
        <v>416</v>
      </c>
      <c r="X28" s="1118" t="s">
        <v>1098</v>
      </c>
      <c r="Y28" s="792" t="s">
        <v>687</v>
      </c>
      <c r="Z28" s="798" t="s">
        <v>688</v>
      </c>
      <c r="AA28" s="799" t="s">
        <v>689</v>
      </c>
      <c r="AC28" s="1147" t="s">
        <v>628</v>
      </c>
      <c r="AD28" s="1143" t="s">
        <v>629</v>
      </c>
      <c r="AE28" s="1143" t="s">
        <v>629</v>
      </c>
      <c r="AF28" s="1143" t="s">
        <v>629</v>
      </c>
      <c r="AG28" s="1144" t="s">
        <v>628</v>
      </c>
      <c r="AH28" s="1135"/>
      <c r="AI28" s="1119" t="s">
        <v>584</v>
      </c>
      <c r="AJ28" s="1120" t="s">
        <v>585</v>
      </c>
      <c r="AK28" s="1120" t="s">
        <v>586</v>
      </c>
      <c r="AL28" s="1123" t="s">
        <v>630</v>
      </c>
      <c r="AM28" s="1121"/>
      <c r="AN28" s="1146" t="s">
        <v>533</v>
      </c>
    </row>
    <row r="29" spans="2:40">
      <c r="B29" s="1141" t="s">
        <v>534</v>
      </c>
      <c r="C29" s="795" t="s">
        <v>534</v>
      </c>
      <c r="D29" s="1127">
        <v>40078849055</v>
      </c>
      <c r="E29" s="1107" t="s">
        <v>572</v>
      </c>
      <c r="F29" s="1108" t="s">
        <v>375</v>
      </c>
      <c r="G29" s="1108" t="s">
        <v>377</v>
      </c>
      <c r="H29" s="1108" t="s">
        <v>177</v>
      </c>
      <c r="I29" s="1129" t="s">
        <v>618</v>
      </c>
      <c r="J29" s="1108" t="s">
        <v>619</v>
      </c>
      <c r="K29" s="1111">
        <v>5</v>
      </c>
      <c r="L29" s="1112">
        <v>5</v>
      </c>
      <c r="M29" s="1113">
        <v>5</v>
      </c>
      <c r="N29" s="1130" t="s">
        <v>690</v>
      </c>
      <c r="O29" s="792" t="s">
        <v>691</v>
      </c>
      <c r="P29" s="790"/>
      <c r="Q29" s="790" t="s">
        <v>692</v>
      </c>
      <c r="R29" s="790" t="s">
        <v>572</v>
      </c>
      <c r="S29" s="791" t="s">
        <v>693</v>
      </c>
      <c r="T29" s="792" t="s">
        <v>691</v>
      </c>
      <c r="U29" s="790"/>
      <c r="V29" s="790" t="s">
        <v>692</v>
      </c>
      <c r="W29" s="790" t="s">
        <v>694</v>
      </c>
      <c r="X29" s="1118" t="s">
        <v>693</v>
      </c>
      <c r="Y29" s="792" t="s">
        <v>695</v>
      </c>
      <c r="Z29" s="790" t="s">
        <v>696</v>
      </c>
      <c r="AA29" s="793" t="s">
        <v>697</v>
      </c>
      <c r="AC29" s="1142" t="s">
        <v>629</v>
      </c>
      <c r="AD29" s="1143" t="s">
        <v>629</v>
      </c>
      <c r="AE29" s="1143" t="s">
        <v>629</v>
      </c>
      <c r="AF29" s="1170" t="s">
        <v>628</v>
      </c>
      <c r="AG29" s="1144" t="s">
        <v>628</v>
      </c>
      <c r="AH29" s="1135"/>
      <c r="AI29" s="1119" t="s">
        <v>584</v>
      </c>
      <c r="AJ29" s="1120" t="s">
        <v>585</v>
      </c>
      <c r="AK29" s="1120" t="s">
        <v>586</v>
      </c>
      <c r="AL29" s="1123" t="s">
        <v>630</v>
      </c>
      <c r="AM29" s="1121"/>
      <c r="AN29" s="1146" t="s">
        <v>534</v>
      </c>
    </row>
    <row r="30" spans="2:40">
      <c r="B30" s="1141" t="s">
        <v>535</v>
      </c>
      <c r="C30" s="795" t="s">
        <v>535</v>
      </c>
      <c r="D30" s="1127">
        <v>50087646062</v>
      </c>
      <c r="E30" s="1107" t="s">
        <v>572</v>
      </c>
      <c r="F30" s="1108" t="s">
        <v>375</v>
      </c>
      <c r="G30" s="1108" t="s">
        <v>377</v>
      </c>
      <c r="H30" s="1108" t="s">
        <v>177</v>
      </c>
      <c r="I30" s="1129" t="s">
        <v>618</v>
      </c>
      <c r="J30" s="1108" t="s">
        <v>619</v>
      </c>
      <c r="K30" s="1111">
        <v>5</v>
      </c>
      <c r="L30" s="1112">
        <v>5</v>
      </c>
      <c r="M30" s="1113">
        <v>5</v>
      </c>
      <c r="N30" s="1130" t="s">
        <v>690</v>
      </c>
      <c r="O30" s="792" t="s">
        <v>698</v>
      </c>
      <c r="P30" s="790"/>
      <c r="Q30" s="790" t="s">
        <v>699</v>
      </c>
      <c r="R30" s="790" t="s">
        <v>572</v>
      </c>
      <c r="S30" s="791" t="s">
        <v>700</v>
      </c>
      <c r="T30" s="792" t="s">
        <v>701</v>
      </c>
      <c r="U30" s="790"/>
      <c r="V30" s="790" t="s">
        <v>702</v>
      </c>
      <c r="W30" s="790" t="s">
        <v>694</v>
      </c>
      <c r="X30" s="1118">
        <v>4006</v>
      </c>
      <c r="Y30" s="792" t="s">
        <v>703</v>
      </c>
      <c r="Z30" s="790" t="s">
        <v>704</v>
      </c>
      <c r="AA30" s="1121" t="s">
        <v>705</v>
      </c>
      <c r="AC30" s="1147" t="s">
        <v>628</v>
      </c>
      <c r="AD30" s="1143" t="s">
        <v>629</v>
      </c>
      <c r="AE30" s="1143" t="s">
        <v>629</v>
      </c>
      <c r="AF30" s="1143" t="s">
        <v>629</v>
      </c>
      <c r="AG30" s="1144" t="s">
        <v>628</v>
      </c>
      <c r="AH30" s="1135"/>
      <c r="AI30" s="1119" t="s">
        <v>584</v>
      </c>
      <c r="AJ30" s="1120" t="s">
        <v>585</v>
      </c>
      <c r="AK30" s="1120" t="s">
        <v>586</v>
      </c>
      <c r="AL30" s="1123" t="s">
        <v>630</v>
      </c>
      <c r="AM30" s="1121"/>
      <c r="AN30" s="1146" t="s">
        <v>535</v>
      </c>
    </row>
    <row r="31" spans="2:40">
      <c r="B31" s="1141" t="s">
        <v>536</v>
      </c>
      <c r="C31" s="795" t="s">
        <v>536</v>
      </c>
      <c r="D31" s="1127">
        <v>37428185226</v>
      </c>
      <c r="E31" s="1107" t="s">
        <v>416</v>
      </c>
      <c r="F31" s="1108" t="s">
        <v>375</v>
      </c>
      <c r="G31" s="1108" t="s">
        <v>377</v>
      </c>
      <c r="H31" s="1108" t="s">
        <v>177</v>
      </c>
      <c r="I31" s="1129" t="s">
        <v>618</v>
      </c>
      <c r="J31" s="1108" t="s">
        <v>619</v>
      </c>
      <c r="K31" s="1111">
        <v>5</v>
      </c>
      <c r="L31" s="1112">
        <v>5</v>
      </c>
      <c r="M31" s="1113">
        <v>5</v>
      </c>
      <c r="N31" s="1130" t="s">
        <v>620</v>
      </c>
      <c r="O31" s="792" t="s">
        <v>706</v>
      </c>
      <c r="P31" s="790"/>
      <c r="Q31" s="790" t="s">
        <v>707</v>
      </c>
      <c r="R31" s="796" t="s">
        <v>416</v>
      </c>
      <c r="S31" s="791" t="s">
        <v>1099</v>
      </c>
      <c r="T31" s="792" t="s">
        <v>708</v>
      </c>
      <c r="U31" s="790"/>
      <c r="V31" s="790" t="s">
        <v>707</v>
      </c>
      <c r="W31" s="790" t="s">
        <v>416</v>
      </c>
      <c r="X31" s="1118" t="s">
        <v>1099</v>
      </c>
      <c r="Y31" s="792" t="s">
        <v>709</v>
      </c>
      <c r="Z31" s="790" t="s">
        <v>710</v>
      </c>
      <c r="AA31" s="793" t="s">
        <v>711</v>
      </c>
      <c r="AC31" s="1147"/>
      <c r="AD31" s="1143"/>
      <c r="AE31" s="1143" t="s">
        <v>629</v>
      </c>
      <c r="AF31" s="1143" t="s">
        <v>629</v>
      </c>
      <c r="AG31" s="1144" t="s">
        <v>628</v>
      </c>
      <c r="AH31" s="1135"/>
      <c r="AI31" s="1119" t="s">
        <v>584</v>
      </c>
      <c r="AJ31" s="1120" t="s">
        <v>585</v>
      </c>
      <c r="AK31" s="1120" t="s">
        <v>586</v>
      </c>
      <c r="AL31" s="1123" t="s">
        <v>630</v>
      </c>
      <c r="AM31" s="1121"/>
      <c r="AN31" s="1146" t="s">
        <v>536</v>
      </c>
    </row>
    <row r="32" spans="2:40">
      <c r="B32" s="1141" t="s">
        <v>537</v>
      </c>
      <c r="C32" s="795" t="s">
        <v>537</v>
      </c>
      <c r="D32" s="1127">
        <v>82064651083</v>
      </c>
      <c r="E32" s="1107" t="s">
        <v>571</v>
      </c>
      <c r="F32" s="1108" t="s">
        <v>375</v>
      </c>
      <c r="G32" s="1108" t="s">
        <v>377</v>
      </c>
      <c r="H32" s="1109" t="s">
        <v>177</v>
      </c>
      <c r="I32" s="1110" t="s">
        <v>652</v>
      </c>
      <c r="J32" s="1109" t="s">
        <v>653</v>
      </c>
      <c r="K32" s="1111">
        <v>5</v>
      </c>
      <c r="L32" s="1112">
        <v>5</v>
      </c>
      <c r="M32" s="1113">
        <v>2</v>
      </c>
      <c r="N32" s="1130" t="s">
        <v>654</v>
      </c>
      <c r="O32" s="792" t="s">
        <v>712</v>
      </c>
      <c r="P32" s="790" t="s">
        <v>713</v>
      </c>
      <c r="Q32" s="790" t="s">
        <v>669</v>
      </c>
      <c r="R32" s="796" t="s">
        <v>661</v>
      </c>
      <c r="S32" s="791" t="s">
        <v>670</v>
      </c>
      <c r="T32" s="792" t="s">
        <v>714</v>
      </c>
      <c r="U32" s="790"/>
      <c r="V32" s="790" t="s">
        <v>669</v>
      </c>
      <c r="W32" s="790" t="s">
        <v>661</v>
      </c>
      <c r="X32" s="1118">
        <v>8001</v>
      </c>
      <c r="Y32" s="792" t="s">
        <v>715</v>
      </c>
      <c r="Z32" s="790" t="s">
        <v>716</v>
      </c>
      <c r="AA32" s="793" t="s">
        <v>717</v>
      </c>
      <c r="AC32" s="1147"/>
      <c r="AD32" s="1143"/>
      <c r="AE32" s="1143" t="s">
        <v>629</v>
      </c>
      <c r="AF32" s="1170" t="s">
        <v>628</v>
      </c>
      <c r="AG32" s="1144" t="s">
        <v>628</v>
      </c>
      <c r="AH32" s="1135"/>
      <c r="AI32" s="1119" t="s">
        <v>584</v>
      </c>
      <c r="AJ32" s="1120" t="s">
        <v>585</v>
      </c>
      <c r="AK32" s="1120" t="s">
        <v>586</v>
      </c>
      <c r="AL32" s="1123" t="s">
        <v>630</v>
      </c>
      <c r="AM32" s="1121"/>
      <c r="AN32" s="1146" t="s">
        <v>537</v>
      </c>
    </row>
    <row r="33" spans="2:40">
      <c r="B33" s="1126" t="s">
        <v>1100</v>
      </c>
      <c r="C33" s="795" t="s">
        <v>1101</v>
      </c>
      <c r="D33" s="1127" t="s">
        <v>1102</v>
      </c>
      <c r="E33" s="1107" t="s">
        <v>416</v>
      </c>
      <c r="F33" s="1108" t="s">
        <v>556</v>
      </c>
      <c r="G33" s="1108" t="s">
        <v>377</v>
      </c>
      <c r="H33" s="1128" t="s">
        <v>261</v>
      </c>
      <c r="I33" s="1110" t="s">
        <v>618</v>
      </c>
      <c r="J33" s="1109" t="s">
        <v>619</v>
      </c>
      <c r="K33" s="1111">
        <v>5</v>
      </c>
      <c r="L33" s="1112">
        <v>5</v>
      </c>
      <c r="M33" s="1113"/>
      <c r="N33" s="1130"/>
      <c r="O33" s="792"/>
      <c r="P33" s="790"/>
      <c r="Q33" s="790"/>
      <c r="R33" s="796"/>
      <c r="S33" s="791"/>
      <c r="T33" s="792"/>
      <c r="U33" s="790"/>
      <c r="V33" s="790"/>
      <c r="W33" s="790"/>
      <c r="X33" s="1118"/>
      <c r="Y33" s="1171"/>
      <c r="Z33" s="1172"/>
      <c r="AC33" s="1147"/>
      <c r="AD33" s="1143"/>
      <c r="AE33" s="1143"/>
      <c r="AF33" s="1170"/>
      <c r="AG33" s="1144"/>
      <c r="AH33" s="1135"/>
      <c r="AI33" s="1119"/>
      <c r="AJ33" s="1120"/>
      <c r="AK33" s="1120"/>
      <c r="AL33" s="1123"/>
      <c r="AM33" s="1121"/>
      <c r="AN33" s="1131" t="s">
        <v>1100</v>
      </c>
    </row>
    <row r="34" spans="2:40">
      <c r="B34" s="1126" t="s">
        <v>1103</v>
      </c>
      <c r="C34" s="795" t="s">
        <v>1104</v>
      </c>
      <c r="D34" s="1139" t="s">
        <v>1105</v>
      </c>
      <c r="E34" s="1107" t="s">
        <v>571</v>
      </c>
      <c r="F34" s="1108" t="s">
        <v>556</v>
      </c>
      <c r="G34" s="1108" t="s">
        <v>377</v>
      </c>
      <c r="H34" s="1128" t="s">
        <v>261</v>
      </c>
      <c r="I34" s="1110" t="s">
        <v>652</v>
      </c>
      <c r="J34" s="1109" t="s">
        <v>653</v>
      </c>
      <c r="K34" s="1111">
        <v>5</v>
      </c>
      <c r="L34" s="1112">
        <v>5</v>
      </c>
      <c r="M34" s="1113" t="s">
        <v>633</v>
      </c>
      <c r="N34" s="1130"/>
      <c r="O34" s="790" t="s">
        <v>760</v>
      </c>
      <c r="P34" s="790"/>
      <c r="Q34" s="790" t="s">
        <v>761</v>
      </c>
      <c r="R34" s="790" t="s">
        <v>571</v>
      </c>
      <c r="S34" s="791" t="s">
        <v>762</v>
      </c>
      <c r="T34" s="792"/>
      <c r="U34" s="790"/>
      <c r="V34" s="790"/>
      <c r="W34" s="790"/>
      <c r="X34" s="791"/>
      <c r="Y34" s="792" t="s">
        <v>1106</v>
      </c>
      <c r="Z34" s="760" t="s">
        <v>1107</v>
      </c>
      <c r="AA34" s="761" t="s">
        <v>1108</v>
      </c>
      <c r="AC34" s="1147"/>
      <c r="AD34" s="1143"/>
      <c r="AE34" s="1143"/>
      <c r="AF34" s="1170"/>
      <c r="AG34" s="1144"/>
      <c r="AH34" s="1122"/>
      <c r="AI34" s="1119"/>
      <c r="AJ34" s="1120"/>
      <c r="AK34" s="1120"/>
      <c r="AL34" s="1123"/>
      <c r="AM34" s="1121"/>
      <c r="AN34" s="1131" t="s">
        <v>1103</v>
      </c>
    </row>
    <row r="35" spans="2:40">
      <c r="B35" s="1141" t="s">
        <v>566</v>
      </c>
      <c r="C35" s="795" t="s">
        <v>566</v>
      </c>
      <c r="D35" s="1127">
        <v>79181207909</v>
      </c>
      <c r="E35" s="1107" t="s">
        <v>570</v>
      </c>
      <c r="F35" s="1108" t="s">
        <v>375</v>
      </c>
      <c r="G35" s="1108" t="s">
        <v>558</v>
      </c>
      <c r="H35" s="1109" t="s">
        <v>177</v>
      </c>
      <c r="I35" s="1110" t="s">
        <v>618</v>
      </c>
      <c r="J35" s="1109" t="s">
        <v>619</v>
      </c>
      <c r="K35" s="1111">
        <v>5</v>
      </c>
      <c r="L35" s="1150">
        <v>5</v>
      </c>
      <c r="M35" s="1113">
        <v>5</v>
      </c>
      <c r="N35" s="1114" t="s">
        <v>666</v>
      </c>
      <c r="O35" s="792"/>
      <c r="P35" s="790"/>
      <c r="Q35" s="790"/>
      <c r="R35" s="801"/>
      <c r="S35" s="791"/>
      <c r="T35" s="792"/>
      <c r="U35" s="790"/>
      <c r="V35" s="790"/>
      <c r="W35" s="790"/>
      <c r="X35" s="791"/>
      <c r="Y35" s="792"/>
      <c r="Z35" s="790"/>
      <c r="AA35" s="793"/>
      <c r="AC35" s="1119"/>
      <c r="AD35" s="1120"/>
      <c r="AE35" s="1120"/>
      <c r="AF35" s="1120"/>
      <c r="AG35" s="1121"/>
      <c r="AH35" s="1122"/>
      <c r="AI35" s="1119" t="s">
        <v>584</v>
      </c>
      <c r="AJ35" s="1120" t="s">
        <v>585</v>
      </c>
      <c r="AK35" s="1120" t="s">
        <v>586</v>
      </c>
      <c r="AL35" s="1123" t="s">
        <v>630</v>
      </c>
      <c r="AM35" s="1121"/>
      <c r="AN35" s="1146" t="s">
        <v>566</v>
      </c>
    </row>
    <row r="36" spans="2:40">
      <c r="B36" s="1141" t="s">
        <v>538</v>
      </c>
      <c r="C36" s="795" t="s">
        <v>538</v>
      </c>
      <c r="D36" s="1127">
        <v>89064651109</v>
      </c>
      <c r="E36" s="1107" t="s">
        <v>571</v>
      </c>
      <c r="F36" s="1108" t="s">
        <v>375</v>
      </c>
      <c r="G36" s="1108" t="s">
        <v>377</v>
      </c>
      <c r="H36" s="1109" t="s">
        <v>177</v>
      </c>
      <c r="I36" s="1110" t="s">
        <v>652</v>
      </c>
      <c r="J36" s="1109" t="s">
        <v>653</v>
      </c>
      <c r="K36" s="1111">
        <v>5</v>
      </c>
      <c r="L36" s="1112">
        <v>5</v>
      </c>
      <c r="M36" s="1113">
        <v>2</v>
      </c>
      <c r="N36" s="1130" t="s">
        <v>654</v>
      </c>
      <c r="O36" s="792" t="s">
        <v>668</v>
      </c>
      <c r="P36" s="790"/>
      <c r="Q36" s="790" t="s">
        <v>669</v>
      </c>
      <c r="R36" s="796" t="s">
        <v>571</v>
      </c>
      <c r="S36" s="791" t="s">
        <v>670</v>
      </c>
      <c r="T36" s="792" t="s">
        <v>718</v>
      </c>
      <c r="U36" s="790"/>
      <c r="V36" s="790" t="s">
        <v>669</v>
      </c>
      <c r="W36" s="790" t="s">
        <v>661</v>
      </c>
      <c r="X36" s="791">
        <v>8001</v>
      </c>
      <c r="Y36" s="792" t="s">
        <v>662</v>
      </c>
      <c r="Z36" s="790" t="s">
        <v>663</v>
      </c>
      <c r="AA36" s="793" t="s">
        <v>664</v>
      </c>
      <c r="AC36" s="1147"/>
      <c r="AD36" s="1143"/>
      <c r="AE36" s="1143" t="s">
        <v>629</v>
      </c>
      <c r="AF36" s="1143" t="s">
        <v>629</v>
      </c>
      <c r="AG36" s="1144" t="s">
        <v>628</v>
      </c>
      <c r="AH36" s="1145"/>
      <c r="AI36" s="1119" t="s">
        <v>584</v>
      </c>
      <c r="AJ36" s="1120" t="s">
        <v>585</v>
      </c>
      <c r="AK36" s="1120" t="s">
        <v>586</v>
      </c>
      <c r="AL36" s="1123" t="s">
        <v>630</v>
      </c>
      <c r="AM36" s="1121"/>
      <c r="AN36" s="1146" t="s">
        <v>538</v>
      </c>
    </row>
    <row r="37" spans="2:40" ht="28.5">
      <c r="B37" s="1141" t="s">
        <v>539</v>
      </c>
      <c r="C37" s="802" t="s">
        <v>719</v>
      </c>
      <c r="D37" s="1127">
        <v>82078849233</v>
      </c>
      <c r="E37" s="1107" t="s">
        <v>572</v>
      </c>
      <c r="F37" s="1108" t="s">
        <v>375</v>
      </c>
      <c r="G37" s="1108" t="s">
        <v>558</v>
      </c>
      <c r="H37" s="1109" t="s">
        <v>177</v>
      </c>
      <c r="I37" s="1110" t="s">
        <v>618</v>
      </c>
      <c r="J37" s="1109" t="s">
        <v>619</v>
      </c>
      <c r="K37" s="1111">
        <v>5</v>
      </c>
      <c r="L37" s="1150">
        <v>5</v>
      </c>
      <c r="M37" s="1113">
        <v>5</v>
      </c>
      <c r="N37" s="1114" t="s">
        <v>666</v>
      </c>
      <c r="O37" s="792" t="s">
        <v>720</v>
      </c>
      <c r="P37" s="790"/>
      <c r="Q37" s="790" t="s">
        <v>721</v>
      </c>
      <c r="R37" s="790" t="s">
        <v>572</v>
      </c>
      <c r="S37" s="791" t="s">
        <v>722</v>
      </c>
      <c r="T37" s="792" t="s">
        <v>723</v>
      </c>
      <c r="U37" s="790"/>
      <c r="V37" s="790" t="s">
        <v>721</v>
      </c>
      <c r="W37" s="790" t="s">
        <v>694</v>
      </c>
      <c r="X37" s="791">
        <v>4014</v>
      </c>
      <c r="Y37" s="792" t="s">
        <v>724</v>
      </c>
      <c r="Z37" s="790" t="s">
        <v>725</v>
      </c>
      <c r="AA37" s="793" t="s">
        <v>726</v>
      </c>
      <c r="AC37" s="1119"/>
      <c r="AD37" s="1120"/>
      <c r="AE37" s="1120"/>
      <c r="AF37" s="1120"/>
      <c r="AG37" s="1121"/>
      <c r="AH37" s="1122"/>
      <c r="AI37" s="1119" t="s">
        <v>584</v>
      </c>
      <c r="AJ37" s="1120" t="s">
        <v>585</v>
      </c>
      <c r="AK37" s="1120" t="s">
        <v>586</v>
      </c>
      <c r="AL37" s="1123" t="s">
        <v>630</v>
      </c>
      <c r="AM37" s="1121"/>
      <c r="AN37" s="1146" t="s">
        <v>539</v>
      </c>
    </row>
    <row r="38" spans="2:40">
      <c r="B38" s="1126" t="s">
        <v>727</v>
      </c>
      <c r="C38" s="795" t="s">
        <v>728</v>
      </c>
      <c r="D38" s="1139" t="s">
        <v>729</v>
      </c>
      <c r="E38" s="1107" t="s">
        <v>572</v>
      </c>
      <c r="F38" s="1108" t="s">
        <v>556</v>
      </c>
      <c r="G38" s="1108" t="s">
        <v>558</v>
      </c>
      <c r="H38" s="1128" t="s">
        <v>261</v>
      </c>
      <c r="I38" s="1110" t="s">
        <v>618</v>
      </c>
      <c r="J38" s="1109" t="s">
        <v>619</v>
      </c>
      <c r="K38" s="1111">
        <v>5</v>
      </c>
      <c r="L38" s="1112">
        <v>5</v>
      </c>
      <c r="M38" s="1113" t="s">
        <v>633</v>
      </c>
      <c r="N38" s="1130" t="s">
        <v>206</v>
      </c>
      <c r="O38" s="792"/>
      <c r="P38" s="790"/>
      <c r="Q38" s="790"/>
      <c r="R38" s="790"/>
      <c r="S38" s="803"/>
      <c r="T38" s="792"/>
      <c r="U38" s="790"/>
      <c r="V38" s="790"/>
      <c r="W38" s="790"/>
      <c r="X38" s="791"/>
      <c r="Y38" s="792"/>
      <c r="Z38" s="790"/>
      <c r="AA38" s="793"/>
      <c r="AC38" s="1119"/>
      <c r="AD38" s="1120"/>
      <c r="AE38" s="1120"/>
      <c r="AF38" s="1120"/>
      <c r="AG38" s="1121"/>
      <c r="AH38" s="1122"/>
      <c r="AI38" s="1119" t="s">
        <v>584</v>
      </c>
      <c r="AJ38" s="1120" t="s">
        <v>585</v>
      </c>
      <c r="AK38" s="1120" t="s">
        <v>586</v>
      </c>
      <c r="AL38" s="1123" t="s">
        <v>630</v>
      </c>
      <c r="AM38" s="1121"/>
      <c r="AN38" s="1131" t="s">
        <v>727</v>
      </c>
    </row>
    <row r="39" spans="2:40">
      <c r="B39" s="1141" t="s">
        <v>540</v>
      </c>
      <c r="C39" s="795" t="s">
        <v>540</v>
      </c>
      <c r="D39" s="1127">
        <v>13332330749</v>
      </c>
      <c r="E39" s="1107" t="s">
        <v>570</v>
      </c>
      <c r="F39" s="1108" t="s">
        <v>375</v>
      </c>
      <c r="G39" s="1108" t="s">
        <v>377</v>
      </c>
      <c r="H39" s="1109" t="s">
        <v>177</v>
      </c>
      <c r="I39" s="1110" t="s">
        <v>618</v>
      </c>
      <c r="J39" s="1109" t="s">
        <v>619</v>
      </c>
      <c r="K39" s="1111">
        <v>5</v>
      </c>
      <c r="L39" s="1112">
        <v>5</v>
      </c>
      <c r="M39" s="1113">
        <v>5</v>
      </c>
      <c r="N39" s="1130" t="s">
        <v>690</v>
      </c>
      <c r="O39" s="792" t="s">
        <v>730</v>
      </c>
      <c r="P39" s="790"/>
      <c r="Q39" s="790" t="s">
        <v>731</v>
      </c>
      <c r="R39" s="790" t="s">
        <v>570</v>
      </c>
      <c r="S39" s="803" t="s">
        <v>732</v>
      </c>
      <c r="T39" s="792" t="s">
        <v>733</v>
      </c>
      <c r="U39" s="790"/>
      <c r="V39" s="790" t="s">
        <v>675</v>
      </c>
      <c r="W39" s="790" t="s">
        <v>570</v>
      </c>
      <c r="X39" s="791" t="s">
        <v>676</v>
      </c>
      <c r="Y39" s="792" t="s">
        <v>734</v>
      </c>
      <c r="Z39" s="790" t="s">
        <v>735</v>
      </c>
      <c r="AA39" s="793" t="s">
        <v>736</v>
      </c>
      <c r="AC39" s="1142"/>
      <c r="AD39" s="1143"/>
      <c r="AE39" s="1143" t="s">
        <v>629</v>
      </c>
      <c r="AF39" s="1143" t="s">
        <v>629</v>
      </c>
      <c r="AG39" s="1144" t="s">
        <v>628</v>
      </c>
      <c r="AH39" s="1145"/>
      <c r="AI39" s="1119" t="s">
        <v>584</v>
      </c>
      <c r="AJ39" s="1120" t="s">
        <v>585</v>
      </c>
      <c r="AK39" s="1120" t="s">
        <v>586</v>
      </c>
      <c r="AL39" s="1123" t="s">
        <v>630</v>
      </c>
      <c r="AM39" s="1121"/>
      <c r="AN39" s="1146" t="s">
        <v>540</v>
      </c>
    </row>
    <row r="40" spans="2:40" ht="25.5">
      <c r="B40" s="1141" t="s">
        <v>541</v>
      </c>
      <c r="C40" s="794" t="s">
        <v>541</v>
      </c>
      <c r="D40" s="1127">
        <v>24167357299</v>
      </c>
      <c r="E40" s="1107" t="s">
        <v>573</v>
      </c>
      <c r="F40" s="1108" t="s">
        <v>375</v>
      </c>
      <c r="G40" s="1108" t="s">
        <v>377</v>
      </c>
      <c r="H40" s="1109" t="s">
        <v>177</v>
      </c>
      <c r="I40" s="1110" t="s">
        <v>618</v>
      </c>
      <c r="J40" s="1109" t="s">
        <v>619</v>
      </c>
      <c r="K40" s="1111">
        <v>5</v>
      </c>
      <c r="L40" s="1112">
        <v>5</v>
      </c>
      <c r="M40" s="1113">
        <v>5</v>
      </c>
      <c r="N40" s="1114" t="s">
        <v>631</v>
      </c>
      <c r="O40" s="792" t="s">
        <v>737</v>
      </c>
      <c r="P40" s="790"/>
      <c r="Q40" s="790" t="s">
        <v>738</v>
      </c>
      <c r="R40" s="796" t="s">
        <v>573</v>
      </c>
      <c r="S40" s="791" t="s">
        <v>739</v>
      </c>
      <c r="T40" s="792" t="s">
        <v>740</v>
      </c>
      <c r="U40" s="790"/>
      <c r="V40" s="790" t="s">
        <v>738</v>
      </c>
      <c r="W40" s="790" t="s">
        <v>573</v>
      </c>
      <c r="X40" s="791" t="s">
        <v>739</v>
      </c>
      <c r="Y40" s="792" t="s">
        <v>741</v>
      </c>
      <c r="Z40" s="790" t="s">
        <v>742</v>
      </c>
      <c r="AA40" s="793" t="s">
        <v>743</v>
      </c>
      <c r="AC40" s="1142"/>
      <c r="AD40" s="1143"/>
      <c r="AE40" s="1143" t="s">
        <v>629</v>
      </c>
      <c r="AF40" s="1143" t="s">
        <v>629</v>
      </c>
      <c r="AG40" s="1173" t="s">
        <v>629</v>
      </c>
      <c r="AH40" s="1145"/>
      <c r="AI40" s="1174" t="s">
        <v>744</v>
      </c>
      <c r="AJ40" s="1175" t="s">
        <v>745</v>
      </c>
      <c r="AK40" s="1175" t="s">
        <v>585</v>
      </c>
      <c r="AL40" s="1175" t="s">
        <v>746</v>
      </c>
      <c r="AM40" s="1176" t="s">
        <v>747</v>
      </c>
      <c r="AN40" s="1146" t="s">
        <v>541</v>
      </c>
    </row>
    <row r="41" spans="2:40">
      <c r="B41" s="1141" t="s">
        <v>542</v>
      </c>
      <c r="C41" s="795" t="s">
        <v>542</v>
      </c>
      <c r="D41" s="1127">
        <v>24167357299</v>
      </c>
      <c r="E41" s="1107" t="s">
        <v>573</v>
      </c>
      <c r="F41" s="1108" t="s">
        <v>375</v>
      </c>
      <c r="G41" s="1108" t="s">
        <v>558</v>
      </c>
      <c r="H41" s="1109" t="s">
        <v>177</v>
      </c>
      <c r="I41" s="1110" t="s">
        <v>618</v>
      </c>
      <c r="J41" s="1109" t="s">
        <v>619</v>
      </c>
      <c r="K41" s="1111">
        <v>5</v>
      </c>
      <c r="L41" s="1150">
        <v>5</v>
      </c>
      <c r="M41" s="1113">
        <v>5</v>
      </c>
      <c r="N41" s="1114" t="s">
        <v>666</v>
      </c>
      <c r="O41" s="792" t="s">
        <v>748</v>
      </c>
      <c r="P41" s="790"/>
      <c r="Q41" s="790" t="s">
        <v>749</v>
      </c>
      <c r="R41" s="796" t="s">
        <v>573</v>
      </c>
      <c r="S41" s="803" t="s">
        <v>750</v>
      </c>
      <c r="T41" s="792" t="s">
        <v>751</v>
      </c>
      <c r="U41" s="790"/>
      <c r="V41" s="790" t="s">
        <v>752</v>
      </c>
      <c r="W41" s="790" t="s">
        <v>573</v>
      </c>
      <c r="X41" s="791" t="s">
        <v>1109</v>
      </c>
      <c r="Y41" s="792" t="s">
        <v>753</v>
      </c>
      <c r="Z41" s="790" t="s">
        <v>754</v>
      </c>
      <c r="AA41" s="793" t="s">
        <v>755</v>
      </c>
      <c r="AC41" s="1119"/>
      <c r="AD41" s="1120"/>
      <c r="AE41" s="1120"/>
      <c r="AF41" s="1120"/>
      <c r="AG41" s="1121"/>
      <c r="AH41" s="1122"/>
      <c r="AI41" s="1119" t="s">
        <v>584</v>
      </c>
      <c r="AJ41" s="1120" t="s">
        <v>585</v>
      </c>
      <c r="AK41" s="1120" t="s">
        <v>586</v>
      </c>
      <c r="AL41" s="1123" t="s">
        <v>630</v>
      </c>
      <c r="AM41" s="1121"/>
      <c r="AN41" s="1146" t="s">
        <v>542</v>
      </c>
    </row>
    <row r="42" spans="2:40">
      <c r="B42" s="1141" t="s">
        <v>543</v>
      </c>
      <c r="C42" s="795" t="s">
        <v>1110</v>
      </c>
      <c r="D42" s="1127">
        <v>609169959</v>
      </c>
      <c r="E42" s="1107" t="s">
        <v>416</v>
      </c>
      <c r="F42" s="1108" t="s">
        <v>375</v>
      </c>
      <c r="G42" s="1108" t="s">
        <v>558</v>
      </c>
      <c r="H42" s="1109" t="s">
        <v>177</v>
      </c>
      <c r="I42" s="1110" t="s">
        <v>618</v>
      </c>
      <c r="J42" s="1109" t="s">
        <v>619</v>
      </c>
      <c r="K42" s="1111">
        <v>5</v>
      </c>
      <c r="L42" s="1150">
        <v>4</v>
      </c>
      <c r="M42" s="1113">
        <v>5</v>
      </c>
      <c r="N42" s="1114" t="s">
        <v>666</v>
      </c>
      <c r="O42" s="792" t="s">
        <v>756</v>
      </c>
      <c r="P42" s="790"/>
      <c r="Q42" s="790" t="s">
        <v>642</v>
      </c>
      <c r="R42" s="796" t="s">
        <v>416</v>
      </c>
      <c r="S42" s="791" t="s">
        <v>643</v>
      </c>
      <c r="T42" s="792" t="s">
        <v>757</v>
      </c>
      <c r="U42" s="790"/>
      <c r="V42" s="790" t="s">
        <v>758</v>
      </c>
      <c r="W42" s="790" t="s">
        <v>416</v>
      </c>
      <c r="X42" s="791" t="s">
        <v>1111</v>
      </c>
      <c r="Y42" s="792" t="s">
        <v>1112</v>
      </c>
      <c r="Z42" s="798" t="s">
        <v>1113</v>
      </c>
      <c r="AA42" s="799" t="s">
        <v>1114</v>
      </c>
      <c r="AC42" s="1119"/>
      <c r="AD42" s="1120"/>
      <c r="AE42" s="1120"/>
      <c r="AF42" s="1120"/>
      <c r="AG42" s="1121"/>
      <c r="AH42" s="1122"/>
      <c r="AI42" s="1119" t="s">
        <v>584</v>
      </c>
      <c r="AJ42" s="1120" t="s">
        <v>585</v>
      </c>
      <c r="AK42" s="1120" t="s">
        <v>586</v>
      </c>
      <c r="AL42" s="1123" t="s">
        <v>630</v>
      </c>
      <c r="AM42" s="1121"/>
      <c r="AN42" s="1146" t="s">
        <v>543</v>
      </c>
    </row>
    <row r="43" spans="2:40">
      <c r="B43" s="1141" t="s">
        <v>544</v>
      </c>
      <c r="C43" s="795" t="s">
        <v>544</v>
      </c>
      <c r="D43" s="1127">
        <v>70064651029</v>
      </c>
      <c r="E43" s="1107" t="s">
        <v>571</v>
      </c>
      <c r="F43" s="1108" t="s">
        <v>375</v>
      </c>
      <c r="G43" s="1108" t="s">
        <v>377</v>
      </c>
      <c r="H43" s="1109" t="s">
        <v>177</v>
      </c>
      <c r="I43" s="1110" t="s">
        <v>652</v>
      </c>
      <c r="J43" s="1109" t="s">
        <v>653</v>
      </c>
      <c r="K43" s="1111">
        <v>5</v>
      </c>
      <c r="L43" s="1112">
        <v>5</v>
      </c>
      <c r="M43" s="1113">
        <v>2</v>
      </c>
      <c r="N43" s="1130" t="s">
        <v>654</v>
      </c>
      <c r="O43" s="792" t="s">
        <v>759</v>
      </c>
      <c r="P43" s="790" t="s">
        <v>760</v>
      </c>
      <c r="Q43" s="790" t="s">
        <v>761</v>
      </c>
      <c r="R43" s="790" t="s">
        <v>571</v>
      </c>
      <c r="S43" s="791" t="s">
        <v>762</v>
      </c>
      <c r="T43" s="792" t="s">
        <v>763</v>
      </c>
      <c r="U43" s="790"/>
      <c r="V43" s="790" t="s">
        <v>764</v>
      </c>
      <c r="W43" s="790" t="s">
        <v>661</v>
      </c>
      <c r="X43" s="791">
        <v>3170</v>
      </c>
      <c r="Y43" s="792" t="s">
        <v>765</v>
      </c>
      <c r="Z43" s="790" t="s">
        <v>766</v>
      </c>
      <c r="AA43" s="793" t="s">
        <v>767</v>
      </c>
      <c r="AC43" s="1147"/>
      <c r="AD43" s="1143"/>
      <c r="AE43" s="1143" t="s">
        <v>629</v>
      </c>
      <c r="AF43" s="1170" t="s">
        <v>628</v>
      </c>
      <c r="AG43" s="1144" t="s">
        <v>628</v>
      </c>
      <c r="AH43" s="1145"/>
      <c r="AI43" s="1119" t="s">
        <v>584</v>
      </c>
      <c r="AJ43" s="1120" t="s">
        <v>585</v>
      </c>
      <c r="AK43" s="1120" t="s">
        <v>586</v>
      </c>
      <c r="AL43" s="1123" t="s">
        <v>630</v>
      </c>
      <c r="AM43" s="1121"/>
      <c r="AN43" s="1146" t="s">
        <v>544</v>
      </c>
    </row>
    <row r="44" spans="2:40">
      <c r="B44" s="1141" t="s">
        <v>768</v>
      </c>
      <c r="C44" s="795" t="s">
        <v>768</v>
      </c>
      <c r="D44" s="1127">
        <v>18540492861</v>
      </c>
      <c r="E44" s="1107" t="s">
        <v>769</v>
      </c>
      <c r="F44" s="1108" t="s">
        <v>375</v>
      </c>
      <c r="G44" s="1108" t="s">
        <v>377</v>
      </c>
      <c r="H44" s="1109" t="s">
        <v>177</v>
      </c>
      <c r="I44" s="1110" t="s">
        <v>618</v>
      </c>
      <c r="J44" s="1109" t="s">
        <v>619</v>
      </c>
      <c r="K44" s="1111">
        <v>12</v>
      </c>
      <c r="L44" s="1150">
        <v>4</v>
      </c>
      <c r="M44" s="1113" t="s">
        <v>633</v>
      </c>
      <c r="N44" s="1114" t="s">
        <v>631</v>
      </c>
      <c r="O44" s="792" t="s">
        <v>1115</v>
      </c>
      <c r="P44" s="790"/>
      <c r="Q44" s="790" t="s">
        <v>1116</v>
      </c>
      <c r="R44" s="796" t="s">
        <v>769</v>
      </c>
      <c r="S44" s="791" t="s">
        <v>1117</v>
      </c>
      <c r="T44" s="792" t="s">
        <v>1118</v>
      </c>
      <c r="U44" s="790"/>
      <c r="V44" s="790" t="s">
        <v>1116</v>
      </c>
      <c r="W44" s="790" t="s">
        <v>769</v>
      </c>
      <c r="X44" s="791">
        <v>6842</v>
      </c>
      <c r="Y44" s="792" t="s">
        <v>770</v>
      </c>
      <c r="Z44" s="798" t="s">
        <v>771</v>
      </c>
      <c r="AA44" s="1177" t="s">
        <v>1119</v>
      </c>
      <c r="AC44" s="1142"/>
      <c r="AD44" s="1143"/>
      <c r="AE44" s="1143" t="s">
        <v>629</v>
      </c>
      <c r="AF44" s="1143" t="s">
        <v>629</v>
      </c>
      <c r="AG44" s="1144" t="s">
        <v>628</v>
      </c>
      <c r="AH44" s="1178" t="s">
        <v>628</v>
      </c>
      <c r="AI44" s="1119" t="s">
        <v>584</v>
      </c>
      <c r="AJ44" s="1120" t="s">
        <v>585</v>
      </c>
      <c r="AK44" s="1120" t="s">
        <v>586</v>
      </c>
      <c r="AL44" s="1123" t="s">
        <v>630</v>
      </c>
      <c r="AM44" s="1121"/>
      <c r="AN44" s="1146" t="s">
        <v>768</v>
      </c>
    </row>
    <row r="45" spans="2:40" ht="15.75" thickBot="1">
      <c r="B45" s="1179" t="s">
        <v>772</v>
      </c>
      <c r="C45" s="1180" t="s">
        <v>772</v>
      </c>
      <c r="D45" s="1181">
        <v>18540492861</v>
      </c>
      <c r="E45" s="1182" t="s">
        <v>769</v>
      </c>
      <c r="F45" s="1183" t="s">
        <v>375</v>
      </c>
      <c r="G45" s="1183" t="s">
        <v>558</v>
      </c>
      <c r="H45" s="1184" t="s">
        <v>177</v>
      </c>
      <c r="I45" s="1185" t="s">
        <v>618</v>
      </c>
      <c r="J45" s="1184" t="s">
        <v>619</v>
      </c>
      <c r="K45" s="1186">
        <v>12</v>
      </c>
      <c r="L45" s="1187">
        <v>4</v>
      </c>
      <c r="M45" s="1188" t="s">
        <v>633</v>
      </c>
      <c r="N45" s="1189" t="s">
        <v>666</v>
      </c>
      <c r="O45" s="1190" t="s">
        <v>1115</v>
      </c>
      <c r="P45" s="1191"/>
      <c r="Q45" s="1191" t="s">
        <v>1116</v>
      </c>
      <c r="R45" s="1192" t="s">
        <v>769</v>
      </c>
      <c r="S45" s="1193" t="s">
        <v>1117</v>
      </c>
      <c r="T45" s="1190" t="s">
        <v>1118</v>
      </c>
      <c r="U45" s="1191"/>
      <c r="V45" s="1191" t="s">
        <v>1116</v>
      </c>
      <c r="W45" s="1191" t="s">
        <v>769</v>
      </c>
      <c r="X45" s="1193">
        <v>6842</v>
      </c>
      <c r="Y45" s="1190" t="s">
        <v>770</v>
      </c>
      <c r="Z45" s="1194" t="s">
        <v>771</v>
      </c>
      <c r="AA45" s="1195" t="s">
        <v>1119</v>
      </c>
      <c r="AC45" s="1196"/>
      <c r="AD45" s="1197"/>
      <c r="AE45" s="1197" t="s">
        <v>629</v>
      </c>
      <c r="AF45" s="1197" t="s">
        <v>629</v>
      </c>
      <c r="AG45" s="1198" t="s">
        <v>628</v>
      </c>
      <c r="AH45" s="1199"/>
      <c r="AI45" s="1200" t="s">
        <v>584</v>
      </c>
      <c r="AJ45" s="1201" t="s">
        <v>585</v>
      </c>
      <c r="AK45" s="1201" t="s">
        <v>586</v>
      </c>
      <c r="AL45" s="1202" t="s">
        <v>630</v>
      </c>
      <c r="AM45" s="1203"/>
      <c r="AN45" s="1204" t="s">
        <v>772</v>
      </c>
    </row>
    <row r="46" spans="2:40">
      <c r="C46" s="776"/>
    </row>
    <row r="47" spans="2:40" ht="15.75" thickBot="1">
      <c r="C47" s="776"/>
    </row>
    <row r="48" spans="2:40" ht="15.75" thickBot="1">
      <c r="W48" s="1521" t="s">
        <v>1120</v>
      </c>
      <c r="X48" s="1522"/>
      <c r="Y48" s="1522"/>
      <c r="Z48" s="1522"/>
      <c r="AA48" s="1523"/>
      <c r="AC48" s="1521" t="s">
        <v>1121</v>
      </c>
      <c r="AD48" s="1522"/>
      <c r="AE48" s="1522"/>
      <c r="AF48" s="1522"/>
    </row>
    <row r="49" spans="2:38" ht="53.25" customHeight="1" thickBot="1">
      <c r="B49" s="1524" t="s">
        <v>1122</v>
      </c>
      <c r="C49" s="1525"/>
      <c r="D49" s="1525"/>
      <c r="E49" s="1525"/>
      <c r="F49" s="1526"/>
      <c r="G49" s="831" t="str">
        <f>IF(dms_RPT="financial",VALUE(LEFT(CRCP_y1,4)-1)&amp;"-"&amp;TEXT(VALUE(RIGHT(CRCP_y1,2)-1),"00"),VALUE(LEFT(CRCP_y1,4)-1))</f>
        <v>2013-14</v>
      </c>
      <c r="H49" s="1205"/>
      <c r="N49" s="1206" t="s">
        <v>1123</v>
      </c>
      <c r="O49" s="1527" t="s">
        <v>1124</v>
      </c>
      <c r="P49" s="1527"/>
      <c r="Q49" s="1527"/>
      <c r="R49" s="1527"/>
      <c r="S49" s="1527"/>
      <c r="T49" s="1527"/>
      <c r="U49" s="1527"/>
      <c r="V49" s="1527"/>
      <c r="W49" s="1528" t="s">
        <v>773</v>
      </c>
      <c r="X49" s="1529"/>
      <c r="Y49" s="1529"/>
      <c r="Z49" s="1529"/>
      <c r="AA49" s="1530"/>
      <c r="AC49" s="1528" t="s">
        <v>1125</v>
      </c>
      <c r="AD49" s="1529"/>
      <c r="AE49" s="1529"/>
      <c r="AF49" s="1530"/>
      <c r="AI49" s="1207" t="s">
        <v>929</v>
      </c>
      <c r="AJ49" s="1208" t="s">
        <v>1126</v>
      </c>
      <c r="AK49" s="1209" t="s">
        <v>930</v>
      </c>
      <c r="AL49" s="1020"/>
    </row>
    <row r="50" spans="2:38" s="763" customFormat="1" ht="42" customHeight="1" thickBot="1">
      <c r="B50" s="1210" t="s">
        <v>774</v>
      </c>
      <c r="C50" s="1531" t="s">
        <v>775</v>
      </c>
      <c r="D50" s="1531"/>
      <c r="E50" s="1211" t="s">
        <v>776</v>
      </c>
      <c r="F50" s="1211"/>
      <c r="G50" s="1212"/>
      <c r="H50" s="1213"/>
      <c r="I50" s="806"/>
      <c r="J50" s="805"/>
      <c r="K50" s="805"/>
      <c r="L50" s="807"/>
      <c r="N50" s="1214" t="s">
        <v>777</v>
      </c>
      <c r="O50" s="808" t="s">
        <v>778</v>
      </c>
      <c r="P50" s="809" t="s">
        <v>779</v>
      </c>
      <c r="Q50" s="809" t="s">
        <v>780</v>
      </c>
      <c r="R50" s="809" t="s">
        <v>781</v>
      </c>
      <c r="S50" s="809" t="s">
        <v>782</v>
      </c>
      <c r="T50" s="809" t="s">
        <v>783</v>
      </c>
      <c r="U50" s="809" t="s">
        <v>784</v>
      </c>
      <c r="V50" s="810" t="s">
        <v>785</v>
      </c>
      <c r="W50" s="1215" t="s">
        <v>786</v>
      </c>
      <c r="X50" s="811" t="s">
        <v>787</v>
      </c>
      <c r="Y50" s="811" t="s">
        <v>788</v>
      </c>
      <c r="Z50" s="811" t="s">
        <v>789</v>
      </c>
      <c r="AA50" s="1216" t="s">
        <v>790</v>
      </c>
      <c r="AB50" s="1020"/>
      <c r="AC50" s="1215" t="s">
        <v>1127</v>
      </c>
      <c r="AD50" s="811" t="s">
        <v>1128</v>
      </c>
      <c r="AE50" s="811"/>
      <c r="AF50" s="1216"/>
      <c r="AI50" s="1511" t="s">
        <v>931</v>
      </c>
      <c r="AJ50" s="1217" t="s">
        <v>932</v>
      </c>
      <c r="AK50" s="1218" t="s">
        <v>931</v>
      </c>
      <c r="AL50" s="1020"/>
    </row>
    <row r="51" spans="2:38" ht="30">
      <c r="B51" s="1219" t="s">
        <v>791</v>
      </c>
      <c r="C51" s="1220" t="s">
        <v>792</v>
      </c>
      <c r="D51" s="1221"/>
      <c r="E51" s="1222" t="e">
        <f ca="1">LEFT(dms_SingleYear_FinalYear_Result,2)&amp;RIGHT(dms_SingleYear_FinalYear_Result,2)</f>
        <v>#REF!</v>
      </c>
      <c r="F51" s="1223" t="s">
        <v>793</v>
      </c>
      <c r="G51" s="1224"/>
      <c r="H51" s="1225" t="s">
        <v>794</v>
      </c>
      <c r="I51" s="812"/>
      <c r="N51" s="1226" t="s">
        <v>795</v>
      </c>
      <c r="O51" s="1227" t="s">
        <v>796</v>
      </c>
      <c r="P51" s="813" t="s">
        <v>797</v>
      </c>
      <c r="Q51" s="813" t="s">
        <v>797</v>
      </c>
      <c r="R51" s="813" t="s">
        <v>797</v>
      </c>
      <c r="S51" s="813" t="s">
        <v>797</v>
      </c>
      <c r="T51" s="814" t="s">
        <v>797</v>
      </c>
      <c r="U51" s="1228" t="s">
        <v>797</v>
      </c>
      <c r="V51" s="1229" t="s">
        <v>798</v>
      </c>
      <c r="W51" s="1230" t="s">
        <v>799</v>
      </c>
      <c r="X51" s="815" t="s">
        <v>799</v>
      </c>
      <c r="Y51" s="816" t="s">
        <v>800</v>
      </c>
      <c r="Z51" s="816" t="s">
        <v>431</v>
      </c>
      <c r="AA51" s="1231" t="s">
        <v>801</v>
      </c>
      <c r="AC51" s="816" t="s">
        <v>843</v>
      </c>
      <c r="AD51" s="816" t="s">
        <v>843</v>
      </c>
      <c r="AE51" s="1232"/>
      <c r="AF51" s="1233"/>
      <c r="AI51" s="1512"/>
      <c r="AJ51" s="1234" t="s">
        <v>933</v>
      </c>
      <c r="AK51" s="1235" t="s">
        <v>934</v>
      </c>
      <c r="AL51" s="1020"/>
    </row>
    <row r="52" spans="2:38" ht="30.75" thickBot="1">
      <c r="B52" s="1236" t="s">
        <v>516</v>
      </c>
      <c r="C52" s="1237" t="s">
        <v>517</v>
      </c>
      <c r="D52" s="1224"/>
      <c r="E52" s="1238" t="e">
        <f ca="1">LEFT(dms_SingleYear_FinalYear_Result,2)&amp;RIGHT(dms_SingleYear_FinalYear_Result,2)</f>
        <v>#REF!</v>
      </c>
      <c r="F52" s="1239" t="s">
        <v>793</v>
      </c>
      <c r="G52" s="1224"/>
      <c r="H52" s="1225" t="s">
        <v>794</v>
      </c>
      <c r="I52" s="812"/>
      <c r="N52" s="1240" t="s">
        <v>802</v>
      </c>
      <c r="O52" s="1241" t="s">
        <v>796</v>
      </c>
      <c r="P52" s="817" t="s">
        <v>797</v>
      </c>
      <c r="Q52" s="817" t="s">
        <v>797</v>
      </c>
      <c r="R52" s="817" t="s">
        <v>797</v>
      </c>
      <c r="S52" s="817" t="s">
        <v>797</v>
      </c>
      <c r="T52" s="1242" t="s">
        <v>797</v>
      </c>
      <c r="U52" s="1243" t="s">
        <v>797</v>
      </c>
      <c r="V52" s="1244" t="s">
        <v>797</v>
      </c>
      <c r="W52" s="1230" t="s">
        <v>799</v>
      </c>
      <c r="X52" s="815" t="s">
        <v>799</v>
      </c>
      <c r="Y52" s="818" t="s">
        <v>803</v>
      </c>
      <c r="Z52" s="818" t="s">
        <v>804</v>
      </c>
      <c r="AA52" s="1245"/>
      <c r="AC52" s="818" t="s">
        <v>843</v>
      </c>
      <c r="AD52" s="818" t="s">
        <v>843</v>
      </c>
      <c r="AE52" s="1232"/>
      <c r="AF52" s="1233"/>
      <c r="AI52" s="1513"/>
      <c r="AJ52" s="1246" t="s">
        <v>178</v>
      </c>
      <c r="AK52" s="1235" t="s">
        <v>178</v>
      </c>
      <c r="AL52" s="1020"/>
    </row>
    <row r="53" spans="2:38" ht="30">
      <c r="B53" s="1236" t="s">
        <v>519</v>
      </c>
      <c r="C53" s="1237" t="s">
        <v>519</v>
      </c>
      <c r="D53" s="1224"/>
      <c r="E53" s="1247"/>
      <c r="F53" s="1248"/>
      <c r="G53" s="1224"/>
      <c r="H53" s="1249"/>
      <c r="I53" s="812"/>
      <c r="J53" s="762"/>
      <c r="N53" s="1240" t="s">
        <v>805</v>
      </c>
      <c r="O53" s="1241" t="s">
        <v>796</v>
      </c>
      <c r="P53" s="817" t="s">
        <v>806</v>
      </c>
      <c r="Q53" s="817" t="s">
        <v>806</v>
      </c>
      <c r="R53" s="817" t="s">
        <v>806</v>
      </c>
      <c r="S53" s="817" t="s">
        <v>806</v>
      </c>
      <c r="T53" s="1242" t="s">
        <v>797</v>
      </c>
      <c r="U53" s="1243" t="s">
        <v>797</v>
      </c>
      <c r="V53" s="1244" t="s">
        <v>807</v>
      </c>
      <c r="W53" s="1230" t="s">
        <v>808</v>
      </c>
      <c r="X53" s="815" t="s">
        <v>808</v>
      </c>
      <c r="Y53" s="818" t="s">
        <v>809</v>
      </c>
      <c r="Z53" s="818" t="s">
        <v>804</v>
      </c>
      <c r="AA53" s="1245"/>
      <c r="AC53" s="818" t="s">
        <v>843</v>
      </c>
      <c r="AD53" s="818" t="s">
        <v>843</v>
      </c>
      <c r="AE53" s="1232"/>
      <c r="AF53" s="1233"/>
      <c r="AI53" s="1511" t="s">
        <v>934</v>
      </c>
      <c r="AJ53" s="1250" t="s">
        <v>935</v>
      </c>
      <c r="AK53" s="1235" t="s">
        <v>936</v>
      </c>
      <c r="AL53" s="750"/>
    </row>
    <row r="54" spans="2:38" ht="30.75" thickBot="1">
      <c r="B54" s="1236" t="s">
        <v>520</v>
      </c>
      <c r="C54" s="1237" t="s">
        <v>521</v>
      </c>
      <c r="D54" s="1224"/>
      <c r="E54" s="1238" t="e">
        <f ca="1">LEFT(dms_SingleYear_FinalYear_Result,2)&amp;RIGHT(dms_SingleYear_FinalYear_Result,2)</f>
        <v>#REF!</v>
      </c>
      <c r="F54" s="1239" t="s">
        <v>793</v>
      </c>
      <c r="G54" s="1224"/>
      <c r="H54" s="1225" t="s">
        <v>794</v>
      </c>
      <c r="I54" s="812"/>
      <c r="J54" s="762"/>
      <c r="N54" s="1240" t="s">
        <v>810</v>
      </c>
      <c r="O54" s="1241" t="s">
        <v>796</v>
      </c>
      <c r="P54" s="817" t="s">
        <v>797</v>
      </c>
      <c r="Q54" s="817" t="s">
        <v>797</v>
      </c>
      <c r="R54" s="817" t="s">
        <v>797</v>
      </c>
      <c r="S54" s="817" t="s">
        <v>797</v>
      </c>
      <c r="T54" s="1242" t="s">
        <v>797</v>
      </c>
      <c r="U54" s="1243" t="s">
        <v>807</v>
      </c>
      <c r="V54" s="1244" t="s">
        <v>797</v>
      </c>
      <c r="W54" s="1230" t="s">
        <v>808</v>
      </c>
      <c r="X54" s="1251" t="s">
        <v>808</v>
      </c>
      <c r="Y54" s="798"/>
      <c r="Z54" s="818" t="s">
        <v>804</v>
      </c>
      <c r="AA54" s="1245"/>
      <c r="AC54" s="818" t="s">
        <v>843</v>
      </c>
      <c r="AD54" s="818" t="s">
        <v>843</v>
      </c>
      <c r="AE54" s="1232"/>
      <c r="AF54" s="1233"/>
      <c r="AI54" s="1512"/>
      <c r="AJ54" s="1234" t="s">
        <v>937</v>
      </c>
      <c r="AK54" s="1235" t="s">
        <v>938</v>
      </c>
      <c r="AL54" s="750"/>
    </row>
    <row r="55" spans="2:38">
      <c r="B55" s="1236" t="s">
        <v>382</v>
      </c>
      <c r="C55" s="1252" t="s">
        <v>522</v>
      </c>
      <c r="D55" s="1224"/>
      <c r="E55" s="1238" t="str">
        <f ca="1">LEFT(dms_MultiYear_FinalYear_Result,2)&amp;RIGHT(dms_MultiYear_FinalYear_Result,2)</f>
        <v>2024</v>
      </c>
      <c r="F55" s="1239" t="s">
        <v>811</v>
      </c>
      <c r="G55" s="1224"/>
      <c r="H55" s="1249"/>
      <c r="I55" s="812"/>
      <c r="J55" s="762"/>
      <c r="N55" s="1240" t="s">
        <v>812</v>
      </c>
      <c r="O55" s="1253" t="s">
        <v>813</v>
      </c>
      <c r="P55" s="817" t="s">
        <v>814</v>
      </c>
      <c r="Q55" s="817" t="s">
        <v>814</v>
      </c>
      <c r="R55" s="817" t="s">
        <v>814</v>
      </c>
      <c r="S55" s="817" t="s">
        <v>814</v>
      </c>
      <c r="T55" s="1242" t="s">
        <v>815</v>
      </c>
      <c r="U55" s="819"/>
      <c r="V55" s="820"/>
      <c r="W55" s="1254"/>
      <c r="X55" s="798"/>
      <c r="Y55" s="798"/>
      <c r="Z55" s="818" t="s">
        <v>804</v>
      </c>
      <c r="AA55" s="1245"/>
      <c r="AC55" s="818" t="s">
        <v>843</v>
      </c>
      <c r="AD55" s="818" t="s">
        <v>815</v>
      </c>
      <c r="AE55" s="1232"/>
      <c r="AF55" s="1233"/>
      <c r="AI55" s="1512"/>
      <c r="AJ55" s="1234" t="s">
        <v>939</v>
      </c>
      <c r="AK55" s="1235" t="s">
        <v>940</v>
      </c>
      <c r="AL55" s="750"/>
    </row>
    <row r="56" spans="2:38">
      <c r="B56" s="1236" t="s">
        <v>523</v>
      </c>
      <c r="C56" s="1237" t="s">
        <v>518</v>
      </c>
      <c r="D56" s="1224"/>
      <c r="E56" s="1238" t="str">
        <f ca="1">LEFT(dms_MultiYear_FinalYear_Result,2)&amp;RIGHT(dms_MultiYear_FinalYear_Result,2)</f>
        <v>2024</v>
      </c>
      <c r="F56" s="1239" t="s">
        <v>811</v>
      </c>
      <c r="G56" s="1224"/>
      <c r="H56" s="1225" t="s">
        <v>794</v>
      </c>
      <c r="I56" s="812"/>
      <c r="J56" s="762"/>
      <c r="N56" s="1240" t="s">
        <v>816</v>
      </c>
      <c r="O56" s="1253" t="s">
        <v>813</v>
      </c>
      <c r="P56" s="817" t="s">
        <v>817</v>
      </c>
      <c r="Q56" s="817" t="s">
        <v>817</v>
      </c>
      <c r="R56" s="817" t="s">
        <v>817</v>
      </c>
      <c r="S56" s="817" t="s">
        <v>817</v>
      </c>
      <c r="T56" s="821"/>
      <c r="U56" s="819"/>
      <c r="V56" s="820"/>
      <c r="W56" s="1254"/>
      <c r="X56" s="798"/>
      <c r="Y56" s="798"/>
      <c r="Z56" s="818" t="s">
        <v>818</v>
      </c>
      <c r="AA56" s="1245"/>
      <c r="AC56" s="818" t="s">
        <v>843</v>
      </c>
      <c r="AD56" s="1232"/>
      <c r="AE56" s="1232"/>
      <c r="AF56" s="1233"/>
      <c r="AI56" s="1512"/>
      <c r="AJ56" s="1234" t="s">
        <v>941</v>
      </c>
      <c r="AK56" s="1235" t="s">
        <v>942</v>
      </c>
      <c r="AL56" s="750"/>
    </row>
    <row r="57" spans="2:38" ht="15.75" thickBot="1">
      <c r="B57" s="1236" t="s">
        <v>524</v>
      </c>
      <c r="C57" s="1237" t="s">
        <v>525</v>
      </c>
      <c r="D57" s="1224"/>
      <c r="E57" s="1238" t="str">
        <f>LEFT(dms_CRCP_FinalYear_Result,2)&amp;RIGHT(dms_CRCP_FinalYear_Result,2)</f>
        <v>2019</v>
      </c>
      <c r="F57" s="1239" t="s">
        <v>819</v>
      </c>
      <c r="G57" s="1224"/>
      <c r="H57" s="1249"/>
      <c r="I57" s="812"/>
      <c r="J57" s="762"/>
      <c r="N57" s="1240" t="s">
        <v>820</v>
      </c>
      <c r="O57" s="1253" t="s">
        <v>813</v>
      </c>
      <c r="P57" s="817" t="s">
        <v>814</v>
      </c>
      <c r="Q57" s="817" t="s">
        <v>814</v>
      </c>
      <c r="R57" s="817" t="s">
        <v>814</v>
      </c>
      <c r="S57" s="817" t="s">
        <v>814</v>
      </c>
      <c r="T57" s="821"/>
      <c r="U57" s="819"/>
      <c r="V57" s="820"/>
      <c r="W57" s="1254"/>
      <c r="X57" s="798"/>
      <c r="Y57" s="798"/>
      <c r="Z57" s="818" t="s">
        <v>818</v>
      </c>
      <c r="AA57" s="1245"/>
      <c r="AC57" s="818" t="s">
        <v>843</v>
      </c>
      <c r="AD57" s="1232"/>
      <c r="AE57" s="1232"/>
      <c r="AF57" s="1233"/>
      <c r="AI57" s="1513"/>
      <c r="AJ57" s="1255" t="s">
        <v>943</v>
      </c>
      <c r="AK57" s="1235" t="s">
        <v>944</v>
      </c>
      <c r="AL57" s="750"/>
    </row>
    <row r="58" spans="2:38" ht="15.75" thickBot="1">
      <c r="B58" s="1256" t="s">
        <v>526</v>
      </c>
      <c r="C58" s="1257" t="s">
        <v>527</v>
      </c>
      <c r="D58" s="1258"/>
      <c r="E58" s="1259" t="str">
        <f ca="1">LEFT(dms_MultiYear_FinalYear_Result,2)&amp;RIGHT(dms_MultiYear_FinalYear_Result,2)</f>
        <v>2024</v>
      </c>
      <c r="F58" s="1260" t="s">
        <v>811</v>
      </c>
      <c r="G58" s="1258"/>
      <c r="H58" s="1261"/>
      <c r="I58" s="812"/>
      <c r="J58" s="762"/>
      <c r="N58" s="1262" t="s">
        <v>178</v>
      </c>
      <c r="O58" s="822"/>
      <c r="P58" s="817" t="s">
        <v>817</v>
      </c>
      <c r="Q58" s="817" t="s">
        <v>817</v>
      </c>
      <c r="R58" s="817" t="s">
        <v>817</v>
      </c>
      <c r="S58" s="817" t="s">
        <v>817</v>
      </c>
      <c r="T58" s="821"/>
      <c r="U58" s="819"/>
      <c r="V58" s="820"/>
      <c r="W58" s="1263"/>
      <c r="X58" s="798"/>
      <c r="Y58" s="798"/>
      <c r="Z58" s="818" t="s">
        <v>821</v>
      </c>
      <c r="AA58" s="1245"/>
      <c r="AC58" s="818" t="s">
        <v>843</v>
      </c>
      <c r="AD58" s="1232"/>
      <c r="AE58" s="1232"/>
      <c r="AF58" s="1233"/>
      <c r="AI58" s="1264" t="s">
        <v>178</v>
      </c>
      <c r="AJ58" s="1265" t="s">
        <v>945</v>
      </c>
      <c r="AK58" s="1235" t="s">
        <v>946</v>
      </c>
      <c r="AL58" s="750"/>
    </row>
    <row r="59" spans="2:38" ht="15.75" thickBot="1">
      <c r="C59" s="776"/>
      <c r="H59" s="762"/>
      <c r="I59" s="812"/>
      <c r="J59" s="762"/>
      <c r="O59" s="822"/>
      <c r="P59" s="817" t="s">
        <v>814</v>
      </c>
      <c r="Q59" s="817" t="s">
        <v>814</v>
      </c>
      <c r="R59" s="817" t="s">
        <v>814</v>
      </c>
      <c r="S59" s="817" t="s">
        <v>814</v>
      </c>
      <c r="T59" s="821"/>
      <c r="U59" s="819"/>
      <c r="V59" s="820"/>
      <c r="W59" s="1263"/>
      <c r="X59" s="798"/>
      <c r="Y59" s="798"/>
      <c r="Z59" s="818" t="s">
        <v>821</v>
      </c>
      <c r="AA59" s="1245"/>
      <c r="AC59" s="818" t="s">
        <v>843</v>
      </c>
      <c r="AD59" s="1232"/>
      <c r="AE59" s="1232"/>
      <c r="AF59" s="1233"/>
      <c r="AI59" s="1264" t="s">
        <v>936</v>
      </c>
      <c r="AJ59" s="1266" t="s">
        <v>577</v>
      </c>
      <c r="AK59" s="1235" t="s">
        <v>947</v>
      </c>
      <c r="AL59" s="750"/>
    </row>
    <row r="60" spans="2:38" ht="15.75" thickBot="1">
      <c r="B60" s="844" t="s">
        <v>909</v>
      </c>
      <c r="C60" s="776"/>
      <c r="O60" s="822"/>
      <c r="P60" s="817" t="s">
        <v>797</v>
      </c>
      <c r="Q60" s="821"/>
      <c r="R60" s="817" t="s">
        <v>807</v>
      </c>
      <c r="S60" s="821"/>
      <c r="T60" s="821"/>
      <c r="U60" s="819"/>
      <c r="V60" s="820"/>
      <c r="W60" s="1263"/>
      <c r="X60" s="798"/>
      <c r="Y60" s="798"/>
      <c r="Z60" s="818" t="s">
        <v>822</v>
      </c>
      <c r="AA60" s="1245"/>
      <c r="AC60" s="818" t="s">
        <v>843</v>
      </c>
      <c r="AD60" s="1232"/>
      <c r="AE60" s="1232"/>
      <c r="AF60" s="1233"/>
      <c r="AI60" s="1264" t="s">
        <v>938</v>
      </c>
      <c r="AJ60" s="1267" t="s">
        <v>577</v>
      </c>
      <c r="AK60" s="1235" t="s">
        <v>948</v>
      </c>
      <c r="AL60" s="750"/>
    </row>
    <row r="61" spans="2:38">
      <c r="B61" s="845" t="s">
        <v>912</v>
      </c>
      <c r="C61" s="776"/>
      <c r="O61" s="822"/>
      <c r="P61" s="817" t="s">
        <v>797</v>
      </c>
      <c r="Q61" s="821"/>
      <c r="R61" s="821"/>
      <c r="S61" s="821"/>
      <c r="T61" s="821"/>
      <c r="U61" s="819"/>
      <c r="V61" s="820"/>
      <c r="W61" s="1263"/>
      <c r="X61" s="798"/>
      <c r="Y61" s="798"/>
      <c r="Z61" s="818" t="s">
        <v>822</v>
      </c>
      <c r="AA61" s="1245"/>
      <c r="AC61" s="818" t="s">
        <v>843</v>
      </c>
      <c r="AD61" s="1232"/>
      <c r="AE61" s="1232"/>
      <c r="AF61" s="1233"/>
      <c r="AI61" s="1511" t="s">
        <v>940</v>
      </c>
      <c r="AJ61" s="1268" t="s">
        <v>949</v>
      </c>
      <c r="AK61" s="1235" t="s">
        <v>950</v>
      </c>
      <c r="AL61" s="750"/>
    </row>
    <row r="62" spans="2:38" ht="15.75" thickBot="1">
      <c r="B62" s="846" t="s">
        <v>915</v>
      </c>
      <c r="C62" s="776"/>
      <c r="O62" s="822"/>
      <c r="P62" s="817" t="s">
        <v>797</v>
      </c>
      <c r="Q62" s="821"/>
      <c r="R62" s="821"/>
      <c r="S62" s="821"/>
      <c r="T62" s="821"/>
      <c r="U62" s="819"/>
      <c r="V62" s="820"/>
      <c r="W62" s="1263"/>
      <c r="X62" s="798"/>
      <c r="Y62" s="798"/>
      <c r="Z62" s="818" t="s">
        <v>823</v>
      </c>
      <c r="AA62" s="1245"/>
      <c r="AC62" s="818" t="s">
        <v>843</v>
      </c>
      <c r="AD62" s="1232"/>
      <c r="AE62" s="1232"/>
      <c r="AF62" s="1233"/>
      <c r="AI62" s="1512"/>
      <c r="AJ62" s="1269" t="s">
        <v>951</v>
      </c>
      <c r="AK62" s="1235" t="s">
        <v>952</v>
      </c>
      <c r="AL62" s="750"/>
    </row>
    <row r="63" spans="2:38" ht="15.75" thickBot="1">
      <c r="B63" s="846" t="s">
        <v>418</v>
      </c>
      <c r="C63" s="776"/>
      <c r="O63" s="823"/>
      <c r="P63" s="824" t="s">
        <v>807</v>
      </c>
      <c r="Q63" s="825"/>
      <c r="R63" s="825"/>
      <c r="S63" s="825"/>
      <c r="T63" s="825"/>
      <c r="U63" s="826"/>
      <c r="V63" s="827"/>
      <c r="W63" s="1263"/>
      <c r="X63" s="798"/>
      <c r="Y63" s="798"/>
      <c r="Z63" s="818" t="s">
        <v>801</v>
      </c>
      <c r="AA63" s="1245"/>
      <c r="AC63" s="818" t="s">
        <v>815</v>
      </c>
      <c r="AD63" s="1232"/>
      <c r="AE63" s="1232"/>
      <c r="AF63" s="1233"/>
      <c r="AI63" s="1270" t="s">
        <v>942</v>
      </c>
      <c r="AJ63" s="1250" t="s">
        <v>953</v>
      </c>
      <c r="AK63" s="1235" t="s">
        <v>954</v>
      </c>
      <c r="AL63" s="750"/>
    </row>
    <row r="64" spans="2:38" ht="15.75" thickBot="1">
      <c r="B64" s="846" t="s">
        <v>920</v>
      </c>
      <c r="C64" s="776"/>
      <c r="E64" s="1020"/>
      <c r="T64" s="1271"/>
      <c r="W64" s="1272"/>
      <c r="X64" s="804"/>
      <c r="Y64" s="804"/>
      <c r="Z64" s="828" t="s">
        <v>823</v>
      </c>
      <c r="AA64" s="1273"/>
      <c r="AC64" s="828" t="s">
        <v>815</v>
      </c>
      <c r="AD64" s="1232" t="s">
        <v>824</v>
      </c>
      <c r="AE64" s="1232"/>
      <c r="AF64" s="1233"/>
      <c r="AI64" s="1274"/>
      <c r="AJ64" s="1275" t="s">
        <v>178</v>
      </c>
      <c r="AK64" s="1235" t="s">
        <v>955</v>
      </c>
      <c r="AL64" s="750"/>
    </row>
    <row r="65" spans="2:38" ht="15.75" thickBot="1">
      <c r="B65" s="847" t="s">
        <v>419</v>
      </c>
      <c r="C65" s="776"/>
      <c r="E65" s="1020"/>
      <c r="T65" s="1276"/>
      <c r="W65" s="1277"/>
      <c r="X65" s="1232"/>
      <c r="Y65" s="1232"/>
      <c r="Z65" s="1232"/>
      <c r="AA65" s="1233"/>
      <c r="AC65" s="1278"/>
      <c r="AD65" s="1232"/>
      <c r="AE65" s="1232"/>
      <c r="AF65" s="1233"/>
      <c r="AI65" s="1274"/>
      <c r="AJ65" s="1275" t="s">
        <v>956</v>
      </c>
      <c r="AK65" s="1279" t="s">
        <v>957</v>
      </c>
      <c r="AL65" s="750"/>
    </row>
    <row r="66" spans="2:38" ht="15.75" thickBot="1">
      <c r="C66" s="776"/>
      <c r="E66" s="1020"/>
      <c r="T66" s="1280"/>
      <c r="W66" s="1277"/>
      <c r="X66" s="1232"/>
      <c r="Y66" s="1232"/>
      <c r="Z66" s="1232"/>
      <c r="AA66" s="1233"/>
      <c r="AC66" s="1278"/>
      <c r="AD66" s="1232"/>
      <c r="AE66" s="1232"/>
      <c r="AF66" s="1233"/>
      <c r="AI66" s="1274"/>
      <c r="AJ66" s="1275" t="s">
        <v>958</v>
      </c>
      <c r="AK66" s="1281"/>
      <c r="AL66" s="750"/>
    </row>
    <row r="67" spans="2:38" ht="58.5" customHeight="1" thickBot="1">
      <c r="B67" s="1282" t="s">
        <v>1129</v>
      </c>
      <c r="C67" s="1282" t="s">
        <v>1130</v>
      </c>
      <c r="E67" s="1020"/>
      <c r="O67" s="1532" t="s">
        <v>1131</v>
      </c>
      <c r="P67" s="1533"/>
      <c r="W67" s="1534" t="s">
        <v>825</v>
      </c>
      <c r="X67" s="1535"/>
      <c r="Y67" s="1535"/>
      <c r="Z67" s="1536"/>
      <c r="AA67" s="1233"/>
      <c r="AC67" s="1278"/>
      <c r="AD67" s="1232"/>
      <c r="AE67" s="1232"/>
      <c r="AF67" s="1233"/>
      <c r="AI67" s="1283"/>
      <c r="AJ67" s="1284" t="s">
        <v>959</v>
      </c>
      <c r="AK67" s="1281"/>
      <c r="AL67" s="750"/>
    </row>
    <row r="68" spans="2:38" ht="15.75" thickBot="1">
      <c r="B68" s="829" t="s">
        <v>826</v>
      </c>
      <c r="C68" s="829" t="s">
        <v>827</v>
      </c>
      <c r="E68" s="1020"/>
      <c r="O68" s="1285" t="s">
        <v>1132</v>
      </c>
      <c r="W68" s="1286" t="s">
        <v>786</v>
      </c>
      <c r="X68" s="831"/>
      <c r="Y68" s="830" t="s">
        <v>788</v>
      </c>
      <c r="Z68" s="832" t="s">
        <v>789</v>
      </c>
      <c r="AA68" s="1233"/>
      <c r="AC68" s="1278"/>
      <c r="AD68" s="1232"/>
      <c r="AE68" s="1232"/>
      <c r="AF68" s="1233"/>
      <c r="AI68" s="1264" t="s">
        <v>944</v>
      </c>
      <c r="AJ68" s="1287" t="s">
        <v>944</v>
      </c>
      <c r="AK68" s="1281"/>
      <c r="AL68" s="750"/>
    </row>
    <row r="69" spans="2:38" ht="15.75" thickBot="1">
      <c r="B69" s="833" t="s">
        <v>562</v>
      </c>
      <c r="C69" s="834" t="s">
        <v>177</v>
      </c>
      <c r="E69" s="1020"/>
      <c r="O69" s="1288" t="s">
        <v>1133</v>
      </c>
      <c r="W69" s="1289" t="s">
        <v>431</v>
      </c>
      <c r="X69" s="835"/>
      <c r="Y69" s="836" t="s">
        <v>804</v>
      </c>
      <c r="Z69" s="837" t="s">
        <v>801</v>
      </c>
      <c r="AA69" s="1233"/>
      <c r="AC69" s="1278"/>
      <c r="AD69" s="1232"/>
      <c r="AE69" s="1232"/>
      <c r="AF69" s="1233"/>
      <c r="AI69" s="1290" t="s">
        <v>946</v>
      </c>
      <c r="AJ69" s="1268" t="s">
        <v>960</v>
      </c>
      <c r="AK69" s="1281"/>
      <c r="AL69" s="750"/>
    </row>
    <row r="70" spans="2:38">
      <c r="B70" s="838" t="s">
        <v>563</v>
      </c>
      <c r="C70" s="839" t="s">
        <v>440</v>
      </c>
      <c r="E70" s="1020"/>
      <c r="W70" s="1291" t="s">
        <v>843</v>
      </c>
      <c r="X70" s="798"/>
      <c r="Y70" s="818" t="s">
        <v>818</v>
      </c>
      <c r="Z70" s="840" t="s">
        <v>431</v>
      </c>
      <c r="AA70" s="1233"/>
      <c r="AC70" s="1278"/>
      <c r="AD70" s="1232"/>
      <c r="AE70" s="1232"/>
      <c r="AF70" s="1233"/>
      <c r="AI70" s="1292"/>
      <c r="AJ70" s="1275" t="s">
        <v>961</v>
      </c>
      <c r="AK70" s="1281"/>
      <c r="AL70" s="750"/>
    </row>
    <row r="71" spans="2:38" ht="15.75" thickBot="1">
      <c r="B71" s="838" t="s">
        <v>560</v>
      </c>
      <c r="C71" s="841" t="s">
        <v>261</v>
      </c>
      <c r="E71" s="1020"/>
      <c r="W71" s="1291" t="s">
        <v>843</v>
      </c>
      <c r="X71" s="798"/>
      <c r="Y71" s="818" t="s">
        <v>821</v>
      </c>
      <c r="Z71" s="840" t="s">
        <v>801</v>
      </c>
      <c r="AA71" s="1233"/>
      <c r="AC71" s="1278"/>
      <c r="AD71" s="1232"/>
      <c r="AE71" s="1232"/>
      <c r="AF71" s="1233"/>
      <c r="AI71" s="1292"/>
      <c r="AJ71" s="1275" t="s">
        <v>962</v>
      </c>
      <c r="AK71" s="1281"/>
      <c r="AL71" s="750"/>
    </row>
    <row r="72" spans="2:38" ht="15.75" thickBot="1">
      <c r="B72" s="838" t="s">
        <v>1134</v>
      </c>
      <c r="C72" s="762"/>
      <c r="E72" s="1020"/>
      <c r="W72" s="1291" t="s">
        <v>431</v>
      </c>
      <c r="X72" s="798"/>
      <c r="Y72" s="818" t="s">
        <v>822</v>
      </c>
      <c r="Z72" s="840" t="s">
        <v>843</v>
      </c>
      <c r="AA72" s="1233"/>
      <c r="AC72" s="1278"/>
      <c r="AD72" s="1232"/>
      <c r="AE72" s="1232"/>
      <c r="AF72" s="1233"/>
      <c r="AI72" s="1292"/>
      <c r="AJ72" s="1284" t="s">
        <v>963</v>
      </c>
      <c r="AK72" s="1281"/>
      <c r="AL72" s="750"/>
    </row>
    <row r="73" spans="2:38">
      <c r="B73" s="838" t="s">
        <v>1135</v>
      </c>
      <c r="E73" s="1020"/>
      <c r="W73" s="1291" t="s">
        <v>843</v>
      </c>
      <c r="X73" s="798"/>
      <c r="Y73" s="818" t="s">
        <v>804</v>
      </c>
      <c r="Z73" s="799"/>
      <c r="AA73" s="1233"/>
      <c r="AC73" s="1278"/>
      <c r="AD73" s="1232"/>
      <c r="AE73" s="1232"/>
      <c r="AF73" s="1233"/>
      <c r="AI73" s="1293" t="s">
        <v>947</v>
      </c>
      <c r="AJ73" s="1020"/>
      <c r="AK73" s="1281"/>
      <c r="AL73" s="750"/>
    </row>
    <row r="74" spans="2:38">
      <c r="B74" s="838" t="s">
        <v>1136</v>
      </c>
      <c r="E74" s="1020"/>
      <c r="W74" s="1291" t="s">
        <v>843</v>
      </c>
      <c r="X74" s="798"/>
      <c r="Y74" s="818" t="s">
        <v>801</v>
      </c>
      <c r="Z74" s="799"/>
      <c r="AA74" s="1233"/>
      <c r="AC74" s="1278"/>
      <c r="AD74" s="1232"/>
      <c r="AE74" s="1232"/>
      <c r="AF74" s="1233"/>
      <c r="AI74" s="848" t="s">
        <v>948</v>
      </c>
      <c r="AJ74" s="1020"/>
      <c r="AK74" s="1281"/>
      <c r="AL74" s="750"/>
    </row>
    <row r="75" spans="2:38">
      <c r="B75" s="838" t="s">
        <v>1137</v>
      </c>
      <c r="E75" s="1020"/>
      <c r="W75" s="1291" t="s">
        <v>431</v>
      </c>
      <c r="X75" s="798"/>
      <c r="Y75" s="818" t="s">
        <v>801</v>
      </c>
      <c r="Z75" s="799"/>
      <c r="AA75" s="1233"/>
      <c r="AC75" s="1278"/>
      <c r="AD75" s="1232"/>
      <c r="AE75" s="1232"/>
      <c r="AF75" s="1233"/>
      <c r="AI75" s="849" t="s">
        <v>950</v>
      </c>
      <c r="AJ75" s="1020"/>
      <c r="AK75" s="1020"/>
      <c r="AL75" s="750"/>
    </row>
    <row r="76" spans="2:38">
      <c r="B76" s="838" t="s">
        <v>1138</v>
      </c>
      <c r="E76" s="1020"/>
      <c r="W76" s="1291" t="s">
        <v>843</v>
      </c>
      <c r="X76" s="798"/>
      <c r="Y76" s="818" t="s">
        <v>804</v>
      </c>
      <c r="Z76" s="799"/>
      <c r="AA76" s="1233"/>
      <c r="AC76" s="1278"/>
      <c r="AD76" s="1232"/>
      <c r="AE76" s="1232"/>
      <c r="AF76" s="1233"/>
      <c r="AI76" s="849" t="s">
        <v>952</v>
      </c>
      <c r="AJ76" s="1020"/>
      <c r="AK76" s="1020"/>
      <c r="AL76" s="750"/>
    </row>
    <row r="77" spans="2:38">
      <c r="B77" s="838" t="s">
        <v>1139</v>
      </c>
      <c r="E77" s="1020"/>
      <c r="W77" s="1291" t="s">
        <v>843</v>
      </c>
      <c r="X77" s="798"/>
      <c r="Y77" s="798"/>
      <c r="Z77" s="799"/>
      <c r="AA77" s="1233"/>
      <c r="AC77" s="1278"/>
      <c r="AD77" s="1232"/>
      <c r="AE77" s="1232"/>
      <c r="AF77" s="1233"/>
      <c r="AI77" s="849" t="s">
        <v>954</v>
      </c>
      <c r="AJ77" s="1020"/>
      <c r="AK77" s="1020"/>
      <c r="AL77" s="750"/>
    </row>
    <row r="78" spans="2:38">
      <c r="B78" s="838" t="s">
        <v>1140</v>
      </c>
      <c r="E78" s="1020"/>
      <c r="W78" s="1291" t="s">
        <v>431</v>
      </c>
      <c r="X78" s="798"/>
      <c r="Y78" s="798"/>
      <c r="Z78" s="799"/>
      <c r="AA78" s="1233"/>
      <c r="AC78" s="1278"/>
      <c r="AD78" s="1232"/>
      <c r="AE78" s="1232"/>
      <c r="AF78" s="1233"/>
      <c r="AI78" s="849" t="s">
        <v>955</v>
      </c>
      <c r="AJ78" s="1020"/>
      <c r="AK78" s="1020"/>
      <c r="AL78" s="750"/>
    </row>
    <row r="79" spans="2:38" ht="15.75" thickBot="1">
      <c r="B79" s="838" t="s">
        <v>379</v>
      </c>
      <c r="E79" s="1020"/>
      <c r="W79" s="1291" t="s">
        <v>843</v>
      </c>
      <c r="X79" s="798"/>
      <c r="Y79" s="798"/>
      <c r="Z79" s="799"/>
      <c r="AA79" s="1233"/>
      <c r="AC79" s="1278"/>
      <c r="AD79" s="1232"/>
      <c r="AE79" s="1232"/>
      <c r="AF79" s="1233"/>
      <c r="AI79" s="850" t="s">
        <v>957</v>
      </c>
      <c r="AJ79" s="1020"/>
      <c r="AK79" s="1020"/>
      <c r="AL79" s="750"/>
    </row>
    <row r="80" spans="2:38">
      <c r="B80" s="842" t="s">
        <v>884</v>
      </c>
      <c r="E80" s="1020"/>
      <c r="W80" s="1291" t="s">
        <v>431</v>
      </c>
      <c r="X80" s="798"/>
      <c r="Y80" s="798"/>
      <c r="Z80" s="799"/>
      <c r="AA80" s="1233"/>
      <c r="AC80" s="1278"/>
      <c r="AD80" s="1232"/>
      <c r="AE80" s="1232"/>
      <c r="AF80" s="1233"/>
    </row>
    <row r="81" spans="1:32" ht="15.75" thickBot="1">
      <c r="B81" s="843" t="s">
        <v>561</v>
      </c>
      <c r="E81" s="1020"/>
      <c r="W81" s="1291" t="s">
        <v>843</v>
      </c>
      <c r="X81" s="798"/>
      <c r="Y81" s="798"/>
      <c r="Z81" s="799"/>
      <c r="AA81" s="1233"/>
      <c r="AC81" s="1278"/>
      <c r="AD81" s="1232"/>
      <c r="AE81" s="1232"/>
      <c r="AF81" s="1233"/>
    </row>
    <row r="82" spans="1:32">
      <c r="B82" s="1020"/>
      <c r="E82" s="1020"/>
      <c r="W82" s="1291" t="s">
        <v>431</v>
      </c>
      <c r="X82" s="798"/>
      <c r="Y82" s="798"/>
      <c r="Z82" s="799"/>
      <c r="AA82" s="1233"/>
      <c r="AC82" s="1278"/>
      <c r="AD82" s="1232"/>
      <c r="AE82" s="1232"/>
      <c r="AF82" s="1233"/>
    </row>
    <row r="83" spans="1:32" ht="15.75" thickBot="1">
      <c r="B83" s="1020"/>
      <c r="E83" s="1020"/>
      <c r="W83" s="1294" t="s">
        <v>843</v>
      </c>
      <c r="X83" s="1295"/>
      <c r="Y83" s="1295"/>
      <c r="Z83" s="1296"/>
      <c r="AA83" s="1297"/>
      <c r="AC83" s="1298"/>
      <c r="AD83" s="1299"/>
      <c r="AE83" s="1299"/>
      <c r="AF83" s="1297"/>
    </row>
    <row r="84" spans="1:32">
      <c r="A84" s="1020"/>
      <c r="C84" s="1020"/>
      <c r="E84" s="1020"/>
      <c r="F84" s="750"/>
      <c r="H84" s="762"/>
      <c r="I84" s="773"/>
      <c r="J84" s="774"/>
    </row>
    <row r="85" spans="1:32">
      <c r="A85" s="1020"/>
      <c r="C85" s="1020"/>
      <c r="E85" s="1020"/>
    </row>
    <row r="86" spans="1:32" ht="15.75" thickBot="1">
      <c r="A86" s="1020"/>
      <c r="C86" s="1020"/>
      <c r="E86" s="1020"/>
    </row>
    <row r="87" spans="1:32" ht="15.75" thickBot="1">
      <c r="A87" s="1020"/>
      <c r="B87" s="1300" t="s">
        <v>1141</v>
      </c>
      <c r="C87" s="1301"/>
      <c r="D87" s="1301"/>
      <c r="E87" s="1302"/>
      <c r="F87" s="1303"/>
      <c r="G87" s="1302"/>
      <c r="H87" s="1302"/>
      <c r="I87" s="1304"/>
      <c r="J87" s="1305"/>
      <c r="L87" s="1306" t="s">
        <v>1142</v>
      </c>
      <c r="M87" s="1307"/>
      <c r="N87" s="1307"/>
      <c r="O87" s="1308"/>
      <c r="P87" s="1309"/>
    </row>
    <row r="88" spans="1:32" ht="26.25" thickBot="1">
      <c r="A88" s="1020"/>
      <c r="B88" s="1310" t="s">
        <v>828</v>
      </c>
      <c r="C88" s="1311" t="s">
        <v>829</v>
      </c>
      <c r="D88" s="1312" t="s">
        <v>830</v>
      </c>
      <c r="E88" s="1311" t="s">
        <v>831</v>
      </c>
      <c r="F88" s="1313" t="s">
        <v>891</v>
      </c>
      <c r="G88" s="1314"/>
      <c r="H88" s="1315" t="s">
        <v>892</v>
      </c>
      <c r="I88" s="1315"/>
      <c r="J88" s="1316" t="s">
        <v>893</v>
      </c>
      <c r="L88" s="1317" t="s">
        <v>1143</v>
      </c>
      <c r="M88" s="1318" t="s">
        <v>1144</v>
      </c>
      <c r="N88" s="1319" t="s">
        <v>1145</v>
      </c>
      <c r="O88" s="1320" t="s">
        <v>1146</v>
      </c>
      <c r="P88" s="1321" t="s">
        <v>1147</v>
      </c>
    </row>
    <row r="89" spans="1:32">
      <c r="A89" s="1020"/>
      <c r="B89" s="1322">
        <v>1</v>
      </c>
      <c r="C89" s="1323" t="s">
        <v>898</v>
      </c>
      <c r="D89" s="1324">
        <v>1</v>
      </c>
      <c r="E89" s="1323" t="s">
        <v>836</v>
      </c>
      <c r="F89" s="1325" t="str">
        <f>FRCP_y1</f>
        <v>2019-20</v>
      </c>
      <c r="G89" s="1326" t="s">
        <v>898</v>
      </c>
      <c r="H89" s="1327" t="str">
        <f>IF(dms_RPT="financial",VALUE(LEFT(dms_FRCP_y1,4)-1)&amp;"-"&amp;TEXT(VALUE(MID(dms_FRCP_y1,3,2)),"00"),VALUE(LEFT(dms_FRCP_y1,4)-1))</f>
        <v>2018-19</v>
      </c>
      <c r="I89" s="1328" t="s">
        <v>899</v>
      </c>
      <c r="J89" s="1329">
        <v>1</v>
      </c>
      <c r="L89" s="1330" t="e">
        <f>CRY</f>
        <v>#NAME?</v>
      </c>
      <c r="M89" s="1331" t="e">
        <f>VALUE(LEFT(CRY,4))&amp;"-"&amp;TEXT(MID(CRY,3,2)+1,"00")</f>
        <v>#NAME?</v>
      </c>
      <c r="N89" s="1332" t="s">
        <v>1148</v>
      </c>
      <c r="O89" s="1333" t="e">
        <f>VALUE(LEFT(CRY,4)+1)</f>
        <v>#NAME?</v>
      </c>
      <c r="P89" s="1334" t="s">
        <v>1149</v>
      </c>
    </row>
    <row r="90" spans="1:32">
      <c r="A90" s="1020"/>
      <c r="B90" s="1335">
        <v>2</v>
      </c>
      <c r="C90" s="1336" t="s">
        <v>903</v>
      </c>
      <c r="D90" s="1337">
        <v>2</v>
      </c>
      <c r="E90" s="1336" t="s">
        <v>839</v>
      </c>
      <c r="F90" s="1338" t="str">
        <f>IF(dms_RPT="financial",VALUE(LEFT(dms_FRCP_y1,4)+1)&amp;"-"&amp;TEXT(VALUE(RIGHT(dms_FRCP_y1,2)+1),"00"),VALUE(LEFT(dms_FRCP_y1,4)+1))</f>
        <v>2020-21</v>
      </c>
      <c r="G90" s="1339" t="s">
        <v>903</v>
      </c>
      <c r="H90" s="1340" t="str">
        <f>IF(dms_RPT="financial",VALUE(LEFT(dms_CRCP_yZ,4)-1)&amp;"-"&amp;TEXT(VALUE(MID(dms_CRCP_yZ,3,2)),"00"),VALUE(LEFT(dms_CRCP_yZ,4)-1))</f>
        <v>2017-18</v>
      </c>
      <c r="I90" s="1341" t="s">
        <v>904</v>
      </c>
      <c r="J90" s="1342">
        <v>2</v>
      </c>
      <c r="L90" s="1343"/>
      <c r="M90" s="1344" t="e">
        <f>VALUE(LEFT(dms_CRYf_y1,4)+1)&amp;"-"&amp;TEXT(MID(dms_CRYf_y1,3,2)+2,"00")</f>
        <v>#NAME?</v>
      </c>
      <c r="N90" s="1345" t="s">
        <v>1150</v>
      </c>
      <c r="O90" s="1333" t="e">
        <f>VALUE(LEFT(dms_CRYc_y1,4)+1)</f>
        <v>#NAME?</v>
      </c>
      <c r="P90" s="1334" t="s">
        <v>1151</v>
      </c>
    </row>
    <row r="91" spans="1:32">
      <c r="A91" s="1020"/>
      <c r="B91" s="1335">
        <v>3</v>
      </c>
      <c r="C91" s="1336" t="s">
        <v>910</v>
      </c>
      <c r="D91" s="1337">
        <v>3</v>
      </c>
      <c r="E91" s="1336" t="s">
        <v>844</v>
      </c>
      <c r="F91" s="1338" t="str">
        <f>IF(dms_RPT="financial",VALUE(LEFT(dms_FRCP_y2,4)+1)&amp;"-"&amp;TEXT(VALUE(RIGHT(dms_FRCP_y2,2)+1),"00"),VALUE(LEFT(dms_FRCP_y2,4)+1))</f>
        <v>2021-22</v>
      </c>
      <c r="G91" s="1339" t="s">
        <v>910</v>
      </c>
      <c r="H91" s="1340" t="str">
        <f>IF(dms_RPT="financial",VALUE(LEFT(dms_CRCP_yY,4)-1)&amp;"-"&amp;TEXT(VALUE(MID(dms_CRCP_yY,3,2)),"00"),VALUE(LEFT(dms_CRCP_yY,4)-1))</f>
        <v>2016-17</v>
      </c>
      <c r="I91" s="1341" t="s">
        <v>911</v>
      </c>
      <c r="J91" s="1342">
        <v>3</v>
      </c>
      <c r="L91" s="1346"/>
      <c r="M91" s="1344" t="e">
        <f>VALUE(LEFT(dms_CRYf_y2,4)+1)&amp;"-"&amp;TEXT(MID(dms_CRYf_y2,3,2)+2,"00")</f>
        <v>#NAME?</v>
      </c>
      <c r="N91" s="1345" t="s">
        <v>1152</v>
      </c>
      <c r="O91" s="1333" t="e">
        <f>VALUE(LEFT(dms_CRYc_y2,4)+1)</f>
        <v>#NAME?</v>
      </c>
      <c r="P91" s="1334" t="s">
        <v>1153</v>
      </c>
    </row>
    <row r="92" spans="1:32">
      <c r="A92" s="1020"/>
      <c r="B92" s="1335">
        <v>4</v>
      </c>
      <c r="C92" s="1336" t="s">
        <v>913</v>
      </c>
      <c r="D92" s="1337">
        <v>4</v>
      </c>
      <c r="E92" s="1336" t="s">
        <v>849</v>
      </c>
      <c r="F92" s="1338" t="str">
        <f>IF(dms_RPT="financial",VALUE(LEFT(dms_FRCP_y3,4)+1)&amp;"-"&amp;TEXT(VALUE(RIGHT(dms_FRCP_y3,2)+1),"00"),VALUE(LEFT(dms_FRCP_y3,4)+1))</f>
        <v>2022-23</v>
      </c>
      <c r="G92" s="1339" t="s">
        <v>913</v>
      </c>
      <c r="H92" s="1340" t="str">
        <f>IF(dms_RPT="financial",VALUE(LEFT(dms_CRCP_yX,4)-1)&amp;"-"&amp;TEXT(VALUE(MID(dms_CRCP_yX,3,2)),"00"),VALUE(LEFT(dms_CRCP_yX,4)-1))</f>
        <v>2015-16</v>
      </c>
      <c r="I92" s="1341" t="s">
        <v>914</v>
      </c>
      <c r="J92" s="1342">
        <v>4</v>
      </c>
      <c r="L92" s="1346"/>
      <c r="M92" s="1344" t="e">
        <f>VALUE(LEFT(dms_CRYf_y3,4)+1)&amp;"-"&amp;TEXT(MID(dms_CRYf_y3,3,2)+2,"00")</f>
        <v>#NAME?</v>
      </c>
      <c r="N92" s="1345" t="s">
        <v>1154</v>
      </c>
      <c r="O92" s="1333" t="e">
        <f>VALUE(LEFT(dms_CRYc_y3,4)+1)</f>
        <v>#NAME?</v>
      </c>
      <c r="P92" s="1334" t="s">
        <v>1155</v>
      </c>
    </row>
    <row r="93" spans="1:32">
      <c r="A93" s="1020"/>
      <c r="B93" s="1335">
        <v>5</v>
      </c>
      <c r="C93" s="1336" t="s">
        <v>916</v>
      </c>
      <c r="D93" s="1337">
        <v>5</v>
      </c>
      <c r="E93" s="1336" t="s">
        <v>854</v>
      </c>
      <c r="F93" s="1338" t="str">
        <f>IF(dms_RPT="financial",VALUE(LEFT(dms_FRCP_y4,4)+1)&amp;"-"&amp;TEXT(VALUE(RIGHT(dms_FRCP_y4,2)+1),"00"),VALUE(LEFT(dms_FRCP_y4,4)+1))</f>
        <v>2023-24</v>
      </c>
      <c r="G93" s="1339" t="s">
        <v>916</v>
      </c>
      <c r="H93" s="1340" t="str">
        <f>IF(dms_RPT="financial",VALUE(LEFT(dms_CRCP_yW,4)-1)&amp;"-"&amp;TEXT(VALUE(MID(dms_CRCP_yW,3,2)),"00"),VALUE(LEFT(dms_CRCP_yW,4)-1))</f>
        <v>2014-15</v>
      </c>
      <c r="I93" s="1341" t="s">
        <v>917</v>
      </c>
      <c r="J93" s="1342">
        <v>5</v>
      </c>
      <c r="L93" s="1346"/>
      <c r="M93" s="1344" t="e">
        <f>VALUE(LEFT(dms_CRYf_y4,4)+1)&amp;"-"&amp;TEXT(MID(dms_CRYf_y4,3,2)+2,"00")</f>
        <v>#NAME?</v>
      </c>
      <c r="N93" s="1345" t="s">
        <v>1156</v>
      </c>
      <c r="O93" s="1333" t="e">
        <f>VALUE(LEFT(dms_CRYc_y4,4)+1)</f>
        <v>#NAME?</v>
      </c>
      <c r="P93" s="1334" t="s">
        <v>1157</v>
      </c>
    </row>
    <row r="94" spans="1:32">
      <c r="A94" s="1020"/>
      <c r="B94" s="1335">
        <v>6</v>
      </c>
      <c r="C94" s="1336" t="s">
        <v>918</v>
      </c>
      <c r="D94" s="1337">
        <v>6</v>
      </c>
      <c r="E94" s="1336" t="s">
        <v>859</v>
      </c>
      <c r="F94" s="1338" t="str">
        <f>IF(dms_RPT="financial",VALUE(LEFT(dms_FRCP_y5,4)+1)&amp;"-"&amp;TEXT(VALUE(RIGHT(dms_FRCP_y5,2)+1),"00"),VALUE(LEFT(dms_FRCP_y5,4)+1))</f>
        <v>2024-25</v>
      </c>
      <c r="G94" s="1339" t="s">
        <v>918</v>
      </c>
      <c r="H94" s="1340" t="str">
        <f>IF(dms_RPT="financial",VALUE(LEFT(dms_CRCP_yV,4)-1)&amp;"-"&amp;TEXT(VALUE(MID(dms_CRCP_yV,3,2)),"00"),VALUE(LEFT(dms_CRCP_yV,4)-1))</f>
        <v>2013-14</v>
      </c>
      <c r="I94" s="1341" t="s">
        <v>919</v>
      </c>
      <c r="J94" s="1342">
        <v>6</v>
      </c>
      <c r="L94" s="1346"/>
      <c r="M94" s="1344" t="e">
        <f>VALUE(LEFT(dms_CRYf_y5,4)+1)&amp;"-"&amp;TEXT(MID(dms_CRYf_y5,3,2)+2,"00")</f>
        <v>#NAME?</v>
      </c>
      <c r="N94" s="1345" t="s">
        <v>1158</v>
      </c>
      <c r="O94" s="1333" t="e">
        <f>VALUE(LEFT(dms_CRYc_y5,4)+1)</f>
        <v>#NAME?</v>
      </c>
      <c r="P94" s="1334" t="s">
        <v>1159</v>
      </c>
    </row>
    <row r="95" spans="1:32">
      <c r="A95" s="1020"/>
      <c r="B95" s="1335">
        <v>7</v>
      </c>
      <c r="C95" s="1336" t="s">
        <v>921</v>
      </c>
      <c r="D95" s="1337">
        <v>7</v>
      </c>
      <c r="E95" s="1336" t="s">
        <v>864</v>
      </c>
      <c r="F95" s="1338" t="str">
        <f>IF(dms_RPT="financial",VALUE(LEFT(dms_FRCP_y6,4)+1)&amp;"-"&amp;TEXT(VALUE(RIGHT(dms_FRCP_y6,2)+1),"00"),VALUE(LEFT(dms_FRCP_y6,4)+1))</f>
        <v>2025-26</v>
      </c>
      <c r="G95" s="1339" t="s">
        <v>921</v>
      </c>
      <c r="H95" s="1340" t="str">
        <f>IF(dms_RPT="financial",VALUE(LEFT(dms_CRCP_yU,4)-1)&amp;"-"&amp;TEXT(VALUE(MID(dms_CRCP_yU,3,2)),"00"),VALUE(LEFT(dms_CRCP_yU,4)-1))</f>
        <v>2012-13</v>
      </c>
      <c r="I95" s="1341" t="s">
        <v>922</v>
      </c>
      <c r="J95" s="1342">
        <v>7</v>
      </c>
      <c r="L95" s="1346"/>
      <c r="M95" s="1344" t="e">
        <f>VALUE(LEFT(dms_CRYf_y6,4)+1)&amp;"-"&amp;TEXT(MID(dms_CRYf_y6,3,2)+2,"00")</f>
        <v>#NAME?</v>
      </c>
      <c r="N95" s="1345" t="s">
        <v>1160</v>
      </c>
      <c r="O95" s="1333" t="e">
        <f>VALUE(LEFT(dms_CRYc_y6,4)+1)</f>
        <v>#NAME?</v>
      </c>
      <c r="P95" s="1334" t="s">
        <v>1161</v>
      </c>
    </row>
    <row r="96" spans="1:32">
      <c r="A96" s="1020"/>
      <c r="B96" s="1335">
        <v>8</v>
      </c>
      <c r="C96" s="1336" t="s">
        <v>923</v>
      </c>
      <c r="D96" s="1337">
        <v>8</v>
      </c>
      <c r="E96" s="1336" t="s">
        <v>869</v>
      </c>
      <c r="F96" s="1338" t="str">
        <f>IF(dms_RPT="financial",VALUE(LEFT(dms_FRCP_y7,4)+1)&amp;"-"&amp;TEXT(VALUE(RIGHT(dms_FRCP_y7,2)+1),"00"),VALUE(LEFT(dms_FRCP_y7,4)+1))</f>
        <v>2026-27</v>
      </c>
      <c r="G96" s="1339" t="s">
        <v>923</v>
      </c>
      <c r="H96" s="1340" t="str">
        <f>IF(dms_RPT="financial",VALUE(LEFT(dms_CRCP_yT,4)-1)&amp;"-"&amp;TEXT(VALUE(MID(dms_CRCP_yT,3,2)),"00"),VALUE(LEFT(dms_CRCP_yT,4)-1))</f>
        <v>2011-12</v>
      </c>
      <c r="I96" s="1341" t="s">
        <v>924</v>
      </c>
      <c r="J96" s="1342">
        <v>8</v>
      </c>
      <c r="L96" s="1346"/>
      <c r="M96" s="1344" t="e">
        <f>VALUE(LEFT(dms_CRYf_y7,4)+1)&amp;"-"&amp;TEXT(MID(dms_CRYf_y7,3,2)+2,"00")</f>
        <v>#NAME?</v>
      </c>
      <c r="N96" s="1345" t="s">
        <v>1162</v>
      </c>
      <c r="O96" s="1333" t="e">
        <f>VALUE(LEFT(dms_CRYc_y7,4)+1)</f>
        <v>#NAME?</v>
      </c>
      <c r="P96" s="1334" t="s">
        <v>1163</v>
      </c>
    </row>
    <row r="97" spans="1:21">
      <c r="A97" s="1020"/>
      <c r="B97" s="1335">
        <v>9</v>
      </c>
      <c r="C97" s="1336" t="s">
        <v>925</v>
      </c>
      <c r="D97" s="1337">
        <v>9</v>
      </c>
      <c r="E97" s="1336" t="s">
        <v>874</v>
      </c>
      <c r="F97" s="1338" t="str">
        <f>IF(dms_RPT="financial",VALUE(LEFT(dms_FRCP_y8,4)+1)&amp;"-"&amp;TEXT(VALUE(RIGHT(dms_FRCP_y8,2)+1),"00"),VALUE(LEFT(dms_FRCP_y8,4)+1))</f>
        <v>2027-28</v>
      </c>
      <c r="G97" s="1339" t="s">
        <v>925</v>
      </c>
      <c r="H97" s="1340" t="str">
        <f>IF(dms_RPT="financial",VALUE(LEFT(dms_CRCP_yS,4)-1)&amp;"-"&amp;TEXT(VALUE(MID(dms_CRCP_yS,3,2)),"00"),VALUE(LEFT(dms_CRCP_yS,4)-1))</f>
        <v>2010-11</v>
      </c>
      <c r="I97" s="1341" t="s">
        <v>926</v>
      </c>
      <c r="J97" s="1342">
        <v>9</v>
      </c>
      <c r="L97" s="1346"/>
      <c r="M97" s="1344" t="e">
        <f>VALUE(LEFT(dms_CRYf_y8,4)+1)&amp;"-"&amp;TEXT(MID(dms_CRYf_y8,3,2)+2,"00")</f>
        <v>#NAME?</v>
      </c>
      <c r="N97" s="1345" t="s">
        <v>1164</v>
      </c>
      <c r="O97" s="1333" t="e">
        <f>VALUE(LEFT(dms_CRYc_y8,4)+1)</f>
        <v>#NAME?</v>
      </c>
      <c r="P97" s="1334" t="s">
        <v>1165</v>
      </c>
    </row>
    <row r="98" spans="1:21">
      <c r="A98" s="1020"/>
      <c r="B98" s="1347">
        <v>10</v>
      </c>
      <c r="C98" s="1348" t="s">
        <v>927</v>
      </c>
      <c r="D98" s="1349">
        <v>10</v>
      </c>
      <c r="E98" s="1348" t="s">
        <v>879</v>
      </c>
      <c r="F98" s="1338" t="str">
        <f>IF(dms_RPT="financial",VALUE(LEFT(dms_FRCP_y9,4)+1)&amp;"-"&amp;TEXT(VALUE(RIGHT(dms_FRCP_y9,2)+1),"00"),VALUE(LEFT(dms_FRCP_y9,4)+1))</f>
        <v>2028-29</v>
      </c>
      <c r="G98" s="1339" t="s">
        <v>927</v>
      </c>
      <c r="H98" s="1340" t="str">
        <f>IF(dms_RPT="financial",VALUE(LEFT(dms_CRCP_yR,4)-1)&amp;"-"&amp;TEXT(VALUE(MID(dms_CRCP_yR,3,2)),"00"),VALUE(LEFT(dms_CRCP_yR,4)-1))</f>
        <v>2009-10</v>
      </c>
      <c r="I98" s="1341" t="s">
        <v>928</v>
      </c>
      <c r="J98" s="1342">
        <v>10</v>
      </c>
      <c r="L98" s="1346"/>
      <c r="M98" s="1344" t="e">
        <f>VALUE(LEFT(dms_CRYf_y9,4)+1)&amp;"-"&amp;TEXT(MID(dms_CRYf_y9,3,2)+2,"00")</f>
        <v>#NAME?</v>
      </c>
      <c r="N98" s="1345" t="s">
        <v>1166</v>
      </c>
      <c r="O98" s="1333" t="e">
        <f>VALUE(LEFT(dms_CRYc_y9,4)+1)</f>
        <v>#NAME?</v>
      </c>
      <c r="P98" s="1334" t="s">
        <v>1167</v>
      </c>
    </row>
    <row r="99" spans="1:21">
      <c r="A99" s="1020"/>
      <c r="B99" s="1335">
        <v>11</v>
      </c>
      <c r="C99" s="1348" t="s">
        <v>1168</v>
      </c>
      <c r="D99" s="1337">
        <v>11</v>
      </c>
      <c r="E99" s="1348" t="s">
        <v>1169</v>
      </c>
      <c r="F99" s="1338" t="str">
        <f>IF(dms_RPT="financial",VALUE(LEFT(dms_FRCP_y10,4)+1)&amp;"-"&amp;TEXT(VALUE(RIGHT(dms_FRCP_y10,2)+1),"00"),VALUE(LEFT(dms_FRCP_y10,4)+1))</f>
        <v>2029-30</v>
      </c>
      <c r="G99" s="1339" t="s">
        <v>1168</v>
      </c>
      <c r="H99" s="1340" t="str">
        <f>IF(dms_RPT="financial",VALUE(LEFT(dms_CRCP_yQ,4)-1)&amp;"-"&amp;TEXT(VALUE(MID(dms_CRCP_yQ,3,2)),"00"),VALUE(LEFT(dms_CRCP_yQ,4)-1))</f>
        <v>2008-09</v>
      </c>
      <c r="I99" s="1341" t="s">
        <v>1170</v>
      </c>
      <c r="J99" s="1342">
        <v>11</v>
      </c>
      <c r="L99" s="1346"/>
      <c r="M99" s="1344" t="e">
        <f>VALUE(LEFT(dms_CRYf_y10,4)+1)&amp;"-"&amp;TEXT(MID(dms_CRYf_y10,3,2)+2,"00")</f>
        <v>#NAME?</v>
      </c>
      <c r="N99" s="1345" t="s">
        <v>1171</v>
      </c>
      <c r="O99" s="1333" t="e">
        <f>VALUE(LEFT(dms_CRYc_y10,4)+1)</f>
        <v>#NAME?</v>
      </c>
      <c r="P99" s="1334" t="s">
        <v>1172</v>
      </c>
    </row>
    <row r="100" spans="1:21">
      <c r="A100" s="1020"/>
      <c r="B100" s="1335">
        <v>12</v>
      </c>
      <c r="C100" s="1348" t="s">
        <v>1173</v>
      </c>
      <c r="D100" s="1337">
        <v>12</v>
      </c>
      <c r="E100" s="1348" t="s">
        <v>1174</v>
      </c>
      <c r="F100" s="1338" t="str">
        <f>IF(dms_RPT="financial",VALUE(LEFT(dms_FRCP_y11,4)+1)&amp;"-"&amp;TEXT(VALUE(RIGHT(dms_FRCP_y11,2)+1),"00"),VALUE(LEFT(dms_FRCP_y11,4)+1))</f>
        <v>2030-31</v>
      </c>
      <c r="G100" s="1339" t="s">
        <v>1173</v>
      </c>
      <c r="H100" s="1340" t="str">
        <f>IF(dms_RPT="financial",VALUE(LEFT(dms_CRCP_yP,4)-1)&amp;"-"&amp;TEXT(VALUE(MID(dms_CRCP_yP,3,2)),"00"),VALUE(LEFT(dms_CRCP_yP,4)-1))</f>
        <v>2007-08</v>
      </c>
      <c r="I100" s="1341" t="s">
        <v>1175</v>
      </c>
      <c r="J100" s="1342">
        <v>12</v>
      </c>
      <c r="L100" s="1346"/>
      <c r="M100" s="1344" t="e">
        <f>VALUE(LEFT(dms_CRYf_y11,4)+1)&amp;"-"&amp;TEXT(MID(dms_CRYf_y11,3,2)+2,"00")</f>
        <v>#NAME?</v>
      </c>
      <c r="N100" s="1345" t="s">
        <v>1176</v>
      </c>
      <c r="O100" s="1333" t="e">
        <f>VALUE(LEFT(dms_CRYc_y11,4)+1)</f>
        <v>#NAME?</v>
      </c>
      <c r="P100" s="1334" t="s">
        <v>1177</v>
      </c>
    </row>
    <row r="101" spans="1:21">
      <c r="A101" s="1020"/>
      <c r="B101" s="1347">
        <v>13</v>
      </c>
      <c r="C101" s="1348" t="s">
        <v>1178</v>
      </c>
      <c r="D101" s="1349">
        <v>13</v>
      </c>
      <c r="E101" s="1348" t="s">
        <v>1179</v>
      </c>
      <c r="F101" s="1338" t="str">
        <f>IF(dms_RPT="financial",VALUE(LEFT(dms_FRCP_y12,4)+1)&amp;"-"&amp;TEXT(VALUE(RIGHT(dms_FRCP_y12,2)+1),"00"),VALUE(LEFT(dms_FRCP_y12,4)+1))</f>
        <v>2031-32</v>
      </c>
      <c r="G101" s="1339" t="s">
        <v>1178</v>
      </c>
      <c r="H101" s="1340" t="str">
        <f>IF(dms_RPT="financial",VALUE(LEFT(dms_CRCP_yO,4)-1)&amp;"-"&amp;TEXT(VALUE(MID(dms_CRCP_yO,3,2)),"00"),VALUE(LEFT(dms_CRCP_yO,4)-1))</f>
        <v>2006-07</v>
      </c>
      <c r="I101" s="1341" t="s">
        <v>1180</v>
      </c>
      <c r="J101" s="1342">
        <v>13</v>
      </c>
      <c r="L101" s="1346"/>
      <c r="M101" s="1344" t="e">
        <f>VALUE(LEFT(dms_CRYf_y12,4)+1)&amp;"-"&amp;TEXT(MID(dms_CRYf_y12,3,2)+2,"00")</f>
        <v>#NAME?</v>
      </c>
      <c r="N101" s="1345" t="s">
        <v>1181</v>
      </c>
      <c r="O101" s="1333" t="e">
        <f>VALUE(LEFT(dms_CRYc_y12,4)+1)</f>
        <v>#NAME?</v>
      </c>
      <c r="P101" s="1334" t="s">
        <v>1182</v>
      </c>
    </row>
    <row r="102" spans="1:21">
      <c r="A102" s="1020"/>
      <c r="B102" s="1335">
        <v>14</v>
      </c>
      <c r="C102" s="1348" t="s">
        <v>1183</v>
      </c>
      <c r="D102" s="1337">
        <v>14</v>
      </c>
      <c r="E102" s="1348" t="s">
        <v>1184</v>
      </c>
      <c r="F102" s="1338" t="str">
        <f>IF(dms_RPT="financial",VALUE(LEFT(dms_FRCP_y13,4)+1)&amp;"-"&amp;TEXT(VALUE(RIGHT(dms_FRCP_y13,2)+1),"00"),VALUE(LEFT(dms_FRCP_y13,4)+1))</f>
        <v>2032-33</v>
      </c>
      <c r="G102" s="1339" t="s">
        <v>1183</v>
      </c>
      <c r="H102" s="1340" t="str">
        <f>IF(dms_RPT="financial",VALUE(LEFT(dms_CRCP_yN,4)-1)&amp;"-"&amp;TEXT(VALUE(MID(dms_CRCP_yN,3,2)),"00"),VALUE(LEFT(dms_CRCP_yN,4)-1))</f>
        <v>2005-06</v>
      </c>
      <c r="I102" s="1341" t="s">
        <v>1185</v>
      </c>
      <c r="J102" s="1342">
        <v>14</v>
      </c>
      <c r="L102" s="1346"/>
      <c r="M102" s="1344" t="e">
        <f>VALUE(LEFT(dms_CRYf_y13,4)+1)&amp;"-"&amp;TEXT(MID(dms_CRYf_y13,3,2)+2,"00")</f>
        <v>#NAME?</v>
      </c>
      <c r="N102" s="1345" t="s">
        <v>1186</v>
      </c>
      <c r="O102" s="1333" t="e">
        <f>VALUE(LEFT(dms_CRYc_y13,4)+1)</f>
        <v>#NAME?</v>
      </c>
      <c r="P102" s="1334" t="s">
        <v>1187</v>
      </c>
      <c r="Q102" s="1020"/>
      <c r="R102" s="1020"/>
      <c r="S102" s="1020"/>
      <c r="T102" s="1020"/>
      <c r="U102" s="1350"/>
    </row>
    <row r="103" spans="1:21">
      <c r="A103" s="1020"/>
      <c r="B103" s="1335">
        <v>15</v>
      </c>
      <c r="C103" s="1348" t="s">
        <v>1188</v>
      </c>
      <c r="D103" s="1337">
        <v>15</v>
      </c>
      <c r="E103" s="1348" t="s">
        <v>1189</v>
      </c>
      <c r="F103" s="1338" t="str">
        <f>IF(dms_RPT="financial",VALUE(LEFT(dms_FRCP_y14,4)+1)&amp;"-"&amp;TEXT(VALUE(RIGHT(dms_FRCP_y14,2)+1),"00"),VALUE(LEFT(dms_FRCP_y14,4)+1))</f>
        <v>2033-34</v>
      </c>
      <c r="G103" s="1339" t="s">
        <v>1188</v>
      </c>
      <c r="H103" s="1340" t="str">
        <f>IF(dms_RPT="financial",VALUE(LEFT(dms_CRCP_yM,4)-1)&amp;"-"&amp;TEXT(VALUE(MID(dms_CRCP_yM,3,2)),"00"),VALUE(LEFT(dms_CRCP_yM,4)-1))</f>
        <v>2004-05</v>
      </c>
      <c r="I103" s="1341" t="s">
        <v>1190</v>
      </c>
      <c r="J103" s="1342">
        <v>15</v>
      </c>
      <c r="K103" s="1020"/>
      <c r="L103" s="1346"/>
      <c r="M103" s="1344" t="e">
        <f>VALUE(LEFT(dms_CRYf_y14,4)+1)&amp;"-"&amp;TEXT(MID(dms_CRYf_y14,3,2)+2,"00")</f>
        <v>#NAME?</v>
      </c>
      <c r="N103" s="1345" t="s">
        <v>1191</v>
      </c>
      <c r="O103" s="1333" t="e">
        <f>VALUE(LEFT(dms_CRYc_y14,4)+1)</f>
        <v>#NAME?</v>
      </c>
      <c r="P103" s="1334" t="s">
        <v>1192</v>
      </c>
    </row>
    <row r="104" spans="1:21">
      <c r="A104" s="1020"/>
      <c r="B104" s="1351"/>
      <c r="C104" s="1350"/>
      <c r="D104" s="1350"/>
      <c r="E104" s="1352"/>
      <c r="F104" s="1353"/>
      <c r="G104" s="1352"/>
      <c r="H104" s="1352"/>
      <c r="I104" s="1354"/>
      <c r="J104" s="1355"/>
      <c r="K104" s="1020"/>
      <c r="L104" s="1346"/>
      <c r="M104" s="1344" t="e">
        <f>VALUE(LEFT(dms_CRYf_y15,4)+1)&amp;"-"&amp;TEXT(MID(dms_CRYf_y15,3,2)+2,"00")</f>
        <v>#NAME?</v>
      </c>
      <c r="N104" s="1345" t="s">
        <v>1193</v>
      </c>
      <c r="O104" s="1333" t="e">
        <f>VALUE(LEFT(dms_CRYc_y15,4)+1)</f>
        <v>#NAME?</v>
      </c>
      <c r="P104" s="1334" t="s">
        <v>1194</v>
      </c>
    </row>
    <row r="105" spans="1:21" ht="15.75" thickBot="1">
      <c r="A105" s="1020"/>
      <c r="B105" s="1537" t="s">
        <v>1195</v>
      </c>
      <c r="C105" s="1538"/>
      <c r="D105" s="1538"/>
      <c r="E105" s="1538"/>
      <c r="F105" s="1539"/>
      <c r="G105" s="1539"/>
      <c r="H105" s="1539"/>
      <c r="I105" s="1539"/>
      <c r="J105" s="1355"/>
      <c r="K105" s="1352"/>
      <c r="L105" s="1346"/>
      <c r="M105" s="1344" t="e">
        <f>VALUE(LEFT(dms_CRYf_y16,4)+1)&amp;"-"&amp;TEXT(MID(dms_CRYf_y16,3,2)+2,"00")</f>
        <v>#NAME?</v>
      </c>
      <c r="N105" s="1345" t="s">
        <v>1196</v>
      </c>
      <c r="O105" s="1333" t="e">
        <f>VALUE(LEFT(dms_CRYc_y16,4)+1)</f>
        <v>#NAME?</v>
      </c>
      <c r="P105" s="1334" t="s">
        <v>1197</v>
      </c>
    </row>
    <row r="106" spans="1:21" ht="30.75" thickBot="1">
      <c r="A106" s="1020"/>
      <c r="B106" s="1356" t="s">
        <v>832</v>
      </c>
      <c r="C106" s="1357" t="s">
        <v>833</v>
      </c>
      <c r="D106" s="1357" t="s">
        <v>834</v>
      </c>
      <c r="E106" s="1358" t="s">
        <v>835</v>
      </c>
      <c r="F106" s="1359" t="s">
        <v>1198</v>
      </c>
      <c r="G106" s="1360" t="s">
        <v>1199</v>
      </c>
      <c r="H106" s="1361" t="s">
        <v>1200</v>
      </c>
      <c r="I106" s="1361" t="s">
        <v>1201</v>
      </c>
      <c r="J106" s="1355"/>
      <c r="K106" s="1020"/>
      <c r="L106" s="1346"/>
      <c r="M106" s="1344" t="e">
        <f>VALUE(LEFT(dms_CRYf_y17,4)+1)&amp;"-"&amp;TEXT(MID(dms_CRYf_y17,3,2)+2,"00")</f>
        <v>#NAME?</v>
      </c>
      <c r="N106" s="1345" t="s">
        <v>1202</v>
      </c>
      <c r="O106" s="1333" t="e">
        <f>VALUE(LEFT(dms_CRYc_y17,4)+1)</f>
        <v>#NAME?</v>
      </c>
      <c r="P106" s="1334" t="s">
        <v>1203</v>
      </c>
    </row>
    <row r="107" spans="1:21">
      <c r="A107" s="1020"/>
      <c r="B107" s="1362" t="s">
        <v>837</v>
      </c>
      <c r="C107" s="1363" t="s">
        <v>841</v>
      </c>
      <c r="D107" s="1364">
        <v>2007</v>
      </c>
      <c r="E107" s="1365" t="s">
        <v>838</v>
      </c>
      <c r="F107" s="1366" t="s">
        <v>1204</v>
      </c>
      <c r="G107" s="1367" t="s">
        <v>512</v>
      </c>
      <c r="H107" s="1368" t="s">
        <v>889</v>
      </c>
      <c r="I107" s="1369" t="s">
        <v>1205</v>
      </c>
      <c r="J107" s="1355"/>
      <c r="K107" s="1020"/>
      <c r="L107" s="1346"/>
      <c r="M107" s="1344" t="e">
        <f>VALUE(LEFT(dms_CRYf_y18,4)+1)&amp;"-"&amp;TEXT(MID(dms_CRYf_y18,3,2)+2,"00")</f>
        <v>#NAME?</v>
      </c>
      <c r="N107" s="1345" t="s">
        <v>1206</v>
      </c>
      <c r="O107" s="1333" t="e">
        <f>VALUE(LEFT(dms_CRYc_y18,4)+1)</f>
        <v>#NAME?</v>
      </c>
      <c r="P107" s="1334" t="s">
        <v>1207</v>
      </c>
    </row>
    <row r="108" spans="1:21" ht="15.75" thickBot="1">
      <c r="A108" s="1020"/>
      <c r="B108" s="1362" t="s">
        <v>840</v>
      </c>
      <c r="C108" s="1363" t="s">
        <v>846</v>
      </c>
      <c r="D108" s="1364" t="s">
        <v>847</v>
      </c>
      <c r="E108" s="1365" t="s">
        <v>842</v>
      </c>
      <c r="F108" s="1370" t="s">
        <v>1208</v>
      </c>
      <c r="G108" s="1371" t="s">
        <v>895</v>
      </c>
      <c r="H108" s="1368" t="s">
        <v>896</v>
      </c>
      <c r="I108" s="1372" t="s">
        <v>1209</v>
      </c>
      <c r="J108" s="1355"/>
      <c r="K108" s="1020"/>
      <c r="L108" s="1373"/>
      <c r="M108" s="1374" t="e">
        <f>VALUE(LEFT(dms_CRYf_y19,4)+1)&amp;"-"&amp;TEXT(MID(dms_CRYf_y19,3,2)+2,"00")</f>
        <v>#NAME?</v>
      </c>
      <c r="N108" s="1375" t="s">
        <v>1210</v>
      </c>
      <c r="O108" s="1376" t="e">
        <f>VALUE(LEFT(dms_CRYc_y19,4)+1)</f>
        <v>#NAME?</v>
      </c>
      <c r="P108" s="1377" t="s">
        <v>1211</v>
      </c>
    </row>
    <row r="109" spans="1:21">
      <c r="A109" s="1020"/>
      <c r="B109" s="1362" t="s">
        <v>845</v>
      </c>
      <c r="C109" s="1363" t="s">
        <v>851</v>
      </c>
      <c r="D109" s="1364" t="s">
        <v>852</v>
      </c>
      <c r="E109" s="1365" t="s">
        <v>848</v>
      </c>
      <c r="F109" s="1378" t="s">
        <v>1212</v>
      </c>
      <c r="G109" s="1371" t="s">
        <v>901</v>
      </c>
      <c r="H109" s="1368" t="s">
        <v>1213</v>
      </c>
      <c r="I109" s="1369" t="s">
        <v>1214</v>
      </c>
      <c r="J109" s="1355"/>
      <c r="K109" s="1020"/>
      <c r="L109" s="1020"/>
      <c r="M109" s="1020"/>
    </row>
    <row r="110" spans="1:21">
      <c r="A110" s="1020"/>
      <c r="B110" s="1362" t="s">
        <v>850</v>
      </c>
      <c r="C110" s="1363" t="s">
        <v>856</v>
      </c>
      <c r="D110" s="1364" t="s">
        <v>857</v>
      </c>
      <c r="E110" s="1365" t="s">
        <v>853</v>
      </c>
      <c r="F110" s="1370" t="s">
        <v>1215</v>
      </c>
      <c r="G110" s="1371" t="s">
        <v>906</v>
      </c>
      <c r="H110" s="1368" t="s">
        <v>907</v>
      </c>
      <c r="I110" s="1372" t="s">
        <v>1216</v>
      </c>
      <c r="J110" s="1355"/>
      <c r="K110" s="1020"/>
      <c r="L110" s="1020"/>
      <c r="M110" s="1020"/>
    </row>
    <row r="111" spans="1:21">
      <c r="B111" s="1362" t="s">
        <v>855</v>
      </c>
      <c r="C111" s="1363" t="s">
        <v>861</v>
      </c>
      <c r="D111" s="1364" t="s">
        <v>862</v>
      </c>
      <c r="E111" s="1365" t="s">
        <v>858</v>
      </c>
      <c r="F111" s="1378" t="s">
        <v>1217</v>
      </c>
      <c r="G111" s="1371" t="s">
        <v>1050</v>
      </c>
      <c r="H111" s="1368" t="s">
        <v>1053</v>
      </c>
      <c r="I111" s="1369" t="s">
        <v>1218</v>
      </c>
      <c r="J111" s="1355"/>
    </row>
    <row r="112" spans="1:21">
      <c r="B112" s="1362" t="s">
        <v>860</v>
      </c>
      <c r="C112" s="1363" t="s">
        <v>866</v>
      </c>
      <c r="D112" s="1364" t="s">
        <v>867</v>
      </c>
      <c r="E112" s="1365" t="s">
        <v>863</v>
      </c>
      <c r="F112" s="1370" t="s">
        <v>1219</v>
      </c>
      <c r="G112" s="1371" t="s">
        <v>1051</v>
      </c>
      <c r="H112" s="1368" t="s">
        <v>1220</v>
      </c>
      <c r="I112" s="1372" t="s">
        <v>1221</v>
      </c>
      <c r="J112" s="1355"/>
    </row>
    <row r="113" spans="2:13" ht="15.75" thickBot="1">
      <c r="B113" s="1362" t="s">
        <v>865</v>
      </c>
      <c r="C113" s="1363" t="s">
        <v>871</v>
      </c>
      <c r="D113" s="1364" t="s">
        <v>872</v>
      </c>
      <c r="E113" s="1365" t="s">
        <v>868</v>
      </c>
      <c r="F113" s="1378" t="s">
        <v>1222</v>
      </c>
      <c r="G113" s="1371" t="s">
        <v>1052</v>
      </c>
      <c r="H113" s="1368" t="s">
        <v>1223</v>
      </c>
      <c r="I113" s="1369" t="s">
        <v>1224</v>
      </c>
      <c r="J113" s="1355"/>
    </row>
    <row r="114" spans="2:13">
      <c r="B114" s="1362" t="s">
        <v>870</v>
      </c>
      <c r="C114" s="1363" t="s">
        <v>876</v>
      </c>
      <c r="D114" s="1364" t="s">
        <v>877</v>
      </c>
      <c r="E114" s="1365" t="s">
        <v>873</v>
      </c>
      <c r="F114" s="1370" t="s">
        <v>1225</v>
      </c>
      <c r="G114" s="1371" t="s">
        <v>1226</v>
      </c>
      <c r="H114" s="1368" t="s">
        <v>1227</v>
      </c>
      <c r="I114" s="1372" t="s">
        <v>1228</v>
      </c>
      <c r="J114" s="1355"/>
      <c r="L114" s="1379" t="s">
        <v>856</v>
      </c>
      <c r="M114" s="1380">
        <v>2010</v>
      </c>
    </row>
    <row r="115" spans="2:13">
      <c r="B115" s="1362" t="s">
        <v>875</v>
      </c>
      <c r="C115" s="1363" t="s">
        <v>881</v>
      </c>
      <c r="D115" s="1364" t="s">
        <v>882</v>
      </c>
      <c r="E115" s="1365" t="s">
        <v>878</v>
      </c>
      <c r="F115" s="1378" t="s">
        <v>1229</v>
      </c>
      <c r="G115" s="1371" t="s">
        <v>1230</v>
      </c>
      <c r="H115" s="1368" t="s">
        <v>1231</v>
      </c>
      <c r="I115" s="1369" t="s">
        <v>1232</v>
      </c>
      <c r="J115" s="1355"/>
      <c r="L115" s="1381" t="s">
        <v>861</v>
      </c>
      <c r="M115" s="1382">
        <v>2011</v>
      </c>
    </row>
    <row r="116" spans="2:13">
      <c r="B116" s="1362" t="s">
        <v>880</v>
      </c>
      <c r="C116" s="1363" t="s">
        <v>564</v>
      </c>
      <c r="D116" s="1364" t="s">
        <v>886</v>
      </c>
      <c r="E116" s="1365" t="s">
        <v>883</v>
      </c>
      <c r="F116" s="1370" t="s">
        <v>1233</v>
      </c>
      <c r="G116" s="1371" t="s">
        <v>1234</v>
      </c>
      <c r="H116" s="1368" t="s">
        <v>1235</v>
      </c>
      <c r="I116" s="1372" t="s">
        <v>1236</v>
      </c>
      <c r="J116" s="1355"/>
      <c r="L116" s="1381" t="s">
        <v>866</v>
      </c>
      <c r="M116" s="1382">
        <v>2012</v>
      </c>
    </row>
    <row r="117" spans="2:13">
      <c r="B117" s="1362" t="s">
        <v>885</v>
      </c>
      <c r="C117" s="1363" t="s">
        <v>512</v>
      </c>
      <c r="D117" s="1364" t="s">
        <v>889</v>
      </c>
      <c r="E117" s="1365" t="s">
        <v>887</v>
      </c>
      <c r="F117" s="1378" t="s">
        <v>1237</v>
      </c>
      <c r="G117" s="1371" t="s">
        <v>1238</v>
      </c>
      <c r="H117" s="1368" t="s">
        <v>1239</v>
      </c>
      <c r="I117" s="1369" t="s">
        <v>1240</v>
      </c>
      <c r="J117" s="1355"/>
      <c r="L117" s="1381" t="s">
        <v>871</v>
      </c>
      <c r="M117" s="1382">
        <v>2013</v>
      </c>
    </row>
    <row r="118" spans="2:13">
      <c r="B118" s="1362" t="s">
        <v>888</v>
      </c>
      <c r="C118" s="1363" t="s">
        <v>895</v>
      </c>
      <c r="D118" s="1364" t="s">
        <v>896</v>
      </c>
      <c r="E118" s="1365" t="s">
        <v>890</v>
      </c>
      <c r="F118" s="1370" t="s">
        <v>1241</v>
      </c>
      <c r="G118" s="1371" t="s">
        <v>1242</v>
      </c>
      <c r="H118" s="1368" t="s">
        <v>1243</v>
      </c>
      <c r="I118" s="1372" t="s">
        <v>1244</v>
      </c>
      <c r="J118" s="1355"/>
      <c r="L118" s="1381" t="s">
        <v>876</v>
      </c>
      <c r="M118" s="1382">
        <v>2014</v>
      </c>
    </row>
    <row r="119" spans="2:13">
      <c r="B119" s="1362" t="s">
        <v>894</v>
      </c>
      <c r="C119" s="1363" t="s">
        <v>901</v>
      </c>
      <c r="D119" s="1364">
        <v>2019</v>
      </c>
      <c r="E119" s="1365" t="s">
        <v>897</v>
      </c>
      <c r="F119" s="1378" t="s">
        <v>1245</v>
      </c>
      <c r="G119" s="1371" t="s">
        <v>1246</v>
      </c>
      <c r="H119" s="1368" t="s">
        <v>1247</v>
      </c>
      <c r="I119" s="1369" t="s">
        <v>1248</v>
      </c>
      <c r="J119" s="1355"/>
      <c r="L119" s="1381" t="s">
        <v>881</v>
      </c>
      <c r="M119" s="1382">
        <v>2015</v>
      </c>
    </row>
    <row r="120" spans="2:13">
      <c r="B120" s="1362" t="s">
        <v>900</v>
      </c>
      <c r="C120" s="1363" t="s">
        <v>906</v>
      </c>
      <c r="D120" s="1364" t="s">
        <v>907</v>
      </c>
      <c r="E120" s="1365" t="s">
        <v>902</v>
      </c>
      <c r="F120" s="1370" t="s">
        <v>1249</v>
      </c>
      <c r="G120" s="1371" t="s">
        <v>1250</v>
      </c>
      <c r="H120" s="1368" t="s">
        <v>1251</v>
      </c>
      <c r="I120" s="1372" t="s">
        <v>1252</v>
      </c>
      <c r="J120" s="1355"/>
      <c r="L120" s="1381" t="s">
        <v>564</v>
      </c>
      <c r="M120" s="1382">
        <v>2016</v>
      </c>
    </row>
    <row r="121" spans="2:13" ht="15.75" thickBot="1">
      <c r="B121" s="1362" t="s">
        <v>905</v>
      </c>
      <c r="C121" s="1363" t="s">
        <v>906</v>
      </c>
      <c r="D121" s="1364" t="s">
        <v>907</v>
      </c>
      <c r="E121" s="1365" t="s">
        <v>908</v>
      </c>
      <c r="F121" s="1383" t="s">
        <v>1253</v>
      </c>
      <c r="G121" s="1384" t="s">
        <v>1254</v>
      </c>
      <c r="H121" s="1385" t="s">
        <v>1255</v>
      </c>
      <c r="I121" s="1386" t="s">
        <v>1256</v>
      </c>
      <c r="J121" s="1355"/>
      <c r="L121" s="1381" t="s">
        <v>512</v>
      </c>
      <c r="M121" s="1382">
        <v>2017</v>
      </c>
    </row>
    <row r="122" spans="2:13">
      <c r="B122" s="1362" t="s">
        <v>1257</v>
      </c>
      <c r="C122" s="1363" t="s">
        <v>1050</v>
      </c>
      <c r="D122" s="1364" t="s">
        <v>1053</v>
      </c>
      <c r="E122" s="1365" t="s">
        <v>1258</v>
      </c>
      <c r="F122" s="1387"/>
      <c r="G122" s="1387"/>
      <c r="H122" s="1387"/>
      <c r="I122" s="1387"/>
      <c r="J122" s="1355"/>
      <c r="L122" s="1381" t="s">
        <v>895</v>
      </c>
      <c r="M122" s="1382">
        <v>2018</v>
      </c>
    </row>
    <row r="123" spans="2:13">
      <c r="B123" s="1362" t="s">
        <v>1259</v>
      </c>
      <c r="C123" s="1363" t="s">
        <v>1051</v>
      </c>
      <c r="D123" s="1364" t="s">
        <v>1220</v>
      </c>
      <c r="E123" s="1365" t="s">
        <v>1260</v>
      </c>
      <c r="F123" s="1387"/>
      <c r="G123" s="1387"/>
      <c r="H123" s="1387"/>
      <c r="I123" s="1387"/>
      <c r="J123" s="1355"/>
      <c r="L123" s="1381" t="s">
        <v>901</v>
      </c>
      <c r="M123" s="1382">
        <v>2019</v>
      </c>
    </row>
    <row r="124" spans="2:13">
      <c r="B124" s="1362" t="s">
        <v>1261</v>
      </c>
      <c r="C124" s="1363" t="s">
        <v>1052</v>
      </c>
      <c r="D124" s="1364" t="s">
        <v>1223</v>
      </c>
      <c r="E124" s="1365" t="s">
        <v>1262</v>
      </c>
      <c r="F124" s="1387"/>
      <c r="G124" s="1387"/>
      <c r="H124" s="1387"/>
      <c r="I124" s="1387"/>
      <c r="J124" s="1355"/>
      <c r="L124" s="1381" t="s">
        <v>906</v>
      </c>
      <c r="M124" s="1382">
        <v>2020</v>
      </c>
    </row>
    <row r="125" spans="2:13">
      <c r="B125" s="1362" t="s">
        <v>1263</v>
      </c>
      <c r="C125" s="1363" t="s">
        <v>1226</v>
      </c>
      <c r="D125" s="1364" t="s">
        <v>1227</v>
      </c>
      <c r="E125" s="1365" t="s">
        <v>1264</v>
      </c>
      <c r="F125" s="1387"/>
      <c r="G125" s="1387"/>
      <c r="H125" s="1387"/>
      <c r="I125" s="1387"/>
      <c r="J125" s="1355"/>
      <c r="L125" s="1381" t="s">
        <v>1050</v>
      </c>
      <c r="M125" s="1382">
        <v>2021</v>
      </c>
    </row>
    <row r="126" spans="2:13" ht="15.75" thickBot="1">
      <c r="B126" s="1388" t="s">
        <v>1265</v>
      </c>
      <c r="C126" s="1389" t="s">
        <v>1230</v>
      </c>
      <c r="D126" s="1390" t="s">
        <v>1231</v>
      </c>
      <c r="E126" s="1391" t="s">
        <v>1266</v>
      </c>
      <c r="F126" s="1392"/>
      <c r="G126" s="1392"/>
      <c r="H126" s="1392"/>
      <c r="I126" s="1392"/>
      <c r="J126" s="1393"/>
      <c r="L126" s="1381" t="s">
        <v>1051</v>
      </c>
      <c r="M126" s="1382">
        <v>2022</v>
      </c>
    </row>
    <row r="127" spans="2:13">
      <c r="B127" s="762"/>
      <c r="C127" s="762"/>
      <c r="L127" s="1381" t="s">
        <v>1052</v>
      </c>
      <c r="M127" s="1382">
        <v>2023</v>
      </c>
    </row>
    <row r="128" spans="2:13">
      <c r="B128" s="762"/>
      <c r="C128" s="762"/>
      <c r="E128" s="762"/>
      <c r="L128" s="1381" t="s">
        <v>1226</v>
      </c>
      <c r="M128" s="1382">
        <v>2024</v>
      </c>
    </row>
    <row r="129" spans="2:13">
      <c r="B129" s="762"/>
      <c r="C129" s="762"/>
      <c r="E129" s="762"/>
      <c r="L129" s="1381" t="s">
        <v>1230</v>
      </c>
      <c r="M129" s="1382">
        <v>2025</v>
      </c>
    </row>
    <row r="130" spans="2:13">
      <c r="B130" s="762"/>
      <c r="C130" s="762"/>
      <c r="E130" s="762"/>
      <c r="L130" s="1381" t="s">
        <v>1234</v>
      </c>
      <c r="M130" s="1382">
        <v>2026</v>
      </c>
    </row>
    <row r="131" spans="2:13">
      <c r="B131" s="762"/>
      <c r="C131" s="762"/>
      <c r="E131" s="762"/>
      <c r="L131" s="1381" t="s">
        <v>1238</v>
      </c>
      <c r="M131" s="1382">
        <v>2027</v>
      </c>
    </row>
    <row r="132" spans="2:13">
      <c r="B132" s="762"/>
      <c r="C132" s="762"/>
      <c r="E132" s="762"/>
      <c r="L132" s="1381" t="s">
        <v>1242</v>
      </c>
      <c r="M132" s="1382">
        <v>2028</v>
      </c>
    </row>
    <row r="133" spans="2:13">
      <c r="B133" s="762"/>
      <c r="C133" s="762"/>
      <c r="E133" s="762"/>
      <c r="L133" s="1381" t="s">
        <v>1246</v>
      </c>
      <c r="M133" s="1382">
        <v>2029</v>
      </c>
    </row>
    <row r="134" spans="2:13">
      <c r="B134" s="762"/>
      <c r="C134" s="762"/>
      <c r="E134" s="762"/>
      <c r="L134" s="1381" t="s">
        <v>1250</v>
      </c>
      <c r="M134" s="1382">
        <v>2030</v>
      </c>
    </row>
    <row r="135" spans="2:13">
      <c r="B135" s="762"/>
      <c r="C135" s="762"/>
      <c r="E135" s="762"/>
      <c r="L135" s="1381" t="s">
        <v>1254</v>
      </c>
      <c r="M135" s="1382">
        <v>2031</v>
      </c>
    </row>
    <row r="136" spans="2:13">
      <c r="B136" s="762"/>
      <c r="C136" s="762"/>
      <c r="L136" s="1381" t="s">
        <v>1267</v>
      </c>
      <c r="M136" s="1382">
        <v>2032</v>
      </c>
    </row>
    <row r="137" spans="2:13">
      <c r="B137" s="762"/>
      <c r="L137" s="1381" t="s">
        <v>1268</v>
      </c>
      <c r="M137" s="1382">
        <v>2033</v>
      </c>
    </row>
    <row r="138" spans="2:13">
      <c r="B138" s="762"/>
      <c r="L138" s="1381" t="s">
        <v>1269</v>
      </c>
      <c r="M138" s="1382">
        <v>2034</v>
      </c>
    </row>
    <row r="139" spans="2:13">
      <c r="L139" s="1381" t="s">
        <v>1270</v>
      </c>
      <c r="M139" s="1382">
        <v>2035</v>
      </c>
    </row>
    <row r="140" spans="2:13" ht="15.75" thickBot="1">
      <c r="L140" s="1394" t="s">
        <v>1271</v>
      </c>
      <c r="M140" s="1395">
        <v>2036</v>
      </c>
    </row>
  </sheetData>
  <mergeCells count="17">
    <mergeCell ref="AI53:AI57"/>
    <mergeCell ref="AI61:AI62"/>
    <mergeCell ref="O67:P67"/>
    <mergeCell ref="W67:Z67"/>
    <mergeCell ref="B105:I105"/>
    <mergeCell ref="AI50:AI52"/>
    <mergeCell ref="B1:L1"/>
    <mergeCell ref="AC4:AM4"/>
    <mergeCell ref="AC5:AF5"/>
    <mergeCell ref="AI5:AM5"/>
    <mergeCell ref="W48:AA48"/>
    <mergeCell ref="AC48:AF48"/>
    <mergeCell ref="B49:F49"/>
    <mergeCell ref="O49:V49"/>
    <mergeCell ref="W49:AA49"/>
    <mergeCell ref="AC49:AF49"/>
    <mergeCell ref="C50:D50"/>
  </mergeCells>
  <dataValidations count="1">
    <dataValidation type="textLength" operator="greaterThan" showInputMessage="1" showErrorMessage="1" sqref="Q17 O17">
      <formula1>1</formula1>
    </dataValidation>
  </dataValidations>
  <pageMargins left="0.7" right="0.7" top="0.75" bottom="0.75" header="0.3" footer="0.3"/>
  <pageSetup paperSize="9" orientation="portrait" r:id="rId1"/>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autoPageBreaks="0" fitToPage="1"/>
  </sheetPr>
  <dimension ref="A1:AC94"/>
  <sheetViews>
    <sheetView showGridLines="0" topLeftCell="A4" zoomScale="85" zoomScaleNormal="85" workbookViewId="0">
      <selection activeCell="G30" sqref="G30"/>
    </sheetView>
  </sheetViews>
  <sheetFormatPr defaultRowHeight="12.75" outlineLevelCol="1"/>
  <cols>
    <col min="1" max="3" width="0.85546875" customWidth="1"/>
    <col min="4" max="4" width="14.42578125" customWidth="1"/>
    <col min="5" max="5" width="30.5703125" customWidth="1"/>
    <col min="6" max="6" width="14" customWidth="1"/>
    <col min="7" max="9" width="12.5703125" customWidth="1"/>
    <col min="10" max="11" width="12.28515625" customWidth="1"/>
    <col min="12" max="16" width="12.28515625" hidden="1" customWidth="1" outlineLevel="1"/>
    <col min="17" max="17" width="7" customWidth="1" collapsed="1"/>
    <col min="18" max="18" width="12.28515625" customWidth="1"/>
    <col min="19" max="19" width="23.42578125" customWidth="1"/>
    <col min="20" max="21" width="12.28515625" customWidth="1"/>
    <col min="24" max="24" width="26.140625" bestFit="1" customWidth="1"/>
    <col min="25" max="25" width="26.140625" customWidth="1"/>
    <col min="26" max="26" width="4.140625" customWidth="1"/>
    <col min="27" max="27" width="34.28515625" bestFit="1" customWidth="1"/>
    <col min="28" max="28" width="17.7109375" bestFit="1" customWidth="1"/>
  </cols>
  <sheetData>
    <row r="1" spans="1:29">
      <c r="A1" s="337"/>
      <c r="B1" s="337"/>
      <c r="C1" s="337"/>
      <c r="D1" s="27"/>
      <c r="E1" s="27"/>
      <c r="F1" s="27"/>
      <c r="G1" s="25"/>
      <c r="H1" s="378"/>
      <c r="I1" s="378"/>
      <c r="J1" s="381"/>
      <c r="K1" s="378"/>
      <c r="L1" s="378"/>
      <c r="M1" s="378"/>
      <c r="N1" s="338"/>
      <c r="O1" s="338"/>
      <c r="P1" s="338"/>
      <c r="Q1" s="337"/>
      <c r="R1" s="337"/>
      <c r="S1" s="337"/>
      <c r="T1" s="337"/>
      <c r="U1" s="337"/>
      <c r="V1" s="240"/>
      <c r="W1" s="240"/>
      <c r="X1" s="502" t="s">
        <v>288</v>
      </c>
      <c r="Y1" s="503" t="s">
        <v>293</v>
      </c>
      <c r="Z1" s="450"/>
      <c r="AA1" s="504" t="s">
        <v>289</v>
      </c>
      <c r="AB1" s="505" t="s">
        <v>335</v>
      </c>
      <c r="AC1" s="240"/>
    </row>
    <row r="2" spans="1:29" s="62" customFormat="1" ht="15.75">
      <c r="A2" s="25"/>
      <c r="B2" s="25"/>
      <c r="C2" s="25"/>
      <c r="D2" s="379" t="str">
        <f>'DMS input'!$C$16&amp;" - X Factor Calculations"&amp;" - DNSP PTRM - version "&amp;Intro!$L$4</f>
        <v>Aus Elec - X Factor Calculations - DNSP PTRM - version 3</v>
      </c>
      <c r="E2" s="25"/>
      <c r="F2" s="25"/>
      <c r="G2" s="25"/>
      <c r="H2" s="25"/>
      <c r="I2" s="25"/>
      <c r="J2" s="25"/>
      <c r="K2" s="25"/>
      <c r="L2" s="25"/>
      <c r="M2" s="25"/>
      <c r="N2" s="25"/>
      <c r="O2" s="25"/>
      <c r="P2" s="25"/>
      <c r="Q2" s="25"/>
      <c r="R2" s="25"/>
      <c r="S2" s="25"/>
      <c r="T2" s="25"/>
      <c r="U2" s="25"/>
      <c r="V2" s="451"/>
      <c r="W2" s="451"/>
      <c r="X2" s="498" t="s">
        <v>285</v>
      </c>
      <c r="Y2" s="499" t="s">
        <v>261</v>
      </c>
      <c r="Z2" s="452"/>
      <c r="AA2" s="498" t="s">
        <v>303</v>
      </c>
      <c r="AB2" s="499" t="s">
        <v>290</v>
      </c>
      <c r="AC2" s="451"/>
    </row>
    <row r="3" spans="1:29" s="62" customFormat="1" ht="15.75">
      <c r="A3" s="25"/>
      <c r="B3" s="25"/>
      <c r="C3" s="25"/>
      <c r="D3" s="379"/>
      <c r="E3" s="25"/>
      <c r="F3" s="25"/>
      <c r="G3" s="25"/>
      <c r="H3" s="25"/>
      <c r="I3" s="25"/>
      <c r="J3" s="25"/>
      <c r="K3" s="25"/>
      <c r="L3" s="25"/>
      <c r="M3" s="25"/>
      <c r="N3" s="25"/>
      <c r="O3" s="25"/>
      <c r="P3" s="25"/>
      <c r="Q3" s="25"/>
      <c r="R3" s="25"/>
      <c r="S3" s="25"/>
      <c r="T3" s="25"/>
      <c r="U3" s="25"/>
      <c r="V3" s="451"/>
      <c r="W3" s="451"/>
      <c r="X3" s="498" t="s">
        <v>286</v>
      </c>
      <c r="Y3" s="499" t="s">
        <v>177</v>
      </c>
      <c r="Z3" s="452"/>
      <c r="AA3" s="500" t="s">
        <v>304</v>
      </c>
      <c r="AB3" s="501" t="s">
        <v>291</v>
      </c>
      <c r="AC3" s="451"/>
    </row>
    <row r="4" spans="1:29" s="62" customFormat="1" ht="15.75">
      <c r="A4" s="132"/>
      <c r="B4" s="478"/>
      <c r="C4" s="478"/>
      <c r="D4" s="133" t="s">
        <v>54</v>
      </c>
      <c r="E4" s="132"/>
      <c r="F4" s="132" t="str">
        <f>'PTRM input'!F241</f>
        <v>2009-10</v>
      </c>
      <c r="G4" s="132" t="str">
        <f>'PTRM input'!G241</f>
        <v>2010-11</v>
      </c>
      <c r="H4" s="132" t="str">
        <f>'PTRM input'!H241</f>
        <v>2011-12</v>
      </c>
      <c r="I4" s="132" t="str">
        <f>'PTRM input'!I241</f>
        <v>2012-13</v>
      </c>
      <c r="J4" s="132" t="str">
        <f>'PTRM input'!J241</f>
        <v>2013-14</v>
      </c>
      <c r="K4" s="132" t="str">
        <f>'PTRM input'!K241</f>
        <v>2014-15</v>
      </c>
      <c r="L4" s="132" t="str">
        <f>'PTRM input'!L241</f>
        <v>2015-16</v>
      </c>
      <c r="M4" s="132" t="str">
        <f>'PTRM input'!M241</f>
        <v>2016-17</v>
      </c>
      <c r="N4" s="132" t="str">
        <f>'PTRM input'!N241</f>
        <v>2017-18</v>
      </c>
      <c r="O4" s="132" t="str">
        <f>'PTRM input'!O241</f>
        <v>2018-19</v>
      </c>
      <c r="P4" s="132" t="str">
        <f>'PTRM input'!P241</f>
        <v>2019-20</v>
      </c>
      <c r="Q4" s="132"/>
      <c r="R4" s="132"/>
      <c r="S4" s="132"/>
      <c r="T4" s="132"/>
      <c r="U4" s="132"/>
      <c r="V4" s="451"/>
      <c r="W4" s="451"/>
      <c r="X4" s="500" t="s">
        <v>287</v>
      </c>
      <c r="Y4" s="501" t="s">
        <v>262</v>
      </c>
      <c r="Z4" s="452"/>
      <c r="AA4" s="452"/>
      <c r="AB4" s="452"/>
      <c r="AC4" s="451"/>
    </row>
    <row r="5" spans="1:29" ht="18" customHeight="1">
      <c r="A5" s="120"/>
      <c r="B5" s="479"/>
      <c r="C5" s="479"/>
      <c r="D5" s="380" t="s">
        <v>295</v>
      </c>
      <c r="E5" s="380"/>
      <c r="F5" s="380"/>
      <c r="G5" s="380"/>
      <c r="H5" s="357"/>
      <c r="I5" s="357"/>
      <c r="J5" s="357"/>
      <c r="K5" s="357"/>
      <c r="L5" s="357"/>
      <c r="M5" s="357"/>
      <c r="N5" s="357"/>
      <c r="O5" s="357"/>
      <c r="P5" s="357"/>
      <c r="Q5" s="357"/>
      <c r="R5" s="120"/>
      <c r="S5" s="120"/>
      <c r="T5" s="120"/>
      <c r="U5" s="120"/>
      <c r="V5" s="240"/>
      <c r="W5" s="240"/>
      <c r="X5" s="453"/>
      <c r="Y5" s="453"/>
      <c r="Z5" s="453"/>
      <c r="AA5" s="453"/>
      <c r="AB5" s="453"/>
      <c r="AC5" s="240"/>
    </row>
    <row r="6" spans="1:29">
      <c r="A6" s="337"/>
      <c r="B6" s="337"/>
      <c r="C6" s="337"/>
      <c r="D6" s="224"/>
      <c r="E6" s="381"/>
      <c r="F6" s="381"/>
      <c r="G6" s="381"/>
      <c r="H6" s="381"/>
      <c r="I6" s="381"/>
      <c r="J6" s="381"/>
      <c r="K6" s="381"/>
      <c r="L6" s="381"/>
      <c r="M6" s="381"/>
      <c r="N6" s="381"/>
      <c r="O6" s="381"/>
      <c r="P6" s="381"/>
      <c r="Q6" s="381"/>
      <c r="R6" s="381"/>
      <c r="S6" s="337"/>
      <c r="T6" s="337"/>
      <c r="U6" s="337"/>
      <c r="V6" s="240"/>
      <c r="W6" s="240"/>
      <c r="X6" s="453"/>
      <c r="Y6" s="453"/>
      <c r="Z6" s="453"/>
      <c r="AA6" s="453"/>
      <c r="AB6" s="453"/>
      <c r="AC6" s="240"/>
    </row>
    <row r="7" spans="1:29">
      <c r="A7" s="337"/>
      <c r="B7" s="337"/>
      <c r="C7" s="337"/>
      <c r="D7" s="275" t="s">
        <v>341</v>
      </c>
      <c r="E7" s="382"/>
      <c r="F7" s="381"/>
      <c r="G7" s="381">
        <f>vanilla01</f>
        <v>9.7619999999999998E-2</v>
      </c>
      <c r="H7" s="381">
        <f>vanilla02</f>
        <v>9.7619999999999998E-2</v>
      </c>
      <c r="I7" s="381">
        <f>vanilla03</f>
        <v>9.7619999999999998E-2</v>
      </c>
      <c r="J7" s="381">
        <f>vanilla04</f>
        <v>9.7619999999999998E-2</v>
      </c>
      <c r="K7" s="381">
        <f>vanilla05</f>
        <v>9.7619999999999998E-2</v>
      </c>
      <c r="L7" s="381">
        <f>vanilla06</f>
        <v>9.7619999999999998E-2</v>
      </c>
      <c r="M7" s="381">
        <f>vanilla07</f>
        <v>9.7619999999999998E-2</v>
      </c>
      <c r="N7" s="381">
        <f>vanilla08</f>
        <v>9.7619999999999998E-2</v>
      </c>
      <c r="O7" s="381">
        <f>vanilla09</f>
        <v>9.7619999999999998E-2</v>
      </c>
      <c r="P7" s="381">
        <f>vanilla10</f>
        <v>9.7619999999999998E-2</v>
      </c>
      <c r="Q7" s="381"/>
      <c r="R7" s="381"/>
      <c r="S7" s="337"/>
      <c r="T7" s="337"/>
      <c r="U7" s="337"/>
      <c r="V7" s="240"/>
      <c r="W7" s="240"/>
      <c r="X7" s="453"/>
      <c r="Y7" s="453"/>
      <c r="Z7" s="453"/>
      <c r="AA7" s="453"/>
      <c r="AB7" s="453"/>
      <c r="AC7" s="240"/>
    </row>
    <row r="8" spans="1:29">
      <c r="A8" s="359"/>
      <c r="B8" s="359"/>
      <c r="C8" s="359"/>
      <c r="D8" s="383" t="s">
        <v>310</v>
      </c>
      <c r="E8" s="273"/>
      <c r="F8" s="274">
        <v>1</v>
      </c>
      <c r="G8" s="338">
        <f t="shared" ref="G8:P8" si="0">F8*(1+G7)</f>
        <v>1.09762</v>
      </c>
      <c r="H8" s="338">
        <f t="shared" si="0"/>
        <v>1.2047696644000001</v>
      </c>
      <c r="I8" s="338">
        <f t="shared" si="0"/>
        <v>1.3223792790387281</v>
      </c>
      <c r="J8" s="338">
        <f t="shared" si="0"/>
        <v>1.4514699442584889</v>
      </c>
      <c r="K8" s="338">
        <f t="shared" si="0"/>
        <v>1.5931624402170026</v>
      </c>
      <c r="L8" s="338">
        <f t="shared" si="0"/>
        <v>1.7486869576309865</v>
      </c>
      <c r="M8" s="338">
        <f t="shared" si="0"/>
        <v>1.9193937784349235</v>
      </c>
      <c r="N8" s="338">
        <f t="shared" si="0"/>
        <v>2.1067649990857409</v>
      </c>
      <c r="O8" s="338">
        <f t="shared" si="0"/>
        <v>2.3124273982964909</v>
      </c>
      <c r="P8" s="338">
        <f t="shared" si="0"/>
        <v>2.5381665609181945</v>
      </c>
      <c r="Q8" s="384"/>
      <c r="R8" s="359"/>
      <c r="S8" s="359"/>
      <c r="T8" s="359"/>
      <c r="U8" s="359"/>
      <c r="V8" s="240"/>
      <c r="W8" s="240"/>
      <c r="X8" s="453"/>
      <c r="Y8" s="453"/>
      <c r="Z8" s="453"/>
      <c r="AA8" s="453"/>
      <c r="AB8" s="453"/>
      <c r="AC8" s="240"/>
    </row>
    <row r="9" spans="1:29">
      <c r="A9" s="359"/>
      <c r="B9" s="359"/>
      <c r="C9" s="359"/>
      <c r="D9" s="383"/>
      <c r="E9" s="273"/>
      <c r="F9" s="277"/>
      <c r="G9" s="385"/>
      <c r="H9" s="385"/>
      <c r="I9" s="385"/>
      <c r="J9" s="385"/>
      <c r="K9" s="385"/>
      <c r="L9" s="385"/>
      <c r="M9" s="385"/>
      <c r="N9" s="385"/>
      <c r="O9" s="385"/>
      <c r="P9" s="338"/>
      <c r="Q9" s="384"/>
      <c r="R9" s="359"/>
      <c r="S9" s="359"/>
      <c r="T9" s="359"/>
      <c r="U9" s="359"/>
      <c r="V9" s="240"/>
      <c r="W9" s="240"/>
      <c r="X9" s="453"/>
      <c r="Y9" s="453"/>
      <c r="Z9" s="453"/>
      <c r="AA9" s="453"/>
      <c r="AB9" s="453"/>
      <c r="AC9" s="240"/>
    </row>
    <row r="10" spans="1:29">
      <c r="A10" s="337"/>
      <c r="B10" s="337"/>
      <c r="C10" s="337"/>
      <c r="D10" s="278" t="s">
        <v>342</v>
      </c>
      <c r="E10" s="359"/>
      <c r="F10" s="384"/>
      <c r="G10" s="384">
        <f>WACC!G6</f>
        <v>2.52E-2</v>
      </c>
      <c r="H10" s="384">
        <f>WACC!H6</f>
        <v>2.52E-2</v>
      </c>
      <c r="I10" s="384">
        <f>WACC!I6</f>
        <v>2.52E-2</v>
      </c>
      <c r="J10" s="384">
        <f>WACC!J6</f>
        <v>2.52E-2</v>
      </c>
      <c r="K10" s="384">
        <f>WACC!K6</f>
        <v>2.52E-2</v>
      </c>
      <c r="L10" s="384">
        <f>WACC!L6</f>
        <v>2.52E-2</v>
      </c>
      <c r="M10" s="384">
        <f>WACC!M6</f>
        <v>2.52E-2</v>
      </c>
      <c r="N10" s="384">
        <f>WACC!N6</f>
        <v>2.52E-2</v>
      </c>
      <c r="O10" s="384">
        <f>WACC!O6</f>
        <v>2.52E-2</v>
      </c>
      <c r="P10" s="384">
        <f>WACC!P6</f>
        <v>2.52E-2</v>
      </c>
      <c r="Q10" s="381"/>
      <c r="R10" s="378"/>
      <c r="S10" s="337"/>
      <c r="T10" s="337"/>
      <c r="U10" s="337"/>
      <c r="V10" s="240"/>
      <c r="W10" s="240"/>
      <c r="X10" s="453"/>
      <c r="Y10" s="453"/>
      <c r="Z10" s="453"/>
      <c r="AA10" s="453"/>
      <c r="AB10" s="453"/>
      <c r="AC10" s="240"/>
    </row>
    <row r="11" spans="1:29">
      <c r="A11" s="337"/>
      <c r="B11" s="337"/>
      <c r="C11" s="337"/>
      <c r="D11" s="359" t="s">
        <v>39</v>
      </c>
      <c r="E11" s="279"/>
      <c r="F11" s="274">
        <f>Analysis!F7</f>
        <v>1</v>
      </c>
      <c r="G11" s="402">
        <f>F11*(1+G10)</f>
        <v>1.0251999999999999</v>
      </c>
      <c r="H11" s="402">
        <f>G11*(1+H10)</f>
        <v>1.0510350399999997</v>
      </c>
      <c r="I11" s="1500">
        <f t="shared" ref="I11:P11" si="1">H11*(1+I10)</f>
        <v>1.0775211230079995</v>
      </c>
      <c r="J11" s="402">
        <f t="shared" si="1"/>
        <v>1.1046746553078011</v>
      </c>
      <c r="K11" s="402">
        <f t="shared" si="1"/>
        <v>1.1325124566215576</v>
      </c>
      <c r="L11" s="402">
        <f t="shared" si="1"/>
        <v>1.1610517705284207</v>
      </c>
      <c r="M11" s="402">
        <f t="shared" si="1"/>
        <v>1.1903102751457368</v>
      </c>
      <c r="N11" s="402">
        <f t="shared" si="1"/>
        <v>1.2203060940794093</v>
      </c>
      <c r="O11" s="402">
        <f t="shared" si="1"/>
        <v>1.2510578076502104</v>
      </c>
      <c r="P11" s="402">
        <f t="shared" si="1"/>
        <v>1.2825844644029956</v>
      </c>
      <c r="Q11" s="337"/>
      <c r="R11" s="337"/>
      <c r="S11" s="337"/>
      <c r="T11" s="337"/>
      <c r="U11" s="337"/>
      <c r="V11" s="240"/>
      <c r="W11" s="240"/>
      <c r="X11" s="453"/>
      <c r="Y11" s="453"/>
      <c r="Z11" s="453"/>
      <c r="AA11" s="453"/>
      <c r="AB11" s="453"/>
      <c r="AC11" s="240"/>
    </row>
    <row r="12" spans="1:29">
      <c r="A12" s="337"/>
      <c r="B12" s="337"/>
      <c r="C12" s="337"/>
      <c r="D12" s="275"/>
      <c r="E12" s="381"/>
      <c r="F12" s="381"/>
      <c r="G12" s="381"/>
      <c r="H12" s="381"/>
      <c r="I12" s="381"/>
      <c r="J12" s="381"/>
      <c r="K12" s="381"/>
      <c r="L12" s="381"/>
      <c r="M12" s="381"/>
      <c r="N12" s="381"/>
      <c r="O12" s="381"/>
      <c r="P12" s="381"/>
      <c r="Q12" s="381"/>
      <c r="R12" s="378"/>
      <c r="S12" s="337"/>
      <c r="T12" s="337"/>
      <c r="U12" s="337"/>
      <c r="V12" s="240"/>
      <c r="W12" s="240"/>
      <c r="X12" s="453"/>
      <c r="Y12" s="453"/>
      <c r="Z12" s="453"/>
      <c r="AA12" s="453"/>
      <c r="AB12" s="453"/>
      <c r="AC12" s="240"/>
    </row>
    <row r="13" spans="1:29" ht="18" customHeight="1">
      <c r="A13" s="120"/>
      <c r="B13" s="479"/>
      <c r="C13" s="479"/>
      <c r="D13" s="380" t="s">
        <v>309</v>
      </c>
      <c r="E13" s="380"/>
      <c r="F13" s="380"/>
      <c r="G13" s="380"/>
      <c r="H13" s="357"/>
      <c r="I13" s="357"/>
      <c r="J13" s="357"/>
      <c r="K13" s="357"/>
      <c r="L13" s="357"/>
      <c r="M13" s="357"/>
      <c r="N13" s="357"/>
      <c r="O13" s="357"/>
      <c r="P13" s="357"/>
      <c r="Q13" s="357"/>
      <c r="R13" s="120"/>
      <c r="S13" s="120"/>
      <c r="T13" s="120"/>
      <c r="U13" s="120"/>
      <c r="V13" s="240"/>
      <c r="W13" s="240"/>
      <c r="X13" s="240"/>
      <c r="Y13" s="240"/>
      <c r="Z13" s="240"/>
      <c r="AA13" s="240"/>
      <c r="AB13" s="240"/>
      <c r="AC13" s="240"/>
    </row>
    <row r="14" spans="1:29" ht="11.25" customHeight="1">
      <c r="A14" s="337"/>
      <c r="B14" s="337"/>
      <c r="C14" s="337"/>
      <c r="D14" s="27"/>
      <c r="E14" s="334"/>
      <c r="F14" s="381"/>
      <c r="G14" s="381"/>
      <c r="H14" s="381"/>
      <c r="I14" s="381"/>
      <c r="J14" s="381"/>
      <c r="K14" s="381"/>
      <c r="L14" s="381"/>
      <c r="M14" s="381"/>
      <c r="N14" s="381"/>
      <c r="O14" s="381"/>
      <c r="P14" s="381"/>
      <c r="Q14" s="381"/>
      <c r="R14" s="378"/>
      <c r="S14" s="337"/>
      <c r="T14" s="337"/>
      <c r="U14" s="337"/>
      <c r="V14" s="240"/>
      <c r="W14" s="240"/>
      <c r="X14" s="240"/>
      <c r="Y14" s="240"/>
      <c r="Z14" s="240"/>
      <c r="AA14" s="240"/>
      <c r="AB14" s="240"/>
      <c r="AC14" s="240"/>
    </row>
    <row r="15" spans="1:29">
      <c r="A15" s="337"/>
      <c r="B15" s="337"/>
      <c r="C15" s="337"/>
      <c r="D15" s="378" t="s">
        <v>302</v>
      </c>
      <c r="E15" s="334"/>
      <c r="F15" s="381"/>
      <c r="G15" s="381"/>
      <c r="H15" s="381"/>
      <c r="I15" s="381"/>
      <c r="J15" s="381"/>
      <c r="K15" s="381"/>
      <c r="L15" s="381"/>
      <c r="M15" s="381"/>
      <c r="N15" s="381"/>
      <c r="O15" s="381"/>
      <c r="P15" s="381"/>
      <c r="Q15" s="381"/>
      <c r="R15" s="378"/>
      <c r="S15" s="337"/>
      <c r="T15" s="337"/>
      <c r="U15" s="337"/>
      <c r="V15" s="240"/>
      <c r="W15" s="240"/>
      <c r="X15" s="240"/>
      <c r="Y15" s="240"/>
      <c r="Z15" s="240"/>
      <c r="AA15" s="240"/>
      <c r="AB15" s="240"/>
      <c r="AC15" s="240"/>
    </row>
    <row r="16" spans="1:29">
      <c r="A16" s="34"/>
      <c r="B16" s="34"/>
      <c r="C16" s="34"/>
      <c r="D16" s="392" t="s">
        <v>305</v>
      </c>
      <c r="E16" s="337"/>
      <c r="F16" s="205"/>
      <c r="G16" s="205"/>
      <c r="H16" s="1626" t="s">
        <v>303</v>
      </c>
      <c r="I16" s="1627"/>
      <c r="J16" s="1627"/>
      <c r="K16" s="280"/>
      <c r="L16" s="280"/>
      <c r="M16" s="280"/>
      <c r="N16" s="280"/>
      <c r="O16" s="280"/>
      <c r="P16" s="280"/>
      <c r="Q16" s="394"/>
      <c r="R16" s="34"/>
      <c r="S16" s="34"/>
      <c r="T16" s="34"/>
      <c r="U16" s="34"/>
      <c r="V16" s="240"/>
      <c r="W16" s="240"/>
      <c r="X16" s="240"/>
      <c r="Y16" s="240"/>
      <c r="Z16" s="240"/>
      <c r="AA16" s="240"/>
      <c r="AB16" s="240"/>
      <c r="AC16" s="240"/>
    </row>
    <row r="17" spans="1:29" ht="12.75" customHeight="1">
      <c r="A17" s="337"/>
      <c r="B17" s="337"/>
      <c r="C17" s="337"/>
      <c r="D17" s="381"/>
      <c r="E17" s="381"/>
      <c r="F17" s="381"/>
      <c r="G17" s="381"/>
      <c r="H17" s="381"/>
      <c r="I17" s="381"/>
      <c r="J17" s="381"/>
      <c r="K17" s="381"/>
      <c r="L17" s="381"/>
      <c r="M17" s="381"/>
      <c r="N17" s="381"/>
      <c r="O17" s="381"/>
      <c r="P17" s="381"/>
      <c r="Q17" s="381"/>
      <c r="R17" s="378"/>
      <c r="S17" s="337"/>
      <c r="T17" s="337"/>
      <c r="U17" s="337"/>
      <c r="V17" s="240"/>
      <c r="W17" s="240"/>
      <c r="X17" s="240"/>
      <c r="Y17" s="240"/>
      <c r="Z17" s="240"/>
      <c r="AA17" s="240"/>
      <c r="AB17" s="240"/>
      <c r="AC17" s="240"/>
    </row>
    <row r="18" spans="1:29">
      <c r="A18" s="34"/>
      <c r="B18" s="34"/>
      <c r="C18" s="34"/>
      <c r="D18" s="392" t="s">
        <v>296</v>
      </c>
      <c r="E18" s="337"/>
      <c r="F18" s="205"/>
      <c r="G18" s="205"/>
      <c r="H18" s="280"/>
      <c r="I18" s="280"/>
      <c r="J18" s="280"/>
      <c r="K18" s="280"/>
      <c r="L18" s="280"/>
      <c r="M18" s="280"/>
      <c r="N18" s="280"/>
      <c r="O18" s="280"/>
      <c r="P18" s="280"/>
      <c r="Q18" s="394"/>
      <c r="R18" s="34"/>
      <c r="S18" s="34"/>
      <c r="T18" s="34"/>
      <c r="U18" s="34"/>
      <c r="V18" s="240"/>
      <c r="W18" s="240"/>
      <c r="X18" s="240"/>
      <c r="Y18" s="240"/>
      <c r="Z18" s="240"/>
      <c r="AA18" s="240"/>
      <c r="AB18" s="240"/>
      <c r="AC18" s="240"/>
    </row>
    <row r="19" spans="1:29" ht="12.75" customHeight="1">
      <c r="A19" s="34"/>
      <c r="B19" s="34"/>
      <c r="C19" s="34"/>
      <c r="D19" s="392" t="s">
        <v>352</v>
      </c>
      <c r="E19" s="337"/>
      <c r="F19" s="205"/>
      <c r="G19" s="205"/>
      <c r="H19" s="280"/>
      <c r="I19" s="280"/>
      <c r="J19" s="280"/>
      <c r="K19" s="280"/>
      <c r="L19" s="280"/>
      <c r="M19" s="280"/>
      <c r="N19" s="280"/>
      <c r="O19" s="280"/>
      <c r="P19" s="280"/>
      <c r="Q19" s="394"/>
      <c r="R19" s="34"/>
      <c r="S19" s="34"/>
      <c r="T19" s="34"/>
      <c r="U19" s="34"/>
      <c r="V19" s="240"/>
      <c r="W19" s="240"/>
      <c r="X19" s="240"/>
      <c r="Y19" s="240"/>
      <c r="Z19" s="240"/>
      <c r="AA19" s="240"/>
      <c r="AB19" s="240"/>
      <c r="AC19" s="240"/>
    </row>
    <row r="20" spans="1:29" ht="12.75" customHeight="1">
      <c r="A20" s="34"/>
      <c r="B20" s="34"/>
      <c r="C20" s="34"/>
      <c r="D20" s="392"/>
      <c r="E20" s="337"/>
      <c r="F20" s="205"/>
      <c r="G20" s="205"/>
      <c r="H20" s="280"/>
      <c r="I20" s="280"/>
      <c r="J20" s="280"/>
      <c r="K20" s="280"/>
      <c r="L20" s="280"/>
      <c r="M20" s="280"/>
      <c r="N20" s="280"/>
      <c r="O20" s="280"/>
      <c r="P20" s="280"/>
      <c r="Q20" s="394"/>
      <c r="R20" s="34"/>
      <c r="S20" s="34"/>
      <c r="T20" s="34"/>
      <c r="U20" s="34"/>
      <c r="V20" s="240"/>
      <c r="W20" s="240"/>
      <c r="X20" s="240"/>
      <c r="Y20" s="240"/>
      <c r="Z20" s="240"/>
      <c r="AA20" s="240"/>
      <c r="AB20" s="240"/>
      <c r="AC20" s="240"/>
    </row>
    <row r="21" spans="1:29" ht="12.75" customHeight="1">
      <c r="A21" s="337"/>
      <c r="B21" s="337"/>
      <c r="C21" s="337"/>
      <c r="D21" s="381" t="s">
        <v>353</v>
      </c>
      <c r="E21" s="381"/>
      <c r="F21" s="1498" t="s">
        <v>861</v>
      </c>
      <c r="G21" s="381" t="s">
        <v>429</v>
      </c>
      <c r="H21" s="381"/>
      <c r="I21" s="381"/>
      <c r="J21" s="381"/>
      <c r="K21" s="381"/>
      <c r="L21" s="381"/>
      <c r="M21" s="381"/>
      <c r="N21" s="381"/>
      <c r="O21" s="381"/>
      <c r="P21" s="381"/>
      <c r="Q21" s="381"/>
      <c r="R21" s="378"/>
      <c r="S21" s="337"/>
      <c r="T21" s="337"/>
      <c r="U21" s="337"/>
      <c r="V21" s="240"/>
      <c r="W21" s="240"/>
      <c r="X21" s="240"/>
      <c r="Y21" s="240"/>
      <c r="Z21" s="240"/>
      <c r="AA21" s="240"/>
      <c r="AB21" s="240"/>
      <c r="AC21" s="240"/>
    </row>
    <row r="22" spans="1:29">
      <c r="A22" s="337"/>
      <c r="B22" s="337"/>
      <c r="C22" s="337"/>
      <c r="D22" s="378"/>
      <c r="E22" s="334"/>
      <c r="F22" s="240"/>
      <c r="G22" s="240"/>
      <c r="H22" s="381"/>
      <c r="I22" s="381"/>
      <c r="J22" s="381"/>
      <c r="K22" s="381"/>
      <c r="L22" s="381"/>
      <c r="M22" s="381"/>
      <c r="N22" s="381"/>
      <c r="O22" s="381"/>
      <c r="P22" s="381"/>
      <c r="Q22" s="381"/>
      <c r="R22" s="378"/>
      <c r="S22" s="337"/>
      <c r="T22" s="337"/>
      <c r="U22" s="337"/>
      <c r="V22" s="240"/>
      <c r="W22" s="240"/>
      <c r="X22" s="240"/>
      <c r="Y22" s="240"/>
      <c r="Z22" s="240"/>
      <c r="AA22" s="240"/>
      <c r="AB22" s="240"/>
      <c r="AC22" s="240"/>
    </row>
    <row r="23" spans="1:29">
      <c r="A23" s="337"/>
      <c r="B23" s="337"/>
      <c r="C23" s="337"/>
      <c r="D23" s="395" t="s">
        <v>294</v>
      </c>
      <c r="E23" s="399" t="str">
        <f>IF(AND(D24="",D25="",D26=""),"This section is blank because no cautions are active.","")</f>
        <v/>
      </c>
      <c r="F23" s="384"/>
      <c r="G23" s="384"/>
      <c r="H23" s="384"/>
      <c r="I23" s="384"/>
      <c r="J23" s="384"/>
      <c r="K23" s="396"/>
      <c r="L23" s="396"/>
      <c r="M23" s="396"/>
      <c r="N23" s="396"/>
      <c r="O23" s="396"/>
      <c r="P23" s="396"/>
      <c r="Q23" s="396"/>
      <c r="R23" s="397"/>
      <c r="S23" s="398"/>
      <c r="T23" s="337"/>
      <c r="U23" s="337"/>
      <c r="V23" s="240"/>
      <c r="W23" s="240"/>
      <c r="X23" s="240"/>
      <c r="Y23" s="240"/>
      <c r="Z23" s="240"/>
      <c r="AA23" s="240"/>
      <c r="AB23" s="240"/>
      <c r="AC23" s="240"/>
    </row>
    <row r="24" spans="1:29">
      <c r="A24" s="337"/>
      <c r="B24" s="337"/>
      <c r="C24" s="337"/>
      <c r="D24" s="281" t="str">
        <f>IF(F21&lt;&gt;G4,"Caution - If you are updating the cost of debt within the regulatory period, you should not adjust X factors for past years.","")</f>
        <v/>
      </c>
      <c r="E24" s="381"/>
      <c r="F24" s="384"/>
      <c r="G24" s="334"/>
      <c r="H24" s="384"/>
      <c r="I24" s="384"/>
      <c r="J24" s="384"/>
      <c r="K24" s="396"/>
      <c r="L24" s="396"/>
      <c r="M24" s="396"/>
      <c r="N24" s="396"/>
      <c r="O24" s="396"/>
      <c r="P24" s="396"/>
      <c r="Q24" s="396"/>
      <c r="R24" s="397"/>
      <c r="S24" s="398"/>
      <c r="T24" s="337"/>
      <c r="U24" s="337"/>
      <c r="V24" s="240"/>
      <c r="W24" s="240"/>
      <c r="X24" s="240"/>
      <c r="Y24" s="240"/>
      <c r="Z24" s="240"/>
      <c r="AA24" s="240"/>
      <c r="AB24" s="240"/>
      <c r="AC24" s="240"/>
    </row>
    <row r="25" spans="1:29">
      <c r="A25" s="337"/>
      <c r="B25" s="337"/>
      <c r="C25" s="337"/>
      <c r="D25" s="281" t="str">
        <f>IF(ISERROR(HLOOKUP("Value expected",'PTRM input'!G223:P223,1,FALSE)),"","Caution - The PTRM input page does not appear to have all necessary cost of debt inputs (cells G222:P222)")</f>
        <v/>
      </c>
      <c r="E25" s="381"/>
      <c r="F25" s="384"/>
      <c r="G25" s="334"/>
      <c r="H25" s="384"/>
      <c r="I25" s="384"/>
      <c r="J25" s="384"/>
      <c r="K25" s="396"/>
      <c r="L25" s="396"/>
      <c r="M25" s="396"/>
      <c r="N25" s="396"/>
      <c r="O25" s="396"/>
      <c r="P25" s="396"/>
      <c r="Q25" s="396"/>
      <c r="R25" s="397"/>
      <c r="S25" s="398"/>
      <c r="T25" s="337"/>
      <c r="U25" s="337"/>
      <c r="V25" s="240"/>
      <c r="W25" s="240"/>
      <c r="X25" s="240"/>
      <c r="Y25" s="240"/>
      <c r="Z25" s="240"/>
      <c r="AA25" s="240"/>
      <c r="AB25" s="240"/>
      <c r="AC25" s="240"/>
    </row>
    <row r="26" spans="1:29">
      <c r="A26" s="337"/>
      <c r="B26" s="337"/>
      <c r="C26" s="337"/>
      <c r="D26" s="281" t="str">
        <f>IF(ROUND(ERC_Final_Calc,7)&lt;&gt;ROUND(ERC_Yr01_Inc,7),"Caution - The equity raising costs shown on the PTRM input tab (cell G70) does not appear to match the equity raising costs currently shown on the Equity Raising Costs tab (cell Q54)","")</f>
        <v>Caution - The equity raising costs shown on the PTRM input tab (cell G70) does not appear to match the equity raising costs currently shown on the Equity Raising Costs tab (cell Q54)</v>
      </c>
      <c r="E26" s="381"/>
      <c r="F26" s="396"/>
      <c r="G26" s="396"/>
      <c r="H26" s="396"/>
      <c r="I26" s="396"/>
      <c r="J26" s="396"/>
      <c r="K26" s="396"/>
      <c r="L26" s="396"/>
      <c r="M26" s="396"/>
      <c r="N26" s="396"/>
      <c r="O26" s="396"/>
      <c r="P26" s="396"/>
      <c r="Q26" s="396"/>
      <c r="R26" s="397"/>
      <c r="S26" s="398"/>
      <c r="T26" s="337"/>
      <c r="V26" s="240"/>
      <c r="W26" s="240"/>
      <c r="X26" s="240"/>
      <c r="Y26" s="240"/>
      <c r="Z26" s="240"/>
      <c r="AA26" s="240"/>
      <c r="AB26" s="240"/>
      <c r="AC26" s="240"/>
    </row>
    <row r="27" spans="1:29">
      <c r="A27" s="337"/>
      <c r="B27" s="337"/>
      <c r="C27" s="337"/>
      <c r="D27" s="281"/>
      <c r="E27" s="381"/>
      <c r="F27" s="396"/>
      <c r="G27" s="396"/>
      <c r="H27" s="396"/>
      <c r="I27" s="396"/>
      <c r="J27" s="396"/>
      <c r="K27" s="396"/>
      <c r="L27" s="396"/>
      <c r="M27" s="396"/>
      <c r="N27" s="396"/>
      <c r="O27" s="396"/>
      <c r="P27" s="396"/>
      <c r="Q27" s="396"/>
      <c r="R27" s="397"/>
      <c r="S27" s="398"/>
      <c r="T27" s="337"/>
      <c r="U27" s="337"/>
      <c r="V27" s="240"/>
      <c r="W27" s="240"/>
      <c r="X27" s="240"/>
      <c r="Y27" s="240"/>
      <c r="Z27" s="240"/>
      <c r="AA27" s="240"/>
      <c r="AB27" s="240"/>
      <c r="AC27" s="240"/>
    </row>
    <row r="28" spans="1:29" ht="18" customHeight="1">
      <c r="A28" s="120"/>
      <c r="B28" s="479"/>
      <c r="C28" s="479"/>
      <c r="D28" s="380" t="s">
        <v>344</v>
      </c>
      <c r="E28" s="380"/>
      <c r="F28" s="380"/>
      <c r="G28" s="380"/>
      <c r="H28" s="357"/>
      <c r="I28" s="357"/>
      <c r="J28" s="357"/>
      <c r="K28" s="357"/>
      <c r="L28" s="357"/>
      <c r="M28" s="357"/>
      <c r="N28" s="357"/>
      <c r="O28" s="357"/>
      <c r="P28" s="357"/>
      <c r="Q28" s="357"/>
      <c r="R28" s="120"/>
      <c r="S28" s="120"/>
      <c r="T28" s="120"/>
      <c r="U28" s="120"/>
      <c r="V28" s="240"/>
      <c r="W28" s="240"/>
      <c r="X28" s="240"/>
      <c r="Y28" s="240"/>
      <c r="Z28" s="240"/>
      <c r="AA28" s="240"/>
      <c r="AB28" s="240"/>
      <c r="AC28" s="240"/>
    </row>
    <row r="29" spans="1:29">
      <c r="A29" s="381"/>
      <c r="B29" s="381"/>
      <c r="C29" s="381"/>
      <c r="D29" s="381"/>
      <c r="E29" s="34"/>
      <c r="F29" s="381"/>
      <c r="G29" s="381"/>
      <c r="H29" s="381"/>
      <c r="I29" s="381"/>
      <c r="J29" s="381"/>
      <c r="K29" s="381"/>
      <c r="L29" s="381"/>
      <c r="M29" s="381"/>
      <c r="N29" s="381"/>
      <c r="O29" s="381"/>
      <c r="P29" s="381"/>
      <c r="Q29" s="381"/>
      <c r="R29" s="378"/>
      <c r="S29" s="337"/>
      <c r="T29" s="337"/>
      <c r="U29" s="337"/>
      <c r="V29" s="240"/>
      <c r="W29" s="240"/>
      <c r="X29" s="240"/>
      <c r="Y29" s="240"/>
      <c r="Z29" s="240"/>
      <c r="AA29" s="240"/>
      <c r="AB29" s="240"/>
      <c r="AC29" s="240"/>
    </row>
    <row r="30" spans="1:29">
      <c r="A30" s="337"/>
      <c r="B30" s="337"/>
      <c r="C30" s="337"/>
      <c r="D30" s="337" t="s">
        <v>43</v>
      </c>
      <c r="E30" s="337"/>
      <c r="F30" s="319"/>
      <c r="G30" s="521">
        <f>Analysis!G25+Analysis!G26</f>
        <v>3.3958607487668875</v>
      </c>
      <c r="H30" s="1399">
        <f>IF(COUNT($G30:G30)&gt;='PTRM input'!$R$7,0,Analysis!H25+Analysis!H26)</f>
        <v>3.4666411044836183</v>
      </c>
      <c r="I30" s="521">
        <f>IF(COUNT($G30:H30)&gt;='PTRM input'!$R$7,0,Analysis!I25+Analysis!I26)</f>
        <v>3.5664289423745474</v>
      </c>
      <c r="J30" s="521">
        <f>IF(COUNT($G30:I30)&gt;='PTRM input'!$R$7,0,Analysis!J25+Analysis!J26)</f>
        <v>3.6590628552310442</v>
      </c>
      <c r="K30" s="521">
        <f>IF(COUNT($G30:J30)&gt;='PTRM input'!$R$7,0,Analysis!K25+Analysis!K26)</f>
        <v>3.6882754600445615</v>
      </c>
      <c r="L30" s="521">
        <f>IF(COUNT($G30:K30)&gt;='PTRM input'!$R$7,0,Analysis!L25+Analysis!L26)</f>
        <v>0</v>
      </c>
      <c r="M30" s="521">
        <f>IF(COUNT($G30:L30)&gt;='PTRM input'!$R$7,0,Analysis!M25+Analysis!M26)</f>
        <v>0</v>
      </c>
      <c r="N30" s="521">
        <f>IF(COUNT($G30:M30)&gt;='PTRM input'!$R$7,0,Analysis!N25+Analysis!N26)</f>
        <v>0</v>
      </c>
      <c r="O30" s="521">
        <f>IF(COUNT($G30:N30)&gt;='PTRM input'!$R$7,0,Analysis!O25+Analysis!O26)</f>
        <v>0</v>
      </c>
      <c r="P30" s="521">
        <f>IF(COUNT($G30:O30)&gt;='PTRM input'!$R$7,0,Analysis!P25+Analysis!P26)</f>
        <v>0</v>
      </c>
      <c r="Q30" s="381"/>
      <c r="R30" s="378"/>
      <c r="S30" s="337"/>
      <c r="T30" s="337"/>
      <c r="U30" s="337"/>
      <c r="V30" s="240"/>
      <c r="W30" s="240"/>
      <c r="X30" s="240"/>
      <c r="Y30" s="240"/>
      <c r="Z30" s="240"/>
      <c r="AA30" s="240"/>
      <c r="AB30" s="240"/>
      <c r="AC30" s="240"/>
    </row>
    <row r="31" spans="1:29">
      <c r="A31" s="337"/>
      <c r="B31" s="337"/>
      <c r="C31" s="337"/>
      <c r="D31" s="337" t="s">
        <v>343</v>
      </c>
      <c r="E31" s="337"/>
      <c r="F31" s="225"/>
      <c r="G31" s="1399">
        <f>Analysis!G28</f>
        <v>1.812706646678228</v>
      </c>
      <c r="H31" s="521">
        <f>IF(COUNT($G31:G31)&gt;='PTRM input'!$R$7,0,Analysis!H28)</f>
        <v>1.9551246910744142</v>
      </c>
      <c r="I31" s="521">
        <f>IF(COUNT($G31:H31)&gt;='PTRM input'!$R$7,0,Analysis!I28)</f>
        <v>2.1101983670762632</v>
      </c>
      <c r="J31" s="521">
        <f>IF(COUNT($G31:I31)&gt;='PTRM input'!$R$7,0,Analysis!J28)</f>
        <v>2.274670476254725</v>
      </c>
      <c r="K31" s="521">
        <f>IF(COUNT($G31:J31)&gt;='PTRM input'!$R$7,0,Analysis!K28)</f>
        <v>2.4424963356561413</v>
      </c>
      <c r="L31" s="521">
        <f>IF(COUNT($G31:K31)&gt;='PTRM input'!$R$7,0,Analysis!L28)</f>
        <v>0</v>
      </c>
      <c r="M31" s="521">
        <f>IF(COUNT($G31:L31)&gt;='PTRM input'!$R$7,0,Analysis!M28)</f>
        <v>0</v>
      </c>
      <c r="N31" s="521">
        <f>IF(COUNT($G31:M31)&gt;='PTRM input'!$R$7,0,Analysis!N28)</f>
        <v>0</v>
      </c>
      <c r="O31" s="521">
        <f>IF(COUNT($G31:N31)&gt;='PTRM input'!$R$7,0,Analysis!O28)</f>
        <v>0</v>
      </c>
      <c r="P31" s="521">
        <f>IF(COUNT($G31:O31)&gt;='PTRM input'!$R$7,0,Analysis!P28)</f>
        <v>0</v>
      </c>
      <c r="Q31" s="381"/>
      <c r="R31" s="378"/>
      <c r="S31" s="337"/>
      <c r="T31" s="337"/>
      <c r="U31" s="337"/>
      <c r="V31" s="240"/>
      <c r="W31" s="240"/>
      <c r="X31" s="240"/>
      <c r="Y31" s="240"/>
      <c r="Z31" s="240"/>
      <c r="AA31" s="240"/>
      <c r="AB31" s="240"/>
      <c r="AC31" s="240"/>
    </row>
    <row r="32" spans="1:29">
      <c r="A32" s="337"/>
      <c r="B32" s="337"/>
      <c r="C32" s="337"/>
      <c r="D32" s="337" t="s">
        <v>300</v>
      </c>
      <c r="E32" s="337"/>
      <c r="F32" s="225"/>
      <c r="G32" s="1399">
        <f>Analysis!G30</f>
        <v>5.5481846193927771</v>
      </c>
      <c r="H32" s="1399">
        <f>IF(COUNT($G32:G32)&gt;='PTRM input'!$R$7,0,Analysis!H30)</f>
        <v>6.0855256345683566</v>
      </c>
      <c r="I32" s="521">
        <f>IF(COUNT($G32:H32)&gt;='PTRM input'!$R$7,0,Analysis!I30)</f>
        <v>6.9042490312056941</v>
      </c>
      <c r="J32" s="521">
        <f>IF(COUNT($G32:I32)&gt;='PTRM input'!$R$7,0,Analysis!J30)</f>
        <v>7.7079127816864537</v>
      </c>
      <c r="K32" s="521">
        <f>IF(COUNT($G32:J32)&gt;='PTRM input'!$R$7,0,Analysis!K30)</f>
        <v>8.0829431956179896</v>
      </c>
      <c r="L32" s="521">
        <f>IF(COUNT($G32:K32)&gt;='PTRM input'!$R$7,0,Analysis!L30)</f>
        <v>0</v>
      </c>
      <c r="M32" s="521">
        <f>IF(COUNT($G32:L32)&gt;='PTRM input'!$R$7,0,Analysis!M30)</f>
        <v>0</v>
      </c>
      <c r="N32" s="521">
        <f>IF(COUNT($G32:M32)&gt;='PTRM input'!$R$7,0,Analysis!N30)</f>
        <v>0</v>
      </c>
      <c r="O32" s="521">
        <f>IF(COUNT($G32:N32)&gt;='PTRM input'!$R$7,0,Analysis!O30)</f>
        <v>0</v>
      </c>
      <c r="P32" s="521">
        <f>IF(COUNT($G32:O32)&gt;='PTRM input'!$R$7,0,Analysis!P30)</f>
        <v>0</v>
      </c>
      <c r="Q32" s="381"/>
      <c r="R32" s="378"/>
      <c r="S32" s="337"/>
      <c r="T32" s="337"/>
      <c r="U32" s="337"/>
      <c r="V32" s="240"/>
      <c r="W32" s="240"/>
      <c r="X32" s="240"/>
      <c r="Y32" s="240"/>
      <c r="Z32" s="240"/>
      <c r="AA32" s="240"/>
      <c r="AB32" s="240"/>
      <c r="AC32" s="240"/>
    </row>
    <row r="33" spans="1:29">
      <c r="A33" s="337"/>
      <c r="B33" s="337"/>
      <c r="C33" s="337"/>
      <c r="D33" s="334" t="s">
        <v>297</v>
      </c>
      <c r="E33" s="334"/>
      <c r="F33" s="506"/>
      <c r="G33" s="522">
        <f>Analysis!G32</f>
        <v>0</v>
      </c>
      <c r="H33" s="522">
        <f>IF(COUNT($G33:G33)&gt;='PTRM input'!$R$7,0,Analysis!H32)</f>
        <v>0</v>
      </c>
      <c r="I33" s="522">
        <f>IF(COUNT($G33:H33)&gt;='PTRM input'!$R$7,0,Analysis!I32)</f>
        <v>0</v>
      </c>
      <c r="J33" s="522">
        <f>IF(COUNT($G33:I33)&gt;='PTRM input'!$R$7,0,Analysis!J32)</f>
        <v>0</v>
      </c>
      <c r="K33" s="522">
        <f>IF(COUNT($G33:J33)&gt;='PTRM input'!$R$7,0,Analysis!K32)</f>
        <v>0</v>
      </c>
      <c r="L33" s="522">
        <f>IF(COUNT($G33:K33)&gt;='PTRM input'!$R$7,0,Analysis!L32)</f>
        <v>0</v>
      </c>
      <c r="M33" s="522">
        <f>IF(COUNT($G33:L33)&gt;='PTRM input'!$R$7,0,Analysis!M32)</f>
        <v>0</v>
      </c>
      <c r="N33" s="522">
        <f>IF(COUNT($G33:M33)&gt;='PTRM input'!$R$7,0,Analysis!N32)</f>
        <v>0</v>
      </c>
      <c r="O33" s="522">
        <f>IF(COUNT($G33:N33)&gt;='PTRM input'!$R$7,0,Analysis!O32)</f>
        <v>0</v>
      </c>
      <c r="P33" s="522">
        <f>IF(COUNT($G33:O33)&gt;='PTRM input'!$R$7,0,Analysis!P32)</f>
        <v>0</v>
      </c>
      <c r="Q33" s="381"/>
      <c r="R33" s="378"/>
      <c r="S33" s="337"/>
      <c r="T33" s="337"/>
      <c r="U33" s="337"/>
      <c r="V33" s="240"/>
      <c r="W33" s="240"/>
      <c r="X33" s="240"/>
      <c r="Y33" s="240"/>
      <c r="Z33" s="240"/>
      <c r="AA33" s="240"/>
      <c r="AB33" s="240"/>
      <c r="AC33" s="240"/>
    </row>
    <row r="34" spans="1:29">
      <c r="A34" s="337"/>
      <c r="B34" s="337"/>
      <c r="C34" s="337"/>
      <c r="D34" s="337" t="s">
        <v>301</v>
      </c>
      <c r="E34" s="337"/>
      <c r="F34" s="225"/>
      <c r="G34" s="1399">
        <f>Analysis!G34+Analysis!G35</f>
        <v>1.8285750141673818</v>
      </c>
      <c r="H34" s="522">
        <f>IF(COUNT($G34:G34)&gt;='PTRM input'!$R$7,0,Analysis!H34+Analysis!H35)</f>
        <v>1.6328701286155609</v>
      </c>
      <c r="I34" s="522">
        <f>IF(COUNT($G34:H34)&gt;='PTRM input'!$R$7,0,Analysis!I34+Analysis!I35)</f>
        <v>1.2840545750119829</v>
      </c>
      <c r="J34" s="522">
        <f>IF(COUNT($G34:I34)&gt;='PTRM input'!$R$7,0,Analysis!J34+Analysis!J35)</f>
        <v>1.4696579420219007</v>
      </c>
      <c r="K34" s="522">
        <f>IF(COUNT($G34:J34)&gt;='PTRM input'!$R$7,0,Analysis!K34+Analysis!K35)</f>
        <v>0.90155308235716691</v>
      </c>
      <c r="L34" s="522">
        <f>IF(COUNT($G34:K34)&gt;='PTRM input'!$R$7,0,Analysis!L34+Analysis!L35)</f>
        <v>0</v>
      </c>
      <c r="M34" s="522">
        <f>IF(COUNT($G34:L34)&gt;='PTRM input'!$R$7,0,Analysis!M34+Analysis!M35)</f>
        <v>0</v>
      </c>
      <c r="N34" s="522">
        <f>IF(COUNT($G34:M34)&gt;='PTRM input'!$R$7,0,Analysis!N34+Analysis!N35)</f>
        <v>0</v>
      </c>
      <c r="O34" s="522">
        <f>IF(COUNT($G34:N34)&gt;='PTRM input'!$R$7,0,Analysis!O34+Analysis!O35)</f>
        <v>0</v>
      </c>
      <c r="P34" s="522">
        <f>IF(COUNT($G34:O34)&gt;='PTRM input'!$R$7,0,Analysis!P34+Analysis!P35)</f>
        <v>0</v>
      </c>
      <c r="Q34" s="381"/>
      <c r="R34" s="378"/>
      <c r="S34" s="337"/>
      <c r="T34" s="337"/>
      <c r="U34" s="337"/>
      <c r="V34" s="240"/>
      <c r="W34" s="240"/>
      <c r="X34" s="240"/>
      <c r="Y34" s="240"/>
      <c r="Z34" s="240"/>
      <c r="AA34" s="240"/>
      <c r="AB34" s="240"/>
      <c r="AC34" s="240"/>
    </row>
    <row r="35" spans="1:29" ht="13.5" thickBot="1">
      <c r="A35" s="337"/>
      <c r="B35" s="337"/>
      <c r="C35" s="337"/>
      <c r="D35" s="337" t="s">
        <v>299</v>
      </c>
      <c r="E35" s="337"/>
      <c r="F35" s="225"/>
      <c r="G35" s="1413">
        <f t="shared" ref="G35:H35" si="2">SUM(G30:G34)</f>
        <v>12.585327029005274</v>
      </c>
      <c r="H35" s="523">
        <f t="shared" si="2"/>
        <v>13.140161558741951</v>
      </c>
      <c r="I35" s="523">
        <f t="shared" ref="I35:P35" si="3">SUM(I30:I34)</f>
        <v>13.864930915668488</v>
      </c>
      <c r="J35" s="523">
        <f t="shared" si="3"/>
        <v>15.111304055194122</v>
      </c>
      <c r="K35" s="523">
        <f t="shared" si="3"/>
        <v>15.115268073675859</v>
      </c>
      <c r="L35" s="523">
        <f t="shared" si="3"/>
        <v>0</v>
      </c>
      <c r="M35" s="523">
        <f t="shared" si="3"/>
        <v>0</v>
      </c>
      <c r="N35" s="523">
        <f t="shared" si="3"/>
        <v>0</v>
      </c>
      <c r="O35" s="523">
        <f t="shared" si="3"/>
        <v>0</v>
      </c>
      <c r="P35" s="523">
        <f t="shared" si="3"/>
        <v>0</v>
      </c>
      <c r="Q35" s="381"/>
      <c r="R35" s="378"/>
      <c r="S35" s="337"/>
      <c r="T35" s="337"/>
      <c r="U35" s="337"/>
      <c r="V35" s="240"/>
      <c r="W35" s="240"/>
      <c r="X35" s="240"/>
      <c r="Y35" s="240"/>
      <c r="Z35" s="240"/>
      <c r="AA35" s="240"/>
      <c r="AB35" s="240"/>
      <c r="AC35" s="240"/>
    </row>
    <row r="36" spans="1:29" ht="13.5" thickTop="1">
      <c r="A36" s="337"/>
      <c r="B36" s="337"/>
      <c r="C36" s="337"/>
      <c r="D36" s="34"/>
      <c r="E36" s="319"/>
      <c r="F36" s="381"/>
      <c r="G36" s="381"/>
      <c r="H36" s="381"/>
      <c r="I36" s="381"/>
      <c r="J36" s="381"/>
      <c r="K36" s="381"/>
      <c r="L36" s="381"/>
      <c r="M36" s="381"/>
      <c r="N36" s="381"/>
      <c r="O36" s="381"/>
      <c r="P36" s="338"/>
      <c r="Q36" s="338"/>
      <c r="R36" s="338"/>
      <c r="S36" s="337"/>
      <c r="T36" s="337"/>
      <c r="U36" s="337"/>
      <c r="V36" s="240"/>
      <c r="W36" s="240"/>
      <c r="X36" s="240"/>
      <c r="Y36" s="240"/>
      <c r="Z36" s="240"/>
      <c r="AA36" s="240"/>
      <c r="AB36" s="240"/>
      <c r="AC36" s="240"/>
    </row>
    <row r="37" spans="1:29" ht="18" customHeight="1">
      <c r="A37" s="120"/>
      <c r="B37" s="479"/>
      <c r="C37" s="479"/>
      <c r="D37" s="380" t="s">
        <v>345</v>
      </c>
      <c r="E37" s="380"/>
      <c r="F37" s="380"/>
      <c r="G37" s="380"/>
      <c r="H37" s="357"/>
      <c r="I37" s="357"/>
      <c r="J37" s="357"/>
      <c r="K37" s="357"/>
      <c r="L37" s="357"/>
      <c r="M37" s="357"/>
      <c r="N37" s="357"/>
      <c r="O37" s="357"/>
      <c r="P37" s="357"/>
      <c r="Q37" s="357"/>
      <c r="R37" s="120"/>
      <c r="S37" s="120"/>
      <c r="T37" s="120"/>
      <c r="U37" s="120"/>
      <c r="V37" s="240"/>
      <c r="W37" s="240"/>
      <c r="X37" s="240"/>
      <c r="Y37" s="240"/>
      <c r="Z37" s="240"/>
      <c r="AA37" s="240"/>
      <c r="AB37" s="240"/>
      <c r="AC37" s="240"/>
    </row>
    <row r="38" spans="1:29">
      <c r="A38" s="337"/>
      <c r="B38" s="337"/>
      <c r="C38" s="337"/>
      <c r="D38" s="338"/>
      <c r="E38" s="338"/>
      <c r="F38" s="387"/>
      <c r="G38" s="338"/>
      <c r="H38" s="338"/>
      <c r="I38" s="338"/>
      <c r="J38" s="338"/>
      <c r="K38" s="338"/>
      <c r="L38" s="338"/>
      <c r="M38" s="338"/>
      <c r="N38" s="338"/>
      <c r="O38" s="338"/>
      <c r="P38" s="338"/>
      <c r="Q38" s="338"/>
      <c r="R38" s="338"/>
      <c r="S38" s="338"/>
      <c r="T38" s="338"/>
      <c r="U38" s="338"/>
      <c r="V38" s="240"/>
      <c r="W38" s="240"/>
      <c r="X38" s="240"/>
      <c r="Y38" s="240"/>
      <c r="Z38" s="240"/>
      <c r="AA38" s="240"/>
      <c r="AB38" s="240"/>
      <c r="AC38" s="240"/>
    </row>
    <row r="39" spans="1:29">
      <c r="A39" s="337"/>
      <c r="B39" s="337"/>
      <c r="C39" s="337"/>
      <c r="D39" s="34" t="s">
        <v>298</v>
      </c>
      <c r="E39" s="337"/>
      <c r="F39" s="1502">
        <f>'Forecast revenues'!F7/1000000</f>
        <v>329.548</v>
      </c>
      <c r="G39" s="1399">
        <f>G35</f>
        <v>12.585327029005274</v>
      </c>
      <c r="H39" s="521">
        <f>IF(COUNT($G39:G39)&gt;='PTRM input'!$R$7,0,H35)</f>
        <v>13.140161558741951</v>
      </c>
      <c r="I39" s="521">
        <f>IF(COUNT($G39:H39)&gt;='PTRM input'!$R$7,0,I35)</f>
        <v>13.864930915668488</v>
      </c>
      <c r="J39" s="521">
        <f>IF(COUNT($G39:I39)&gt;='PTRM input'!$R$7,0,J35)</f>
        <v>15.111304055194122</v>
      </c>
      <c r="K39" s="521">
        <f>IF(COUNT($G39:J39)&gt;='PTRM input'!$R$7,0,K35)</f>
        <v>15.115268073675859</v>
      </c>
      <c r="L39" s="521">
        <f>IF(COUNT($G39:K39)&gt;='PTRM input'!$R$7,0,L35)</f>
        <v>0</v>
      </c>
      <c r="M39" s="521">
        <f>IF(COUNT($G39:L39)&gt;='PTRM input'!$R$7,0,M35)</f>
        <v>0</v>
      </c>
      <c r="N39" s="521">
        <f>IF(COUNT($G39:M39)&gt;='PTRM input'!$R$7,0,N35)</f>
        <v>0</v>
      </c>
      <c r="O39" s="521">
        <f>IF(COUNT($G39:N39)&gt;='PTRM input'!$R$7,0,O35)</f>
        <v>0</v>
      </c>
      <c r="P39" s="521">
        <f>IF(COUNT($G39:O39)&gt;='PTRM input'!$R$7,0,P35)</f>
        <v>0</v>
      </c>
      <c r="Q39" s="338"/>
      <c r="R39" s="227">
        <f>G39/G$8+H39/H$8+I39/I$8+J39/J$8+K39/K$8+L39/L$8+M39/M$8+N39/N$8+O39/O$8+P39/P$8</f>
        <v>52.756256967277999</v>
      </c>
      <c r="S39" s="343" t="s">
        <v>269</v>
      </c>
      <c r="T39" s="333"/>
      <c r="U39" s="333"/>
      <c r="V39" s="240"/>
      <c r="W39" s="240"/>
      <c r="X39" s="240"/>
      <c r="Y39" s="240"/>
      <c r="Z39" s="240"/>
      <c r="AA39" s="240"/>
      <c r="AB39" s="240"/>
      <c r="AC39" s="240"/>
    </row>
    <row r="40" spans="1:29">
      <c r="A40" s="337"/>
      <c r="B40" s="337"/>
      <c r="C40" s="337"/>
      <c r="D40" s="34"/>
      <c r="E40" s="226"/>
      <c r="F40" s="334"/>
      <c r="G40" s="334"/>
      <c r="H40" s="386"/>
      <c r="I40" s="386"/>
      <c r="J40" s="386"/>
      <c r="K40" s="386"/>
      <c r="L40" s="338"/>
      <c r="M40" s="338"/>
      <c r="N40" s="338"/>
      <c r="O40" s="338"/>
      <c r="P40" s="338"/>
      <c r="Q40" s="338"/>
      <c r="R40" s="338"/>
      <c r="S40" s="338"/>
      <c r="T40" s="338"/>
      <c r="U40" s="338"/>
      <c r="V40" s="240"/>
      <c r="W40" s="240"/>
      <c r="X40" s="240"/>
      <c r="Y40" s="240"/>
      <c r="Z40" s="240"/>
      <c r="AA40" s="240"/>
      <c r="AB40" s="240"/>
      <c r="AC40" s="240"/>
    </row>
    <row r="41" spans="1:29" s="4" customFormat="1">
      <c r="A41" s="337"/>
      <c r="B41" s="337"/>
      <c r="C41" s="337"/>
      <c r="D41" s="34"/>
      <c r="E41" s="226"/>
      <c r="F41" s="330"/>
      <c r="G41" s="332">
        <f>G44-G39</f>
        <v>343.40987442885677</v>
      </c>
      <c r="H41" s="336" t="s">
        <v>268</v>
      </c>
      <c r="I41" s="228"/>
      <c r="J41" s="228"/>
      <c r="K41" s="228"/>
      <c r="L41" s="339"/>
      <c r="M41" s="339"/>
      <c r="N41" s="339"/>
      <c r="O41" s="339"/>
      <c r="P41" s="339"/>
      <c r="Q41" s="339"/>
      <c r="R41" s="339">
        <f ca="1">OFFSET(F44,0,'PTRM input'!$R$7,1,1)- OFFSET(F39,0,'PTRM input'!$R$7,1,1)</f>
        <v>372.85525592376115</v>
      </c>
      <c r="S41" s="342" t="s">
        <v>273</v>
      </c>
      <c r="T41" s="338"/>
      <c r="U41" s="338"/>
      <c r="V41" s="240"/>
      <c r="W41" s="240"/>
      <c r="X41" s="240"/>
      <c r="Y41" s="240"/>
      <c r="Z41" s="240"/>
      <c r="AA41" s="240"/>
      <c r="AB41" s="240"/>
      <c r="AC41" s="240"/>
    </row>
    <row r="42" spans="1:29" s="4" customFormat="1">
      <c r="A42" s="334"/>
      <c r="B42" s="334"/>
      <c r="C42" s="334"/>
      <c r="D42" s="328"/>
      <c r="E42" s="329"/>
      <c r="F42" s="330"/>
      <c r="G42" s="340">
        <f>G44/G39-1</f>
        <v>27.286527687155331</v>
      </c>
      <c r="H42" s="335" t="s">
        <v>270</v>
      </c>
      <c r="I42" s="331"/>
      <c r="J42" s="331"/>
      <c r="K42" s="331"/>
      <c r="L42" s="277"/>
      <c r="M42" s="277"/>
      <c r="N42" s="277"/>
      <c r="O42" s="277"/>
      <c r="P42" s="277"/>
      <c r="Q42" s="277"/>
      <c r="R42" s="340">
        <f ca="1">OFFSET(F44,0,'PTRM input'!$R$7,1,1)/OFFSET(F39,0,'PTRM input'!$R$7,1,1)-1</f>
        <v>24.667459029265306</v>
      </c>
      <c r="S42" s="341" t="s">
        <v>274</v>
      </c>
      <c r="T42" s="385"/>
      <c r="U42" s="385"/>
      <c r="V42" s="240"/>
      <c r="W42" s="240"/>
      <c r="X42" s="240"/>
      <c r="Y42" s="240"/>
      <c r="Z42" s="240"/>
      <c r="AA42" s="240"/>
      <c r="AB42" s="240"/>
      <c r="AC42" s="240"/>
    </row>
    <row r="43" spans="1:29" s="4" customFormat="1">
      <c r="A43" s="337"/>
      <c r="B43" s="337"/>
      <c r="C43" s="337"/>
      <c r="D43" s="337"/>
      <c r="E43" s="337"/>
      <c r="F43" s="319"/>
      <c r="G43" s="386"/>
      <c r="H43" s="386"/>
      <c r="I43" s="386"/>
      <c r="J43" s="386"/>
      <c r="K43" s="386"/>
      <c r="L43" s="338"/>
      <c r="M43" s="338"/>
      <c r="N43" s="338"/>
      <c r="O43" s="338"/>
      <c r="P43" s="338"/>
      <c r="Q43" s="338"/>
      <c r="R43" s="387"/>
      <c r="S43" s="319"/>
      <c r="T43" s="334"/>
      <c r="U43" s="334"/>
      <c r="V43" s="240"/>
      <c r="W43" s="240"/>
      <c r="X43" s="240"/>
      <c r="Y43" s="240"/>
      <c r="Z43" s="240"/>
      <c r="AA43" s="240"/>
      <c r="AB43" s="240"/>
      <c r="AC43" s="240"/>
    </row>
    <row r="44" spans="1:29" s="4" customFormat="1">
      <c r="A44" s="337"/>
      <c r="B44" s="337"/>
      <c r="C44" s="337"/>
      <c r="D44" s="34" t="s">
        <v>324</v>
      </c>
      <c r="E44" s="337"/>
      <c r="F44" s="1510">
        <f>'Forecast revenues'!F7/1000000</f>
        <v>329.548</v>
      </c>
      <c r="G44" s="525">
        <f>'Forecast revenues'!G7/1000000</f>
        <v>355.99520145786204</v>
      </c>
      <c r="H44" s="525">
        <f>IF(COUNT($G44:G44)&gt;='PTRM input'!$R$7,0,'Forecast revenues'!H7/1000000)</f>
        <v>358.67916369407845</v>
      </c>
      <c r="I44" s="525">
        <f>IF(COUNT($G44:H44)&gt;='PTRM input'!$R$7,0,'Forecast revenues'!I7/1000000)</f>
        <v>368.14543207549701</v>
      </c>
      <c r="J44" s="525">
        <f>IF(COUNT($G44:I44)&gt;='PTRM input'!$R$7,0,'Forecast revenues'!J7/1000000)</f>
        <v>377.90599019496472</v>
      </c>
      <c r="K44" s="525">
        <f>IF(COUNT($G44:J44)&gt;='PTRM input'!$R$7,0,'Forecast revenues'!K7/1000000)</f>
        <v>387.970523997437</v>
      </c>
      <c r="L44" s="525">
        <f>IF(COUNT($G44:K44)&gt;='PTRM input'!$R$7,0,'Forecast revenues'!L7/1000000)</f>
        <v>0</v>
      </c>
      <c r="M44" s="525">
        <f>IF(COUNT($G44:L44)&gt;='PTRM input'!$R$7,0,'Forecast revenues'!M7/1000000)</f>
        <v>0</v>
      </c>
      <c r="N44" s="525">
        <f>IF(COUNT($G44:M44)&gt;='PTRM input'!$R$7,0,'Forecast revenues'!N7/1000000)</f>
        <v>0</v>
      </c>
      <c r="O44" s="525">
        <f>IF(COUNT($G44:N44)&gt;='PTRM input'!$R$7,0,'Forecast revenues'!O7/1000000)</f>
        <v>0</v>
      </c>
      <c r="P44" s="525">
        <f>IF(COUNT($G44:O44)&gt;='PTRM input'!$R$7,0,'Forecast revenues'!P7/1000000)</f>
        <v>0</v>
      </c>
      <c r="Q44" s="338"/>
      <c r="R44" s="227">
        <f>G44/G$8+H44/H$8+I44/I$8+J44/J$8+K44/K$8+L44/L$8+M44/M$8+N44/N$8+O44/O$8+P44/P$8</f>
        <v>1404.3290993044013</v>
      </c>
      <c r="S44" s="34" t="s">
        <v>271</v>
      </c>
      <c r="T44" s="337"/>
      <c r="U44" s="337"/>
      <c r="V44" s="240"/>
      <c r="W44" s="240"/>
      <c r="X44" s="240"/>
      <c r="Y44" s="240"/>
      <c r="Z44" s="240"/>
      <c r="AA44" s="240"/>
      <c r="AB44" s="240"/>
      <c r="AC44" s="240"/>
    </row>
    <row r="45" spans="1:29" s="4" customFormat="1">
      <c r="A45" s="337"/>
      <c r="B45" s="337"/>
      <c r="C45" s="337"/>
      <c r="D45" s="34"/>
      <c r="E45" s="329"/>
      <c r="F45" s="334"/>
      <c r="G45" s="334"/>
      <c r="H45" s="229"/>
      <c r="I45" s="229"/>
      <c r="J45" s="229"/>
      <c r="K45" s="229"/>
      <c r="L45" s="338"/>
      <c r="M45" s="338"/>
      <c r="N45" s="338"/>
      <c r="O45" s="338"/>
      <c r="P45" s="338"/>
      <c r="Q45" s="338"/>
      <c r="R45" s="338"/>
      <c r="S45" s="337"/>
      <c r="T45" s="337"/>
      <c r="U45" s="337"/>
      <c r="V45" s="240"/>
      <c r="W45" s="240"/>
      <c r="X45" s="240"/>
      <c r="Y45" s="240"/>
      <c r="Z45" s="240"/>
      <c r="AA45" s="240"/>
      <c r="AB45" s="240"/>
      <c r="AC45" s="240"/>
    </row>
    <row r="46" spans="1:29" s="4" customFormat="1">
      <c r="A46" s="337"/>
      <c r="B46" s="337"/>
      <c r="C46" s="337"/>
      <c r="D46" s="27" t="s">
        <v>311</v>
      </c>
      <c r="E46" s="378"/>
      <c r="F46" s="378"/>
      <c r="G46" s="230" t="s">
        <v>175</v>
      </c>
      <c r="H46" s="276" t="s">
        <v>225</v>
      </c>
      <c r="I46" s="276" t="s">
        <v>226</v>
      </c>
      <c r="J46" s="276" t="s">
        <v>227</v>
      </c>
      <c r="K46" s="276" t="s">
        <v>228</v>
      </c>
      <c r="L46" s="276" t="s">
        <v>229</v>
      </c>
      <c r="M46" s="276" t="s">
        <v>230</v>
      </c>
      <c r="N46" s="276" t="s">
        <v>231</v>
      </c>
      <c r="O46" s="276" t="s">
        <v>232</v>
      </c>
      <c r="P46" s="276" t="s">
        <v>233</v>
      </c>
      <c r="Q46" s="338"/>
      <c r="R46" s="378"/>
      <c r="S46" s="337"/>
      <c r="T46" s="337"/>
      <c r="U46" s="337"/>
      <c r="V46" s="240"/>
      <c r="W46" s="240"/>
      <c r="X46" s="240"/>
      <c r="Y46" s="240"/>
      <c r="Z46" s="240"/>
      <c r="AA46" s="240"/>
      <c r="AB46" s="240"/>
      <c r="AC46" s="240"/>
    </row>
    <row r="47" spans="1:29" s="4" customFormat="1">
      <c r="A47" s="337"/>
      <c r="B47" s="337"/>
      <c r="C47" s="337"/>
      <c r="D47" s="346" t="s">
        <v>176</v>
      </c>
      <c r="E47" s="378"/>
      <c r="F47" s="378"/>
      <c r="G47" s="449">
        <v>-4.0657682483409396E-2</v>
      </c>
      <c r="H47" s="388">
        <v>2.950707839041819E-2</v>
      </c>
      <c r="I47" s="388">
        <v>1.1464992261521624E-2</v>
      </c>
      <c r="J47" s="388">
        <v>1.1464992261521624E-2</v>
      </c>
      <c r="K47" s="388">
        <v>1.1464992261521624E-2</v>
      </c>
      <c r="L47" s="388">
        <v>1.1464992261521624E-2</v>
      </c>
      <c r="M47" s="388">
        <v>1.1464992261521624E-2</v>
      </c>
      <c r="N47" s="388">
        <v>1.1464992261521624E-2</v>
      </c>
      <c r="O47" s="388">
        <v>1.1464992261521624E-2</v>
      </c>
      <c r="P47" s="388">
        <v>1.1464992261521624E-2</v>
      </c>
      <c r="Q47" s="338"/>
      <c r="R47" s="227">
        <f>(R39-R44)</f>
        <v>-1351.5728423371233</v>
      </c>
      <c r="S47" s="34" t="s">
        <v>272</v>
      </c>
      <c r="T47" s="337"/>
      <c r="U47" s="337"/>
      <c r="V47" s="240"/>
      <c r="W47" s="240"/>
      <c r="X47" s="240"/>
      <c r="Y47" s="240"/>
      <c r="Z47" s="240"/>
      <c r="AA47" s="240"/>
      <c r="AB47" s="240"/>
      <c r="AC47" s="240"/>
    </row>
    <row r="48" spans="1:29" s="4" customFormat="1">
      <c r="A48" s="337"/>
      <c r="B48" s="337"/>
      <c r="C48" s="337"/>
      <c r="D48" s="389"/>
      <c r="E48" s="378"/>
      <c r="F48" s="378"/>
      <c r="G48" s="378"/>
      <c r="H48" s="378"/>
      <c r="I48" s="378"/>
      <c r="J48" s="338"/>
      <c r="K48" s="378"/>
      <c r="L48" s="378"/>
      <c r="M48" s="338"/>
      <c r="N48" s="378"/>
      <c r="O48" s="378"/>
      <c r="P48" s="378"/>
      <c r="Q48" s="378"/>
      <c r="R48" s="378"/>
      <c r="S48" s="337"/>
      <c r="T48" s="337"/>
      <c r="U48" s="337"/>
      <c r="V48" s="240"/>
      <c r="W48" s="240"/>
      <c r="X48" s="240"/>
      <c r="Y48" s="240"/>
      <c r="Z48" s="240"/>
      <c r="AA48" s="240"/>
      <c r="AB48" s="240"/>
      <c r="AC48" s="240"/>
    </row>
    <row r="49" spans="1:29" s="4" customFormat="1">
      <c r="A49" s="337"/>
      <c r="B49" s="337"/>
      <c r="C49" s="337"/>
      <c r="D49" s="389"/>
      <c r="E49" s="378"/>
      <c r="F49" s="378"/>
      <c r="G49" s="378"/>
      <c r="H49" s="338"/>
      <c r="I49" s="338"/>
      <c r="J49" s="338"/>
      <c r="K49" s="338"/>
      <c r="L49" s="338"/>
      <c r="M49" s="338"/>
      <c r="N49" s="338"/>
      <c r="O49" s="338"/>
      <c r="P49" s="338"/>
      <c r="Q49" s="338"/>
      <c r="R49" s="378"/>
      <c r="S49" s="337"/>
      <c r="T49" s="337"/>
      <c r="U49" s="337"/>
      <c r="V49" s="240"/>
      <c r="W49" s="240"/>
      <c r="X49" s="240"/>
      <c r="Y49" s="240"/>
      <c r="Z49" s="240"/>
      <c r="AA49" s="240"/>
      <c r="AB49" s="240"/>
      <c r="AC49" s="240"/>
    </row>
    <row r="50" spans="1:29" s="4" customFormat="1">
      <c r="A50" s="337"/>
      <c r="B50" s="337"/>
      <c r="C50" s="337"/>
      <c r="D50" s="390"/>
      <c r="E50" s="226"/>
      <c r="F50" s="319"/>
      <c r="G50" s="391"/>
      <c r="H50" s="338"/>
      <c r="I50" s="338"/>
      <c r="J50" s="338"/>
      <c r="K50" s="338"/>
      <c r="L50" s="338"/>
      <c r="M50" s="338"/>
      <c r="N50" s="338"/>
      <c r="O50" s="338"/>
      <c r="P50" s="338"/>
      <c r="Q50" s="338"/>
      <c r="R50" s="378"/>
      <c r="S50" s="337"/>
      <c r="T50" s="337"/>
      <c r="U50" s="337"/>
      <c r="V50" s="240"/>
      <c r="W50" s="240"/>
      <c r="X50" s="240"/>
      <c r="Y50" s="240"/>
      <c r="Z50" s="240"/>
      <c r="AA50" s="240"/>
      <c r="AB50" s="240"/>
      <c r="AC50" s="240"/>
    </row>
    <row r="51" spans="1:29" s="4" customFormat="1">
      <c r="A51" s="34"/>
      <c r="B51" s="34"/>
      <c r="C51" s="34"/>
      <c r="D51" s="392"/>
      <c r="E51" s="337"/>
      <c r="F51" s="403" t="str">
        <f>IF($F$21=$G$4,"","Caution - do not use default smoothing within the period")</f>
        <v/>
      </c>
      <c r="G51" s="404"/>
      <c r="H51" s="405" t="str">
        <f t="shared" ref="H51:P51" si="4">IF($F$21=H$4,"Use to smooth","")</f>
        <v/>
      </c>
      <c r="I51" s="405" t="str">
        <f t="shared" si="4"/>
        <v/>
      </c>
      <c r="J51" s="405" t="str">
        <f t="shared" si="4"/>
        <v/>
      </c>
      <c r="K51" s="405" t="str">
        <f t="shared" si="4"/>
        <v/>
      </c>
      <c r="L51" s="405" t="str">
        <f t="shared" si="4"/>
        <v/>
      </c>
      <c r="M51" s="405" t="str">
        <f t="shared" si="4"/>
        <v/>
      </c>
      <c r="N51" s="405" t="str">
        <f t="shared" si="4"/>
        <v/>
      </c>
      <c r="O51" s="405" t="str">
        <f t="shared" si="4"/>
        <v/>
      </c>
      <c r="P51" s="405" t="str">
        <f t="shared" si="4"/>
        <v/>
      </c>
      <c r="Q51" s="406"/>
      <c r="R51" s="34"/>
      <c r="S51" s="34"/>
      <c r="T51" s="34"/>
      <c r="U51" s="34"/>
      <c r="V51" s="240"/>
      <c r="W51" s="240"/>
      <c r="X51" s="240"/>
      <c r="Y51" s="240"/>
      <c r="Z51" s="240"/>
      <c r="AA51" s="240"/>
      <c r="AB51" s="240"/>
      <c r="AC51" s="240"/>
    </row>
    <row r="52" spans="1:29" s="4" customFormat="1" ht="12.75" customHeight="1">
      <c r="A52" s="34"/>
      <c r="B52" s="34"/>
      <c r="C52" s="34"/>
      <c r="D52" s="392"/>
      <c r="E52" s="337"/>
      <c r="F52" s="205"/>
      <c r="G52" s="205"/>
      <c r="H52" s="280"/>
      <c r="I52" s="280"/>
      <c r="J52" s="280"/>
      <c r="K52" s="280"/>
      <c r="L52" s="280"/>
      <c r="M52" s="280"/>
      <c r="N52" s="280"/>
      <c r="O52" s="280"/>
      <c r="P52" s="280"/>
      <c r="Q52" s="394"/>
      <c r="R52" s="34"/>
      <c r="S52" s="34"/>
      <c r="T52" s="34"/>
      <c r="U52" s="34"/>
      <c r="V52" s="240"/>
      <c r="W52" s="240"/>
      <c r="X52" s="240"/>
      <c r="Y52" s="240"/>
      <c r="Z52" s="240"/>
      <c r="AA52" s="240"/>
      <c r="AB52" s="240"/>
      <c r="AC52" s="240"/>
    </row>
    <row r="53" spans="1:29" ht="18" customHeight="1">
      <c r="A53" s="120"/>
      <c r="B53" s="479"/>
      <c r="C53" s="479"/>
      <c r="D53" s="380" t="s">
        <v>346</v>
      </c>
      <c r="E53" s="380"/>
      <c r="F53" s="380"/>
      <c r="G53" s="380"/>
      <c r="H53" s="357"/>
      <c r="I53" s="357"/>
      <c r="J53" s="357"/>
      <c r="K53" s="357"/>
      <c r="L53" s="357"/>
      <c r="M53" s="357"/>
      <c r="N53" s="357"/>
      <c r="O53" s="357"/>
      <c r="P53" s="357"/>
      <c r="Q53" s="357"/>
      <c r="R53" s="120"/>
      <c r="S53" s="120"/>
      <c r="T53" s="120"/>
      <c r="U53" s="120"/>
      <c r="V53" s="240"/>
      <c r="W53" s="240"/>
      <c r="X53" s="240"/>
      <c r="Y53" s="240"/>
      <c r="Z53" s="240"/>
      <c r="AA53" s="240"/>
      <c r="AB53" s="240"/>
      <c r="AC53" s="240"/>
    </row>
    <row r="54" spans="1:29">
      <c r="A54" s="337"/>
      <c r="B54" s="337"/>
      <c r="C54" s="337"/>
      <c r="D54" s="392"/>
      <c r="E54" s="337"/>
      <c r="F54" s="337"/>
      <c r="G54" s="337"/>
      <c r="H54" s="337"/>
      <c r="I54" s="337"/>
      <c r="J54" s="337"/>
      <c r="K54" s="337"/>
      <c r="L54" s="337"/>
      <c r="M54" s="337"/>
      <c r="N54" s="337"/>
      <c r="O54" s="337"/>
      <c r="P54" s="337"/>
      <c r="Q54" s="337"/>
      <c r="R54" s="337"/>
      <c r="S54" s="337"/>
      <c r="T54" s="337"/>
      <c r="U54" s="337"/>
      <c r="V54" s="240"/>
      <c r="W54" s="240"/>
      <c r="X54" s="240"/>
      <c r="Y54" s="240"/>
      <c r="Z54" s="240"/>
      <c r="AA54" s="240"/>
      <c r="AB54" s="240"/>
      <c r="AC54" s="240"/>
    </row>
    <row r="55" spans="1:29">
      <c r="A55" s="337"/>
      <c r="B55" s="337"/>
      <c r="C55" s="337"/>
      <c r="D55" s="347" t="s">
        <v>298</v>
      </c>
      <c r="E55" s="337"/>
      <c r="F55" s="526">
        <f>'PTRM input'!G237</f>
        <v>10</v>
      </c>
      <c r="G55" s="527">
        <f>G35</f>
        <v>12.585327029005274</v>
      </c>
      <c r="H55" s="527">
        <f>IF(COUNT($G55:G55)&gt;='PTRM input'!$R$7,0,H35)</f>
        <v>13.140161558741951</v>
      </c>
      <c r="I55" s="527">
        <f>IF(COUNT($G55:H55)&gt;='PTRM input'!$R$7,0,I35)</f>
        <v>13.864930915668488</v>
      </c>
      <c r="J55" s="527">
        <f>IF(COUNT($G55:I55)&gt;='PTRM input'!$R$7,0,J35)</f>
        <v>15.111304055194122</v>
      </c>
      <c r="K55" s="527">
        <f>IF(COUNT($G55:J55)&gt;='PTRM input'!$R$7,0,K35)</f>
        <v>15.115268073675859</v>
      </c>
      <c r="L55" s="527">
        <f>IF(COUNT($G55:K55)&gt;='PTRM input'!$R$7,0,L35)</f>
        <v>0</v>
      </c>
      <c r="M55" s="527">
        <f>IF(COUNT($G55:L55)&gt;='PTRM input'!$R$7,0,M35)</f>
        <v>0</v>
      </c>
      <c r="N55" s="527">
        <f>IF(COUNT($G55:M55)&gt;='PTRM input'!$R$7,0,N35)</f>
        <v>0</v>
      </c>
      <c r="O55" s="527">
        <f>IF(COUNT($G55:N55)&gt;='PTRM input'!$R$7,0,O35)</f>
        <v>0</v>
      </c>
      <c r="P55" s="527">
        <f>IF(COUNT($G55:O55)&gt;='PTRM input'!$R$7,0,P35)</f>
        <v>0</v>
      </c>
      <c r="Q55" s="337"/>
      <c r="R55" s="227">
        <f>G55/G$8+H55/H$8+I55/I$8+J55/J$8+K55/K$8+L55/L$8+M55/M$8+N55/N$8+O55/O$8+P55/P$8</f>
        <v>52.756256967277999</v>
      </c>
      <c r="S55" s="343" t="s">
        <v>269</v>
      </c>
      <c r="T55" s="337"/>
      <c r="U55" s="337"/>
      <c r="V55" s="240"/>
      <c r="W55" s="240"/>
      <c r="X55" s="240"/>
      <c r="Y55" s="240"/>
      <c r="Z55" s="240"/>
      <c r="AA55" s="240"/>
      <c r="AB55" s="240"/>
      <c r="AC55" s="240"/>
    </row>
    <row r="56" spans="1:29">
      <c r="A56" s="337"/>
      <c r="B56" s="337"/>
      <c r="C56" s="337"/>
      <c r="D56" s="347"/>
      <c r="E56" s="226"/>
      <c r="F56" s="334"/>
      <c r="G56" s="334"/>
      <c r="H56" s="337"/>
      <c r="I56" s="337"/>
      <c r="J56" s="337"/>
      <c r="K56" s="337"/>
      <c r="L56" s="337"/>
      <c r="M56" s="337"/>
      <c r="N56" s="337"/>
      <c r="O56" s="337"/>
      <c r="P56" s="337"/>
      <c r="Q56" s="337"/>
      <c r="R56" s="337"/>
      <c r="S56" s="337"/>
      <c r="T56" s="337"/>
      <c r="U56" s="337"/>
      <c r="V56" s="240"/>
      <c r="W56" s="240"/>
      <c r="X56" s="240"/>
      <c r="Y56" s="240"/>
      <c r="Z56" s="240"/>
      <c r="AA56" s="240"/>
      <c r="AB56" s="240"/>
      <c r="AC56" s="240"/>
    </row>
    <row r="57" spans="1:29">
      <c r="A57" s="337"/>
      <c r="B57" s="337"/>
      <c r="C57" s="337"/>
      <c r="D57" s="347"/>
      <c r="E57" s="226"/>
      <c r="F57" s="334"/>
      <c r="G57" s="332">
        <f>G60-G55</f>
        <v>-7.2467506111393805</v>
      </c>
      <c r="H57" s="336" t="s">
        <v>268</v>
      </c>
      <c r="I57" s="337"/>
      <c r="J57" s="337"/>
      <c r="K57" s="337"/>
      <c r="L57" s="337"/>
      <c r="M57" s="337"/>
      <c r="N57" s="337"/>
      <c r="O57" s="337"/>
      <c r="P57" s="337"/>
      <c r="Q57" s="337"/>
      <c r="R57" s="339">
        <f ca="1">OFFSET(F60,0,'PTRM input'!$R$7,1,1)- OFFSET(F55,0,'PTRM input'!$R$7,1,1)</f>
        <v>-13.049272631313556</v>
      </c>
      <c r="S57" s="342" t="s">
        <v>273</v>
      </c>
      <c r="T57" s="337"/>
      <c r="U57" s="337"/>
      <c r="V57" s="240"/>
      <c r="W57" s="240"/>
      <c r="X57" s="240"/>
      <c r="Y57" s="240"/>
      <c r="Z57" s="240"/>
      <c r="AA57" s="240"/>
      <c r="AB57" s="240"/>
      <c r="AC57" s="240"/>
    </row>
    <row r="58" spans="1:29">
      <c r="A58" s="337"/>
      <c r="B58" s="337"/>
      <c r="C58" s="337"/>
      <c r="D58" s="347"/>
      <c r="E58" s="226"/>
      <c r="F58" s="319"/>
      <c r="G58" s="340">
        <f>G60/G55-1</f>
        <v>-0.57580947991560882</v>
      </c>
      <c r="H58" s="335" t="s">
        <v>270</v>
      </c>
      <c r="I58" s="337"/>
      <c r="J58" s="337"/>
      <c r="K58" s="337"/>
      <c r="L58" s="337"/>
      <c r="M58" s="337"/>
      <c r="N58" s="337"/>
      <c r="O58" s="337"/>
      <c r="P58" s="337"/>
      <c r="Q58" s="337"/>
      <c r="R58" s="340">
        <f ca="1">OFFSET(F60,0,'PTRM input'!$R$7,1,1)/OFFSET(F55,0,'PTRM input'!$R$7,1,1)-1</f>
        <v>-0.86331731383842558</v>
      </c>
      <c r="S58" s="341" t="s">
        <v>274</v>
      </c>
      <c r="T58" s="337"/>
      <c r="U58" s="337"/>
      <c r="V58" s="240"/>
      <c r="W58" s="240"/>
      <c r="X58" s="240"/>
      <c r="Y58" s="240"/>
      <c r="Z58" s="240"/>
      <c r="AA58" s="240"/>
      <c r="AB58" s="240"/>
      <c r="AC58" s="240"/>
    </row>
    <row r="59" spans="1:29">
      <c r="A59" s="337"/>
      <c r="B59" s="337"/>
      <c r="C59" s="337"/>
      <c r="D59" s="392"/>
      <c r="E59" s="337"/>
      <c r="F59" s="337"/>
      <c r="G59" s="337"/>
      <c r="H59" s="337"/>
      <c r="I59" s="337"/>
      <c r="J59" s="337"/>
      <c r="K59" s="337"/>
      <c r="L59" s="337"/>
      <c r="M59" s="337"/>
      <c r="N59" s="337"/>
      <c r="O59" s="337"/>
      <c r="P59" s="337"/>
      <c r="Q59" s="337"/>
      <c r="R59" s="337"/>
      <c r="S59" s="337"/>
      <c r="T59" s="337"/>
      <c r="U59" s="337"/>
      <c r="V59" s="240"/>
      <c r="W59" s="240"/>
      <c r="X59" s="240"/>
      <c r="Y59" s="240"/>
      <c r="Z59" s="240"/>
      <c r="AA59" s="240"/>
      <c r="AB59" s="240"/>
      <c r="AC59" s="240"/>
    </row>
    <row r="60" spans="1:29">
      <c r="A60" s="337"/>
      <c r="B60" s="337"/>
      <c r="C60" s="337"/>
      <c r="D60" s="347" t="str">
        <f>D44</f>
        <v>Smoothed - Expected Revenue</v>
      </c>
      <c r="E60" s="337"/>
      <c r="F60" s="524">
        <f>'PTRM input'!G237</f>
        <v>10</v>
      </c>
      <c r="G60" s="1456">
        <f>F60*(1-G63)*(1+G$10)</f>
        <v>5.3385764178658937</v>
      </c>
      <c r="H60" s="528">
        <f>IF(COUNT($G60:G60)&gt;='PTRM input'!$R$7,0,G60*(1-H63)*(1+H$10))</f>
        <v>4.2106722443123941</v>
      </c>
      <c r="I60" s="528">
        <f>IF(COUNT($G60:H60)&gt;='PTRM input'!$R$7,0,H60*(1-I63)*(1+I$10))</f>
        <v>3.3210652730733563</v>
      </c>
      <c r="J60" s="528">
        <f>IF(COUNT($G60:I60)&gt;='PTRM input'!$R$7,0,I60*(1-J63)*(1+J$10))</f>
        <v>2.619409421598172</v>
      </c>
      <c r="K60" s="528">
        <f>IF(COUNT($G60:J60)&gt;='PTRM input'!$R$7,0,J60*(1-K63)*(1+K$10))</f>
        <v>2.0659954423623028</v>
      </c>
      <c r="L60" s="528">
        <f>IF(COUNT($G60:K60)&gt;='PTRM input'!$R$7,0,K60*(1-L63)*(1+L$10))</f>
        <v>0</v>
      </c>
      <c r="M60" s="528">
        <f>IF(COUNT($G60:L60)&gt;='PTRM input'!$R$7,0,L60*(1-M63)*(1+M$10))</f>
        <v>0</v>
      </c>
      <c r="N60" s="528">
        <f>IF(COUNT($G60:M60)&gt;='PTRM input'!$R$7,0,M60*(1-N63)*(1+N$10))</f>
        <v>0</v>
      </c>
      <c r="O60" s="528">
        <f>IF(COUNT($G60:N60)&gt;='PTRM input'!$R$7,0,N60*(1-O63)*(1+O$10))</f>
        <v>0</v>
      </c>
      <c r="P60" s="528">
        <f>IF(COUNT($G60:O60)&gt;='PTRM input'!$R$7,0,O60*(1-P63)*(1+P$10))</f>
        <v>0</v>
      </c>
      <c r="Q60" s="337"/>
      <c r="R60" s="227">
        <f>G60/G$8+H60/H$8+I60/I$8+J60/J$8+K60/K$8+L60/L$8+M60/M$8+N60/N$8+O60/O$8+P60/P$8</f>
        <v>13.971657055584227</v>
      </c>
      <c r="S60" s="34" t="s">
        <v>271</v>
      </c>
      <c r="T60" s="337"/>
      <c r="U60" s="337"/>
      <c r="V60" s="240"/>
      <c r="W60" s="240"/>
      <c r="X60" s="240"/>
      <c r="Y60" s="240"/>
      <c r="Z60" s="240"/>
      <c r="AA60" s="240"/>
      <c r="AB60" s="240"/>
      <c r="AC60" s="240"/>
    </row>
    <row r="61" spans="1:29">
      <c r="A61" s="337"/>
      <c r="B61" s="337"/>
      <c r="C61" s="337"/>
      <c r="D61" s="390"/>
      <c r="E61" s="226"/>
      <c r="F61" s="319"/>
      <c r="G61" s="337"/>
      <c r="H61" s="337"/>
      <c r="I61" s="337"/>
      <c r="J61" s="337"/>
      <c r="K61" s="337"/>
      <c r="L61" s="337"/>
      <c r="M61" s="337"/>
      <c r="N61" s="337"/>
      <c r="O61" s="337"/>
      <c r="P61" s="337"/>
      <c r="Q61" s="337"/>
      <c r="R61" s="337"/>
      <c r="S61" s="337"/>
      <c r="T61" s="337"/>
      <c r="U61" s="337"/>
      <c r="V61" s="240"/>
      <c r="W61" s="240"/>
      <c r="X61" s="240"/>
      <c r="Y61" s="240"/>
      <c r="Z61" s="240"/>
      <c r="AA61" s="240"/>
      <c r="AB61" s="240"/>
      <c r="AC61" s="240"/>
    </row>
    <row r="62" spans="1:29">
      <c r="A62" s="337"/>
      <c r="B62" s="337"/>
      <c r="C62" s="337"/>
      <c r="D62" s="347" t="s">
        <v>311</v>
      </c>
      <c r="E62" s="337"/>
      <c r="F62" s="337"/>
      <c r="G62" s="230" t="s">
        <v>175</v>
      </c>
      <c r="H62" s="276" t="s">
        <v>225</v>
      </c>
      <c r="I62" s="276" t="s">
        <v>226</v>
      </c>
      <c r="J62" s="276" t="s">
        <v>227</v>
      </c>
      <c r="K62" s="276" t="s">
        <v>228</v>
      </c>
      <c r="L62" s="276" t="s">
        <v>229</v>
      </c>
      <c r="M62" s="276" t="s">
        <v>230</v>
      </c>
      <c r="N62" s="276" t="s">
        <v>231</v>
      </c>
      <c r="O62" s="276" t="s">
        <v>232</v>
      </c>
      <c r="P62" s="276" t="s">
        <v>233</v>
      </c>
      <c r="Q62" s="337"/>
      <c r="R62" s="337"/>
      <c r="S62" s="337"/>
      <c r="T62" s="337"/>
      <c r="U62" s="337"/>
      <c r="V62" s="240"/>
      <c r="W62" s="240"/>
      <c r="X62" s="240"/>
      <c r="Y62" s="240"/>
      <c r="Z62" s="240"/>
      <c r="AA62" s="240"/>
      <c r="AB62" s="240"/>
      <c r="AC62" s="240"/>
    </row>
    <row r="63" spans="1:29">
      <c r="A63" s="337"/>
      <c r="B63" s="337"/>
      <c r="C63" s="337"/>
      <c r="D63" s="346" t="s">
        <v>176</v>
      </c>
      <c r="E63" s="337"/>
      <c r="F63" s="337"/>
      <c r="G63" s="449">
        <v>0.47926488315783317</v>
      </c>
      <c r="H63" s="388">
        <v>0.23066165949894249</v>
      </c>
      <c r="I63" s="388">
        <v>0.23066165949894249</v>
      </c>
      <c r="J63" s="388">
        <v>0.23066165949894249</v>
      </c>
      <c r="K63" s="388">
        <v>0.23066165949894249</v>
      </c>
      <c r="L63" s="388">
        <v>0.23066165949894249</v>
      </c>
      <c r="M63" s="388">
        <v>0.23066165949894249</v>
      </c>
      <c r="N63" s="388">
        <v>0.23066165949894249</v>
      </c>
      <c r="O63" s="388">
        <v>0.23066165949894249</v>
      </c>
      <c r="P63" s="388">
        <v>0.23066165949894249</v>
      </c>
      <c r="Q63" s="337"/>
      <c r="R63" s="227">
        <f>R60-R55</f>
        <v>-38.784599911693775</v>
      </c>
      <c r="S63" s="34" t="s">
        <v>272</v>
      </c>
      <c r="T63" s="337"/>
      <c r="U63" s="337"/>
      <c r="V63" s="240"/>
      <c r="W63" s="240"/>
      <c r="X63" s="240"/>
      <c r="Y63" s="240"/>
      <c r="Z63" s="240"/>
      <c r="AA63" s="240"/>
      <c r="AB63" s="240"/>
      <c r="AC63" s="240"/>
    </row>
    <row r="64" spans="1:29">
      <c r="A64" s="337"/>
      <c r="B64" s="337"/>
      <c r="C64" s="337"/>
      <c r="D64" s="337"/>
      <c r="E64" s="337"/>
      <c r="F64" s="337"/>
      <c r="G64" s="337"/>
      <c r="H64" s="337"/>
      <c r="I64" s="337"/>
      <c r="J64" s="337"/>
      <c r="K64" s="337"/>
      <c r="L64" s="337"/>
      <c r="M64" s="337"/>
      <c r="N64" s="337"/>
      <c r="O64" s="337"/>
      <c r="P64" s="337"/>
      <c r="Q64" s="337"/>
      <c r="R64" s="337"/>
      <c r="S64" s="337"/>
      <c r="T64" s="337"/>
      <c r="U64" s="337"/>
      <c r="V64" s="240"/>
      <c r="W64" s="240"/>
      <c r="X64" s="240"/>
      <c r="Y64" s="240"/>
      <c r="Z64" s="240"/>
      <c r="AA64" s="240"/>
      <c r="AB64" s="240"/>
      <c r="AC64" s="240"/>
    </row>
    <row r="65" spans="1:29">
      <c r="A65" s="337"/>
      <c r="B65" s="337"/>
      <c r="C65" s="337"/>
      <c r="D65" s="319"/>
      <c r="E65" s="337"/>
      <c r="F65" s="337"/>
      <c r="G65" s="337"/>
      <c r="H65" s="337"/>
      <c r="I65" s="337"/>
      <c r="J65" s="337"/>
      <c r="K65" s="337"/>
      <c r="L65" s="337"/>
      <c r="M65" s="337"/>
      <c r="N65" s="337"/>
      <c r="O65" s="337"/>
      <c r="P65" s="337"/>
      <c r="Q65" s="337"/>
      <c r="R65" s="337"/>
      <c r="S65" s="337"/>
      <c r="T65" s="337"/>
      <c r="U65" s="337"/>
      <c r="V65" s="240"/>
      <c r="W65" s="240"/>
      <c r="X65" s="240"/>
      <c r="Y65" s="240"/>
      <c r="Z65" s="240"/>
      <c r="AA65" s="240"/>
      <c r="AB65" s="240"/>
      <c r="AC65" s="240"/>
    </row>
    <row r="66" spans="1:29">
      <c r="A66" s="337"/>
      <c r="B66" s="337"/>
      <c r="C66" s="337"/>
      <c r="D66" s="334"/>
      <c r="E66" s="337"/>
      <c r="F66" s="337"/>
      <c r="G66" s="337"/>
      <c r="H66" s="337"/>
      <c r="I66" s="337"/>
      <c r="J66" s="337"/>
      <c r="K66" s="337"/>
      <c r="L66" s="337"/>
      <c r="M66" s="337"/>
      <c r="N66" s="337"/>
      <c r="O66" s="337"/>
      <c r="P66" s="337"/>
      <c r="Q66" s="337"/>
      <c r="R66" s="337"/>
      <c r="S66" s="337"/>
      <c r="T66" s="337"/>
      <c r="U66" s="337"/>
      <c r="V66" s="240"/>
      <c r="W66" s="240"/>
      <c r="X66" s="240"/>
      <c r="Y66" s="240"/>
      <c r="Z66" s="240"/>
      <c r="AA66" s="240"/>
      <c r="AB66" s="240"/>
      <c r="AC66" s="240"/>
    </row>
    <row r="67" spans="1:29">
      <c r="A67" s="337"/>
      <c r="B67" s="337"/>
      <c r="C67" s="337"/>
      <c r="D67" s="337"/>
      <c r="E67" s="337"/>
      <c r="F67" s="403" t="str">
        <f>IF($F$21=$G$4,"","Caution - do not use default smoothing within the period")</f>
        <v/>
      </c>
      <c r="G67" s="407"/>
      <c r="H67" s="405" t="str">
        <f t="shared" ref="H67:P67" si="5">IF($F$21=H$4,"Use to smooth","")</f>
        <v/>
      </c>
      <c r="I67" s="405" t="str">
        <f t="shared" si="5"/>
        <v/>
      </c>
      <c r="J67" s="405" t="str">
        <f t="shared" si="5"/>
        <v/>
      </c>
      <c r="K67" s="405" t="str">
        <f t="shared" si="5"/>
        <v/>
      </c>
      <c r="L67" s="405" t="str">
        <f t="shared" si="5"/>
        <v/>
      </c>
      <c r="M67" s="405" t="str">
        <f t="shared" si="5"/>
        <v/>
      </c>
      <c r="N67" s="405" t="str">
        <f t="shared" si="5"/>
        <v/>
      </c>
      <c r="O67" s="405" t="str">
        <f t="shared" si="5"/>
        <v/>
      </c>
      <c r="P67" s="405" t="str">
        <f t="shared" si="5"/>
        <v/>
      </c>
      <c r="Q67" s="408"/>
      <c r="R67" s="337"/>
      <c r="S67" s="337"/>
      <c r="T67" s="337"/>
      <c r="U67" s="337"/>
      <c r="V67" s="240"/>
      <c r="W67" s="240"/>
      <c r="X67" s="240"/>
      <c r="Y67" s="240"/>
      <c r="Z67" s="240"/>
      <c r="AA67" s="240"/>
      <c r="AB67" s="240"/>
      <c r="AC67" s="240"/>
    </row>
    <row r="68" spans="1:29">
      <c r="A68" s="337"/>
      <c r="B68" s="337"/>
      <c r="C68" s="337"/>
      <c r="D68" s="337"/>
      <c r="E68" s="337"/>
      <c r="F68" s="403"/>
      <c r="G68" s="407"/>
      <c r="H68" s="405"/>
      <c r="I68" s="405"/>
      <c r="J68" s="405"/>
      <c r="K68" s="405"/>
      <c r="L68" s="405"/>
      <c r="M68" s="405"/>
      <c r="N68" s="405"/>
      <c r="O68" s="405"/>
      <c r="P68" s="405"/>
      <c r="Q68" s="408"/>
      <c r="R68" s="337"/>
      <c r="S68" s="337"/>
      <c r="T68" s="337"/>
      <c r="U68" s="337"/>
      <c r="V68" s="240"/>
      <c r="W68" s="240"/>
      <c r="X68" s="240"/>
      <c r="Y68" s="240"/>
      <c r="Z68" s="240"/>
      <c r="AA68" s="240"/>
      <c r="AB68" s="240"/>
      <c r="AC68" s="240"/>
    </row>
    <row r="69" spans="1:29" ht="18" customHeight="1">
      <c r="A69" s="120"/>
      <c r="B69" s="479"/>
      <c r="C69" s="479"/>
      <c r="D69" s="380" t="s">
        <v>347</v>
      </c>
      <c r="E69" s="380"/>
      <c r="F69" s="380"/>
      <c r="G69" s="380"/>
      <c r="H69" s="357"/>
      <c r="I69" s="357"/>
      <c r="J69" s="357"/>
      <c r="K69" s="357"/>
      <c r="L69" s="357"/>
      <c r="M69" s="357"/>
      <c r="N69" s="357"/>
      <c r="O69" s="357"/>
      <c r="P69" s="357"/>
      <c r="Q69" s="357"/>
      <c r="R69" s="120"/>
      <c r="S69" s="120"/>
      <c r="T69" s="120"/>
      <c r="U69" s="120"/>
      <c r="V69" s="240"/>
      <c r="W69" s="240"/>
      <c r="X69" s="240"/>
      <c r="Y69" s="240"/>
      <c r="Z69" s="240"/>
      <c r="AA69" s="240"/>
      <c r="AB69" s="240"/>
      <c r="AC69" s="240"/>
    </row>
    <row r="70" spans="1:29">
      <c r="A70" s="337"/>
      <c r="B70" s="337"/>
      <c r="C70" s="337"/>
      <c r="D70" s="337"/>
      <c r="E70" s="337"/>
      <c r="F70" s="337"/>
      <c r="G70" s="337"/>
      <c r="H70" s="337"/>
      <c r="I70" s="337"/>
      <c r="J70" s="337"/>
      <c r="K70" s="337"/>
      <c r="L70" s="337"/>
      <c r="M70" s="337"/>
      <c r="N70" s="337"/>
      <c r="O70" s="337"/>
      <c r="P70" s="337"/>
      <c r="Q70" s="337"/>
      <c r="R70" s="337"/>
      <c r="S70" s="337"/>
      <c r="T70" s="337"/>
      <c r="U70" s="337"/>
      <c r="V70" s="240"/>
      <c r="W70" s="240"/>
      <c r="X70" s="240"/>
      <c r="Y70" s="240"/>
      <c r="Z70" s="240"/>
      <c r="AA70" s="240"/>
      <c r="AB70" s="240"/>
      <c r="AC70" s="240"/>
    </row>
    <row r="71" spans="1:29">
      <c r="A71" s="337"/>
      <c r="B71" s="337"/>
      <c r="C71" s="337"/>
      <c r="D71" s="34" t="s">
        <v>298</v>
      </c>
      <c r="E71" s="337"/>
      <c r="F71" s="526">
        <f>F78*F76/1000000</f>
        <v>10</v>
      </c>
      <c r="G71" s="527">
        <f>G55</f>
        <v>12.585327029005274</v>
      </c>
      <c r="H71" s="527">
        <f>IF(COUNT($G71:G71)&gt;='PTRM input'!$R$7,0,H35)</f>
        <v>13.140161558741951</v>
      </c>
      <c r="I71" s="527">
        <f>IF(COUNT($G71:H71)&gt;='PTRM input'!$R$7,0,I35)</f>
        <v>13.864930915668488</v>
      </c>
      <c r="J71" s="527">
        <f>IF(COUNT($G71:I71)&gt;='PTRM input'!$R$7,0,J35)</f>
        <v>15.111304055194122</v>
      </c>
      <c r="K71" s="527">
        <f>IF(COUNT($G71:J71)&gt;='PTRM input'!$R$7,0,K35)</f>
        <v>15.115268073675859</v>
      </c>
      <c r="L71" s="527">
        <f>IF(COUNT($G71:K71)&gt;='PTRM input'!$R$7,0,L35)</f>
        <v>0</v>
      </c>
      <c r="M71" s="527">
        <f>IF(COUNT($G71:L71)&gt;='PTRM input'!$R$7,0,M35)</f>
        <v>0</v>
      </c>
      <c r="N71" s="527">
        <f>IF(COUNT($G71:M71)&gt;='PTRM input'!$R$7,0,N35)</f>
        <v>0</v>
      </c>
      <c r="O71" s="527">
        <f>IF(COUNT($G71:N71)&gt;='PTRM input'!$R$7,0,O35)</f>
        <v>0</v>
      </c>
      <c r="P71" s="527">
        <f>IF(COUNT($G71:O71)&gt;='PTRM input'!$R$7,0,P35)</f>
        <v>0</v>
      </c>
      <c r="Q71" s="337"/>
      <c r="R71" s="227">
        <f>G71/G$8+H71/H$8+I71/I$8+J71/J$8+K71/K$8+L71/L$8+M71/M$8+N71/N$8+O71/O$8+P71/P$8</f>
        <v>52.756256967277999</v>
      </c>
      <c r="S71" s="343" t="s">
        <v>269</v>
      </c>
      <c r="T71" s="337"/>
      <c r="U71" s="337"/>
      <c r="V71" s="240"/>
      <c r="W71" s="240"/>
      <c r="X71" s="240"/>
      <c r="Y71" s="240"/>
      <c r="Z71" s="240"/>
      <c r="AA71" s="240"/>
      <c r="AB71" s="240"/>
      <c r="AC71" s="240"/>
    </row>
    <row r="72" spans="1:29">
      <c r="A72" s="337"/>
      <c r="B72" s="337"/>
      <c r="C72" s="337"/>
      <c r="D72" s="34"/>
      <c r="E72" s="226"/>
      <c r="F72" s="334"/>
      <c r="G72" s="337"/>
      <c r="H72" s="337"/>
      <c r="I72" s="337"/>
      <c r="J72" s="337"/>
      <c r="K72" s="337"/>
      <c r="L72" s="337"/>
      <c r="M72" s="337"/>
      <c r="N72" s="337"/>
      <c r="O72" s="337"/>
      <c r="P72" s="337"/>
      <c r="Q72" s="337"/>
      <c r="R72" s="337"/>
      <c r="S72" s="337"/>
      <c r="T72" s="337"/>
      <c r="U72" s="337"/>
      <c r="V72" s="240"/>
      <c r="W72" s="240"/>
      <c r="X72" s="240"/>
      <c r="Y72" s="240"/>
      <c r="Z72" s="240"/>
      <c r="AA72" s="240"/>
      <c r="AB72" s="240"/>
      <c r="AC72" s="240"/>
    </row>
    <row r="73" spans="1:29">
      <c r="A73" s="337"/>
      <c r="B73" s="337"/>
      <c r="C73" s="337"/>
      <c r="D73" s="34"/>
      <c r="E73" s="226"/>
      <c r="F73" s="334"/>
      <c r="G73" s="332">
        <f>G80-G71</f>
        <v>-1.782794872930042</v>
      </c>
      <c r="H73" s="336" t="s">
        <v>268</v>
      </c>
      <c r="I73" s="337"/>
      <c r="J73" s="337"/>
      <c r="K73" s="337"/>
      <c r="L73" s="337"/>
      <c r="M73" s="337"/>
      <c r="N73" s="337"/>
      <c r="O73" s="337"/>
      <c r="P73" s="337"/>
      <c r="Q73" s="337"/>
      <c r="R73" s="339">
        <f ca="1">OFFSET(F80,0,'PTRM input'!$R$7,1,1)- OFFSET(F71,0,'PTRM input'!$R$7,1,1)</f>
        <v>-3.3446565290487573</v>
      </c>
      <c r="S73" s="342" t="s">
        <v>273</v>
      </c>
      <c r="T73" s="337"/>
      <c r="U73" s="337"/>
      <c r="V73" s="240"/>
      <c r="W73" s="240"/>
      <c r="X73" s="240"/>
      <c r="Y73" s="240"/>
      <c r="Z73" s="240"/>
      <c r="AA73" s="240"/>
      <c r="AB73" s="240"/>
      <c r="AC73" s="240"/>
    </row>
    <row r="74" spans="1:29">
      <c r="A74" s="337"/>
      <c r="B74" s="337"/>
      <c r="C74" s="337"/>
      <c r="D74" s="337"/>
      <c r="E74" s="337"/>
      <c r="F74" s="337"/>
      <c r="G74" s="340">
        <f>G80/G71-1</f>
        <v>-0.14165661876097879</v>
      </c>
      <c r="H74" s="335" t="s">
        <v>270</v>
      </c>
      <c r="I74" s="337"/>
      <c r="J74" s="337"/>
      <c r="K74" s="337"/>
      <c r="L74" s="337"/>
      <c r="M74" s="337"/>
      <c r="N74" s="337"/>
      <c r="O74" s="337"/>
      <c r="P74" s="337"/>
      <c r="Q74" s="337"/>
      <c r="R74" s="340">
        <f ca="1">OFFSET(F80,0,'PTRM input'!$R$7,1,1)/OFFSET(F71,0,'PTRM input'!$R$7,1,1)-1</f>
        <v>-0.22127669272857131</v>
      </c>
      <c r="S74" s="341" t="s">
        <v>274</v>
      </c>
      <c r="T74" s="337"/>
      <c r="U74" s="337"/>
      <c r="V74" s="240"/>
      <c r="W74" s="240"/>
      <c r="X74" s="240"/>
      <c r="Y74" s="240"/>
      <c r="Z74" s="240"/>
      <c r="AA74" s="240"/>
      <c r="AB74" s="240"/>
      <c r="AC74" s="240"/>
    </row>
    <row r="75" spans="1:29">
      <c r="A75" s="337"/>
      <c r="B75" s="337"/>
      <c r="C75" s="337"/>
      <c r="D75" s="337"/>
      <c r="E75" s="337"/>
      <c r="F75" s="337"/>
      <c r="G75" s="337"/>
      <c r="H75" s="337"/>
      <c r="I75" s="337"/>
      <c r="J75" s="337"/>
      <c r="K75" s="337"/>
      <c r="L75" s="337"/>
      <c r="M75" s="337"/>
      <c r="N75" s="337"/>
      <c r="O75" s="337"/>
      <c r="P75" s="337"/>
      <c r="Q75" s="337"/>
      <c r="R75" s="337"/>
      <c r="S75" s="337"/>
      <c r="T75" s="337"/>
      <c r="U75" s="337"/>
      <c r="V75" s="240"/>
      <c r="W75" s="240"/>
      <c r="X75" s="240"/>
      <c r="Y75" s="240"/>
      <c r="Z75" s="240"/>
      <c r="AA75" s="240"/>
      <c r="AB75" s="240"/>
      <c r="AC75" s="240"/>
    </row>
    <row r="76" spans="1:29">
      <c r="A76" s="337"/>
      <c r="B76" s="337"/>
      <c r="C76" s="337"/>
      <c r="D76" s="337" t="s">
        <v>313</v>
      </c>
      <c r="E76" s="337"/>
      <c r="F76" s="345">
        <f>'PTRM input'!F242</f>
        <v>1072000</v>
      </c>
      <c r="G76" s="393">
        <f>'PTRM input'!G242</f>
        <v>1069062</v>
      </c>
      <c r="H76" s="393">
        <f>IF(COUNT($G76:G76)&gt;='PTRM input'!$R$7,0,'PTRM input'!H242)</f>
        <v>1066161.6359999999</v>
      </c>
      <c r="I76" s="393">
        <f>IF(COUNT($G76:H76)&gt;='PTRM input'!$R$7,0,'PTRM input'!I242)</f>
        <v>1063299.275928</v>
      </c>
      <c r="J76" s="393">
        <f>IF(COUNT($G76:I76)&gt;='PTRM input'!$R$7,0,'PTRM input'!J242)</f>
        <v>1060475.296608144</v>
      </c>
      <c r="K76" s="393">
        <f>IF(COUNT($G76:J76)&gt;='PTRM input'!$R$7,0,'PTRM input'!K242)</f>
        <v>1057690.0839324959</v>
      </c>
      <c r="L76" s="393">
        <f>IF(COUNT($G76:K76)&gt;='PTRM input'!$R$7,0,'PTRM input'!L242)</f>
        <v>0</v>
      </c>
      <c r="M76" s="393">
        <f>IF(COUNT($G76:L76)&gt;='PTRM input'!$R$7,0,'PTRM input'!M242)</f>
        <v>0</v>
      </c>
      <c r="N76" s="393">
        <f>IF(COUNT($G76:M76)&gt;='PTRM input'!$R$7,0,'PTRM input'!N242)</f>
        <v>0</v>
      </c>
      <c r="O76" s="393">
        <f>IF(COUNT($G76:N76)&gt;='PTRM input'!$R$7,0,'PTRM input'!O242)</f>
        <v>0</v>
      </c>
      <c r="P76" s="393">
        <f>IF(COUNT($G76:O76)&gt;='PTRM input'!$R$7,0,'PTRM input'!P242)</f>
        <v>0</v>
      </c>
      <c r="Q76" s="337"/>
      <c r="R76" s="337"/>
      <c r="S76" s="337"/>
      <c r="T76" s="337"/>
      <c r="U76" s="337"/>
      <c r="V76" s="240"/>
      <c r="W76" s="240"/>
      <c r="X76" s="240"/>
      <c r="Y76" s="240"/>
      <c r="Z76" s="240"/>
      <c r="AA76" s="240"/>
      <c r="AB76" s="240"/>
      <c r="AC76" s="240"/>
    </row>
    <row r="77" spans="1:29">
      <c r="A77" s="337"/>
      <c r="B77" s="337"/>
      <c r="C77" s="337"/>
      <c r="D77" s="337"/>
      <c r="E77" s="337"/>
      <c r="F77" s="344"/>
      <c r="G77" s="337"/>
      <c r="H77" s="337"/>
      <c r="I77" s="337"/>
      <c r="J77" s="337"/>
      <c r="K77" s="337"/>
      <c r="L77" s="337"/>
      <c r="M77" s="337"/>
      <c r="N77" s="337"/>
      <c r="O77" s="337"/>
      <c r="P77" s="337"/>
      <c r="Q77" s="337"/>
      <c r="R77" s="337"/>
      <c r="S77" s="337"/>
      <c r="T77" s="337"/>
      <c r="U77" s="337"/>
      <c r="V77" s="240"/>
      <c r="W77" s="240"/>
      <c r="X77" s="240"/>
      <c r="Y77" s="240"/>
      <c r="Z77" s="240"/>
      <c r="AA77" s="240"/>
      <c r="AB77" s="240"/>
      <c r="AC77" s="240"/>
    </row>
    <row r="78" spans="1:29">
      <c r="A78" s="337"/>
      <c r="B78" s="337"/>
      <c r="C78" s="337"/>
      <c r="D78" s="34" t="s">
        <v>312</v>
      </c>
      <c r="E78" s="337"/>
      <c r="F78" s="524">
        <f>'PTRM input'!G238</f>
        <v>9.3283582089552244</v>
      </c>
      <c r="G78" s="528">
        <f>F78*(1-G83)*(1+G$10)</f>
        <v>10.104682568527579</v>
      </c>
      <c r="H78" s="528">
        <f>IF(COUNT($G78:G78)&gt;='PTRM input'!$R$7,0,G78*(1-H83)*(1+H$10))</f>
        <v>10.209452980801091</v>
      </c>
      <c r="I78" s="528">
        <f>IF(COUNT($G78:H78)&gt;='PTRM input'!$R$7,0,H78*(1-I83)*(1+I$10))</f>
        <v>10.507075357869633</v>
      </c>
      <c r="J78" s="528">
        <f>IF(COUNT($G78:I78)&gt;='PTRM input'!$R$7,0,I78*(1-J83)*(1+J$10))</f>
        <v>10.813373917638511</v>
      </c>
      <c r="K78" s="528">
        <f>IF(COUNT($G78:J78)&gt;='PTRM input'!$R$7,0,J78*(1-K83)*(1+K$10))</f>
        <v>11.128601585129665</v>
      </c>
      <c r="L78" s="528">
        <f>IF(COUNT($G78:K78)&gt;='PTRM input'!$R$7,0,K78*(1-L83)*(1+L$10))</f>
        <v>0</v>
      </c>
      <c r="M78" s="528">
        <f>IF(COUNT($G78:L78)&gt;='PTRM input'!$R$7,0,L78*(1-M83)*(1+M$10))</f>
        <v>0</v>
      </c>
      <c r="N78" s="528">
        <f>IF(COUNT($G78:M78)&gt;='PTRM input'!$R$7,0,M78*(1-N83)*(1+N$10))</f>
        <v>0</v>
      </c>
      <c r="O78" s="528">
        <f>IF(COUNT($G78:N78)&gt;='PTRM input'!$R$7,0,N78*(1-O83)*(1+O$10))</f>
        <v>0</v>
      </c>
      <c r="P78" s="528">
        <f>IF(COUNT($G78:O78)&gt;='PTRM input'!$R$7,0,O78*(1-P83)*(1+P$10))</f>
        <v>0</v>
      </c>
      <c r="Q78" s="337"/>
      <c r="R78" s="337"/>
      <c r="S78" s="337"/>
      <c r="T78" s="337"/>
      <c r="U78" s="337"/>
      <c r="V78" s="240"/>
      <c r="W78" s="240"/>
      <c r="X78" s="240"/>
      <c r="Y78" s="240"/>
      <c r="Z78" s="240"/>
      <c r="AA78" s="240"/>
      <c r="AB78" s="240"/>
      <c r="AC78" s="240"/>
    </row>
    <row r="79" spans="1:29">
      <c r="A79" s="337"/>
      <c r="B79" s="337"/>
      <c r="C79" s="337"/>
      <c r="D79" s="337"/>
      <c r="E79" s="337"/>
      <c r="F79" s="344"/>
      <c r="G79" s="337"/>
      <c r="H79" s="337"/>
      <c r="I79" s="337"/>
      <c r="J79" s="337"/>
      <c r="K79" s="337"/>
      <c r="L79" s="337"/>
      <c r="M79" s="337"/>
      <c r="N79" s="337"/>
      <c r="O79" s="337"/>
      <c r="P79" s="337"/>
      <c r="Q79" s="337"/>
      <c r="R79" s="337"/>
      <c r="S79" s="337"/>
      <c r="T79" s="337"/>
      <c r="U79" s="337"/>
      <c r="V79" s="240"/>
      <c r="W79" s="240"/>
      <c r="X79" s="240"/>
      <c r="Y79" s="240"/>
      <c r="Z79" s="240"/>
      <c r="AA79" s="240"/>
      <c r="AB79" s="240"/>
      <c r="AC79" s="240"/>
    </row>
    <row r="80" spans="1:29">
      <c r="A80" s="337"/>
      <c r="B80" s="337"/>
      <c r="C80" s="337"/>
      <c r="D80" s="337" t="s">
        <v>324</v>
      </c>
      <c r="E80" s="337"/>
      <c r="F80" s="526">
        <f>F78*F76/1000000</f>
        <v>10</v>
      </c>
      <c r="G80" s="527">
        <f>G78*G76/1000000</f>
        <v>10.802532156075232</v>
      </c>
      <c r="H80" s="527">
        <f>IF(COUNT($G80:G80)&gt;='PTRM input'!$R$7,0,H78*H76/1000000)</f>
        <v>10.884927092675968</v>
      </c>
      <c r="I80" s="527">
        <f>IF(COUNT($G80:H80)&gt;='PTRM input'!$R$7,0,I78*I76/1000000)</f>
        <v>11.172165620143712</v>
      </c>
      <c r="J80" s="527">
        <f>IF(COUNT($G80:I80)&gt;='PTRM input'!$R$7,0,J78*J76/1000000)</f>
        <v>11.467315912642468</v>
      </c>
      <c r="K80" s="527">
        <f>IF(COUNT($G80:J80)&gt;='PTRM input'!$R$7,0,K78*K76/1000000)</f>
        <v>11.770611544627101</v>
      </c>
      <c r="L80" s="528">
        <f>IF(COUNT($G80:K80)&gt;='PTRM input'!$R$7,0,L78*L76/1000000)</f>
        <v>0</v>
      </c>
      <c r="M80" s="528">
        <f>IF(COUNT($G80:L80)&gt;='PTRM input'!$R$7,0,M78*M76/1000000)</f>
        <v>0</v>
      </c>
      <c r="N80" s="528">
        <f>IF(COUNT($G80:M80)&gt;='PTRM input'!$R$7,0,N78*N76/1000000)</f>
        <v>0</v>
      </c>
      <c r="O80" s="528">
        <f>IF(COUNT($G80:N80)&gt;='PTRM input'!$R$7,0,O78*O76/1000000)</f>
        <v>0</v>
      </c>
      <c r="P80" s="528">
        <f>IF(COUNT($G80:O80)&gt;='PTRM input'!$R$7,0,P78*P76/1000000)</f>
        <v>0</v>
      </c>
      <c r="Q80" s="337"/>
      <c r="R80" s="227">
        <f>G80/G$8+H80/H$8+I80/I$8+J80/J$8+K80/K$8+L80/L$8+M80/M$8+N80/N$8+O80/O$8+P80/P$8</f>
        <v>42.613862927779778</v>
      </c>
      <c r="S80" s="34" t="s">
        <v>271</v>
      </c>
      <c r="T80" s="337"/>
      <c r="U80" s="337"/>
      <c r="V80" s="240"/>
      <c r="W80" s="240"/>
      <c r="X80" s="240"/>
      <c r="Y80" s="240"/>
      <c r="Z80" s="240"/>
      <c r="AA80" s="240"/>
      <c r="AB80" s="240"/>
      <c r="AC80" s="240"/>
    </row>
    <row r="81" spans="1:29">
      <c r="A81" s="337"/>
      <c r="B81" s="337"/>
      <c r="C81" s="337"/>
      <c r="D81" s="319"/>
      <c r="E81" s="226"/>
      <c r="F81" s="319"/>
      <c r="G81" s="337"/>
      <c r="H81" s="337"/>
      <c r="I81" s="337"/>
      <c r="J81" s="337"/>
      <c r="K81" s="337"/>
      <c r="L81" s="337"/>
      <c r="M81" s="337"/>
      <c r="N81" s="337"/>
      <c r="O81" s="337"/>
      <c r="P81" s="337"/>
      <c r="Q81" s="337"/>
      <c r="R81" s="337"/>
      <c r="S81" s="337"/>
      <c r="T81" s="337"/>
      <c r="U81" s="337"/>
      <c r="V81" s="240"/>
      <c r="W81" s="240"/>
      <c r="X81" s="240"/>
      <c r="Y81" s="240"/>
      <c r="Z81" s="240"/>
      <c r="AA81" s="240"/>
      <c r="AB81" s="240"/>
      <c r="AC81" s="240"/>
    </row>
    <row r="82" spans="1:29">
      <c r="A82" s="337"/>
      <c r="B82" s="337"/>
      <c r="C82" s="337"/>
      <c r="D82" s="34" t="s">
        <v>311</v>
      </c>
      <c r="E82" s="337"/>
      <c r="F82" s="337"/>
      <c r="G82" s="230" t="s">
        <v>175</v>
      </c>
      <c r="H82" s="276" t="s">
        <v>225</v>
      </c>
      <c r="I82" s="276" t="s">
        <v>226</v>
      </c>
      <c r="J82" s="276" t="s">
        <v>227</v>
      </c>
      <c r="K82" s="276" t="s">
        <v>228</v>
      </c>
      <c r="L82" s="276" t="s">
        <v>229</v>
      </c>
      <c r="M82" s="276" t="s">
        <v>230</v>
      </c>
      <c r="N82" s="276" t="s">
        <v>231</v>
      </c>
      <c r="O82" s="276" t="s">
        <v>232</v>
      </c>
      <c r="P82" s="276" t="s">
        <v>233</v>
      </c>
      <c r="Q82" s="337"/>
      <c r="R82" s="337"/>
      <c r="S82" s="337"/>
      <c r="T82" s="337"/>
      <c r="U82" s="337"/>
      <c r="V82" s="240"/>
      <c r="W82" s="240"/>
      <c r="X82" s="240"/>
      <c r="Y82" s="240"/>
      <c r="Z82" s="240"/>
      <c r="AA82" s="240"/>
      <c r="AB82" s="240"/>
      <c r="AC82" s="240"/>
    </row>
    <row r="83" spans="1:29">
      <c r="A83" s="337"/>
      <c r="B83" s="337"/>
      <c r="C83" s="337"/>
      <c r="D83" s="346" t="s">
        <v>176</v>
      </c>
      <c r="E83" s="337"/>
      <c r="F83" s="337"/>
      <c r="G83" s="449">
        <v>-5.6595758238545235E-2</v>
      </c>
      <c r="H83" s="388">
        <v>1.4466932213505958E-2</v>
      </c>
      <c r="I83" s="388">
        <v>-3.8545140022410761E-3</v>
      </c>
      <c r="J83" s="388">
        <v>-3.8545140022410761E-3</v>
      </c>
      <c r="K83" s="388">
        <v>-3.8545140022410761E-3</v>
      </c>
      <c r="L83" s="388">
        <v>-3.8545140022410761E-3</v>
      </c>
      <c r="M83" s="388">
        <v>-3.8545140022410761E-3</v>
      </c>
      <c r="N83" s="388">
        <v>-3.8545140022410761E-3</v>
      </c>
      <c r="O83" s="388">
        <v>-3.8545140022410761E-3</v>
      </c>
      <c r="P83" s="388">
        <v>-3.8545140022410761E-3</v>
      </c>
      <c r="Q83" s="337"/>
      <c r="R83" s="227">
        <f>R80-R71</f>
        <v>-10.142394039498221</v>
      </c>
      <c r="S83" s="34" t="s">
        <v>272</v>
      </c>
      <c r="T83" s="337"/>
      <c r="U83" s="337"/>
      <c r="V83" s="240"/>
      <c r="W83" s="240"/>
      <c r="X83" s="240"/>
      <c r="Y83" s="240"/>
      <c r="Z83" s="240"/>
      <c r="AA83" s="240"/>
      <c r="AB83" s="240"/>
      <c r="AC83" s="240"/>
    </row>
    <row r="84" spans="1:29">
      <c r="A84" s="337"/>
      <c r="B84" s="337"/>
      <c r="C84" s="337"/>
      <c r="D84" s="337"/>
      <c r="E84" s="337"/>
      <c r="F84" s="337"/>
      <c r="G84" s="337"/>
      <c r="H84" s="337"/>
      <c r="I84" s="337"/>
      <c r="J84" s="337"/>
      <c r="K84" s="337"/>
      <c r="L84" s="337"/>
      <c r="M84" s="337"/>
      <c r="N84" s="337"/>
      <c r="O84" s="337"/>
      <c r="P84" s="337"/>
      <c r="Q84" s="337"/>
      <c r="R84" s="337"/>
      <c r="S84" s="337"/>
      <c r="T84" s="337"/>
      <c r="U84" s="337"/>
      <c r="V84" s="240"/>
      <c r="W84" s="240"/>
      <c r="X84" s="240"/>
      <c r="Y84" s="240"/>
      <c r="Z84" s="240"/>
      <c r="AA84" s="240"/>
      <c r="AB84" s="240"/>
      <c r="AC84" s="240"/>
    </row>
    <row r="85" spans="1:29">
      <c r="A85" s="337"/>
      <c r="B85" s="337"/>
      <c r="C85" s="337"/>
      <c r="D85" s="337"/>
      <c r="E85" s="337"/>
      <c r="F85" s="337"/>
      <c r="G85" s="337"/>
      <c r="H85" s="337"/>
      <c r="I85" s="337"/>
      <c r="J85" s="337"/>
      <c r="K85" s="337"/>
      <c r="L85" s="337"/>
      <c r="M85" s="337"/>
      <c r="N85" s="337"/>
      <c r="O85" s="337"/>
      <c r="P85" s="337"/>
      <c r="Q85" s="337"/>
      <c r="R85" s="337"/>
      <c r="S85" s="337"/>
      <c r="T85" s="337"/>
      <c r="U85" s="337"/>
      <c r="V85" s="240"/>
      <c r="W85" s="240"/>
      <c r="X85" s="240"/>
      <c r="Y85" s="240"/>
      <c r="Z85" s="240"/>
      <c r="AA85" s="240"/>
      <c r="AB85" s="240"/>
      <c r="AC85" s="240"/>
    </row>
    <row r="86" spans="1:29">
      <c r="A86" s="337"/>
      <c r="B86" s="337"/>
      <c r="C86" s="337"/>
      <c r="D86" s="319"/>
      <c r="E86" s="337"/>
      <c r="F86" s="337"/>
      <c r="G86" s="337"/>
      <c r="H86" s="337"/>
      <c r="I86" s="337"/>
      <c r="J86" s="337"/>
      <c r="K86" s="337"/>
      <c r="L86" s="337"/>
      <c r="M86" s="337"/>
      <c r="N86" s="337"/>
      <c r="O86" s="337"/>
      <c r="P86" s="337"/>
      <c r="Q86" s="337"/>
      <c r="R86" s="337"/>
      <c r="S86" s="337"/>
      <c r="T86" s="337"/>
      <c r="U86" s="337"/>
      <c r="V86" s="240"/>
      <c r="W86" s="240"/>
      <c r="X86" s="240"/>
      <c r="Y86" s="240"/>
      <c r="Z86" s="240"/>
      <c r="AA86" s="240"/>
      <c r="AB86" s="240"/>
      <c r="AC86" s="240"/>
    </row>
    <row r="87" spans="1:29">
      <c r="A87" s="337"/>
      <c r="B87" s="337"/>
      <c r="C87" s="337"/>
      <c r="D87" s="337"/>
      <c r="E87" s="337"/>
      <c r="F87" s="403" t="str">
        <f>IF($F$21=$G$4,"","Caution - do not use default smoothing within the period")</f>
        <v/>
      </c>
      <c r="G87" s="408"/>
      <c r="H87" s="405" t="str">
        <f t="shared" ref="H87:P87" si="6">IF($F$21=H$4,"Use to smooth","")</f>
        <v/>
      </c>
      <c r="I87" s="405" t="str">
        <f t="shared" si="6"/>
        <v/>
      </c>
      <c r="J87" s="405" t="str">
        <f t="shared" si="6"/>
        <v/>
      </c>
      <c r="K87" s="405" t="str">
        <f t="shared" si="6"/>
        <v/>
      </c>
      <c r="L87" s="405" t="str">
        <f t="shared" si="6"/>
        <v/>
      </c>
      <c r="M87" s="405" t="str">
        <f t="shared" si="6"/>
        <v/>
      </c>
      <c r="N87" s="405" t="str">
        <f t="shared" si="6"/>
        <v/>
      </c>
      <c r="O87" s="405" t="str">
        <f t="shared" si="6"/>
        <v/>
      </c>
      <c r="P87" s="405" t="str">
        <f t="shared" si="6"/>
        <v/>
      </c>
      <c r="Q87" s="408"/>
      <c r="R87" s="337"/>
      <c r="S87" s="337"/>
      <c r="T87" s="337"/>
      <c r="U87" s="337"/>
      <c r="V87" s="240"/>
      <c r="W87" s="240"/>
      <c r="X87" s="240"/>
      <c r="Y87" s="240"/>
      <c r="Z87" s="240"/>
      <c r="AA87" s="240"/>
      <c r="AB87" s="240"/>
      <c r="AC87" s="240"/>
    </row>
    <row r="88" spans="1:29" ht="12.75" customHeight="1">
      <c r="A88" s="334"/>
      <c r="B88" s="334"/>
      <c r="C88" s="334"/>
      <c r="D88" s="334"/>
      <c r="E88" s="334"/>
      <c r="F88" s="334"/>
      <c r="G88" s="334"/>
      <c r="H88" s="334"/>
      <c r="I88" s="334"/>
      <c r="J88" s="334"/>
      <c r="K88" s="334"/>
      <c r="L88" s="334"/>
      <c r="M88" s="334"/>
      <c r="N88" s="334"/>
      <c r="O88" s="334"/>
      <c r="P88" s="334"/>
      <c r="Q88" s="334"/>
      <c r="R88" s="334"/>
      <c r="S88" s="334"/>
      <c r="T88" s="334"/>
      <c r="U88" s="334"/>
      <c r="V88" s="240"/>
      <c r="W88" s="240"/>
      <c r="X88" s="240"/>
      <c r="Y88" s="240"/>
      <c r="Z88" s="240"/>
      <c r="AA88" s="240"/>
      <c r="AB88" s="240"/>
      <c r="AC88" s="240"/>
    </row>
    <row r="89" spans="1:29">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row>
    <row r="90" spans="1:29">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row>
    <row r="91" spans="1:29">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row>
    <row r="92" spans="1:29">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row>
    <row r="93" spans="1:29">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row>
    <row r="94" spans="1:29">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row>
  </sheetData>
  <mergeCells count="1">
    <mergeCell ref="H16:J16"/>
  </mergeCells>
  <phoneticPr fontId="31" type="noConversion"/>
  <dataValidations count="2">
    <dataValidation type="list" allowBlank="1" showInputMessage="1" showErrorMessage="1" sqref="F21">
      <formula1>$G$4:$P$4</formula1>
    </dataValidation>
    <dataValidation type="list" allowBlank="1" showInputMessage="1" showErrorMessage="1" sqref="H16">
      <formula1>$AA$2:$AA$3</formula1>
    </dataValidation>
  </dataValidations>
  <printOptions headings="1"/>
  <pageMargins left="0.75" right="0.75" top="1" bottom="1" header="0.5" footer="0.5"/>
  <pageSetup paperSize="9" scale="51" fitToHeight="0" orientation="landscape" horizontalDpi="4294967292" r:id="rId1"/>
  <headerFooter alignWithMargins="0"/>
  <rowBreaks count="1" manualBreakCount="1">
    <brk id="36"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Set_P_0_WAPC">
                <anchor moveWithCells="1" sizeWithCells="1">
                  <from>
                    <xdr:col>6</xdr:col>
                    <xdr:colOff>47625</xdr:colOff>
                    <xdr:row>47</xdr:row>
                    <xdr:rowOff>104775</xdr:rowOff>
                  </from>
                  <to>
                    <xdr:col>6</xdr:col>
                    <xdr:colOff>733425</xdr:colOff>
                    <xdr:row>49</xdr:row>
                    <xdr:rowOff>142875</xdr:rowOff>
                  </to>
                </anchor>
              </controlPr>
            </control>
          </mc:Choice>
        </mc:AlternateContent>
        <mc:AlternateContent xmlns:mc="http://schemas.openxmlformats.org/markup-compatibility/2006">
          <mc:Choice Requires="x14">
            <control shapeId="181250" r:id="rId5" name="Button 2">
              <controlPr defaultSize="0" print="0" autoFill="0" autoPict="0" macro="[0]!Set_P_0_RevCap">
                <anchor moveWithCells="1" sizeWithCells="1">
                  <from>
                    <xdr:col>6</xdr:col>
                    <xdr:colOff>57150</xdr:colOff>
                    <xdr:row>63</xdr:row>
                    <xdr:rowOff>76200</xdr:rowOff>
                  </from>
                  <to>
                    <xdr:col>6</xdr:col>
                    <xdr:colOff>733425</xdr:colOff>
                    <xdr:row>65</xdr:row>
                    <xdr:rowOff>114300</xdr:rowOff>
                  </to>
                </anchor>
              </controlPr>
            </control>
          </mc:Choice>
        </mc:AlternateContent>
        <mc:AlternateContent xmlns:mc="http://schemas.openxmlformats.org/markup-compatibility/2006">
          <mc:Choice Requires="x14">
            <control shapeId="181251" r:id="rId6" name="Button 3">
              <controlPr defaultSize="0" print="0" autoFill="0" autoPict="0" macro="[0]!Set_P_0_RevYld">
                <anchor moveWithCells="1" sizeWithCells="1">
                  <from>
                    <xdr:col>6</xdr:col>
                    <xdr:colOff>47625</xdr:colOff>
                    <xdr:row>83</xdr:row>
                    <xdr:rowOff>76200</xdr:rowOff>
                  </from>
                  <to>
                    <xdr:col>6</xdr:col>
                    <xdr:colOff>733425</xdr:colOff>
                    <xdr:row>85</xdr:row>
                    <xdr:rowOff>104775</xdr:rowOff>
                  </to>
                </anchor>
              </controlPr>
            </control>
          </mc:Choice>
        </mc:AlternateContent>
        <mc:AlternateContent xmlns:mc="http://schemas.openxmlformats.org/markup-compatibility/2006">
          <mc:Choice Requires="x14">
            <control shapeId="181253" r:id="rId7" name="Button 5">
              <controlPr defaultSize="0" print="0" autoFill="0" autoPict="0" macro="[0]!Set_X_02_WAPC">
                <anchor moveWithCells="1" sizeWithCells="1">
                  <from>
                    <xdr:col>7</xdr:col>
                    <xdr:colOff>38100</xdr:colOff>
                    <xdr:row>47</xdr:row>
                    <xdr:rowOff>95250</xdr:rowOff>
                  </from>
                  <to>
                    <xdr:col>7</xdr:col>
                    <xdr:colOff>752475</xdr:colOff>
                    <xdr:row>49</xdr:row>
                    <xdr:rowOff>133350</xdr:rowOff>
                  </to>
                </anchor>
              </controlPr>
            </control>
          </mc:Choice>
        </mc:AlternateContent>
        <mc:AlternateContent xmlns:mc="http://schemas.openxmlformats.org/markup-compatibility/2006">
          <mc:Choice Requires="x14">
            <control shapeId="181254" r:id="rId8" name="Button 6">
              <controlPr defaultSize="0" print="0" autoFill="0" autoPict="0" macro="[0]!Set_X_03_WAPC">
                <anchor moveWithCells="1" sizeWithCells="1">
                  <from>
                    <xdr:col>8</xdr:col>
                    <xdr:colOff>38100</xdr:colOff>
                    <xdr:row>47</xdr:row>
                    <xdr:rowOff>95250</xdr:rowOff>
                  </from>
                  <to>
                    <xdr:col>8</xdr:col>
                    <xdr:colOff>762000</xdr:colOff>
                    <xdr:row>49</xdr:row>
                    <xdr:rowOff>133350</xdr:rowOff>
                  </to>
                </anchor>
              </controlPr>
            </control>
          </mc:Choice>
        </mc:AlternateContent>
        <mc:AlternateContent xmlns:mc="http://schemas.openxmlformats.org/markup-compatibility/2006">
          <mc:Choice Requires="x14">
            <control shapeId="181255" r:id="rId9" name="Button 7">
              <controlPr defaultSize="0" print="0" autoFill="0" autoPict="0" macro="[0]!Set_X_04_WAPC">
                <anchor moveWithCells="1" sizeWithCells="1">
                  <from>
                    <xdr:col>9</xdr:col>
                    <xdr:colOff>38100</xdr:colOff>
                    <xdr:row>47</xdr:row>
                    <xdr:rowOff>95250</xdr:rowOff>
                  </from>
                  <to>
                    <xdr:col>9</xdr:col>
                    <xdr:colOff>762000</xdr:colOff>
                    <xdr:row>49</xdr:row>
                    <xdr:rowOff>133350</xdr:rowOff>
                  </to>
                </anchor>
              </controlPr>
            </control>
          </mc:Choice>
        </mc:AlternateContent>
        <mc:AlternateContent xmlns:mc="http://schemas.openxmlformats.org/markup-compatibility/2006">
          <mc:Choice Requires="x14">
            <control shapeId="181256" r:id="rId10" name="Button 8">
              <controlPr defaultSize="0" print="0" autoFill="0" autoPict="0" macro="[0]!Set_X_05_WAPC">
                <anchor moveWithCells="1" sizeWithCells="1">
                  <from>
                    <xdr:col>10</xdr:col>
                    <xdr:colOff>38100</xdr:colOff>
                    <xdr:row>47</xdr:row>
                    <xdr:rowOff>95250</xdr:rowOff>
                  </from>
                  <to>
                    <xdr:col>10</xdr:col>
                    <xdr:colOff>762000</xdr:colOff>
                    <xdr:row>49</xdr:row>
                    <xdr:rowOff>133350</xdr:rowOff>
                  </to>
                </anchor>
              </controlPr>
            </control>
          </mc:Choice>
        </mc:AlternateContent>
        <mc:AlternateContent xmlns:mc="http://schemas.openxmlformats.org/markup-compatibility/2006">
          <mc:Choice Requires="x14">
            <control shapeId="181257" r:id="rId11" name="Button 9">
              <controlPr defaultSize="0" print="0" autoFill="0" autoPict="0" macro="[0]!Set_X_06_WAPC">
                <anchor moveWithCells="1" sizeWithCells="1">
                  <from>
                    <xdr:col>11</xdr:col>
                    <xdr:colOff>38100</xdr:colOff>
                    <xdr:row>47</xdr:row>
                    <xdr:rowOff>95250</xdr:rowOff>
                  </from>
                  <to>
                    <xdr:col>11</xdr:col>
                    <xdr:colOff>762000</xdr:colOff>
                    <xdr:row>49</xdr:row>
                    <xdr:rowOff>133350</xdr:rowOff>
                  </to>
                </anchor>
              </controlPr>
            </control>
          </mc:Choice>
        </mc:AlternateContent>
        <mc:AlternateContent xmlns:mc="http://schemas.openxmlformats.org/markup-compatibility/2006">
          <mc:Choice Requires="x14">
            <control shapeId="181258" r:id="rId12" name="Button 10">
              <controlPr defaultSize="0" print="0" autoFill="0" autoPict="0" macro="[0]!Set_X_07_WAPC">
                <anchor moveWithCells="1" sizeWithCells="1">
                  <from>
                    <xdr:col>12</xdr:col>
                    <xdr:colOff>38100</xdr:colOff>
                    <xdr:row>47</xdr:row>
                    <xdr:rowOff>95250</xdr:rowOff>
                  </from>
                  <to>
                    <xdr:col>12</xdr:col>
                    <xdr:colOff>762000</xdr:colOff>
                    <xdr:row>49</xdr:row>
                    <xdr:rowOff>133350</xdr:rowOff>
                  </to>
                </anchor>
              </controlPr>
            </control>
          </mc:Choice>
        </mc:AlternateContent>
        <mc:AlternateContent xmlns:mc="http://schemas.openxmlformats.org/markup-compatibility/2006">
          <mc:Choice Requires="x14">
            <control shapeId="181259" r:id="rId13" name="Button 11">
              <controlPr defaultSize="0" print="0" autoFill="0" autoPict="0" macro="[0]!Set_X_08_WAPC">
                <anchor moveWithCells="1" sizeWithCells="1">
                  <from>
                    <xdr:col>13</xdr:col>
                    <xdr:colOff>38100</xdr:colOff>
                    <xdr:row>47</xdr:row>
                    <xdr:rowOff>95250</xdr:rowOff>
                  </from>
                  <to>
                    <xdr:col>13</xdr:col>
                    <xdr:colOff>762000</xdr:colOff>
                    <xdr:row>49</xdr:row>
                    <xdr:rowOff>133350</xdr:rowOff>
                  </to>
                </anchor>
              </controlPr>
            </control>
          </mc:Choice>
        </mc:AlternateContent>
        <mc:AlternateContent xmlns:mc="http://schemas.openxmlformats.org/markup-compatibility/2006">
          <mc:Choice Requires="x14">
            <control shapeId="181260" r:id="rId14" name="Button 12">
              <controlPr defaultSize="0" print="0" autoFill="0" autoPict="0" macro="[0]!Set_X_09_WAPC">
                <anchor moveWithCells="1" sizeWithCells="1">
                  <from>
                    <xdr:col>14</xdr:col>
                    <xdr:colOff>38100</xdr:colOff>
                    <xdr:row>47</xdr:row>
                    <xdr:rowOff>95250</xdr:rowOff>
                  </from>
                  <to>
                    <xdr:col>14</xdr:col>
                    <xdr:colOff>762000</xdr:colOff>
                    <xdr:row>49</xdr:row>
                    <xdr:rowOff>133350</xdr:rowOff>
                  </to>
                </anchor>
              </controlPr>
            </control>
          </mc:Choice>
        </mc:AlternateContent>
        <mc:AlternateContent xmlns:mc="http://schemas.openxmlformats.org/markup-compatibility/2006">
          <mc:Choice Requires="x14">
            <control shapeId="181261" r:id="rId15" name="Button 13">
              <controlPr defaultSize="0" print="0" autoFill="0" autoPict="0" macro="[0]!Set_X_10_WAPC">
                <anchor moveWithCells="1" sizeWithCells="1">
                  <from>
                    <xdr:col>15</xdr:col>
                    <xdr:colOff>38100</xdr:colOff>
                    <xdr:row>47</xdr:row>
                    <xdr:rowOff>95250</xdr:rowOff>
                  </from>
                  <to>
                    <xdr:col>15</xdr:col>
                    <xdr:colOff>762000</xdr:colOff>
                    <xdr:row>49</xdr:row>
                    <xdr:rowOff>133350</xdr:rowOff>
                  </to>
                </anchor>
              </controlPr>
            </control>
          </mc:Choice>
        </mc:AlternateContent>
        <mc:AlternateContent xmlns:mc="http://schemas.openxmlformats.org/markup-compatibility/2006">
          <mc:Choice Requires="x14">
            <control shapeId="181262" r:id="rId16" name="Button 14">
              <controlPr defaultSize="0" print="0" autoFill="0" autoPict="0" macro="[0]!Set_X_02_RevCap">
                <anchor moveWithCells="1" sizeWithCells="1">
                  <from>
                    <xdr:col>7</xdr:col>
                    <xdr:colOff>28575</xdr:colOff>
                    <xdr:row>63</xdr:row>
                    <xdr:rowOff>66675</xdr:rowOff>
                  </from>
                  <to>
                    <xdr:col>7</xdr:col>
                    <xdr:colOff>742950</xdr:colOff>
                    <xdr:row>65</xdr:row>
                    <xdr:rowOff>104775</xdr:rowOff>
                  </to>
                </anchor>
              </controlPr>
            </control>
          </mc:Choice>
        </mc:AlternateContent>
        <mc:AlternateContent xmlns:mc="http://schemas.openxmlformats.org/markup-compatibility/2006">
          <mc:Choice Requires="x14">
            <control shapeId="181263" r:id="rId17" name="Button 15">
              <controlPr defaultSize="0" print="0" autoFill="0" autoPict="0" macro="[0]!Set_X_03_RevCap">
                <anchor moveWithCells="1" sizeWithCells="1">
                  <from>
                    <xdr:col>8</xdr:col>
                    <xdr:colOff>28575</xdr:colOff>
                    <xdr:row>63</xdr:row>
                    <xdr:rowOff>66675</xdr:rowOff>
                  </from>
                  <to>
                    <xdr:col>8</xdr:col>
                    <xdr:colOff>742950</xdr:colOff>
                    <xdr:row>65</xdr:row>
                    <xdr:rowOff>104775</xdr:rowOff>
                  </to>
                </anchor>
              </controlPr>
            </control>
          </mc:Choice>
        </mc:AlternateContent>
        <mc:AlternateContent xmlns:mc="http://schemas.openxmlformats.org/markup-compatibility/2006">
          <mc:Choice Requires="x14">
            <control shapeId="181264" r:id="rId18" name="Button 16">
              <controlPr defaultSize="0" print="0" autoFill="0" autoPict="0" macro="[0]!Set_X_04_RevCap">
                <anchor moveWithCells="1" sizeWithCells="1">
                  <from>
                    <xdr:col>9</xdr:col>
                    <xdr:colOff>28575</xdr:colOff>
                    <xdr:row>63</xdr:row>
                    <xdr:rowOff>66675</xdr:rowOff>
                  </from>
                  <to>
                    <xdr:col>9</xdr:col>
                    <xdr:colOff>742950</xdr:colOff>
                    <xdr:row>65</xdr:row>
                    <xdr:rowOff>104775</xdr:rowOff>
                  </to>
                </anchor>
              </controlPr>
            </control>
          </mc:Choice>
        </mc:AlternateContent>
        <mc:AlternateContent xmlns:mc="http://schemas.openxmlformats.org/markup-compatibility/2006">
          <mc:Choice Requires="x14">
            <control shapeId="181265" r:id="rId19" name="Button 17">
              <controlPr defaultSize="0" print="0" autoFill="0" autoPict="0" macro="[0]!Set_X_05_RevCap">
                <anchor moveWithCells="1" sizeWithCells="1">
                  <from>
                    <xdr:col>10</xdr:col>
                    <xdr:colOff>28575</xdr:colOff>
                    <xdr:row>63</xdr:row>
                    <xdr:rowOff>66675</xdr:rowOff>
                  </from>
                  <to>
                    <xdr:col>10</xdr:col>
                    <xdr:colOff>742950</xdr:colOff>
                    <xdr:row>65</xdr:row>
                    <xdr:rowOff>104775</xdr:rowOff>
                  </to>
                </anchor>
              </controlPr>
            </control>
          </mc:Choice>
        </mc:AlternateContent>
        <mc:AlternateContent xmlns:mc="http://schemas.openxmlformats.org/markup-compatibility/2006">
          <mc:Choice Requires="x14">
            <control shapeId="181266" r:id="rId20" name="Button 18">
              <controlPr defaultSize="0" print="0" autoFill="0" autoPict="0" macro="[0]!Set_X_06_RevCap">
                <anchor moveWithCells="1" sizeWithCells="1">
                  <from>
                    <xdr:col>11</xdr:col>
                    <xdr:colOff>28575</xdr:colOff>
                    <xdr:row>63</xdr:row>
                    <xdr:rowOff>66675</xdr:rowOff>
                  </from>
                  <to>
                    <xdr:col>11</xdr:col>
                    <xdr:colOff>742950</xdr:colOff>
                    <xdr:row>65</xdr:row>
                    <xdr:rowOff>104775</xdr:rowOff>
                  </to>
                </anchor>
              </controlPr>
            </control>
          </mc:Choice>
        </mc:AlternateContent>
        <mc:AlternateContent xmlns:mc="http://schemas.openxmlformats.org/markup-compatibility/2006">
          <mc:Choice Requires="x14">
            <control shapeId="181267" r:id="rId21" name="Button 19">
              <controlPr defaultSize="0" print="0" autoFill="0" autoPict="0" macro="[0]!Set_X_07_RevCap">
                <anchor moveWithCells="1" sizeWithCells="1">
                  <from>
                    <xdr:col>12</xdr:col>
                    <xdr:colOff>28575</xdr:colOff>
                    <xdr:row>63</xdr:row>
                    <xdr:rowOff>66675</xdr:rowOff>
                  </from>
                  <to>
                    <xdr:col>12</xdr:col>
                    <xdr:colOff>742950</xdr:colOff>
                    <xdr:row>65</xdr:row>
                    <xdr:rowOff>104775</xdr:rowOff>
                  </to>
                </anchor>
              </controlPr>
            </control>
          </mc:Choice>
        </mc:AlternateContent>
        <mc:AlternateContent xmlns:mc="http://schemas.openxmlformats.org/markup-compatibility/2006">
          <mc:Choice Requires="x14">
            <control shapeId="181268" r:id="rId22" name="Button 20">
              <controlPr defaultSize="0" print="0" autoFill="0" autoPict="0" macro="[0]!Set_X_08_RevCap">
                <anchor moveWithCells="1" sizeWithCells="1">
                  <from>
                    <xdr:col>13</xdr:col>
                    <xdr:colOff>28575</xdr:colOff>
                    <xdr:row>63</xdr:row>
                    <xdr:rowOff>66675</xdr:rowOff>
                  </from>
                  <to>
                    <xdr:col>13</xdr:col>
                    <xdr:colOff>742950</xdr:colOff>
                    <xdr:row>65</xdr:row>
                    <xdr:rowOff>104775</xdr:rowOff>
                  </to>
                </anchor>
              </controlPr>
            </control>
          </mc:Choice>
        </mc:AlternateContent>
        <mc:AlternateContent xmlns:mc="http://schemas.openxmlformats.org/markup-compatibility/2006">
          <mc:Choice Requires="x14">
            <control shapeId="181269" r:id="rId23" name="Button 21">
              <controlPr defaultSize="0" print="0" autoFill="0" autoPict="0" macro="[0]!Set_X_09_RevCap">
                <anchor moveWithCells="1" sizeWithCells="1">
                  <from>
                    <xdr:col>14</xdr:col>
                    <xdr:colOff>28575</xdr:colOff>
                    <xdr:row>63</xdr:row>
                    <xdr:rowOff>66675</xdr:rowOff>
                  </from>
                  <to>
                    <xdr:col>14</xdr:col>
                    <xdr:colOff>742950</xdr:colOff>
                    <xdr:row>65</xdr:row>
                    <xdr:rowOff>104775</xdr:rowOff>
                  </to>
                </anchor>
              </controlPr>
            </control>
          </mc:Choice>
        </mc:AlternateContent>
        <mc:AlternateContent xmlns:mc="http://schemas.openxmlformats.org/markup-compatibility/2006">
          <mc:Choice Requires="x14">
            <control shapeId="181270" r:id="rId24" name="Button 22">
              <controlPr defaultSize="0" print="0" autoFill="0" autoPict="0" macro="[0]!Set_X_10_RevCap">
                <anchor moveWithCells="1" sizeWithCells="1">
                  <from>
                    <xdr:col>15</xdr:col>
                    <xdr:colOff>28575</xdr:colOff>
                    <xdr:row>63</xdr:row>
                    <xdr:rowOff>66675</xdr:rowOff>
                  </from>
                  <to>
                    <xdr:col>15</xdr:col>
                    <xdr:colOff>742950</xdr:colOff>
                    <xdr:row>65</xdr:row>
                    <xdr:rowOff>104775</xdr:rowOff>
                  </to>
                </anchor>
              </controlPr>
            </control>
          </mc:Choice>
        </mc:AlternateContent>
        <mc:AlternateContent xmlns:mc="http://schemas.openxmlformats.org/markup-compatibility/2006">
          <mc:Choice Requires="x14">
            <control shapeId="181271" r:id="rId25" name="Button 23">
              <controlPr defaultSize="0" print="0" autoFill="0" autoPict="0" macro="[0]!Set_X_02_RevYld">
                <anchor moveWithCells="1" sizeWithCells="1">
                  <from>
                    <xdr:col>7</xdr:col>
                    <xdr:colOff>28575</xdr:colOff>
                    <xdr:row>83</xdr:row>
                    <xdr:rowOff>76200</xdr:rowOff>
                  </from>
                  <to>
                    <xdr:col>7</xdr:col>
                    <xdr:colOff>742950</xdr:colOff>
                    <xdr:row>85</xdr:row>
                    <xdr:rowOff>104775</xdr:rowOff>
                  </to>
                </anchor>
              </controlPr>
            </control>
          </mc:Choice>
        </mc:AlternateContent>
        <mc:AlternateContent xmlns:mc="http://schemas.openxmlformats.org/markup-compatibility/2006">
          <mc:Choice Requires="x14">
            <control shapeId="181272" r:id="rId26" name="Button 24">
              <controlPr defaultSize="0" print="0" autoFill="0" autoPict="0" macro="[0]!Set_X_03_RevYld">
                <anchor moveWithCells="1" sizeWithCells="1">
                  <from>
                    <xdr:col>8</xdr:col>
                    <xdr:colOff>28575</xdr:colOff>
                    <xdr:row>83</xdr:row>
                    <xdr:rowOff>76200</xdr:rowOff>
                  </from>
                  <to>
                    <xdr:col>8</xdr:col>
                    <xdr:colOff>742950</xdr:colOff>
                    <xdr:row>85</xdr:row>
                    <xdr:rowOff>104775</xdr:rowOff>
                  </to>
                </anchor>
              </controlPr>
            </control>
          </mc:Choice>
        </mc:AlternateContent>
        <mc:AlternateContent xmlns:mc="http://schemas.openxmlformats.org/markup-compatibility/2006">
          <mc:Choice Requires="x14">
            <control shapeId="181273" r:id="rId27" name="Button 25">
              <controlPr defaultSize="0" print="0" autoFill="0" autoPict="0" macro="[0]!Set_X_04_RevYld">
                <anchor moveWithCells="1" sizeWithCells="1">
                  <from>
                    <xdr:col>9</xdr:col>
                    <xdr:colOff>28575</xdr:colOff>
                    <xdr:row>83</xdr:row>
                    <xdr:rowOff>66675</xdr:rowOff>
                  </from>
                  <to>
                    <xdr:col>9</xdr:col>
                    <xdr:colOff>742950</xdr:colOff>
                    <xdr:row>85</xdr:row>
                    <xdr:rowOff>104775</xdr:rowOff>
                  </to>
                </anchor>
              </controlPr>
            </control>
          </mc:Choice>
        </mc:AlternateContent>
        <mc:AlternateContent xmlns:mc="http://schemas.openxmlformats.org/markup-compatibility/2006">
          <mc:Choice Requires="x14">
            <control shapeId="181274" r:id="rId28" name="Button 26">
              <controlPr defaultSize="0" print="0" autoFill="0" autoPict="0" macro="[0]!Set_X_05_RevYld">
                <anchor moveWithCells="1" sizeWithCells="1">
                  <from>
                    <xdr:col>10</xdr:col>
                    <xdr:colOff>28575</xdr:colOff>
                    <xdr:row>83</xdr:row>
                    <xdr:rowOff>66675</xdr:rowOff>
                  </from>
                  <to>
                    <xdr:col>10</xdr:col>
                    <xdr:colOff>742950</xdr:colOff>
                    <xdr:row>85</xdr:row>
                    <xdr:rowOff>104775</xdr:rowOff>
                  </to>
                </anchor>
              </controlPr>
            </control>
          </mc:Choice>
        </mc:AlternateContent>
        <mc:AlternateContent xmlns:mc="http://schemas.openxmlformats.org/markup-compatibility/2006">
          <mc:Choice Requires="x14">
            <control shapeId="181275" r:id="rId29" name="Button 27">
              <controlPr defaultSize="0" print="0" autoFill="0" autoPict="0" macro="[0]!Set_X_06_RevYld">
                <anchor moveWithCells="1" sizeWithCells="1">
                  <from>
                    <xdr:col>11</xdr:col>
                    <xdr:colOff>28575</xdr:colOff>
                    <xdr:row>83</xdr:row>
                    <xdr:rowOff>66675</xdr:rowOff>
                  </from>
                  <to>
                    <xdr:col>11</xdr:col>
                    <xdr:colOff>742950</xdr:colOff>
                    <xdr:row>85</xdr:row>
                    <xdr:rowOff>104775</xdr:rowOff>
                  </to>
                </anchor>
              </controlPr>
            </control>
          </mc:Choice>
        </mc:AlternateContent>
        <mc:AlternateContent xmlns:mc="http://schemas.openxmlformats.org/markup-compatibility/2006">
          <mc:Choice Requires="x14">
            <control shapeId="181276" r:id="rId30" name="Button 28">
              <controlPr defaultSize="0" print="0" autoFill="0" autoPict="0" macro="[0]!Set_X_07_RevYld">
                <anchor moveWithCells="1" sizeWithCells="1">
                  <from>
                    <xdr:col>12</xdr:col>
                    <xdr:colOff>28575</xdr:colOff>
                    <xdr:row>83</xdr:row>
                    <xdr:rowOff>66675</xdr:rowOff>
                  </from>
                  <to>
                    <xdr:col>12</xdr:col>
                    <xdr:colOff>742950</xdr:colOff>
                    <xdr:row>85</xdr:row>
                    <xdr:rowOff>104775</xdr:rowOff>
                  </to>
                </anchor>
              </controlPr>
            </control>
          </mc:Choice>
        </mc:AlternateContent>
        <mc:AlternateContent xmlns:mc="http://schemas.openxmlformats.org/markup-compatibility/2006">
          <mc:Choice Requires="x14">
            <control shapeId="181277" r:id="rId31" name="Button 29">
              <controlPr defaultSize="0" print="0" autoFill="0" autoPict="0" macro="[0]!Set_X_08_RevYld">
                <anchor moveWithCells="1" sizeWithCells="1">
                  <from>
                    <xdr:col>13</xdr:col>
                    <xdr:colOff>28575</xdr:colOff>
                    <xdr:row>83</xdr:row>
                    <xdr:rowOff>66675</xdr:rowOff>
                  </from>
                  <to>
                    <xdr:col>13</xdr:col>
                    <xdr:colOff>742950</xdr:colOff>
                    <xdr:row>85</xdr:row>
                    <xdr:rowOff>104775</xdr:rowOff>
                  </to>
                </anchor>
              </controlPr>
            </control>
          </mc:Choice>
        </mc:AlternateContent>
        <mc:AlternateContent xmlns:mc="http://schemas.openxmlformats.org/markup-compatibility/2006">
          <mc:Choice Requires="x14">
            <control shapeId="181278" r:id="rId32" name="Button 30">
              <controlPr defaultSize="0" print="0" autoFill="0" autoPict="0" macro="[0]!Set_X_09_RevYld">
                <anchor moveWithCells="1" sizeWithCells="1">
                  <from>
                    <xdr:col>14</xdr:col>
                    <xdr:colOff>28575</xdr:colOff>
                    <xdr:row>83</xdr:row>
                    <xdr:rowOff>66675</xdr:rowOff>
                  </from>
                  <to>
                    <xdr:col>14</xdr:col>
                    <xdr:colOff>742950</xdr:colOff>
                    <xdr:row>85</xdr:row>
                    <xdr:rowOff>104775</xdr:rowOff>
                  </to>
                </anchor>
              </controlPr>
            </control>
          </mc:Choice>
        </mc:AlternateContent>
        <mc:AlternateContent xmlns:mc="http://schemas.openxmlformats.org/markup-compatibility/2006">
          <mc:Choice Requires="x14">
            <control shapeId="181279" r:id="rId33" name="Button 31">
              <controlPr defaultSize="0" print="0" autoFill="0" autoPict="0" macro="[0]!Set_X_10_RevYld">
                <anchor moveWithCells="1" sizeWithCells="1">
                  <from>
                    <xdr:col>15</xdr:col>
                    <xdr:colOff>28575</xdr:colOff>
                    <xdr:row>83</xdr:row>
                    <xdr:rowOff>66675</xdr:rowOff>
                  </from>
                  <to>
                    <xdr:col>15</xdr:col>
                    <xdr:colOff>742950</xdr:colOff>
                    <xdr:row>85</xdr:row>
                    <xdr:rowOff>104775</xdr:rowOff>
                  </to>
                </anchor>
              </controlPr>
            </control>
          </mc:Choice>
        </mc:AlternateContent>
        <mc:AlternateContent xmlns:mc="http://schemas.openxmlformats.org/markup-compatibility/2006">
          <mc:Choice Requires="x14">
            <control shapeId="181280" r:id="rId34" name="Button 32">
              <controlPr defaultSize="0" print="0" autoFill="0" autoPict="0" macro="[0]!Set_Default_Smoothing_WAPC">
                <anchor moveWithCells="1" sizeWithCells="1">
                  <from>
                    <xdr:col>4</xdr:col>
                    <xdr:colOff>600075</xdr:colOff>
                    <xdr:row>47</xdr:row>
                    <xdr:rowOff>104775</xdr:rowOff>
                  </from>
                  <to>
                    <xdr:col>5</xdr:col>
                    <xdr:colOff>847725</xdr:colOff>
                    <xdr:row>49</xdr:row>
                    <xdr:rowOff>133350</xdr:rowOff>
                  </to>
                </anchor>
              </controlPr>
            </control>
          </mc:Choice>
        </mc:AlternateContent>
        <mc:AlternateContent xmlns:mc="http://schemas.openxmlformats.org/markup-compatibility/2006">
          <mc:Choice Requires="x14">
            <control shapeId="181281" r:id="rId35" name="Button 33">
              <controlPr defaultSize="0" print="0" autoFill="0" autoPict="0" macro="[0]!Set_Default_Smoothing_RevCap">
                <anchor moveWithCells="1" sizeWithCells="1">
                  <from>
                    <xdr:col>4</xdr:col>
                    <xdr:colOff>581025</xdr:colOff>
                    <xdr:row>63</xdr:row>
                    <xdr:rowOff>95250</xdr:rowOff>
                  </from>
                  <to>
                    <xdr:col>5</xdr:col>
                    <xdr:colOff>838200</xdr:colOff>
                    <xdr:row>65</xdr:row>
                    <xdr:rowOff>114300</xdr:rowOff>
                  </to>
                </anchor>
              </controlPr>
            </control>
          </mc:Choice>
        </mc:AlternateContent>
        <mc:AlternateContent xmlns:mc="http://schemas.openxmlformats.org/markup-compatibility/2006">
          <mc:Choice Requires="x14">
            <control shapeId="181283" r:id="rId36" name="Button 35">
              <controlPr defaultSize="0" print="0" autoFill="0" autoPict="0" macro="[0]!Set_Default_Smoothing_RevYld">
                <anchor moveWithCells="1" sizeWithCells="1">
                  <from>
                    <xdr:col>4</xdr:col>
                    <xdr:colOff>542925</xdr:colOff>
                    <xdr:row>83</xdr:row>
                    <xdr:rowOff>76200</xdr:rowOff>
                  </from>
                  <to>
                    <xdr:col>5</xdr:col>
                    <xdr:colOff>819150</xdr:colOff>
                    <xdr:row>85</xdr:row>
                    <xdr:rowOff>104775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autoPageBreaks="0"/>
  </sheetPr>
  <dimension ref="A1:Y104"/>
  <sheetViews>
    <sheetView showGridLines="0" zoomScale="85" zoomScaleNormal="85" zoomScaleSheetLayoutView="70" workbookViewId="0"/>
  </sheetViews>
  <sheetFormatPr defaultRowHeight="12.75" outlineLevelCol="1"/>
  <cols>
    <col min="1" max="2" width="1" customWidth="1"/>
    <col min="3" max="3" width="3.42578125" customWidth="1"/>
    <col min="4" max="4" width="35.7109375" customWidth="1"/>
    <col min="5" max="5" width="14.28515625" customWidth="1"/>
    <col min="6" max="11" width="11.42578125" customWidth="1"/>
    <col min="12" max="16" width="9.85546875" customWidth="1" outlineLevel="1"/>
    <col min="17" max="17" width="14.85546875" customWidth="1"/>
    <col min="18" max="18" width="5.5703125" customWidth="1"/>
    <col min="19" max="19" width="10.85546875" customWidth="1"/>
    <col min="20" max="20" width="13.7109375" customWidth="1"/>
    <col min="21" max="21" width="8.85546875" customWidth="1"/>
  </cols>
  <sheetData>
    <row r="1" spans="1:24">
      <c r="A1" s="18"/>
      <c r="B1" s="18"/>
      <c r="C1" s="27"/>
      <c r="D1" s="27"/>
      <c r="E1" s="27"/>
      <c r="F1" s="27"/>
      <c r="G1" s="25"/>
      <c r="H1" s="349"/>
      <c r="I1" s="349"/>
      <c r="J1" s="63"/>
      <c r="K1" s="349"/>
      <c r="L1" s="349"/>
      <c r="M1" s="349"/>
      <c r="N1" s="64"/>
      <c r="O1" s="64"/>
      <c r="P1" s="64"/>
      <c r="Q1" s="18"/>
      <c r="R1" s="240"/>
      <c r="S1" s="240"/>
      <c r="T1" s="240"/>
      <c r="U1" s="240"/>
      <c r="V1" s="240"/>
      <c r="W1" s="240"/>
      <c r="X1" s="240"/>
    </row>
    <row r="2" spans="1:24" ht="15.75">
      <c r="A2" s="25"/>
      <c r="B2" s="25"/>
      <c r="C2" s="350" t="str">
        <f>'DMS input'!$C$16&amp;" - Revenue and Price Summary"&amp;" - DNSP PTRM - version "&amp;Intro!$L$4</f>
        <v>Aus Elec - Revenue and Price Summary - DNSP PTRM - version 3</v>
      </c>
      <c r="D2" s="350"/>
      <c r="E2" s="25"/>
      <c r="F2" s="25"/>
      <c r="G2" s="25"/>
      <c r="H2" s="25"/>
      <c r="I2" s="25"/>
      <c r="J2" s="25"/>
      <c r="K2" s="25"/>
      <c r="L2" s="25"/>
      <c r="M2" s="25"/>
      <c r="N2" s="25"/>
      <c r="O2" s="25"/>
      <c r="P2" s="25"/>
      <c r="Q2" s="25"/>
      <c r="R2" s="240"/>
      <c r="S2" s="240"/>
      <c r="T2" s="240"/>
      <c r="U2" s="240"/>
      <c r="V2" s="240"/>
      <c r="W2" s="240"/>
      <c r="X2" s="240"/>
    </row>
    <row r="3" spans="1:24" ht="12.75" customHeight="1">
      <c r="A3" s="25"/>
      <c r="B3" s="25"/>
      <c r="C3" s="350"/>
      <c r="D3" s="350"/>
      <c r="E3" s="25"/>
      <c r="F3" s="25"/>
      <c r="G3" s="25"/>
      <c r="H3" s="25"/>
      <c r="I3" s="25"/>
      <c r="J3" s="25"/>
      <c r="K3" s="25"/>
      <c r="L3" s="25"/>
      <c r="M3" s="25"/>
      <c r="N3" s="25"/>
      <c r="O3" s="25"/>
      <c r="P3" s="25"/>
      <c r="Q3" s="25"/>
      <c r="R3" s="240"/>
      <c r="S3" s="240"/>
      <c r="T3" s="240"/>
      <c r="U3" s="240"/>
      <c r="V3" s="240"/>
      <c r="W3" s="240"/>
      <c r="X3" s="240"/>
    </row>
    <row r="4" spans="1:24" ht="15.75">
      <c r="A4" s="132"/>
      <c r="B4" s="478"/>
      <c r="C4" s="133" t="s">
        <v>54</v>
      </c>
      <c r="D4" s="133"/>
      <c r="E4" s="132"/>
      <c r="F4" s="132" t="str">
        <f>'PTRM input'!F241</f>
        <v>2009-10</v>
      </c>
      <c r="G4" s="132" t="str">
        <f>'PTRM input'!G241</f>
        <v>2010-11</v>
      </c>
      <c r="H4" s="132" t="str">
        <f>'PTRM input'!H241</f>
        <v>2011-12</v>
      </c>
      <c r="I4" s="132" t="str">
        <f>'PTRM input'!I241</f>
        <v>2012-13</v>
      </c>
      <c r="J4" s="132" t="str">
        <f>'PTRM input'!J241</f>
        <v>2013-14</v>
      </c>
      <c r="K4" s="132" t="str">
        <f>'PTRM input'!K241</f>
        <v>2014-15</v>
      </c>
      <c r="L4" s="132" t="str">
        <f>'PTRM input'!L241</f>
        <v>2015-16</v>
      </c>
      <c r="M4" s="132" t="str">
        <f>'PTRM input'!M241</f>
        <v>2016-17</v>
      </c>
      <c r="N4" s="132" t="str">
        <f>'PTRM input'!N241</f>
        <v>2017-18</v>
      </c>
      <c r="O4" s="132" t="str">
        <f>'PTRM input'!O241</f>
        <v>2018-19</v>
      </c>
      <c r="P4" s="132" t="str">
        <f>'PTRM input'!P241</f>
        <v>2019-20</v>
      </c>
      <c r="Q4" s="355" t="s">
        <v>83</v>
      </c>
      <c r="R4" s="355"/>
      <c r="S4" s="355"/>
      <c r="T4" s="355"/>
      <c r="U4" s="355"/>
      <c r="V4" s="240"/>
      <c r="W4" s="240"/>
      <c r="X4" s="240"/>
    </row>
    <row r="5" spans="1:24">
      <c r="A5" s="116"/>
      <c r="B5" s="480"/>
      <c r="C5" s="351" t="s">
        <v>350</v>
      </c>
      <c r="D5" s="351"/>
      <c r="E5" s="351"/>
      <c r="F5" s="351"/>
      <c r="G5" s="351"/>
      <c r="H5" s="272"/>
      <c r="I5" s="272"/>
      <c r="J5" s="272"/>
      <c r="K5" s="272"/>
      <c r="L5" s="272"/>
      <c r="M5" s="272"/>
      <c r="N5" s="272"/>
      <c r="O5" s="272"/>
      <c r="P5" s="272"/>
      <c r="Q5" s="272"/>
      <c r="R5" s="272"/>
      <c r="S5" s="272"/>
      <c r="T5" s="272"/>
      <c r="U5" s="272"/>
      <c r="V5" s="240"/>
      <c r="W5" s="240"/>
      <c r="X5" s="240"/>
    </row>
    <row r="6" spans="1:24">
      <c r="A6" s="240"/>
      <c r="B6" s="240"/>
      <c r="C6" s="240"/>
      <c r="D6" s="240"/>
      <c r="E6" s="240"/>
      <c r="F6" s="240"/>
      <c r="G6" s="240"/>
      <c r="H6" s="240"/>
      <c r="I6" s="240"/>
      <c r="J6" s="240"/>
      <c r="K6" s="240"/>
      <c r="L6" s="240"/>
      <c r="M6" s="240"/>
      <c r="N6" s="240"/>
      <c r="O6" s="240"/>
      <c r="P6" s="240"/>
      <c r="Q6" s="240"/>
      <c r="R6" s="240"/>
      <c r="S6" s="240"/>
      <c r="T6" s="240"/>
      <c r="U6" s="240"/>
      <c r="V6" s="240"/>
      <c r="W6" s="240"/>
      <c r="X6" s="240"/>
    </row>
    <row r="7" spans="1:24">
      <c r="A7" s="240"/>
      <c r="B7" s="240"/>
      <c r="C7" s="240"/>
      <c r="D7" s="359" t="s">
        <v>43</v>
      </c>
      <c r="E7" s="240"/>
      <c r="F7" s="529"/>
      <c r="G7" s="236">
        <f>'X factors'!G30</f>
        <v>3.3958607487668875</v>
      </c>
      <c r="H7" s="236">
        <f>'X factors'!H30</f>
        <v>3.4666411044836183</v>
      </c>
      <c r="I7" s="236">
        <f>'X factors'!I30</f>
        <v>3.5664289423745474</v>
      </c>
      <c r="J7" s="236">
        <f>'X factors'!J30</f>
        <v>3.6590628552310442</v>
      </c>
      <c r="K7" s="236">
        <f>'X factors'!K30</f>
        <v>3.6882754600445615</v>
      </c>
      <c r="L7" s="236">
        <f>'X factors'!L30</f>
        <v>0</v>
      </c>
      <c r="M7" s="236">
        <f>'X factors'!M30</f>
        <v>0</v>
      </c>
      <c r="N7" s="236">
        <f>'X factors'!N30</f>
        <v>0</v>
      </c>
      <c r="O7" s="236">
        <f>'X factors'!O30</f>
        <v>0</v>
      </c>
      <c r="P7" s="236">
        <f>'X factors'!P30</f>
        <v>0</v>
      </c>
      <c r="Q7" s="236">
        <f t="shared" ref="Q7:Q12" si="0">SUM(G7:P7)</f>
        <v>17.776269110900657</v>
      </c>
      <c r="R7" s="240"/>
      <c r="S7" s="240"/>
      <c r="T7" s="240"/>
      <c r="U7" s="240"/>
      <c r="V7" s="240"/>
      <c r="W7" s="240"/>
      <c r="X7" s="240"/>
    </row>
    <row r="8" spans="1:24">
      <c r="A8" s="240"/>
      <c r="B8" s="240"/>
      <c r="C8" s="240"/>
      <c r="D8" s="359" t="s">
        <v>343</v>
      </c>
      <c r="E8" s="240"/>
      <c r="F8" s="529"/>
      <c r="G8" s="236">
        <f>'X factors'!G31</f>
        <v>1.812706646678228</v>
      </c>
      <c r="H8" s="236">
        <f>'X factors'!H31</f>
        <v>1.9551246910744142</v>
      </c>
      <c r="I8" s="236">
        <f>'X factors'!I31</f>
        <v>2.1101983670762632</v>
      </c>
      <c r="J8" s="236">
        <f>'X factors'!J31</f>
        <v>2.274670476254725</v>
      </c>
      <c r="K8" s="236">
        <f>'X factors'!K31</f>
        <v>2.4424963356561413</v>
      </c>
      <c r="L8" s="236">
        <f>'X factors'!L31</f>
        <v>0</v>
      </c>
      <c r="M8" s="236">
        <f>'X factors'!M31</f>
        <v>0</v>
      </c>
      <c r="N8" s="236">
        <f>'X factors'!N31</f>
        <v>0</v>
      </c>
      <c r="O8" s="236">
        <f>'X factors'!O31</f>
        <v>0</v>
      </c>
      <c r="P8" s="236">
        <f>'X factors'!P31</f>
        <v>0</v>
      </c>
      <c r="Q8" s="236">
        <f t="shared" si="0"/>
        <v>10.595196516739772</v>
      </c>
      <c r="R8" s="240"/>
      <c r="S8" s="240"/>
      <c r="T8" s="240"/>
      <c r="U8" s="240"/>
      <c r="V8" s="240"/>
      <c r="W8" s="240"/>
      <c r="X8" s="240"/>
    </row>
    <row r="9" spans="1:24">
      <c r="A9" s="240"/>
      <c r="B9" s="240"/>
      <c r="C9" s="240"/>
      <c r="D9" s="359" t="s">
        <v>300</v>
      </c>
      <c r="E9" s="240"/>
      <c r="F9" s="236"/>
      <c r="G9" s="236">
        <f>'X factors'!G32</f>
        <v>5.5481846193927771</v>
      </c>
      <c r="H9" s="236">
        <f>'X factors'!H32</f>
        <v>6.0855256345683566</v>
      </c>
      <c r="I9" s="236">
        <f>'X factors'!I32</f>
        <v>6.9042490312056941</v>
      </c>
      <c r="J9" s="236">
        <f>'X factors'!J32</f>
        <v>7.7079127816864537</v>
      </c>
      <c r="K9" s="236">
        <f>'X factors'!K32</f>
        <v>8.0829431956179896</v>
      </c>
      <c r="L9" s="236">
        <f>'X factors'!L32</f>
        <v>0</v>
      </c>
      <c r="M9" s="236">
        <f>'X factors'!M32</f>
        <v>0</v>
      </c>
      <c r="N9" s="236">
        <f>'X factors'!N32</f>
        <v>0</v>
      </c>
      <c r="O9" s="236">
        <f>'X factors'!O32</f>
        <v>0</v>
      </c>
      <c r="P9" s="236">
        <f>'X factors'!P32</f>
        <v>0</v>
      </c>
      <c r="Q9" s="236">
        <f t="shared" si="0"/>
        <v>34.328815262471267</v>
      </c>
      <c r="R9" s="240"/>
      <c r="S9" s="240"/>
      <c r="T9" s="240"/>
      <c r="U9" s="240"/>
      <c r="V9" s="240"/>
      <c r="W9" s="240"/>
      <c r="X9" s="240"/>
    </row>
    <row r="10" spans="1:24">
      <c r="A10" s="240"/>
      <c r="B10" s="240"/>
      <c r="C10" s="240"/>
      <c r="D10" s="359" t="s">
        <v>297</v>
      </c>
      <c r="E10" s="240"/>
      <c r="F10" s="236"/>
      <c r="G10" s="236">
        <f>'X factors'!G33</f>
        <v>0</v>
      </c>
      <c r="H10" s="236">
        <f>'X factors'!H33</f>
        <v>0</v>
      </c>
      <c r="I10" s="236">
        <f>'X factors'!I33</f>
        <v>0</v>
      </c>
      <c r="J10" s="236">
        <f>'X factors'!J33</f>
        <v>0</v>
      </c>
      <c r="K10" s="236">
        <f>'X factors'!K33</f>
        <v>0</v>
      </c>
      <c r="L10" s="236">
        <f>'X factors'!L33</f>
        <v>0</v>
      </c>
      <c r="M10" s="236">
        <f>'X factors'!M33</f>
        <v>0</v>
      </c>
      <c r="N10" s="236">
        <f>'X factors'!N33</f>
        <v>0</v>
      </c>
      <c r="O10" s="236">
        <f>'X factors'!O33</f>
        <v>0</v>
      </c>
      <c r="P10" s="236">
        <f>'X factors'!P33</f>
        <v>0</v>
      </c>
      <c r="Q10" s="236">
        <f t="shared" si="0"/>
        <v>0</v>
      </c>
      <c r="R10" s="240"/>
      <c r="S10" s="240"/>
      <c r="T10" s="240"/>
      <c r="U10" s="240"/>
      <c r="V10" s="240"/>
      <c r="W10" s="240"/>
      <c r="X10" s="240"/>
    </row>
    <row r="11" spans="1:24">
      <c r="A11" s="240"/>
      <c r="B11" s="240"/>
      <c r="C11" s="240"/>
      <c r="D11" s="359" t="s">
        <v>301</v>
      </c>
      <c r="E11" s="240"/>
      <c r="F11" s="236"/>
      <c r="G11" s="236">
        <f>'X factors'!G34</f>
        <v>1.8285750141673818</v>
      </c>
      <c r="H11" s="236">
        <f>'X factors'!H34</f>
        <v>1.6328701286155609</v>
      </c>
      <c r="I11" s="236">
        <f>'X factors'!I34</f>
        <v>1.2840545750119829</v>
      </c>
      <c r="J11" s="236">
        <f>'X factors'!J34</f>
        <v>1.4696579420219007</v>
      </c>
      <c r="K11" s="236">
        <f>'X factors'!K34</f>
        <v>0.90155308235716691</v>
      </c>
      <c r="L11" s="236">
        <f>'X factors'!L34</f>
        <v>0</v>
      </c>
      <c r="M11" s="236">
        <f>'X factors'!M34</f>
        <v>0</v>
      </c>
      <c r="N11" s="236">
        <f>'X factors'!N34</f>
        <v>0</v>
      </c>
      <c r="O11" s="236">
        <f>'X factors'!O34</f>
        <v>0</v>
      </c>
      <c r="P11" s="236">
        <f>'X factors'!P34</f>
        <v>0</v>
      </c>
      <c r="Q11" s="236">
        <f t="shared" si="0"/>
        <v>7.1167107421739937</v>
      </c>
      <c r="R11" s="240"/>
      <c r="S11" s="240"/>
      <c r="T11" s="334"/>
      <c r="U11" s="240"/>
      <c r="V11" s="240"/>
      <c r="W11" s="240"/>
      <c r="X11" s="240"/>
    </row>
    <row r="12" spans="1:24">
      <c r="A12" s="240"/>
      <c r="B12" s="240"/>
      <c r="C12" s="240"/>
      <c r="D12" s="328" t="s">
        <v>299</v>
      </c>
      <c r="E12" s="328"/>
      <c r="F12" s="531">
        <f>'PTRM input'!G237</f>
        <v>10</v>
      </c>
      <c r="G12" s="532">
        <f>'X factors'!G35</f>
        <v>12.585327029005274</v>
      </c>
      <c r="H12" s="532">
        <f>'X factors'!H35</f>
        <v>13.140161558741951</v>
      </c>
      <c r="I12" s="532">
        <f>'X factors'!I35</f>
        <v>13.864930915668488</v>
      </c>
      <c r="J12" s="532">
        <f>'X factors'!J35</f>
        <v>15.111304055194122</v>
      </c>
      <c r="K12" s="532">
        <f>'X factors'!K35</f>
        <v>15.115268073675859</v>
      </c>
      <c r="L12" s="532">
        <f>'X factors'!L35</f>
        <v>0</v>
      </c>
      <c r="M12" s="532">
        <f>'X factors'!M35</f>
        <v>0</v>
      </c>
      <c r="N12" s="532">
        <f>'X factors'!N35</f>
        <v>0</v>
      </c>
      <c r="O12" s="532">
        <f>'X factors'!O35</f>
        <v>0</v>
      </c>
      <c r="P12" s="532">
        <f>'X factors'!P35</f>
        <v>0</v>
      </c>
      <c r="Q12" s="533">
        <f t="shared" si="0"/>
        <v>69.816991632285706</v>
      </c>
      <c r="R12" s="240"/>
      <c r="S12" s="534">
        <f>G12/'X factors'!G$8+H12/'X factors'!H$8+I12/'X factors'!I$8+J12/'X factors'!J$8+K12/'X factors'!K$8+L12/'X factors'!L$8+M12/'X factors'!M$8+N12/'X factors'!N$8+O12/'X factors'!O$8+P12/'X factors'!P$8</f>
        <v>52.756256967277999</v>
      </c>
      <c r="T12" s="334" t="s">
        <v>41</v>
      </c>
      <c r="U12" s="334"/>
      <c r="V12" s="240"/>
      <c r="W12" s="240"/>
      <c r="X12" s="240"/>
    </row>
    <row r="13" spans="1:24">
      <c r="A13" s="240"/>
      <c r="B13" s="240"/>
      <c r="C13" s="356"/>
      <c r="D13" s="356"/>
      <c r="E13" s="240"/>
      <c r="F13" s="240"/>
      <c r="G13" s="240"/>
      <c r="H13" s="240"/>
      <c r="I13" s="240"/>
      <c r="J13" s="240"/>
      <c r="K13" s="240"/>
      <c r="L13" s="240"/>
      <c r="M13" s="240"/>
      <c r="N13" s="240"/>
      <c r="O13" s="240"/>
      <c r="P13" s="240"/>
      <c r="Q13" s="240"/>
      <c r="R13" s="240"/>
      <c r="S13" s="240"/>
      <c r="T13" s="334"/>
      <c r="U13" s="240"/>
      <c r="V13" s="240"/>
      <c r="W13" s="240"/>
      <c r="X13" s="240"/>
    </row>
    <row r="14" spans="1:24">
      <c r="A14" s="116"/>
      <c r="B14" s="480"/>
      <c r="C14" s="269" t="s">
        <v>317</v>
      </c>
      <c r="D14" s="351"/>
      <c r="E14" s="116"/>
      <c r="F14" s="116"/>
      <c r="G14" s="116"/>
      <c r="H14" s="116"/>
      <c r="I14" s="116"/>
      <c r="J14" s="116"/>
      <c r="K14" s="116"/>
      <c r="L14" s="116"/>
      <c r="M14" s="116"/>
      <c r="N14" s="116"/>
      <c r="O14" s="116"/>
      <c r="P14" s="116"/>
      <c r="Q14" s="116"/>
      <c r="R14" s="116"/>
      <c r="S14" s="116"/>
      <c r="T14" s="120"/>
      <c r="U14" s="116"/>
      <c r="V14" s="240"/>
      <c r="W14" s="240"/>
      <c r="X14" s="240"/>
    </row>
    <row r="15" spans="1:24">
      <c r="A15" s="18"/>
      <c r="B15" s="18"/>
      <c r="C15" s="18"/>
      <c r="D15" s="18"/>
      <c r="E15" s="18"/>
      <c r="F15" s="237"/>
      <c r="G15" s="237"/>
      <c r="H15" s="237"/>
      <c r="I15" s="237"/>
      <c r="J15" s="237"/>
      <c r="K15" s="237"/>
      <c r="L15" s="237"/>
      <c r="M15" s="237"/>
      <c r="N15" s="237"/>
      <c r="O15" s="237"/>
      <c r="P15" s="237"/>
      <c r="Q15" s="237"/>
      <c r="R15" s="18"/>
      <c r="S15" s="18"/>
      <c r="T15" s="337"/>
      <c r="U15" s="18"/>
      <c r="V15" s="240"/>
      <c r="W15" s="240"/>
      <c r="X15" s="240"/>
    </row>
    <row r="16" spans="1:24">
      <c r="A16" s="18"/>
      <c r="B16" s="18"/>
      <c r="C16" s="557" t="s">
        <v>314</v>
      </c>
      <c r="D16" s="378"/>
      <c r="E16" s="753"/>
      <c r="F16" s="237"/>
      <c r="G16" s="237"/>
      <c r="H16" s="237"/>
      <c r="I16" s="237"/>
      <c r="J16" s="237"/>
      <c r="K16" s="237"/>
      <c r="L16" s="237"/>
      <c r="M16" s="237"/>
      <c r="N16" s="237"/>
      <c r="O16" s="237"/>
      <c r="P16" s="237"/>
      <c r="Q16" s="237"/>
      <c r="R16" s="18"/>
      <c r="S16" s="18"/>
      <c r="T16" s="337"/>
      <c r="U16" s="18"/>
      <c r="V16" s="240"/>
      <c r="W16" s="240"/>
      <c r="X16" s="240"/>
    </row>
    <row r="17" spans="1:24">
      <c r="A17" s="18"/>
      <c r="B17" s="18"/>
      <c r="C17" s="237"/>
      <c r="D17" s="557" t="s">
        <v>315</v>
      </c>
      <c r="E17" s="27"/>
      <c r="F17" s="755">
        <f>F12</f>
        <v>10</v>
      </c>
      <c r="G17" s="532">
        <f>'X factors'!G44</f>
        <v>355.99520145786204</v>
      </c>
      <c r="H17" s="532">
        <f>'X factors'!H44</f>
        <v>358.67916369407845</v>
      </c>
      <c r="I17" s="1501">
        <f>'X factors'!I44</f>
        <v>368.14543207549701</v>
      </c>
      <c r="J17" s="532">
        <f>'X factors'!J44</f>
        <v>377.90599019496472</v>
      </c>
      <c r="K17" s="532">
        <f>'X factors'!K44</f>
        <v>387.970523997437</v>
      </c>
      <c r="L17" s="532">
        <f>'X factors'!L44</f>
        <v>0</v>
      </c>
      <c r="M17" s="532">
        <f>'X factors'!M44</f>
        <v>0</v>
      </c>
      <c r="N17" s="532">
        <f>'X factors'!N44</f>
        <v>0</v>
      </c>
      <c r="O17" s="532">
        <f>'X factors'!O44</f>
        <v>0</v>
      </c>
      <c r="P17" s="532">
        <f>'X factors'!P44</f>
        <v>0</v>
      </c>
      <c r="Q17" s="532">
        <f>SUM(G17:P17)</f>
        <v>1848.6963114198393</v>
      </c>
      <c r="R17" s="41"/>
      <c r="S17" s="534">
        <f>G17/'X factors'!G$8+H17/'X factors'!H$8+I17/'X factors'!I$8+J17/'X factors'!J$8+K17/'X factors'!K$8+L17/'X factors'!L$8+M17/'X factors'!M$8+N17/'X factors'!N$8+O17/'X factors'!O$8+P17/'X factors'!P$8</f>
        <v>1404.3290993044013</v>
      </c>
      <c r="T17" s="334" t="s">
        <v>41</v>
      </c>
      <c r="U17" s="18"/>
      <c r="V17" s="240"/>
      <c r="W17" s="240"/>
      <c r="X17" s="240"/>
    </row>
    <row r="18" spans="1:24">
      <c r="A18" s="18"/>
      <c r="B18" s="18"/>
      <c r="C18" s="237"/>
      <c r="D18" s="359" t="s">
        <v>278</v>
      </c>
      <c r="E18" s="753"/>
      <c r="F18" s="237"/>
      <c r="G18" s="372">
        <f>P_0_WAPC</f>
        <v>-4.0657682483409396E-2</v>
      </c>
      <c r="H18" s="372">
        <f>IF(COUNT($G18:G18)&gt;='PTRM input'!$R$7,"",X_02_WAPC)</f>
        <v>2.950707839041819E-2</v>
      </c>
      <c r="I18" s="372">
        <f>IF(COUNT($G18:H18)&gt;='PTRM input'!$R$7,"",X_03_WAPC)</f>
        <v>1.1464992261521624E-2</v>
      </c>
      <c r="J18" s="372">
        <f>IF(COUNT($G18:I18)&gt;='PTRM input'!$R$7,"",X_04_WAPC)</f>
        <v>1.1464992261521624E-2</v>
      </c>
      <c r="K18" s="372">
        <f>IF(COUNT($G18:J18)&gt;='PTRM input'!$R$7,"",X_05_WAPC)</f>
        <v>1.1464992261521624E-2</v>
      </c>
      <c r="L18" s="372" t="str">
        <f>IF(COUNT($G18:K18)&gt;='PTRM input'!$R$7,"",X_06_WAPC)</f>
        <v/>
      </c>
      <c r="M18" s="372" t="str">
        <f>IF(COUNT($G18:L18)&gt;='PTRM input'!$R$7,"",X_07_WAPC)</f>
        <v/>
      </c>
      <c r="N18" s="372" t="str">
        <f>IF(COUNT($G18:M18)&gt;='PTRM input'!$R$7,"",X_08_WAPC)</f>
        <v/>
      </c>
      <c r="O18" s="372" t="str">
        <f>IF(COUNT($G18:N18)&gt;='PTRM input'!$R$7,"",X_09_WAPC)</f>
        <v/>
      </c>
      <c r="P18" s="372" t="str">
        <f>IF(COUNT($G18:O18)&gt;='PTRM input'!$R$7,"",X_10_WAPC)</f>
        <v/>
      </c>
      <c r="Q18" s="373"/>
      <c r="R18" s="18"/>
      <c r="S18" s="18"/>
      <c r="T18" s="337"/>
      <c r="U18" s="18"/>
      <c r="V18" s="240"/>
      <c r="W18" s="240"/>
      <c r="X18" s="240"/>
    </row>
    <row r="19" spans="1:24">
      <c r="A19" s="18"/>
      <c r="B19" s="18"/>
      <c r="C19" s="237"/>
      <c r="D19" s="237"/>
      <c r="E19" s="753"/>
      <c r="F19" s="237"/>
      <c r="G19" s="237"/>
      <c r="H19" s="237"/>
      <c r="I19" s="237"/>
      <c r="J19" s="237"/>
      <c r="K19" s="237"/>
      <c r="L19" s="237"/>
      <c r="M19" s="237"/>
      <c r="N19" s="237"/>
      <c r="O19" s="237"/>
      <c r="P19" s="237"/>
      <c r="Q19" s="237"/>
      <c r="R19" s="18"/>
      <c r="S19" s="18"/>
      <c r="T19" s="337"/>
      <c r="U19" s="18"/>
      <c r="V19" s="240"/>
      <c r="W19" s="240"/>
      <c r="X19" s="240"/>
    </row>
    <row r="20" spans="1:24">
      <c r="A20" s="18"/>
      <c r="B20" s="18"/>
      <c r="C20" s="557" t="s">
        <v>276</v>
      </c>
      <c r="D20" s="359"/>
      <c r="E20" s="753"/>
      <c r="F20" s="237"/>
      <c r="G20" s="237"/>
      <c r="H20" s="237"/>
      <c r="I20" s="237"/>
      <c r="J20" s="237"/>
      <c r="K20" s="237"/>
      <c r="L20" s="237"/>
      <c r="M20" s="237"/>
      <c r="N20" s="237"/>
      <c r="O20" s="237"/>
      <c r="P20" s="237"/>
      <c r="Q20" s="237"/>
      <c r="R20" s="18"/>
      <c r="S20" s="18"/>
      <c r="T20" s="337"/>
      <c r="U20" s="18"/>
      <c r="V20" s="240"/>
      <c r="W20" s="240"/>
      <c r="X20" s="240"/>
    </row>
    <row r="21" spans="1:24">
      <c r="A21" s="18"/>
      <c r="B21" s="18"/>
      <c r="C21" s="237"/>
      <c r="D21" s="557" t="s">
        <v>315</v>
      </c>
      <c r="E21" s="27"/>
      <c r="F21" s="755">
        <f>F12</f>
        <v>10</v>
      </c>
      <c r="G21" s="532">
        <f>'X factors'!G60</f>
        <v>5.3385764178658937</v>
      </c>
      <c r="H21" s="532">
        <f>'X factors'!H60</f>
        <v>4.2106722443123941</v>
      </c>
      <c r="I21" s="532">
        <f>'X factors'!I60</f>
        <v>3.3210652730733563</v>
      </c>
      <c r="J21" s="532">
        <f>'X factors'!J60</f>
        <v>2.619409421598172</v>
      </c>
      <c r="K21" s="532">
        <f>'X factors'!K60</f>
        <v>2.0659954423623028</v>
      </c>
      <c r="L21" s="532">
        <f>'X factors'!L60</f>
        <v>0</v>
      </c>
      <c r="M21" s="532">
        <f>'X factors'!M60</f>
        <v>0</v>
      </c>
      <c r="N21" s="532">
        <f>'X factors'!N60</f>
        <v>0</v>
      </c>
      <c r="O21" s="532">
        <f>'X factors'!O60</f>
        <v>0</v>
      </c>
      <c r="P21" s="532">
        <f>'X factors'!P60</f>
        <v>0</v>
      </c>
      <c r="Q21" s="532">
        <f>SUM(G21:P21)</f>
        <v>17.555718799212119</v>
      </c>
      <c r="R21" s="41"/>
      <c r="S21" s="534">
        <f>G21/'X factors'!G$8+H21/'X factors'!H$8+I21/'X factors'!I$8+J21/'X factors'!J$8+K21/'X factors'!K$8+L21/'X factors'!L$8+M21/'X factors'!M$8+N21/'X factors'!N$8+O21/'X factors'!O$8+P21/'X factors'!P$8</f>
        <v>13.971657055584227</v>
      </c>
      <c r="T21" s="334" t="s">
        <v>41</v>
      </c>
      <c r="U21" s="18"/>
      <c r="V21" s="240"/>
      <c r="W21" s="240"/>
      <c r="X21" s="240"/>
    </row>
    <row r="22" spans="1:24">
      <c r="A22" s="18"/>
      <c r="B22" s="18"/>
      <c r="C22" s="237"/>
      <c r="D22" s="359" t="s">
        <v>278</v>
      </c>
      <c r="E22" s="753"/>
      <c r="F22" s="237"/>
      <c r="G22" s="372">
        <f>P_0_RevCap</f>
        <v>0.47926488315783317</v>
      </c>
      <c r="H22" s="372">
        <f>IF(COUNT($G22:G22)&gt;='PTRM input'!$R$7,"",X_02_RevCap)</f>
        <v>0.23066165949894249</v>
      </c>
      <c r="I22" s="372">
        <f>IF(COUNT($G22:H22)&gt;='PTRM input'!$R$7,"",X_03_RevCap)</f>
        <v>0.23066165949894249</v>
      </c>
      <c r="J22" s="372">
        <f>IF(COUNT($G22:I22)&gt;='PTRM input'!$R$7,"",X_04_RevCap)</f>
        <v>0.23066165949894249</v>
      </c>
      <c r="K22" s="372">
        <f>IF(COUNT($G22:J22)&gt;='PTRM input'!$R$7,"",X_05_RevCap)</f>
        <v>0.23066165949894249</v>
      </c>
      <c r="L22" s="372" t="str">
        <f>IF(COUNT($G22:K22)&gt;='PTRM input'!$R$7,"",X_06_RevCap)</f>
        <v/>
      </c>
      <c r="M22" s="372" t="str">
        <f>IF(COUNT($G22:L22)&gt;='PTRM input'!$R$7,"",X_07_RevCap)</f>
        <v/>
      </c>
      <c r="N22" s="372" t="str">
        <f>IF(COUNT($G22:M22)&gt;='PTRM input'!$R$7,"",X_08_RevCap)</f>
        <v/>
      </c>
      <c r="O22" s="372" t="str">
        <f>IF(COUNT($G22:N22)&gt;='PTRM input'!$R$7,"",X_09_RevCap)</f>
        <v/>
      </c>
      <c r="P22" s="372" t="str">
        <f>IF(COUNT($G22:O22)&gt;='PTRM input'!$R$7,"",X_10_RevCap)</f>
        <v/>
      </c>
      <c r="Q22" s="373"/>
      <c r="R22" s="18"/>
      <c r="S22" s="18"/>
      <c r="T22" s="337"/>
      <c r="U22" s="18"/>
      <c r="V22" s="240"/>
      <c r="W22" s="240"/>
      <c r="X22" s="240"/>
    </row>
    <row r="23" spans="1:24">
      <c r="A23" s="18"/>
      <c r="B23" s="18"/>
      <c r="C23" s="237"/>
      <c r="D23" s="237"/>
      <c r="E23" s="753"/>
      <c r="F23" s="237"/>
      <c r="G23" s="237"/>
      <c r="H23" s="237"/>
      <c r="I23" s="237"/>
      <c r="J23" s="237"/>
      <c r="K23" s="237"/>
      <c r="L23" s="237"/>
      <c r="M23" s="237"/>
      <c r="N23" s="237"/>
      <c r="O23" s="237"/>
      <c r="P23" s="237"/>
      <c r="Q23" s="237"/>
      <c r="R23" s="18"/>
      <c r="S23" s="18"/>
      <c r="T23" s="337"/>
      <c r="U23" s="18"/>
      <c r="V23" s="240"/>
      <c r="W23" s="240"/>
      <c r="X23" s="240"/>
    </row>
    <row r="24" spans="1:24">
      <c r="A24" s="18"/>
      <c r="B24" s="18"/>
      <c r="C24" s="557" t="s">
        <v>277</v>
      </c>
      <c r="D24" s="359"/>
      <c r="E24" s="753"/>
      <c r="F24" s="237"/>
      <c r="G24" s="237"/>
      <c r="H24" s="237"/>
      <c r="I24" s="237"/>
      <c r="J24" s="237"/>
      <c r="K24" s="237"/>
      <c r="L24" s="237"/>
      <c r="M24" s="237"/>
      <c r="N24" s="237"/>
      <c r="O24" s="237"/>
      <c r="P24" s="237"/>
      <c r="Q24" s="237"/>
      <c r="R24" s="18"/>
      <c r="S24" s="18"/>
      <c r="T24" s="337"/>
      <c r="U24" s="18"/>
      <c r="V24" s="240"/>
      <c r="W24" s="240"/>
      <c r="X24" s="240"/>
    </row>
    <row r="25" spans="1:24">
      <c r="A25" s="18"/>
      <c r="B25" s="18"/>
      <c r="C25" s="237"/>
      <c r="D25" s="557" t="s">
        <v>315</v>
      </c>
      <c r="E25" s="27"/>
      <c r="F25" s="755">
        <f>F12</f>
        <v>10</v>
      </c>
      <c r="G25" s="532">
        <f>'X factors'!G80</f>
        <v>10.802532156075232</v>
      </c>
      <c r="H25" s="532">
        <f>'X factors'!H80</f>
        <v>10.884927092675968</v>
      </c>
      <c r="I25" s="532">
        <f>'X factors'!I80</f>
        <v>11.172165620143712</v>
      </c>
      <c r="J25" s="532">
        <f>'X factors'!J80</f>
        <v>11.467315912642468</v>
      </c>
      <c r="K25" s="532">
        <f>'X factors'!K80</f>
        <v>11.770611544627101</v>
      </c>
      <c r="L25" s="532">
        <f>'X factors'!L80</f>
        <v>0</v>
      </c>
      <c r="M25" s="532">
        <f>'X factors'!M80</f>
        <v>0</v>
      </c>
      <c r="N25" s="532">
        <f>'X factors'!N80</f>
        <v>0</v>
      </c>
      <c r="O25" s="532">
        <f>'X factors'!O80</f>
        <v>0</v>
      </c>
      <c r="P25" s="532">
        <f>'X factors'!P80</f>
        <v>0</v>
      </c>
      <c r="Q25" s="532">
        <f>SUM(G25:P25)</f>
        <v>56.097552326164482</v>
      </c>
      <c r="R25" s="41"/>
      <c r="S25" s="534">
        <f>G25/'X factors'!G$8+H25/'X factors'!H$8+I25/'X factors'!I$8+J25/'X factors'!J$8+K25/'X factors'!K$8+L25/'X factors'!L$8+M25/'X factors'!M$8+N25/'X factors'!N$8+O25/'X factors'!O$8+P25/'X factors'!P$8</f>
        <v>42.613862927779778</v>
      </c>
      <c r="T25" s="334" t="s">
        <v>41</v>
      </c>
      <c r="U25" s="18"/>
      <c r="V25" s="240"/>
      <c r="W25" s="240"/>
      <c r="X25" s="240"/>
    </row>
    <row r="26" spans="1:24">
      <c r="A26" s="18"/>
      <c r="B26" s="18"/>
      <c r="C26" s="237"/>
      <c r="D26" s="359" t="s">
        <v>278</v>
      </c>
      <c r="E26" s="753"/>
      <c r="F26" s="237"/>
      <c r="G26" s="372">
        <f>P_0_RevYld</f>
        <v>-5.6595758238545235E-2</v>
      </c>
      <c r="H26" s="372">
        <f>IF(COUNT($G26:G26)&gt;='PTRM input'!$R$7,"",X_02_RevYld)</f>
        <v>1.4466932213505958E-2</v>
      </c>
      <c r="I26" s="372">
        <f>IF(COUNT($G26:H26)&gt;='PTRM input'!$R$7,"",X_03_RevYld)</f>
        <v>-3.8545140022410761E-3</v>
      </c>
      <c r="J26" s="372">
        <f>IF(COUNT($G26:I26)&gt;='PTRM input'!$R$7,"",X_04_RevYld)</f>
        <v>-3.8545140022410761E-3</v>
      </c>
      <c r="K26" s="372">
        <f>IF(COUNT($G26:J26)&gt;='PTRM input'!$R$7,"",X_05_RevYld)</f>
        <v>-3.8545140022410761E-3</v>
      </c>
      <c r="L26" s="372" t="str">
        <f>IF(COUNT($G26:K26)&gt;='PTRM input'!$R$7,"",X_06_RevYld)</f>
        <v/>
      </c>
      <c r="M26" s="372" t="str">
        <f>IF(COUNT($G26:L26)&gt;='PTRM input'!$R$7,"",X_07_RevYld)</f>
        <v/>
      </c>
      <c r="N26" s="372" t="str">
        <f>IF(COUNT($G26:M26)&gt;='PTRM input'!$R$7,"",X_08_RevYld)</f>
        <v/>
      </c>
      <c r="O26" s="372" t="str">
        <f>IF(COUNT($G26:N26)&gt;='PTRM input'!$R$7,"",X_09_RevYld)</f>
        <v/>
      </c>
      <c r="P26" s="372" t="str">
        <f>IF(COUNT($G26:O26)&gt;='PTRM input'!$R$7,"",X_10_RevYld)</f>
        <v/>
      </c>
      <c r="Q26" s="373"/>
      <c r="R26" s="18"/>
      <c r="S26" s="18"/>
      <c r="T26" s="18"/>
      <c r="U26" s="18"/>
      <c r="V26" s="240"/>
      <c r="W26" s="240"/>
      <c r="X26" s="240"/>
    </row>
    <row r="27" spans="1:24">
      <c r="A27" s="18"/>
      <c r="B27" s="18"/>
      <c r="C27" s="334"/>
      <c r="D27" s="334"/>
      <c r="E27" s="18"/>
      <c r="F27" s="237"/>
      <c r="G27" s="359"/>
      <c r="H27" s="364"/>
      <c r="I27" s="364"/>
      <c r="J27" s="364"/>
      <c r="K27" s="364"/>
      <c r="L27" s="364"/>
      <c r="M27" s="364"/>
      <c r="N27" s="364"/>
      <c r="O27" s="364"/>
      <c r="P27" s="364"/>
      <c r="Q27" s="237"/>
      <c r="R27" s="18"/>
      <c r="S27" s="18"/>
      <c r="T27" s="18"/>
      <c r="U27" s="18"/>
      <c r="V27" s="240"/>
      <c r="W27" s="240"/>
      <c r="X27" s="240"/>
    </row>
    <row r="28" spans="1:24">
      <c r="A28" s="116"/>
      <c r="B28" s="480"/>
      <c r="C28" s="354" t="str">
        <f>"Building Block Components ($m Real "&amp;'PTRM input'!$F$241&amp;")"</f>
        <v>Building Block Components ($m Real 2009-10)</v>
      </c>
      <c r="D28" s="354"/>
      <c r="E28" s="354"/>
      <c r="F28" s="354"/>
      <c r="G28" s="354"/>
      <c r="H28" s="272"/>
      <c r="I28" s="272"/>
      <c r="J28" s="272"/>
      <c r="K28" s="272"/>
      <c r="L28" s="272"/>
      <c r="M28" s="272"/>
      <c r="N28" s="272"/>
      <c r="O28" s="272"/>
      <c r="P28" s="272"/>
      <c r="Q28" s="272"/>
      <c r="R28" s="272"/>
      <c r="S28" s="272"/>
      <c r="T28" s="272"/>
      <c r="U28" s="272"/>
      <c r="V28" s="240"/>
      <c r="W28" s="240"/>
      <c r="X28" s="240"/>
    </row>
    <row r="29" spans="1:24">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row>
    <row r="30" spans="1:24">
      <c r="A30" s="240"/>
      <c r="B30" s="240"/>
      <c r="C30" s="240"/>
      <c r="D30" s="334" t="s">
        <v>43</v>
      </c>
      <c r="E30" s="240"/>
      <c r="F30" s="529"/>
      <c r="G30" s="529">
        <f>G7/'X factors'!G$11</f>
        <v>3.3123885571272802</v>
      </c>
      <c r="H30" s="529">
        <f>H7/'X factors'!H$11</f>
        <v>3.2983116381006852</v>
      </c>
      <c r="I30" s="529">
        <f>I7/'X factors'!I$11</f>
        <v>3.309845966099052</v>
      </c>
      <c r="J30" s="529">
        <f>J7/'X factors'!J$11</f>
        <v>3.3123443519318374</v>
      </c>
      <c r="K30" s="529">
        <f>K7/'X factors'!K$11</f>
        <v>3.2567195517188399</v>
      </c>
      <c r="L30" s="529">
        <f>L7/'X factors'!L$11</f>
        <v>0</v>
      </c>
      <c r="M30" s="529">
        <f>M7/'X factors'!M$11</f>
        <v>0</v>
      </c>
      <c r="N30" s="529">
        <f>N7/'X factors'!N$11</f>
        <v>0</v>
      </c>
      <c r="O30" s="529">
        <f>O7/'X factors'!O$11</f>
        <v>0</v>
      </c>
      <c r="P30" s="529">
        <f>P7/'X factors'!P$11</f>
        <v>0</v>
      </c>
      <c r="Q30" s="530">
        <f t="shared" ref="Q30:Q35" si="1">SUM(G30:P30)</f>
        <v>16.489610064977697</v>
      </c>
      <c r="R30" s="240"/>
      <c r="S30" s="240"/>
      <c r="T30" s="240"/>
      <c r="U30" s="240"/>
      <c r="V30" s="240"/>
      <c r="W30" s="240"/>
      <c r="X30" s="240"/>
    </row>
    <row r="31" spans="1:24">
      <c r="A31" s="240"/>
      <c r="B31" s="240"/>
      <c r="C31" s="240"/>
      <c r="D31" s="334" t="s">
        <v>343</v>
      </c>
      <c r="E31" s="240"/>
      <c r="F31" s="529"/>
      <c r="G31" s="529">
        <f>G8/'X factors'!G$11</f>
        <v>1.768149284703695</v>
      </c>
      <c r="H31" s="529">
        <f>H8/'X factors'!H$11</f>
        <v>1.8601898287562466</v>
      </c>
      <c r="I31" s="529">
        <f>I8/'X factors'!I$11</f>
        <v>1.9583823667284126</v>
      </c>
      <c r="J31" s="529">
        <f>J8/'X factors'!J$11</f>
        <v>2.0591315871376827</v>
      </c>
      <c r="K31" s="529">
        <f>K8/'X factors'!K$11</f>
        <v>2.1567059341161228</v>
      </c>
      <c r="L31" s="529">
        <f>L8/'X factors'!L$11</f>
        <v>0</v>
      </c>
      <c r="M31" s="529">
        <f>M8/'X factors'!M$11</f>
        <v>0</v>
      </c>
      <c r="N31" s="529">
        <f>N8/'X factors'!N$11</f>
        <v>0</v>
      </c>
      <c r="O31" s="529">
        <f>O8/'X factors'!O$11</f>
        <v>0</v>
      </c>
      <c r="P31" s="529">
        <f>P8/'X factors'!P$11</f>
        <v>0</v>
      </c>
      <c r="Q31" s="530">
        <f t="shared" si="1"/>
        <v>9.8025590014421589</v>
      </c>
      <c r="R31" s="240"/>
      <c r="S31" s="240"/>
      <c r="T31" s="240"/>
      <c r="U31" s="240"/>
      <c r="V31" s="240"/>
      <c r="W31" s="240"/>
      <c r="X31" s="240"/>
    </row>
    <row r="32" spans="1:24">
      <c r="A32" s="240"/>
      <c r="B32" s="240"/>
      <c r="C32" s="240"/>
      <c r="D32" s="334" t="s">
        <v>300</v>
      </c>
      <c r="E32" s="240"/>
      <c r="F32" s="236"/>
      <c r="G32" s="529">
        <f>G9/'X factors'!G$11</f>
        <v>5.4118070809527676</v>
      </c>
      <c r="H32" s="529">
        <f>H9/'X factors'!H$11</f>
        <v>5.7900311625846062</v>
      </c>
      <c r="I32" s="529">
        <f>I9/'X factors'!I$11</f>
        <v>6.4075301019917337</v>
      </c>
      <c r="J32" s="529">
        <f>J9/'X factors'!J$11</f>
        <v>6.9775410747870907</v>
      </c>
      <c r="K32" s="529">
        <f>K9/'X factors'!K$11</f>
        <v>7.1371781814484709</v>
      </c>
      <c r="L32" s="529">
        <f>L9/'X factors'!L$11</f>
        <v>0</v>
      </c>
      <c r="M32" s="529">
        <f>M9/'X factors'!M$11</f>
        <v>0</v>
      </c>
      <c r="N32" s="529">
        <f>N9/'X factors'!N$11</f>
        <v>0</v>
      </c>
      <c r="O32" s="529">
        <f>O9/'X factors'!O$11</f>
        <v>0</v>
      </c>
      <c r="P32" s="529">
        <f>P9/'X factors'!P$11</f>
        <v>0</v>
      </c>
      <c r="Q32" s="530">
        <f t="shared" si="1"/>
        <v>31.724087601764666</v>
      </c>
      <c r="R32" s="237"/>
      <c r="S32" s="237"/>
      <c r="T32" s="240"/>
      <c r="U32" s="240"/>
      <c r="V32" s="240"/>
      <c r="W32" s="240"/>
      <c r="X32" s="240"/>
    </row>
    <row r="33" spans="1:24">
      <c r="A33" s="240"/>
      <c r="B33" s="240"/>
      <c r="C33" s="240"/>
      <c r="D33" s="334" t="s">
        <v>297</v>
      </c>
      <c r="E33" s="240"/>
      <c r="F33" s="236"/>
      <c r="G33" s="529">
        <f>G10/'X factors'!G$11</f>
        <v>0</v>
      </c>
      <c r="H33" s="529">
        <f>H10/'X factors'!H$11</f>
        <v>0</v>
      </c>
      <c r="I33" s="529">
        <f>I10/'X factors'!I$11</f>
        <v>0</v>
      </c>
      <c r="J33" s="529">
        <f>J10/'X factors'!J$11</f>
        <v>0</v>
      </c>
      <c r="K33" s="529">
        <f>K10/'X factors'!K$11</f>
        <v>0</v>
      </c>
      <c r="L33" s="529">
        <f>L10/'X factors'!L$11</f>
        <v>0</v>
      </c>
      <c r="M33" s="529">
        <f>M10/'X factors'!M$11</f>
        <v>0</v>
      </c>
      <c r="N33" s="529">
        <f>N10/'X factors'!N$11</f>
        <v>0</v>
      </c>
      <c r="O33" s="529">
        <f>O10/'X factors'!O$11</f>
        <v>0</v>
      </c>
      <c r="P33" s="529">
        <f>P10/'X factors'!P$11</f>
        <v>0</v>
      </c>
      <c r="Q33" s="530">
        <f t="shared" si="1"/>
        <v>0</v>
      </c>
      <c r="R33" s="237"/>
      <c r="S33" s="237"/>
      <c r="T33" s="240"/>
      <c r="U33" s="240"/>
      <c r="V33" s="240"/>
      <c r="W33" s="240"/>
      <c r="X33" s="240"/>
    </row>
    <row r="34" spans="1:24">
      <c r="A34" s="240"/>
      <c r="B34" s="240"/>
      <c r="C34" s="240"/>
      <c r="D34" s="334" t="s">
        <v>301</v>
      </c>
      <c r="E34" s="240"/>
      <c r="F34" s="236"/>
      <c r="G34" s="529">
        <f>G11/'X factors'!G$11</f>
        <v>1.78362759868063</v>
      </c>
      <c r="H34" s="529">
        <f>H11/'X factors'!H$11</f>
        <v>1.5535829601033677</v>
      </c>
      <c r="I34" s="529">
        <f>I11/'X factors'!I$11</f>
        <v>1.1916746201943831</v>
      </c>
      <c r="J34" s="529">
        <f>J11/'X factors'!J$11</f>
        <v>1.330398896145945</v>
      </c>
      <c r="K34" s="529">
        <f>K11/'X factors'!K$11</f>
        <v>0.79606460581159988</v>
      </c>
      <c r="L34" s="529">
        <f>L11/'X factors'!L$11</f>
        <v>0</v>
      </c>
      <c r="M34" s="529">
        <f>M11/'X factors'!M$11</f>
        <v>0</v>
      </c>
      <c r="N34" s="529">
        <f>N11/'X factors'!N$11</f>
        <v>0</v>
      </c>
      <c r="O34" s="529">
        <f>O11/'X factors'!O$11</f>
        <v>0</v>
      </c>
      <c r="P34" s="529">
        <f>P11/'X factors'!P$11</f>
        <v>0</v>
      </c>
      <c r="Q34" s="530">
        <f t="shared" si="1"/>
        <v>6.6553486809359246</v>
      </c>
      <c r="R34" s="237"/>
      <c r="S34" s="237"/>
      <c r="T34" s="334"/>
      <c r="U34" s="240"/>
      <c r="V34" s="240"/>
      <c r="W34" s="240"/>
      <c r="X34" s="240"/>
    </row>
    <row r="35" spans="1:24">
      <c r="A35" s="240"/>
      <c r="B35" s="240"/>
      <c r="C35" s="240"/>
      <c r="D35" s="328" t="s">
        <v>299</v>
      </c>
      <c r="E35" s="328"/>
      <c r="F35" s="531">
        <f>F12/'X factors'!F$11</f>
        <v>10</v>
      </c>
      <c r="G35" s="538">
        <f>G12/'X factors'!G$11</f>
        <v>12.275972521464373</v>
      </c>
      <c r="H35" s="538">
        <f>H12/'X factors'!H$11</f>
        <v>12.502115589544907</v>
      </c>
      <c r="I35" s="538">
        <f>I12/'X factors'!I$11</f>
        <v>12.867433055013581</v>
      </c>
      <c r="J35" s="538">
        <f>J12/'X factors'!J$11</f>
        <v>13.679415910002554</v>
      </c>
      <c r="K35" s="538">
        <f>K12/'X factors'!K$11</f>
        <v>13.346668273095034</v>
      </c>
      <c r="L35" s="538">
        <f>L12/'X factors'!L$11</f>
        <v>0</v>
      </c>
      <c r="M35" s="538">
        <f>M12/'X factors'!M$11</f>
        <v>0</v>
      </c>
      <c r="N35" s="538">
        <f>N12/'X factors'!N$11</f>
        <v>0</v>
      </c>
      <c r="O35" s="538">
        <f>O12/'X factors'!O$11</f>
        <v>0</v>
      </c>
      <c r="P35" s="538">
        <f>P12/'X factors'!P$11</f>
        <v>0</v>
      </c>
      <c r="Q35" s="533">
        <f t="shared" si="1"/>
        <v>64.671605349120455</v>
      </c>
      <c r="R35" s="237"/>
      <c r="S35" s="363"/>
      <c r="T35" s="334"/>
      <c r="U35" s="334"/>
      <c r="V35" s="240"/>
      <c r="W35" s="240"/>
      <c r="X35" s="240"/>
    </row>
    <row r="36" spans="1:24">
      <c r="A36" s="240"/>
      <c r="B36" s="240"/>
      <c r="C36" s="356"/>
      <c r="D36" s="356"/>
      <c r="E36" s="240"/>
      <c r="F36" s="240"/>
      <c r="G36" s="240"/>
      <c r="H36" s="240"/>
      <c r="I36" s="240"/>
      <c r="J36" s="240"/>
      <c r="K36" s="240"/>
      <c r="L36" s="240"/>
      <c r="M36" s="240"/>
      <c r="N36" s="240"/>
      <c r="O36" s="240"/>
      <c r="P36" s="240"/>
      <c r="Q36" s="240"/>
      <c r="R36" s="240"/>
      <c r="S36" s="240"/>
      <c r="T36" s="334"/>
      <c r="U36" s="240"/>
      <c r="V36" s="240"/>
      <c r="W36" s="240"/>
      <c r="X36" s="240"/>
    </row>
    <row r="37" spans="1:24">
      <c r="A37" s="116"/>
      <c r="B37" s="480"/>
      <c r="C37" s="354" t="str">
        <f>"Revenue Smoothing ($m Real "&amp;'PTRM input'!$F$241&amp;")"</f>
        <v>Revenue Smoothing ($m Real 2009-10)</v>
      </c>
      <c r="D37" s="354"/>
      <c r="E37" s="116"/>
      <c r="F37" s="116"/>
      <c r="G37" s="116"/>
      <c r="H37" s="116"/>
      <c r="I37" s="116"/>
      <c r="J37" s="116"/>
      <c r="K37" s="116"/>
      <c r="L37" s="116"/>
      <c r="M37" s="116"/>
      <c r="N37" s="116"/>
      <c r="O37" s="116"/>
      <c r="P37" s="116"/>
      <c r="Q37" s="116"/>
      <c r="R37" s="116"/>
      <c r="S37" s="116"/>
      <c r="T37" s="120"/>
      <c r="U37" s="116"/>
      <c r="V37" s="240"/>
      <c r="W37" s="240"/>
      <c r="X37" s="240"/>
    </row>
    <row r="38" spans="1:24">
      <c r="A38" s="18"/>
      <c r="B38" s="18"/>
      <c r="C38" s="18"/>
      <c r="D38" s="18"/>
      <c r="E38" s="18"/>
      <c r="F38" s="237"/>
      <c r="G38" s="237"/>
      <c r="H38" s="237"/>
      <c r="I38" s="237"/>
      <c r="J38" s="237"/>
      <c r="K38" s="237"/>
      <c r="L38" s="237"/>
      <c r="M38" s="237"/>
      <c r="N38" s="237"/>
      <c r="O38" s="237"/>
      <c r="P38" s="237"/>
      <c r="Q38" s="237"/>
      <c r="R38" s="18"/>
      <c r="S38" s="18"/>
      <c r="T38" s="337"/>
      <c r="U38" s="18"/>
      <c r="V38" s="240"/>
      <c r="W38" s="240"/>
      <c r="X38" s="240"/>
    </row>
    <row r="39" spans="1:24">
      <c r="A39" s="18"/>
      <c r="B39" s="18"/>
      <c r="C39" s="328" t="s">
        <v>314</v>
      </c>
      <c r="D39" s="34"/>
      <c r="E39" s="34"/>
      <c r="F39" s="237"/>
      <c r="G39" s="237"/>
      <c r="H39" s="237"/>
      <c r="I39" s="237"/>
      <c r="J39" s="237"/>
      <c r="K39" s="237"/>
      <c r="L39" s="237"/>
      <c r="M39" s="237"/>
      <c r="N39" s="237"/>
      <c r="O39" s="237"/>
      <c r="P39" s="237"/>
      <c r="Q39" s="237"/>
      <c r="R39" s="18"/>
      <c r="S39" s="237"/>
      <c r="T39" s="359"/>
      <c r="U39" s="18"/>
      <c r="V39" s="240"/>
      <c r="W39" s="240"/>
      <c r="X39" s="240"/>
    </row>
    <row r="40" spans="1:24">
      <c r="A40" s="18"/>
      <c r="B40" s="18"/>
      <c r="C40" s="328"/>
      <c r="D40" s="328" t="s">
        <v>315</v>
      </c>
      <c r="E40" s="34"/>
      <c r="F40" s="531">
        <f>F35</f>
        <v>10</v>
      </c>
      <c r="G40" s="538">
        <f>G17/'X factors'!G$11</f>
        <v>347.24463661516006</v>
      </c>
      <c r="H40" s="538">
        <f>H17/'X factors'!H$11</f>
        <v>341.26280289768317</v>
      </c>
      <c r="I40" s="1456">
        <f>I17/'X factors'!I$11</f>
        <v>341.65959647063357</v>
      </c>
      <c r="J40" s="538">
        <f>J17/'X factors'!J$11</f>
        <v>342.09709472303126</v>
      </c>
      <c r="K40" s="538">
        <f>K17/'X factors'!K$11</f>
        <v>342.57506107686186</v>
      </c>
      <c r="L40" s="538">
        <f>L17/'X factors'!L$11</f>
        <v>0</v>
      </c>
      <c r="M40" s="538">
        <f>M17/'X factors'!M$11</f>
        <v>0</v>
      </c>
      <c r="N40" s="538">
        <f>N17/'X factors'!N$11</f>
        <v>0</v>
      </c>
      <c r="O40" s="538">
        <f>O17/'X factors'!O$11</f>
        <v>0</v>
      </c>
      <c r="P40" s="538">
        <f>P17/'X factors'!P$11</f>
        <v>0</v>
      </c>
      <c r="Q40" s="533">
        <f>SUM(G40:P40)</f>
        <v>1714.8391917833699</v>
      </c>
      <c r="R40" s="18"/>
      <c r="S40" s="363"/>
      <c r="T40" s="359"/>
      <c r="U40" s="18"/>
      <c r="V40" s="240"/>
      <c r="W40" s="240"/>
      <c r="X40" s="240"/>
    </row>
    <row r="41" spans="1:24">
      <c r="A41" s="18"/>
      <c r="B41" s="18"/>
      <c r="C41" s="240"/>
      <c r="D41" s="334" t="s">
        <v>278</v>
      </c>
      <c r="E41" s="18"/>
      <c r="F41" s="237"/>
      <c r="G41" s="372">
        <f>P_0_WAPC</f>
        <v>-4.0657682483409396E-2</v>
      </c>
      <c r="H41" s="372">
        <f>IF(COUNT($G41:G41)&gt;='PTRM input'!$R$7,"",X_02_WAPC)</f>
        <v>2.950707839041819E-2</v>
      </c>
      <c r="I41" s="372">
        <f>IF(COUNT($G41:H41)&gt;='PTRM input'!$R$7,"",X_03_WAPC)</f>
        <v>1.1464992261521624E-2</v>
      </c>
      <c r="J41" s="372">
        <f>IF(COUNT($G41:I41)&gt;='PTRM input'!$R$7,"",X_04_WAPC)</f>
        <v>1.1464992261521624E-2</v>
      </c>
      <c r="K41" s="372">
        <f>IF(COUNT($G41:J41)&gt;='PTRM input'!$R$7,"",X_05_WAPC)</f>
        <v>1.1464992261521624E-2</v>
      </c>
      <c r="L41" s="372" t="str">
        <f>IF(COUNT($G41:K41)&gt;='PTRM input'!$R$7,"",X_06_WAPC)</f>
        <v/>
      </c>
      <c r="M41" s="372" t="str">
        <f>IF(COUNT($G41:L41)&gt;='PTRM input'!$R$7,"",X_07_WAPC)</f>
        <v/>
      </c>
      <c r="N41" s="372" t="str">
        <f>IF(COUNT($G41:M41)&gt;='PTRM input'!$R$7,"",X_08_WAPC)</f>
        <v/>
      </c>
      <c r="O41" s="372" t="str">
        <f>IF(COUNT($G41:N41)&gt;='PTRM input'!$R$7,"",X_09_WAPC)</f>
        <v/>
      </c>
      <c r="P41" s="372" t="str">
        <f>IF(COUNT($G41:O41)&gt;='PTRM input'!$R$7,"",X_10_WAPC)</f>
        <v/>
      </c>
      <c r="Q41" s="373"/>
      <c r="R41" s="18"/>
      <c r="S41" s="237"/>
      <c r="T41" s="359"/>
      <c r="U41" s="18"/>
      <c r="V41" s="240"/>
      <c r="W41" s="240"/>
      <c r="X41" s="240"/>
    </row>
    <row r="42" spans="1:24">
      <c r="A42" s="18"/>
      <c r="B42" s="18"/>
      <c r="C42" s="240"/>
      <c r="D42" s="240"/>
      <c r="E42" s="18"/>
      <c r="F42" s="237"/>
      <c r="G42" s="361"/>
      <c r="H42" s="237"/>
      <c r="I42" s="237"/>
      <c r="J42" s="237"/>
      <c r="K42" s="237"/>
      <c r="L42" s="237"/>
      <c r="M42" s="237"/>
      <c r="N42" s="237"/>
      <c r="O42" s="237"/>
      <c r="P42" s="237"/>
      <c r="Q42" s="237"/>
      <c r="R42" s="18"/>
      <c r="S42" s="237"/>
      <c r="T42" s="359"/>
      <c r="U42" s="18"/>
      <c r="V42" s="240"/>
      <c r="W42" s="240"/>
      <c r="X42" s="240"/>
    </row>
    <row r="43" spans="1:24">
      <c r="A43" s="18"/>
      <c r="B43" s="18"/>
      <c r="C43" s="328" t="s">
        <v>276</v>
      </c>
      <c r="D43" s="328"/>
      <c r="E43" s="18"/>
      <c r="F43" s="237"/>
      <c r="G43" s="237"/>
      <c r="H43" s="237"/>
      <c r="I43" s="237"/>
      <c r="J43" s="237"/>
      <c r="K43" s="237"/>
      <c r="L43" s="237"/>
      <c r="M43" s="237"/>
      <c r="N43" s="237"/>
      <c r="O43" s="237"/>
      <c r="P43" s="237"/>
      <c r="Q43" s="237"/>
      <c r="R43" s="18"/>
      <c r="S43" s="237"/>
      <c r="T43" s="359"/>
      <c r="U43" s="18"/>
      <c r="V43" s="240"/>
      <c r="W43" s="240"/>
      <c r="X43" s="240"/>
    </row>
    <row r="44" spans="1:24">
      <c r="A44" s="18"/>
      <c r="B44" s="18"/>
      <c r="C44" s="240"/>
      <c r="D44" s="328" t="s">
        <v>315</v>
      </c>
      <c r="E44" s="34"/>
      <c r="F44" s="531">
        <f>F35</f>
        <v>10</v>
      </c>
      <c r="G44" s="538">
        <f>G21/'X factors'!G$11</f>
        <v>5.2073511684216678</v>
      </c>
      <c r="H44" s="538">
        <f>H21/'X factors'!H$11</f>
        <v>4.0062149063197694</v>
      </c>
      <c r="I44" s="538">
        <f>I21/'X factors'!I$11</f>
        <v>3.0821347277186515</v>
      </c>
      <c r="J44" s="538">
        <f>J21/'X factors'!J$11</f>
        <v>2.3712044166237458</v>
      </c>
      <c r="K44" s="538">
        <f>K21/'X factors'!K$11</f>
        <v>1.8242584708740908</v>
      </c>
      <c r="L44" s="538">
        <f>L21/'X factors'!L$11</f>
        <v>0</v>
      </c>
      <c r="M44" s="538">
        <f>M21/'X factors'!M$11</f>
        <v>0</v>
      </c>
      <c r="N44" s="538">
        <f>N21/'X factors'!N$11</f>
        <v>0</v>
      </c>
      <c r="O44" s="538">
        <f>O21/'X factors'!O$11</f>
        <v>0</v>
      </c>
      <c r="P44" s="538">
        <f>P21/'X factors'!P$11</f>
        <v>0</v>
      </c>
      <c r="Q44" s="533">
        <f>SUM(G44:P44)</f>
        <v>16.491163689957926</v>
      </c>
      <c r="R44" s="18"/>
      <c r="S44" s="363"/>
      <c r="T44" s="359"/>
      <c r="U44" s="18"/>
      <c r="V44" s="240"/>
      <c r="W44" s="240"/>
      <c r="X44" s="240"/>
    </row>
    <row r="45" spans="1:24">
      <c r="A45" s="18"/>
      <c r="B45" s="18"/>
      <c r="C45" s="240"/>
      <c r="D45" s="334" t="s">
        <v>278</v>
      </c>
      <c r="E45" s="18"/>
      <c r="F45" s="237"/>
      <c r="G45" s="372">
        <f>P_0_RevCap</f>
        <v>0.47926488315783317</v>
      </c>
      <c r="H45" s="372">
        <f>IF(COUNT($G45:G45)&gt;='PTRM input'!$R$7,"",X_02_RevCap)</f>
        <v>0.23066165949894249</v>
      </c>
      <c r="I45" s="372">
        <f>IF(COUNT($G45:H45)&gt;='PTRM input'!$R$7,"",X_03_RevCap)</f>
        <v>0.23066165949894249</v>
      </c>
      <c r="J45" s="372">
        <f>IF(COUNT($G45:I45)&gt;='PTRM input'!$R$7,"",X_04_RevCap)</f>
        <v>0.23066165949894249</v>
      </c>
      <c r="K45" s="372">
        <f>IF(COUNT($G45:J45)&gt;='PTRM input'!$R$7,"",X_05_RevCap)</f>
        <v>0.23066165949894249</v>
      </c>
      <c r="L45" s="372" t="str">
        <f>IF(COUNT($G45:K45)&gt;='PTRM input'!$R$7,"",X_06_RevCap)</f>
        <v/>
      </c>
      <c r="M45" s="372" t="str">
        <f>IF(COUNT($G45:L45)&gt;='PTRM input'!$R$7,"",X_07_RevCap)</f>
        <v/>
      </c>
      <c r="N45" s="372" t="str">
        <f>IF(COUNT($G45:M45)&gt;='PTRM input'!$R$7,"",X_08_RevCap)</f>
        <v/>
      </c>
      <c r="O45" s="372" t="str">
        <f>IF(COUNT($G45:N45)&gt;='PTRM input'!$R$7,"",X_09_RevCap)</f>
        <v/>
      </c>
      <c r="P45" s="372" t="str">
        <f>IF(COUNT($G45:O45)&gt;='PTRM input'!$R$7,"",X_10_RevCap)</f>
        <v/>
      </c>
      <c r="Q45" s="373"/>
      <c r="R45" s="18"/>
      <c r="S45" s="237"/>
      <c r="T45" s="359"/>
      <c r="U45" s="18"/>
      <c r="V45" s="240"/>
      <c r="W45" s="240"/>
      <c r="X45" s="240"/>
    </row>
    <row r="46" spans="1:24">
      <c r="A46" s="18"/>
      <c r="B46" s="18"/>
      <c r="C46" s="240"/>
      <c r="D46" s="240"/>
      <c r="E46" s="18"/>
      <c r="F46" s="237"/>
      <c r="G46" s="237"/>
      <c r="H46" s="237"/>
      <c r="I46" s="237"/>
      <c r="J46" s="237"/>
      <c r="K46" s="237"/>
      <c r="L46" s="237"/>
      <c r="M46" s="237"/>
      <c r="N46" s="237"/>
      <c r="O46" s="237"/>
      <c r="P46" s="237"/>
      <c r="Q46" s="237"/>
      <c r="R46" s="18"/>
      <c r="S46" s="237"/>
      <c r="T46" s="359"/>
      <c r="U46" s="18"/>
      <c r="V46" s="240"/>
      <c r="W46" s="240"/>
      <c r="X46" s="240"/>
    </row>
    <row r="47" spans="1:24">
      <c r="A47" s="18"/>
      <c r="B47" s="18"/>
      <c r="C47" s="328" t="s">
        <v>277</v>
      </c>
      <c r="D47" s="328"/>
      <c r="E47" s="18"/>
      <c r="F47" s="237"/>
      <c r="G47" s="237"/>
      <c r="H47" s="237"/>
      <c r="I47" s="237"/>
      <c r="J47" s="237"/>
      <c r="K47" s="237"/>
      <c r="L47" s="237"/>
      <c r="M47" s="237"/>
      <c r="N47" s="237"/>
      <c r="O47" s="237"/>
      <c r="P47" s="237"/>
      <c r="Q47" s="237"/>
      <c r="R47" s="18"/>
      <c r="S47" s="237"/>
      <c r="T47" s="359"/>
      <c r="U47" s="18"/>
      <c r="V47" s="240"/>
      <c r="W47" s="240"/>
      <c r="X47" s="240"/>
    </row>
    <row r="48" spans="1:24">
      <c r="A48" s="18"/>
      <c r="B48" s="18"/>
      <c r="C48" s="240"/>
      <c r="D48" s="328" t="s">
        <v>315</v>
      </c>
      <c r="E48" s="34"/>
      <c r="F48" s="531">
        <f>F35</f>
        <v>10</v>
      </c>
      <c r="G48" s="538">
        <f>G25/'X factors'!G$11</f>
        <v>10.536999762071042</v>
      </c>
      <c r="H48" s="538">
        <f>H25/'X factors'!H$11</f>
        <v>10.356388396599955</v>
      </c>
      <c r="I48" s="538">
        <f>I25/'X factors'!I$11</f>
        <v>10.368395924300382</v>
      </c>
      <c r="J48" s="538">
        <f>J25/'X factors'!J$11</f>
        <v>10.380717849860755</v>
      </c>
      <c r="K48" s="538">
        <f>K25/'X factors'!K$11</f>
        <v>10.393361658679211</v>
      </c>
      <c r="L48" s="538">
        <f>L25/'X factors'!L$11</f>
        <v>0</v>
      </c>
      <c r="M48" s="538">
        <f>M25/'X factors'!M$11</f>
        <v>0</v>
      </c>
      <c r="N48" s="538">
        <f>N25/'X factors'!N$11</f>
        <v>0</v>
      </c>
      <c r="O48" s="538">
        <f>O25/'X factors'!O$11</f>
        <v>0</v>
      </c>
      <c r="P48" s="538">
        <f>P25/'X factors'!P$11</f>
        <v>0</v>
      </c>
      <c r="Q48" s="533">
        <f>SUM(G48:P48)</f>
        <v>52.035863591511344</v>
      </c>
      <c r="R48" s="18"/>
      <c r="S48" s="363"/>
      <c r="T48" s="359"/>
      <c r="U48" s="18"/>
      <c r="V48" s="240"/>
      <c r="W48" s="240"/>
      <c r="X48" s="240"/>
    </row>
    <row r="49" spans="1:25">
      <c r="A49" s="18"/>
      <c r="B49" s="18"/>
      <c r="C49" s="240"/>
      <c r="D49" s="334" t="s">
        <v>278</v>
      </c>
      <c r="E49" s="18"/>
      <c r="F49" s="237"/>
      <c r="G49" s="372">
        <f>P_0_RevYld</f>
        <v>-5.6595758238545235E-2</v>
      </c>
      <c r="H49" s="372">
        <f>IF(COUNT($G49:G49)&gt;='PTRM input'!$R$7,"",X_02_RevYld)</f>
        <v>1.4466932213505958E-2</v>
      </c>
      <c r="I49" s="372">
        <f>IF(COUNT($G49:H49)&gt;='PTRM input'!$R$7,"",X_03_RevYld)</f>
        <v>-3.8545140022410761E-3</v>
      </c>
      <c r="J49" s="372">
        <f>IF(COUNT($G49:I49)&gt;='PTRM input'!$R$7,"",X_04_RevYld)</f>
        <v>-3.8545140022410761E-3</v>
      </c>
      <c r="K49" s="372">
        <f>IF(COUNT($G49:J49)&gt;='PTRM input'!$R$7,"",X_05_RevYld)</f>
        <v>-3.8545140022410761E-3</v>
      </c>
      <c r="L49" s="372" t="str">
        <f>IF(COUNT($G49:K49)&gt;='PTRM input'!$R$7,"",X_06_RevYld)</f>
        <v/>
      </c>
      <c r="M49" s="372" t="str">
        <f>IF(COUNT($G49:L49)&gt;='PTRM input'!$R$7,"",X_07_RevYld)</f>
        <v/>
      </c>
      <c r="N49" s="372" t="str">
        <f>IF(COUNT($G49:M49)&gt;='PTRM input'!$R$7,"",X_08_RevYld)</f>
        <v/>
      </c>
      <c r="O49" s="372" t="str">
        <f>IF(COUNT($G49:N49)&gt;='PTRM input'!$R$7,"",X_09_RevYld)</f>
        <v/>
      </c>
      <c r="P49" s="372" t="str">
        <f>IF(COUNT($G49:O49)&gt;='PTRM input'!$R$7,"",X_10_RevYld)</f>
        <v/>
      </c>
      <c r="Q49" s="373"/>
      <c r="R49" s="18"/>
      <c r="S49" s="237"/>
      <c r="T49" s="237"/>
      <c r="U49" s="18"/>
      <c r="V49" s="240"/>
      <c r="W49" s="240"/>
      <c r="X49" s="240"/>
    </row>
    <row r="50" spans="1:25">
      <c r="A50" s="18"/>
      <c r="B50" s="18"/>
      <c r="C50" s="337"/>
      <c r="D50" s="337"/>
      <c r="E50" s="18"/>
      <c r="F50" s="18"/>
      <c r="G50" s="18"/>
      <c r="H50" s="18"/>
      <c r="I50" s="18"/>
      <c r="J50" s="18"/>
      <c r="K50" s="18"/>
      <c r="L50" s="18"/>
      <c r="M50" s="18"/>
      <c r="N50" s="18"/>
      <c r="O50" s="18"/>
      <c r="P50" s="18"/>
      <c r="Q50" s="18"/>
      <c r="R50" s="18"/>
      <c r="S50" s="18"/>
      <c r="T50" s="18"/>
      <c r="U50" s="18"/>
      <c r="V50" s="240"/>
      <c r="W50" s="240"/>
      <c r="X50" s="240"/>
    </row>
    <row r="51" spans="1:25">
      <c r="A51" s="357"/>
      <c r="B51" s="481"/>
      <c r="C51" s="358" t="s">
        <v>316</v>
      </c>
      <c r="D51" s="358"/>
      <c r="E51" s="357"/>
      <c r="F51" s="358"/>
      <c r="G51" s="116"/>
      <c r="H51" s="116"/>
      <c r="I51" s="222"/>
      <c r="J51" s="222"/>
      <c r="K51" s="222"/>
      <c r="L51" s="222"/>
      <c r="M51" s="222"/>
      <c r="N51" s="222"/>
      <c r="O51" s="222"/>
      <c r="P51" s="222"/>
      <c r="Q51" s="222"/>
      <c r="R51" s="222"/>
      <c r="S51" s="222"/>
      <c r="T51" s="116"/>
      <c r="U51" s="116"/>
      <c r="V51" s="240"/>
      <c r="W51" s="240"/>
      <c r="X51" s="240"/>
      <c r="Y51" s="18"/>
    </row>
    <row r="52" spans="1:25">
      <c r="A52" s="18"/>
      <c r="B52" s="18"/>
      <c r="C52" s="334"/>
      <c r="D52" s="334"/>
      <c r="E52" s="18"/>
      <c r="F52" s="18"/>
      <c r="G52" s="360"/>
      <c r="H52" s="360"/>
      <c r="I52" s="360"/>
      <c r="J52" s="360"/>
      <c r="K52" s="360"/>
      <c r="L52" s="360"/>
      <c r="M52" s="360"/>
      <c r="N52" s="360"/>
      <c r="O52" s="360"/>
      <c r="P52" s="18"/>
      <c r="Q52" s="18"/>
      <c r="R52" s="18"/>
      <c r="S52" s="18"/>
      <c r="T52" s="18"/>
      <c r="U52" s="18"/>
      <c r="V52" s="240"/>
      <c r="W52" s="240"/>
      <c r="X52" s="240"/>
    </row>
    <row r="53" spans="1:25">
      <c r="A53" s="18"/>
      <c r="B53" s="18"/>
      <c r="C53" s="240"/>
      <c r="D53" s="359" t="s">
        <v>434</v>
      </c>
      <c r="E53" s="378" t="s">
        <v>433</v>
      </c>
      <c r="F53" s="752">
        <f>'X factors'!F$76/1000</f>
        <v>1072</v>
      </c>
      <c r="G53" s="360">
        <f>'X factors'!G$76/1000</f>
        <v>1069.0619999999999</v>
      </c>
      <c r="H53" s="360">
        <f>'X factors'!H$76/1000</f>
        <v>1066.161636</v>
      </c>
      <c r="I53" s="360">
        <f>'X factors'!I$76/1000</f>
        <v>1063.299275928</v>
      </c>
      <c r="J53" s="360">
        <f>'X factors'!J$76/1000</f>
        <v>1060.4752966081439</v>
      </c>
      <c r="K53" s="360">
        <f>'X factors'!K$76/1000</f>
        <v>1057.690083932496</v>
      </c>
      <c r="L53" s="360">
        <f>'X factors'!L$76/1000</f>
        <v>0</v>
      </c>
      <c r="M53" s="360">
        <f>'X factors'!M$76/1000</f>
        <v>0</v>
      </c>
      <c r="N53" s="360">
        <f>'X factors'!N$76/1000</f>
        <v>0</v>
      </c>
      <c r="O53" s="360">
        <f>'X factors'!O$76/1000</f>
        <v>0</v>
      </c>
      <c r="P53" s="360">
        <f>'X factors'!P$76/1000</f>
        <v>0</v>
      </c>
      <c r="Q53" s="751"/>
      <c r="R53" s="18"/>
      <c r="S53" s="18"/>
      <c r="T53" s="18"/>
      <c r="U53" s="18"/>
      <c r="V53" s="240"/>
      <c r="W53" s="240"/>
      <c r="X53" s="240"/>
    </row>
    <row r="54" spans="1:25">
      <c r="A54" s="18"/>
      <c r="B54" s="18"/>
      <c r="C54" s="240"/>
      <c r="D54" s="334"/>
      <c r="E54" s="18"/>
      <c r="F54" s="362"/>
      <c r="G54" s="362"/>
      <c r="H54" s="362"/>
      <c r="I54" s="362"/>
      <c r="J54" s="362"/>
      <c r="L54" s="360"/>
      <c r="M54" s="360"/>
      <c r="N54" s="360"/>
      <c r="O54" s="360"/>
      <c r="P54" s="360"/>
      <c r="Q54" s="18"/>
      <c r="R54" s="18"/>
      <c r="S54" s="18"/>
      <c r="T54" s="18"/>
      <c r="U54" s="18"/>
      <c r="V54" s="240"/>
      <c r="W54" s="240"/>
      <c r="X54" s="240"/>
    </row>
    <row r="55" spans="1:25">
      <c r="A55" s="18"/>
      <c r="B55" s="18"/>
      <c r="C55" s="334" t="s">
        <v>314</v>
      </c>
      <c r="D55" s="334"/>
      <c r="E55" s="18"/>
      <c r="F55" s="237"/>
      <c r="G55" s="237"/>
      <c r="H55" s="237"/>
      <c r="I55" s="237"/>
      <c r="J55" s="237"/>
      <c r="K55" s="537"/>
      <c r="L55" s="237"/>
      <c r="M55" s="237"/>
      <c r="N55" s="237"/>
      <c r="O55" s="237"/>
      <c r="P55" s="237"/>
      <c r="Q55" s="18"/>
      <c r="R55" s="18"/>
      <c r="S55" s="376"/>
      <c r="T55" s="18"/>
      <c r="U55" s="18"/>
      <c r="V55" s="240"/>
      <c r="W55" s="240"/>
      <c r="X55" s="240"/>
    </row>
    <row r="56" spans="1:25">
      <c r="A56" s="18"/>
      <c r="B56" s="18"/>
      <c r="C56" s="237"/>
      <c r="D56" s="359" t="s">
        <v>435</v>
      </c>
      <c r="E56" s="378" t="s">
        <v>437</v>
      </c>
      <c r="F56" s="756">
        <f>'X factors'!F44</f>
        <v>329.548</v>
      </c>
      <c r="G56" s="537">
        <f t="shared" ref="G56:P56" si="2">G17</f>
        <v>355.99520145786204</v>
      </c>
      <c r="H56" s="537">
        <f t="shared" si="2"/>
        <v>358.67916369407845</v>
      </c>
      <c r="I56" s="537">
        <f t="shared" si="2"/>
        <v>368.14543207549701</v>
      </c>
      <c r="J56" s="537">
        <f t="shared" si="2"/>
        <v>377.90599019496472</v>
      </c>
      <c r="K56" s="537">
        <f t="shared" si="2"/>
        <v>387.970523997437</v>
      </c>
      <c r="L56" s="537">
        <f t="shared" si="2"/>
        <v>0</v>
      </c>
      <c r="M56" s="537">
        <f t="shared" si="2"/>
        <v>0</v>
      </c>
      <c r="N56" s="537">
        <f t="shared" si="2"/>
        <v>0</v>
      </c>
      <c r="O56" s="537">
        <f t="shared" si="2"/>
        <v>0</v>
      </c>
      <c r="P56" s="537">
        <f t="shared" si="2"/>
        <v>0</v>
      </c>
      <c r="Q56" s="18"/>
      <c r="R56" s="18"/>
      <c r="S56" s="365">
        <f ca="1">OFFSET(F56,0,'PTRM input'!$R$7,1,1)/F56-1</f>
        <v>0.17728077244418716</v>
      </c>
      <c r="T56" s="337" t="s">
        <v>284</v>
      </c>
      <c r="U56" s="18"/>
      <c r="V56" s="240"/>
      <c r="W56" s="240"/>
      <c r="X56" s="240"/>
    </row>
    <row r="57" spans="1:25">
      <c r="A57" s="18"/>
      <c r="B57" s="18"/>
      <c r="C57" s="359"/>
      <c r="D57" s="359" t="s">
        <v>348</v>
      </c>
      <c r="E57" s="378" t="s">
        <v>431</v>
      </c>
      <c r="F57" s="237"/>
      <c r="G57" s="374">
        <f>G56/F56-1</f>
        <v>8.0252956952741483E-2</v>
      </c>
      <c r="H57" s="374">
        <f>IF(COUNT($G57:G57)&gt;='PTRM input'!$R$7,"",(H56/G56-1))</f>
        <v>7.5393213875498688E-3</v>
      </c>
      <c r="I57" s="374">
        <f>IF(COUNT($G57:H57)&gt;='PTRM input'!$R$7,"",(I56/H56-1))</f>
        <v>2.6392022006308746E-2</v>
      </c>
      <c r="J57" s="374">
        <f>IF(COUNT($G57:I57)&gt;='PTRM input'!$R$7,"",(J56/I56-1))</f>
        <v>2.6512778019383676E-2</v>
      </c>
      <c r="K57" s="374">
        <f>IF(COUNT($G57:J57)&gt;='PTRM input'!$R$7,"",(K56/J56-1))</f>
        <v>2.6632374356595712E-2</v>
      </c>
      <c r="L57" s="757" t="str">
        <f>IF(COUNT($G57:K57)&gt;='PTRM input'!$R$7,"",(L56/K56-1))</f>
        <v/>
      </c>
      <c r="M57" s="757" t="str">
        <f>IF(COUNT($G57:L57)&gt;='PTRM input'!$R$7,"",(M56/L56-1))</f>
        <v/>
      </c>
      <c r="N57" s="757" t="str">
        <f>IF(COUNT($G57:M57)&gt;='PTRM input'!$R$7,"",(N56/M56-1))</f>
        <v/>
      </c>
      <c r="O57" s="757" t="str">
        <f>IF(COUNT($G57:N57)&gt;='PTRM input'!$R$7,"",(O56/N56-1))</f>
        <v/>
      </c>
      <c r="P57" s="757" t="str">
        <f>IF(COUNT($G57:O57)&gt;='PTRM input'!$R$7,"",(P56/O56-1))</f>
        <v/>
      </c>
      <c r="Q57" s="18"/>
      <c r="R57" s="18"/>
      <c r="S57" s="482">
        <f ca="1">POWER(1+S56,1/'PTRM input'!$R$7)-1</f>
        <v>3.3180046592573564E-2</v>
      </c>
      <c r="T57" s="337" t="s">
        <v>283</v>
      </c>
      <c r="U57" s="18"/>
      <c r="V57" s="240"/>
      <c r="W57" s="240"/>
      <c r="X57" s="240"/>
    </row>
    <row r="58" spans="1:25">
      <c r="A58" s="18"/>
      <c r="B58" s="18"/>
      <c r="C58" s="359"/>
      <c r="D58" s="359"/>
      <c r="E58" s="753"/>
      <c r="F58" s="237"/>
      <c r="G58" s="402"/>
      <c r="H58" s="402"/>
      <c r="I58" s="402"/>
      <c r="J58" s="402"/>
      <c r="K58" s="402"/>
      <c r="L58" s="359"/>
      <c r="M58" s="237"/>
      <c r="N58" s="237"/>
      <c r="O58" s="237"/>
      <c r="P58" s="237"/>
      <c r="Q58" s="18"/>
      <c r="R58" s="18"/>
      <c r="S58" s="375"/>
      <c r="T58" s="18"/>
      <c r="U58" s="18"/>
      <c r="V58" s="240"/>
      <c r="W58" s="240"/>
      <c r="X58" s="240"/>
    </row>
    <row r="59" spans="1:25">
      <c r="A59" s="18"/>
      <c r="B59" s="18"/>
      <c r="C59" s="359"/>
      <c r="D59" s="359" t="s">
        <v>436</v>
      </c>
      <c r="E59" s="378" t="s">
        <v>432</v>
      </c>
      <c r="F59" s="758">
        <f>IF(F53&gt;0,(F56*1000)/(F53),0)</f>
        <v>307.41417910447763</v>
      </c>
      <c r="G59" s="236">
        <f>F59*(1+'X factors'!G$10)*(1-P_0_WAPC)</f>
        <v>327.97473295457837</v>
      </c>
      <c r="H59" s="236">
        <f>IF(COUNT($G59:G59)&gt;='PTRM input'!$R$7,0,(G59*(1+'X factors'!H$10)*(1-X_02_WAPC)))</f>
        <v>326.31824515055121</v>
      </c>
      <c r="I59" s="236">
        <f>IF(COUNT($G59:H59)&gt;='PTRM input'!$R$7,0,(H59*(1+'X factors'!I$10)*(1-X_03_WAPC)))</f>
        <v>330.70594962178347</v>
      </c>
      <c r="J59" s="236">
        <f>IF(COUNT($G59:I59)&gt;='PTRM input'!$R$7,0,(I59*(1+'X factors'!J$10)*(1-X_04_WAPC)))</f>
        <v>335.15265156193749</v>
      </c>
      <c r="K59" s="236">
        <f>IF(COUNT($G59:J59)&gt;='PTRM input'!$R$7,0,(J59*(1+'X factors'!K$10)*(1-X_05_WAPC)))</f>
        <v>339.65914425628625</v>
      </c>
      <c r="L59" s="236">
        <f>IF(COUNT($G59:K59)&gt;='PTRM input'!$R$7,0,(K59*(1+'X factors'!L$10)*(1-X_06_WAPC)))</f>
        <v>0</v>
      </c>
      <c r="M59" s="236">
        <f>IF(COUNT($G59:L59)&gt;='PTRM input'!$R$7,0,(L59*(1+'X factors'!M$10)*(1-X_07_WAPC)))</f>
        <v>0</v>
      </c>
      <c r="N59" s="236">
        <f>IF(COUNT($G59:M59)&gt;='PTRM input'!$R$7,0,(M59*(1+'X factors'!N$10)*(1-X_08_WAPC)))</f>
        <v>0</v>
      </c>
      <c r="O59" s="236">
        <f>IF(COUNT($G59:N59)&gt;='PTRM input'!$R$7,0,(N59*(1+'X factors'!O$10)*(1-X_09_WAPC)))</f>
        <v>0</v>
      </c>
      <c r="P59" s="236">
        <f>IF(COUNT($G59:O59)&gt;='PTRM input'!$R$7,0,(O59*(1+'X factors'!P$10)*(1-X_10_WAPC)))</f>
        <v>0</v>
      </c>
      <c r="Q59" s="18"/>
      <c r="R59" s="18"/>
      <c r="S59" s="365">
        <f ca="1">OFFSET(F59,0,'PTRM input'!$R$7,1,1)/F59-1</f>
        <v>0.10489094955132128</v>
      </c>
      <c r="T59" s="337" t="s">
        <v>284</v>
      </c>
      <c r="U59" s="18"/>
      <c r="V59" s="240"/>
      <c r="W59" s="240"/>
      <c r="X59" s="240"/>
    </row>
    <row r="60" spans="1:25">
      <c r="A60" s="18"/>
      <c r="B60" s="18"/>
      <c r="C60" s="359"/>
      <c r="D60" s="359" t="s">
        <v>349</v>
      </c>
      <c r="E60" s="378" t="s">
        <v>431</v>
      </c>
      <c r="F60" s="237"/>
      <c r="G60" s="374">
        <f>G59/F59-1</f>
        <v>6.6882256081991054E-2</v>
      </c>
      <c r="H60" s="374">
        <f>IF(COUNT($G60:G60)&gt;='PTRM input'!$R$7,"",(H59/G59-1))</f>
        <v>-5.0506567658569201E-3</v>
      </c>
      <c r="I60" s="374">
        <f>IF(COUNT($G60:H60)&gt;='PTRM input'!$R$7,"",(I59/H59-1))</f>
        <v>1.3446089933487837E-2</v>
      </c>
      <c r="J60" s="374">
        <f>IF(COUNT($G60:I60)&gt;='PTRM input'!$R$7,"",(J59/I59-1))</f>
        <v>1.3446089933487837E-2</v>
      </c>
      <c r="K60" s="374">
        <f>IF(COUNT($G60:J60)&gt;='PTRM input'!$R$7,"",(K59/J59-1))</f>
        <v>1.3446089933488059E-2</v>
      </c>
      <c r="L60" s="757" t="str">
        <f>IF(COUNT($G60:K60)&gt;='PTRM input'!$R$7,"",(L59/K59-1))</f>
        <v/>
      </c>
      <c r="M60" s="757" t="str">
        <f>IF(COUNT($G60:L60)&gt;='PTRM input'!$R$7,"",(M59/L59-1))</f>
        <v/>
      </c>
      <c r="N60" s="757" t="str">
        <f>IF(COUNT($G60:M60)&gt;='PTRM input'!$R$7,"",(N59/M59-1))</f>
        <v/>
      </c>
      <c r="O60" s="757" t="str">
        <f>IF(COUNT($G60:N60)&gt;='PTRM input'!$R$7,"",(O59/N59-1))</f>
        <v/>
      </c>
      <c r="P60" s="757" t="str">
        <f>IF(COUNT($G60:O60)&gt;='PTRM input'!$R$7,"",(P59/O59-1))</f>
        <v/>
      </c>
      <c r="Q60" s="18"/>
      <c r="R60" s="18"/>
      <c r="S60" s="482">
        <f ca="1">POWER(1+S59,1/'PTRM input'!$R$7)-1</f>
        <v>2.0149646084066664E-2</v>
      </c>
      <c r="T60" s="337" t="s">
        <v>283</v>
      </c>
      <c r="U60" s="18"/>
      <c r="V60" s="240"/>
      <c r="W60" s="240"/>
      <c r="X60" s="240"/>
    </row>
    <row r="61" spans="1:25">
      <c r="A61" s="18"/>
      <c r="B61" s="18"/>
      <c r="C61" s="378"/>
      <c r="D61" s="378"/>
      <c r="E61" s="753"/>
      <c r="F61" s="237"/>
      <c r="G61" s="237"/>
      <c r="H61" s="237"/>
      <c r="I61" s="237"/>
      <c r="J61" s="237"/>
      <c r="K61" s="237"/>
      <c r="L61" s="237"/>
      <c r="M61" s="237"/>
      <c r="N61" s="237"/>
      <c r="O61" s="237"/>
      <c r="P61" s="237"/>
      <c r="Q61" s="18"/>
      <c r="R61" s="18"/>
      <c r="S61" s="18"/>
      <c r="T61" s="18"/>
      <c r="U61" s="18"/>
      <c r="V61" s="240"/>
      <c r="W61" s="240"/>
      <c r="X61" s="240"/>
    </row>
    <row r="62" spans="1:25">
      <c r="A62" s="18"/>
      <c r="B62" s="18"/>
      <c r="C62" s="359" t="s">
        <v>276</v>
      </c>
      <c r="D62" s="359"/>
      <c r="E62" s="753"/>
      <c r="F62" s="237"/>
      <c r="G62" s="237"/>
      <c r="H62" s="237"/>
      <c r="I62" s="237"/>
      <c r="J62" s="237"/>
      <c r="K62" s="237"/>
      <c r="L62" s="237"/>
      <c r="M62" s="237"/>
      <c r="N62" s="237"/>
      <c r="O62" s="237"/>
      <c r="P62" s="237"/>
      <c r="Q62" s="18"/>
      <c r="R62" s="18"/>
      <c r="S62" s="18"/>
      <c r="T62" s="18"/>
      <c r="U62" s="18"/>
      <c r="V62" s="240"/>
      <c r="W62" s="240"/>
      <c r="X62" s="240"/>
    </row>
    <row r="63" spans="1:25">
      <c r="A63" s="18"/>
      <c r="B63" s="18"/>
      <c r="C63" s="237"/>
      <c r="D63" s="359" t="s">
        <v>435</v>
      </c>
      <c r="E63" s="378" t="s">
        <v>437</v>
      </c>
      <c r="F63" s="756">
        <f>'X factors'!F60</f>
        <v>10</v>
      </c>
      <c r="G63" s="537">
        <f t="shared" ref="G63:P63" si="3">G21</f>
        <v>5.3385764178658937</v>
      </c>
      <c r="H63" s="537">
        <f t="shared" si="3"/>
        <v>4.2106722443123941</v>
      </c>
      <c r="I63" s="537">
        <f t="shared" si="3"/>
        <v>3.3210652730733563</v>
      </c>
      <c r="J63" s="537">
        <f t="shared" si="3"/>
        <v>2.619409421598172</v>
      </c>
      <c r="K63" s="537">
        <f t="shared" si="3"/>
        <v>2.0659954423623028</v>
      </c>
      <c r="L63" s="537">
        <f t="shared" si="3"/>
        <v>0</v>
      </c>
      <c r="M63" s="537">
        <f t="shared" si="3"/>
        <v>0</v>
      </c>
      <c r="N63" s="537">
        <f t="shared" si="3"/>
        <v>0</v>
      </c>
      <c r="O63" s="537">
        <f t="shared" si="3"/>
        <v>0</v>
      </c>
      <c r="P63" s="537">
        <f t="shared" si="3"/>
        <v>0</v>
      </c>
      <c r="Q63" s="18"/>
      <c r="R63" s="18"/>
      <c r="S63" s="365">
        <f ca="1">OFFSET(F63,0,'PTRM input'!$R$7,1,1)/F63-1</f>
        <v>-0.79340045576376972</v>
      </c>
      <c r="T63" s="337" t="s">
        <v>284</v>
      </c>
      <c r="U63" s="18"/>
      <c r="V63" s="240"/>
      <c r="W63" s="240"/>
      <c r="X63" s="240"/>
    </row>
    <row r="64" spans="1:25">
      <c r="A64" s="18"/>
      <c r="B64" s="18"/>
      <c r="C64" s="359"/>
      <c r="D64" s="359" t="s">
        <v>348</v>
      </c>
      <c r="E64" s="378" t="s">
        <v>431</v>
      </c>
      <c r="F64" s="237"/>
      <c r="G64" s="374">
        <f>G63/F63-1</f>
        <v>-0.46614235821341066</v>
      </c>
      <c r="H64" s="374">
        <f>IF(COUNT($G64:G64)&gt;='PTRM input'!$R$7,"",(H63/G63-1))</f>
        <v>-0.21127433331831591</v>
      </c>
      <c r="I64" s="374">
        <f>IF(COUNT($G64:H64)&gt;='PTRM input'!$R$7,"",(I63/H63-1))</f>
        <v>-0.2112743333183158</v>
      </c>
      <c r="J64" s="374">
        <f>IF(COUNT($G64:I64)&gt;='PTRM input'!$R$7,"",(J63/I63-1))</f>
        <v>-0.21127433331831591</v>
      </c>
      <c r="K64" s="374">
        <f>IF(COUNT($G64:J64)&gt;='PTRM input'!$R$7,"",(K63/J63-1))</f>
        <v>-0.21127433331831591</v>
      </c>
      <c r="L64" s="757" t="str">
        <f>IF(COUNT($G64:K64)&gt;='PTRM input'!$R$7,"",(L63/K63-1))</f>
        <v/>
      </c>
      <c r="M64" s="757" t="str">
        <f>IF(COUNT($G64:L64)&gt;='PTRM input'!$R$7,"",(M63/L63-1))</f>
        <v/>
      </c>
      <c r="N64" s="757" t="str">
        <f>IF(COUNT($G64:M64)&gt;='PTRM input'!$R$7,"",(N63/M63-1))</f>
        <v/>
      </c>
      <c r="O64" s="757" t="str">
        <f>IF(COUNT($G64:N64)&gt;='PTRM input'!$R$7,"",(O63/N63-1))</f>
        <v/>
      </c>
      <c r="P64" s="757" t="str">
        <f>IF(COUNT($G64:O64)&gt;='PTRM input'!$R$7,"",(P63/O63-1))</f>
        <v/>
      </c>
      <c r="Q64" s="18"/>
      <c r="R64" s="18"/>
      <c r="S64" s="482">
        <f ca="1">POWER(1+S63,1/'PTRM input'!$R$7)-1</f>
        <v>-0.27049903315255575</v>
      </c>
      <c r="T64" s="337" t="s">
        <v>283</v>
      </c>
      <c r="U64" s="18"/>
      <c r="V64" s="240"/>
      <c r="W64" s="240"/>
      <c r="X64" s="240"/>
    </row>
    <row r="65" spans="1:24">
      <c r="A65" s="18"/>
      <c r="B65" s="18"/>
      <c r="C65" s="359"/>
      <c r="D65" s="359"/>
      <c r="E65" s="753"/>
      <c r="F65" s="237"/>
      <c r="G65" s="402"/>
      <c r="H65" s="402"/>
      <c r="I65" s="402"/>
      <c r="J65" s="402"/>
      <c r="K65" s="402"/>
      <c r="L65" s="359"/>
      <c r="M65" s="237"/>
      <c r="N65" s="237"/>
      <c r="O65" s="237"/>
      <c r="P65" s="237"/>
      <c r="Q65" s="18"/>
      <c r="R65" s="18"/>
      <c r="S65" s="18"/>
      <c r="T65" s="18"/>
      <c r="U65" s="18"/>
      <c r="V65" s="240"/>
      <c r="W65" s="240"/>
      <c r="X65" s="240"/>
    </row>
    <row r="66" spans="1:24">
      <c r="A66" s="18"/>
      <c r="B66" s="18"/>
      <c r="C66" s="359"/>
      <c r="D66" s="359" t="s">
        <v>436</v>
      </c>
      <c r="E66" s="378" t="s">
        <v>432</v>
      </c>
      <c r="F66" s="758">
        <f>IF(F$53&gt;0,(F63*1000)/(F$53),0)</f>
        <v>9.3283582089552244</v>
      </c>
      <c r="G66" s="236">
        <f>G63*1000/G$53</f>
        <v>4.9937014110181579</v>
      </c>
      <c r="H66" s="236">
        <f>IF(COUNT($G66:G66)&gt;='PTRM input'!$R$7,0,((H63*1000)/(H$53)))</f>
        <v>3.9493751248730864</v>
      </c>
      <c r="I66" s="236">
        <f>IF(COUNT($G66:H66)&gt;='PTRM input'!$R$7,0,((I63*1000)/(I$53)))</f>
        <v>3.1233589152732932</v>
      </c>
      <c r="J66" s="236">
        <f>IF(COUNT($G66:I66)&gt;='PTRM input'!$R$7,0,((J63*1000)/(J$53)))</f>
        <v>2.4700334180118766</v>
      </c>
      <c r="K66" s="236">
        <f>IF(COUNT($G66:J66)&gt;='PTRM input'!$R$7,0,((K63*1000)/(K$53)))</f>
        <v>1.9533088886310852</v>
      </c>
      <c r="L66" s="236">
        <f>IF(COUNT($G66:K66)&gt;='PTRM input'!$R$7,0,((L63*1000)/(L$53)))</f>
        <v>0</v>
      </c>
      <c r="M66" s="236">
        <f>IF(COUNT($G66:L66)&gt;='PTRM input'!$R$7,0,((M63*1000)/(M$53)))</f>
        <v>0</v>
      </c>
      <c r="N66" s="236">
        <f>IF(COUNT($G66:M66)&gt;='PTRM input'!$R$7,0,((N63*1000)/(N$53)))</f>
        <v>0</v>
      </c>
      <c r="O66" s="236">
        <f>IF(COUNT($G66:N66)&gt;='PTRM input'!$R$7,0,((O63*1000)/(O$53)))</f>
        <v>0</v>
      </c>
      <c r="P66" s="236">
        <f>IF(COUNT($G66:O66)&gt;='PTRM input'!$R$7,0,((P63*1000)/(P$53)))</f>
        <v>0</v>
      </c>
      <c r="Q66" s="18"/>
      <c r="R66" s="18"/>
      <c r="S66" s="365">
        <f ca="1">OFFSET(F66,0,'PTRM input'!$R$7,1,1)/F66-1</f>
        <v>-0.79060528713874767</v>
      </c>
      <c r="T66" s="337" t="s">
        <v>284</v>
      </c>
      <c r="U66" s="18"/>
      <c r="V66" s="240"/>
      <c r="W66" s="240"/>
      <c r="X66" s="240"/>
    </row>
    <row r="67" spans="1:24">
      <c r="A67" s="18"/>
      <c r="B67" s="18"/>
      <c r="C67" s="359"/>
      <c r="D67" s="359" t="s">
        <v>349</v>
      </c>
      <c r="E67" s="378" t="s">
        <v>431</v>
      </c>
      <c r="F67" s="237"/>
      <c r="G67" s="374">
        <f>G66/F66-1</f>
        <v>-0.46467520873885348</v>
      </c>
      <c r="H67" s="374">
        <f>IF(COUNT($G67:G67)&gt;='PTRM input'!$R$7,"",(H66/G66-1))</f>
        <v>-0.20912870037460762</v>
      </c>
      <c r="I67" s="374">
        <f>IF(COUNT($G67:H67)&gt;='PTRM input'!$R$7,"",(I66/H66-1))</f>
        <v>-0.20915111466559844</v>
      </c>
      <c r="J67" s="374">
        <f>IF(COUNT($G67:I67)&gt;='PTRM input'!$R$7,"",(J66/I66-1))</f>
        <v>-0.20917400624905469</v>
      </c>
      <c r="K67" s="374">
        <f>IF(COUNT($G67:J67)&gt;='PTRM input'!$R$7,"",(K66/J66-1))</f>
        <v>-0.20919738397576082</v>
      </c>
      <c r="L67" s="757" t="str">
        <f>IF(COUNT($G67:K67)&gt;='PTRM input'!$R$7,"",(L66/K66-1))</f>
        <v/>
      </c>
      <c r="M67" s="757" t="str">
        <f>IF(COUNT($G67:L67)&gt;='PTRM input'!$R$7,"",(M66/L66-1))</f>
        <v/>
      </c>
      <c r="N67" s="757" t="str">
        <f>IF(COUNT($G67:M67)&gt;='PTRM input'!$R$7,"",(N66/M66-1))</f>
        <v/>
      </c>
      <c r="O67" s="757" t="str">
        <f>IF(COUNT($G67:N67)&gt;='PTRM input'!$R$7,"",(O66/N66-1))</f>
        <v/>
      </c>
      <c r="P67" s="757" t="str">
        <f>IF(COUNT($G67:O67)&gt;='PTRM input'!$R$7,"",(P66/O66-1))</f>
        <v/>
      </c>
      <c r="Q67" s="18"/>
      <c r="R67" s="18"/>
      <c r="S67" s="482">
        <f ca="1">POWER(1+S66,1/'PTRM input'!$R$7)-1</f>
        <v>-0.26853568714851472</v>
      </c>
      <c r="T67" s="337" t="s">
        <v>283</v>
      </c>
      <c r="U67" s="18"/>
      <c r="V67" s="240"/>
      <c r="W67" s="240"/>
      <c r="X67" s="240"/>
    </row>
    <row r="68" spans="1:24">
      <c r="A68" s="18"/>
      <c r="B68" s="18"/>
      <c r="C68" s="378"/>
      <c r="D68" s="378"/>
      <c r="E68" s="753"/>
      <c r="F68" s="237"/>
      <c r="G68" s="237"/>
      <c r="H68" s="237"/>
      <c r="I68" s="237"/>
      <c r="J68" s="237"/>
      <c r="K68" s="237"/>
      <c r="L68" s="237"/>
      <c r="M68" s="237"/>
      <c r="N68" s="237"/>
      <c r="O68" s="237"/>
      <c r="P68" s="237"/>
      <c r="Q68" s="18"/>
      <c r="R68" s="18"/>
      <c r="S68" s="18"/>
      <c r="T68" s="18"/>
      <c r="U68" s="18"/>
      <c r="V68" s="240"/>
      <c r="W68" s="240"/>
      <c r="X68" s="240"/>
    </row>
    <row r="69" spans="1:24">
      <c r="A69" s="18"/>
      <c r="B69" s="18"/>
      <c r="C69" s="359" t="s">
        <v>277</v>
      </c>
      <c r="D69" s="359"/>
      <c r="E69" s="753"/>
      <c r="F69" s="237"/>
      <c r="G69" s="237"/>
      <c r="H69" s="237"/>
      <c r="I69" s="237"/>
      <c r="J69" s="237"/>
      <c r="K69" s="237"/>
      <c r="L69" s="237"/>
      <c r="M69" s="237"/>
      <c r="N69" s="237"/>
      <c r="O69" s="237"/>
      <c r="P69" s="237"/>
      <c r="Q69" s="18"/>
      <c r="R69" s="18"/>
      <c r="S69" s="18"/>
      <c r="T69" s="18"/>
      <c r="U69" s="18"/>
      <c r="V69" s="240"/>
      <c r="W69" s="240"/>
      <c r="X69" s="240"/>
    </row>
    <row r="70" spans="1:24">
      <c r="A70" s="18"/>
      <c r="B70" s="18"/>
      <c r="C70" s="237"/>
      <c r="D70" s="359" t="s">
        <v>435</v>
      </c>
      <c r="E70" s="378" t="s">
        <v>437</v>
      </c>
      <c r="F70" s="756">
        <f>'X factors'!F80</f>
        <v>10</v>
      </c>
      <c r="G70" s="537">
        <f>G73*G53/1000</f>
        <v>10.802532156075229</v>
      </c>
      <c r="H70" s="537">
        <f>IF(COUNT($G70:G70)&gt;='PTRM input'!$R$7,0,H73*H53/1000)</f>
        <v>10.884927092675968</v>
      </c>
      <c r="I70" s="537">
        <f>IF(COUNT($G70:H70)&gt;='PTRM input'!$R$7,0,I73*I53/1000)</f>
        <v>11.172165620143712</v>
      </c>
      <c r="J70" s="537">
        <f>IF(COUNT($G70:I70)&gt;='PTRM input'!$R$7,0,J73*J53/1000)</f>
        <v>11.467315912642468</v>
      </c>
      <c r="K70" s="537">
        <f>IF(COUNT($G70:J70)&gt;='PTRM input'!$R$7,0,K73*K53/1000)</f>
        <v>11.770611544627103</v>
      </c>
      <c r="L70" s="537">
        <f>IF(COUNT($G70:K70)&gt;='PTRM input'!$R$7,0,L73*L53/1000)</f>
        <v>0</v>
      </c>
      <c r="M70" s="537">
        <f>IF(COUNT($G70:L70)&gt;='PTRM input'!$R$7,0,M73*M53/1000)</f>
        <v>0</v>
      </c>
      <c r="N70" s="537">
        <f>IF(COUNT($G70:M70)&gt;='PTRM input'!$R$7,0,N73*N53/1000)</f>
        <v>0</v>
      </c>
      <c r="O70" s="537">
        <f>IF(COUNT($G70:N70)&gt;='PTRM input'!$R$7,0,O73*O53/1000)</f>
        <v>0</v>
      </c>
      <c r="P70" s="537">
        <f>IF(COUNT($G70:O70)&gt;='PTRM input'!$R$7,0,P73*P53/1000)</f>
        <v>0</v>
      </c>
      <c r="Q70" s="18"/>
      <c r="R70" s="18"/>
      <c r="S70" s="365">
        <f ca="1">OFFSET(F70,0,'PTRM input'!$R$7,1,1)/F70-1</f>
        <v>0.17706115446271031</v>
      </c>
      <c r="T70" s="337" t="s">
        <v>284</v>
      </c>
      <c r="U70" s="18"/>
      <c r="V70" s="240"/>
      <c r="W70" s="240"/>
      <c r="X70" s="240"/>
    </row>
    <row r="71" spans="1:24">
      <c r="A71" s="18"/>
      <c r="B71" s="18"/>
      <c r="C71" s="359"/>
      <c r="D71" s="359" t="s">
        <v>348</v>
      </c>
      <c r="E71" s="378" t="s">
        <v>431</v>
      </c>
      <c r="F71" s="237"/>
      <c r="G71" s="374">
        <f>G70/F70-1</f>
        <v>8.0253215607522854E-2</v>
      </c>
      <c r="H71" s="374">
        <f>IF(COUNT($G71:G71)&gt;='PTRM input'!$R$7,"",(H70/G70-1))</f>
        <v>7.6273724910322915E-3</v>
      </c>
      <c r="I71" s="374">
        <f>IF(COUNT($G71:H71)&gt;='PTRM input'!$R$7,"",(I70/H70-1))</f>
        <v>2.638864964571197E-2</v>
      </c>
      <c r="J71" s="374">
        <f>IF(COUNT($G71:I71)&gt;='PTRM input'!$R$7,"",(J70/I70-1))</f>
        <v>2.6418359925366008E-2</v>
      </c>
      <c r="K71" s="374">
        <f>IF(COUNT($G71:J71)&gt;='PTRM input'!$R$7,"",(K70/J70-1))</f>
        <v>2.6448702930583767E-2</v>
      </c>
      <c r="L71" s="757" t="str">
        <f>IF(COUNT($G71:K71)&gt;='PTRM input'!$R$7,"",(L70/K70-1))</f>
        <v/>
      </c>
      <c r="M71" s="757" t="str">
        <f>IF(COUNT($G71:L71)&gt;='PTRM input'!$R$7,"",(M70/L70-1))</f>
        <v/>
      </c>
      <c r="N71" s="757" t="str">
        <f>IF(COUNT($G71:M71)&gt;='PTRM input'!$R$7,"",(N70/M70-1))</f>
        <v/>
      </c>
      <c r="O71" s="757" t="str">
        <f>IF(COUNT($G71:N71)&gt;='PTRM input'!$R$7,"",(O70/N70-1))</f>
        <v/>
      </c>
      <c r="P71" s="757" t="str">
        <f>IF(COUNT($G71:O71)&gt;='PTRM input'!$R$7,"",(P70/O70-1))</f>
        <v/>
      </c>
      <c r="Q71" s="18"/>
      <c r="R71" s="18"/>
      <c r="S71" s="482">
        <f ca="1">POWER(1+S70,1/'PTRM input'!$R$7)-1</f>
        <v>3.3141496425969752E-2</v>
      </c>
      <c r="T71" s="337" t="s">
        <v>283</v>
      </c>
      <c r="U71" s="18"/>
      <c r="V71" s="240"/>
      <c r="W71" s="240"/>
      <c r="X71" s="240"/>
    </row>
    <row r="72" spans="1:24">
      <c r="A72" s="18"/>
      <c r="B72" s="18"/>
      <c r="C72" s="359"/>
      <c r="D72" s="359"/>
      <c r="E72" s="753"/>
      <c r="F72" s="237"/>
      <c r="G72" s="402"/>
      <c r="H72" s="402"/>
      <c r="I72" s="402"/>
      <c r="J72" s="402"/>
      <c r="K72" s="402"/>
      <c r="L72" s="359"/>
      <c r="M72" s="237"/>
      <c r="N72" s="237"/>
      <c r="O72" s="237"/>
      <c r="P72" s="237"/>
      <c r="Q72" s="18"/>
      <c r="R72" s="18"/>
      <c r="S72" s="18"/>
      <c r="T72" s="18"/>
      <c r="U72" s="18"/>
      <c r="V72" s="240"/>
      <c r="W72" s="240"/>
      <c r="X72" s="240"/>
    </row>
    <row r="73" spans="1:24">
      <c r="A73" s="18"/>
      <c r="B73" s="18"/>
      <c r="C73" s="359"/>
      <c r="D73" s="759" t="s">
        <v>436</v>
      </c>
      <c r="E73" s="378" t="s">
        <v>432</v>
      </c>
      <c r="F73" s="758">
        <f>'X factors'!F78</f>
        <v>9.3283582089552244</v>
      </c>
      <c r="G73" s="236">
        <f>'X factors'!G78</f>
        <v>10.104682568527579</v>
      </c>
      <c r="H73" s="236">
        <f>'X factors'!H78</f>
        <v>10.209452980801091</v>
      </c>
      <c r="I73" s="236">
        <f>'X factors'!I78</f>
        <v>10.507075357869633</v>
      </c>
      <c r="J73" s="236">
        <f>'X factors'!J78</f>
        <v>10.813373917638511</v>
      </c>
      <c r="K73" s="236">
        <f>'X factors'!K78</f>
        <v>11.128601585129665</v>
      </c>
      <c r="L73" s="236">
        <f>'X factors'!L78</f>
        <v>0</v>
      </c>
      <c r="M73" s="236">
        <f>'X factors'!M78</f>
        <v>0</v>
      </c>
      <c r="N73" s="236">
        <f>'X factors'!N78</f>
        <v>0</v>
      </c>
      <c r="O73" s="236">
        <f>'X factors'!O78</f>
        <v>0</v>
      </c>
      <c r="P73" s="236">
        <f>'X factors'!P78</f>
        <v>0</v>
      </c>
      <c r="Q73" s="18"/>
      <c r="R73" s="18"/>
      <c r="S73" s="365">
        <f ca="1">OFFSET(F73,0,'PTRM input'!$R$7,1,1)/F73-1</f>
        <v>0.19298608992590016</v>
      </c>
      <c r="T73" s="337" t="s">
        <v>284</v>
      </c>
      <c r="U73" s="18"/>
      <c r="V73" s="240"/>
      <c r="W73" s="240"/>
      <c r="X73" s="240"/>
    </row>
    <row r="74" spans="1:24">
      <c r="A74" s="18"/>
      <c r="B74" s="18"/>
      <c r="C74" s="359"/>
      <c r="D74" s="359" t="s">
        <v>349</v>
      </c>
      <c r="E74" s="378" t="s">
        <v>431</v>
      </c>
      <c r="F74" s="237"/>
      <c r="G74" s="374">
        <f>G73/F73-1</f>
        <v>8.3221971346156387E-2</v>
      </c>
      <c r="H74" s="374">
        <f>IF(COUNT($G74:G74)&gt;='PTRM input'!$R$7,"",(H73/G73-1))</f>
        <v>1.0368501094713656E-2</v>
      </c>
      <c r="I74" s="374">
        <f>IF(COUNT($G74:H74)&gt;='PTRM input'!$R$7,"",(I73/H73-1))</f>
        <v>2.9151647755097265E-2</v>
      </c>
      <c r="J74" s="374">
        <f>IF(COUNT($G74:I74)&gt;='PTRM input'!$R$7,"",(J73/I73-1))</f>
        <v>2.9151647755097265E-2</v>
      </c>
      <c r="K74" s="374">
        <f>IF(COUNT($G74:J74)&gt;='PTRM input'!$R$7,"",(K73/J73-1))</f>
        <v>2.9151647755097265E-2</v>
      </c>
      <c r="L74" s="757" t="str">
        <f>IF(COUNT($G74:K74)&gt;='PTRM input'!$R$7,"",(L73/K73-1))</f>
        <v/>
      </c>
      <c r="M74" s="757" t="str">
        <f>IF(COUNT($G74:L74)&gt;='PTRM input'!$R$7,"",(M73/L73-1))</f>
        <v/>
      </c>
      <c r="N74" s="757" t="str">
        <f>IF(COUNT($G74:M74)&gt;='PTRM input'!$R$7,"",(N73/M73-1))</f>
        <v/>
      </c>
      <c r="O74" s="757" t="str">
        <f>IF(COUNT($G74:N74)&gt;='PTRM input'!$R$7,"",(O73/N73-1))</f>
        <v/>
      </c>
      <c r="P74" s="757" t="str">
        <f>IF(COUNT($G74:O74)&gt;='PTRM input'!$R$7,"",(P73/O73-1))</f>
        <v/>
      </c>
      <c r="Q74" s="18"/>
      <c r="R74" s="18"/>
      <c r="S74" s="482">
        <f ca="1">POWER(1+S73,1/'PTRM input'!$R$7)-1</f>
        <v>3.5922046858113399E-2</v>
      </c>
      <c r="T74" s="337" t="s">
        <v>283</v>
      </c>
      <c r="U74" s="18"/>
      <c r="V74" s="240"/>
      <c r="W74" s="240"/>
      <c r="X74" s="240"/>
    </row>
    <row r="75" spans="1:24">
      <c r="A75" s="18"/>
      <c r="B75" s="18"/>
      <c r="C75" s="337"/>
      <c r="D75" s="337"/>
      <c r="E75" s="18"/>
      <c r="F75" s="237"/>
      <c r="G75" s="237"/>
      <c r="H75" s="237"/>
      <c r="I75" s="237"/>
      <c r="J75" s="237"/>
      <c r="K75" s="237"/>
      <c r="L75" s="237"/>
      <c r="M75" s="237"/>
      <c r="N75" s="237"/>
      <c r="O75" s="237"/>
      <c r="P75" s="237"/>
      <c r="Q75" s="18"/>
      <c r="R75" s="18"/>
      <c r="S75" s="18"/>
      <c r="T75" s="18"/>
      <c r="U75" s="18"/>
      <c r="V75" s="240"/>
      <c r="W75" s="240"/>
      <c r="X75" s="240"/>
    </row>
    <row r="76" spans="1:24">
      <c r="A76" s="357"/>
      <c r="B76" s="481"/>
      <c r="C76" s="358" t="str">
        <f>"Price Path Analysis ($ Real "&amp;'PTRM input'!$F$241&amp;")"</f>
        <v>Price Path Analysis ($ Real 2009-10)</v>
      </c>
      <c r="D76" s="357"/>
      <c r="E76" s="357"/>
      <c r="F76" s="358"/>
      <c r="G76" s="116"/>
      <c r="H76" s="116"/>
      <c r="I76" s="222"/>
      <c r="J76" s="222"/>
      <c r="K76" s="222"/>
      <c r="L76" s="222"/>
      <c r="M76" s="222"/>
      <c r="N76" s="222"/>
      <c r="O76" s="222"/>
      <c r="P76" s="222"/>
      <c r="Q76" s="222"/>
      <c r="R76" s="222"/>
      <c r="S76" s="222"/>
      <c r="T76" s="116"/>
      <c r="U76" s="116"/>
      <c r="V76" s="240"/>
      <c r="W76" s="240"/>
      <c r="X76" s="240"/>
    </row>
    <row r="77" spans="1:24">
      <c r="A77" s="18"/>
      <c r="B77" s="18"/>
      <c r="C77" s="334"/>
      <c r="D77" s="334"/>
      <c r="E77" s="18"/>
      <c r="F77" s="237"/>
      <c r="G77" s="237"/>
      <c r="H77" s="237"/>
      <c r="I77" s="237"/>
      <c r="J77" s="237"/>
      <c r="K77" s="237"/>
      <c r="L77" s="237"/>
      <c r="M77" s="237"/>
      <c r="N77" s="237"/>
      <c r="O77" s="237"/>
      <c r="P77" s="237"/>
      <c r="Q77" s="18"/>
      <c r="R77" s="18"/>
      <c r="S77" s="18"/>
      <c r="T77" s="18"/>
      <c r="U77" s="18"/>
      <c r="V77" s="240"/>
      <c r="W77" s="240"/>
      <c r="X77" s="240"/>
    </row>
    <row r="78" spans="1:24">
      <c r="A78" s="18"/>
      <c r="B78" s="18"/>
      <c r="C78" s="240"/>
      <c r="D78" s="334" t="s">
        <v>434</v>
      </c>
      <c r="E78" s="337" t="s">
        <v>433</v>
      </c>
      <c r="F78" s="366">
        <f>'X factors'!F$76/1000</f>
        <v>1072</v>
      </c>
      <c r="G78" s="360">
        <f>'X factors'!G$76/1000</f>
        <v>1069.0619999999999</v>
      </c>
      <c r="H78" s="360">
        <f>'X factors'!H$76/1000</f>
        <v>1066.161636</v>
      </c>
      <c r="I78" s="360">
        <f>'X factors'!I$76/1000</f>
        <v>1063.299275928</v>
      </c>
      <c r="J78" s="360">
        <f>'X factors'!J$76/1000</f>
        <v>1060.4752966081439</v>
      </c>
      <c r="K78" s="360">
        <f>'X factors'!K$76/1000</f>
        <v>1057.690083932496</v>
      </c>
      <c r="L78" s="360">
        <f>'X factors'!L$76/1000</f>
        <v>0</v>
      </c>
      <c r="M78" s="360">
        <f>'X factors'!M$76/1000</f>
        <v>0</v>
      </c>
      <c r="N78" s="360">
        <f>'X factors'!N$76/1000</f>
        <v>0</v>
      </c>
      <c r="O78" s="360">
        <f>'X factors'!O$76/1000</f>
        <v>0</v>
      </c>
      <c r="P78" s="360">
        <f>'X factors'!P$76/1000</f>
        <v>0</v>
      </c>
      <c r="Q78" s="18"/>
      <c r="R78" s="18"/>
      <c r="S78" s="18"/>
      <c r="T78" s="18"/>
      <c r="U78" s="18"/>
      <c r="V78" s="240"/>
      <c r="W78" s="240"/>
      <c r="X78" s="240"/>
    </row>
    <row r="79" spans="1:24">
      <c r="A79" s="18"/>
      <c r="B79" s="18"/>
      <c r="C79" s="240"/>
      <c r="D79" s="334"/>
      <c r="E79" s="18"/>
      <c r="F79" s="362"/>
      <c r="G79" s="362"/>
      <c r="H79" s="362"/>
      <c r="I79" s="362"/>
      <c r="J79" s="362"/>
      <c r="K79" s="362"/>
      <c r="L79" s="360"/>
      <c r="M79" s="360"/>
      <c r="N79" s="360"/>
      <c r="O79" s="360"/>
      <c r="P79" s="360"/>
      <c r="Q79" s="18"/>
      <c r="R79" s="18"/>
      <c r="S79" s="18"/>
      <c r="T79" s="18"/>
      <c r="U79" s="18"/>
      <c r="V79" s="240"/>
      <c r="W79" s="240"/>
      <c r="X79" s="240"/>
    </row>
    <row r="80" spans="1:24">
      <c r="A80" s="18"/>
      <c r="B80" s="18"/>
      <c r="C80" s="334" t="s">
        <v>314</v>
      </c>
      <c r="D80" s="334"/>
      <c r="E80" s="18"/>
      <c r="F80" s="237"/>
      <c r="G80" s="237"/>
      <c r="H80" s="237"/>
      <c r="I80" s="237"/>
      <c r="J80" s="237"/>
      <c r="K80" s="236"/>
      <c r="L80" s="237"/>
      <c r="M80" s="237"/>
      <c r="N80" s="237"/>
      <c r="O80" s="237"/>
      <c r="P80" s="237"/>
      <c r="Q80" s="18"/>
      <c r="R80" s="18"/>
      <c r="S80" s="18"/>
      <c r="T80" s="18"/>
      <c r="U80" s="18"/>
      <c r="V80" s="240"/>
      <c r="W80" s="240"/>
      <c r="X80" s="240"/>
    </row>
    <row r="81" spans="1:24">
      <c r="A81" s="18"/>
      <c r="B81" s="18"/>
      <c r="C81" s="240"/>
      <c r="D81" s="334" t="s">
        <v>435</v>
      </c>
      <c r="E81" s="337" t="s">
        <v>438</v>
      </c>
      <c r="F81" s="536">
        <f>F56/'X factors'!F$11</f>
        <v>329.548</v>
      </c>
      <c r="G81" s="537">
        <f>G56/'X factors'!G$11</f>
        <v>347.24463661516006</v>
      </c>
      <c r="H81" s="537">
        <f>H56/'X factors'!H$11</f>
        <v>341.26280289768317</v>
      </c>
      <c r="I81" s="537">
        <f>I56/'X factors'!I$11</f>
        <v>341.65959647063357</v>
      </c>
      <c r="J81" s="537">
        <f>J56/'X factors'!J$11</f>
        <v>342.09709472303126</v>
      </c>
      <c r="K81" s="537">
        <f>K56/'X factors'!K$11</f>
        <v>342.57506107686186</v>
      </c>
      <c r="L81" s="537">
        <f>L56/'X factors'!L$11</f>
        <v>0</v>
      </c>
      <c r="M81" s="537">
        <f>M56/'X factors'!M$11</f>
        <v>0</v>
      </c>
      <c r="N81" s="537">
        <f>N56/'X factors'!N$11</f>
        <v>0</v>
      </c>
      <c r="O81" s="537">
        <f>O56/'X factors'!O$11</f>
        <v>0</v>
      </c>
      <c r="P81" s="537">
        <f>P56/'X factors'!P$11</f>
        <v>0</v>
      </c>
      <c r="Q81" s="18"/>
      <c r="R81" s="18"/>
      <c r="S81" s="365">
        <f ca="1">OFFSET(F81,0,'PTRM input'!$R$7,1,1)/F81-1</f>
        <v>3.9530086897392458E-2</v>
      </c>
      <c r="T81" s="337" t="s">
        <v>284</v>
      </c>
      <c r="U81" s="18"/>
      <c r="V81" s="240"/>
      <c r="W81" s="240"/>
      <c r="X81" s="240"/>
    </row>
    <row r="82" spans="1:24">
      <c r="A82" s="18"/>
      <c r="B82" s="18"/>
      <c r="C82" s="334"/>
      <c r="D82" s="334" t="s">
        <v>348</v>
      </c>
      <c r="E82" s="337" t="s">
        <v>431</v>
      </c>
      <c r="F82" s="237"/>
      <c r="G82" s="374">
        <f>G81/F81-1</f>
        <v>5.3699723910204389E-2</v>
      </c>
      <c r="H82" s="374">
        <f>IF(COUNT($G82:G82)&gt;='PTRM input'!$R$7,"",(H81/G81-1))</f>
        <v>-1.7226569071839615E-2</v>
      </c>
      <c r="I82" s="374">
        <f>IF(COUNT($G82:H82)&gt;='PTRM input'!$R$7,"",(I81/H81-1))</f>
        <v>1.1627214263647545E-3</v>
      </c>
      <c r="J82" s="374">
        <f>IF(COUNT($G82:I82)&gt;='PTRM input'!$R$7,"",(J81/I81-1))</f>
        <v>1.280509187849832E-3</v>
      </c>
      <c r="K82" s="374">
        <f>IF(COUNT($G82:J82)&gt;='PTRM input'!$R$7,"",(K81/J81-1))</f>
        <v>1.3971657789657588E-3</v>
      </c>
      <c r="L82" s="374" t="str">
        <f>IF(COUNT($G82:K82)&gt;='PTRM input'!$R$7,"",(L81/K81-1))</f>
        <v/>
      </c>
      <c r="M82" s="374" t="str">
        <f>IF(COUNT($G82:L82)&gt;='PTRM input'!$R$7,"",(M81/L81-1))</f>
        <v/>
      </c>
      <c r="N82" s="374" t="str">
        <f>IF(COUNT($G82:M82)&gt;='PTRM input'!$R$7,"",(N81/M81-1))</f>
        <v/>
      </c>
      <c r="O82" s="374" t="str">
        <f>IF(COUNT($G82:N82)&gt;='PTRM input'!$R$7,"",(O81/N81-1))</f>
        <v/>
      </c>
      <c r="P82" s="374" t="str">
        <f>IF(COUNT($G82:O82)&gt;='PTRM input'!$R$7,"",(P81/O81-1))</f>
        <v/>
      </c>
      <c r="Q82" s="18"/>
      <c r="R82" s="18"/>
      <c r="S82" s="482">
        <f ca="1">POWER(1+S81,1/'PTRM input'!$R$7)-1</f>
        <v>7.7838925015349947E-3</v>
      </c>
      <c r="T82" s="337" t="s">
        <v>283</v>
      </c>
      <c r="U82" s="18"/>
      <c r="V82" s="240"/>
      <c r="W82" s="240"/>
      <c r="X82" s="240"/>
    </row>
    <row r="83" spans="1:24">
      <c r="A83" s="18"/>
      <c r="B83" s="18"/>
      <c r="C83" s="334"/>
      <c r="D83" s="334"/>
      <c r="E83" s="18"/>
      <c r="F83" s="237"/>
      <c r="G83" s="236"/>
      <c r="H83" s="236"/>
      <c r="I83" s="236"/>
      <c r="J83" s="236"/>
      <c r="K83" s="236"/>
      <c r="L83" s="237"/>
      <c r="M83" s="237"/>
      <c r="N83" s="237"/>
      <c r="O83" s="237"/>
      <c r="P83" s="237"/>
      <c r="Q83" s="18"/>
      <c r="R83" s="18"/>
      <c r="S83" s="18"/>
      <c r="T83" s="18"/>
      <c r="U83" s="18"/>
      <c r="V83" s="240"/>
      <c r="W83" s="240"/>
      <c r="X83" s="240"/>
    </row>
    <row r="84" spans="1:24">
      <c r="A84" s="18"/>
      <c r="B84" s="18"/>
      <c r="C84" s="334"/>
      <c r="D84" s="359" t="s">
        <v>436</v>
      </c>
      <c r="E84" s="378" t="s">
        <v>432</v>
      </c>
      <c r="F84" s="535">
        <f>IF(F78&gt;0,(F81*1000)/(F78),0)</f>
        <v>307.41417910447763</v>
      </c>
      <c r="G84" s="236">
        <f>G59/'X factors'!G$11</f>
        <v>319.91292718940537</v>
      </c>
      <c r="H84" s="236">
        <f>H59/'X factors'!H$11</f>
        <v>310.47323136871944</v>
      </c>
      <c r="I84" s="236">
        <f>I59/'X factors'!I$11</f>
        <v>306.9136581736675</v>
      </c>
      <c r="J84" s="236">
        <f>J59/'X factors'!J$11</f>
        <v>303.39489545775103</v>
      </c>
      <c r="K84" s="236">
        <f>K59/'X factors'!K$11</f>
        <v>299.91647532914277</v>
      </c>
      <c r="L84" s="236">
        <f>L59/'X factors'!L$11</f>
        <v>0</v>
      </c>
      <c r="M84" s="236">
        <f>M59/'X factors'!M$11</f>
        <v>0</v>
      </c>
      <c r="N84" s="236">
        <f>N59/'X factors'!N$11</f>
        <v>0</v>
      </c>
      <c r="O84" s="236">
        <f>O59/'X factors'!O$11</f>
        <v>0</v>
      </c>
      <c r="P84" s="236">
        <f>P59/'X factors'!P$11</f>
        <v>0</v>
      </c>
      <c r="Q84" s="18"/>
      <c r="R84" s="18"/>
      <c r="S84" s="365">
        <f ca="1">OFFSET(F84,0,'PTRM input'!$R$7,1,1)/F84-1</f>
        <v>-2.4389583451148167E-2</v>
      </c>
      <c r="T84" s="337" t="s">
        <v>284</v>
      </c>
      <c r="U84" s="18"/>
      <c r="V84" s="240"/>
      <c r="W84" s="240"/>
      <c r="X84" s="240"/>
    </row>
    <row r="85" spans="1:24">
      <c r="A85" s="18"/>
      <c r="B85" s="18"/>
      <c r="C85" s="334"/>
      <c r="D85" s="334" t="s">
        <v>349</v>
      </c>
      <c r="E85" s="337" t="s">
        <v>431</v>
      </c>
      <c r="F85" s="237"/>
      <c r="G85" s="374">
        <f>G84/F84-1</f>
        <v>4.0657682483409285E-2</v>
      </c>
      <c r="H85" s="374">
        <f>IF(COUNT($G85:G85)&gt;='PTRM input'!$R$7,"",(H84/G84-1))</f>
        <v>-2.9507078390418218E-2</v>
      </c>
      <c r="I85" s="374">
        <f>IF(COUNT($G85:H85)&gt;='PTRM input'!$R$7,"",(I84/H84-1))</f>
        <v>-1.1464992261521534E-2</v>
      </c>
      <c r="J85" s="374">
        <f>IF(COUNT($G85:I85)&gt;='PTRM input'!$R$7,"",(J84/I84-1))</f>
        <v>-1.1464992261521867E-2</v>
      </c>
      <c r="K85" s="374">
        <f>IF(COUNT($G85:J85)&gt;='PTRM input'!$R$7,"",(K84/J84-1))</f>
        <v>-1.1464992261521534E-2</v>
      </c>
      <c r="L85" s="374" t="str">
        <f>IF(COUNT($G85:K85)&gt;='PTRM input'!$R$7,"",(L84/K84-1))</f>
        <v/>
      </c>
      <c r="M85" s="374" t="str">
        <f>IF(COUNT($G85:L85)&gt;='PTRM input'!$R$7,"",(M84/L84-1))</f>
        <v/>
      </c>
      <c r="N85" s="374" t="str">
        <f>IF(COUNT($G85:M85)&gt;='PTRM input'!$R$7,"",(N84/M84-1))</f>
        <v/>
      </c>
      <c r="O85" s="374" t="str">
        <f>IF(COUNT($G85:N85)&gt;='PTRM input'!$R$7,"",(O84/N84-1))</f>
        <v/>
      </c>
      <c r="P85" s="374" t="str">
        <f>IF(COUNT($G85:O85)&gt;='PTRM input'!$R$7,"",(P84/O84-1))</f>
        <v/>
      </c>
      <c r="Q85" s="18"/>
      <c r="R85" s="18"/>
      <c r="S85" s="482">
        <f ca="1">POWER(1+S84,1/'PTRM input'!$R$7)-1</f>
        <v>-4.9262133397709462E-3</v>
      </c>
      <c r="T85" s="337" t="s">
        <v>283</v>
      </c>
      <c r="U85" s="18"/>
      <c r="V85" s="240"/>
      <c r="W85" s="240"/>
      <c r="X85" s="240"/>
    </row>
    <row r="86" spans="1:24">
      <c r="A86" s="18"/>
      <c r="B86" s="18"/>
      <c r="C86" s="337"/>
      <c r="D86" s="337"/>
      <c r="E86" s="18"/>
      <c r="F86" s="237"/>
      <c r="G86" s="237"/>
      <c r="H86" s="237"/>
      <c r="I86" s="237"/>
      <c r="J86" s="237"/>
      <c r="K86" s="237"/>
      <c r="L86" s="237"/>
      <c r="M86" s="237"/>
      <c r="N86" s="237"/>
      <c r="O86" s="237"/>
      <c r="P86" s="237"/>
      <c r="Q86" s="18"/>
      <c r="R86" s="18"/>
      <c r="S86" s="18"/>
      <c r="T86" s="18"/>
      <c r="U86" s="18"/>
      <c r="V86" s="240"/>
      <c r="W86" s="240"/>
      <c r="X86" s="240"/>
    </row>
    <row r="87" spans="1:24">
      <c r="A87" s="18"/>
      <c r="B87" s="18"/>
      <c r="C87" s="334" t="s">
        <v>276</v>
      </c>
      <c r="D87" s="334"/>
      <c r="E87" s="18"/>
      <c r="F87" s="237"/>
      <c r="G87" s="237"/>
      <c r="H87" s="237"/>
      <c r="I87" s="237"/>
      <c r="J87" s="237"/>
      <c r="K87" s="237"/>
      <c r="L87" s="237"/>
      <c r="M87" s="237"/>
      <c r="N87" s="237"/>
      <c r="O87" s="237"/>
      <c r="P87" s="237"/>
      <c r="Q87" s="18"/>
      <c r="R87" s="18"/>
      <c r="S87" s="18"/>
      <c r="T87" s="18"/>
      <c r="U87" s="18"/>
      <c r="V87" s="240"/>
      <c r="W87" s="240"/>
      <c r="X87" s="240"/>
    </row>
    <row r="88" spans="1:24">
      <c r="A88" s="18"/>
      <c r="B88" s="18"/>
      <c r="C88" s="240"/>
      <c r="D88" s="334" t="s">
        <v>435</v>
      </c>
      <c r="E88" s="337" t="s">
        <v>438</v>
      </c>
      <c r="F88" s="536">
        <f>F63/'X factors'!F$11</f>
        <v>10</v>
      </c>
      <c r="G88" s="537">
        <f>G63/'X factors'!G$11</f>
        <v>5.2073511684216678</v>
      </c>
      <c r="H88" s="537">
        <f>H63/'X factors'!H$11</f>
        <v>4.0062149063197694</v>
      </c>
      <c r="I88" s="537">
        <f>I63/'X factors'!I$11</f>
        <v>3.0821347277186515</v>
      </c>
      <c r="J88" s="537">
        <f>J63/'X factors'!J$11</f>
        <v>2.3712044166237458</v>
      </c>
      <c r="K88" s="537">
        <f>K63/'X factors'!K$11</f>
        <v>1.8242584708740908</v>
      </c>
      <c r="L88" s="537">
        <f>L63/'X factors'!L$11</f>
        <v>0</v>
      </c>
      <c r="M88" s="537">
        <f>M63/'X factors'!M$11</f>
        <v>0</v>
      </c>
      <c r="N88" s="537">
        <f>N63/'X factors'!N$11</f>
        <v>0</v>
      </c>
      <c r="O88" s="537">
        <f>O63/'X factors'!O$11</f>
        <v>0</v>
      </c>
      <c r="P88" s="537">
        <f>P63/'X factors'!P$11</f>
        <v>0</v>
      </c>
      <c r="Q88" s="18"/>
      <c r="R88" s="18"/>
      <c r="S88" s="365">
        <f ca="1">OFFSET(F88,0,'PTRM input'!$R$7,1,1)/F88-1</f>
        <v>-0.81757415291259095</v>
      </c>
      <c r="T88" s="337" t="s">
        <v>284</v>
      </c>
      <c r="U88" s="18"/>
      <c r="V88" s="240"/>
      <c r="W88" s="240"/>
      <c r="X88" s="240"/>
    </row>
    <row r="89" spans="1:24">
      <c r="A89" s="18"/>
      <c r="B89" s="18"/>
      <c r="C89" s="334"/>
      <c r="D89" s="334" t="s">
        <v>348</v>
      </c>
      <c r="E89" s="337" t="s">
        <v>431</v>
      </c>
      <c r="F89" s="237"/>
      <c r="G89" s="374">
        <f>G88/F88-1</f>
        <v>-0.47926488315783322</v>
      </c>
      <c r="H89" s="374">
        <f>IF(COUNT($G89:G89)&gt;='PTRM input'!$R$7,"",(H88/G88-1))</f>
        <v>-0.23066165949894235</v>
      </c>
      <c r="I89" s="374">
        <f>IF(COUNT($G89:H89)&gt;='PTRM input'!$R$7,"",(I88/H88-1))</f>
        <v>-0.23066165949894235</v>
      </c>
      <c r="J89" s="374">
        <f>IF(COUNT($G89:I89)&gt;='PTRM input'!$R$7,"",(J88/I88-1))</f>
        <v>-0.23066165949894257</v>
      </c>
      <c r="K89" s="374">
        <f>IF(COUNT($G89:J89)&gt;='PTRM input'!$R$7,"",(K88/J88-1))</f>
        <v>-0.23066165949894246</v>
      </c>
      <c r="L89" s="374" t="str">
        <f>IF(COUNT($G89:K89)&gt;='PTRM input'!$R$7,"",(L88/K88-1))</f>
        <v/>
      </c>
      <c r="M89" s="374" t="str">
        <f>IF(COUNT($G89:L89)&gt;='PTRM input'!$R$7,"",(M88/L88-1))</f>
        <v/>
      </c>
      <c r="N89" s="374" t="str">
        <f>IF(COUNT($G89:M89)&gt;='PTRM input'!$R$7,"",(N88/M88-1))</f>
        <v/>
      </c>
      <c r="O89" s="374" t="str">
        <f>IF(COUNT($G89:N89)&gt;='PTRM input'!$R$7,"",(O88/N88-1))</f>
        <v/>
      </c>
      <c r="P89" s="374" t="str">
        <f>IF(COUNT($G89:O89)&gt;='PTRM input'!$R$7,"",(P88/O88-1))</f>
        <v/>
      </c>
      <c r="Q89" s="18"/>
      <c r="R89" s="18"/>
      <c r="S89" s="482">
        <f ca="1">POWER(1+S88,1/'PTRM input'!$R$7)-1</f>
        <v>-0.28843058247420572</v>
      </c>
      <c r="T89" s="337" t="s">
        <v>283</v>
      </c>
      <c r="U89" s="18"/>
      <c r="V89" s="240"/>
      <c r="W89" s="240"/>
      <c r="X89" s="240"/>
    </row>
    <row r="90" spans="1:24">
      <c r="A90" s="18"/>
      <c r="B90" s="18"/>
      <c r="C90" s="334"/>
      <c r="D90" s="334"/>
      <c r="E90" s="18"/>
      <c r="F90" s="237"/>
      <c r="G90" s="237"/>
      <c r="H90" s="237"/>
      <c r="I90" s="237"/>
      <c r="J90" s="237"/>
      <c r="K90" s="237"/>
      <c r="L90" s="237"/>
      <c r="M90" s="237"/>
      <c r="N90" s="237"/>
      <c r="O90" s="237"/>
      <c r="P90" s="237"/>
      <c r="Q90" s="18"/>
      <c r="R90" s="18"/>
      <c r="S90" s="18"/>
      <c r="T90" s="18"/>
      <c r="U90" s="18"/>
      <c r="V90" s="240"/>
      <c r="W90" s="240"/>
      <c r="X90" s="240"/>
    </row>
    <row r="91" spans="1:24">
      <c r="A91" s="18"/>
      <c r="B91" s="18"/>
      <c r="C91" s="334"/>
      <c r="D91" s="359" t="s">
        <v>436</v>
      </c>
      <c r="E91" s="378" t="s">
        <v>432</v>
      </c>
      <c r="F91" s="536">
        <f>F66/'X factors'!F$11</f>
        <v>9.3283582089552244</v>
      </c>
      <c r="G91" s="537">
        <f>G66/'X factors'!G$11</f>
        <v>4.870953385698555</v>
      </c>
      <c r="H91" s="537">
        <f>H66/'X factors'!H$11</f>
        <v>3.7576055740949297</v>
      </c>
      <c r="I91" s="537">
        <f>I66/'X factors'!I$11</f>
        <v>2.8986521457269894</v>
      </c>
      <c r="J91" s="537">
        <f>J66/'X factors'!J$11</f>
        <v>2.2359826996516352</v>
      </c>
      <c r="K91" s="537">
        <f>K66/'X factors'!K$11</f>
        <v>1.7247570896112503</v>
      </c>
      <c r="L91" s="537">
        <f>L66/'X factors'!L$11</f>
        <v>0</v>
      </c>
      <c r="M91" s="537">
        <f>M66/'X factors'!M$11</f>
        <v>0</v>
      </c>
      <c r="N91" s="537">
        <f>N66/'X factors'!N$11</f>
        <v>0</v>
      </c>
      <c r="O91" s="537">
        <f>O66/'X factors'!O$11</f>
        <v>0</v>
      </c>
      <c r="P91" s="537">
        <f>P66/'X factors'!P$11</f>
        <v>0</v>
      </c>
      <c r="Q91" s="18"/>
      <c r="R91" s="18"/>
      <c r="S91" s="365">
        <f ca="1">OFFSET(F91,0,'PTRM input'!$R$7,1,1)/F91-1</f>
        <v>-0.81510603999367404</v>
      </c>
      <c r="T91" s="337" t="s">
        <v>284</v>
      </c>
      <c r="U91" s="18"/>
      <c r="V91" s="240"/>
      <c r="W91" s="240"/>
      <c r="X91" s="240"/>
    </row>
    <row r="92" spans="1:24">
      <c r="A92" s="18"/>
      <c r="B92" s="18"/>
      <c r="C92" s="334"/>
      <c r="D92" s="334" t="s">
        <v>349</v>
      </c>
      <c r="E92" s="337" t="s">
        <v>431</v>
      </c>
      <c r="F92" s="237"/>
      <c r="G92" s="374">
        <f>G91/F91-1</f>
        <v>-0.47783379705311491</v>
      </c>
      <c r="H92" s="374">
        <f>IF(COUNT($G92:G92)&gt;='PTRM input'!$R$7,"",(H91/G91-1))</f>
        <v>-0.22856876743523946</v>
      </c>
      <c r="I92" s="374">
        <f>IF(COUNT($G92:H92)&gt;='PTRM input'!$R$7,"",(I91/H91-1))</f>
        <v>-0.2285906307701896</v>
      </c>
      <c r="J92" s="374">
        <f>IF(COUNT($G92:I92)&gt;='PTRM input'!$R$7,"",(J91/I91-1))</f>
        <v>-0.22861295966548445</v>
      </c>
      <c r="K92" s="374">
        <f>IF(COUNT($G92:J92)&gt;='PTRM input'!$R$7,"",(K91/J91-1))</f>
        <v>-0.22863576275435116</v>
      </c>
      <c r="L92" s="374" t="str">
        <f>IF(COUNT($G92:K92)&gt;='PTRM input'!$R$7,"",(L91/K91-1))</f>
        <v/>
      </c>
      <c r="M92" s="374" t="str">
        <f>IF(COUNT($G92:L92)&gt;='PTRM input'!$R$7,"",(M91/L91-1))</f>
        <v/>
      </c>
      <c r="N92" s="374" t="str">
        <f>IF(COUNT($G92:M92)&gt;='PTRM input'!$R$7,"",(N91/M91-1))</f>
        <v/>
      </c>
      <c r="O92" s="374" t="str">
        <f>IF(COUNT($G92:N92)&gt;='PTRM input'!$R$7,"",(O91/N91-1))</f>
        <v/>
      </c>
      <c r="P92" s="374" t="str">
        <f>IF(COUNT($G92:O92)&gt;='PTRM input'!$R$7,"",(P91/O91-1))</f>
        <v/>
      </c>
      <c r="Q92" s="18"/>
      <c r="R92" s="18"/>
      <c r="S92" s="482">
        <f ca="1">POWER(1+S91,1/'PTRM input'!$R$7)-1</f>
        <v>-0.28651549663335418</v>
      </c>
      <c r="T92" s="337" t="s">
        <v>283</v>
      </c>
      <c r="U92" s="18"/>
      <c r="V92" s="240"/>
      <c r="W92" s="240"/>
      <c r="X92" s="240"/>
    </row>
    <row r="93" spans="1:24">
      <c r="A93" s="18"/>
      <c r="B93" s="18"/>
      <c r="C93" s="337"/>
      <c r="D93" s="337"/>
      <c r="E93" s="18"/>
      <c r="F93" s="237"/>
      <c r="G93" s="237"/>
      <c r="H93" s="237"/>
      <c r="I93" s="237"/>
      <c r="J93" s="237"/>
      <c r="K93" s="237"/>
      <c r="L93" s="237"/>
      <c r="M93" s="237"/>
      <c r="N93" s="237"/>
      <c r="O93" s="237"/>
      <c r="P93" s="237"/>
      <c r="Q93" s="18"/>
      <c r="R93" s="18"/>
      <c r="S93" s="18"/>
      <c r="T93" s="18"/>
      <c r="U93" s="18"/>
      <c r="V93" s="240"/>
      <c r="W93" s="240"/>
      <c r="X93" s="240"/>
    </row>
    <row r="94" spans="1:24">
      <c r="A94" s="18"/>
      <c r="B94" s="18"/>
      <c r="C94" s="334" t="s">
        <v>277</v>
      </c>
      <c r="D94" s="334"/>
      <c r="E94" s="18"/>
      <c r="F94" s="237"/>
      <c r="G94" s="237"/>
      <c r="H94" s="237"/>
      <c r="I94" s="237"/>
      <c r="J94" s="237"/>
      <c r="K94" s="237"/>
      <c r="L94" s="237"/>
      <c r="M94" s="237"/>
      <c r="N94" s="237"/>
      <c r="O94" s="237"/>
      <c r="P94" s="237"/>
      <c r="Q94" s="18"/>
      <c r="R94" s="18"/>
      <c r="S94" s="18"/>
      <c r="T94" s="18"/>
      <c r="U94" s="18"/>
      <c r="V94" s="240"/>
      <c r="W94" s="240"/>
      <c r="X94" s="240"/>
    </row>
    <row r="95" spans="1:24">
      <c r="A95" s="18"/>
      <c r="B95" s="18"/>
      <c r="C95" s="240"/>
      <c r="D95" s="334" t="s">
        <v>435</v>
      </c>
      <c r="E95" s="337" t="s">
        <v>438</v>
      </c>
      <c r="F95" s="536">
        <f>F70/'X factors'!F$11</f>
        <v>10</v>
      </c>
      <c r="G95" s="537">
        <f>G70/'X factors'!G$11</f>
        <v>10.536999762071039</v>
      </c>
      <c r="H95" s="537">
        <f>H70/'X factors'!H$11</f>
        <v>10.356388396599955</v>
      </c>
      <c r="I95" s="537">
        <f>I70/'X factors'!I$11</f>
        <v>10.368395924300382</v>
      </c>
      <c r="J95" s="537">
        <f>J70/'X factors'!J$11</f>
        <v>10.380717849860755</v>
      </c>
      <c r="K95" s="537">
        <f>K70/'X factors'!K$11</f>
        <v>10.393361658679213</v>
      </c>
      <c r="L95" s="537">
        <f>L70/'X factors'!L$11</f>
        <v>0</v>
      </c>
      <c r="M95" s="537">
        <f>M70/'X factors'!M$11</f>
        <v>0</v>
      </c>
      <c r="N95" s="537">
        <f>N70/'X factors'!N$11</f>
        <v>0</v>
      </c>
      <c r="O95" s="537">
        <f>O70/'X factors'!O$11</f>
        <v>0</v>
      </c>
      <c r="P95" s="537">
        <f>P70/'X factors'!P$11</f>
        <v>0</v>
      </c>
      <c r="Q95" s="18"/>
      <c r="R95" s="18"/>
      <c r="S95" s="365">
        <f ca="1">OFFSET(F95,0,'PTRM input'!$R$7,1,1)/F95-1</f>
        <v>3.9336165867921213E-2</v>
      </c>
      <c r="T95" s="337" t="s">
        <v>284</v>
      </c>
      <c r="U95" s="18"/>
      <c r="V95" s="240"/>
      <c r="W95" s="240"/>
      <c r="X95" s="240"/>
    </row>
    <row r="96" spans="1:24">
      <c r="A96" s="18"/>
      <c r="B96" s="18"/>
      <c r="C96" s="334"/>
      <c r="D96" s="334" t="s">
        <v>348</v>
      </c>
      <c r="E96" s="337" t="s">
        <v>431</v>
      </c>
      <c r="F96" s="237"/>
      <c r="G96" s="374">
        <f>G95/F95-1</f>
        <v>5.3699976207103983E-2</v>
      </c>
      <c r="H96" s="374">
        <f>IF(COUNT($G96:G96)&gt;='PTRM input'!$R$7,"",(H95/G95-1))</f>
        <v>-1.7140682314638722E-2</v>
      </c>
      <c r="I96" s="374">
        <f>IF(COUNT($G96:H96)&gt;='PTRM input'!$R$7,"",(I95/H95-1))</f>
        <v>1.1594319603123182E-3</v>
      </c>
      <c r="J96" s="374">
        <f>IF(COUNT($G96:I96)&gt;='PTRM input'!$R$7,"",(J95/I95-1))</f>
        <v>1.1884119443679175E-3</v>
      </c>
      <c r="K96" s="374">
        <f>IF(COUNT($G96:J96)&gt;='PTRM input'!$R$7,"",(K95/J95-1))</f>
        <v>1.2180091012325978E-3</v>
      </c>
      <c r="L96" s="374" t="str">
        <f>IF(COUNT($G96:K96)&gt;='PTRM input'!$R$7,"",(L95/K95-1))</f>
        <v/>
      </c>
      <c r="M96" s="374" t="str">
        <f>IF(COUNT($G96:L96)&gt;='PTRM input'!$R$7,"",(M95/L95-1))</f>
        <v/>
      </c>
      <c r="N96" s="374" t="str">
        <f>IF(COUNT($G96:M96)&gt;='PTRM input'!$R$7,"",(N95/M95-1))</f>
        <v/>
      </c>
      <c r="O96" s="374" t="str">
        <f>IF(COUNT($G96:N96)&gt;='PTRM input'!$R$7,"",(O95/N95-1))</f>
        <v/>
      </c>
      <c r="P96" s="374" t="str">
        <f>IF(COUNT($G96:O96)&gt;='PTRM input'!$R$7,"",(P95/O95-1))</f>
        <v/>
      </c>
      <c r="Q96" s="18"/>
      <c r="R96" s="18"/>
      <c r="S96" s="482">
        <f ca="1">POWER(1+S95,1/'PTRM input'!$R$7)-1</f>
        <v>7.7462899199862711E-3</v>
      </c>
      <c r="T96" s="337" t="s">
        <v>283</v>
      </c>
      <c r="U96" s="18"/>
      <c r="V96" s="240"/>
      <c r="W96" s="240"/>
      <c r="X96" s="240"/>
    </row>
    <row r="97" spans="1:24">
      <c r="A97" s="18"/>
      <c r="B97" s="18"/>
      <c r="C97" s="334"/>
      <c r="D97" s="334"/>
      <c r="E97" s="18"/>
      <c r="F97" s="237"/>
      <c r="G97" s="237"/>
      <c r="H97" s="237"/>
      <c r="I97" s="237"/>
      <c r="J97" s="237"/>
      <c r="K97" s="237"/>
      <c r="L97" s="237"/>
      <c r="M97" s="237"/>
      <c r="N97" s="237"/>
      <c r="O97" s="237"/>
      <c r="P97" s="237"/>
      <c r="Q97" s="18"/>
      <c r="R97" s="18"/>
      <c r="S97" s="18"/>
      <c r="T97" s="18"/>
      <c r="U97" s="18"/>
      <c r="V97" s="240"/>
      <c r="W97" s="240"/>
      <c r="X97" s="240"/>
    </row>
    <row r="98" spans="1:24">
      <c r="A98" s="18"/>
      <c r="B98" s="18"/>
      <c r="C98" s="334"/>
      <c r="D98" s="359" t="s">
        <v>436</v>
      </c>
      <c r="E98" s="378" t="s">
        <v>432</v>
      </c>
      <c r="F98" s="536">
        <f>F73/'X factors'!F$11</f>
        <v>9.3283582089552244</v>
      </c>
      <c r="G98" s="537">
        <f>G73/'X factors'!G$11</f>
        <v>9.8563037149118031</v>
      </c>
      <c r="H98" s="537">
        <f>H73/'X factors'!H$11</f>
        <v>9.7137132371924473</v>
      </c>
      <c r="I98" s="537">
        <f>I73/'X factors'!I$11</f>
        <v>9.7511548808789605</v>
      </c>
      <c r="J98" s="537">
        <f>J73/'X factors'!J$11</f>
        <v>9.7887408439053267</v>
      </c>
      <c r="K98" s="537">
        <f>K73/'X factors'!K$11</f>
        <v>9.8264716825524676</v>
      </c>
      <c r="L98" s="537">
        <f>L73/'X factors'!L$11</f>
        <v>0</v>
      </c>
      <c r="M98" s="537">
        <f>M73/'X factors'!M$11</f>
        <v>0</v>
      </c>
      <c r="N98" s="537">
        <f>N73/'X factors'!N$11</f>
        <v>0</v>
      </c>
      <c r="O98" s="537">
        <f>O73/'X factors'!O$11</f>
        <v>0</v>
      </c>
      <c r="P98" s="537">
        <f>P73/'X factors'!P$11</f>
        <v>0</v>
      </c>
      <c r="Q98" s="18"/>
      <c r="R98" s="18"/>
      <c r="S98" s="365">
        <f ca="1">OFFSET(F98,0,'PTRM input'!$R$7,1,1)/F98-1</f>
        <v>5.3397764369624401E-2</v>
      </c>
      <c r="T98" s="337" t="s">
        <v>284</v>
      </c>
      <c r="U98" s="18"/>
      <c r="V98" s="240"/>
      <c r="W98" s="240"/>
      <c r="X98" s="240"/>
    </row>
    <row r="99" spans="1:24">
      <c r="A99" s="18"/>
      <c r="B99" s="18"/>
      <c r="C99" s="334"/>
      <c r="D99" s="334" t="s">
        <v>349</v>
      </c>
      <c r="E99" s="337" t="s">
        <v>431</v>
      </c>
      <c r="F99" s="237"/>
      <c r="G99" s="374">
        <f>G98/F98-1</f>
        <v>5.6595758238545235E-2</v>
      </c>
      <c r="H99" s="374">
        <f>IF(COUNT($G99:G99)&gt;='PTRM input'!$R$7,"",(H98/G98-1))</f>
        <v>-1.4466932213505923E-2</v>
      </c>
      <c r="I99" s="374">
        <f>IF(COUNT($G99:H99)&gt;='PTRM input'!$R$7,"",(I98/H98-1))</f>
        <v>3.8545140022410163E-3</v>
      </c>
      <c r="J99" s="374">
        <f>IF(COUNT($G99:I99)&gt;='PTRM input'!$R$7,"",(J98/I98-1))</f>
        <v>3.8545140022407942E-3</v>
      </c>
      <c r="K99" s="374">
        <f>IF(COUNT($G99:J99)&gt;='PTRM input'!$R$7,"",(K98/J98-1))</f>
        <v>3.8545140022410163E-3</v>
      </c>
      <c r="L99" s="374" t="str">
        <f>IF(COUNT($G99:K99)&gt;='PTRM input'!$R$7,"",(L98/K98-1))</f>
        <v/>
      </c>
      <c r="M99" s="374" t="str">
        <f>IF(COUNT($G99:L99)&gt;='PTRM input'!$R$7,"",(M98/L98-1))</f>
        <v/>
      </c>
      <c r="N99" s="374" t="str">
        <f>IF(COUNT($G99:M99)&gt;='PTRM input'!$R$7,"",(N98/M98-1))</f>
        <v/>
      </c>
      <c r="O99" s="374" t="str">
        <f>IF(COUNT($G99:N99)&gt;='PTRM input'!$R$7,"",(O98/N98-1))</f>
        <v/>
      </c>
      <c r="P99" s="374" t="str">
        <f>IF(COUNT($G99:O99)&gt;='PTRM input'!$R$7,"",(P98/O98-1))</f>
        <v/>
      </c>
      <c r="Q99" s="18"/>
      <c r="R99" s="18"/>
      <c r="S99" s="482">
        <f ca="1">POWER(1+S98,1/'PTRM input'!$R$7)-1</f>
        <v>1.0458492838581357E-2</v>
      </c>
      <c r="T99" s="337" t="s">
        <v>283</v>
      </c>
      <c r="U99" s="18"/>
      <c r="V99" s="240"/>
      <c r="W99" s="240"/>
      <c r="X99" s="240"/>
    </row>
    <row r="100" spans="1:24">
      <c r="A100" s="18"/>
      <c r="B100" s="18"/>
      <c r="C100" s="337"/>
      <c r="D100" s="337"/>
      <c r="E100" s="18"/>
      <c r="F100" s="237"/>
      <c r="G100" s="237"/>
      <c r="H100" s="237"/>
      <c r="I100" s="237"/>
      <c r="J100" s="237"/>
      <c r="K100" s="237"/>
      <c r="L100" s="237"/>
      <c r="M100" s="237"/>
      <c r="N100" s="237"/>
      <c r="O100" s="237"/>
      <c r="P100" s="237"/>
      <c r="Q100" s="18"/>
      <c r="R100" s="18"/>
      <c r="S100" s="18"/>
      <c r="T100" s="18"/>
      <c r="U100" s="18"/>
      <c r="V100" s="240"/>
      <c r="W100" s="240"/>
      <c r="X100" s="240"/>
    </row>
    <row r="101" spans="1:24">
      <c r="A101" s="18"/>
      <c r="B101" s="18"/>
      <c r="C101" s="337"/>
      <c r="D101" s="337"/>
      <c r="E101" s="18"/>
      <c r="F101" s="18"/>
      <c r="G101" s="18"/>
      <c r="H101" s="18"/>
      <c r="I101" s="18"/>
      <c r="J101" s="18"/>
      <c r="K101" s="18"/>
      <c r="L101" s="18"/>
      <c r="M101" s="18"/>
      <c r="N101" s="18"/>
      <c r="O101" s="18"/>
      <c r="P101" s="18"/>
      <c r="Q101" s="18"/>
      <c r="R101" s="18"/>
      <c r="S101" s="18"/>
      <c r="T101" s="18"/>
      <c r="U101" s="18"/>
      <c r="V101" s="240"/>
      <c r="W101" s="240"/>
      <c r="X101" s="240"/>
    </row>
    <row r="102" spans="1:24" s="4" customFormat="1">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row>
    <row r="103" spans="1:24" s="4" customFormat="1">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row>
    <row r="104" spans="1:24">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row>
  </sheetData>
  <pageMargins left="0.7" right="0.7" top="0.75" bottom="0.75" header="0.3" footer="0.3"/>
  <pageSetup paperSize="9" scale="59" orientation="landscape" r:id="rId1"/>
  <rowBreaks count="1" manualBreakCount="1">
    <brk id="50" max="1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T59"/>
  <sheetViews>
    <sheetView showGridLines="0" zoomScale="85" zoomScaleNormal="85" workbookViewId="0">
      <selection activeCell="W10" sqref="W10"/>
    </sheetView>
  </sheetViews>
  <sheetFormatPr defaultColWidth="8.85546875" defaultRowHeight="12.75"/>
  <cols>
    <col min="1" max="1" width="0.85546875" style="288" customWidth="1"/>
    <col min="2" max="5" width="0.42578125" style="288" customWidth="1"/>
    <col min="6" max="6" width="42.28515625" style="288" customWidth="1"/>
    <col min="7" max="11" width="11.42578125" style="288" customWidth="1"/>
    <col min="12" max="16" width="9.5703125" style="288" customWidth="1"/>
    <col min="17" max="17" width="13.7109375" style="288" customWidth="1"/>
    <col min="18" max="18" width="4.85546875" style="288" customWidth="1"/>
    <col min="19" max="19" width="13.140625" style="288" bestFit="1" customWidth="1"/>
    <col min="20" max="16384" width="8.85546875" style="288"/>
  </cols>
  <sheetData>
    <row r="1" spans="1:20">
      <c r="A1" s="287"/>
      <c r="B1" s="287"/>
      <c r="C1" s="287"/>
      <c r="D1" s="287"/>
      <c r="E1" s="287"/>
      <c r="F1" s="287"/>
      <c r="G1" s="287"/>
      <c r="H1" s="287"/>
      <c r="I1" s="287"/>
      <c r="J1" s="311"/>
      <c r="K1" s="311"/>
      <c r="L1" s="377"/>
      <c r="M1" s="311"/>
      <c r="N1" s="311"/>
      <c r="O1" s="311"/>
      <c r="P1" s="287"/>
      <c r="Q1" s="287"/>
      <c r="R1" s="287"/>
      <c r="S1" s="287"/>
      <c r="T1" s="287"/>
    </row>
    <row r="2" spans="1:20" ht="21" customHeight="1">
      <c r="A2" s="287"/>
      <c r="B2" s="287"/>
      <c r="C2" s="287"/>
      <c r="D2" s="287"/>
      <c r="E2" s="287"/>
      <c r="F2" s="289" t="str">
        <f>'DMS input'!$C$16&amp;" - Equity Raising Costs "&amp;" - DNSP PTRM - version "&amp;Intro!$L$4</f>
        <v>Aus Elec - Equity Raising Costs  - DNSP PTRM - version 3</v>
      </c>
      <c r="G2" s="287"/>
      <c r="H2" s="287"/>
      <c r="I2" s="287"/>
      <c r="J2" s="311"/>
      <c r="K2" s="311"/>
      <c r="L2" s="311"/>
      <c r="M2" s="311"/>
      <c r="N2" s="311"/>
      <c r="O2" s="311"/>
      <c r="P2" s="287"/>
      <c r="Q2" s="287"/>
      <c r="R2" s="287"/>
      <c r="S2" s="287"/>
      <c r="T2" s="287"/>
    </row>
    <row r="3" spans="1:20" ht="21" customHeight="1">
      <c r="A3" s="287"/>
      <c r="B3" s="287"/>
      <c r="C3" s="287"/>
      <c r="D3" s="287"/>
      <c r="E3" s="287"/>
      <c r="F3" s="287"/>
      <c r="G3" s="287"/>
      <c r="H3" s="287"/>
      <c r="I3" s="287"/>
      <c r="J3" s="287"/>
      <c r="K3" s="287"/>
      <c r="L3" s="287"/>
      <c r="M3" s="287"/>
      <c r="N3" s="287"/>
      <c r="O3" s="287"/>
      <c r="P3" s="287"/>
      <c r="Q3" s="287"/>
      <c r="R3" s="287"/>
      <c r="S3" s="287"/>
      <c r="T3" s="287"/>
    </row>
    <row r="4" spans="1:20">
      <c r="A4" s="290"/>
      <c r="B4" s="290"/>
      <c r="C4" s="290"/>
      <c r="D4" s="290"/>
      <c r="E4" s="290"/>
      <c r="F4" s="291" t="str">
        <f>Assets!B4</f>
        <v>Year</v>
      </c>
      <c r="G4" s="292" t="str">
        <f>Assets!G4</f>
        <v>2010-11</v>
      </c>
      <c r="H4" s="292" t="str">
        <f>Assets!H4</f>
        <v>2011-12</v>
      </c>
      <c r="I4" s="292" t="str">
        <f>Assets!I4</f>
        <v>2012-13</v>
      </c>
      <c r="J4" s="292" t="str">
        <f>Assets!J4</f>
        <v>2013-14</v>
      </c>
      <c r="K4" s="292" t="str">
        <f>Assets!K4</f>
        <v>2014-15</v>
      </c>
      <c r="L4" s="292" t="str">
        <f>Assets!L4</f>
        <v>2015-16</v>
      </c>
      <c r="M4" s="292" t="str">
        <f>Assets!M4</f>
        <v>2016-17</v>
      </c>
      <c r="N4" s="292" t="str">
        <f>Assets!N4</f>
        <v>2017-18</v>
      </c>
      <c r="O4" s="292" t="str">
        <f>Assets!O4</f>
        <v>2018-19</v>
      </c>
      <c r="P4" s="292" t="str">
        <f>Assets!P4</f>
        <v>2019-20</v>
      </c>
      <c r="Q4" s="292" t="s">
        <v>83</v>
      </c>
      <c r="R4" s="287"/>
      <c r="S4" s="287"/>
      <c r="T4" s="287"/>
    </row>
    <row r="5" spans="1:20">
      <c r="A5" s="293"/>
      <c r="B5" s="293"/>
      <c r="C5" s="293"/>
      <c r="D5" s="293"/>
      <c r="E5" s="293"/>
      <c r="F5" s="294" t="s">
        <v>235</v>
      </c>
      <c r="G5" s="293"/>
      <c r="H5" s="293"/>
      <c r="I5" s="293"/>
      <c r="J5" s="293"/>
      <c r="K5" s="293"/>
      <c r="L5" s="293"/>
      <c r="M5" s="293"/>
      <c r="N5" s="293"/>
      <c r="O5" s="293"/>
      <c r="P5" s="293"/>
      <c r="Q5" s="293"/>
      <c r="R5" s="287"/>
      <c r="S5" s="287"/>
      <c r="T5" s="287"/>
    </row>
    <row r="6" spans="1:20">
      <c r="A6" s="295"/>
      <c r="B6" s="295"/>
      <c r="C6" s="295"/>
      <c r="D6" s="295"/>
      <c r="E6" s="295"/>
      <c r="F6" s="296"/>
      <c r="G6" s="295"/>
      <c r="H6" s="295"/>
      <c r="I6" s="295"/>
      <c r="J6" s="295"/>
      <c r="K6" s="295"/>
      <c r="L6" s="295"/>
      <c r="M6" s="295"/>
      <c r="N6" s="295"/>
      <c r="O6" s="295"/>
      <c r="P6" s="295"/>
      <c r="Q6" s="295"/>
      <c r="R6" s="287"/>
      <c r="S6" s="287"/>
      <c r="T6" s="287"/>
    </row>
    <row r="7" spans="1:20">
      <c r="A7" s="563"/>
      <c r="B7" s="563"/>
      <c r="C7" s="563"/>
      <c r="D7" s="563"/>
      <c r="E7" s="563"/>
      <c r="F7" s="565" t="s">
        <v>236</v>
      </c>
      <c r="G7" s="564">
        <f>Assets!G475</f>
        <v>35.663147302149284</v>
      </c>
      <c r="H7" s="564">
        <f>IF(COUNT($G$7:G7)&gt;='PTRM input'!$R$7,0,Assets!H475)</f>
        <v>36.406478798572067</v>
      </c>
      <c r="I7" s="564">
        <f>IF(COUNT($G$7:H7)&gt;='PTRM input'!$R$7,0,Assets!I475)</f>
        <v>37.454445315738425</v>
      </c>
      <c r="J7" s="564">
        <f>IF(COUNT($G$7:I7)&gt;='PTRM input'!$R$7,0,Assets!J475)</f>
        <v>38.427281696198179</v>
      </c>
      <c r="K7" s="564">
        <f>IF(COUNT($G$7:J7)&gt;='PTRM input'!$R$7,0,Assets!K475)</f>
        <v>38.73407090388941</v>
      </c>
      <c r="L7" s="564">
        <f>IF(COUNT($G$7:K7)&gt;='PTRM input'!$R$7,0,Assets!L475)</f>
        <v>0</v>
      </c>
      <c r="M7" s="564">
        <f>IF(COUNT($G$7:L7)&gt;='PTRM input'!$R$7,0,Assets!M475)</f>
        <v>0</v>
      </c>
      <c r="N7" s="564">
        <f>IF(COUNT($G$7:M7)&gt;='PTRM input'!$R$7,0,Assets!N475)</f>
        <v>0</v>
      </c>
      <c r="O7" s="564">
        <f>IF(COUNT($G$7:N7)&gt;='PTRM input'!$R$7,0,Assets!O475)</f>
        <v>0</v>
      </c>
      <c r="P7" s="564">
        <f>IF(COUNT($G$7:O7)&gt;='PTRM input'!$R$7,0,Assets!P475)</f>
        <v>0</v>
      </c>
      <c r="Q7" s="564">
        <f>SUM(G7:P7)</f>
        <v>186.68542401654736</v>
      </c>
      <c r="R7" s="565"/>
      <c r="S7" s="565"/>
      <c r="T7" s="565"/>
    </row>
    <row r="8" spans="1:20">
      <c r="A8" s="563"/>
      <c r="B8" s="563"/>
      <c r="C8" s="563"/>
      <c r="D8" s="563"/>
      <c r="E8" s="563"/>
      <c r="F8" s="565" t="s">
        <v>57</v>
      </c>
      <c r="G8" s="564">
        <f>Assets!G41</f>
        <v>2.5377666314839109</v>
      </c>
      <c r="H8" s="564">
        <f>IF(COUNT($G$8:G8)&gt;='PTRM input'!$R$7,0,Assets!H41)</f>
        <v>2.9773315942800096</v>
      </c>
      <c r="I8" s="564">
        <f>IF(COUNT($G$8:H8)&gt;='PTRM input'!$R$7,0,Assets!I41)</f>
        <v>3.0591218751329836</v>
      </c>
      <c r="J8" s="564">
        <f>IF(COUNT($G$8:I8)&gt;='PTRM input'!$R$7,0,Assets!J41)</f>
        <v>2.5739186304599824</v>
      </c>
      <c r="K8" s="564">
        <f>IF(COUNT($G$8:J8)&gt;='PTRM input'!$R$7,0,Assets!K41)</f>
        <v>3.4232861321558379</v>
      </c>
      <c r="L8" s="564">
        <f>IF(COUNT($G$8:K8)&gt;='PTRM input'!$R$7,0,Assets!L41)</f>
        <v>0</v>
      </c>
      <c r="M8" s="564">
        <f>IF(COUNT($G$8:L8)&gt;='PTRM input'!$R$7,0,Assets!M41)</f>
        <v>0</v>
      </c>
      <c r="N8" s="564">
        <f>IF(COUNT($G$8:M8)&gt;='PTRM input'!$R$7,0,Assets!N41)</f>
        <v>0</v>
      </c>
      <c r="O8" s="564">
        <f>IF(COUNT($G$8:N8)&gt;='PTRM input'!$R$7,0,Assets!O41)</f>
        <v>0</v>
      </c>
      <c r="P8" s="564">
        <f>IF(COUNT($G$8:O8)&gt;='PTRM input'!$R$7,0,Assets!P41)</f>
        <v>0</v>
      </c>
      <c r="Q8" s="564">
        <f>SUM(G8:P8)</f>
        <v>14.571424863512723</v>
      </c>
      <c r="R8" s="565"/>
      <c r="S8" s="565"/>
      <c r="T8" s="565"/>
    </row>
    <row r="9" spans="1:20">
      <c r="A9" s="563"/>
      <c r="B9" s="563"/>
      <c r="C9" s="563"/>
      <c r="D9" s="563"/>
      <c r="E9" s="563"/>
      <c r="F9" s="576" t="s">
        <v>237</v>
      </c>
      <c r="G9" s="577">
        <f>IFERROR(G8/G7,0)</f>
        <v>7.1159357024301928E-2</v>
      </c>
      <c r="H9" s="578">
        <f>IF(COUNT($G$9:G9)&gt;='PTRM input'!$R$7,0,IFERROR(H8/H7,0))</f>
        <v>8.1780268032864145E-2</v>
      </c>
      <c r="I9" s="578">
        <f>IF(COUNT($G$9:H9)&gt;='PTRM input'!$R$7,0,IFERROR(I8/I7,0))</f>
        <v>8.1675802413967005E-2</v>
      </c>
      <c r="J9" s="578">
        <f>IF(COUNT($G$9:I9)&gt;='PTRM input'!$R$7,0,IFERROR(J8/J7,0))</f>
        <v>6.6981543238189403E-2</v>
      </c>
      <c r="K9" s="578">
        <f>IF(COUNT($G$9:J9)&gt;='PTRM input'!$R$7,0,IFERROR(K8/K7,0))</f>
        <v>8.8379198268367265E-2</v>
      </c>
      <c r="L9" s="578">
        <f>IF(COUNT($G$9:K9)&gt;='PTRM input'!$R$7,0,IFERROR(L8/L7,0))</f>
        <v>0</v>
      </c>
      <c r="M9" s="578">
        <f>IF(COUNT($G$9:L9)&gt;='PTRM input'!$R$7,0,IFERROR(M8/M7,0))</f>
        <v>0</v>
      </c>
      <c r="N9" s="578">
        <f>IF(COUNT($G$9:M9)&gt;='PTRM input'!$R$7,0,IFERROR(N8/N7,0))</f>
        <v>0</v>
      </c>
      <c r="O9" s="578">
        <f>IF(COUNT($G$9:N9)&gt;='PTRM input'!$R$7,0,IFERROR(O8/O7,0))</f>
        <v>0</v>
      </c>
      <c r="P9" s="578">
        <f>IF(COUNT($G$9:O9)&gt;='PTRM input'!$R$7,0,IFERROR(P8/P7,0))</f>
        <v>0</v>
      </c>
      <c r="Q9" s="578">
        <f>IFERROR(Q8/Q7,0)</f>
        <v>7.8053361371272056E-2</v>
      </c>
      <c r="R9" s="579"/>
      <c r="S9" s="565"/>
      <c r="T9" s="565"/>
    </row>
    <row r="10" spans="1:20" s="308" customFormat="1">
      <c r="A10" s="563"/>
      <c r="B10" s="563"/>
      <c r="C10" s="563"/>
      <c r="D10" s="563"/>
      <c r="E10" s="563"/>
      <c r="F10" s="563"/>
      <c r="G10" s="580"/>
      <c r="H10" s="580"/>
      <c r="I10" s="580"/>
      <c r="J10" s="580"/>
      <c r="K10" s="580"/>
      <c r="L10" s="580"/>
      <c r="M10" s="580"/>
      <c r="N10" s="580"/>
      <c r="O10" s="580"/>
      <c r="P10" s="580"/>
      <c r="Q10" s="580"/>
      <c r="R10" s="565"/>
      <c r="S10" s="565"/>
      <c r="T10" s="565"/>
    </row>
    <row r="11" spans="1:20" s="308" customFormat="1">
      <c r="A11" s="294"/>
      <c r="B11" s="294"/>
      <c r="C11" s="294"/>
      <c r="D11" s="294"/>
      <c r="E11" s="294"/>
      <c r="F11" s="294" t="s">
        <v>238</v>
      </c>
      <c r="G11" s="294"/>
      <c r="H11" s="294"/>
      <c r="I11" s="294"/>
      <c r="J11" s="294"/>
      <c r="K11" s="294"/>
      <c r="L11" s="294"/>
      <c r="M11" s="294"/>
      <c r="N11" s="294"/>
      <c r="O11" s="294"/>
      <c r="P11" s="294"/>
      <c r="Q11" s="294"/>
      <c r="R11" s="565"/>
      <c r="S11" s="565"/>
      <c r="T11" s="565"/>
    </row>
    <row r="12" spans="1:20" s="308" customFormat="1">
      <c r="A12" s="581"/>
      <c r="B12" s="581"/>
      <c r="C12" s="581"/>
      <c r="D12" s="581"/>
      <c r="E12" s="581"/>
      <c r="F12" s="572"/>
      <c r="G12" s="582"/>
      <c r="H12" s="582"/>
      <c r="I12" s="582"/>
      <c r="J12" s="582"/>
      <c r="K12" s="582"/>
      <c r="L12" s="582"/>
      <c r="M12" s="582"/>
      <c r="N12" s="582"/>
      <c r="O12" s="582"/>
      <c r="P12" s="582"/>
      <c r="Q12" s="582"/>
      <c r="R12" s="565"/>
      <c r="S12" s="565"/>
      <c r="T12" s="565"/>
    </row>
    <row r="13" spans="1:20" s="308" customFormat="1">
      <c r="A13" s="563"/>
      <c r="B13" s="563"/>
      <c r="C13" s="563"/>
      <c r="D13" s="563"/>
      <c r="E13" s="563"/>
      <c r="F13" s="574" t="s">
        <v>16</v>
      </c>
      <c r="G13" s="568">
        <f>Analysis!G57</f>
        <v>2.4381000188898434</v>
      </c>
      <c r="H13" s="568">
        <f>IF(COUNT($G$13:G13)&gt;='PTRM input'!$R$7,0,Analysis!H57)</f>
        <v>2.1771601714874156</v>
      </c>
      <c r="I13" s="568">
        <f>IF(COUNT($G$13:H13)&gt;='PTRM input'!$R$7,0,Analysis!I57)</f>
        <v>1.7120727666826432</v>
      </c>
      <c r="J13" s="568">
        <f>IF(COUNT($G$13:I13)&gt;='PTRM input'!$R$7,0,Analysis!J57)</f>
        <v>1.9595439226958673</v>
      </c>
      <c r="K13" s="568">
        <f>IF(COUNT($G$13:J13)&gt;='PTRM input'!$R$7,0,Analysis!K57)</f>
        <v>1.2020707764762231</v>
      </c>
      <c r="L13" s="568">
        <f>IF(COUNT($G$13:K13)&gt;='PTRM input'!$R$7,0,Analysis!L57)</f>
        <v>0</v>
      </c>
      <c r="M13" s="568">
        <f>IF(COUNT($G$13:L13)&gt;='PTRM input'!$R$7,0,Analysis!M57)</f>
        <v>0</v>
      </c>
      <c r="N13" s="568">
        <f>IF(COUNT($G$13:M13)&gt;='PTRM input'!$R$7,0,Analysis!N57)</f>
        <v>0</v>
      </c>
      <c r="O13" s="568">
        <f>IF(COUNT($G$13:N13)&gt;='PTRM input'!$R$7,0,Analysis!O57)</f>
        <v>0</v>
      </c>
      <c r="P13" s="568">
        <f>IF(COUNT($G$13:O13)&gt;='PTRM input'!$R$7,0,Analysis!P57)</f>
        <v>0</v>
      </c>
      <c r="Q13" s="568">
        <f>SUM(G13:P13)</f>
        <v>9.4889476562319928</v>
      </c>
      <c r="R13" s="565"/>
      <c r="S13" s="565"/>
      <c r="T13" s="565"/>
    </row>
    <row r="14" spans="1:20" s="308" customFormat="1">
      <c r="A14" s="563"/>
      <c r="B14" s="563"/>
      <c r="C14" s="563"/>
      <c r="D14" s="563"/>
      <c r="E14" s="563"/>
      <c r="F14" s="563" t="s">
        <v>239</v>
      </c>
      <c r="G14" s="568">
        <f>(IFERROR(G13/WACC!G13,0))*(1-WACC!G13)*Icpr</f>
        <v>3.9822300308534104</v>
      </c>
      <c r="H14" s="568">
        <f>(IFERROR(H13/WACC!H13,0))*(1-WACC!H13)*Icpr</f>
        <v>3.556028280096112</v>
      </c>
      <c r="I14" s="568">
        <f>(IFERROR(I13/WACC!I13,0))*(1-WACC!I13)*Icpr</f>
        <v>2.7963855189149838</v>
      </c>
      <c r="J14" s="568">
        <f>(IFERROR(J13/WACC!J13,0))*(1-WACC!J13)*Icpr</f>
        <v>3.2005884070699162</v>
      </c>
      <c r="K14" s="568">
        <f>(IFERROR(K13/WACC!K13,0))*(1-WACC!K13)*Icpr</f>
        <v>1.9633822682444972</v>
      </c>
      <c r="L14" s="568">
        <f>(IFERROR(L13/WACC!L13,0))*(1-WACC!L13)*Icpr</f>
        <v>0</v>
      </c>
      <c r="M14" s="568">
        <f>(IFERROR(M13/WACC!M13,0))*(1-WACC!M13)*Icpr</f>
        <v>0</v>
      </c>
      <c r="N14" s="568">
        <f>(IFERROR(N13/WACC!N13,0))*(1-WACC!N13)*Icpr</f>
        <v>0</v>
      </c>
      <c r="O14" s="568">
        <f>(IFERROR(O13/WACC!O13,0))*(1-WACC!O13)*Icpr</f>
        <v>0</v>
      </c>
      <c r="P14" s="568">
        <f>(IFERROR(P13/WACC!P13,0))*(1-WACC!P13)*Icpr</f>
        <v>0</v>
      </c>
      <c r="Q14" s="568">
        <f>SUM(G14:P14)</f>
        <v>15.498614505178921</v>
      </c>
      <c r="R14" s="565"/>
      <c r="S14" s="565"/>
      <c r="T14" s="565"/>
    </row>
    <row r="15" spans="1:20">
      <c r="A15" s="563"/>
      <c r="B15" s="563"/>
      <c r="C15" s="563"/>
      <c r="D15" s="563"/>
      <c r="E15" s="563"/>
      <c r="F15" s="576" t="s">
        <v>240</v>
      </c>
      <c r="G15" s="566">
        <f t="shared" ref="G15:P15" si="0">G14*Drpt</f>
        <v>1.194669009256023</v>
      </c>
      <c r="H15" s="567">
        <f t="shared" si="0"/>
        <v>1.0668084840288337</v>
      </c>
      <c r="I15" s="567">
        <f t="shared" si="0"/>
        <v>0.83891565567449511</v>
      </c>
      <c r="J15" s="567">
        <f t="shared" si="0"/>
        <v>0.96017652212097482</v>
      </c>
      <c r="K15" s="567">
        <f t="shared" si="0"/>
        <v>0.58901468047334915</v>
      </c>
      <c r="L15" s="567">
        <f t="shared" si="0"/>
        <v>0</v>
      </c>
      <c r="M15" s="567">
        <f t="shared" si="0"/>
        <v>0</v>
      </c>
      <c r="N15" s="567">
        <f t="shared" si="0"/>
        <v>0</v>
      </c>
      <c r="O15" s="567">
        <f t="shared" si="0"/>
        <v>0</v>
      </c>
      <c r="P15" s="567">
        <f t="shared" si="0"/>
        <v>0</v>
      </c>
      <c r="Q15" s="567">
        <f>SUM(G15:P15)</f>
        <v>4.6495843515536759</v>
      </c>
      <c r="R15" s="565"/>
      <c r="S15" s="565"/>
      <c r="T15" s="565"/>
    </row>
    <row r="16" spans="1:20" s="308" customFormat="1">
      <c r="A16" s="563"/>
      <c r="B16" s="563"/>
      <c r="C16" s="563"/>
      <c r="D16" s="563"/>
      <c r="E16" s="563"/>
      <c r="F16" s="565"/>
      <c r="G16" s="583"/>
      <c r="H16" s="583"/>
      <c r="I16" s="583"/>
      <c r="J16" s="583"/>
      <c r="K16" s="583"/>
      <c r="L16" s="583"/>
      <c r="M16" s="583"/>
      <c r="N16" s="583"/>
      <c r="O16" s="583"/>
      <c r="P16" s="583"/>
      <c r="Q16" s="564"/>
      <c r="R16" s="565"/>
      <c r="S16" s="565"/>
      <c r="T16" s="565"/>
    </row>
    <row r="17" spans="1:20" s="308" customFormat="1">
      <c r="A17" s="294"/>
      <c r="B17" s="294"/>
      <c r="C17" s="294"/>
      <c r="D17" s="294"/>
      <c r="E17" s="294"/>
      <c r="F17" s="294" t="s">
        <v>241</v>
      </c>
      <c r="G17" s="294"/>
      <c r="H17" s="294"/>
      <c r="I17" s="294"/>
      <c r="J17" s="294"/>
      <c r="K17" s="294"/>
      <c r="L17" s="294"/>
      <c r="M17" s="294"/>
      <c r="N17" s="294"/>
      <c r="O17" s="294"/>
      <c r="P17" s="294"/>
      <c r="Q17" s="294"/>
      <c r="R17" s="565"/>
      <c r="S17" s="565"/>
      <c r="T17" s="565"/>
    </row>
    <row r="18" spans="1:20" s="308" customFormat="1">
      <c r="A18" s="581"/>
      <c r="B18" s="581"/>
      <c r="C18" s="581"/>
      <c r="D18" s="581"/>
      <c r="E18" s="581"/>
      <c r="F18" s="584"/>
      <c r="G18" s="585"/>
      <c r="H18" s="585"/>
      <c r="I18" s="585"/>
      <c r="J18" s="585"/>
      <c r="K18" s="585"/>
      <c r="L18" s="585"/>
      <c r="M18" s="585"/>
      <c r="N18" s="585"/>
      <c r="O18" s="585"/>
      <c r="P18" s="585"/>
      <c r="Q18" s="585"/>
      <c r="R18" s="565"/>
      <c r="S18" s="565"/>
      <c r="T18" s="565"/>
    </row>
    <row r="19" spans="1:20" s="308" customFormat="1">
      <c r="A19" s="581"/>
      <c r="B19" s="581"/>
      <c r="C19" s="581"/>
      <c r="D19" s="581"/>
      <c r="E19" s="581"/>
      <c r="F19" s="586" t="s">
        <v>292</v>
      </c>
      <c r="G19" s="1628" t="s">
        <v>177</v>
      </c>
      <c r="H19" s="1629"/>
      <c r="I19" s="1629"/>
      <c r="J19" s="587" t="s">
        <v>334</v>
      </c>
      <c r="K19" s="585"/>
      <c r="L19" s="585"/>
      <c r="M19" s="585"/>
      <c r="N19" s="585"/>
      <c r="O19" s="585"/>
      <c r="P19" s="585"/>
      <c r="Q19" s="585"/>
      <c r="R19" s="565"/>
      <c r="S19" s="565"/>
      <c r="T19" s="565"/>
    </row>
    <row r="20" spans="1:20" s="308" customFormat="1">
      <c r="A20" s="581"/>
      <c r="B20" s="581"/>
      <c r="C20" s="581"/>
      <c r="D20" s="581"/>
      <c r="E20" s="581"/>
      <c r="F20" s="584"/>
      <c r="G20" s="585"/>
      <c r="H20" s="585"/>
      <c r="I20" s="585"/>
      <c r="J20" s="585"/>
      <c r="K20" s="585"/>
      <c r="L20" s="585"/>
      <c r="M20" s="585"/>
      <c r="N20" s="585"/>
      <c r="O20" s="585"/>
      <c r="P20" s="585"/>
      <c r="Q20" s="585"/>
      <c r="R20" s="565"/>
      <c r="S20" s="565"/>
      <c r="T20" s="565"/>
    </row>
    <row r="21" spans="1:20" s="308" customFormat="1">
      <c r="A21" s="563"/>
      <c r="B21" s="563"/>
      <c r="C21" s="563"/>
      <c r="D21" s="563"/>
      <c r="E21" s="563"/>
      <c r="F21" s="565" t="s">
        <v>242</v>
      </c>
      <c r="G21" s="564">
        <f>IF($G$19='X factors'!$Y$2,'X factors'!G44,IF($G$19='X factors'!$Y$3,'X factors'!G60,IF($G$19='X factors'!$Y$4,'X factors'!G80,"Error")))</f>
        <v>5.3385764178658937</v>
      </c>
      <c r="H21" s="564">
        <f>IF($G$19='X factors'!$Y$2,'X factors'!H44,IF($G$19='X factors'!$Y$3,'X factors'!H60,IF($G$19='X factors'!$Y$4,'X factors'!H80,"Error")))</f>
        <v>4.2106722443123941</v>
      </c>
      <c r="I21" s="564">
        <f>IF($G$19='X factors'!$Y$2,'X factors'!I44,IF($G$19='X factors'!$Y$3,'X factors'!I60,IF($G$19='X factors'!$Y$4,'X factors'!I80,"Error")))</f>
        <v>3.3210652730733563</v>
      </c>
      <c r="J21" s="564">
        <f>IF($G$19='X factors'!$Y$2,'X factors'!J44,IF($G$19='X factors'!$Y$3,'X factors'!J60,IF($G$19='X factors'!$Y$4,'X factors'!J80,"Error")))</f>
        <v>2.619409421598172</v>
      </c>
      <c r="K21" s="564">
        <f>IF($G$19='X factors'!$Y$2,'X factors'!K44,IF($G$19='X factors'!$Y$3,'X factors'!K60,IF($G$19='X factors'!$Y$4,'X factors'!K80,"Error")))</f>
        <v>2.0659954423623028</v>
      </c>
      <c r="L21" s="564">
        <f>IF($G$19='X factors'!$Y$2,'X factors'!L44,IF($G$19='X factors'!$Y$3,'X factors'!L60,IF($G$19='X factors'!$Y$4,'X factors'!L80,"Error")))</f>
        <v>0</v>
      </c>
      <c r="M21" s="564">
        <f>IF($G$19='X factors'!$Y$2,'X factors'!M44,IF($G$19='X factors'!$Y$3,'X factors'!M60,IF($G$19='X factors'!$Y$4,'X factors'!M80,"Error")))</f>
        <v>0</v>
      </c>
      <c r="N21" s="564">
        <f>IF($G$19='X factors'!$Y$2,'X factors'!N44,IF($G$19='X factors'!$Y$3,'X factors'!N60,IF($G$19='X factors'!$Y$4,'X factors'!N80,"Error")))</f>
        <v>0</v>
      </c>
      <c r="O21" s="564">
        <f>IF($G$19='X factors'!$Y$2,'X factors'!O44,IF($G$19='X factors'!$Y$3,'X factors'!O60,IF($G$19='X factors'!$Y$4,'X factors'!O80,"Error")))</f>
        <v>0</v>
      </c>
      <c r="P21" s="564">
        <f>IF($G$19='X factors'!$Y$2,'X factors'!P44,IF($G$19='X factors'!$Y$3,'X factors'!P60,IF($G$19='X factors'!$Y$4,'X factors'!P80,"Error")))</f>
        <v>0</v>
      </c>
      <c r="Q21" s="564">
        <f t="shared" ref="Q21:Q28" si="1">SUM(G21:P21)</f>
        <v>17.555718799212119</v>
      </c>
      <c r="R21" s="565"/>
      <c r="S21" s="565"/>
      <c r="T21" s="565"/>
    </row>
    <row r="22" spans="1:20" s="308" customFormat="1">
      <c r="A22" s="563"/>
      <c r="B22" s="563"/>
      <c r="C22" s="563"/>
      <c r="D22" s="563"/>
      <c r="E22" s="563"/>
      <c r="F22" s="565" t="s">
        <v>243</v>
      </c>
      <c r="G22" s="564">
        <f>Analysis!G162</f>
        <v>5.5481846193927771</v>
      </c>
      <c r="H22" s="564">
        <f>IF(COUNT($G$22:G22)&gt;='PTRM input'!$R$7,0,Analysis!H162)</f>
        <v>6.0855256345683566</v>
      </c>
      <c r="I22" s="564">
        <f>IF(COUNT($G$22:H22)&gt;='PTRM input'!$R$7,0,Analysis!I162)</f>
        <v>6.9042490312056941</v>
      </c>
      <c r="J22" s="564">
        <f>IF(COUNT($G$22:I22)&gt;='PTRM input'!$R$7,0,Analysis!J162)</f>
        <v>7.7079127816864537</v>
      </c>
      <c r="K22" s="564">
        <f>IF(COUNT($G$22:J22)&gt;='PTRM input'!$R$7,0,Analysis!K162)</f>
        <v>8.0829431956179896</v>
      </c>
      <c r="L22" s="564">
        <f>IF(COUNT($G$22:K22)&gt;='PTRM input'!$R$7,0,Analysis!L162)</f>
        <v>0</v>
      </c>
      <c r="M22" s="564">
        <f>IF(COUNT($G$22:L22)&gt;='PTRM input'!$R$7,0,Analysis!M162)</f>
        <v>0</v>
      </c>
      <c r="N22" s="564">
        <f>IF(COUNT($G$22:M22)&gt;='PTRM input'!$R$7,0,Analysis!N162)</f>
        <v>0</v>
      </c>
      <c r="O22" s="564">
        <f>IF(COUNT($G$22:N22)&gt;='PTRM input'!$R$7,0,Analysis!O162)</f>
        <v>0</v>
      </c>
      <c r="P22" s="564">
        <f>IF(COUNT($G$22:O22)&gt;='PTRM input'!$R$7,0,Analysis!P162)</f>
        <v>0</v>
      </c>
      <c r="Q22" s="564">
        <f t="shared" si="1"/>
        <v>34.328815262471267</v>
      </c>
      <c r="R22" s="565"/>
      <c r="S22" s="565"/>
      <c r="T22" s="565"/>
    </row>
    <row r="23" spans="1:20" s="308" customFormat="1">
      <c r="A23" s="563"/>
      <c r="B23" s="563"/>
      <c r="C23" s="563"/>
      <c r="D23" s="563"/>
      <c r="E23" s="563"/>
      <c r="F23" s="588" t="s">
        <v>244</v>
      </c>
      <c r="G23" s="564">
        <f>Analysis!G71</f>
        <v>1.8513389576866806</v>
      </c>
      <c r="H23" s="564">
        <f>IF(COUNT($G$23:G23)&gt;='PTRM input'!$R$7,0,Analysis!H71)</f>
        <v>1.8899266500780389</v>
      </c>
      <c r="I23" s="564">
        <f>IF(COUNT($G$23:H23)&gt;='PTRM input'!$R$7,0,Analysis!I71)</f>
        <v>1.94432850146664</v>
      </c>
      <c r="J23" s="564">
        <f>IF(COUNT($G$23:I23)&gt;='PTRM input'!$R$7,0,Analysis!J71)</f>
        <v>1.9948302105654185</v>
      </c>
      <c r="K23" s="564">
        <f>IF(COUNT($G$23:J23)&gt;='PTRM input'!$R$7,0,Analysis!K71)</f>
        <v>2.0107561973322223</v>
      </c>
      <c r="L23" s="564">
        <f>IF(COUNT($G$23:K23)&gt;='PTRM input'!$R$7,0,Analysis!L71)</f>
        <v>0</v>
      </c>
      <c r="M23" s="564">
        <f>IF(COUNT($G$23:L23)&gt;='PTRM input'!$R$7,0,Analysis!M71)</f>
        <v>0</v>
      </c>
      <c r="N23" s="564">
        <f>IF(COUNT($G$23:M23)&gt;='PTRM input'!$R$7,0,Analysis!N71)</f>
        <v>0</v>
      </c>
      <c r="O23" s="564">
        <f>IF(COUNT($G$23:N23)&gt;='PTRM input'!$R$7,0,Analysis!O71)</f>
        <v>0</v>
      </c>
      <c r="P23" s="564">
        <f>IF(COUNT($G$23:O23)&gt;='PTRM input'!$R$7,0,Analysis!P71)</f>
        <v>0</v>
      </c>
      <c r="Q23" s="564">
        <f t="shared" si="1"/>
        <v>9.691180517129002</v>
      </c>
      <c r="R23" s="565"/>
      <c r="S23" s="565"/>
      <c r="T23" s="565"/>
    </row>
    <row r="24" spans="1:20" s="308" customFormat="1">
      <c r="A24" s="563"/>
      <c r="B24" s="563"/>
      <c r="C24" s="563"/>
      <c r="D24" s="563"/>
      <c r="E24" s="563"/>
      <c r="F24" s="589" t="s">
        <v>297</v>
      </c>
      <c r="G24" s="564">
        <f>Analysis!G32</f>
        <v>0</v>
      </c>
      <c r="H24" s="564">
        <f>IF(COUNT($G$24:G24)&gt;='PTRM input'!$R$7,0,Analysis!H32)</f>
        <v>0</v>
      </c>
      <c r="I24" s="564">
        <f>IF(COUNT($G$24:H24)&gt;='PTRM input'!$R$7,0,Analysis!I32)</f>
        <v>0</v>
      </c>
      <c r="J24" s="564">
        <f>IF(COUNT($G$24:I24)&gt;='PTRM input'!$R$7,0,Analysis!J32)</f>
        <v>0</v>
      </c>
      <c r="K24" s="564">
        <f>IF(COUNT($G$24:J24)&gt;='PTRM input'!$R$7,0,Analysis!K32)</f>
        <v>0</v>
      </c>
      <c r="L24" s="564">
        <f>IF(COUNT($G$24:K24)&gt;='PTRM input'!$R$7,0,Analysis!L32)</f>
        <v>0</v>
      </c>
      <c r="M24" s="564">
        <f>IF(COUNT($G$24:L24)&gt;='PTRM input'!$R$7,0,Analysis!M32)</f>
        <v>0</v>
      </c>
      <c r="N24" s="564">
        <f>IF(COUNT($G$24:M24)&gt;='PTRM input'!$R$7,0,Analysis!N32)</f>
        <v>0</v>
      </c>
      <c r="O24" s="564">
        <f>IF(COUNT($G$24:N24)&gt;='PTRM input'!$R$7,0,Analysis!O32)</f>
        <v>0</v>
      </c>
      <c r="P24" s="564">
        <f>IF(COUNT($G$24:O24)&gt;='PTRM input'!$R$7,0,Analysis!P32)</f>
        <v>0</v>
      </c>
      <c r="Q24" s="564">
        <f t="shared" si="1"/>
        <v>0</v>
      </c>
      <c r="R24" s="565"/>
      <c r="S24" s="565"/>
      <c r="T24" s="565"/>
    </row>
    <row r="25" spans="1:20">
      <c r="A25" s="563"/>
      <c r="B25" s="563"/>
      <c r="C25" s="563"/>
      <c r="D25" s="563"/>
      <c r="E25" s="563"/>
      <c r="F25" s="574" t="s">
        <v>16</v>
      </c>
      <c r="G25" s="568">
        <f>Analysis!G34</f>
        <v>2.4381000188898425</v>
      </c>
      <c r="H25" s="568">
        <f>IF(COUNT($G$25:G25)&gt;='PTRM input'!$R$7,0,Analysis!H34)</f>
        <v>2.1771601714874147</v>
      </c>
      <c r="I25" s="568">
        <f>IF(COUNT($G$25:H25)&gt;='PTRM input'!$R$7,0,Analysis!I34)</f>
        <v>1.7120727666826439</v>
      </c>
      <c r="J25" s="568">
        <f>IF(COUNT($G$25:I25)&gt;='PTRM input'!$R$7,0,Analysis!J34)</f>
        <v>1.9595439226958675</v>
      </c>
      <c r="K25" s="568">
        <f>IF(COUNT($G$25:J25)&gt;='PTRM input'!$R$7,0,Analysis!K34)</f>
        <v>1.2020707764762226</v>
      </c>
      <c r="L25" s="568">
        <f>IF(COUNT($G$25:K25)&gt;='PTRM input'!$R$7,0,Analysis!L34)</f>
        <v>0</v>
      </c>
      <c r="M25" s="568">
        <f>IF(COUNT($G$25:L25)&gt;='PTRM input'!$R$7,0,Analysis!M34)</f>
        <v>0</v>
      </c>
      <c r="N25" s="568">
        <f>IF(COUNT($G$25:M25)&gt;='PTRM input'!$R$7,0,Analysis!N34)</f>
        <v>0</v>
      </c>
      <c r="O25" s="568">
        <f>IF(COUNT($G$25:N25)&gt;='PTRM input'!$R$7,0,Analysis!O34)</f>
        <v>0</v>
      </c>
      <c r="P25" s="568">
        <f>IF(COUNT($G$25:O25)&gt;='PTRM input'!$R$7,0,Analysis!P34)</f>
        <v>0</v>
      </c>
      <c r="Q25" s="568">
        <f t="shared" si="1"/>
        <v>9.488947656231991</v>
      </c>
      <c r="R25" s="565"/>
      <c r="S25" s="565"/>
      <c r="T25" s="565"/>
    </row>
    <row r="26" spans="1:20">
      <c r="A26" s="563"/>
      <c r="B26" s="563"/>
      <c r="C26" s="563"/>
      <c r="D26" s="563"/>
      <c r="E26" s="563"/>
      <c r="F26" s="576" t="s">
        <v>245</v>
      </c>
      <c r="G26" s="567">
        <f>G21-G22-G23-G24-G25</f>
        <v>-4.4990471781034067</v>
      </c>
      <c r="H26" s="567">
        <f>H21-H22-H23-H24-H25</f>
        <v>-5.9419402118214162</v>
      </c>
      <c r="I26" s="567">
        <f t="shared" ref="I26:P26" si="2">I21-I22-I23-I24-I25</f>
        <v>-7.2395850262816213</v>
      </c>
      <c r="J26" s="567">
        <f t="shared" si="2"/>
        <v>-9.0428774933495681</v>
      </c>
      <c r="K26" s="567">
        <f t="shared" si="2"/>
        <v>-9.2297747270641324</v>
      </c>
      <c r="L26" s="567">
        <f t="shared" si="2"/>
        <v>0</v>
      </c>
      <c r="M26" s="567">
        <f t="shared" si="2"/>
        <v>0</v>
      </c>
      <c r="N26" s="567">
        <f t="shared" si="2"/>
        <v>0</v>
      </c>
      <c r="O26" s="567">
        <f t="shared" si="2"/>
        <v>0</v>
      </c>
      <c r="P26" s="567">
        <f t="shared" si="2"/>
        <v>0</v>
      </c>
      <c r="Q26" s="567">
        <f t="shared" si="1"/>
        <v>-35.953224636620149</v>
      </c>
      <c r="R26" s="565"/>
      <c r="S26" s="565"/>
      <c r="T26" s="565"/>
    </row>
    <row r="27" spans="1:20">
      <c r="A27" s="563"/>
      <c r="B27" s="563"/>
      <c r="C27" s="563"/>
      <c r="D27" s="563"/>
      <c r="E27" s="563"/>
      <c r="F27" s="563" t="s">
        <v>239</v>
      </c>
      <c r="G27" s="564">
        <f>G14</f>
        <v>3.9822300308534104</v>
      </c>
      <c r="H27" s="564">
        <f t="shared" ref="H27:P27" si="3">H14</f>
        <v>3.556028280096112</v>
      </c>
      <c r="I27" s="564">
        <f t="shared" si="3"/>
        <v>2.7963855189149838</v>
      </c>
      <c r="J27" s="564">
        <f t="shared" si="3"/>
        <v>3.2005884070699162</v>
      </c>
      <c r="K27" s="564">
        <f t="shared" si="3"/>
        <v>1.9633822682444972</v>
      </c>
      <c r="L27" s="564">
        <f t="shared" si="3"/>
        <v>0</v>
      </c>
      <c r="M27" s="564">
        <f t="shared" si="3"/>
        <v>0</v>
      </c>
      <c r="N27" s="564">
        <f t="shared" si="3"/>
        <v>0</v>
      </c>
      <c r="O27" s="564">
        <f t="shared" si="3"/>
        <v>0</v>
      </c>
      <c r="P27" s="564">
        <f t="shared" si="3"/>
        <v>0</v>
      </c>
      <c r="Q27" s="564">
        <f t="shared" si="1"/>
        <v>15.498614505178921</v>
      </c>
      <c r="R27" s="565"/>
      <c r="S27" s="565"/>
      <c r="T27" s="565"/>
    </row>
    <row r="28" spans="1:20" s="308" customFormat="1">
      <c r="A28" s="563"/>
      <c r="B28" s="563"/>
      <c r="C28" s="563"/>
      <c r="D28" s="563"/>
      <c r="E28" s="563"/>
      <c r="F28" s="576" t="s">
        <v>246</v>
      </c>
      <c r="G28" s="567">
        <f>G26-G27</f>
        <v>-8.4812772089568167</v>
      </c>
      <c r="H28" s="567">
        <f t="shared" ref="H28:P28" si="4">H26-H27</f>
        <v>-9.4979684919175291</v>
      </c>
      <c r="I28" s="567">
        <f t="shared" si="4"/>
        <v>-10.035970545196605</v>
      </c>
      <c r="J28" s="567">
        <f t="shared" si="4"/>
        <v>-12.243465900419483</v>
      </c>
      <c r="K28" s="567">
        <f t="shared" si="4"/>
        <v>-11.19315699530863</v>
      </c>
      <c r="L28" s="567">
        <f t="shared" si="4"/>
        <v>0</v>
      </c>
      <c r="M28" s="567">
        <f t="shared" si="4"/>
        <v>0</v>
      </c>
      <c r="N28" s="567">
        <f t="shared" si="4"/>
        <v>0</v>
      </c>
      <c r="O28" s="567">
        <f t="shared" si="4"/>
        <v>0</v>
      </c>
      <c r="P28" s="567">
        <f t="shared" si="4"/>
        <v>0</v>
      </c>
      <c r="Q28" s="567">
        <f t="shared" si="1"/>
        <v>-51.451839141799056</v>
      </c>
      <c r="R28" s="565"/>
      <c r="S28" s="565"/>
      <c r="T28" s="565"/>
    </row>
    <row r="29" spans="1:20" s="308" customFormat="1">
      <c r="A29" s="563"/>
      <c r="B29" s="563"/>
      <c r="C29" s="563"/>
      <c r="D29" s="563"/>
      <c r="E29" s="563"/>
      <c r="F29" s="565"/>
      <c r="G29" s="564"/>
      <c r="H29" s="564"/>
      <c r="I29" s="564"/>
      <c r="J29" s="564"/>
      <c r="K29" s="564"/>
      <c r="L29" s="564"/>
      <c r="M29" s="564"/>
      <c r="N29" s="564"/>
      <c r="O29" s="564"/>
      <c r="P29" s="564"/>
      <c r="Q29" s="564"/>
      <c r="R29" s="565"/>
      <c r="S29" s="565"/>
      <c r="T29" s="565"/>
    </row>
    <row r="30" spans="1:20" s="308" customFormat="1">
      <c r="A30" s="294"/>
      <c r="B30" s="294"/>
      <c r="C30" s="294"/>
      <c r="D30" s="294"/>
      <c r="E30" s="294"/>
      <c r="F30" s="294" t="s">
        <v>247</v>
      </c>
      <c r="G30" s="294"/>
      <c r="H30" s="294"/>
      <c r="I30" s="294"/>
      <c r="J30" s="294"/>
      <c r="K30" s="294"/>
      <c r="L30" s="294"/>
      <c r="M30" s="294"/>
      <c r="N30" s="294"/>
      <c r="O30" s="294"/>
      <c r="P30" s="294"/>
      <c r="Q30" s="294"/>
      <c r="R30" s="565"/>
      <c r="S30" s="565"/>
      <c r="T30" s="565"/>
    </row>
    <row r="31" spans="1:20" s="308" customFormat="1">
      <c r="A31" s="581"/>
      <c r="B31" s="581"/>
      <c r="C31" s="581"/>
      <c r="D31" s="581"/>
      <c r="E31" s="581"/>
      <c r="F31" s="584"/>
      <c r="G31" s="585"/>
      <c r="H31" s="585"/>
      <c r="I31" s="585"/>
      <c r="J31" s="585"/>
      <c r="K31" s="585"/>
      <c r="L31" s="585"/>
      <c r="M31" s="585"/>
      <c r="N31" s="585"/>
      <c r="O31" s="585"/>
      <c r="P31" s="585"/>
      <c r="Q31" s="585"/>
      <c r="R31" s="565"/>
      <c r="S31" s="565"/>
      <c r="T31" s="565"/>
    </row>
    <row r="32" spans="1:20" s="308" customFormat="1">
      <c r="A32" s="563"/>
      <c r="B32" s="563"/>
      <c r="C32" s="563"/>
      <c r="D32" s="563"/>
      <c r="E32" s="563"/>
      <c r="F32" s="588" t="s">
        <v>248</v>
      </c>
      <c r="G32" s="564">
        <f>G8/(1+vanilla01)^0.5</f>
        <v>2.4222874369205813</v>
      </c>
      <c r="H32" s="564">
        <f>H8/(1+vanilla02)^0.5</f>
        <v>2.8418503210258304</v>
      </c>
      <c r="I32" s="564">
        <f>I8/(1+vanilla03)^0.5</f>
        <v>2.9199187956107129</v>
      </c>
      <c r="J32" s="564">
        <f>J8/(1+vanilla04)^0.5</f>
        <v>2.4567943659080185</v>
      </c>
      <c r="K32" s="564">
        <f>K8/(1+vanilla05)^0.5</f>
        <v>3.2675120273201945</v>
      </c>
      <c r="L32" s="564">
        <f>L8/(1+vanilla06)^0.5</f>
        <v>0</v>
      </c>
      <c r="M32" s="564">
        <f>M8/(1+vanilla07)^0.5</f>
        <v>0</v>
      </c>
      <c r="N32" s="564">
        <f>N8/(1+vanilla08)^0.5</f>
        <v>0</v>
      </c>
      <c r="O32" s="564">
        <f>O8/(1+vanilla09)^0.5</f>
        <v>0</v>
      </c>
      <c r="P32" s="564">
        <f>P8/(1+vanilla10)^0.5</f>
        <v>0</v>
      </c>
      <c r="Q32" s="564">
        <f>SUM(G32:P32)</f>
        <v>13.908362946785337</v>
      </c>
      <c r="R32" s="565"/>
      <c r="S32" s="565"/>
      <c r="T32" s="565"/>
    </row>
    <row r="33" spans="1:20" s="308" customFormat="1">
      <c r="A33" s="563"/>
      <c r="B33" s="563"/>
      <c r="C33" s="563"/>
      <c r="D33" s="563"/>
      <c r="E33" s="563"/>
      <c r="F33" s="588" t="s">
        <v>249</v>
      </c>
      <c r="G33" s="564">
        <f>-Analysis!G72</f>
        <v>0.43503599088341005</v>
      </c>
      <c r="H33" s="564">
        <f>IF(COUNT($G$33:G33)&gt;='PTRM input'!$R$7,0,-Analysis!H72)</f>
        <v>0.61332414192334994</v>
      </c>
      <c r="I33" s="564">
        <f>IF(COUNT($G$33:H33)&gt;='PTRM input'!$R$7,0,-Analysis!I72)</f>
        <v>0.56935410483403004</v>
      </c>
      <c r="J33" s="564">
        <f>IF(COUNT($G$33:I33)&gt;='PTRM input'!$R$7,0,-Analysis!J72)</f>
        <v>0.17954889252315454</v>
      </c>
      <c r="K33" s="564">
        <f>IF(COUNT($G$33:J33)&gt;='PTRM input'!$R$7,0,-Analysis!K72)</f>
        <v>0.58847387789982264</v>
      </c>
      <c r="L33" s="564">
        <f>IF(COUNT($G$33:K33)&gt;='PTRM input'!$R$7,0,-Analysis!L72)</f>
        <v>0</v>
      </c>
      <c r="M33" s="564">
        <f>IF(COUNT($G$33:L33)&gt;='PTRM input'!$R$7,0,-Analysis!M72)</f>
        <v>0</v>
      </c>
      <c r="N33" s="564">
        <f>IF(COUNT($G$33:M33)&gt;='PTRM input'!$R$7,0,-Analysis!N72)</f>
        <v>0</v>
      </c>
      <c r="O33" s="564">
        <f>IF(COUNT($G$33:N33)&gt;='PTRM input'!$R$7,0,-Analysis!O72)</f>
        <v>0</v>
      </c>
      <c r="P33" s="564">
        <f>IF(COUNT($G$33:O33)&gt;='PTRM input'!$R$7,0,-Analysis!P72)</f>
        <v>0</v>
      </c>
      <c r="Q33" s="564">
        <f>SUM(G33:P33)</f>
        <v>2.3857370080637672</v>
      </c>
      <c r="R33" s="565"/>
      <c r="S33" s="565"/>
      <c r="T33" s="565"/>
    </row>
    <row r="34" spans="1:20" s="308" customFormat="1">
      <c r="A34" s="563"/>
      <c r="B34" s="563"/>
      <c r="C34" s="563"/>
      <c r="D34" s="563"/>
      <c r="E34" s="563"/>
      <c r="F34" s="574" t="s">
        <v>250</v>
      </c>
      <c r="G34" s="568">
        <f>G32-G33</f>
        <v>1.9872514460371713</v>
      </c>
      <c r="H34" s="568">
        <f t="shared" ref="H34:P34" si="5">H32-H33</f>
        <v>2.2285261791024804</v>
      </c>
      <c r="I34" s="568">
        <f t="shared" si="5"/>
        <v>2.3505646907766828</v>
      </c>
      <c r="J34" s="568">
        <f t="shared" si="5"/>
        <v>2.2772454733848639</v>
      </c>
      <c r="K34" s="568">
        <f t="shared" si="5"/>
        <v>2.6790381494203719</v>
      </c>
      <c r="L34" s="568">
        <f t="shared" si="5"/>
        <v>0</v>
      </c>
      <c r="M34" s="568">
        <f t="shared" si="5"/>
        <v>0</v>
      </c>
      <c r="N34" s="568">
        <f t="shared" si="5"/>
        <v>0</v>
      </c>
      <c r="O34" s="568">
        <f t="shared" si="5"/>
        <v>0</v>
      </c>
      <c r="P34" s="568">
        <f t="shared" si="5"/>
        <v>0</v>
      </c>
      <c r="Q34" s="568">
        <f>SUM(G34:P34)</f>
        <v>11.522625938721569</v>
      </c>
      <c r="R34" s="565"/>
      <c r="S34" s="565"/>
      <c r="T34" s="565"/>
    </row>
    <row r="35" spans="1:20">
      <c r="A35" s="563"/>
      <c r="B35" s="563"/>
      <c r="C35" s="563"/>
      <c r="D35" s="563"/>
      <c r="E35" s="563"/>
      <c r="F35" s="576" t="s">
        <v>246</v>
      </c>
      <c r="G35" s="567">
        <f>G28</f>
        <v>-8.4812772089568167</v>
      </c>
      <c r="H35" s="567">
        <f t="shared" ref="H35:P35" si="6">H28</f>
        <v>-9.4979684919175291</v>
      </c>
      <c r="I35" s="567">
        <f t="shared" si="6"/>
        <v>-10.035970545196605</v>
      </c>
      <c r="J35" s="567">
        <f t="shared" si="6"/>
        <v>-12.243465900419483</v>
      </c>
      <c r="K35" s="567">
        <f t="shared" si="6"/>
        <v>-11.19315699530863</v>
      </c>
      <c r="L35" s="567">
        <f t="shared" si="6"/>
        <v>0</v>
      </c>
      <c r="M35" s="567">
        <f t="shared" si="6"/>
        <v>0</v>
      </c>
      <c r="N35" s="567">
        <f t="shared" si="6"/>
        <v>0</v>
      </c>
      <c r="O35" s="567">
        <f t="shared" si="6"/>
        <v>0</v>
      </c>
      <c r="P35" s="567">
        <f t="shared" si="6"/>
        <v>0</v>
      </c>
      <c r="Q35" s="567">
        <f>SUM(G35:P35)</f>
        <v>-51.451839141799056</v>
      </c>
      <c r="R35" s="565"/>
      <c r="S35" s="565"/>
      <c r="T35" s="565"/>
    </row>
    <row r="36" spans="1:20">
      <c r="A36" s="297"/>
      <c r="B36" s="297"/>
      <c r="C36" s="297"/>
      <c r="D36" s="297"/>
      <c r="E36" s="297"/>
      <c r="F36" s="298" t="s">
        <v>251</v>
      </c>
      <c r="G36" s="299">
        <f>G34-G35</f>
        <v>10.468528654993989</v>
      </c>
      <c r="H36" s="299">
        <f t="shared" ref="H36:P36" si="7">H34-H35</f>
        <v>11.72649467102001</v>
      </c>
      <c r="I36" s="299">
        <f t="shared" si="7"/>
        <v>12.386535235973287</v>
      </c>
      <c r="J36" s="299">
        <f t="shared" si="7"/>
        <v>14.520711373804348</v>
      </c>
      <c r="K36" s="299">
        <f t="shared" si="7"/>
        <v>13.872195144729002</v>
      </c>
      <c r="L36" s="299">
        <f t="shared" si="7"/>
        <v>0</v>
      </c>
      <c r="M36" s="299">
        <f t="shared" si="7"/>
        <v>0</v>
      </c>
      <c r="N36" s="299">
        <f t="shared" si="7"/>
        <v>0</v>
      </c>
      <c r="O36" s="299">
        <f t="shared" si="7"/>
        <v>0</v>
      </c>
      <c r="P36" s="299">
        <f t="shared" si="7"/>
        <v>0</v>
      </c>
      <c r="Q36" s="299">
        <f>SUM(G36:P36)</f>
        <v>62.974465080520631</v>
      </c>
      <c r="R36" s="287"/>
      <c r="S36" s="287"/>
      <c r="T36" s="287"/>
    </row>
    <row r="37" spans="1:20">
      <c r="A37" s="297"/>
      <c r="B37" s="297"/>
      <c r="C37" s="297"/>
      <c r="D37" s="297"/>
      <c r="E37" s="297"/>
      <c r="F37" s="297"/>
      <c r="G37" s="299"/>
      <c r="H37" s="299"/>
      <c r="I37" s="299"/>
      <c r="J37" s="299"/>
      <c r="K37" s="299"/>
      <c r="L37" s="299"/>
      <c r="M37" s="299"/>
      <c r="N37" s="299"/>
      <c r="O37" s="299"/>
      <c r="P37" s="299"/>
      <c r="Q37" s="302"/>
      <c r="R37" s="287"/>
      <c r="S37" s="287"/>
      <c r="T37" s="287"/>
    </row>
    <row r="38" spans="1:20">
      <c r="A38" s="293"/>
      <c r="B38" s="293"/>
      <c r="C38" s="293"/>
      <c r="D38" s="293"/>
      <c r="E38" s="293"/>
      <c r="F38" s="294" t="str">
        <f>"Benchmark Capex Funding ($m Real "&amp;Assets!F4&amp;")"</f>
        <v>Benchmark Capex Funding ($m Real 2009-10)</v>
      </c>
      <c r="G38" s="300"/>
      <c r="H38" s="300"/>
      <c r="I38" s="300"/>
      <c r="J38" s="300"/>
      <c r="K38" s="300"/>
      <c r="L38" s="300"/>
      <c r="M38" s="300"/>
      <c r="N38" s="300"/>
      <c r="O38" s="300"/>
      <c r="P38" s="300"/>
      <c r="Q38" s="300"/>
      <c r="R38" s="287"/>
      <c r="S38" s="287"/>
      <c r="T38" s="287"/>
    </row>
    <row r="39" spans="1:20">
      <c r="A39" s="297"/>
      <c r="B39" s="297"/>
      <c r="C39" s="297"/>
      <c r="D39" s="297"/>
      <c r="E39" s="297"/>
      <c r="F39" s="297"/>
      <c r="G39" s="301"/>
      <c r="H39" s="301"/>
      <c r="I39" s="301"/>
      <c r="J39" s="301"/>
      <c r="K39" s="301"/>
      <c r="L39" s="301"/>
      <c r="M39" s="301"/>
      <c r="N39" s="301"/>
      <c r="O39" s="301"/>
      <c r="P39" s="301"/>
      <c r="Q39" s="301"/>
      <c r="R39" s="287"/>
      <c r="S39" s="287"/>
      <c r="T39" s="287"/>
    </row>
    <row r="40" spans="1:20">
      <c r="A40" s="563"/>
      <c r="B40" s="563"/>
      <c r="C40" s="563"/>
      <c r="D40" s="563"/>
      <c r="E40" s="563"/>
      <c r="F40" s="563" t="s">
        <v>250</v>
      </c>
      <c r="G40" s="564">
        <f>G34/Analysis!G7</f>
        <v>1.9384036734658325</v>
      </c>
      <c r="H40" s="564">
        <f>H34/Analysis!H7</f>
        <v>2.1203157785324467</v>
      </c>
      <c r="I40" s="564">
        <f>I34/Analysis!I7</f>
        <v>2.1814557882771384</v>
      </c>
      <c r="J40" s="564">
        <f>J34/Analysis!J7</f>
        <v>2.0614625875981045</v>
      </c>
      <c r="K40" s="564">
        <f>K34/Analysis!K7</f>
        <v>2.3655705804881966</v>
      </c>
      <c r="L40" s="564">
        <f>L34/Analysis!L7</f>
        <v>0</v>
      </c>
      <c r="M40" s="564">
        <f>M34/Analysis!M7</f>
        <v>0</v>
      </c>
      <c r="N40" s="564">
        <f>N34/Analysis!N7</f>
        <v>0</v>
      </c>
      <c r="O40" s="564">
        <f>O34/Analysis!O7</f>
        <v>0</v>
      </c>
      <c r="P40" s="564">
        <f>P34/Analysis!P7</f>
        <v>0</v>
      </c>
      <c r="Q40" s="564">
        <f>SUM(G40:P40)</f>
        <v>10.667208408361718</v>
      </c>
      <c r="R40" s="565"/>
      <c r="S40" s="565"/>
      <c r="T40" s="565"/>
    </row>
    <row r="41" spans="1:20">
      <c r="A41" s="563"/>
      <c r="B41" s="563"/>
      <c r="C41" s="563"/>
      <c r="D41" s="563"/>
      <c r="E41" s="563"/>
      <c r="F41" s="563" t="s">
        <v>246</v>
      </c>
      <c r="G41" s="564">
        <f>G35/Analysis!G7</f>
        <v>-8.2728025838439496</v>
      </c>
      <c r="H41" s="564">
        <f>H35/Analysis!H7</f>
        <v>-9.0367762543078793</v>
      </c>
      <c r="I41" s="564">
        <f>I35/Analysis!I7</f>
        <v>-9.3139432080739812</v>
      </c>
      <c r="J41" s="564">
        <f>J35/Analysis!J7</f>
        <v>-11.08332289655729</v>
      </c>
      <c r="K41" s="564">
        <f>K35/Analysis!K7</f>
        <v>-9.8834736252697617</v>
      </c>
      <c r="L41" s="564">
        <f>L35/Analysis!L7</f>
        <v>0</v>
      </c>
      <c r="M41" s="564">
        <f>M35/Analysis!M7</f>
        <v>0</v>
      </c>
      <c r="N41" s="564">
        <f>N35/Analysis!N7</f>
        <v>0</v>
      </c>
      <c r="O41" s="564">
        <f>O35/Analysis!O7</f>
        <v>0</v>
      </c>
      <c r="P41" s="564">
        <f>P35/Analysis!P7</f>
        <v>0</v>
      </c>
      <c r="Q41" s="564">
        <f>SUM(G41:P41)</f>
        <v>-47.590318568052865</v>
      </c>
      <c r="R41" s="565"/>
      <c r="S41" s="565"/>
      <c r="T41" s="565"/>
    </row>
    <row r="42" spans="1:20">
      <c r="A42" s="563"/>
      <c r="B42" s="563"/>
      <c r="C42" s="563"/>
      <c r="D42" s="563"/>
      <c r="E42" s="563"/>
      <c r="F42" s="563" t="s">
        <v>252</v>
      </c>
      <c r="G42" s="566">
        <f>G40-G41</f>
        <v>10.211206257309783</v>
      </c>
      <c r="H42" s="567">
        <f t="shared" ref="H42:P42" si="8">H40-H41</f>
        <v>11.157092032840326</v>
      </c>
      <c r="I42" s="567">
        <f t="shared" si="8"/>
        <v>11.495398996351121</v>
      </c>
      <c r="J42" s="567">
        <f t="shared" si="8"/>
        <v>13.144785484155394</v>
      </c>
      <c r="K42" s="567">
        <f t="shared" si="8"/>
        <v>12.249044205757958</v>
      </c>
      <c r="L42" s="567">
        <f t="shared" si="8"/>
        <v>0</v>
      </c>
      <c r="M42" s="567">
        <f t="shared" si="8"/>
        <v>0</v>
      </c>
      <c r="N42" s="567">
        <f t="shared" si="8"/>
        <v>0</v>
      </c>
      <c r="O42" s="567">
        <f t="shared" si="8"/>
        <v>0</v>
      </c>
      <c r="P42" s="567">
        <f t="shared" si="8"/>
        <v>0</v>
      </c>
      <c r="Q42" s="567">
        <f>SUM(G42:P42)</f>
        <v>58.257526976414582</v>
      </c>
      <c r="R42" s="565"/>
      <c r="S42" s="565"/>
      <c r="T42" s="565"/>
    </row>
    <row r="43" spans="1:20" s="308" customFormat="1">
      <c r="A43" s="563"/>
      <c r="B43" s="563"/>
      <c r="C43" s="563"/>
      <c r="D43" s="563"/>
      <c r="E43" s="563"/>
      <c r="F43" s="563"/>
      <c r="G43" s="568"/>
      <c r="H43" s="568"/>
      <c r="I43" s="568"/>
      <c r="J43" s="568"/>
      <c r="K43" s="568"/>
      <c r="L43" s="568"/>
      <c r="M43" s="568"/>
      <c r="N43" s="568"/>
      <c r="O43" s="568"/>
      <c r="P43" s="568"/>
      <c r="Q43" s="568"/>
      <c r="R43" s="565"/>
      <c r="S43" s="565"/>
      <c r="T43" s="565"/>
    </row>
    <row r="44" spans="1:20" s="308" customFormat="1">
      <c r="A44" s="563"/>
      <c r="B44" s="563"/>
      <c r="C44" s="563"/>
      <c r="D44" s="563"/>
      <c r="E44" s="563"/>
      <c r="F44" s="563" t="s">
        <v>240</v>
      </c>
      <c r="G44" s="569">
        <f>G15/Analysis!G7</f>
        <v>1.1653033644713453</v>
      </c>
      <c r="H44" s="570">
        <f>H15/Analysis!H7</f>
        <v>1.0150075339342006</v>
      </c>
      <c r="I44" s="570">
        <f>I15/Analysis!I7</f>
        <v>0.77856075186032991</v>
      </c>
      <c r="J44" s="570">
        <f>J15/Analysis!J7</f>
        <v>0.86919394548201701</v>
      </c>
      <c r="K44" s="570">
        <f>K15/Analysis!K7</f>
        <v>0.5200955424635787</v>
      </c>
      <c r="L44" s="570">
        <f>L15/Analysis!L7</f>
        <v>0</v>
      </c>
      <c r="M44" s="570">
        <f>M15/Analysis!M7</f>
        <v>0</v>
      </c>
      <c r="N44" s="570">
        <f>N15/Analysis!N7</f>
        <v>0</v>
      </c>
      <c r="O44" s="570">
        <f>O15/Analysis!O7</f>
        <v>0</v>
      </c>
      <c r="P44" s="570">
        <f>P15/Analysis!P7</f>
        <v>0</v>
      </c>
      <c r="Q44" s="570">
        <f>SUM(G44:P44)</f>
        <v>4.3481611382114718</v>
      </c>
      <c r="R44" s="565"/>
      <c r="S44" s="565"/>
      <c r="T44" s="565"/>
    </row>
    <row r="45" spans="1:20" s="308" customFormat="1">
      <c r="A45" s="563"/>
      <c r="B45" s="563"/>
      <c r="C45" s="563"/>
      <c r="D45" s="563"/>
      <c r="E45" s="563"/>
      <c r="F45" s="563"/>
      <c r="G45" s="568"/>
      <c r="H45" s="568"/>
      <c r="I45" s="568"/>
      <c r="J45" s="568"/>
      <c r="K45" s="568"/>
      <c r="L45" s="568"/>
      <c r="M45" s="568"/>
      <c r="N45" s="568"/>
      <c r="O45" s="568"/>
      <c r="P45" s="568"/>
      <c r="Q45" s="571"/>
      <c r="R45" s="565"/>
      <c r="S45" s="565"/>
      <c r="T45" s="565"/>
    </row>
    <row r="46" spans="1:20" s="308" customFormat="1">
      <c r="A46" s="294"/>
      <c r="B46" s="294"/>
      <c r="C46" s="294"/>
      <c r="D46" s="294"/>
      <c r="E46" s="294"/>
      <c r="F46" s="294" t="str">
        <f>"Equity Raising Costs ($m Real "&amp;Assets!F4&amp;")"</f>
        <v>Equity Raising Costs ($m Real 2009-10)</v>
      </c>
      <c r="G46" s="294"/>
      <c r="H46" s="294"/>
      <c r="I46" s="294"/>
      <c r="J46" s="294"/>
      <c r="K46" s="294"/>
      <c r="L46" s="294"/>
      <c r="M46" s="294"/>
      <c r="N46" s="294"/>
      <c r="O46" s="294"/>
      <c r="P46" s="294"/>
      <c r="Q46" s="294"/>
      <c r="R46" s="565"/>
      <c r="S46" s="565"/>
      <c r="T46" s="565"/>
    </row>
    <row r="47" spans="1:20" s="308" customFormat="1">
      <c r="A47" s="563"/>
      <c r="B47" s="563"/>
      <c r="C47" s="563"/>
      <c r="D47" s="563"/>
      <c r="E47" s="563"/>
      <c r="F47" s="572"/>
      <c r="G47" s="573"/>
      <c r="H47" s="573"/>
      <c r="I47" s="573"/>
      <c r="J47" s="573"/>
      <c r="K47" s="573"/>
      <c r="L47" s="573"/>
      <c r="M47" s="573"/>
      <c r="N47" s="573"/>
      <c r="O47" s="573"/>
      <c r="P47" s="573"/>
      <c r="Q47" s="573"/>
      <c r="R47" s="565"/>
      <c r="S47" s="565"/>
      <c r="T47" s="565"/>
    </row>
    <row r="48" spans="1:20" s="308" customFormat="1">
      <c r="A48" s="563"/>
      <c r="B48" s="563"/>
      <c r="C48" s="563"/>
      <c r="D48" s="563"/>
      <c r="E48" s="563"/>
      <c r="F48" s="574" t="s">
        <v>253</v>
      </c>
      <c r="G48" s="304"/>
      <c r="H48" s="304"/>
      <c r="I48" s="304"/>
      <c r="J48" s="304"/>
      <c r="K48" s="304"/>
      <c r="L48" s="304"/>
      <c r="M48" s="304"/>
      <c r="N48" s="304"/>
      <c r="O48" s="304"/>
      <c r="P48" s="304"/>
      <c r="Q48" s="303">
        <f>IF(Q42&gt;0,MIN(Q42,Q44),0)</f>
        <v>4.3481611382114718</v>
      </c>
      <c r="R48" s="565"/>
      <c r="S48" s="565"/>
      <c r="T48" s="565"/>
    </row>
    <row r="49" spans="1:20" s="308" customFormat="1">
      <c r="A49" s="563"/>
      <c r="B49" s="563"/>
      <c r="C49" s="563"/>
      <c r="D49" s="563"/>
      <c r="E49" s="563"/>
      <c r="F49" s="565" t="s">
        <v>254</v>
      </c>
      <c r="G49" s="304"/>
      <c r="H49" s="304"/>
      <c r="I49" s="304"/>
      <c r="J49" s="304"/>
      <c r="K49" s="304"/>
      <c r="L49" s="304"/>
      <c r="M49" s="304"/>
      <c r="N49" s="304"/>
      <c r="O49" s="304"/>
      <c r="P49" s="304"/>
      <c r="Q49" s="303">
        <f>IF((Q42-Q44)&gt;0,(Q42-Q44),0)</f>
        <v>53.909365838203108</v>
      </c>
      <c r="R49" s="565"/>
      <c r="S49" s="565"/>
      <c r="T49" s="565"/>
    </row>
    <row r="50" spans="1:20" s="308" customFormat="1">
      <c r="A50" s="565"/>
      <c r="B50" s="565"/>
      <c r="C50" s="565"/>
      <c r="D50" s="565"/>
      <c r="E50" s="565"/>
      <c r="F50" s="565" t="s">
        <v>255</v>
      </c>
      <c r="G50" s="304"/>
      <c r="H50" s="304"/>
      <c r="I50" s="304"/>
      <c r="J50" s="304"/>
      <c r="K50" s="304"/>
      <c r="L50" s="304"/>
      <c r="M50" s="304"/>
      <c r="N50" s="304"/>
      <c r="O50" s="304"/>
      <c r="P50" s="304"/>
      <c r="Q50" s="575">
        <f>SUM(Q48:Q49)</f>
        <v>58.257526976414582</v>
      </c>
      <c r="R50" s="565"/>
      <c r="S50" s="565"/>
      <c r="T50" s="565"/>
    </row>
    <row r="51" spans="1:20">
      <c r="A51" s="565"/>
      <c r="B51" s="565"/>
      <c r="C51" s="565"/>
      <c r="D51" s="565"/>
      <c r="E51" s="565"/>
      <c r="F51" s="565"/>
      <c r="G51" s="304"/>
      <c r="H51" s="304"/>
      <c r="I51" s="304"/>
      <c r="J51" s="304"/>
      <c r="K51" s="304"/>
      <c r="L51" s="304"/>
      <c r="M51" s="304"/>
      <c r="N51" s="304"/>
      <c r="O51" s="304"/>
      <c r="P51" s="304"/>
      <c r="Q51" s="304"/>
      <c r="R51" s="565"/>
      <c r="S51" s="565"/>
      <c r="T51" s="565"/>
    </row>
    <row r="52" spans="1:20">
      <c r="A52" s="287"/>
      <c r="B52" s="287"/>
      <c r="C52" s="287"/>
      <c r="D52" s="287"/>
      <c r="E52" s="287"/>
      <c r="F52" s="327" t="s">
        <v>479</v>
      </c>
      <c r="G52" s="305"/>
      <c r="H52" s="305"/>
      <c r="I52" s="305"/>
      <c r="J52" s="305"/>
      <c r="K52" s="305"/>
      <c r="L52" s="305"/>
      <c r="M52" s="305"/>
      <c r="N52" s="305"/>
      <c r="O52" s="305"/>
      <c r="P52" s="305"/>
      <c r="Q52" s="306">
        <f>Q48*Drpc</f>
        <v>4.3481611382114718E-2</v>
      </c>
      <c r="R52" s="287"/>
      <c r="S52" s="287"/>
      <c r="T52" s="287"/>
    </row>
    <row r="53" spans="1:20">
      <c r="A53" s="287"/>
      <c r="B53" s="287"/>
      <c r="C53" s="287"/>
      <c r="D53" s="287"/>
      <c r="E53" s="287"/>
      <c r="F53" s="327" t="s">
        <v>480</v>
      </c>
      <c r="G53" s="305"/>
      <c r="H53" s="305"/>
      <c r="I53" s="305"/>
      <c r="J53" s="305"/>
      <c r="K53" s="305"/>
      <c r="L53" s="305"/>
      <c r="M53" s="305"/>
      <c r="N53" s="305"/>
      <c r="O53" s="305"/>
      <c r="P53" s="305"/>
      <c r="Q53" s="306">
        <f>Q49*Seo</f>
        <v>1.6172809751460933</v>
      </c>
      <c r="R53" s="287"/>
      <c r="S53" s="287"/>
      <c r="T53" s="287"/>
    </row>
    <row r="54" spans="1:20">
      <c r="A54" s="287"/>
      <c r="B54" s="287"/>
      <c r="C54" s="287"/>
      <c r="D54" s="287"/>
      <c r="E54" s="287"/>
      <c r="F54" s="327" t="s">
        <v>476</v>
      </c>
      <c r="G54" s="305"/>
      <c r="H54" s="305"/>
      <c r="I54" s="305"/>
      <c r="J54" s="305"/>
      <c r="K54" s="305"/>
      <c r="L54" s="305"/>
      <c r="M54" s="305"/>
      <c r="N54" s="305"/>
      <c r="O54" s="305"/>
      <c r="P54" s="307"/>
      <c r="Q54" s="368">
        <f>SUM(Q52:Q53)</f>
        <v>1.6607625865282081</v>
      </c>
      <c r="R54" s="287"/>
      <c r="S54" s="348"/>
      <c r="T54" s="287"/>
    </row>
    <row r="55" spans="1:20">
      <c r="A55" s="287"/>
      <c r="B55" s="287"/>
      <c r="C55" s="287"/>
      <c r="D55" s="287"/>
      <c r="E55" s="287"/>
      <c r="F55" s="287"/>
      <c r="G55" s="287"/>
      <c r="H55" s="287"/>
      <c r="I55" s="287"/>
      <c r="J55" s="287"/>
      <c r="K55" s="287"/>
      <c r="L55" s="287"/>
      <c r="M55" s="287"/>
      <c r="N55" s="287"/>
      <c r="O55" s="287"/>
      <c r="P55" s="287"/>
      <c r="Q55" s="287"/>
      <c r="R55" s="287"/>
      <c r="S55" s="348"/>
      <c r="T55" s="287"/>
    </row>
    <row r="56" spans="1:20">
      <c r="A56" s="287"/>
      <c r="B56" s="287"/>
      <c r="C56" s="287"/>
      <c r="D56" s="287"/>
      <c r="E56" s="287"/>
      <c r="F56" s="287"/>
      <c r="G56" s="287"/>
      <c r="H56" s="287"/>
      <c r="I56" s="287"/>
      <c r="J56" s="287"/>
      <c r="K56" s="287"/>
      <c r="L56" s="287"/>
      <c r="M56" s="287"/>
      <c r="N56" s="287"/>
      <c r="O56" s="287"/>
      <c r="P56" s="287"/>
      <c r="Q56" s="287"/>
      <c r="R56" s="287"/>
      <c r="S56" s="287"/>
      <c r="T56" s="287"/>
    </row>
    <row r="57" spans="1:20">
      <c r="A57" s="287"/>
      <c r="B57" s="287"/>
      <c r="C57" s="287"/>
      <c r="D57" s="287"/>
      <c r="E57" s="287"/>
      <c r="F57" s="287"/>
      <c r="G57" s="287"/>
      <c r="H57" s="287"/>
      <c r="I57" s="287"/>
      <c r="J57" s="287"/>
      <c r="K57" s="287"/>
      <c r="L57" s="287"/>
      <c r="M57" s="327"/>
      <c r="N57" s="287"/>
      <c r="O57" s="287"/>
      <c r="P57" s="327"/>
      <c r="Q57" s="287"/>
      <c r="R57" s="287"/>
      <c r="S57" s="287"/>
      <c r="T57" s="287"/>
    </row>
    <row r="58" spans="1:20">
      <c r="A58" s="287"/>
      <c r="B58" s="287"/>
      <c r="C58" s="287"/>
      <c r="D58" s="287"/>
      <c r="E58" s="287"/>
      <c r="F58" s="287"/>
      <c r="G58" s="287"/>
      <c r="H58" s="287"/>
      <c r="I58" s="287"/>
      <c r="J58" s="287"/>
      <c r="K58" s="287"/>
      <c r="L58" s="287"/>
      <c r="M58" s="287"/>
      <c r="N58" s="287"/>
      <c r="O58" s="287"/>
      <c r="P58" s="287"/>
      <c r="Q58" s="287"/>
      <c r="R58" s="287"/>
      <c r="S58" s="287"/>
      <c r="T58" s="287"/>
    </row>
    <row r="59" spans="1:20">
      <c r="A59" s="287"/>
      <c r="B59" s="287"/>
      <c r="C59" s="287"/>
      <c r="D59" s="287"/>
      <c r="E59" s="287"/>
      <c r="F59" s="287"/>
      <c r="G59" s="287"/>
      <c r="H59" s="287"/>
      <c r="I59" s="287"/>
      <c r="J59" s="287"/>
      <c r="K59" s="287"/>
      <c r="L59" s="287"/>
      <c r="M59" s="287"/>
      <c r="N59" s="287"/>
      <c r="O59" s="287"/>
      <c r="P59" s="287"/>
      <c r="Q59" s="287"/>
      <c r="R59" s="287"/>
      <c r="S59" s="287"/>
      <c r="T59" s="287"/>
    </row>
  </sheetData>
  <mergeCells count="1">
    <mergeCell ref="G19:I19"/>
  </mergeCells>
  <pageMargins left="0.7" right="0.7" top="0.75" bottom="0.75" header="0.3" footer="0.3"/>
  <pageSetup paperSize="9" scale="53" orientation="portrait" r:id="rId1"/>
  <ignoredErrors>
    <ignoredError sqref="G35:J35 K35:P35"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 factors'!$Y$2:$Y$4</xm:f>
          </x14:formula1>
          <xm:sqref>G19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BA200"/>
  <sheetViews>
    <sheetView showGridLines="0" zoomScaleNormal="100" workbookViewId="0">
      <selection activeCell="AC27" sqref="AC27"/>
    </sheetView>
  </sheetViews>
  <sheetFormatPr defaultRowHeight="12.75"/>
  <cols>
    <col min="1" max="2" width="1.7109375" customWidth="1"/>
    <col min="3" max="14" width="7.42578125" customWidth="1"/>
    <col min="15" max="23" width="4" customWidth="1"/>
    <col min="24" max="24" width="7.42578125" customWidth="1"/>
  </cols>
  <sheetData>
    <row r="1" spans="1:53">
      <c r="A1" s="18"/>
      <c r="B1" s="18"/>
      <c r="C1" s="27"/>
      <c r="D1" s="27"/>
      <c r="E1" s="27"/>
      <c r="F1" s="27"/>
      <c r="G1" s="25"/>
      <c r="H1" s="508"/>
      <c r="I1" s="508"/>
      <c r="J1" s="63"/>
      <c r="K1" s="508"/>
      <c r="L1" s="508"/>
      <c r="M1" s="508"/>
      <c r="N1" s="64"/>
      <c r="O1" s="64"/>
      <c r="P1" s="64"/>
      <c r="Q1" s="18"/>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4"/>
    </row>
    <row r="2" spans="1:53" ht="15.75">
      <c r="A2" s="25"/>
      <c r="B2" s="25"/>
      <c r="C2" s="507" t="str">
        <f>'DMS input'!$C$16&amp;" - Revenue Charts"&amp;" - DNSP PTRM - version "&amp;Intro!$L$4</f>
        <v>Aus Elec - Revenue Charts - DNSP PTRM - version 3</v>
      </c>
      <c r="D2" s="507"/>
      <c r="E2" s="25"/>
      <c r="F2" s="25"/>
      <c r="G2" s="25"/>
      <c r="H2" s="25"/>
      <c r="I2" s="25"/>
      <c r="J2" s="25"/>
      <c r="K2" s="25"/>
      <c r="L2" s="25"/>
      <c r="M2" s="25"/>
      <c r="N2" s="25"/>
      <c r="O2" s="25"/>
      <c r="P2" s="25"/>
      <c r="Q2" s="25"/>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4"/>
    </row>
    <row r="3" spans="1:53" s="7" customFormat="1">
      <c r="A3" s="47"/>
      <c r="B3" s="47"/>
      <c r="C3" s="47"/>
      <c r="D3" s="47"/>
      <c r="E3" s="47"/>
      <c r="F3" s="47"/>
      <c r="G3" s="48"/>
      <c r="H3" s="48"/>
      <c r="I3" s="48"/>
      <c r="J3" s="48"/>
      <c r="K3" s="48"/>
      <c r="L3" s="48"/>
      <c r="M3" s="48"/>
      <c r="N3" s="48"/>
      <c r="O3" s="48"/>
      <c r="P3" s="48"/>
      <c r="Q3" s="48"/>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row>
    <row r="4" spans="1:53" s="7" customFormat="1" ht="15.75">
      <c r="A4" s="125"/>
      <c r="B4" s="113"/>
      <c r="C4" s="126"/>
      <c r="D4" s="127"/>
      <c r="E4" s="127"/>
      <c r="F4" s="127"/>
      <c r="G4" s="128"/>
      <c r="H4" s="128"/>
      <c r="I4" s="128"/>
      <c r="J4" s="128"/>
      <c r="K4" s="128"/>
      <c r="L4" s="128"/>
      <c r="M4" s="128"/>
      <c r="N4" s="128"/>
      <c r="O4" s="128"/>
      <c r="P4" s="128"/>
      <c r="Q4" s="128"/>
      <c r="R4" s="125"/>
      <c r="S4" s="129"/>
      <c r="T4" s="129"/>
      <c r="U4" s="129"/>
      <c r="V4" s="129"/>
      <c r="W4" s="129"/>
      <c r="X4" s="129"/>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row>
    <row r="5" spans="1:53" s="288" customFormat="1">
      <c r="A5" s="293"/>
      <c r="B5" s="293"/>
      <c r="C5" s="294" t="s">
        <v>314</v>
      </c>
      <c r="D5" s="293"/>
      <c r="E5" s="293"/>
      <c r="F5" s="294"/>
      <c r="G5" s="293"/>
      <c r="H5" s="293"/>
      <c r="I5" s="293"/>
      <c r="J5" s="293"/>
      <c r="K5" s="293"/>
      <c r="L5" s="293"/>
      <c r="M5" s="293"/>
      <c r="N5" s="293"/>
      <c r="O5" s="293"/>
      <c r="P5" s="293"/>
      <c r="Q5" s="293"/>
      <c r="R5" s="293"/>
      <c r="S5" s="293"/>
      <c r="T5" s="293"/>
      <c r="U5" s="293"/>
      <c r="V5" s="293"/>
      <c r="W5" s="293"/>
      <c r="X5" s="293"/>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row>
    <row r="6" spans="1:53">
      <c r="A6" s="240"/>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row>
    <row r="7" spans="1:53">
      <c r="A7" s="240"/>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row>
    <row r="8" spans="1:53">
      <c r="A8" s="240"/>
      <c r="B8" s="240"/>
      <c r="C8" s="240"/>
      <c r="D8" s="240"/>
      <c r="E8" s="240"/>
      <c r="F8" s="240"/>
      <c r="G8" s="240"/>
      <c r="H8" s="240"/>
      <c r="I8" s="240"/>
      <c r="J8" s="240"/>
      <c r="K8" s="240"/>
      <c r="L8" s="240"/>
      <c r="M8" s="240"/>
      <c r="N8" s="240"/>
      <c r="O8" s="240"/>
      <c r="P8" s="240"/>
      <c r="Q8" s="240"/>
      <c r="R8" s="240"/>
      <c r="S8" s="240"/>
      <c r="T8" s="240"/>
      <c r="U8" s="240"/>
      <c r="V8" s="240"/>
      <c r="W8" s="240"/>
      <c r="X8" s="240"/>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row>
    <row r="9" spans="1:53">
      <c r="A9" s="240"/>
      <c r="B9" s="240"/>
      <c r="C9" s="240"/>
      <c r="D9" s="240"/>
      <c r="E9" s="240"/>
      <c r="F9" s="240"/>
      <c r="G9" s="240"/>
      <c r="H9" s="240"/>
      <c r="I9" s="240"/>
      <c r="J9" s="240"/>
      <c r="K9" s="240"/>
      <c r="L9" s="240"/>
      <c r="M9" s="240"/>
      <c r="N9" s="240"/>
      <c r="O9" s="240"/>
      <c r="P9" s="240"/>
      <c r="Q9" s="240"/>
      <c r="R9" s="240"/>
      <c r="S9" s="240"/>
      <c r="T9" s="240"/>
      <c r="U9" s="240"/>
      <c r="V9" s="240"/>
      <c r="W9" s="240"/>
      <c r="X9" s="240"/>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row>
    <row r="10" spans="1:53">
      <c r="A10" s="240"/>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row>
    <row r="11" spans="1:53">
      <c r="A11" s="240"/>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row>
    <row r="12" spans="1:53">
      <c r="A12" s="240"/>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row>
    <row r="13" spans="1:53">
      <c r="A13" s="240"/>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row>
    <row r="14" spans="1:53">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row>
    <row r="15" spans="1:53">
      <c r="A15" s="240"/>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row>
    <row r="16" spans="1:53">
      <c r="A16" s="240"/>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row>
    <row r="17" spans="1:52">
      <c r="A17" s="240"/>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row>
    <row r="18" spans="1:52">
      <c r="A18" s="240"/>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row>
    <row r="19" spans="1:52">
      <c r="A19" s="240"/>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row>
    <row r="20" spans="1:52">
      <c r="A20" s="240"/>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row>
    <row r="21" spans="1:52">
      <c r="A21" s="240"/>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0"/>
    </row>
    <row r="22" spans="1:52">
      <c r="A22" s="240"/>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row>
    <row r="23" spans="1:52">
      <c r="A23" s="240"/>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row>
    <row r="24" spans="1:52">
      <c r="A24" s="240"/>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row>
    <row r="25" spans="1:52">
      <c r="A25" s="240"/>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row>
    <row r="26" spans="1:52">
      <c r="A26" s="240"/>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row>
    <row r="27" spans="1:52">
      <c r="A27" s="240"/>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row>
    <row r="28" spans="1:5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row>
    <row r="29" spans="1:52" s="288" customFormat="1">
      <c r="A29" s="293"/>
      <c r="B29" s="293"/>
      <c r="C29" s="294" t="s">
        <v>276</v>
      </c>
      <c r="D29" s="293"/>
      <c r="E29" s="293"/>
      <c r="F29" s="294"/>
      <c r="G29" s="293"/>
      <c r="H29" s="293"/>
      <c r="I29" s="293"/>
      <c r="J29" s="293"/>
      <c r="K29" s="293"/>
      <c r="L29" s="293"/>
      <c r="M29" s="293"/>
      <c r="N29" s="293"/>
      <c r="O29" s="293"/>
      <c r="P29" s="293"/>
      <c r="Q29" s="293"/>
      <c r="R29" s="293"/>
      <c r="S29" s="293"/>
      <c r="T29" s="293"/>
      <c r="U29" s="293"/>
      <c r="V29" s="293"/>
      <c r="W29" s="293"/>
      <c r="X29" s="293"/>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row>
    <row r="30" spans="1:5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row>
    <row r="31" spans="1:5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row>
    <row r="32" spans="1:5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row>
    <row r="33" spans="1:5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row>
    <row r="34" spans="1:52">
      <c r="A34" s="240"/>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row>
    <row r="35" spans="1:52">
      <c r="A35" s="240"/>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row>
    <row r="36" spans="1:52">
      <c r="A36" s="240"/>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row>
    <row r="37" spans="1:52">
      <c r="A37" s="240"/>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240"/>
      <c r="AW37" s="240"/>
      <c r="AX37" s="240"/>
      <c r="AY37" s="240"/>
      <c r="AZ37" s="240"/>
    </row>
    <row r="38" spans="1:52">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row>
    <row r="39" spans="1:52">
      <c r="A39" s="240"/>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row>
    <row r="40" spans="1:52">
      <c r="A40" s="240"/>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row>
    <row r="41" spans="1:52">
      <c r="A41" s="240"/>
      <c r="B41" s="240"/>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0"/>
      <c r="AD41" s="240"/>
      <c r="AE41" s="240"/>
      <c r="AF41" s="240"/>
      <c r="AG41" s="240"/>
      <c r="AH41" s="240"/>
      <c r="AI41" s="240"/>
      <c r="AJ41" s="240"/>
      <c r="AK41" s="240"/>
      <c r="AL41" s="240"/>
      <c r="AM41" s="240"/>
      <c r="AN41" s="240"/>
      <c r="AO41" s="240"/>
      <c r="AP41" s="240"/>
      <c r="AQ41" s="240"/>
      <c r="AR41" s="240"/>
      <c r="AS41" s="240"/>
      <c r="AT41" s="240"/>
      <c r="AU41" s="240"/>
      <c r="AV41" s="240"/>
      <c r="AW41" s="240"/>
      <c r="AX41" s="240"/>
      <c r="AY41" s="240"/>
      <c r="AZ41" s="240"/>
    </row>
    <row r="42" spans="1:52">
      <c r="A42" s="240"/>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240"/>
      <c r="AT42" s="240"/>
      <c r="AU42" s="240"/>
      <c r="AV42" s="240"/>
      <c r="AW42" s="240"/>
      <c r="AX42" s="240"/>
      <c r="AY42" s="240"/>
      <c r="AZ42" s="240"/>
    </row>
    <row r="43" spans="1:52">
      <c r="A43" s="240"/>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row>
    <row r="44" spans="1:52">
      <c r="A44" s="240"/>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row>
    <row r="45" spans="1:52">
      <c r="A45" s="240"/>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row>
    <row r="46" spans="1:52">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row>
    <row r="47" spans="1:52">
      <c r="A47" s="240"/>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row>
    <row r="48" spans="1:52">
      <c r="A48" s="240"/>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row>
    <row r="49" spans="1:52">
      <c r="A49" s="240"/>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row>
    <row r="50" spans="1:52">
      <c r="A50" s="240"/>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row>
    <row r="51" spans="1:52">
      <c r="A51" s="240"/>
      <c r="B51" s="240"/>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row>
    <row r="52" spans="1:52">
      <c r="A52" s="240"/>
      <c r="B52" s="240"/>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row>
    <row r="53" spans="1:52" s="288" customFormat="1">
      <c r="A53" s="293"/>
      <c r="B53" s="293"/>
      <c r="C53" s="294" t="s">
        <v>277</v>
      </c>
      <c r="D53" s="293"/>
      <c r="E53" s="293"/>
      <c r="F53" s="294"/>
      <c r="G53" s="293"/>
      <c r="H53" s="293"/>
      <c r="I53" s="293"/>
      <c r="J53" s="293"/>
      <c r="K53" s="293"/>
      <c r="L53" s="293"/>
      <c r="M53" s="293"/>
      <c r="N53" s="293"/>
      <c r="O53" s="293"/>
      <c r="P53" s="293"/>
      <c r="Q53" s="293"/>
      <c r="R53" s="293"/>
      <c r="S53" s="293"/>
      <c r="T53" s="293"/>
      <c r="U53" s="293"/>
      <c r="V53" s="293"/>
      <c r="W53" s="293"/>
      <c r="X53" s="293"/>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row>
    <row r="54" spans="1:52">
      <c r="A54" s="240"/>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row>
    <row r="55" spans="1:52">
      <c r="A55" s="240"/>
      <c r="B55" s="240"/>
      <c r="C55" s="240"/>
      <c r="D55" s="240"/>
      <c r="E55" s="240"/>
      <c r="F55" s="240"/>
      <c r="G55" s="240"/>
      <c r="H55" s="240"/>
      <c r="I55" s="240"/>
      <c r="J55" s="240"/>
      <c r="K55" s="240"/>
      <c r="L55" s="240"/>
      <c r="M55" s="240"/>
      <c r="N55" s="240"/>
      <c r="O55" s="240"/>
      <c r="P55" s="240"/>
      <c r="Q55" s="240"/>
      <c r="R55" s="240"/>
      <c r="S55" s="240"/>
      <c r="T55" s="240"/>
      <c r="U55" s="240"/>
      <c r="V55" s="240"/>
      <c r="W55" s="240"/>
      <c r="X55" s="240"/>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row>
    <row r="56" spans="1:52">
      <c r="A56" s="240"/>
      <c r="B56" s="240"/>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row>
    <row r="57" spans="1:52">
      <c r="A57" s="240"/>
      <c r="B57" s="240"/>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row>
    <row r="58" spans="1:52">
      <c r="A58" s="240"/>
      <c r="B58" s="240"/>
      <c r="C58" s="240"/>
      <c r="D58" s="240"/>
      <c r="E58" s="240"/>
      <c r="F58" s="240"/>
      <c r="G58" s="240"/>
      <c r="H58" s="240"/>
      <c r="I58" s="240"/>
      <c r="J58" s="240"/>
      <c r="K58" s="240"/>
      <c r="L58" s="240"/>
      <c r="M58" s="240"/>
      <c r="N58" s="240"/>
      <c r="O58" s="240"/>
      <c r="P58" s="240"/>
      <c r="Q58" s="240"/>
      <c r="R58" s="240"/>
      <c r="S58" s="240"/>
      <c r="T58" s="240"/>
      <c r="U58" s="240"/>
      <c r="V58" s="240"/>
      <c r="W58" s="240"/>
      <c r="X58" s="240"/>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row>
    <row r="59" spans="1:52">
      <c r="A59" s="240"/>
      <c r="B59" s="240"/>
      <c r="C59" s="240"/>
      <c r="D59" s="240"/>
      <c r="E59" s="240"/>
      <c r="F59" s="240"/>
      <c r="G59" s="240"/>
      <c r="H59" s="240"/>
      <c r="I59" s="240"/>
      <c r="J59" s="240"/>
      <c r="K59" s="240"/>
      <c r="L59" s="240"/>
      <c r="M59" s="240"/>
      <c r="N59" s="240"/>
      <c r="O59" s="240"/>
      <c r="P59" s="240"/>
      <c r="Q59" s="240"/>
      <c r="R59" s="240"/>
      <c r="S59" s="240"/>
      <c r="T59" s="240"/>
      <c r="U59" s="240"/>
      <c r="V59" s="240"/>
      <c r="W59" s="240"/>
      <c r="X59" s="240"/>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row>
    <row r="60" spans="1:52">
      <c r="A60" s="240"/>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row>
    <row r="61" spans="1:52">
      <c r="A61" s="240"/>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row>
    <row r="62" spans="1:52">
      <c r="A62" s="240"/>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row>
    <row r="63" spans="1:52">
      <c r="A63" s="240"/>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row>
    <row r="64" spans="1:52">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row>
    <row r="65" spans="1:52">
      <c r="A65" s="240"/>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row>
    <row r="66" spans="1:52">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row>
    <row r="67" spans="1:52">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row>
    <row r="68" spans="1:52">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row>
    <row r="69" spans="1:52">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row>
    <row r="70" spans="1:52">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row>
    <row r="71" spans="1:52">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row>
    <row r="72" spans="1:52">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row>
    <row r="73" spans="1:52">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row>
    <row r="74" spans="1:52">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row>
    <row r="75" spans="1:52">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row>
    <row r="76" spans="1:52">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row>
    <row r="77" spans="1:52">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row>
    <row r="78" spans="1:52">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row>
    <row r="79" spans="1:52">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row>
    <row r="80" spans="1:52">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row>
    <row r="81" spans="1:52">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row>
    <row r="82" spans="1:52">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row>
    <row r="83" spans="1:52">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row>
    <row r="84" spans="1:52">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row>
    <row r="85" spans="1:52">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row>
    <row r="86" spans="1:52">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row>
    <row r="87" spans="1:52">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row>
    <row r="88" spans="1:52">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row>
    <row r="89" spans="1:52">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row>
    <row r="90" spans="1:52">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287"/>
    </row>
    <row r="91" spans="1:52">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row>
    <row r="92" spans="1:52">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row>
    <row r="93" spans="1:52">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row>
    <row r="94" spans="1:52">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row>
    <row r="95" spans="1:52">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row>
    <row r="96" spans="1:52">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row>
    <row r="97" spans="1:52">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row>
    <row r="98" spans="1:52">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row>
    <row r="99" spans="1:52">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row>
    <row r="100" spans="1:52">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87"/>
      <c r="Z100" s="287"/>
      <c r="AA100" s="287"/>
      <c r="AB100" s="287"/>
      <c r="AC100" s="287"/>
      <c r="AD100" s="287"/>
      <c r="AE100" s="287"/>
      <c r="AF100" s="287"/>
      <c r="AG100" s="287"/>
      <c r="AH100" s="287"/>
      <c r="AI100" s="287"/>
      <c r="AJ100" s="287"/>
      <c r="AK100" s="287"/>
      <c r="AL100" s="287"/>
      <c r="AM100" s="287"/>
      <c r="AN100" s="287"/>
      <c r="AO100" s="287"/>
      <c r="AP100" s="287"/>
      <c r="AQ100" s="287"/>
      <c r="AR100" s="287"/>
      <c r="AS100" s="287"/>
      <c r="AT100" s="287"/>
      <c r="AU100" s="287"/>
      <c r="AV100" s="287"/>
      <c r="AW100" s="287"/>
      <c r="AX100" s="287"/>
      <c r="AY100" s="287"/>
      <c r="AZ100" s="287"/>
    </row>
    <row r="101" spans="1:52">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row>
    <row r="102" spans="1:52">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row>
    <row r="103" spans="1:52">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row>
    <row r="104" spans="1:52">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row>
    <row r="105" spans="1:52">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c r="AY105" s="287"/>
      <c r="AZ105" s="287"/>
    </row>
    <row r="106" spans="1:52">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row>
    <row r="107" spans="1:52">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row>
    <row r="108" spans="1:52">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row>
    <row r="109" spans="1:52">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row>
    <row r="110" spans="1:52">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87"/>
      <c r="Z110" s="287"/>
      <c r="AA110" s="287"/>
      <c r="AB110" s="287"/>
      <c r="AC110" s="287"/>
      <c r="AD110" s="287"/>
      <c r="AE110" s="287"/>
      <c r="AF110" s="287"/>
      <c r="AG110" s="287"/>
      <c r="AH110" s="287"/>
      <c r="AI110" s="287"/>
      <c r="AJ110" s="287"/>
      <c r="AK110" s="287"/>
      <c r="AL110" s="287"/>
      <c r="AM110" s="287"/>
      <c r="AN110" s="287"/>
      <c r="AO110" s="287"/>
      <c r="AP110" s="287"/>
      <c r="AQ110" s="287"/>
      <c r="AR110" s="287"/>
      <c r="AS110" s="287"/>
      <c r="AT110" s="287"/>
      <c r="AU110" s="287"/>
      <c r="AV110" s="287"/>
      <c r="AW110" s="287"/>
      <c r="AX110" s="287"/>
      <c r="AY110" s="287"/>
      <c r="AZ110" s="287"/>
    </row>
    <row r="111" spans="1:52">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row>
    <row r="112" spans="1:52">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row>
    <row r="113" spans="1:52">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row>
    <row r="114" spans="1:52">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row>
    <row r="115" spans="1:52">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87"/>
      <c r="Z115" s="287"/>
      <c r="AA115" s="287"/>
      <c r="AB115" s="287"/>
      <c r="AC115" s="287"/>
      <c r="AD115" s="287"/>
      <c r="AE115" s="287"/>
      <c r="AF115" s="287"/>
      <c r="AG115" s="287"/>
      <c r="AH115" s="287"/>
      <c r="AI115" s="287"/>
      <c r="AJ115" s="287"/>
      <c r="AK115" s="287"/>
      <c r="AL115" s="287"/>
      <c r="AM115" s="287"/>
      <c r="AN115" s="287"/>
      <c r="AO115" s="287"/>
      <c r="AP115" s="287"/>
      <c r="AQ115" s="287"/>
      <c r="AR115" s="287"/>
      <c r="AS115" s="287"/>
      <c r="AT115" s="287"/>
      <c r="AU115" s="287"/>
      <c r="AV115" s="287"/>
      <c r="AW115" s="287"/>
      <c r="AX115" s="287"/>
      <c r="AY115" s="287"/>
      <c r="AZ115" s="287"/>
    </row>
    <row r="116" spans="1:52">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row>
    <row r="117" spans="1:52">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row>
    <row r="118" spans="1:52">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row>
    <row r="119" spans="1:52">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row>
    <row r="120" spans="1:52">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c r="AX120" s="287"/>
      <c r="AY120" s="287"/>
      <c r="AZ120" s="287"/>
    </row>
    <row r="121" spans="1:52">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row>
    <row r="122" spans="1:52">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row>
    <row r="123" spans="1:52">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row>
    <row r="124" spans="1:52">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row>
    <row r="125" spans="1:52">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87"/>
      <c r="Z125" s="287"/>
      <c r="AA125" s="287"/>
      <c r="AB125" s="287"/>
      <c r="AC125" s="287"/>
      <c r="AD125" s="287"/>
      <c r="AE125" s="287"/>
      <c r="AF125" s="287"/>
      <c r="AG125" s="287"/>
      <c r="AH125" s="287"/>
      <c r="AI125" s="287"/>
      <c r="AJ125" s="287"/>
      <c r="AK125" s="287"/>
      <c r="AL125" s="287"/>
      <c r="AM125" s="287"/>
      <c r="AN125" s="287"/>
      <c r="AO125" s="287"/>
      <c r="AP125" s="287"/>
      <c r="AQ125" s="287"/>
      <c r="AR125" s="287"/>
      <c r="AS125" s="287"/>
      <c r="AT125" s="287"/>
      <c r="AU125" s="287"/>
      <c r="AV125" s="287"/>
      <c r="AW125" s="287"/>
      <c r="AX125" s="287"/>
      <c r="AY125" s="287"/>
      <c r="AZ125" s="287"/>
    </row>
    <row r="126" spans="1:52">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row>
    <row r="127" spans="1:52">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row>
    <row r="128" spans="1:52">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row>
    <row r="129" spans="1:52">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row>
    <row r="130" spans="1:52">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87"/>
      <c r="Z130" s="287"/>
      <c r="AA130" s="287"/>
      <c r="AB130" s="287"/>
      <c r="AC130" s="287"/>
      <c r="AD130" s="287"/>
      <c r="AE130" s="287"/>
      <c r="AF130" s="287"/>
      <c r="AG130" s="287"/>
      <c r="AH130" s="287"/>
      <c r="AI130" s="287"/>
      <c r="AJ130" s="287"/>
      <c r="AK130" s="287"/>
      <c r="AL130" s="287"/>
      <c r="AM130" s="287"/>
      <c r="AN130" s="287"/>
      <c r="AO130" s="287"/>
      <c r="AP130" s="287"/>
      <c r="AQ130" s="287"/>
      <c r="AR130" s="287"/>
      <c r="AS130" s="287"/>
      <c r="AT130" s="287"/>
      <c r="AU130" s="287"/>
      <c r="AV130" s="287"/>
      <c r="AW130" s="287"/>
      <c r="AX130" s="287"/>
      <c r="AY130" s="287"/>
      <c r="AZ130" s="287"/>
    </row>
    <row r="131" spans="1:52">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row>
    <row r="132" spans="1:52">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row>
    <row r="133" spans="1:52">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row>
    <row r="134" spans="1:52">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row>
    <row r="135" spans="1:52">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87"/>
      <c r="Z135" s="287"/>
      <c r="AA135" s="287"/>
      <c r="AB135" s="287"/>
      <c r="AC135" s="287"/>
      <c r="AD135" s="287"/>
      <c r="AE135" s="287"/>
      <c r="AF135" s="287"/>
      <c r="AG135" s="287"/>
      <c r="AH135" s="287"/>
      <c r="AI135" s="287"/>
      <c r="AJ135" s="287"/>
      <c r="AK135" s="287"/>
      <c r="AL135" s="287"/>
      <c r="AM135" s="287"/>
      <c r="AN135" s="287"/>
      <c r="AO135" s="287"/>
      <c r="AP135" s="287"/>
      <c r="AQ135" s="287"/>
      <c r="AR135" s="287"/>
      <c r="AS135" s="287"/>
      <c r="AT135" s="287"/>
      <c r="AU135" s="287"/>
      <c r="AV135" s="287"/>
      <c r="AW135" s="287"/>
      <c r="AX135" s="287"/>
      <c r="AY135" s="287"/>
      <c r="AZ135" s="287"/>
    </row>
    <row r="136" spans="1:52">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c r="AA136" s="240"/>
      <c r="AB136" s="240"/>
      <c r="AC136" s="240"/>
      <c r="AD136" s="240"/>
      <c r="AE136" s="240"/>
      <c r="AF136" s="240"/>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row>
    <row r="137" spans="1:52">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row>
    <row r="138" spans="1:52">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row>
    <row r="139" spans="1:52">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row>
    <row r="140" spans="1:52">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c r="Y140" s="287"/>
      <c r="Z140" s="287"/>
      <c r="AA140" s="287"/>
      <c r="AB140" s="287"/>
      <c r="AC140" s="287"/>
      <c r="AD140" s="287"/>
      <c r="AE140" s="287"/>
      <c r="AF140" s="287"/>
      <c r="AG140" s="287"/>
      <c r="AH140" s="287"/>
      <c r="AI140" s="287"/>
      <c r="AJ140" s="287"/>
      <c r="AK140" s="287"/>
      <c r="AL140" s="287"/>
      <c r="AM140" s="287"/>
      <c r="AN140" s="287"/>
      <c r="AO140" s="287"/>
      <c r="AP140" s="287"/>
      <c r="AQ140" s="287"/>
      <c r="AR140" s="287"/>
      <c r="AS140" s="287"/>
      <c r="AT140" s="287"/>
      <c r="AU140" s="287"/>
      <c r="AV140" s="287"/>
      <c r="AW140" s="287"/>
      <c r="AX140" s="287"/>
      <c r="AY140" s="287"/>
      <c r="AZ140" s="287"/>
    </row>
    <row r="141" spans="1:52">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c r="AA141" s="240"/>
      <c r="AB141" s="240"/>
      <c r="AC141" s="240"/>
      <c r="AD141" s="240"/>
      <c r="AE141" s="240"/>
      <c r="AF141" s="240"/>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row>
    <row r="142" spans="1:52">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row>
    <row r="143" spans="1:52">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row>
    <row r="144" spans="1:52">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row>
    <row r="145" spans="1:52">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87"/>
      <c r="Z145" s="287"/>
      <c r="AA145" s="287"/>
      <c r="AB145" s="287"/>
      <c r="AC145" s="287"/>
      <c r="AD145" s="287"/>
      <c r="AE145" s="287"/>
      <c r="AF145" s="287"/>
      <c r="AG145" s="287"/>
      <c r="AH145" s="287"/>
      <c r="AI145" s="287"/>
      <c r="AJ145" s="287"/>
      <c r="AK145" s="287"/>
      <c r="AL145" s="287"/>
      <c r="AM145" s="287"/>
      <c r="AN145" s="287"/>
      <c r="AO145" s="287"/>
      <c r="AP145" s="287"/>
      <c r="AQ145" s="287"/>
      <c r="AR145" s="287"/>
      <c r="AS145" s="287"/>
      <c r="AT145" s="287"/>
      <c r="AU145" s="287"/>
      <c r="AV145" s="287"/>
      <c r="AW145" s="287"/>
      <c r="AX145" s="287"/>
      <c r="AY145" s="287"/>
      <c r="AZ145" s="287"/>
    </row>
    <row r="146" spans="1:52">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c r="AC146" s="240"/>
      <c r="AD146" s="240"/>
      <c r="AE146" s="240"/>
      <c r="AF146" s="240"/>
      <c r="AG146" s="240"/>
      <c r="AH146" s="240"/>
      <c r="AI146" s="240"/>
      <c r="AJ146" s="240"/>
      <c r="AK146" s="240"/>
      <c r="AL146" s="240"/>
      <c r="AM146" s="240"/>
      <c r="AN146" s="240"/>
      <c r="AO146" s="240"/>
      <c r="AP146" s="240"/>
      <c r="AQ146" s="240"/>
      <c r="AR146" s="240"/>
      <c r="AS146" s="240"/>
      <c r="AT146" s="240"/>
      <c r="AU146" s="240"/>
      <c r="AV146" s="240"/>
      <c r="AW146" s="240"/>
      <c r="AX146" s="240"/>
      <c r="AY146" s="240"/>
      <c r="AZ146" s="240"/>
    </row>
    <row r="147" spans="1:52">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row>
    <row r="148" spans="1:52">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row>
    <row r="149" spans="1:52">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row>
    <row r="150" spans="1:52">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row>
    <row r="151" spans="1:52">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row>
    <row r="152" spans="1:52">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row>
    <row r="153" spans="1:52">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row>
    <row r="154" spans="1:52">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row>
    <row r="155" spans="1:52">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row>
    <row r="156" spans="1:52">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c r="AA156" s="240"/>
      <c r="AB156" s="240"/>
      <c r="AC156" s="240"/>
      <c r="AD156" s="240"/>
      <c r="AE156" s="240"/>
      <c r="AF156" s="240"/>
      <c r="AG156" s="240"/>
      <c r="AH156" s="240"/>
      <c r="AI156" s="240"/>
      <c r="AJ156" s="240"/>
      <c r="AK156" s="240"/>
      <c r="AL156" s="240"/>
      <c r="AM156" s="240"/>
      <c r="AN156" s="240"/>
      <c r="AO156" s="240"/>
      <c r="AP156" s="240"/>
      <c r="AQ156" s="240"/>
      <c r="AR156" s="240"/>
      <c r="AS156" s="240"/>
      <c r="AT156" s="240"/>
      <c r="AU156" s="240"/>
      <c r="AV156" s="240"/>
      <c r="AW156" s="240"/>
      <c r="AX156" s="240"/>
      <c r="AY156" s="240"/>
      <c r="AZ156" s="240"/>
    </row>
    <row r="157" spans="1:52">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0"/>
      <c r="AA157" s="240"/>
      <c r="AB157" s="240"/>
      <c r="AC157" s="240"/>
      <c r="AD157" s="240"/>
      <c r="AE157" s="240"/>
      <c r="AF157" s="240"/>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row>
    <row r="158" spans="1:52">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row>
    <row r="159" spans="1:52">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row>
    <row r="160" spans="1:52">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row>
    <row r="161" spans="1:52">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c r="AA161" s="240"/>
      <c r="AB161" s="240"/>
      <c r="AC161" s="240"/>
      <c r="AD161" s="240"/>
      <c r="AE161" s="240"/>
      <c r="AF161" s="240"/>
      <c r="AG161" s="240"/>
      <c r="AH161" s="240"/>
      <c r="AI161" s="240"/>
      <c r="AJ161" s="240"/>
      <c r="AK161" s="240"/>
      <c r="AL161" s="240"/>
      <c r="AM161" s="240"/>
      <c r="AN161" s="240"/>
      <c r="AO161" s="240"/>
      <c r="AP161" s="240"/>
      <c r="AQ161" s="240"/>
      <c r="AR161" s="240"/>
      <c r="AS161" s="240"/>
      <c r="AT161" s="240"/>
      <c r="AU161" s="240"/>
      <c r="AV161" s="240"/>
      <c r="AW161" s="240"/>
      <c r="AX161" s="240"/>
      <c r="AY161" s="240"/>
      <c r="AZ161" s="240"/>
    </row>
    <row r="162" spans="1:52">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c r="AA162" s="240"/>
      <c r="AB162" s="240"/>
      <c r="AC162" s="240"/>
      <c r="AD162" s="240"/>
      <c r="AE162" s="240"/>
      <c r="AF162" s="240"/>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row>
    <row r="163" spans="1:52">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row>
    <row r="164" spans="1:52">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row>
    <row r="165" spans="1:52">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c r="Y165" s="287"/>
      <c r="Z165" s="287"/>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c r="AZ165" s="287"/>
    </row>
    <row r="166" spans="1:52">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row>
    <row r="167" spans="1:52">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c r="AA167" s="240"/>
      <c r="AB167" s="240"/>
      <c r="AC167" s="240"/>
      <c r="AD167" s="240"/>
      <c r="AE167" s="240"/>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row>
    <row r="168" spans="1:52">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row>
    <row r="169" spans="1:52">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row>
    <row r="170" spans="1:52">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c r="Y170" s="287"/>
      <c r="Z170" s="287"/>
      <c r="AA170" s="287"/>
      <c r="AB170" s="287"/>
      <c r="AC170" s="287"/>
      <c r="AD170" s="287"/>
      <c r="AE170" s="287"/>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row>
    <row r="171" spans="1:52">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c r="AA171" s="240"/>
      <c r="AB171" s="240"/>
      <c r="AC171" s="240"/>
      <c r="AD171" s="240"/>
      <c r="AE171" s="240"/>
      <c r="AF171" s="240"/>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row>
    <row r="172" spans="1:52">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c r="AA172" s="240"/>
      <c r="AB172" s="240"/>
      <c r="AC172" s="240"/>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240"/>
      <c r="AZ172" s="240"/>
    </row>
    <row r="173" spans="1:52">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row>
    <row r="174" spans="1:52">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row>
    <row r="175" spans="1:52">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87"/>
      <c r="Z175" s="287"/>
      <c r="AA175" s="287"/>
      <c r="AB175" s="287"/>
      <c r="AC175" s="287"/>
      <c r="AD175" s="287"/>
      <c r="AE175" s="287"/>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row>
    <row r="176" spans="1:52">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row>
    <row r="177" spans="1:52">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row>
    <row r="178" spans="1:52">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row>
    <row r="179" spans="1:52">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row>
    <row r="180" spans="1:52">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87"/>
      <c r="Z180" s="287"/>
      <c r="AA180" s="287"/>
      <c r="AB180" s="287"/>
      <c r="AC180" s="287"/>
      <c r="AD180" s="287"/>
      <c r="AE180" s="287"/>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row>
    <row r="181" spans="1:52">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c r="AC181" s="240"/>
      <c r="AD181" s="240"/>
      <c r="AE181" s="240"/>
      <c r="AF181" s="240"/>
      <c r="AG181" s="240"/>
      <c r="AH181" s="240"/>
      <c r="AI181" s="240"/>
      <c r="AJ181" s="240"/>
      <c r="AK181" s="240"/>
      <c r="AL181" s="240"/>
      <c r="AM181" s="240"/>
      <c r="AN181" s="240"/>
      <c r="AO181" s="240"/>
      <c r="AP181" s="240"/>
      <c r="AQ181" s="240"/>
      <c r="AR181" s="240"/>
      <c r="AS181" s="240"/>
      <c r="AT181" s="240"/>
      <c r="AU181" s="240"/>
      <c r="AV181" s="240"/>
      <c r="AW181" s="240"/>
      <c r="AX181" s="240"/>
      <c r="AY181" s="240"/>
      <c r="AZ181" s="240"/>
    </row>
    <row r="182" spans="1:52">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c r="AA182" s="240"/>
      <c r="AB182" s="240"/>
      <c r="AC182" s="240"/>
      <c r="AD182" s="240"/>
      <c r="AE182" s="240"/>
      <c r="AF182" s="240"/>
      <c r="AG182" s="240"/>
      <c r="AH182" s="240"/>
      <c r="AI182" s="240"/>
      <c r="AJ182" s="240"/>
      <c r="AK182" s="240"/>
      <c r="AL182" s="240"/>
      <c r="AM182" s="240"/>
      <c r="AN182" s="240"/>
      <c r="AO182" s="240"/>
      <c r="AP182" s="240"/>
      <c r="AQ182" s="240"/>
      <c r="AR182" s="240"/>
      <c r="AS182" s="240"/>
      <c r="AT182" s="240"/>
      <c r="AU182" s="240"/>
      <c r="AV182" s="240"/>
      <c r="AW182" s="240"/>
      <c r="AX182" s="240"/>
      <c r="AY182" s="240"/>
      <c r="AZ182" s="240"/>
    </row>
    <row r="183" spans="1:52">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row>
    <row r="184" spans="1:52">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row>
    <row r="185" spans="1:52">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87"/>
      <c r="Z185" s="287"/>
      <c r="AA185" s="287"/>
      <c r="AB185" s="287"/>
      <c r="AC185" s="287"/>
      <c r="AD185" s="287"/>
      <c r="AE185" s="287"/>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row>
    <row r="186" spans="1:52">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c r="AA186" s="240"/>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row>
    <row r="187" spans="1:52">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c r="AA187" s="240"/>
      <c r="AB187" s="240"/>
      <c r="AC187" s="240"/>
      <c r="AD187" s="240"/>
      <c r="AE187" s="240"/>
      <c r="AF187" s="240"/>
      <c r="AG187" s="240"/>
      <c r="AH187" s="240"/>
      <c r="AI187" s="240"/>
      <c r="AJ187" s="240"/>
      <c r="AK187" s="240"/>
      <c r="AL187" s="240"/>
      <c r="AM187" s="240"/>
      <c r="AN187" s="240"/>
      <c r="AO187" s="240"/>
      <c r="AP187" s="240"/>
      <c r="AQ187" s="240"/>
      <c r="AR187" s="240"/>
      <c r="AS187" s="240"/>
      <c r="AT187" s="240"/>
      <c r="AU187" s="240"/>
      <c r="AV187" s="240"/>
      <c r="AW187" s="240"/>
      <c r="AX187" s="240"/>
      <c r="AY187" s="240"/>
      <c r="AZ187" s="240"/>
    </row>
    <row r="188" spans="1:52">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row>
    <row r="189" spans="1:52">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row>
    <row r="190" spans="1:52">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87"/>
      <c r="Z190" s="287"/>
      <c r="AA190" s="287"/>
      <c r="AB190" s="287"/>
      <c r="AC190" s="287"/>
      <c r="AD190" s="287"/>
      <c r="AE190" s="287"/>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row>
    <row r="191" spans="1:52">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c r="AA191" s="240"/>
      <c r="AB191" s="240"/>
      <c r="AC191" s="240"/>
      <c r="AD191" s="240"/>
      <c r="AE191" s="240"/>
      <c r="AF191" s="240"/>
      <c r="AG191" s="240"/>
      <c r="AH191" s="240"/>
      <c r="AI191" s="240"/>
      <c r="AJ191" s="240"/>
      <c r="AK191" s="240"/>
      <c r="AL191" s="240"/>
      <c r="AM191" s="240"/>
      <c r="AN191" s="240"/>
      <c r="AO191" s="240"/>
      <c r="AP191" s="240"/>
      <c r="AQ191" s="240"/>
      <c r="AR191" s="240"/>
      <c r="AS191" s="240"/>
      <c r="AT191" s="240"/>
      <c r="AU191" s="240"/>
      <c r="AV191" s="240"/>
      <c r="AW191" s="240"/>
      <c r="AX191" s="240"/>
      <c r="AY191" s="240"/>
      <c r="AZ191" s="240"/>
    </row>
    <row r="192" spans="1:52">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row>
    <row r="193" spans="1:52">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row>
    <row r="194" spans="1:52">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row>
    <row r="195" spans="1:52">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c r="Y195" s="287"/>
      <c r="Z195" s="287"/>
      <c r="AA195" s="287"/>
      <c r="AB195" s="287"/>
      <c r="AC195" s="287"/>
      <c r="AD195" s="287"/>
      <c r="AE195" s="287"/>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row>
    <row r="196" spans="1:52">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c r="AA196" s="240"/>
      <c r="AB196" s="240"/>
      <c r="AC196" s="240"/>
      <c r="AD196" s="240"/>
      <c r="AE196" s="240"/>
      <c r="AF196" s="240"/>
      <c r="AG196" s="240"/>
      <c r="AH196" s="240"/>
      <c r="AI196" s="240"/>
      <c r="AJ196" s="240"/>
      <c r="AK196" s="240"/>
      <c r="AL196" s="240"/>
      <c r="AM196" s="240"/>
      <c r="AN196" s="240"/>
      <c r="AO196" s="240"/>
      <c r="AP196" s="240"/>
      <c r="AQ196" s="240"/>
      <c r="AR196" s="240"/>
      <c r="AS196" s="240"/>
      <c r="AT196" s="240"/>
      <c r="AU196" s="240"/>
      <c r="AV196" s="240"/>
      <c r="AW196" s="240"/>
      <c r="AX196" s="240"/>
      <c r="AY196" s="240"/>
      <c r="AZ196" s="240"/>
    </row>
    <row r="197" spans="1:52">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c r="AA197" s="240"/>
      <c r="AB197" s="240"/>
      <c r="AC197" s="240"/>
      <c r="AD197" s="240"/>
      <c r="AE197" s="240"/>
      <c r="AF197" s="240"/>
      <c r="AG197" s="240"/>
      <c r="AH197" s="240"/>
      <c r="AI197" s="240"/>
      <c r="AJ197" s="240"/>
      <c r="AK197" s="240"/>
      <c r="AL197" s="240"/>
      <c r="AM197" s="240"/>
      <c r="AN197" s="240"/>
      <c r="AO197" s="240"/>
      <c r="AP197" s="240"/>
      <c r="AQ197" s="240"/>
      <c r="AR197" s="240"/>
      <c r="AS197" s="240"/>
      <c r="AT197" s="240"/>
      <c r="AU197" s="240"/>
      <c r="AV197" s="240"/>
      <c r="AW197" s="240"/>
      <c r="AX197" s="240"/>
      <c r="AY197" s="240"/>
      <c r="AZ197" s="240"/>
    </row>
    <row r="198" spans="1:52">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row>
    <row r="199" spans="1:52">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row>
    <row r="200" spans="1:52">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c r="Y200" s="287"/>
      <c r="Z200" s="287"/>
      <c r="AA200" s="287"/>
      <c r="AB200" s="287"/>
      <c r="AC200" s="287"/>
      <c r="AD200" s="287"/>
      <c r="AE200" s="287"/>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row>
  </sheetData>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BA200"/>
  <sheetViews>
    <sheetView showGridLines="0" zoomScaleNormal="100" workbookViewId="0">
      <selection activeCell="AC27" sqref="AC27"/>
    </sheetView>
  </sheetViews>
  <sheetFormatPr defaultRowHeight="12.75"/>
  <cols>
    <col min="1" max="2" width="1.7109375" customWidth="1"/>
    <col min="3" max="14" width="7.42578125" customWidth="1"/>
    <col min="15" max="23" width="3.85546875" customWidth="1"/>
    <col min="24" max="24" width="7.42578125" customWidth="1"/>
  </cols>
  <sheetData>
    <row r="1" spans="1:53">
      <c r="A1" s="18"/>
      <c r="B1" s="18"/>
      <c r="C1" s="27"/>
      <c r="D1" s="27"/>
      <c r="E1" s="27"/>
      <c r="F1" s="27"/>
      <c r="G1" s="25"/>
      <c r="H1" s="508"/>
      <c r="I1" s="508"/>
      <c r="J1" s="63"/>
      <c r="K1" s="508"/>
      <c r="L1" s="508"/>
      <c r="M1" s="508"/>
      <c r="N1" s="64"/>
      <c r="O1" s="64"/>
      <c r="P1" s="64"/>
      <c r="Q1" s="18"/>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4"/>
    </row>
    <row r="2" spans="1:53" ht="15.75">
      <c r="A2" s="25"/>
      <c r="B2" s="25"/>
      <c r="C2" s="507" t="str">
        <f>'DMS input'!$C$16&amp;" - Price Path Charts"&amp;" - DNSP PTRM - version "&amp;Intro!$L$4</f>
        <v>Aus Elec - Price Path Charts - DNSP PTRM - version 3</v>
      </c>
      <c r="D2" s="507"/>
      <c r="E2" s="25"/>
      <c r="F2" s="25"/>
      <c r="G2" s="25"/>
      <c r="H2" s="25"/>
      <c r="I2" s="25"/>
      <c r="J2" s="25"/>
      <c r="K2" s="25"/>
      <c r="L2" s="25"/>
      <c r="M2" s="25"/>
      <c r="N2" s="25"/>
      <c r="O2" s="25"/>
      <c r="P2" s="25"/>
      <c r="Q2" s="25"/>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4"/>
    </row>
    <row r="3" spans="1:53" s="7" customFormat="1">
      <c r="A3" s="47"/>
      <c r="B3" s="47"/>
      <c r="C3" s="47"/>
      <c r="D3" s="47"/>
      <c r="E3" s="47"/>
      <c r="F3" s="47"/>
      <c r="G3" s="48"/>
      <c r="H3" s="48"/>
      <c r="I3" s="48"/>
      <c r="J3" s="48"/>
      <c r="K3" s="48"/>
      <c r="L3" s="48"/>
      <c r="M3" s="48"/>
      <c r="N3" s="48"/>
      <c r="O3" s="48"/>
      <c r="P3" s="48"/>
      <c r="Q3" s="48"/>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row>
    <row r="4" spans="1:53" s="7" customFormat="1" ht="15.75">
      <c r="A4" s="125"/>
      <c r="B4" s="113"/>
      <c r="C4" s="126"/>
      <c r="D4" s="127"/>
      <c r="E4" s="127"/>
      <c r="F4" s="127"/>
      <c r="G4" s="128"/>
      <c r="H4" s="128"/>
      <c r="I4" s="128"/>
      <c r="J4" s="128"/>
      <c r="K4" s="128"/>
      <c r="L4" s="128"/>
      <c r="M4" s="128"/>
      <c r="N4" s="128"/>
      <c r="O4" s="128"/>
      <c r="P4" s="128"/>
      <c r="Q4" s="128"/>
      <c r="R4" s="125"/>
      <c r="S4" s="129"/>
      <c r="T4" s="129"/>
      <c r="U4" s="129"/>
      <c r="V4" s="129"/>
      <c r="W4" s="129"/>
      <c r="X4" s="129"/>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row>
    <row r="5" spans="1:53" s="288" customFormat="1">
      <c r="A5" s="293"/>
      <c r="B5" s="293"/>
      <c r="C5" s="294" t="s">
        <v>314</v>
      </c>
      <c r="D5" s="293"/>
      <c r="E5" s="293"/>
      <c r="F5" s="294"/>
      <c r="G5" s="293"/>
      <c r="H5" s="293"/>
      <c r="I5" s="293"/>
      <c r="J5" s="293"/>
      <c r="K5" s="293"/>
      <c r="L5" s="293"/>
      <c r="M5" s="293"/>
      <c r="N5" s="293"/>
      <c r="O5" s="293"/>
      <c r="P5" s="293"/>
      <c r="Q5" s="293"/>
      <c r="R5" s="293"/>
      <c r="S5" s="293"/>
      <c r="T5" s="293"/>
      <c r="U5" s="293"/>
      <c r="V5" s="293"/>
      <c r="W5" s="293"/>
      <c r="X5" s="293"/>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row>
    <row r="6" spans="1:53">
      <c r="A6" s="240"/>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row>
    <row r="7" spans="1:53">
      <c r="A7" s="240"/>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row>
    <row r="8" spans="1:53">
      <c r="A8" s="240"/>
      <c r="B8" s="240"/>
      <c r="C8" s="240"/>
      <c r="D8" s="240"/>
      <c r="E8" s="240"/>
      <c r="F8" s="240"/>
      <c r="G8" s="240"/>
      <c r="H8" s="240"/>
      <c r="I8" s="240"/>
      <c r="J8" s="240"/>
      <c r="K8" s="240"/>
      <c r="L8" s="240"/>
      <c r="M8" s="240"/>
      <c r="N8" s="240"/>
      <c r="O8" s="240"/>
      <c r="P8" s="240"/>
      <c r="Q8" s="240"/>
      <c r="R8" s="240"/>
      <c r="S8" s="240"/>
      <c r="T8" s="240"/>
      <c r="U8" s="240"/>
      <c r="V8" s="240"/>
      <c r="W8" s="240"/>
      <c r="X8" s="240"/>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row>
    <row r="9" spans="1:53">
      <c r="A9" s="240"/>
      <c r="B9" s="240"/>
      <c r="C9" s="240"/>
      <c r="D9" s="240"/>
      <c r="E9" s="240"/>
      <c r="F9" s="240"/>
      <c r="G9" s="240"/>
      <c r="H9" s="240"/>
      <c r="I9" s="240"/>
      <c r="J9" s="240"/>
      <c r="K9" s="240"/>
      <c r="L9" s="240"/>
      <c r="M9" s="240"/>
      <c r="N9" s="240"/>
      <c r="O9" s="240"/>
      <c r="P9" s="240"/>
      <c r="Q9" s="240"/>
      <c r="R9" s="240"/>
      <c r="S9" s="240"/>
      <c r="T9" s="240"/>
      <c r="U9" s="240"/>
      <c r="V9" s="240"/>
      <c r="W9" s="240"/>
      <c r="X9" s="240"/>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row>
    <row r="10" spans="1:53">
      <c r="A10" s="240"/>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row>
    <row r="11" spans="1:53">
      <c r="A11" s="240"/>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row>
    <row r="12" spans="1:53">
      <c r="A12" s="240"/>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row>
    <row r="13" spans="1:53">
      <c r="A13" s="240"/>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row>
    <row r="14" spans="1:53">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row>
    <row r="15" spans="1:53">
      <c r="A15" s="240"/>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row>
    <row r="16" spans="1:53">
      <c r="A16" s="240"/>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row>
    <row r="17" spans="1:52">
      <c r="A17" s="240"/>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row>
    <row r="18" spans="1:52">
      <c r="A18" s="240"/>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row>
    <row r="19" spans="1:52">
      <c r="A19" s="240"/>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row>
    <row r="20" spans="1:52">
      <c r="A20" s="240"/>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row>
    <row r="21" spans="1:52">
      <c r="A21" s="240"/>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0"/>
    </row>
    <row r="22" spans="1:52">
      <c r="A22" s="240"/>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row>
    <row r="23" spans="1:52">
      <c r="A23" s="240"/>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row>
    <row r="24" spans="1:52">
      <c r="A24" s="240"/>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row>
    <row r="25" spans="1:52">
      <c r="A25" s="240"/>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row>
    <row r="26" spans="1:52">
      <c r="A26" s="240"/>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row>
    <row r="27" spans="1:52">
      <c r="A27" s="240"/>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row>
    <row r="28" spans="1:5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row>
    <row r="29" spans="1:52" s="288" customFormat="1">
      <c r="A29" s="293"/>
      <c r="B29" s="293"/>
      <c r="C29" s="294" t="s">
        <v>276</v>
      </c>
      <c r="D29" s="293"/>
      <c r="E29" s="293"/>
      <c r="F29" s="294"/>
      <c r="G29" s="293"/>
      <c r="H29" s="293"/>
      <c r="I29" s="293"/>
      <c r="J29" s="293"/>
      <c r="K29" s="293"/>
      <c r="L29" s="293"/>
      <c r="M29" s="293"/>
      <c r="N29" s="293"/>
      <c r="O29" s="293"/>
      <c r="P29" s="293"/>
      <c r="Q29" s="293"/>
      <c r="R29" s="293"/>
      <c r="S29" s="293"/>
      <c r="T29" s="293"/>
      <c r="U29" s="293"/>
      <c r="V29" s="293"/>
      <c r="W29" s="293"/>
      <c r="X29" s="293"/>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row>
    <row r="30" spans="1:5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row>
    <row r="31" spans="1:5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row>
    <row r="32" spans="1:5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row>
    <row r="33" spans="1:5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row>
    <row r="34" spans="1:52">
      <c r="A34" s="240"/>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row>
    <row r="35" spans="1:52">
      <c r="A35" s="240"/>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row>
    <row r="36" spans="1:52">
      <c r="A36" s="240"/>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row>
    <row r="37" spans="1:52">
      <c r="A37" s="240"/>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240"/>
      <c r="AW37" s="240"/>
      <c r="AX37" s="240"/>
      <c r="AY37" s="240"/>
      <c r="AZ37" s="240"/>
    </row>
    <row r="38" spans="1:52">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row>
    <row r="39" spans="1:52">
      <c r="A39" s="240"/>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row>
    <row r="40" spans="1:52">
      <c r="A40" s="240"/>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row>
    <row r="41" spans="1:52">
      <c r="A41" s="240"/>
      <c r="B41" s="240"/>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0"/>
      <c r="AD41" s="240"/>
      <c r="AE41" s="240"/>
      <c r="AF41" s="240"/>
      <c r="AG41" s="240"/>
      <c r="AH41" s="240"/>
      <c r="AI41" s="240"/>
      <c r="AJ41" s="240"/>
      <c r="AK41" s="240"/>
      <c r="AL41" s="240"/>
      <c r="AM41" s="240"/>
      <c r="AN41" s="240"/>
      <c r="AO41" s="240"/>
      <c r="AP41" s="240"/>
      <c r="AQ41" s="240"/>
      <c r="AR41" s="240"/>
      <c r="AS41" s="240"/>
      <c r="AT41" s="240"/>
      <c r="AU41" s="240"/>
      <c r="AV41" s="240"/>
      <c r="AW41" s="240"/>
      <c r="AX41" s="240"/>
      <c r="AY41" s="240"/>
      <c r="AZ41" s="240"/>
    </row>
    <row r="42" spans="1:52">
      <c r="A42" s="240"/>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240"/>
      <c r="AT42" s="240"/>
      <c r="AU42" s="240"/>
      <c r="AV42" s="240"/>
      <c r="AW42" s="240"/>
      <c r="AX42" s="240"/>
      <c r="AY42" s="240"/>
      <c r="AZ42" s="240"/>
    </row>
    <row r="43" spans="1:52">
      <c r="A43" s="240"/>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row>
    <row r="44" spans="1:52">
      <c r="A44" s="240"/>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row>
    <row r="45" spans="1:52">
      <c r="A45" s="240"/>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row>
    <row r="46" spans="1:52">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row>
    <row r="47" spans="1:52">
      <c r="A47" s="240"/>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row>
    <row r="48" spans="1:52">
      <c r="A48" s="240"/>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row>
    <row r="49" spans="1:52">
      <c r="A49" s="240"/>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row>
    <row r="50" spans="1:52">
      <c r="A50" s="240"/>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row>
    <row r="51" spans="1:52">
      <c r="A51" s="240"/>
      <c r="B51" s="240"/>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row>
    <row r="52" spans="1:52">
      <c r="A52" s="240"/>
      <c r="B52" s="240"/>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row>
    <row r="53" spans="1:52" s="288" customFormat="1">
      <c r="A53" s="293"/>
      <c r="B53" s="293"/>
      <c r="C53" s="294" t="s">
        <v>277</v>
      </c>
      <c r="D53" s="293"/>
      <c r="E53" s="293"/>
      <c r="F53" s="294"/>
      <c r="G53" s="293"/>
      <c r="H53" s="293"/>
      <c r="I53" s="293"/>
      <c r="J53" s="293"/>
      <c r="K53" s="293"/>
      <c r="L53" s="293"/>
      <c r="M53" s="293"/>
      <c r="N53" s="293"/>
      <c r="O53" s="293"/>
      <c r="P53" s="293"/>
      <c r="Q53" s="293"/>
      <c r="R53" s="293"/>
      <c r="S53" s="293"/>
      <c r="T53" s="293"/>
      <c r="U53" s="293"/>
      <c r="V53" s="293"/>
      <c r="W53" s="293"/>
      <c r="X53" s="293"/>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row>
    <row r="54" spans="1:52">
      <c r="A54" s="240"/>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row>
    <row r="55" spans="1:52">
      <c r="A55" s="240"/>
      <c r="B55" s="240"/>
      <c r="C55" s="240"/>
      <c r="D55" s="240"/>
      <c r="E55" s="240"/>
      <c r="F55" s="240"/>
      <c r="G55" s="240"/>
      <c r="H55" s="240"/>
      <c r="I55" s="240"/>
      <c r="J55" s="240"/>
      <c r="K55" s="240"/>
      <c r="L55" s="240"/>
      <c r="M55" s="240"/>
      <c r="N55" s="240"/>
      <c r="O55" s="240"/>
      <c r="P55" s="240"/>
      <c r="Q55" s="240"/>
      <c r="R55" s="240"/>
      <c r="S55" s="240"/>
      <c r="T55" s="240"/>
      <c r="U55" s="240"/>
      <c r="V55" s="240"/>
      <c r="W55" s="240"/>
      <c r="X55" s="240"/>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row>
    <row r="56" spans="1:52">
      <c r="A56" s="240"/>
      <c r="B56" s="240"/>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row>
    <row r="57" spans="1:52">
      <c r="A57" s="240"/>
      <c r="B57" s="240"/>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row>
    <row r="58" spans="1:52">
      <c r="A58" s="240"/>
      <c r="B58" s="240"/>
      <c r="C58" s="240"/>
      <c r="D58" s="240"/>
      <c r="E58" s="240"/>
      <c r="F58" s="240"/>
      <c r="G58" s="240"/>
      <c r="H58" s="240"/>
      <c r="I58" s="240"/>
      <c r="J58" s="240"/>
      <c r="K58" s="240"/>
      <c r="L58" s="240"/>
      <c r="M58" s="240"/>
      <c r="N58" s="240"/>
      <c r="O58" s="240"/>
      <c r="P58" s="240"/>
      <c r="Q58" s="240"/>
      <c r="R58" s="240"/>
      <c r="S58" s="240"/>
      <c r="T58" s="240"/>
      <c r="U58" s="240"/>
      <c r="V58" s="240"/>
      <c r="W58" s="240"/>
      <c r="X58" s="240"/>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row>
    <row r="59" spans="1:52">
      <c r="A59" s="240"/>
      <c r="B59" s="240"/>
      <c r="C59" s="240"/>
      <c r="D59" s="240"/>
      <c r="E59" s="240"/>
      <c r="F59" s="240"/>
      <c r="G59" s="240"/>
      <c r="H59" s="240"/>
      <c r="I59" s="240"/>
      <c r="J59" s="240"/>
      <c r="K59" s="240"/>
      <c r="L59" s="240"/>
      <c r="M59" s="240"/>
      <c r="N59" s="240"/>
      <c r="O59" s="240"/>
      <c r="P59" s="240"/>
      <c r="Q59" s="240"/>
      <c r="R59" s="240"/>
      <c r="S59" s="240"/>
      <c r="T59" s="240"/>
      <c r="U59" s="240"/>
      <c r="V59" s="240"/>
      <c r="W59" s="240"/>
      <c r="X59" s="240"/>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row>
    <row r="60" spans="1:52">
      <c r="A60" s="240"/>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row>
    <row r="61" spans="1:52">
      <c r="A61" s="240"/>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row>
    <row r="62" spans="1:52">
      <c r="A62" s="240"/>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row>
    <row r="63" spans="1:52">
      <c r="A63" s="240"/>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row>
    <row r="64" spans="1:52">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row>
    <row r="65" spans="1:52">
      <c r="A65" s="240"/>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row>
    <row r="66" spans="1:52">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row>
    <row r="67" spans="1:52">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row>
    <row r="68" spans="1:52">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row>
    <row r="69" spans="1:52">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row>
    <row r="70" spans="1:52">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row>
    <row r="71" spans="1:52">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row>
    <row r="72" spans="1:52">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row>
    <row r="73" spans="1:52">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row>
    <row r="74" spans="1:52">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row>
    <row r="75" spans="1:52">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row>
    <row r="76" spans="1:52">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row>
    <row r="77" spans="1:52">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row>
    <row r="78" spans="1:52">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row>
    <row r="79" spans="1:52">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row>
    <row r="80" spans="1:52">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row>
    <row r="81" spans="1:52">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row>
    <row r="82" spans="1:52">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row>
    <row r="83" spans="1:52">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row>
    <row r="84" spans="1:52">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row>
    <row r="85" spans="1:52">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row>
    <row r="86" spans="1:52">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row>
    <row r="87" spans="1:52">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row>
    <row r="88" spans="1:52">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row>
    <row r="89" spans="1:52">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row>
    <row r="90" spans="1:52">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287"/>
    </row>
    <row r="91" spans="1:52">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row>
    <row r="92" spans="1:52">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row>
    <row r="93" spans="1:52">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row>
    <row r="94" spans="1:52">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row>
    <row r="95" spans="1:52">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row>
    <row r="96" spans="1:52">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row>
    <row r="97" spans="1:52">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row>
    <row r="98" spans="1:52">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row>
    <row r="99" spans="1:52">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row>
    <row r="100" spans="1:52">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row>
    <row r="101" spans="1:52">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row>
    <row r="102" spans="1:52">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row>
    <row r="103" spans="1:52">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row>
    <row r="104" spans="1:52">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row>
    <row r="105" spans="1:52">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row>
    <row r="106" spans="1:52">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row>
    <row r="107" spans="1:52">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row>
    <row r="108" spans="1:52">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row>
    <row r="109" spans="1:52">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row>
    <row r="110" spans="1:52">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row>
    <row r="111" spans="1:52">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row>
    <row r="112" spans="1:52">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row>
    <row r="113" spans="1:52">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row>
    <row r="114" spans="1:52">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row>
    <row r="115" spans="1:52">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row>
    <row r="116" spans="1:52">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row>
    <row r="117" spans="1:52">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row>
    <row r="118" spans="1:52">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row>
    <row r="119" spans="1:52">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row>
    <row r="120" spans="1:52">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row>
    <row r="121" spans="1:52">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row>
    <row r="122" spans="1:52">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row>
    <row r="123" spans="1:52">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row>
    <row r="124" spans="1:52">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row>
    <row r="125" spans="1:52">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row>
    <row r="126" spans="1:52">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row>
    <row r="127" spans="1:52">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row>
    <row r="128" spans="1:52">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row>
    <row r="129" spans="1:52">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row>
    <row r="130" spans="1:52">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row>
    <row r="131" spans="1:52">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row>
    <row r="132" spans="1:52">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row>
    <row r="133" spans="1:52">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row>
    <row r="134" spans="1:52">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row>
    <row r="135" spans="1:52">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row>
    <row r="136" spans="1:52">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row>
    <row r="137" spans="1:52">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row>
    <row r="138" spans="1:52">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row>
    <row r="139" spans="1:52">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row>
    <row r="140" spans="1:52">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row>
    <row r="141" spans="1:52">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row>
    <row r="142" spans="1:52">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row>
    <row r="143" spans="1:52">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row>
    <row r="144" spans="1:52">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row>
    <row r="145" spans="1:52">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row>
    <row r="146" spans="1:52">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row>
    <row r="147" spans="1:52">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row>
    <row r="148" spans="1:52">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row>
    <row r="149" spans="1:52">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row>
    <row r="150" spans="1:52">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row>
    <row r="151" spans="1:52">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row>
    <row r="152" spans="1:52">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row>
    <row r="153" spans="1:52">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row>
    <row r="154" spans="1:52">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row>
    <row r="155" spans="1:52">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row>
    <row r="156" spans="1:52">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row>
    <row r="157" spans="1:52">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row>
    <row r="158" spans="1:52">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row>
    <row r="159" spans="1:52">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row>
    <row r="160" spans="1:52">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row>
    <row r="161" spans="1:52">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c r="AA161" s="240"/>
      <c r="AB161" s="240"/>
      <c r="AC161" s="240"/>
      <c r="AD161" s="240"/>
      <c r="AE161" s="240"/>
      <c r="AF161" s="240"/>
      <c r="AG161" s="240"/>
      <c r="AH161" s="240"/>
      <c r="AI161" s="240"/>
      <c r="AJ161" s="240"/>
      <c r="AK161" s="240"/>
      <c r="AL161" s="240"/>
      <c r="AM161" s="240"/>
      <c r="AN161" s="240"/>
      <c r="AO161" s="240"/>
      <c r="AP161" s="240"/>
      <c r="AQ161" s="240"/>
      <c r="AR161" s="240"/>
      <c r="AS161" s="240"/>
      <c r="AT161" s="240"/>
      <c r="AU161" s="240"/>
      <c r="AV161" s="240"/>
      <c r="AW161" s="240"/>
      <c r="AX161" s="240"/>
      <c r="AY161" s="240"/>
      <c r="AZ161" s="240"/>
    </row>
    <row r="162" spans="1:52">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c r="AA162" s="240"/>
      <c r="AB162" s="240"/>
      <c r="AC162" s="240"/>
      <c r="AD162" s="240"/>
      <c r="AE162" s="240"/>
      <c r="AF162" s="240"/>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row>
    <row r="163" spans="1:52">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c r="AA163" s="240"/>
      <c r="AB163" s="240"/>
      <c r="AC163" s="240"/>
      <c r="AD163" s="240"/>
      <c r="AE163" s="240"/>
      <c r="AF163" s="240"/>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row>
    <row r="164" spans="1:52">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c r="Y164" s="240"/>
      <c r="Z164" s="240"/>
      <c r="AA164" s="240"/>
      <c r="AB164" s="240"/>
      <c r="AC164" s="240"/>
      <c r="AD164" s="240"/>
      <c r="AE164" s="240"/>
      <c r="AF164" s="240"/>
      <c r="AG164" s="240"/>
      <c r="AH164" s="240"/>
      <c r="AI164" s="240"/>
      <c r="AJ164" s="240"/>
      <c r="AK164" s="240"/>
      <c r="AL164" s="240"/>
      <c r="AM164" s="240"/>
      <c r="AN164" s="240"/>
      <c r="AO164" s="240"/>
      <c r="AP164" s="240"/>
      <c r="AQ164" s="240"/>
      <c r="AR164" s="240"/>
      <c r="AS164" s="240"/>
      <c r="AT164" s="240"/>
      <c r="AU164" s="240"/>
      <c r="AV164" s="240"/>
      <c r="AW164" s="240"/>
      <c r="AX164" s="240"/>
      <c r="AY164" s="240"/>
      <c r="AZ164" s="240"/>
    </row>
    <row r="165" spans="1:52">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c r="Y165" s="240"/>
      <c r="Z165" s="240"/>
      <c r="AA165" s="240"/>
      <c r="AB165" s="240"/>
      <c r="AC165" s="240"/>
      <c r="AD165" s="240"/>
      <c r="AE165" s="240"/>
      <c r="AF165" s="240"/>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row>
    <row r="166" spans="1:52">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row>
    <row r="167" spans="1:52">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c r="AA167" s="240"/>
      <c r="AB167" s="240"/>
      <c r="AC167" s="240"/>
      <c r="AD167" s="240"/>
      <c r="AE167" s="240"/>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row>
    <row r="168" spans="1:52">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c r="Y168" s="240"/>
      <c r="Z168" s="240"/>
      <c r="AA168" s="240"/>
      <c r="AB168" s="240"/>
      <c r="AC168" s="240"/>
      <c r="AD168" s="240"/>
      <c r="AE168" s="240"/>
      <c r="AF168" s="240"/>
      <c r="AG168" s="240"/>
      <c r="AH168" s="240"/>
      <c r="AI168" s="240"/>
      <c r="AJ168" s="240"/>
      <c r="AK168" s="240"/>
      <c r="AL168" s="240"/>
      <c r="AM168" s="240"/>
      <c r="AN168" s="240"/>
      <c r="AO168" s="240"/>
      <c r="AP168" s="240"/>
      <c r="AQ168" s="240"/>
      <c r="AR168" s="240"/>
      <c r="AS168" s="240"/>
      <c r="AT168" s="240"/>
      <c r="AU168" s="240"/>
      <c r="AV168" s="240"/>
      <c r="AW168" s="240"/>
      <c r="AX168" s="240"/>
      <c r="AY168" s="240"/>
      <c r="AZ168" s="240"/>
    </row>
    <row r="169" spans="1:52">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c r="Y169" s="240"/>
      <c r="Z169" s="240"/>
      <c r="AA169" s="240"/>
      <c r="AB169" s="240"/>
      <c r="AC169" s="240"/>
      <c r="AD169" s="240"/>
      <c r="AE169" s="240"/>
      <c r="AF169" s="240"/>
      <c r="AG169" s="240"/>
      <c r="AH169" s="240"/>
      <c r="AI169" s="240"/>
      <c r="AJ169" s="240"/>
      <c r="AK169" s="240"/>
      <c r="AL169" s="240"/>
      <c r="AM169" s="240"/>
      <c r="AN169" s="240"/>
      <c r="AO169" s="240"/>
      <c r="AP169" s="240"/>
      <c r="AQ169" s="240"/>
      <c r="AR169" s="240"/>
      <c r="AS169" s="240"/>
      <c r="AT169" s="240"/>
      <c r="AU169" s="240"/>
      <c r="AV169" s="240"/>
      <c r="AW169" s="240"/>
      <c r="AX169" s="240"/>
      <c r="AY169" s="240"/>
      <c r="AZ169" s="240"/>
    </row>
    <row r="170" spans="1:52">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c r="Y170" s="240"/>
      <c r="Z170" s="240"/>
      <c r="AA170" s="240"/>
      <c r="AB170" s="240"/>
      <c r="AC170" s="240"/>
      <c r="AD170" s="240"/>
      <c r="AE170" s="240"/>
      <c r="AF170" s="240"/>
      <c r="AG170" s="240"/>
      <c r="AH170" s="240"/>
      <c r="AI170" s="240"/>
      <c r="AJ170" s="240"/>
      <c r="AK170" s="240"/>
      <c r="AL170" s="240"/>
      <c r="AM170" s="240"/>
      <c r="AN170" s="240"/>
      <c r="AO170" s="240"/>
      <c r="AP170" s="240"/>
      <c r="AQ170" s="240"/>
      <c r="AR170" s="240"/>
      <c r="AS170" s="240"/>
      <c r="AT170" s="240"/>
      <c r="AU170" s="240"/>
      <c r="AV170" s="240"/>
      <c r="AW170" s="240"/>
      <c r="AX170" s="240"/>
      <c r="AY170" s="240"/>
      <c r="AZ170" s="240"/>
    </row>
    <row r="171" spans="1:52">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c r="AA171" s="240"/>
      <c r="AB171" s="240"/>
      <c r="AC171" s="240"/>
      <c r="AD171" s="240"/>
      <c r="AE171" s="240"/>
      <c r="AF171" s="240"/>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row>
    <row r="172" spans="1:52">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c r="AA172" s="240"/>
      <c r="AB172" s="240"/>
      <c r="AC172" s="240"/>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240"/>
      <c r="AZ172" s="240"/>
    </row>
    <row r="173" spans="1:52">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c r="AA173" s="240"/>
      <c r="AB173" s="240"/>
      <c r="AC173" s="240"/>
      <c r="AD173" s="240"/>
      <c r="AE173" s="240"/>
      <c r="AF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row>
    <row r="174" spans="1:52">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c r="Y174" s="240"/>
      <c r="Z174" s="240"/>
      <c r="AA174" s="240"/>
      <c r="AB174" s="240"/>
      <c r="AC174" s="240"/>
      <c r="AD174" s="240"/>
      <c r="AE174" s="240"/>
      <c r="AF174" s="240"/>
      <c r="AG174" s="240"/>
      <c r="AH174" s="240"/>
      <c r="AI174" s="240"/>
      <c r="AJ174" s="240"/>
      <c r="AK174" s="240"/>
      <c r="AL174" s="240"/>
      <c r="AM174" s="240"/>
      <c r="AN174" s="240"/>
      <c r="AO174" s="240"/>
      <c r="AP174" s="240"/>
      <c r="AQ174" s="240"/>
      <c r="AR174" s="240"/>
      <c r="AS174" s="240"/>
      <c r="AT174" s="240"/>
      <c r="AU174" s="240"/>
      <c r="AV174" s="240"/>
      <c r="AW174" s="240"/>
      <c r="AX174" s="240"/>
      <c r="AY174" s="240"/>
      <c r="AZ174" s="240"/>
    </row>
    <row r="175" spans="1:52">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c r="AA175" s="240"/>
      <c r="AB175" s="240"/>
      <c r="AC175" s="240"/>
      <c r="AD175" s="240"/>
      <c r="AE175" s="240"/>
      <c r="AF175" s="240"/>
      <c r="AG175" s="240"/>
      <c r="AH175" s="240"/>
      <c r="AI175" s="240"/>
      <c r="AJ175" s="240"/>
      <c r="AK175" s="240"/>
      <c r="AL175" s="240"/>
      <c r="AM175" s="240"/>
      <c r="AN175" s="240"/>
      <c r="AO175" s="240"/>
      <c r="AP175" s="240"/>
      <c r="AQ175" s="240"/>
      <c r="AR175" s="240"/>
      <c r="AS175" s="240"/>
      <c r="AT175" s="240"/>
      <c r="AU175" s="240"/>
      <c r="AV175" s="240"/>
      <c r="AW175" s="240"/>
      <c r="AX175" s="240"/>
      <c r="AY175" s="240"/>
      <c r="AZ175" s="240"/>
    </row>
    <row r="176" spans="1:52">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row>
    <row r="177" spans="1:52">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row>
    <row r="178" spans="1:52">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row>
    <row r="179" spans="1:52">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row>
    <row r="180" spans="1:52">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c r="AA180" s="240"/>
      <c r="AB180" s="240"/>
      <c r="AC180" s="240"/>
      <c r="AD180" s="240"/>
      <c r="AE180" s="240"/>
      <c r="AF180" s="240"/>
      <c r="AG180" s="240"/>
      <c r="AH180" s="240"/>
      <c r="AI180" s="240"/>
      <c r="AJ180" s="240"/>
      <c r="AK180" s="240"/>
      <c r="AL180" s="240"/>
      <c r="AM180" s="240"/>
      <c r="AN180" s="240"/>
      <c r="AO180" s="240"/>
      <c r="AP180" s="240"/>
      <c r="AQ180" s="240"/>
      <c r="AR180" s="240"/>
      <c r="AS180" s="240"/>
      <c r="AT180" s="240"/>
      <c r="AU180" s="240"/>
      <c r="AV180" s="240"/>
      <c r="AW180" s="240"/>
      <c r="AX180" s="240"/>
      <c r="AY180" s="240"/>
      <c r="AZ180" s="240"/>
    </row>
    <row r="181" spans="1:52">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c r="AC181" s="240"/>
      <c r="AD181" s="240"/>
      <c r="AE181" s="240"/>
      <c r="AF181" s="240"/>
      <c r="AG181" s="240"/>
      <c r="AH181" s="240"/>
      <c r="AI181" s="240"/>
      <c r="AJ181" s="240"/>
      <c r="AK181" s="240"/>
      <c r="AL181" s="240"/>
      <c r="AM181" s="240"/>
      <c r="AN181" s="240"/>
      <c r="AO181" s="240"/>
      <c r="AP181" s="240"/>
      <c r="AQ181" s="240"/>
      <c r="AR181" s="240"/>
      <c r="AS181" s="240"/>
      <c r="AT181" s="240"/>
      <c r="AU181" s="240"/>
      <c r="AV181" s="240"/>
      <c r="AW181" s="240"/>
      <c r="AX181" s="240"/>
      <c r="AY181" s="240"/>
      <c r="AZ181" s="240"/>
    </row>
    <row r="182" spans="1:52">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c r="AA182" s="240"/>
      <c r="AB182" s="240"/>
      <c r="AC182" s="240"/>
      <c r="AD182" s="240"/>
      <c r="AE182" s="240"/>
      <c r="AF182" s="240"/>
      <c r="AG182" s="240"/>
      <c r="AH182" s="240"/>
      <c r="AI182" s="240"/>
      <c r="AJ182" s="240"/>
      <c r="AK182" s="240"/>
      <c r="AL182" s="240"/>
      <c r="AM182" s="240"/>
      <c r="AN182" s="240"/>
      <c r="AO182" s="240"/>
      <c r="AP182" s="240"/>
      <c r="AQ182" s="240"/>
      <c r="AR182" s="240"/>
      <c r="AS182" s="240"/>
      <c r="AT182" s="240"/>
      <c r="AU182" s="240"/>
      <c r="AV182" s="240"/>
      <c r="AW182" s="240"/>
      <c r="AX182" s="240"/>
      <c r="AY182" s="240"/>
      <c r="AZ182" s="240"/>
    </row>
    <row r="183" spans="1:52">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c r="AA183" s="240"/>
      <c r="AB183" s="240"/>
      <c r="AC183" s="240"/>
      <c r="AD183" s="240"/>
      <c r="AE183" s="240"/>
      <c r="AF183" s="240"/>
      <c r="AG183" s="240"/>
      <c r="AH183" s="240"/>
      <c r="AI183" s="240"/>
      <c r="AJ183" s="240"/>
      <c r="AK183" s="240"/>
      <c r="AL183" s="240"/>
      <c r="AM183" s="240"/>
      <c r="AN183" s="240"/>
      <c r="AO183" s="240"/>
      <c r="AP183" s="240"/>
      <c r="AQ183" s="240"/>
      <c r="AR183" s="240"/>
      <c r="AS183" s="240"/>
      <c r="AT183" s="240"/>
      <c r="AU183" s="240"/>
      <c r="AV183" s="240"/>
      <c r="AW183" s="240"/>
      <c r="AX183" s="240"/>
      <c r="AY183" s="240"/>
      <c r="AZ183" s="240"/>
    </row>
    <row r="184" spans="1:52">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c r="Y184" s="240"/>
      <c r="Z184" s="240"/>
      <c r="AA184" s="240"/>
      <c r="AB184" s="240"/>
      <c r="AC184" s="240"/>
      <c r="AD184" s="240"/>
      <c r="AE184" s="240"/>
      <c r="AF184" s="240"/>
      <c r="AG184" s="240"/>
      <c r="AH184" s="240"/>
      <c r="AI184" s="240"/>
      <c r="AJ184" s="240"/>
      <c r="AK184" s="240"/>
      <c r="AL184" s="240"/>
      <c r="AM184" s="240"/>
      <c r="AN184" s="240"/>
      <c r="AO184" s="240"/>
      <c r="AP184" s="240"/>
      <c r="AQ184" s="240"/>
      <c r="AR184" s="240"/>
      <c r="AS184" s="240"/>
      <c r="AT184" s="240"/>
      <c r="AU184" s="240"/>
      <c r="AV184" s="240"/>
      <c r="AW184" s="240"/>
      <c r="AX184" s="240"/>
      <c r="AY184" s="240"/>
      <c r="AZ184" s="240"/>
    </row>
    <row r="185" spans="1:52">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40"/>
      <c r="Z185" s="240"/>
      <c r="AA185" s="240"/>
      <c r="AB185" s="240"/>
      <c r="AC185" s="240"/>
      <c r="AD185" s="240"/>
      <c r="AE185" s="240"/>
      <c r="AF185" s="240"/>
      <c r="AG185" s="240"/>
      <c r="AH185" s="240"/>
      <c r="AI185" s="240"/>
      <c r="AJ185" s="240"/>
      <c r="AK185" s="240"/>
      <c r="AL185" s="240"/>
      <c r="AM185" s="240"/>
      <c r="AN185" s="240"/>
      <c r="AO185" s="240"/>
      <c r="AP185" s="240"/>
      <c r="AQ185" s="240"/>
      <c r="AR185" s="240"/>
      <c r="AS185" s="240"/>
      <c r="AT185" s="240"/>
      <c r="AU185" s="240"/>
      <c r="AV185" s="240"/>
      <c r="AW185" s="240"/>
      <c r="AX185" s="240"/>
      <c r="AY185" s="240"/>
      <c r="AZ185" s="240"/>
    </row>
    <row r="186" spans="1:52">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c r="AA186" s="240"/>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row>
    <row r="187" spans="1:52">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c r="AA187" s="240"/>
      <c r="AB187" s="240"/>
      <c r="AC187" s="240"/>
      <c r="AD187" s="240"/>
      <c r="AE187" s="240"/>
      <c r="AF187" s="240"/>
      <c r="AG187" s="240"/>
      <c r="AH187" s="240"/>
      <c r="AI187" s="240"/>
      <c r="AJ187" s="240"/>
      <c r="AK187" s="240"/>
      <c r="AL187" s="240"/>
      <c r="AM187" s="240"/>
      <c r="AN187" s="240"/>
      <c r="AO187" s="240"/>
      <c r="AP187" s="240"/>
      <c r="AQ187" s="240"/>
      <c r="AR187" s="240"/>
      <c r="AS187" s="240"/>
      <c r="AT187" s="240"/>
      <c r="AU187" s="240"/>
      <c r="AV187" s="240"/>
      <c r="AW187" s="240"/>
      <c r="AX187" s="240"/>
      <c r="AY187" s="240"/>
      <c r="AZ187" s="240"/>
    </row>
    <row r="188" spans="1:52">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c r="Y188" s="240"/>
      <c r="Z188" s="240"/>
      <c r="AA188" s="240"/>
      <c r="AB188" s="240"/>
      <c r="AC188" s="240"/>
      <c r="AD188" s="240"/>
      <c r="AE188" s="240"/>
      <c r="AF188" s="240"/>
      <c r="AG188" s="240"/>
      <c r="AH188" s="240"/>
      <c r="AI188" s="240"/>
      <c r="AJ188" s="240"/>
      <c r="AK188" s="240"/>
      <c r="AL188" s="240"/>
      <c r="AM188" s="240"/>
      <c r="AN188" s="240"/>
      <c r="AO188" s="240"/>
      <c r="AP188" s="240"/>
      <c r="AQ188" s="240"/>
      <c r="AR188" s="240"/>
      <c r="AS188" s="240"/>
      <c r="AT188" s="240"/>
      <c r="AU188" s="240"/>
      <c r="AV188" s="240"/>
      <c r="AW188" s="240"/>
      <c r="AX188" s="240"/>
      <c r="AY188" s="240"/>
      <c r="AZ188" s="240"/>
    </row>
    <row r="189" spans="1:52">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c r="Y189" s="240"/>
      <c r="Z189" s="240"/>
      <c r="AA189" s="240"/>
      <c r="AB189" s="240"/>
      <c r="AC189" s="240"/>
      <c r="AD189" s="240"/>
      <c r="AE189" s="240"/>
      <c r="AF189" s="240"/>
      <c r="AG189" s="240"/>
      <c r="AH189" s="240"/>
      <c r="AI189" s="240"/>
      <c r="AJ189" s="240"/>
      <c r="AK189" s="240"/>
      <c r="AL189" s="240"/>
      <c r="AM189" s="240"/>
      <c r="AN189" s="240"/>
      <c r="AO189" s="240"/>
      <c r="AP189" s="240"/>
      <c r="AQ189" s="240"/>
      <c r="AR189" s="240"/>
      <c r="AS189" s="240"/>
      <c r="AT189" s="240"/>
      <c r="AU189" s="240"/>
      <c r="AV189" s="240"/>
      <c r="AW189" s="240"/>
      <c r="AX189" s="240"/>
      <c r="AY189" s="240"/>
      <c r="AZ189" s="240"/>
    </row>
    <row r="190" spans="1:52">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c r="AA190" s="240"/>
      <c r="AB190" s="240"/>
      <c r="AC190" s="240"/>
      <c r="AD190" s="240"/>
      <c r="AE190" s="240"/>
      <c r="AF190" s="240"/>
      <c r="AG190" s="240"/>
      <c r="AH190" s="240"/>
      <c r="AI190" s="240"/>
      <c r="AJ190" s="240"/>
      <c r="AK190" s="240"/>
      <c r="AL190" s="240"/>
      <c r="AM190" s="240"/>
      <c r="AN190" s="240"/>
      <c r="AO190" s="240"/>
      <c r="AP190" s="240"/>
      <c r="AQ190" s="240"/>
      <c r="AR190" s="240"/>
      <c r="AS190" s="240"/>
      <c r="AT190" s="240"/>
      <c r="AU190" s="240"/>
      <c r="AV190" s="240"/>
      <c r="AW190" s="240"/>
      <c r="AX190" s="240"/>
      <c r="AY190" s="240"/>
      <c r="AZ190" s="240"/>
    </row>
    <row r="191" spans="1:52">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c r="AA191" s="240"/>
      <c r="AB191" s="240"/>
      <c r="AC191" s="240"/>
      <c r="AD191" s="240"/>
      <c r="AE191" s="240"/>
      <c r="AF191" s="240"/>
      <c r="AG191" s="240"/>
      <c r="AH191" s="240"/>
      <c r="AI191" s="240"/>
      <c r="AJ191" s="240"/>
      <c r="AK191" s="240"/>
      <c r="AL191" s="240"/>
      <c r="AM191" s="240"/>
      <c r="AN191" s="240"/>
      <c r="AO191" s="240"/>
      <c r="AP191" s="240"/>
      <c r="AQ191" s="240"/>
      <c r="AR191" s="240"/>
      <c r="AS191" s="240"/>
      <c r="AT191" s="240"/>
      <c r="AU191" s="240"/>
      <c r="AV191" s="240"/>
      <c r="AW191" s="240"/>
      <c r="AX191" s="240"/>
      <c r="AY191" s="240"/>
      <c r="AZ191" s="240"/>
    </row>
    <row r="192" spans="1:52">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row>
    <row r="193" spans="1:52">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c r="Y193" s="240"/>
      <c r="Z193" s="240"/>
      <c r="AA193" s="240"/>
      <c r="AB193" s="240"/>
      <c r="AC193" s="240"/>
      <c r="AD193" s="240"/>
      <c r="AE193" s="240"/>
      <c r="AF193" s="240"/>
      <c r="AG193" s="240"/>
      <c r="AH193" s="240"/>
      <c r="AI193" s="240"/>
      <c r="AJ193" s="240"/>
      <c r="AK193" s="240"/>
      <c r="AL193" s="240"/>
      <c r="AM193" s="240"/>
      <c r="AN193" s="240"/>
      <c r="AO193" s="240"/>
      <c r="AP193" s="240"/>
      <c r="AQ193" s="240"/>
      <c r="AR193" s="240"/>
      <c r="AS193" s="240"/>
      <c r="AT193" s="240"/>
      <c r="AU193" s="240"/>
      <c r="AV193" s="240"/>
      <c r="AW193" s="240"/>
      <c r="AX193" s="240"/>
      <c r="AY193" s="240"/>
      <c r="AZ193" s="240"/>
    </row>
    <row r="194" spans="1:52">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c r="Y194" s="240"/>
      <c r="Z194" s="240"/>
      <c r="AA194" s="240"/>
      <c r="AB194" s="240"/>
      <c r="AC194" s="240"/>
      <c r="AD194" s="240"/>
      <c r="AE194" s="240"/>
      <c r="AF194" s="240"/>
      <c r="AG194" s="240"/>
      <c r="AH194" s="240"/>
      <c r="AI194" s="240"/>
      <c r="AJ194" s="240"/>
      <c r="AK194" s="240"/>
      <c r="AL194" s="240"/>
      <c r="AM194" s="240"/>
      <c r="AN194" s="240"/>
      <c r="AO194" s="240"/>
      <c r="AP194" s="240"/>
      <c r="AQ194" s="240"/>
      <c r="AR194" s="240"/>
      <c r="AS194" s="240"/>
      <c r="AT194" s="240"/>
      <c r="AU194" s="240"/>
      <c r="AV194" s="240"/>
      <c r="AW194" s="240"/>
      <c r="AX194" s="240"/>
      <c r="AY194" s="240"/>
      <c r="AZ194" s="240"/>
    </row>
    <row r="195" spans="1:52">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c r="Y195" s="240"/>
      <c r="Z195" s="240"/>
      <c r="AA195" s="240"/>
      <c r="AB195" s="240"/>
      <c r="AC195" s="240"/>
      <c r="AD195" s="240"/>
      <c r="AE195" s="240"/>
      <c r="AF195" s="240"/>
      <c r="AG195" s="240"/>
      <c r="AH195" s="240"/>
      <c r="AI195" s="240"/>
      <c r="AJ195" s="240"/>
      <c r="AK195" s="240"/>
      <c r="AL195" s="240"/>
      <c r="AM195" s="240"/>
      <c r="AN195" s="240"/>
      <c r="AO195" s="240"/>
      <c r="AP195" s="240"/>
      <c r="AQ195" s="240"/>
      <c r="AR195" s="240"/>
      <c r="AS195" s="240"/>
      <c r="AT195" s="240"/>
      <c r="AU195" s="240"/>
      <c r="AV195" s="240"/>
      <c r="AW195" s="240"/>
      <c r="AX195" s="240"/>
      <c r="AY195" s="240"/>
      <c r="AZ195" s="240"/>
    </row>
    <row r="196" spans="1:52">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c r="AA196" s="240"/>
      <c r="AB196" s="240"/>
      <c r="AC196" s="240"/>
      <c r="AD196" s="240"/>
      <c r="AE196" s="240"/>
      <c r="AF196" s="240"/>
      <c r="AG196" s="240"/>
      <c r="AH196" s="240"/>
      <c r="AI196" s="240"/>
      <c r="AJ196" s="240"/>
      <c r="AK196" s="240"/>
      <c r="AL196" s="240"/>
      <c r="AM196" s="240"/>
      <c r="AN196" s="240"/>
      <c r="AO196" s="240"/>
      <c r="AP196" s="240"/>
      <c r="AQ196" s="240"/>
      <c r="AR196" s="240"/>
      <c r="AS196" s="240"/>
      <c r="AT196" s="240"/>
      <c r="AU196" s="240"/>
      <c r="AV196" s="240"/>
      <c r="AW196" s="240"/>
      <c r="AX196" s="240"/>
      <c r="AY196" s="240"/>
      <c r="AZ196" s="240"/>
    </row>
    <row r="197" spans="1:52">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c r="AA197" s="240"/>
      <c r="AB197" s="240"/>
      <c r="AC197" s="240"/>
      <c r="AD197" s="240"/>
      <c r="AE197" s="240"/>
      <c r="AF197" s="240"/>
      <c r="AG197" s="240"/>
      <c r="AH197" s="240"/>
      <c r="AI197" s="240"/>
      <c r="AJ197" s="240"/>
      <c r="AK197" s="240"/>
      <c r="AL197" s="240"/>
      <c r="AM197" s="240"/>
      <c r="AN197" s="240"/>
      <c r="AO197" s="240"/>
      <c r="AP197" s="240"/>
      <c r="AQ197" s="240"/>
      <c r="AR197" s="240"/>
      <c r="AS197" s="240"/>
      <c r="AT197" s="240"/>
      <c r="AU197" s="240"/>
      <c r="AV197" s="240"/>
      <c r="AW197" s="240"/>
      <c r="AX197" s="240"/>
      <c r="AY197" s="240"/>
      <c r="AZ197" s="240"/>
    </row>
    <row r="198" spans="1:52">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c r="Y198" s="240"/>
      <c r="Z198" s="240"/>
      <c r="AA198" s="240"/>
      <c r="AB198" s="240"/>
      <c r="AC198" s="240"/>
      <c r="AD198" s="240"/>
      <c r="AE198" s="240"/>
      <c r="AF198" s="240"/>
      <c r="AG198" s="240"/>
      <c r="AH198" s="240"/>
      <c r="AI198" s="240"/>
      <c r="AJ198" s="240"/>
      <c r="AK198" s="240"/>
      <c r="AL198" s="240"/>
      <c r="AM198" s="240"/>
      <c r="AN198" s="240"/>
      <c r="AO198" s="240"/>
      <c r="AP198" s="240"/>
      <c r="AQ198" s="240"/>
      <c r="AR198" s="240"/>
      <c r="AS198" s="240"/>
      <c r="AT198" s="240"/>
      <c r="AU198" s="240"/>
      <c r="AV198" s="240"/>
      <c r="AW198" s="240"/>
      <c r="AX198" s="240"/>
      <c r="AY198" s="240"/>
      <c r="AZ198" s="240"/>
    </row>
    <row r="199" spans="1:52">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c r="Y199" s="240"/>
      <c r="Z199" s="240"/>
      <c r="AA199" s="240"/>
      <c r="AB199" s="240"/>
      <c r="AC199" s="240"/>
      <c r="AD199" s="240"/>
      <c r="AE199" s="240"/>
      <c r="AF199" s="240"/>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row>
    <row r="200" spans="1:52">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c r="Y200" s="240"/>
      <c r="Z200" s="240"/>
      <c r="AA200" s="240"/>
      <c r="AB200" s="240"/>
      <c r="AC200" s="240"/>
      <c r="AD200" s="240"/>
      <c r="AE200" s="240"/>
      <c r="AF200" s="240"/>
      <c r="AG200" s="240"/>
      <c r="AH200" s="240"/>
      <c r="AI200" s="240"/>
      <c r="AJ200" s="240"/>
      <c r="AK200" s="240"/>
      <c r="AL200" s="240"/>
      <c r="AM200" s="240"/>
      <c r="AN200" s="240"/>
      <c r="AO200" s="240"/>
      <c r="AP200" s="240"/>
      <c r="AQ200" s="240"/>
      <c r="AR200" s="240"/>
      <c r="AS200" s="240"/>
      <c r="AT200" s="240"/>
      <c r="AU200" s="240"/>
      <c r="AV200" s="240"/>
      <c r="AW200" s="240"/>
      <c r="AX200" s="240"/>
      <c r="AY200" s="240"/>
      <c r="AZ200" s="240"/>
    </row>
  </sheetData>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BA200"/>
  <sheetViews>
    <sheetView showGridLines="0" zoomScaleNormal="100" workbookViewId="0">
      <selection activeCell="H32" sqref="H32"/>
    </sheetView>
  </sheetViews>
  <sheetFormatPr defaultRowHeight="12.75"/>
  <cols>
    <col min="1" max="2" width="1.7109375" customWidth="1"/>
    <col min="3" max="14" width="7.42578125" customWidth="1"/>
    <col min="15" max="23" width="3.85546875" customWidth="1"/>
    <col min="24" max="24" width="7.42578125" customWidth="1"/>
  </cols>
  <sheetData>
    <row r="1" spans="1:53">
      <c r="A1" s="18"/>
      <c r="B1" s="18"/>
      <c r="C1" s="27"/>
      <c r="D1" s="27"/>
      <c r="E1" s="27"/>
      <c r="F1" s="27"/>
      <c r="G1" s="25"/>
      <c r="H1" s="508"/>
      <c r="I1" s="508"/>
      <c r="J1" s="63"/>
      <c r="K1" s="508"/>
      <c r="L1" s="508"/>
      <c r="M1" s="508"/>
      <c r="N1" s="64"/>
      <c r="O1" s="64"/>
      <c r="P1" s="64"/>
      <c r="Q1" s="18"/>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4"/>
    </row>
    <row r="2" spans="1:53" ht="15.75">
      <c r="A2" s="25"/>
      <c r="B2" s="25"/>
      <c r="C2" s="507" t="str">
        <f>'DMS input'!$C$16&amp;" - Building Blocks Chart"&amp;" - DNSP PTRM - version "&amp;Intro!L4</f>
        <v>Aus Elec - Building Blocks Chart - DNSP PTRM - version 3</v>
      </c>
      <c r="D2" s="507"/>
      <c r="E2" s="25"/>
      <c r="F2" s="25"/>
      <c r="G2" s="25"/>
      <c r="H2" s="25"/>
      <c r="I2" s="25"/>
      <c r="J2" s="25"/>
      <c r="K2" s="25"/>
      <c r="L2" s="25"/>
      <c r="M2" s="25"/>
      <c r="N2" s="25"/>
      <c r="O2" s="25"/>
      <c r="P2" s="25"/>
      <c r="Q2" s="25"/>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4"/>
    </row>
    <row r="3" spans="1:53" s="7" customFormat="1">
      <c r="A3" s="47"/>
      <c r="B3" s="47"/>
      <c r="C3" s="47"/>
      <c r="D3" s="47"/>
      <c r="E3" s="47"/>
      <c r="F3" s="47"/>
      <c r="G3" s="48"/>
      <c r="H3" s="48"/>
      <c r="I3" s="48"/>
      <c r="J3" s="48"/>
      <c r="K3" s="48"/>
      <c r="L3" s="48"/>
      <c r="M3" s="48"/>
      <c r="N3" s="48"/>
      <c r="O3" s="48"/>
      <c r="P3" s="48"/>
      <c r="Q3" s="48"/>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row>
    <row r="4" spans="1:53" s="7" customFormat="1" ht="15.75">
      <c r="A4" s="125"/>
      <c r="B4" s="113"/>
      <c r="C4" s="126"/>
      <c r="D4" s="127"/>
      <c r="E4" s="127"/>
      <c r="F4" s="127"/>
      <c r="G4" s="128"/>
      <c r="H4" s="128"/>
      <c r="I4" s="128"/>
      <c r="J4" s="128"/>
      <c r="K4" s="128"/>
      <c r="L4" s="128"/>
      <c r="M4" s="128"/>
      <c r="N4" s="128"/>
      <c r="O4" s="128"/>
      <c r="P4" s="128"/>
      <c r="Q4" s="128"/>
      <c r="R4" s="125"/>
      <c r="S4" s="129"/>
      <c r="T4" s="129"/>
      <c r="U4" s="129"/>
      <c r="V4" s="129"/>
      <c r="W4" s="129"/>
      <c r="X4" s="129"/>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row>
    <row r="5" spans="1:53" s="288" customFormat="1">
      <c r="A5" s="293"/>
      <c r="B5" s="293"/>
      <c r="C5" s="294" t="s">
        <v>338</v>
      </c>
      <c r="D5" s="293"/>
      <c r="E5" s="293"/>
      <c r="F5" s="294"/>
      <c r="G5" s="293"/>
      <c r="H5" s="293"/>
      <c r="I5" s="293"/>
      <c r="J5" s="293"/>
      <c r="K5" s="293"/>
      <c r="L5" s="293"/>
      <c r="M5" s="293"/>
      <c r="N5" s="293"/>
      <c r="O5" s="293"/>
      <c r="P5" s="293"/>
      <c r="Q5" s="293"/>
      <c r="R5" s="293"/>
      <c r="S5" s="293"/>
      <c r="T5" s="293"/>
      <c r="U5" s="293"/>
      <c r="V5" s="293"/>
      <c r="W5" s="293"/>
      <c r="X5" s="293"/>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row>
    <row r="6" spans="1:53">
      <c r="A6" s="240"/>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row>
    <row r="7" spans="1:53">
      <c r="A7" s="240"/>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row>
    <row r="8" spans="1:53">
      <c r="A8" s="240"/>
      <c r="B8" s="240"/>
      <c r="C8" s="240"/>
      <c r="D8" s="240"/>
      <c r="E8" s="240"/>
      <c r="F8" s="240"/>
      <c r="G8" s="240"/>
      <c r="H8" s="240"/>
      <c r="I8" s="240"/>
      <c r="J8" s="240"/>
      <c r="K8" s="240"/>
      <c r="L8" s="240"/>
      <c r="M8" s="240"/>
      <c r="N8" s="240"/>
      <c r="O8" s="240"/>
      <c r="P8" s="240"/>
      <c r="Q8" s="240"/>
      <c r="R8" s="240"/>
      <c r="S8" s="240"/>
      <c r="T8" s="240"/>
      <c r="U8" s="240"/>
      <c r="V8" s="240"/>
      <c r="W8" s="240"/>
      <c r="X8" s="240"/>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row>
    <row r="9" spans="1:53">
      <c r="A9" s="240"/>
      <c r="B9" s="240"/>
      <c r="C9" s="240"/>
      <c r="D9" s="240"/>
      <c r="E9" s="240"/>
      <c r="F9" s="240"/>
      <c r="G9" s="240"/>
      <c r="H9" s="240"/>
      <c r="I9" s="240"/>
      <c r="J9" s="240"/>
      <c r="K9" s="240"/>
      <c r="L9" s="240"/>
      <c r="M9" s="240"/>
      <c r="N9" s="240"/>
      <c r="O9" s="240"/>
      <c r="P9" s="240"/>
      <c r="Q9" s="240"/>
      <c r="R9" s="240"/>
      <c r="S9" s="240"/>
      <c r="T9" s="240"/>
      <c r="U9" s="240"/>
      <c r="V9" s="240"/>
      <c r="W9" s="240"/>
      <c r="X9" s="240"/>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row>
    <row r="10" spans="1:53">
      <c r="A10" s="240"/>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row>
    <row r="11" spans="1:53">
      <c r="A11" s="240"/>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row>
    <row r="12" spans="1:53">
      <c r="A12" s="240"/>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row>
    <row r="13" spans="1:53">
      <c r="A13" s="240"/>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row>
    <row r="14" spans="1:53">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row>
    <row r="15" spans="1:53">
      <c r="A15" s="240"/>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row>
    <row r="16" spans="1:53">
      <c r="A16" s="240"/>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row>
    <row r="17" spans="1:52">
      <c r="A17" s="240"/>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row>
    <row r="18" spans="1:52">
      <c r="A18" s="240"/>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row>
    <row r="19" spans="1:52">
      <c r="A19" s="240"/>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row>
    <row r="20" spans="1:52">
      <c r="A20" s="240"/>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row>
    <row r="21" spans="1:52">
      <c r="A21" s="240"/>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0"/>
    </row>
    <row r="22" spans="1:52">
      <c r="A22" s="240"/>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row>
    <row r="23" spans="1:52">
      <c r="A23" s="240"/>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row>
    <row r="24" spans="1:52">
      <c r="A24" s="240"/>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row>
    <row r="25" spans="1:52">
      <c r="A25" s="240"/>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row>
    <row r="26" spans="1:52">
      <c r="A26" s="240"/>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row>
    <row r="27" spans="1:52">
      <c r="A27" s="240"/>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row>
    <row r="28" spans="1:5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row>
    <row r="29" spans="1:52">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row>
    <row r="30" spans="1:5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row>
    <row r="31" spans="1:5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row>
    <row r="32" spans="1:5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row>
    <row r="33" spans="1:5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row>
    <row r="34" spans="1:52">
      <c r="A34" s="240"/>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row>
    <row r="35" spans="1:52">
      <c r="A35" s="240"/>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row>
    <row r="36" spans="1:52">
      <c r="A36" s="240"/>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row>
    <row r="37" spans="1:52">
      <c r="A37" s="240"/>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240"/>
      <c r="AW37" s="240"/>
      <c r="AX37" s="240"/>
      <c r="AY37" s="240"/>
      <c r="AZ37" s="240"/>
    </row>
    <row r="38" spans="1:52">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row>
    <row r="39" spans="1:52">
      <c r="A39" s="240"/>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row>
    <row r="40" spans="1:52">
      <c r="A40" s="240"/>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row>
    <row r="41" spans="1:52">
      <c r="A41" s="240"/>
      <c r="B41" s="240"/>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0"/>
      <c r="AD41" s="240"/>
      <c r="AE41" s="240"/>
      <c r="AF41" s="240"/>
      <c r="AG41" s="240"/>
      <c r="AH41" s="240"/>
      <c r="AI41" s="240"/>
      <c r="AJ41" s="240"/>
      <c r="AK41" s="240"/>
      <c r="AL41" s="240"/>
      <c r="AM41" s="240"/>
      <c r="AN41" s="240"/>
      <c r="AO41" s="240"/>
      <c r="AP41" s="240"/>
      <c r="AQ41" s="240"/>
      <c r="AR41" s="240"/>
      <c r="AS41" s="240"/>
      <c r="AT41" s="240"/>
      <c r="AU41" s="240"/>
      <c r="AV41" s="240"/>
      <c r="AW41" s="240"/>
      <c r="AX41" s="240"/>
      <c r="AY41" s="240"/>
      <c r="AZ41" s="240"/>
    </row>
    <row r="42" spans="1:52">
      <c r="A42" s="240"/>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240"/>
      <c r="AT42" s="240"/>
      <c r="AU42" s="240"/>
      <c r="AV42" s="240"/>
      <c r="AW42" s="240"/>
      <c r="AX42" s="240"/>
      <c r="AY42" s="240"/>
      <c r="AZ42" s="240"/>
    </row>
    <row r="43" spans="1:52">
      <c r="A43" s="240"/>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row>
    <row r="44" spans="1:52">
      <c r="A44" s="240"/>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row>
    <row r="45" spans="1:52">
      <c r="A45" s="240"/>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row>
    <row r="46" spans="1:52">
      <c r="A46" s="240"/>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row>
    <row r="47" spans="1:52">
      <c r="A47" s="240"/>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row>
    <row r="48" spans="1:52">
      <c r="A48" s="240"/>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row>
    <row r="49" spans="1:52">
      <c r="A49" s="240"/>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row>
    <row r="50" spans="1:52">
      <c r="A50" s="240"/>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row>
    <row r="51" spans="1:52">
      <c r="A51" s="240"/>
      <c r="B51" s="240"/>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row>
    <row r="52" spans="1:52">
      <c r="A52" s="240"/>
      <c r="B52" s="240"/>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row>
    <row r="53" spans="1:52">
      <c r="A53" s="240"/>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row>
    <row r="54" spans="1:52">
      <c r="A54" s="240"/>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row>
    <row r="55" spans="1:52">
      <c r="A55" s="240"/>
      <c r="B55" s="240"/>
      <c r="C55" s="240"/>
      <c r="D55" s="240"/>
      <c r="E55" s="240"/>
      <c r="F55" s="240"/>
      <c r="G55" s="240"/>
      <c r="H55" s="240"/>
      <c r="I55" s="240"/>
      <c r="J55" s="240"/>
      <c r="K55" s="240"/>
      <c r="L55" s="240"/>
      <c r="M55" s="240"/>
      <c r="N55" s="240"/>
      <c r="O55" s="240"/>
      <c r="P55" s="240"/>
      <c r="Q55" s="240"/>
      <c r="R55" s="240"/>
      <c r="S55" s="240"/>
      <c r="T55" s="240"/>
      <c r="U55" s="240"/>
      <c r="V55" s="240"/>
      <c r="W55" s="240"/>
      <c r="X55" s="240"/>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row>
    <row r="56" spans="1:52">
      <c r="A56" s="240"/>
      <c r="B56" s="240"/>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row>
    <row r="57" spans="1:52">
      <c r="A57" s="240"/>
      <c r="B57" s="240"/>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row>
    <row r="58" spans="1:52">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row>
    <row r="59" spans="1:52">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row>
    <row r="60" spans="1:52">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row>
    <row r="61" spans="1:52">
      <c r="A61" s="240"/>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row>
    <row r="62" spans="1:52">
      <c r="A62" s="240"/>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row>
    <row r="63" spans="1:52">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row>
    <row r="64" spans="1:52">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row>
    <row r="65" spans="1:52">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row>
    <row r="66" spans="1:52">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row>
    <row r="67" spans="1:52">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row>
    <row r="68" spans="1:52">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row>
    <row r="69" spans="1:52">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row>
    <row r="70" spans="1:52">
      <c r="A70" s="287"/>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row>
    <row r="71" spans="1:52">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row>
    <row r="72" spans="1:52">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row>
    <row r="73" spans="1:52">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row>
    <row r="74" spans="1:52">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row>
    <row r="75" spans="1:52">
      <c r="A75" s="287"/>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row>
    <row r="76" spans="1:52">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row>
    <row r="77" spans="1:52">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row>
    <row r="78" spans="1:52">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row>
    <row r="79" spans="1:52">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row>
    <row r="80" spans="1:52">
      <c r="A80" s="287"/>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row>
    <row r="81" spans="1:52">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row>
    <row r="82" spans="1:52">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row>
    <row r="83" spans="1:52">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row>
    <row r="84" spans="1:52">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row>
    <row r="85" spans="1:52">
      <c r="A85" s="287"/>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row>
    <row r="86" spans="1:52">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row>
    <row r="87" spans="1:52">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row>
    <row r="88" spans="1:52">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row>
    <row r="89" spans="1:52">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row>
    <row r="90" spans="1:52">
      <c r="A90" s="287"/>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287"/>
    </row>
    <row r="91" spans="1:52">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row>
    <row r="92" spans="1:52">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row>
    <row r="93" spans="1:52">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row>
    <row r="94" spans="1:52">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row>
    <row r="95" spans="1:52">
      <c r="A95" s="287"/>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row>
    <row r="96" spans="1:52">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row>
    <row r="97" spans="1:52">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row>
    <row r="98" spans="1:52">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row>
    <row r="99" spans="1:52">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row>
    <row r="100" spans="1:52">
      <c r="A100" s="287"/>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287"/>
      <c r="AN100" s="287"/>
      <c r="AO100" s="287"/>
      <c r="AP100" s="287"/>
      <c r="AQ100" s="287"/>
      <c r="AR100" s="287"/>
      <c r="AS100" s="287"/>
      <c r="AT100" s="287"/>
      <c r="AU100" s="287"/>
      <c r="AV100" s="287"/>
      <c r="AW100" s="287"/>
      <c r="AX100" s="287"/>
      <c r="AY100" s="287"/>
      <c r="AZ100" s="287"/>
    </row>
    <row r="101" spans="1:52">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row>
    <row r="102" spans="1:52">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row>
    <row r="103" spans="1:52">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row>
    <row r="104" spans="1:52">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row>
    <row r="105" spans="1:52">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c r="AY105" s="287"/>
      <c r="AZ105" s="287"/>
    </row>
    <row r="106" spans="1:52">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row>
    <row r="107" spans="1:52">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row>
    <row r="108" spans="1:52">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row>
    <row r="109" spans="1:52">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row>
    <row r="110" spans="1:52">
      <c r="A110" s="287"/>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7"/>
      <c r="AL110" s="287"/>
      <c r="AM110" s="287"/>
      <c r="AN110" s="287"/>
      <c r="AO110" s="287"/>
      <c r="AP110" s="287"/>
      <c r="AQ110" s="287"/>
      <c r="AR110" s="287"/>
      <c r="AS110" s="287"/>
      <c r="AT110" s="287"/>
      <c r="AU110" s="287"/>
      <c r="AV110" s="287"/>
      <c r="AW110" s="287"/>
      <c r="AX110" s="287"/>
      <c r="AY110" s="287"/>
      <c r="AZ110" s="287"/>
    </row>
    <row r="111" spans="1:52">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row>
    <row r="112" spans="1:52">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row>
    <row r="113" spans="1:52">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row>
    <row r="114" spans="1:52">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row>
    <row r="115" spans="1:52">
      <c r="A115" s="287"/>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7"/>
      <c r="AL115" s="287"/>
      <c r="AM115" s="287"/>
      <c r="AN115" s="287"/>
      <c r="AO115" s="287"/>
      <c r="AP115" s="287"/>
      <c r="AQ115" s="287"/>
      <c r="AR115" s="287"/>
      <c r="AS115" s="287"/>
      <c r="AT115" s="287"/>
      <c r="AU115" s="287"/>
      <c r="AV115" s="287"/>
      <c r="AW115" s="287"/>
      <c r="AX115" s="287"/>
      <c r="AY115" s="287"/>
      <c r="AZ115" s="287"/>
    </row>
    <row r="116" spans="1:52">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row>
    <row r="117" spans="1:52">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row>
    <row r="118" spans="1:52">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row>
    <row r="119" spans="1:52">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row>
    <row r="120" spans="1:52">
      <c r="A120" s="287"/>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c r="AX120" s="287"/>
      <c r="AY120" s="287"/>
      <c r="AZ120" s="287"/>
    </row>
    <row r="121" spans="1:52">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row>
    <row r="122" spans="1:52">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row>
    <row r="123" spans="1:52">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row>
    <row r="124" spans="1:52">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row>
    <row r="125" spans="1:52">
      <c r="A125" s="287"/>
      <c r="B125" s="28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7"/>
      <c r="AL125" s="287"/>
      <c r="AM125" s="287"/>
      <c r="AN125" s="287"/>
      <c r="AO125" s="287"/>
      <c r="AP125" s="287"/>
      <c r="AQ125" s="287"/>
      <c r="AR125" s="287"/>
      <c r="AS125" s="287"/>
      <c r="AT125" s="287"/>
      <c r="AU125" s="287"/>
      <c r="AV125" s="287"/>
      <c r="AW125" s="287"/>
      <c r="AX125" s="287"/>
      <c r="AY125" s="287"/>
      <c r="AZ125" s="287"/>
    </row>
    <row r="126" spans="1:52">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row>
    <row r="127" spans="1:52">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row>
    <row r="128" spans="1:52">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row>
    <row r="129" spans="1:52">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row>
    <row r="130" spans="1:52">
      <c r="A130" s="287"/>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c r="AI130" s="287"/>
      <c r="AJ130" s="287"/>
      <c r="AK130" s="287"/>
      <c r="AL130" s="287"/>
      <c r="AM130" s="287"/>
      <c r="AN130" s="287"/>
      <c r="AO130" s="287"/>
      <c r="AP130" s="287"/>
      <c r="AQ130" s="287"/>
      <c r="AR130" s="287"/>
      <c r="AS130" s="287"/>
      <c r="AT130" s="287"/>
      <c r="AU130" s="287"/>
      <c r="AV130" s="287"/>
      <c r="AW130" s="287"/>
      <c r="AX130" s="287"/>
      <c r="AY130" s="287"/>
      <c r="AZ130" s="287"/>
    </row>
    <row r="131" spans="1:52">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row>
    <row r="132" spans="1:52">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row>
    <row r="133" spans="1:52">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row>
    <row r="134" spans="1:52">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row>
    <row r="135" spans="1:52">
      <c r="A135" s="287"/>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c r="AK135" s="287"/>
      <c r="AL135" s="287"/>
      <c r="AM135" s="287"/>
      <c r="AN135" s="287"/>
      <c r="AO135" s="287"/>
      <c r="AP135" s="287"/>
      <c r="AQ135" s="287"/>
      <c r="AR135" s="287"/>
      <c r="AS135" s="287"/>
      <c r="AT135" s="287"/>
      <c r="AU135" s="287"/>
      <c r="AV135" s="287"/>
      <c r="AW135" s="287"/>
      <c r="AX135" s="287"/>
      <c r="AY135" s="287"/>
      <c r="AZ135" s="287"/>
    </row>
    <row r="136" spans="1:52">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c r="AA136" s="240"/>
      <c r="AB136" s="240"/>
      <c r="AC136" s="240"/>
      <c r="AD136" s="240"/>
      <c r="AE136" s="240"/>
      <c r="AF136" s="240"/>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row>
    <row r="137" spans="1:52">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row>
    <row r="138" spans="1:52">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row>
    <row r="139" spans="1:52">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row>
    <row r="140" spans="1:52">
      <c r="A140" s="287"/>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c r="AI140" s="287"/>
      <c r="AJ140" s="287"/>
      <c r="AK140" s="287"/>
      <c r="AL140" s="287"/>
      <c r="AM140" s="287"/>
      <c r="AN140" s="287"/>
      <c r="AO140" s="287"/>
      <c r="AP140" s="287"/>
      <c r="AQ140" s="287"/>
      <c r="AR140" s="287"/>
      <c r="AS140" s="287"/>
      <c r="AT140" s="287"/>
      <c r="AU140" s="287"/>
      <c r="AV140" s="287"/>
      <c r="AW140" s="287"/>
      <c r="AX140" s="287"/>
      <c r="AY140" s="287"/>
      <c r="AZ140" s="287"/>
    </row>
    <row r="141" spans="1:52">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c r="AA141" s="240"/>
      <c r="AB141" s="240"/>
      <c r="AC141" s="240"/>
      <c r="AD141" s="240"/>
      <c r="AE141" s="240"/>
      <c r="AF141" s="240"/>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row>
    <row r="142" spans="1:52">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row>
    <row r="143" spans="1:52">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row>
    <row r="144" spans="1:52">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row>
    <row r="145" spans="1:52">
      <c r="A145" s="287"/>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c r="AJ145" s="287"/>
      <c r="AK145" s="287"/>
      <c r="AL145" s="287"/>
      <c r="AM145" s="287"/>
      <c r="AN145" s="287"/>
      <c r="AO145" s="287"/>
      <c r="AP145" s="287"/>
      <c r="AQ145" s="287"/>
      <c r="AR145" s="287"/>
      <c r="AS145" s="287"/>
      <c r="AT145" s="287"/>
      <c r="AU145" s="287"/>
      <c r="AV145" s="287"/>
      <c r="AW145" s="287"/>
      <c r="AX145" s="287"/>
      <c r="AY145" s="287"/>
      <c r="AZ145" s="287"/>
    </row>
    <row r="146" spans="1:52">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c r="AC146" s="240"/>
      <c r="AD146" s="240"/>
      <c r="AE146" s="240"/>
      <c r="AF146" s="240"/>
      <c r="AG146" s="240"/>
      <c r="AH146" s="240"/>
      <c r="AI146" s="240"/>
      <c r="AJ146" s="240"/>
      <c r="AK146" s="240"/>
      <c r="AL146" s="240"/>
      <c r="AM146" s="240"/>
      <c r="AN146" s="240"/>
      <c r="AO146" s="240"/>
      <c r="AP146" s="240"/>
      <c r="AQ146" s="240"/>
      <c r="AR146" s="240"/>
      <c r="AS146" s="240"/>
      <c r="AT146" s="240"/>
      <c r="AU146" s="240"/>
      <c r="AV146" s="240"/>
      <c r="AW146" s="240"/>
      <c r="AX146" s="240"/>
      <c r="AY146" s="240"/>
      <c r="AZ146" s="240"/>
    </row>
    <row r="147" spans="1:52">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row>
    <row r="148" spans="1:52">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row>
    <row r="149" spans="1:52">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row>
    <row r="150" spans="1:52">
      <c r="A150" s="287"/>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row>
    <row r="151" spans="1:52">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row>
    <row r="152" spans="1:52">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row>
    <row r="153" spans="1:52">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row>
    <row r="154" spans="1:52">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row>
    <row r="155" spans="1:52">
      <c r="A155" s="287"/>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row>
    <row r="156" spans="1:52">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c r="AA156" s="240"/>
      <c r="AB156" s="240"/>
      <c r="AC156" s="240"/>
      <c r="AD156" s="240"/>
      <c r="AE156" s="240"/>
      <c r="AF156" s="240"/>
      <c r="AG156" s="240"/>
      <c r="AH156" s="240"/>
      <c r="AI156" s="240"/>
      <c r="AJ156" s="240"/>
      <c r="AK156" s="240"/>
      <c r="AL156" s="240"/>
      <c r="AM156" s="240"/>
      <c r="AN156" s="240"/>
      <c r="AO156" s="240"/>
      <c r="AP156" s="240"/>
      <c r="AQ156" s="240"/>
      <c r="AR156" s="240"/>
      <c r="AS156" s="240"/>
      <c r="AT156" s="240"/>
      <c r="AU156" s="240"/>
      <c r="AV156" s="240"/>
      <c r="AW156" s="240"/>
      <c r="AX156" s="240"/>
      <c r="AY156" s="240"/>
      <c r="AZ156" s="240"/>
    </row>
    <row r="157" spans="1:52">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0"/>
      <c r="AA157" s="240"/>
      <c r="AB157" s="240"/>
      <c r="AC157" s="240"/>
      <c r="AD157" s="240"/>
      <c r="AE157" s="240"/>
      <c r="AF157" s="240"/>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row>
    <row r="158" spans="1:52">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row>
    <row r="159" spans="1:52">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row>
    <row r="160" spans="1:52">
      <c r="A160" s="287"/>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row>
    <row r="161" spans="1:52">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c r="AA161" s="240"/>
      <c r="AB161" s="240"/>
      <c r="AC161" s="240"/>
      <c r="AD161" s="240"/>
      <c r="AE161" s="240"/>
      <c r="AF161" s="240"/>
      <c r="AG161" s="240"/>
      <c r="AH161" s="240"/>
      <c r="AI161" s="240"/>
      <c r="AJ161" s="240"/>
      <c r="AK161" s="240"/>
      <c r="AL161" s="240"/>
      <c r="AM161" s="240"/>
      <c r="AN161" s="240"/>
      <c r="AO161" s="240"/>
      <c r="AP161" s="240"/>
      <c r="AQ161" s="240"/>
      <c r="AR161" s="240"/>
      <c r="AS161" s="240"/>
      <c r="AT161" s="240"/>
      <c r="AU161" s="240"/>
      <c r="AV161" s="240"/>
      <c r="AW161" s="240"/>
      <c r="AX161" s="240"/>
      <c r="AY161" s="240"/>
      <c r="AZ161" s="240"/>
    </row>
    <row r="162" spans="1:52">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c r="AA162" s="240"/>
      <c r="AB162" s="240"/>
      <c r="AC162" s="240"/>
      <c r="AD162" s="240"/>
      <c r="AE162" s="240"/>
      <c r="AF162" s="240"/>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row>
    <row r="163" spans="1:52">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row>
    <row r="164" spans="1:52">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row>
    <row r="165" spans="1:52">
      <c r="A165" s="287"/>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c r="AZ165" s="287"/>
    </row>
    <row r="166" spans="1:52">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row>
    <row r="167" spans="1:52">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c r="AA167" s="240"/>
      <c r="AB167" s="240"/>
      <c r="AC167" s="240"/>
      <c r="AD167" s="240"/>
      <c r="AE167" s="240"/>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row>
    <row r="168" spans="1:52">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row>
    <row r="169" spans="1:52">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row>
    <row r="170" spans="1:52">
      <c r="A170" s="287"/>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87"/>
      <c r="AE170" s="287"/>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row>
    <row r="171" spans="1:52">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c r="AA171" s="240"/>
      <c r="AB171" s="240"/>
      <c r="AC171" s="240"/>
      <c r="AD171" s="240"/>
      <c r="AE171" s="240"/>
      <c r="AF171" s="240"/>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row>
    <row r="172" spans="1:52">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c r="AA172" s="240"/>
      <c r="AB172" s="240"/>
      <c r="AC172" s="240"/>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240"/>
      <c r="AZ172" s="240"/>
    </row>
    <row r="173" spans="1:52">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row>
    <row r="174" spans="1:52">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row>
    <row r="175" spans="1:52">
      <c r="A175" s="287"/>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287"/>
      <c r="AE175" s="287"/>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row>
    <row r="176" spans="1:52">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row>
    <row r="177" spans="1:52">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row>
    <row r="178" spans="1:52">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row>
    <row r="179" spans="1:52">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row>
    <row r="180" spans="1:52">
      <c r="A180" s="287"/>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287"/>
      <c r="AE180" s="287"/>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row>
    <row r="181" spans="1:52">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c r="AC181" s="240"/>
      <c r="AD181" s="240"/>
      <c r="AE181" s="240"/>
      <c r="AF181" s="240"/>
      <c r="AG181" s="240"/>
      <c r="AH181" s="240"/>
      <c r="AI181" s="240"/>
      <c r="AJ181" s="240"/>
      <c r="AK181" s="240"/>
      <c r="AL181" s="240"/>
      <c r="AM181" s="240"/>
      <c r="AN181" s="240"/>
      <c r="AO181" s="240"/>
      <c r="AP181" s="240"/>
      <c r="AQ181" s="240"/>
      <c r="AR181" s="240"/>
      <c r="AS181" s="240"/>
      <c r="AT181" s="240"/>
      <c r="AU181" s="240"/>
      <c r="AV181" s="240"/>
      <c r="AW181" s="240"/>
      <c r="AX181" s="240"/>
      <c r="AY181" s="240"/>
      <c r="AZ181" s="240"/>
    </row>
    <row r="182" spans="1:52">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c r="AA182" s="240"/>
      <c r="AB182" s="240"/>
      <c r="AC182" s="240"/>
      <c r="AD182" s="240"/>
      <c r="AE182" s="240"/>
      <c r="AF182" s="240"/>
      <c r="AG182" s="240"/>
      <c r="AH182" s="240"/>
      <c r="AI182" s="240"/>
      <c r="AJ182" s="240"/>
      <c r="AK182" s="240"/>
      <c r="AL182" s="240"/>
      <c r="AM182" s="240"/>
      <c r="AN182" s="240"/>
      <c r="AO182" s="240"/>
      <c r="AP182" s="240"/>
      <c r="AQ182" s="240"/>
      <c r="AR182" s="240"/>
      <c r="AS182" s="240"/>
      <c r="AT182" s="240"/>
      <c r="AU182" s="240"/>
      <c r="AV182" s="240"/>
      <c r="AW182" s="240"/>
      <c r="AX182" s="240"/>
      <c r="AY182" s="240"/>
      <c r="AZ182" s="240"/>
    </row>
    <row r="183" spans="1:52">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row>
    <row r="184" spans="1:52">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row>
    <row r="185" spans="1:52">
      <c r="A185" s="287"/>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287"/>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row>
    <row r="186" spans="1:52">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c r="AA186" s="240"/>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row>
    <row r="187" spans="1:52">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c r="AA187" s="240"/>
      <c r="AB187" s="240"/>
      <c r="AC187" s="240"/>
      <c r="AD187" s="240"/>
      <c r="AE187" s="240"/>
      <c r="AF187" s="240"/>
      <c r="AG187" s="240"/>
      <c r="AH187" s="240"/>
      <c r="AI187" s="240"/>
      <c r="AJ187" s="240"/>
      <c r="AK187" s="240"/>
      <c r="AL187" s="240"/>
      <c r="AM187" s="240"/>
      <c r="AN187" s="240"/>
      <c r="AO187" s="240"/>
      <c r="AP187" s="240"/>
      <c r="AQ187" s="240"/>
      <c r="AR187" s="240"/>
      <c r="AS187" s="240"/>
      <c r="AT187" s="240"/>
      <c r="AU187" s="240"/>
      <c r="AV187" s="240"/>
      <c r="AW187" s="240"/>
      <c r="AX187" s="240"/>
      <c r="AY187" s="240"/>
      <c r="AZ187" s="240"/>
    </row>
    <row r="188" spans="1:52">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row>
    <row r="189" spans="1:52">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row>
    <row r="190" spans="1:52">
      <c r="A190" s="287"/>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287"/>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row>
    <row r="191" spans="1:52">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c r="AA191" s="240"/>
      <c r="AB191" s="240"/>
      <c r="AC191" s="240"/>
      <c r="AD191" s="240"/>
      <c r="AE191" s="240"/>
      <c r="AF191" s="240"/>
      <c r="AG191" s="240"/>
      <c r="AH191" s="240"/>
      <c r="AI191" s="240"/>
      <c r="AJ191" s="240"/>
      <c r="AK191" s="240"/>
      <c r="AL191" s="240"/>
      <c r="AM191" s="240"/>
      <c r="AN191" s="240"/>
      <c r="AO191" s="240"/>
      <c r="AP191" s="240"/>
      <c r="AQ191" s="240"/>
      <c r="AR191" s="240"/>
      <c r="AS191" s="240"/>
      <c r="AT191" s="240"/>
      <c r="AU191" s="240"/>
      <c r="AV191" s="240"/>
      <c r="AW191" s="240"/>
      <c r="AX191" s="240"/>
      <c r="AY191" s="240"/>
      <c r="AZ191" s="240"/>
    </row>
    <row r="192" spans="1:52">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row>
    <row r="193" spans="1:52">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row>
    <row r="194" spans="1:52">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row>
    <row r="195" spans="1:52">
      <c r="A195" s="287"/>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287"/>
      <c r="AE195" s="287"/>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row>
    <row r="196" spans="1:52">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c r="AA196" s="240"/>
      <c r="AB196" s="240"/>
      <c r="AC196" s="240"/>
      <c r="AD196" s="240"/>
      <c r="AE196" s="240"/>
      <c r="AF196" s="240"/>
      <c r="AG196" s="240"/>
      <c r="AH196" s="240"/>
      <c r="AI196" s="240"/>
      <c r="AJ196" s="240"/>
      <c r="AK196" s="240"/>
      <c r="AL196" s="240"/>
      <c r="AM196" s="240"/>
      <c r="AN196" s="240"/>
      <c r="AO196" s="240"/>
      <c r="AP196" s="240"/>
      <c r="AQ196" s="240"/>
      <c r="AR196" s="240"/>
      <c r="AS196" s="240"/>
      <c r="AT196" s="240"/>
      <c r="AU196" s="240"/>
      <c r="AV196" s="240"/>
      <c r="AW196" s="240"/>
      <c r="AX196" s="240"/>
      <c r="AY196" s="240"/>
      <c r="AZ196" s="240"/>
    </row>
    <row r="197" spans="1:52">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c r="AA197" s="240"/>
      <c r="AB197" s="240"/>
      <c r="AC197" s="240"/>
      <c r="AD197" s="240"/>
      <c r="AE197" s="240"/>
      <c r="AF197" s="240"/>
      <c r="AG197" s="240"/>
      <c r="AH197" s="240"/>
      <c r="AI197" s="240"/>
      <c r="AJ197" s="240"/>
      <c r="AK197" s="240"/>
      <c r="AL197" s="240"/>
      <c r="AM197" s="240"/>
      <c r="AN197" s="240"/>
      <c r="AO197" s="240"/>
      <c r="AP197" s="240"/>
      <c r="AQ197" s="240"/>
      <c r="AR197" s="240"/>
      <c r="AS197" s="240"/>
      <c r="AT197" s="240"/>
      <c r="AU197" s="240"/>
      <c r="AV197" s="240"/>
      <c r="AW197" s="240"/>
      <c r="AX197" s="240"/>
      <c r="AY197" s="240"/>
      <c r="AZ197" s="240"/>
    </row>
    <row r="198" spans="1:52">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row>
    <row r="199" spans="1:52">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row>
    <row r="200" spans="1:52">
      <c r="A200" s="287"/>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287"/>
      <c r="AE200" s="287"/>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row>
  </sheetData>
  <pageMargins left="0.7" right="0.7" top="0.75" bottom="0.75" header="0.3" footer="0.3"/>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499984740745262"/>
    <pageSetUpPr autoPageBreaks="0"/>
  </sheetPr>
  <dimension ref="A1:AQ94"/>
  <sheetViews>
    <sheetView showGridLines="0" zoomScale="85" zoomScaleNormal="85" workbookViewId="0">
      <selection activeCell="B16" sqref="B16"/>
    </sheetView>
  </sheetViews>
  <sheetFormatPr defaultColWidth="9.140625" defaultRowHeight="15"/>
  <cols>
    <col min="1" max="1" width="36.28515625" style="1020" customWidth="1"/>
    <col min="2" max="2" width="44.5703125" style="859" customWidth="1"/>
    <col min="3" max="3" width="21.85546875" style="859" customWidth="1"/>
    <col min="4" max="4" width="33.42578125" style="859" customWidth="1"/>
    <col min="5" max="7" width="17.28515625" style="859" customWidth="1"/>
    <col min="8" max="9" width="13.28515625" style="859" customWidth="1"/>
    <col min="10" max="10" width="20.140625" style="853" customWidth="1"/>
    <col min="11" max="12" width="9.140625" style="853"/>
    <col min="13" max="13" width="11.42578125" style="853" customWidth="1"/>
    <col min="14" max="14" width="9.85546875" style="853" customWidth="1"/>
    <col min="15" max="15" width="9.140625" style="881"/>
    <col min="16" max="19" width="9.140625" style="853"/>
    <col min="20" max="22" width="17.28515625" style="859" customWidth="1"/>
    <col min="23" max="24" width="13.28515625" style="859" customWidth="1"/>
    <col min="25" max="39" width="9.140625" style="859"/>
    <col min="40" max="40" width="37" style="859" customWidth="1"/>
    <col min="41" max="16384" width="9.140625" style="859"/>
  </cols>
  <sheetData>
    <row r="1" spans="2:43" ht="24" customHeight="1">
      <c r="B1" s="851" t="str">
        <f>IF(dms_DataQuality="backcast",INDEX(dms_Worksheet_List,MATCH(dms_Model,dms_Model_List))&amp;" BACKCAST",INDEX(dms_Worksheet_List,MATCH(dms_Model,dms_Model_List)))</f>
        <v>POST TAX REVENUE MODEL</v>
      </c>
      <c r="C1" s="852"/>
      <c r="D1" s="852"/>
      <c r="E1" s="852"/>
      <c r="F1" s="852"/>
      <c r="G1" s="852"/>
      <c r="H1" s="852"/>
      <c r="I1" s="852"/>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c r="AN1" s="1020"/>
      <c r="AO1" s="1020"/>
      <c r="AP1" s="1020"/>
      <c r="AQ1" s="1020"/>
    </row>
    <row r="2" spans="2:43" ht="24" customHeight="1">
      <c r="B2" s="854" t="str">
        <f>INDEX(dms_TradingNameFull_List,MATCH(dms_TradingName,dms_TradingName_List))</f>
        <v>Australian Distribution Co.</v>
      </c>
      <c r="C2" s="852"/>
      <c r="D2" s="852"/>
      <c r="E2" s="852"/>
      <c r="F2" s="852"/>
      <c r="G2" s="852"/>
      <c r="H2" s="852"/>
      <c r="I2" s="852"/>
      <c r="M2" s="1020"/>
      <c r="N2" s="1020"/>
      <c r="O2" s="1020"/>
      <c r="P2" s="1020"/>
      <c r="Q2" s="1020"/>
      <c r="R2" s="1020"/>
      <c r="S2" s="1020"/>
      <c r="T2" s="1020"/>
      <c r="U2" s="1020"/>
      <c r="V2" s="1020"/>
      <c r="W2" s="1020"/>
      <c r="X2" s="1020"/>
      <c r="Y2" s="1020"/>
      <c r="Z2" s="1020"/>
      <c r="AA2" s="1020"/>
      <c r="AB2" s="1020"/>
      <c r="AC2" s="1020"/>
      <c r="AD2" s="1020"/>
      <c r="AE2" s="1020"/>
      <c r="AF2" s="1020"/>
      <c r="AG2" s="1020"/>
      <c r="AH2" s="1020"/>
      <c r="AI2" s="1020"/>
      <c r="AJ2" s="1020"/>
      <c r="AK2" s="1020"/>
      <c r="AL2" s="1020"/>
      <c r="AM2" s="1020"/>
      <c r="AN2" s="1020"/>
      <c r="AO2" s="1020"/>
      <c r="AP2" s="1020"/>
      <c r="AQ2" s="1020"/>
    </row>
    <row r="3" spans="2:43" ht="24" customHeight="1">
      <c r="B3" s="854" t="str">
        <f ca="1">IF(SUM(dms_SingleYear_Model)&gt;0,CRY,CONCATENATE(FRCP_y1," to ",dms_MultiYear_FinalYear_Result))</f>
        <v>2019-20 to 2023-24</v>
      </c>
      <c r="C3" s="855"/>
      <c r="D3" s="856"/>
      <c r="E3" s="856"/>
      <c r="F3" s="856"/>
      <c r="G3" s="856"/>
      <c r="H3" s="856"/>
      <c r="I3" s="856"/>
      <c r="M3" s="1020"/>
      <c r="N3" s="1020"/>
      <c r="O3" s="1020"/>
      <c r="P3" s="1020"/>
      <c r="Q3" s="1020"/>
      <c r="R3" s="1020"/>
      <c r="S3" s="1020"/>
      <c r="T3" s="1020"/>
      <c r="U3" s="1020"/>
      <c r="V3" s="1020"/>
      <c r="W3" s="1020"/>
      <c r="X3" s="1020"/>
      <c r="Y3" s="1020"/>
      <c r="Z3" s="1020"/>
      <c r="AA3" s="1020"/>
      <c r="AB3" s="1020"/>
      <c r="AC3" s="1020"/>
      <c r="AD3" s="1020"/>
      <c r="AE3" s="1020"/>
      <c r="AF3" s="1020"/>
      <c r="AG3" s="1020"/>
      <c r="AH3" s="1020"/>
      <c r="AI3" s="1020"/>
      <c r="AJ3" s="1020"/>
      <c r="AK3" s="1020"/>
      <c r="AL3" s="1020"/>
      <c r="AM3" s="1020"/>
      <c r="AN3" s="1020"/>
      <c r="AO3" s="1020"/>
      <c r="AP3" s="1020"/>
      <c r="AQ3" s="1020"/>
    </row>
    <row r="4" spans="2:43" ht="24" customHeight="1">
      <c r="B4" s="857" t="s">
        <v>513</v>
      </c>
      <c r="C4" s="857"/>
      <c r="D4" s="857"/>
      <c r="E4" s="857"/>
      <c r="F4" s="857"/>
      <c r="G4" s="857"/>
      <c r="H4" s="857"/>
      <c r="I4" s="857"/>
      <c r="M4" s="1020"/>
      <c r="N4" s="1020"/>
      <c r="O4" s="1020"/>
      <c r="P4" s="1020"/>
      <c r="Q4" s="1020"/>
      <c r="R4" s="1020"/>
      <c r="S4" s="1020"/>
      <c r="T4" s="1020"/>
      <c r="U4" s="1020"/>
      <c r="V4" s="1020"/>
      <c r="W4" s="1020"/>
      <c r="X4" s="1020"/>
      <c r="Y4" s="1020"/>
      <c r="Z4" s="1020"/>
      <c r="AA4" s="1020"/>
      <c r="AB4" s="1020"/>
      <c r="AC4" s="1020"/>
      <c r="AD4" s="1020"/>
      <c r="AE4" s="1020"/>
      <c r="AF4" s="1020"/>
      <c r="AG4" s="1020"/>
      <c r="AH4" s="1020"/>
      <c r="AI4" s="1020"/>
      <c r="AJ4" s="1020"/>
      <c r="AK4" s="1020"/>
      <c r="AL4" s="1020"/>
      <c r="AM4" s="1020"/>
      <c r="AN4" s="1020"/>
      <c r="AO4" s="1020"/>
      <c r="AP4" s="1020"/>
      <c r="AQ4" s="1020"/>
    </row>
    <row r="5" spans="2:43">
      <c r="B5" s="858"/>
      <c r="M5" s="1020"/>
      <c r="N5" s="1020"/>
      <c r="O5" s="1020"/>
      <c r="P5" s="1020"/>
      <c r="Q5" s="1020"/>
      <c r="R5" s="1020"/>
      <c r="S5" s="1020"/>
      <c r="T5" s="1020"/>
      <c r="U5" s="1020"/>
      <c r="V5" s="1020"/>
      <c r="W5" s="1020"/>
      <c r="X5" s="1020"/>
      <c r="Y5" s="1020"/>
      <c r="Z5" s="1020"/>
      <c r="AA5" s="1020"/>
      <c r="AB5" s="1020"/>
      <c r="AC5" s="1020"/>
      <c r="AD5" s="1020"/>
      <c r="AE5" s="1020"/>
      <c r="AF5" s="1020"/>
      <c r="AG5" s="1020"/>
      <c r="AH5" s="1020"/>
      <c r="AI5" s="1020"/>
      <c r="AJ5" s="1020"/>
      <c r="AK5" s="1020"/>
      <c r="AL5" s="1020"/>
      <c r="AM5" s="1020"/>
      <c r="AN5" s="1020"/>
      <c r="AO5" s="1020"/>
      <c r="AP5" s="1020"/>
      <c r="AQ5" s="1020"/>
    </row>
    <row r="6" spans="2:43">
      <c r="B6" s="858"/>
      <c r="M6" s="1020"/>
      <c r="N6" s="1020"/>
      <c r="O6" s="1020"/>
      <c r="P6" s="1020"/>
      <c r="Q6" s="1020"/>
      <c r="R6" s="1020"/>
      <c r="S6" s="1020"/>
      <c r="T6" s="1020"/>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row>
    <row r="7" spans="2:43">
      <c r="B7" s="860" t="s">
        <v>514</v>
      </c>
      <c r="C7" s="861"/>
      <c r="D7" s="861"/>
      <c r="E7" s="861"/>
      <c r="F7" s="861"/>
      <c r="G7" s="861"/>
      <c r="H7" s="861"/>
      <c r="I7" s="861"/>
      <c r="M7" s="1020"/>
      <c r="N7" s="1020"/>
      <c r="O7" s="1020"/>
      <c r="P7" s="1020"/>
      <c r="Q7" s="1020"/>
      <c r="R7" s="1020"/>
      <c r="S7" s="1020"/>
      <c r="T7" s="1020"/>
      <c r="U7" s="1020"/>
      <c r="V7" s="1020"/>
      <c r="W7" s="1020"/>
      <c r="X7" s="1020"/>
      <c r="Y7" s="1020"/>
      <c r="Z7" s="1020"/>
      <c r="AA7" s="1020"/>
      <c r="AB7" s="1020"/>
      <c r="AC7" s="1020"/>
      <c r="AD7" s="1020"/>
      <c r="AE7" s="1020"/>
      <c r="AF7" s="1020"/>
      <c r="AG7" s="1020"/>
      <c r="AH7" s="1020"/>
      <c r="AI7" s="1020"/>
      <c r="AJ7" s="1020"/>
      <c r="AK7" s="1020"/>
      <c r="AL7" s="1020"/>
      <c r="AM7" s="1020"/>
      <c r="AN7" s="1020"/>
      <c r="AO7" s="1020"/>
      <c r="AP7" s="1020"/>
      <c r="AQ7" s="1020"/>
    </row>
    <row r="8" spans="2:43" ht="38.25" customHeight="1">
      <c r="B8" s="1540" t="s">
        <v>1054</v>
      </c>
      <c r="C8" s="1541"/>
      <c r="D8" s="1540"/>
      <c r="E8" s="1540"/>
      <c r="F8" s="1540"/>
      <c r="G8" s="1540"/>
      <c r="H8" s="1540"/>
      <c r="I8" s="1540"/>
      <c r="M8" s="1020"/>
      <c r="N8" s="1020"/>
      <c r="O8" s="1020"/>
      <c r="P8" s="1020"/>
      <c r="Q8" s="1020"/>
      <c r="R8" s="1020"/>
      <c r="S8" s="1020"/>
      <c r="T8" s="1020"/>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row>
    <row r="9" spans="2:43">
      <c r="B9" s="862"/>
      <c r="C9" s="863"/>
      <c r="D9" s="863"/>
      <c r="E9" s="863"/>
      <c r="F9" s="863"/>
      <c r="G9" s="863"/>
      <c r="H9" s="863"/>
      <c r="I9" s="863"/>
      <c r="M9" s="1020"/>
      <c r="N9" s="1020"/>
      <c r="O9" s="1020"/>
      <c r="P9" s="1020"/>
      <c r="Q9" s="1020"/>
      <c r="R9" s="1020"/>
      <c r="S9" s="1020"/>
      <c r="T9" s="1020"/>
      <c r="U9" s="1020"/>
      <c r="V9" s="1020"/>
      <c r="W9" s="1020"/>
      <c r="X9" s="1020"/>
      <c r="Y9" s="1020"/>
      <c r="Z9" s="1020"/>
      <c r="AA9" s="1020"/>
      <c r="AB9" s="1020"/>
      <c r="AC9" s="1020"/>
      <c r="AD9" s="1020"/>
      <c r="AE9" s="1020"/>
      <c r="AF9" s="1020"/>
      <c r="AG9" s="1020"/>
      <c r="AH9" s="1020"/>
      <c r="AI9" s="1020"/>
      <c r="AJ9" s="1020"/>
      <c r="AK9" s="1020"/>
      <c r="AL9" s="1020"/>
      <c r="AM9" s="1020"/>
      <c r="AN9" s="1020"/>
      <c r="AO9" s="1020"/>
      <c r="AP9" s="1020"/>
      <c r="AQ9" s="1020"/>
    </row>
    <row r="10" spans="2:43" ht="15.75">
      <c r="B10" s="864" t="s">
        <v>515</v>
      </c>
      <c r="C10" s="864"/>
      <c r="D10" s="864"/>
      <c r="E10" s="864"/>
      <c r="F10" s="864"/>
      <c r="G10" s="864"/>
      <c r="H10" s="864"/>
      <c r="I10" s="864"/>
      <c r="M10" s="1020"/>
      <c r="N10" s="1020"/>
      <c r="O10" s="1020"/>
      <c r="P10" s="1020"/>
      <c r="Q10" s="1020"/>
      <c r="R10" s="1020"/>
      <c r="S10" s="1020"/>
      <c r="T10" s="1020"/>
      <c r="U10" s="1020"/>
      <c r="V10" s="1020"/>
      <c r="W10" s="1020"/>
      <c r="X10" s="1020"/>
      <c r="Y10" s="1020"/>
      <c r="Z10" s="1020"/>
      <c r="AA10" s="1020"/>
      <c r="AB10" s="1020"/>
      <c r="AC10" s="1020"/>
      <c r="AD10" s="1020"/>
      <c r="AE10" s="1020"/>
      <c r="AF10" s="1020"/>
      <c r="AG10" s="1020"/>
      <c r="AH10" s="1020"/>
      <c r="AI10" s="1020"/>
      <c r="AJ10" s="1020"/>
      <c r="AK10" s="1020"/>
      <c r="AL10" s="1020"/>
      <c r="AM10" s="1020"/>
      <c r="AN10" s="1020"/>
      <c r="AO10" s="1020"/>
      <c r="AP10" s="1020"/>
      <c r="AQ10" s="1020"/>
    </row>
    <row r="11" spans="2:43" ht="15.75" thickBot="1">
      <c r="B11" s="865"/>
      <c r="C11" s="865"/>
      <c r="D11" s="865"/>
      <c r="E11" s="865"/>
      <c r="F11" s="865"/>
      <c r="G11" s="865"/>
      <c r="H11" s="865"/>
      <c r="I11" s="865"/>
      <c r="M11" s="1020"/>
      <c r="N11" s="1020"/>
      <c r="O11" s="1020"/>
      <c r="P11" s="1020"/>
      <c r="Q11" s="1020"/>
      <c r="R11" s="1020"/>
      <c r="S11" s="1020"/>
      <c r="T11" s="1020"/>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row>
    <row r="12" spans="2:43" ht="20.25">
      <c r="B12" s="1542" t="s">
        <v>964</v>
      </c>
      <c r="C12" s="1543"/>
      <c r="D12" s="1543"/>
      <c r="E12" s="1543"/>
      <c r="F12" s="1543"/>
      <c r="G12" s="1543"/>
      <c r="H12" s="1543"/>
      <c r="I12" s="1544"/>
      <c r="M12" s="1020"/>
      <c r="N12" s="1020"/>
      <c r="O12" s="1020"/>
      <c r="P12" s="1020"/>
      <c r="Q12" s="1020"/>
      <c r="R12" s="1020"/>
      <c r="S12" s="1020"/>
      <c r="T12" s="1020"/>
      <c r="U12" s="1020"/>
      <c r="V12" s="1020"/>
      <c r="W12" s="1020"/>
      <c r="X12" s="1020"/>
      <c r="Y12" s="1020"/>
      <c r="Z12" s="1020"/>
      <c r="AA12" s="1020"/>
      <c r="AB12" s="1020"/>
      <c r="AC12" s="1020"/>
      <c r="AD12" s="1020"/>
      <c r="AE12" s="1020"/>
      <c r="AF12" s="1020"/>
      <c r="AG12" s="1020"/>
      <c r="AH12" s="1020"/>
      <c r="AI12" s="1020"/>
      <c r="AJ12" s="1020"/>
      <c r="AK12" s="1020"/>
      <c r="AL12" s="1020"/>
      <c r="AM12" s="1020"/>
      <c r="AN12" s="1020"/>
      <c r="AO12" s="1020"/>
      <c r="AP12" s="1020"/>
      <c r="AQ12" s="1020"/>
    </row>
    <row r="13" spans="2:43" ht="20.25">
      <c r="B13" s="866"/>
      <c r="C13" s="867"/>
      <c r="D13" s="867"/>
      <c r="E13" s="868"/>
      <c r="F13" s="868"/>
      <c r="G13" s="868"/>
      <c r="H13" s="868"/>
      <c r="I13" s="869"/>
      <c r="M13" s="1020"/>
      <c r="N13" s="1020"/>
      <c r="O13" s="1020"/>
      <c r="P13" s="1020"/>
      <c r="Q13" s="1020"/>
      <c r="R13" s="1020"/>
      <c r="S13" s="1020"/>
      <c r="T13" s="1020"/>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row>
    <row r="14" spans="2:43" ht="15.75">
      <c r="B14" s="870" t="s">
        <v>965</v>
      </c>
      <c r="C14" s="1545" t="str">
        <f>'DMS input'!C14:H14</f>
        <v>Australian Distribution Co.</v>
      </c>
      <c r="D14" s="1546"/>
      <c r="E14" s="1546"/>
      <c r="F14" s="1021" t="s">
        <v>1055</v>
      </c>
      <c r="G14" s="868"/>
      <c r="H14" s="868"/>
      <c r="I14" s="869"/>
      <c r="M14" s="1020"/>
      <c r="N14" s="1020"/>
      <c r="O14" s="1020"/>
      <c r="P14" s="1020"/>
      <c r="Q14" s="1020"/>
      <c r="R14" s="1020"/>
      <c r="S14" s="1020"/>
      <c r="T14" s="1020"/>
      <c r="U14" s="1020"/>
      <c r="V14" s="1020"/>
      <c r="W14" s="1020"/>
      <c r="X14" s="1020"/>
      <c r="Y14" s="1020"/>
      <c r="Z14" s="1020"/>
      <c r="AA14" s="1020"/>
      <c r="AB14" s="1020"/>
      <c r="AC14" s="1020"/>
      <c r="AD14" s="1020"/>
      <c r="AE14" s="1020"/>
      <c r="AF14" s="1020"/>
      <c r="AG14" s="1020"/>
      <c r="AH14" s="1020"/>
      <c r="AI14" s="1020"/>
      <c r="AJ14" s="1020"/>
      <c r="AK14" s="1020"/>
      <c r="AL14" s="1020"/>
      <c r="AM14" s="1020"/>
      <c r="AN14" s="1020"/>
      <c r="AO14" s="1020"/>
      <c r="AP14" s="1020"/>
      <c r="AQ14" s="1020"/>
    </row>
    <row r="15" spans="2:43">
      <c r="B15" s="871" t="s">
        <v>361</v>
      </c>
      <c r="C15" s="1547">
        <f>INDEX(dms_ABN_List,MATCH(dms_TradingName,dms_TradingName_List))</f>
        <v>11222333444</v>
      </c>
      <c r="D15" s="1547"/>
      <c r="E15" s="1547"/>
      <c r="F15" s="872"/>
      <c r="G15" s="872"/>
      <c r="H15" s="872"/>
      <c r="I15" s="869"/>
      <c r="M15" s="1020"/>
      <c r="N15" s="1020"/>
      <c r="O15" s="1020"/>
      <c r="P15" s="1020"/>
      <c r="Q15" s="1020"/>
      <c r="R15" s="1020"/>
      <c r="S15" s="1020"/>
      <c r="T15" s="1020"/>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row>
    <row r="16" spans="2:43" ht="15.75" thickBot="1">
      <c r="B16" s="873"/>
      <c r="C16" s="874"/>
      <c r="D16" s="874"/>
      <c r="E16" s="874"/>
      <c r="F16" s="875"/>
      <c r="G16" s="875"/>
      <c r="H16" s="875"/>
      <c r="I16" s="876"/>
      <c r="M16" s="1020"/>
      <c r="N16" s="1020"/>
      <c r="O16" s="1020"/>
      <c r="P16" s="1020"/>
      <c r="Q16" s="1020"/>
      <c r="R16" s="1020"/>
      <c r="S16" s="1020"/>
      <c r="T16" s="1020"/>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row>
    <row r="17" spans="2:43" ht="29.25" customHeight="1">
      <c r="B17" s="877"/>
      <c r="C17" s="878"/>
      <c r="D17" s="878"/>
      <c r="E17" s="878"/>
      <c r="F17" s="879"/>
      <c r="G17" s="879"/>
      <c r="H17" s="879"/>
      <c r="I17" s="88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row>
    <row r="18" spans="2:43">
      <c r="B18" s="870" t="s">
        <v>362</v>
      </c>
      <c r="C18" s="1548" t="s">
        <v>363</v>
      </c>
      <c r="D18" s="1549"/>
      <c r="E18" s="1545" t="str">
        <f>INDEX(dms_Addr1_List,MATCH(dms_TradingName,dms_TradingName_List))</f>
        <v>123 Straight Street</v>
      </c>
      <c r="F18" s="1546"/>
      <c r="G18" s="1546"/>
      <c r="H18" s="1550"/>
      <c r="I18" s="882"/>
      <c r="M18" s="1020"/>
      <c r="N18" s="1020"/>
      <c r="O18" s="1020"/>
      <c r="P18" s="1020"/>
      <c r="Q18" s="1020"/>
      <c r="R18" s="1020"/>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row>
    <row r="19" spans="2:43">
      <c r="B19" s="883"/>
      <c r="C19" s="884"/>
      <c r="D19" s="884" t="s">
        <v>364</v>
      </c>
      <c r="E19" s="1545" t="str">
        <f>IF(ISBLANK(INDEX(dms_Addr2_List,MATCH(dms_TradingName,dms_TradingName_List))),"",INDEX(dms_Addr2_List,MATCH(dms_TradingName,dms_TradingName_List)))</f>
        <v/>
      </c>
      <c r="F19" s="1546"/>
      <c r="G19" s="1546"/>
      <c r="H19" s="1550"/>
      <c r="I19" s="882"/>
      <c r="M19" s="1020"/>
      <c r="N19" s="1020"/>
      <c r="O19" s="1020"/>
      <c r="P19" s="1020"/>
      <c r="Q19" s="1020"/>
      <c r="R19" s="1020"/>
      <c r="S19" s="1020"/>
      <c r="T19" s="1020"/>
      <c r="U19" s="1020"/>
      <c r="V19" s="1020"/>
      <c r="W19" s="1020"/>
      <c r="X19" s="1020"/>
      <c r="Y19" s="1020"/>
      <c r="Z19" s="1020"/>
      <c r="AA19" s="1020"/>
      <c r="AB19" s="1020"/>
      <c r="AC19" s="1020"/>
      <c r="AD19" s="1020"/>
      <c r="AE19" s="1020"/>
      <c r="AF19" s="1020"/>
      <c r="AG19" s="1020"/>
      <c r="AH19" s="1020"/>
      <c r="AI19" s="1020"/>
      <c r="AJ19" s="1020"/>
      <c r="AK19" s="1020"/>
      <c r="AL19" s="1020"/>
      <c r="AM19" s="1020"/>
      <c r="AN19" s="1020"/>
      <c r="AO19" s="1020"/>
      <c r="AP19" s="1020"/>
      <c r="AQ19" s="1020"/>
    </row>
    <row r="20" spans="2:43">
      <c r="B20" s="883"/>
      <c r="C20" s="1548" t="s">
        <v>365</v>
      </c>
      <c r="D20" s="1549"/>
      <c r="E20" s="1545" t="str">
        <f>INDEX(dms_Suburb_List,MATCH(dms_TradingName,dms_TradingName_List))</f>
        <v>SYDNEY</v>
      </c>
      <c r="F20" s="1546"/>
      <c r="G20" s="1546"/>
      <c r="H20" s="1550"/>
      <c r="I20" s="882"/>
      <c r="M20" s="1020"/>
      <c r="N20" s="1020"/>
      <c r="O20" s="1020"/>
      <c r="P20" s="1020"/>
      <c r="Q20" s="1020"/>
      <c r="R20" s="1020"/>
      <c r="S20" s="1020"/>
      <c r="T20" s="1020"/>
      <c r="U20" s="1020"/>
      <c r="V20" s="1020"/>
      <c r="W20" s="1020"/>
      <c r="X20" s="1020"/>
      <c r="Y20" s="1020"/>
      <c r="Z20" s="1020"/>
      <c r="AA20" s="1020"/>
      <c r="AB20" s="1020"/>
      <c r="AC20" s="1020"/>
      <c r="AD20" s="1020"/>
      <c r="AE20" s="1020"/>
      <c r="AF20" s="1020"/>
      <c r="AG20" s="1020"/>
      <c r="AH20" s="1020"/>
      <c r="AI20" s="1020"/>
      <c r="AJ20" s="1020"/>
      <c r="AK20" s="1020"/>
      <c r="AL20" s="1020"/>
      <c r="AM20" s="1020"/>
      <c r="AN20" s="1020"/>
      <c r="AO20" s="1020"/>
      <c r="AP20" s="1020"/>
      <c r="AQ20" s="1020"/>
    </row>
    <row r="21" spans="2:43">
      <c r="B21" s="883"/>
      <c r="C21" s="885"/>
      <c r="D21" s="884" t="s">
        <v>366</v>
      </c>
      <c r="E21" s="886" t="str">
        <f>INDEX(dms_State_List,MATCH(dms_TradingName,dms_TradingName_List))</f>
        <v>NSW</v>
      </c>
      <c r="F21" s="884" t="s">
        <v>528</v>
      </c>
      <c r="G21" s="887" t="str">
        <f>INDEX(dms_PostCode_List,MATCH(dms_TradingName,dms_TradingName_List))</f>
        <v>2000</v>
      </c>
      <c r="H21" s="868"/>
      <c r="I21" s="869"/>
      <c r="M21" s="1020"/>
      <c r="N21" s="1020"/>
      <c r="O21" s="1020"/>
      <c r="P21" s="1020"/>
      <c r="Q21" s="1020"/>
      <c r="R21" s="1020"/>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row>
    <row r="22" spans="2:43">
      <c r="B22" s="883"/>
      <c r="C22" s="885"/>
      <c r="D22" s="885"/>
      <c r="E22" s="885"/>
      <c r="F22" s="868"/>
      <c r="G22" s="885"/>
      <c r="H22" s="868"/>
      <c r="I22" s="869"/>
      <c r="M22" s="1020"/>
      <c r="N22" s="1020"/>
      <c r="O22" s="1020"/>
      <c r="P22" s="1020"/>
      <c r="Q22" s="1020"/>
      <c r="R22" s="1020"/>
      <c r="S22" s="1020"/>
      <c r="T22" s="1020"/>
      <c r="U22" s="1020"/>
      <c r="V22" s="1020"/>
      <c r="W22" s="1020"/>
      <c r="X22" s="1020"/>
      <c r="Y22" s="1020"/>
      <c r="Z22" s="1020"/>
      <c r="AA22" s="1020"/>
      <c r="AB22" s="1020"/>
      <c r="AC22" s="1020"/>
      <c r="AD22" s="1020"/>
      <c r="AE22" s="1020"/>
      <c r="AF22" s="1020"/>
      <c r="AG22" s="1020"/>
      <c r="AH22" s="1020"/>
      <c r="AI22" s="1020"/>
      <c r="AJ22" s="1020"/>
      <c r="AK22" s="1020"/>
      <c r="AL22" s="1020"/>
      <c r="AM22" s="1020"/>
      <c r="AN22" s="1020"/>
      <c r="AO22" s="1020"/>
      <c r="AP22" s="1020"/>
      <c r="AQ22" s="1020"/>
    </row>
    <row r="23" spans="2:43">
      <c r="B23" s="870" t="s">
        <v>367</v>
      </c>
      <c r="C23" s="1548" t="s">
        <v>363</v>
      </c>
      <c r="D23" s="1549"/>
      <c r="E23" s="1545" t="str">
        <f>INDEX(dms_PAddr1_List,MATCH(dms_TradingName,dms_TradingName_List))</f>
        <v>PO Box 123</v>
      </c>
      <c r="F23" s="1546"/>
      <c r="G23" s="1546"/>
      <c r="H23" s="1550"/>
      <c r="I23" s="888"/>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c r="AJ23" s="1020"/>
      <c r="AK23" s="1020"/>
      <c r="AL23" s="1020"/>
      <c r="AM23" s="1020"/>
      <c r="AN23" s="1020"/>
      <c r="AO23" s="1020"/>
      <c r="AP23" s="1020"/>
      <c r="AQ23" s="1020"/>
    </row>
    <row r="24" spans="2:43">
      <c r="B24" s="883"/>
      <c r="C24" s="884"/>
      <c r="D24" s="884" t="s">
        <v>364</v>
      </c>
      <c r="E24" s="1545" t="str">
        <f>IF(ISBLANK(INDEX(dms_PAddr2_List,MATCH(dms_TradingName,dms_TradingName_List))),"",INDEX(dms_PAddr2_List,MATCH(dms_TradingName,dms_TradingName_List)))</f>
        <v/>
      </c>
      <c r="F24" s="1546"/>
      <c r="G24" s="1546"/>
      <c r="H24" s="1550"/>
      <c r="I24" s="888"/>
      <c r="M24" s="1020"/>
      <c r="N24" s="1020"/>
      <c r="O24" s="1020"/>
      <c r="P24" s="1020"/>
      <c r="Q24" s="1020"/>
      <c r="R24" s="1020"/>
      <c r="S24" s="1020"/>
      <c r="T24" s="1020"/>
      <c r="U24" s="1020"/>
      <c r="V24" s="1020"/>
      <c r="W24" s="1020"/>
      <c r="X24" s="1020"/>
      <c r="Y24" s="1020"/>
      <c r="Z24" s="1020"/>
      <c r="AA24" s="1020"/>
      <c r="AB24" s="1020"/>
      <c r="AC24" s="1020"/>
      <c r="AD24" s="1020"/>
      <c r="AE24" s="1020"/>
      <c r="AF24" s="1020"/>
      <c r="AG24" s="1020"/>
      <c r="AH24" s="1020"/>
      <c r="AI24" s="1020"/>
      <c r="AJ24" s="1020"/>
      <c r="AK24" s="1020"/>
      <c r="AL24" s="1020"/>
      <c r="AM24" s="1020"/>
      <c r="AN24" s="1020"/>
      <c r="AO24" s="1020"/>
      <c r="AP24" s="1020"/>
      <c r="AQ24" s="1020"/>
    </row>
    <row r="25" spans="2:43">
      <c r="B25" s="883"/>
      <c r="C25" s="1548" t="s">
        <v>365</v>
      </c>
      <c r="D25" s="1549"/>
      <c r="E25" s="1545" t="str">
        <f>INDEX(dms_PSuburb_List,MATCH(dms_TradingName,dms_TradingName_List))</f>
        <v>SYDNEY</v>
      </c>
      <c r="F25" s="1546"/>
      <c r="G25" s="1546"/>
      <c r="H25" s="1550"/>
      <c r="I25" s="888"/>
      <c r="M25" s="1020"/>
      <c r="N25" s="1020"/>
      <c r="O25" s="1020"/>
      <c r="P25" s="1020"/>
      <c r="Q25" s="1020"/>
      <c r="R25" s="1020"/>
      <c r="S25" s="1020"/>
      <c r="T25" s="1020"/>
      <c r="U25" s="1020"/>
      <c r="V25" s="1020"/>
      <c r="W25" s="1020"/>
      <c r="X25" s="1020"/>
      <c r="Y25" s="1020"/>
      <c r="Z25" s="1020"/>
      <c r="AA25" s="1020"/>
      <c r="AB25" s="1020"/>
      <c r="AC25" s="1020"/>
      <c r="AD25" s="1020"/>
      <c r="AE25" s="1020"/>
      <c r="AF25" s="1020"/>
      <c r="AG25" s="1020"/>
      <c r="AH25" s="1020"/>
      <c r="AI25" s="1020"/>
      <c r="AJ25" s="1020"/>
      <c r="AK25" s="1020"/>
      <c r="AL25" s="1020"/>
      <c r="AM25" s="1020"/>
      <c r="AN25" s="1020"/>
      <c r="AO25" s="1020"/>
      <c r="AP25" s="1020"/>
      <c r="AQ25" s="1020"/>
    </row>
    <row r="26" spans="2:43">
      <c r="B26" s="889"/>
      <c r="C26" s="885"/>
      <c r="D26" s="884" t="s">
        <v>366</v>
      </c>
      <c r="E26" s="887" t="str">
        <f>INDEX(dms_PState_List,MATCH(dms_TradingName,dms_TradingName_List))</f>
        <v>NSW</v>
      </c>
      <c r="F26" s="884" t="s">
        <v>528</v>
      </c>
      <c r="G26" s="887">
        <f>INDEX(dms_PPostCode_List,MATCH(dms_TradingName,dms_TradingName_List))</f>
        <v>2000</v>
      </c>
      <c r="H26" s="868"/>
      <c r="I26" s="869"/>
      <c r="M26" s="1020"/>
      <c r="N26" s="1020"/>
      <c r="O26" s="1020"/>
      <c r="P26" s="1020"/>
      <c r="Q26" s="1020"/>
      <c r="R26" s="1020"/>
      <c r="S26" s="1020"/>
      <c r="T26" s="1020"/>
      <c r="U26" s="1020"/>
      <c r="V26" s="1020"/>
      <c r="W26" s="1020"/>
      <c r="X26" s="1020"/>
      <c r="Y26" s="1020"/>
      <c r="Z26" s="1020"/>
      <c r="AA26" s="1020"/>
      <c r="AB26" s="1020"/>
      <c r="AC26" s="1020"/>
      <c r="AD26" s="1020"/>
      <c r="AE26" s="1020"/>
      <c r="AF26" s="1020"/>
      <c r="AG26" s="1020"/>
      <c r="AH26" s="1020"/>
      <c r="AI26" s="1020"/>
      <c r="AJ26" s="1020"/>
      <c r="AK26" s="1020"/>
      <c r="AL26" s="1020"/>
      <c r="AM26" s="1020"/>
      <c r="AN26" s="1020"/>
      <c r="AO26" s="1020"/>
      <c r="AP26" s="1020"/>
      <c r="AQ26" s="1020"/>
    </row>
    <row r="27" spans="2:43">
      <c r="B27" s="890"/>
      <c r="C27" s="1022"/>
      <c r="D27" s="1022"/>
      <c r="E27" s="1022"/>
      <c r="F27" s="1023"/>
      <c r="G27" s="1023"/>
      <c r="H27" s="1023"/>
      <c r="I27" s="891"/>
      <c r="M27" s="1020"/>
      <c r="N27" s="1020"/>
      <c r="O27" s="1020"/>
      <c r="P27" s="1020"/>
      <c r="Q27" s="1020"/>
      <c r="R27" s="1020"/>
      <c r="S27" s="1020"/>
      <c r="T27" s="1020"/>
      <c r="U27" s="1020"/>
      <c r="V27" s="1020"/>
      <c r="W27" s="1020"/>
      <c r="X27" s="1020"/>
      <c r="Y27" s="1020"/>
      <c r="Z27" s="1020"/>
      <c r="AA27" s="1020"/>
      <c r="AB27" s="1020"/>
      <c r="AC27" s="1020"/>
      <c r="AD27" s="1020"/>
      <c r="AE27" s="1020"/>
      <c r="AF27" s="1020"/>
      <c r="AG27" s="1020"/>
      <c r="AH27" s="1020"/>
      <c r="AI27" s="1020"/>
      <c r="AJ27" s="1020"/>
      <c r="AK27" s="1020"/>
      <c r="AL27" s="1020"/>
      <c r="AM27" s="1020"/>
      <c r="AN27" s="1020"/>
      <c r="AO27" s="1020"/>
      <c r="AP27" s="1020"/>
      <c r="AQ27" s="1020"/>
    </row>
    <row r="28" spans="2:43">
      <c r="B28" s="889"/>
      <c r="C28" s="892"/>
      <c r="D28" s="892"/>
      <c r="E28" s="892"/>
      <c r="F28" s="868"/>
      <c r="G28" s="868"/>
      <c r="H28" s="868"/>
      <c r="I28" s="869"/>
      <c r="M28" s="1020"/>
      <c r="N28" s="1020"/>
      <c r="O28" s="1020"/>
      <c r="P28" s="1020"/>
      <c r="Q28" s="1020"/>
      <c r="R28" s="1020"/>
      <c r="S28" s="1020"/>
      <c r="T28" s="1020"/>
      <c r="U28" s="1020"/>
      <c r="V28" s="1020"/>
      <c r="W28" s="1020"/>
      <c r="X28" s="1020"/>
      <c r="Y28" s="1020"/>
      <c r="Z28" s="1020"/>
      <c r="AA28" s="1020"/>
      <c r="AB28" s="1020"/>
      <c r="AC28" s="1020"/>
      <c r="AD28" s="1020"/>
      <c r="AE28" s="1020"/>
      <c r="AF28" s="1020"/>
      <c r="AG28" s="1020"/>
      <c r="AH28" s="1020"/>
      <c r="AI28" s="1020"/>
      <c r="AJ28" s="1020"/>
      <c r="AK28" s="1020"/>
      <c r="AL28" s="1020"/>
      <c r="AM28" s="1020"/>
      <c r="AN28" s="1020"/>
      <c r="AO28" s="1020"/>
      <c r="AP28" s="1020"/>
      <c r="AQ28" s="1020"/>
    </row>
    <row r="29" spans="2:43">
      <c r="B29" s="893" t="s">
        <v>368</v>
      </c>
      <c r="C29" s="1024" t="str">
        <f>INDEX(dms_ContactName1_List,MATCH(dms_TradingName,dms_TradingName_List))</f>
        <v>Bob Smith</v>
      </c>
      <c r="D29" s="1025"/>
      <c r="E29" s="894"/>
      <c r="F29" s="1024"/>
      <c r="G29" s="1025"/>
      <c r="H29" s="895"/>
      <c r="I29" s="896"/>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0"/>
      <c r="AI29" s="1020"/>
      <c r="AJ29" s="1020"/>
      <c r="AK29" s="1020"/>
      <c r="AL29" s="1020"/>
      <c r="AM29" s="1020"/>
      <c r="AN29" s="1020"/>
      <c r="AO29" s="1020"/>
      <c r="AP29" s="1020"/>
      <c r="AQ29" s="1020"/>
    </row>
    <row r="30" spans="2:43">
      <c r="B30" s="870" t="s">
        <v>369</v>
      </c>
      <c r="C30" s="1024" t="str">
        <f>INDEX(dms_ContactPh1_List,MATCH(dms_TradingName,dms_TradingName_List))</f>
        <v>02 1234 5678</v>
      </c>
      <c r="D30" s="1026"/>
      <c r="E30" s="897"/>
      <c r="F30" s="1027"/>
      <c r="G30" s="1026"/>
      <c r="H30" s="868"/>
      <c r="I30" s="869"/>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c r="AK30" s="1020"/>
      <c r="AL30" s="1020"/>
      <c r="AM30" s="1020"/>
      <c r="AN30" s="1020"/>
      <c r="AO30" s="1020"/>
      <c r="AP30" s="1020"/>
      <c r="AQ30" s="1020"/>
    </row>
    <row r="31" spans="2:43">
      <c r="B31" s="870" t="s">
        <v>370</v>
      </c>
      <c r="C31" s="1024" t="str">
        <f>INDEX(dms_ContactEmail_List,MATCH(dms_TradingName,dms_TradingName_List))</f>
        <v>bob@auselec.net.au</v>
      </c>
      <c r="D31" s="1025"/>
      <c r="E31" s="897"/>
      <c r="F31" s="1028"/>
      <c r="G31" s="1025"/>
      <c r="H31" s="868"/>
      <c r="I31" s="869"/>
      <c r="M31" s="1020"/>
      <c r="N31" s="1020"/>
      <c r="O31" s="1020"/>
      <c r="P31" s="1020"/>
      <c r="Q31" s="1020"/>
      <c r="R31" s="1020"/>
      <c r="S31" s="1020"/>
      <c r="T31" s="1020"/>
      <c r="U31" s="1020"/>
      <c r="V31" s="1020"/>
      <c r="W31" s="1020"/>
      <c r="X31" s="1020"/>
      <c r="Y31" s="1020"/>
      <c r="Z31" s="1020"/>
      <c r="AA31" s="1020"/>
      <c r="AB31" s="1020"/>
      <c r="AC31" s="1020"/>
      <c r="AD31" s="1020"/>
      <c r="AE31" s="1020"/>
      <c r="AF31" s="1020"/>
      <c r="AG31" s="1020"/>
      <c r="AH31" s="1020"/>
      <c r="AI31" s="1020"/>
      <c r="AJ31" s="1020"/>
      <c r="AK31" s="1020"/>
      <c r="AL31" s="1020"/>
      <c r="AM31" s="1020"/>
      <c r="AN31" s="1020"/>
      <c r="AO31" s="1020"/>
      <c r="AP31" s="1020"/>
      <c r="AQ31" s="1020"/>
    </row>
    <row r="32" spans="2:43" ht="15.75" thickBot="1">
      <c r="B32" s="873"/>
      <c r="C32" s="874"/>
      <c r="D32" s="874"/>
      <c r="E32" s="874"/>
      <c r="F32" s="875"/>
      <c r="G32" s="875"/>
      <c r="H32" s="875"/>
      <c r="I32" s="876"/>
      <c r="M32" s="1020"/>
      <c r="N32" s="1020"/>
      <c r="O32" s="1020"/>
      <c r="P32" s="1020"/>
      <c r="Q32" s="1020"/>
      <c r="R32" s="1020"/>
      <c r="S32" s="1020"/>
      <c r="T32" s="1020"/>
      <c r="U32" s="1020"/>
      <c r="V32" s="1020"/>
      <c r="W32" s="1020"/>
      <c r="X32" s="1020"/>
      <c r="Y32" s="1020"/>
      <c r="Z32" s="1020"/>
      <c r="AA32" s="1020"/>
      <c r="AB32" s="1020"/>
      <c r="AC32" s="1020"/>
      <c r="AD32" s="1020"/>
      <c r="AE32" s="1020"/>
      <c r="AF32" s="1020"/>
      <c r="AG32" s="1020"/>
      <c r="AH32" s="1020"/>
      <c r="AI32" s="1020"/>
      <c r="AJ32" s="1020"/>
      <c r="AK32" s="1020"/>
      <c r="AL32" s="1020"/>
      <c r="AM32" s="1020"/>
      <c r="AN32" s="1020"/>
      <c r="AO32" s="1020"/>
      <c r="AP32" s="1020"/>
      <c r="AQ32" s="1020"/>
    </row>
    <row r="33" spans="2:43" ht="20.25">
      <c r="B33" s="1554" t="s">
        <v>966</v>
      </c>
      <c r="C33" s="1555"/>
      <c r="D33" s="1555"/>
      <c r="E33" s="1555"/>
      <c r="F33" s="1555"/>
      <c r="G33" s="1555"/>
      <c r="H33" s="1555"/>
      <c r="I33" s="1556"/>
      <c r="M33" s="1020"/>
      <c r="N33" s="1020"/>
      <c r="O33" s="1020"/>
      <c r="P33" s="1020"/>
      <c r="Q33" s="1020"/>
      <c r="R33" s="1020"/>
      <c r="S33" s="1020"/>
      <c r="T33" s="1020"/>
      <c r="U33" s="1020"/>
      <c r="V33" s="1020"/>
      <c r="W33" s="1020"/>
      <c r="X33" s="1020"/>
      <c r="Y33" s="1020"/>
      <c r="Z33" s="1020"/>
      <c r="AA33" s="1020"/>
      <c r="AB33" s="1020"/>
      <c r="AC33" s="1020"/>
      <c r="AD33" s="1020"/>
      <c r="AE33" s="1020"/>
      <c r="AF33" s="1020"/>
      <c r="AG33" s="1020"/>
      <c r="AH33" s="1020"/>
      <c r="AI33" s="1020"/>
      <c r="AJ33" s="1020"/>
      <c r="AK33" s="1020"/>
      <c r="AL33" s="1020"/>
      <c r="AM33" s="1020"/>
      <c r="AN33" s="1020"/>
      <c r="AO33" s="1020"/>
      <c r="AP33" s="1020"/>
      <c r="AQ33" s="1020"/>
    </row>
    <row r="34" spans="2:43" ht="15.75" thickBot="1">
      <c r="B34" s="1029"/>
      <c r="C34" s="1030"/>
      <c r="D34" s="1030"/>
      <c r="E34" s="1031"/>
      <c r="F34" s="1031"/>
      <c r="G34" s="1031"/>
      <c r="H34" s="1031"/>
      <c r="I34" s="1032"/>
      <c r="M34" s="1020"/>
      <c r="N34" s="1020"/>
      <c r="O34" s="1020"/>
      <c r="P34" s="1020"/>
      <c r="Q34" s="1020"/>
      <c r="R34" s="1020"/>
      <c r="S34" s="1020"/>
      <c r="T34" s="1020"/>
      <c r="U34" s="1020"/>
      <c r="V34" s="1020"/>
      <c r="W34" s="1020"/>
      <c r="X34" s="1020"/>
      <c r="Y34" s="1020"/>
      <c r="Z34" s="1020"/>
      <c r="AA34" s="1020"/>
      <c r="AB34" s="1020"/>
      <c r="AC34" s="1020"/>
      <c r="AD34" s="1020"/>
      <c r="AE34" s="1020"/>
      <c r="AF34" s="1020"/>
      <c r="AG34" s="1020"/>
      <c r="AH34" s="1020"/>
      <c r="AI34" s="1020"/>
      <c r="AJ34" s="1020"/>
      <c r="AK34" s="1020"/>
      <c r="AL34" s="1020"/>
      <c r="AM34" s="1020"/>
      <c r="AN34" s="1020"/>
      <c r="AO34" s="1020"/>
      <c r="AP34" s="1020"/>
      <c r="AQ34" s="1020"/>
    </row>
    <row r="35" spans="2:43" ht="15.75" thickBot="1">
      <c r="B35" s="1033" t="s">
        <v>371</v>
      </c>
      <c r="C35" s="1034" t="s">
        <v>906</v>
      </c>
      <c r="D35" s="1035" t="str">
        <f>dms_FRCP_y2</f>
        <v>2020-21</v>
      </c>
      <c r="E35" s="1036" t="str">
        <f>dms_FRCP_y3</f>
        <v>2021-22</v>
      </c>
      <c r="F35" s="1036" t="str">
        <f>dms_FRCP_y4</f>
        <v>2022-23</v>
      </c>
      <c r="G35" s="1036" t="str">
        <f>dms_FRCP_y5</f>
        <v>2023-24</v>
      </c>
      <c r="H35" s="1036" t="str">
        <f>dms_FRCP_y6</f>
        <v>2024-25</v>
      </c>
      <c r="I35" s="898" t="str">
        <f>dms_FRCP_y7</f>
        <v>2025-26</v>
      </c>
      <c r="J35" s="1037" t="str">
        <f>dms_FRCP_y8</f>
        <v>2026-27</v>
      </c>
      <c r="K35" s="1037" t="str">
        <f>dms_FRCP_y9</f>
        <v>2027-28</v>
      </c>
      <c r="L35" s="1037" t="str">
        <f>dms_FRCP_y10</f>
        <v>2028-29</v>
      </c>
      <c r="M35" s="1020"/>
      <c r="N35" s="1020"/>
      <c r="O35" s="1020"/>
      <c r="P35" s="1020"/>
      <c r="Q35" s="1020"/>
      <c r="R35" s="1020"/>
      <c r="S35" s="1020"/>
      <c r="T35" s="1020"/>
      <c r="U35" s="1020"/>
      <c r="V35" s="1020"/>
      <c r="W35" s="1020"/>
      <c r="X35" s="1020"/>
      <c r="Y35" s="1020"/>
      <c r="Z35" s="1020"/>
      <c r="AA35" s="1020"/>
      <c r="AB35" s="1020"/>
      <c r="AC35" s="1020"/>
      <c r="AD35" s="1020"/>
      <c r="AE35" s="1020"/>
      <c r="AF35" s="1020"/>
      <c r="AG35" s="1020"/>
      <c r="AH35" s="1020"/>
      <c r="AI35" s="1020"/>
      <c r="AJ35" s="1020"/>
      <c r="AK35" s="1020"/>
      <c r="AL35" s="1020"/>
      <c r="AM35" s="1020"/>
      <c r="AN35" s="1020"/>
      <c r="AO35" s="1020"/>
      <c r="AP35" s="1020"/>
      <c r="AQ35" s="1020"/>
    </row>
    <row r="36" spans="2:43" ht="15.75" thickBot="1">
      <c r="B36" s="1038"/>
      <c r="C36" s="1039"/>
      <c r="D36" s="1039"/>
      <c r="E36" s="1039"/>
      <c r="F36" s="1040"/>
      <c r="G36" s="1040"/>
      <c r="H36" s="1040"/>
      <c r="I36" s="1041"/>
      <c r="M36" s="1020"/>
      <c r="N36" s="10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c r="AJ36" s="1020"/>
      <c r="AK36" s="1020"/>
      <c r="AL36" s="1020"/>
      <c r="AM36" s="1020"/>
      <c r="AN36" s="1020"/>
      <c r="AO36" s="1020"/>
      <c r="AP36" s="1020"/>
      <c r="AQ36" s="1020"/>
    </row>
    <row r="37" spans="2:43">
      <c r="B37" s="1042"/>
      <c r="C37" s="1043"/>
      <c r="D37" s="1043"/>
      <c r="E37" s="1043"/>
      <c r="F37" s="1044"/>
      <c r="G37" s="1044"/>
      <c r="H37" s="1044"/>
      <c r="I37" s="1045"/>
      <c r="M37" s="1020"/>
      <c r="N37" s="1020"/>
      <c r="O37" s="1020"/>
      <c r="P37" s="1020"/>
      <c r="Q37" s="1020"/>
      <c r="R37" s="1020"/>
      <c r="S37" s="1020"/>
      <c r="T37" s="1020"/>
      <c r="U37" s="1020"/>
      <c r="V37" s="1020"/>
      <c r="W37" s="1020"/>
      <c r="X37" s="1020"/>
      <c r="Y37" s="1020"/>
      <c r="Z37" s="1020"/>
      <c r="AA37" s="1020"/>
      <c r="AB37" s="1020"/>
      <c r="AC37" s="1020"/>
      <c r="AD37" s="1020"/>
      <c r="AE37" s="1020"/>
      <c r="AF37" s="1020"/>
      <c r="AG37" s="1020"/>
      <c r="AH37" s="1020"/>
      <c r="AI37" s="1020"/>
      <c r="AJ37" s="1020"/>
      <c r="AK37" s="1020"/>
      <c r="AL37" s="1020"/>
      <c r="AM37" s="1020"/>
      <c r="AN37" s="1020"/>
      <c r="AO37" s="1020"/>
      <c r="AP37" s="1020"/>
      <c r="AQ37" s="1020"/>
    </row>
    <row r="38" spans="2:43">
      <c r="B38" s="1033" t="s">
        <v>372</v>
      </c>
      <c r="C38" s="1036" t="str">
        <f>dms_CRCP_FirstYear_Result</f>
        <v>2014-15</v>
      </c>
      <c r="D38" s="1046" t="str">
        <f>IF(dms_RPT="financial",VALUE(LEFT(CRCP_y1,4)+1)&amp;"-"&amp;TEXT(MID(CRCP_y1,3,2)+2,"00"),VALUE(LEFT(CRCP_y1,4)+1))</f>
        <v>2015-16</v>
      </c>
      <c r="E38" s="1046" t="str">
        <f>IF(dms_RPT="financial",VALUE(LEFT(CRCP_y2,4)+1)&amp;"-"&amp;TEXT(VALUE(MID(CRCP_y2,3,2)+2),"00"),VALUE(LEFT(CRCP_y2,4)+1))</f>
        <v>2016-17</v>
      </c>
      <c r="F38" s="1046" t="str">
        <f>IF(dms_RPT="financial",VALUE(LEFT(CRCP_y3,4)+1)&amp;"-"&amp;TEXT(VALUE(MID(CRCP_y3,3,2)+2),"00"),VALUE(LEFT(CRCP_y3,4)+1))</f>
        <v>2017-18</v>
      </c>
      <c r="G38" s="1046" t="str">
        <f>IF(dms_RPT="financial",VALUE(LEFT(CRCP_y4,4)+1)&amp;"-"&amp;TEXT(VALUE(MID(CRCP_y4,3,2)+2),"00"),VALUE(LEFT(CRCP_y4,4)+1))</f>
        <v>2018-19</v>
      </c>
      <c r="H38" s="1046" t="str">
        <f>IF(dms_RPT="financial",VALUE(LEFT(CRCP_y5,4)+1)&amp;"-"&amp;TEXT(VALUE(MID(CRCP_y5,3,2)+2),"00"),VALUE(LEFT(CRCP_y5,4)+1))</f>
        <v>2019-20</v>
      </c>
      <c r="I38" s="1047" t="str">
        <f>IF(dms_RPT="financial",VALUE(LEFT(CRCP_y6,4)+1)&amp;"-"&amp;TEXT(VALUE(MID(CRCP_y6,3,2)+2),"00"),VALUE(LEFT(CRCP_y6,4)+1))</f>
        <v>2020-21</v>
      </c>
      <c r="J38" s="1037" t="str">
        <f>IF(dms_RPT="financial",VALUE(LEFT(CRCP_y7,4)+1)&amp;"-"&amp;TEXT(VALUE(MID(CRCP_y7,3,2)+2),"00"),VALUE(LEFT(CRCP_y7,4)+1))</f>
        <v>2021-22</v>
      </c>
      <c r="K38" s="1037" t="str">
        <f>IF(dms_RPT="financial",VALUE(LEFT(CRCP_y8,4)+1)&amp;"-"&amp;TEXT(VALUE(MID(CRCP_y8,3,2)+2),"00"),VALUE(LEFT(CRCP_y8,4)+1))</f>
        <v>2022-23</v>
      </c>
      <c r="L38" s="1037" t="str">
        <f>IF(dms_RPT="financial",VALUE(LEFT(CRCP_y9,4)+1)&amp;"-"&amp;TEXT(VALUE(MID(CRCP_y9,3,2)+2),"00"),VALUE(LEFT(CRCP_y9,4)+1))</f>
        <v>2023-24</v>
      </c>
      <c r="M38" s="1020"/>
      <c r="N38" s="1020"/>
      <c r="O38" s="1020"/>
      <c r="P38" s="1020"/>
      <c r="Q38" s="1020"/>
      <c r="R38" s="1020"/>
      <c r="S38" s="1020"/>
      <c r="T38" s="1020"/>
      <c r="U38" s="1020"/>
      <c r="V38" s="1020"/>
      <c r="W38" s="1020"/>
      <c r="X38" s="1020"/>
      <c r="Y38" s="1020"/>
      <c r="Z38" s="1020"/>
      <c r="AA38" s="1020"/>
      <c r="AB38" s="1020"/>
      <c r="AC38" s="1020"/>
      <c r="AD38" s="1020"/>
      <c r="AE38" s="1020"/>
      <c r="AF38" s="1020"/>
      <c r="AG38" s="1020"/>
      <c r="AH38" s="1020"/>
      <c r="AI38" s="1020"/>
      <c r="AJ38" s="1020"/>
      <c r="AK38" s="1020"/>
      <c r="AL38" s="1020"/>
      <c r="AM38" s="1020"/>
      <c r="AN38" s="1020"/>
      <c r="AO38" s="1020"/>
      <c r="AP38" s="1020"/>
      <c r="AQ38" s="1020"/>
    </row>
    <row r="39" spans="2:43" ht="15.75" thickBot="1">
      <c r="B39" s="1038"/>
      <c r="C39" s="1039"/>
      <c r="D39" s="1039"/>
      <c r="E39" s="1039"/>
      <c r="F39" s="1040"/>
      <c r="G39" s="1040"/>
      <c r="H39" s="1040"/>
      <c r="I39" s="1041"/>
      <c r="M39" s="1020"/>
      <c r="N39" s="1020"/>
      <c r="O39" s="1020"/>
      <c r="P39" s="1020"/>
      <c r="Q39" s="1020"/>
      <c r="R39" s="1020"/>
      <c r="S39" s="1020"/>
      <c r="T39" s="1020"/>
      <c r="U39" s="1020"/>
      <c r="V39" s="1020"/>
      <c r="W39" s="1020"/>
      <c r="X39" s="1020"/>
      <c r="Y39" s="1020"/>
      <c r="Z39" s="1020"/>
      <c r="AA39" s="1020"/>
      <c r="AB39" s="1020"/>
      <c r="AC39" s="1020"/>
      <c r="AD39" s="1020"/>
      <c r="AE39" s="1020"/>
      <c r="AF39" s="1020"/>
      <c r="AG39" s="1020"/>
      <c r="AH39" s="1020"/>
      <c r="AI39" s="1020"/>
      <c r="AJ39" s="1020"/>
      <c r="AK39" s="1020"/>
      <c r="AL39" s="1020"/>
      <c r="AM39" s="1020"/>
      <c r="AN39" s="1020"/>
      <c r="AO39" s="1020"/>
      <c r="AP39" s="1020"/>
      <c r="AQ39" s="1020"/>
    </row>
    <row r="40" spans="2:43">
      <c r="B40" s="1042"/>
      <c r="C40" s="1043"/>
      <c r="D40" s="1043"/>
      <c r="E40" s="1043"/>
      <c r="F40" s="1044"/>
      <c r="G40" s="1044"/>
      <c r="H40" s="1044"/>
      <c r="I40" s="1045"/>
      <c r="M40" s="1020"/>
      <c r="N40" s="1020"/>
      <c r="O40" s="1020"/>
      <c r="P40" s="1020"/>
      <c r="Q40" s="1020"/>
      <c r="R40" s="1020"/>
      <c r="S40" s="1020"/>
      <c r="T40" s="1020"/>
      <c r="U40" s="1020"/>
      <c r="V40" s="1020"/>
      <c r="W40" s="1020"/>
      <c r="X40" s="1020"/>
      <c r="Y40" s="1020"/>
      <c r="Z40" s="1020"/>
      <c r="AA40" s="1020"/>
      <c r="AB40" s="1020"/>
      <c r="AC40" s="1020"/>
      <c r="AD40" s="1020"/>
      <c r="AE40" s="1020"/>
      <c r="AF40" s="1020"/>
      <c r="AG40" s="1020"/>
      <c r="AH40" s="1020"/>
      <c r="AI40" s="1020"/>
      <c r="AJ40" s="1020"/>
      <c r="AK40" s="1020"/>
      <c r="AL40" s="1020"/>
      <c r="AM40" s="1020"/>
      <c r="AN40" s="1020"/>
      <c r="AO40" s="1020"/>
      <c r="AP40" s="1020"/>
      <c r="AQ40" s="1020"/>
    </row>
    <row r="41" spans="2:43">
      <c r="B41" s="1033" t="s">
        <v>373</v>
      </c>
      <c r="C41" s="1036" t="str">
        <f>IF(dms_RPT="financial",VALUE(LEFT(PRCP_y2,4)-1)&amp;"-"&amp;TEXT(VALUE(MID(PRCP_y2,3,2)),"00"),VALUE(LEFT(PRCP_y2,4)-1))</f>
        <v>2009-10</v>
      </c>
      <c r="D41" s="1036" t="str">
        <f>IF(dms_RPT="financial",VALUE(LEFT(PRCP_y3,4)-1)&amp;"-"&amp;TEXT(VALUE(MID(PRCP_y3,3,2)),"00"),VALUE(LEFT(PRCP_y3,4)-1))</f>
        <v>2010-11</v>
      </c>
      <c r="E41" s="1036" t="str">
        <f>IF(dms_RPT="financial",VALUE(LEFT(PRCP_y4,4)-1)&amp;"-"&amp;TEXT(VALUE(MID(PRCP_y4,3,2)),"00"),VALUE(LEFT(PRCP_y4,4)-1))</f>
        <v>2011-12</v>
      </c>
      <c r="F41" s="1036" t="str">
        <f>IF(dms_RPT="financial",VALUE(LEFT(PRCP_y5,4)-1)&amp;"-"&amp;TEXT(VALUE(RIGHT(PRCP_y5,2)-1),"00"),VALUE(LEFT(PRCP_y5,4)-1))</f>
        <v>2012-13</v>
      </c>
      <c r="G41" s="1046" t="str">
        <f>IF(dms_RPT="financial",VALUE(LEFT(CRCP_y1,4)-1)&amp;"-"&amp;TEXT(VALUE(RIGHT(CRCP_y1,2)-1),"00"),VALUE(LEFT(CRCP_y1,4)-1))</f>
        <v>2013-14</v>
      </c>
      <c r="H41" s="1046"/>
      <c r="I41" s="1048"/>
      <c r="M41" s="1020"/>
      <c r="N41" s="1020"/>
      <c r="O41" s="1020"/>
      <c r="P41" s="1020"/>
      <c r="Q41" s="1020"/>
      <c r="R41" s="1020"/>
      <c r="S41" s="1020"/>
      <c r="T41" s="1020"/>
      <c r="U41" s="1020"/>
      <c r="V41" s="1020"/>
      <c r="W41" s="1020"/>
      <c r="X41" s="1020"/>
      <c r="Y41" s="1020"/>
      <c r="Z41" s="1020"/>
      <c r="AA41" s="1020"/>
      <c r="AB41" s="1020"/>
      <c r="AC41" s="1020"/>
      <c r="AD41" s="1020"/>
      <c r="AE41" s="1020"/>
      <c r="AF41" s="1020"/>
      <c r="AG41" s="1020"/>
      <c r="AH41" s="1020"/>
      <c r="AI41" s="1020"/>
      <c r="AJ41" s="1020"/>
      <c r="AK41" s="1020"/>
      <c r="AL41" s="1020"/>
      <c r="AM41" s="1020"/>
      <c r="AN41" s="1020"/>
      <c r="AO41" s="1020"/>
      <c r="AP41" s="1020"/>
      <c r="AQ41" s="1020"/>
    </row>
    <row r="42" spans="2:43" ht="15.75" thickBot="1">
      <c r="B42" s="1049"/>
      <c r="C42" s="1050"/>
      <c r="D42" s="1050"/>
      <c r="E42" s="1040"/>
      <c r="F42" s="1051"/>
      <c r="G42" s="1051"/>
      <c r="H42" s="1051"/>
      <c r="I42" s="1052"/>
      <c r="M42" s="1020"/>
      <c r="N42" s="1020"/>
      <c r="O42" s="1020"/>
      <c r="P42" s="1020"/>
      <c r="Q42" s="1020"/>
      <c r="R42" s="1020"/>
      <c r="S42" s="1020"/>
      <c r="T42" s="1020"/>
      <c r="U42" s="1020"/>
      <c r="V42" s="1020"/>
      <c r="W42" s="1020"/>
      <c r="X42" s="1020"/>
      <c r="Y42" s="1020"/>
      <c r="Z42" s="1020"/>
      <c r="AA42" s="1020"/>
      <c r="AB42" s="1020"/>
      <c r="AC42" s="1020"/>
      <c r="AD42" s="1020"/>
      <c r="AE42" s="1020"/>
      <c r="AF42" s="1020"/>
      <c r="AG42" s="1020"/>
      <c r="AH42" s="1020"/>
      <c r="AI42" s="1020"/>
      <c r="AJ42" s="1020"/>
      <c r="AK42" s="1020"/>
      <c r="AL42" s="1020"/>
      <c r="AM42" s="1020"/>
      <c r="AN42" s="1020"/>
      <c r="AO42" s="1020"/>
      <c r="AP42" s="1020"/>
      <c r="AQ42" s="1020"/>
    </row>
    <row r="43" spans="2:43" ht="15" customHeight="1" thickBot="1">
      <c r="B43" s="899"/>
      <c r="C43" s="900"/>
      <c r="D43" s="900"/>
      <c r="E43" s="900"/>
      <c r="F43" s="901"/>
      <c r="G43" s="901"/>
      <c r="H43" s="901"/>
      <c r="I43" s="902"/>
      <c r="M43" s="1020"/>
      <c r="N43" s="1020"/>
      <c r="O43" s="1020"/>
      <c r="P43" s="1020"/>
      <c r="Q43" s="1020"/>
      <c r="R43" s="1020"/>
      <c r="S43" s="1020"/>
      <c r="T43" s="1020"/>
      <c r="U43" s="1020"/>
      <c r="V43" s="1020"/>
      <c r="W43" s="1020"/>
      <c r="X43" s="1020"/>
      <c r="Y43" s="1020"/>
      <c r="Z43" s="1020"/>
      <c r="AA43" s="1020"/>
      <c r="AB43" s="1020"/>
      <c r="AC43" s="1020"/>
      <c r="AD43" s="1020"/>
      <c r="AE43" s="1020"/>
      <c r="AF43" s="1020"/>
      <c r="AG43" s="1020"/>
      <c r="AH43" s="1020"/>
      <c r="AI43" s="1020"/>
      <c r="AJ43" s="1020"/>
      <c r="AK43" s="1020"/>
      <c r="AL43" s="1020"/>
      <c r="AM43" s="1020"/>
      <c r="AN43" s="1020"/>
      <c r="AO43" s="1020"/>
      <c r="AP43" s="1020"/>
      <c r="AQ43" s="1020"/>
    </row>
    <row r="44" spans="2:43" ht="15" customHeight="1" thickBot="1">
      <c r="B44" s="903" t="s">
        <v>1056</v>
      </c>
      <c r="C44" s="904" t="s">
        <v>901</v>
      </c>
      <c r="D44" s="905" t="s">
        <v>967</v>
      </c>
      <c r="E44" s="906"/>
      <c r="F44" s="907"/>
      <c r="G44" s="907"/>
      <c r="H44" s="907"/>
      <c r="I44" s="908"/>
      <c r="M44" s="1020"/>
      <c r="N44" s="1020"/>
      <c r="O44" s="1020"/>
      <c r="P44" s="1020"/>
      <c r="Q44" s="1020"/>
      <c r="R44" s="1020"/>
      <c r="S44" s="1020"/>
      <c r="T44" s="1020"/>
      <c r="U44" s="1020"/>
      <c r="V44" s="1020"/>
      <c r="W44" s="1020"/>
      <c r="X44" s="1020"/>
      <c r="Y44" s="1020"/>
      <c r="Z44" s="1020"/>
      <c r="AA44" s="1020"/>
      <c r="AB44" s="1020"/>
      <c r="AC44" s="1020"/>
      <c r="AD44" s="1020"/>
      <c r="AE44" s="1020"/>
      <c r="AF44" s="1020"/>
      <c r="AG44" s="1020"/>
      <c r="AH44" s="1020"/>
      <c r="AI44" s="1020"/>
      <c r="AJ44" s="1020"/>
      <c r="AK44" s="1020"/>
      <c r="AL44" s="1020"/>
      <c r="AM44" s="1020"/>
      <c r="AN44" s="1020"/>
      <c r="AO44" s="1020"/>
      <c r="AP44" s="1020"/>
      <c r="AQ44" s="1020"/>
    </row>
    <row r="45" spans="2:43" ht="14.25" customHeight="1" thickBot="1">
      <c r="B45" s="909"/>
      <c r="C45" s="910"/>
      <c r="D45" s="910"/>
      <c r="E45" s="910"/>
      <c r="F45" s="910"/>
      <c r="G45" s="910"/>
      <c r="H45" s="910"/>
      <c r="I45" s="908"/>
      <c r="M45" s="1020"/>
      <c r="N45" s="1020"/>
      <c r="O45" s="1020"/>
      <c r="P45" s="1020"/>
      <c r="Q45" s="1020"/>
      <c r="R45" s="1020"/>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020"/>
      <c r="AP45" s="1020"/>
      <c r="AQ45" s="1020"/>
    </row>
    <row r="46" spans="2:43" ht="15" customHeight="1" thickBot="1">
      <c r="B46" s="903" t="s">
        <v>1057</v>
      </c>
      <c r="C46" s="904" t="s">
        <v>901</v>
      </c>
      <c r="D46" s="905" t="s">
        <v>1058</v>
      </c>
      <c r="E46" s="906"/>
      <c r="F46" s="907"/>
      <c r="G46" s="907"/>
      <c r="H46" s="907"/>
      <c r="I46" s="908"/>
    </row>
    <row r="47" spans="2:43" ht="14.25" customHeight="1">
      <c r="B47" s="909"/>
      <c r="C47" s="910"/>
      <c r="D47" s="910"/>
      <c r="E47" s="910"/>
      <c r="F47" s="910"/>
      <c r="G47" s="910"/>
      <c r="H47" s="910"/>
      <c r="I47" s="908"/>
      <c r="K47" s="1053"/>
    </row>
    <row r="48" spans="2:43" ht="15" customHeight="1" thickBot="1">
      <c r="B48" s="911"/>
      <c r="C48" s="912"/>
      <c r="D48" s="912"/>
      <c r="E48" s="912"/>
      <c r="F48" s="913"/>
      <c r="G48" s="913"/>
      <c r="H48" s="913"/>
      <c r="I48" s="914"/>
    </row>
    <row r="49" spans="1:11" ht="15.75">
      <c r="B49" s="853"/>
      <c r="C49" s="915" t="s">
        <v>775</v>
      </c>
      <c r="E49" s="916"/>
      <c r="F49" s="853"/>
      <c r="G49" s="853"/>
      <c r="H49" s="853"/>
      <c r="I49" s="853"/>
    </row>
    <row r="50" spans="1:11" ht="15.75">
      <c r="B50" s="853"/>
      <c r="C50" s="915" t="s">
        <v>968</v>
      </c>
      <c r="E50" s="916"/>
      <c r="F50" s="853"/>
      <c r="G50" s="853"/>
      <c r="H50" s="853"/>
      <c r="I50" s="853"/>
    </row>
    <row r="51" spans="1:11" ht="15.75" thickBot="1">
      <c r="E51" s="917"/>
    </row>
    <row r="52" spans="1:11" ht="15.75" thickBot="1">
      <c r="B52" s="918" t="s">
        <v>378</v>
      </c>
      <c r="C52" s="1557" t="s">
        <v>379</v>
      </c>
      <c r="D52" s="1558"/>
      <c r="E52" s="919" t="s">
        <v>969</v>
      </c>
      <c r="F52" s="920"/>
      <c r="G52" s="920"/>
      <c r="H52" s="920"/>
      <c r="I52" s="921"/>
    </row>
    <row r="53" spans="1:11" ht="15.75" thickBot="1">
      <c r="B53" s="922" t="s">
        <v>546</v>
      </c>
      <c r="C53" s="923" t="s">
        <v>418</v>
      </c>
      <c r="D53" s="924"/>
      <c r="E53" s="924"/>
      <c r="F53" s="924"/>
      <c r="G53" s="924"/>
      <c r="H53" s="924"/>
      <c r="I53" s="925"/>
    </row>
    <row r="54" spans="1:11" ht="39" customHeight="1" thickBot="1">
      <c r="B54" s="926" t="s">
        <v>548</v>
      </c>
      <c r="C54" s="1559"/>
      <c r="D54" s="1560"/>
      <c r="E54" s="1560"/>
      <c r="F54" s="1560"/>
      <c r="G54" s="1560"/>
      <c r="H54" s="1560"/>
      <c r="I54" s="1561"/>
    </row>
    <row r="55" spans="1:11" ht="15" customHeight="1">
      <c r="B55" s="927" t="s">
        <v>970</v>
      </c>
      <c r="C55" s="1054" t="s">
        <v>971</v>
      </c>
      <c r="D55" s="928" t="s">
        <v>972</v>
      </c>
      <c r="E55" s="919" t="s">
        <v>973</v>
      </c>
      <c r="F55" s="929"/>
      <c r="G55" s="929"/>
      <c r="H55" s="929"/>
      <c r="I55" s="930"/>
      <c r="K55" s="1020"/>
    </row>
    <row r="56" spans="1:11" ht="15.75" thickBot="1">
      <c r="B56" s="931" t="s">
        <v>550</v>
      </c>
      <c r="C56" s="932" t="s">
        <v>396</v>
      </c>
      <c r="D56" s="933"/>
      <c r="E56" s="933"/>
      <c r="F56" s="933"/>
      <c r="G56" s="933"/>
      <c r="H56" s="933"/>
      <c r="I56" s="934"/>
    </row>
    <row r="57" spans="1:11" s="942" customFormat="1">
      <c r="A57" s="1020"/>
      <c r="B57" s="935" t="s">
        <v>374</v>
      </c>
      <c r="C57" s="936" t="str">
        <f>INDEX(dms_Sector_List,MATCH(dms_TradingName,dms_TradingName_List))</f>
        <v>Electricity</v>
      </c>
      <c r="D57" s="937" t="s">
        <v>974</v>
      </c>
      <c r="E57" s="938" t="s">
        <v>975</v>
      </c>
      <c r="F57" s="939"/>
      <c r="G57" s="939"/>
      <c r="H57" s="939"/>
      <c r="I57" s="940"/>
      <c r="J57" s="941"/>
    </row>
    <row r="58" spans="1:11">
      <c r="B58" s="943" t="s">
        <v>376</v>
      </c>
      <c r="C58" s="944" t="str">
        <f>INDEX(dms_Segment_List,MATCH(dms_TradingName,dms_TradingName_List))</f>
        <v>Distribution</v>
      </c>
      <c r="D58" s="945" t="s">
        <v>976</v>
      </c>
      <c r="E58" s="946" t="s">
        <v>977</v>
      </c>
      <c r="F58" s="947"/>
      <c r="G58" s="947"/>
      <c r="H58" s="947"/>
      <c r="I58" s="948"/>
    </row>
    <row r="59" spans="1:11">
      <c r="B59" s="943" t="s">
        <v>380</v>
      </c>
      <c r="C59" s="949" t="str">
        <f ca="1">IF(dms_MultiYear_Flag=1,LEFT(dms_Specified_FinalYear,2)&amp;RIGHT(dms_Specified_FinalYear,2),INDEX(dms_RYE_Formula_Result,MATCH(dms_Model,dms_Model_List)))</f>
        <v>2024</v>
      </c>
      <c r="D59" s="945" t="s">
        <v>978</v>
      </c>
      <c r="E59" s="946" t="s">
        <v>979</v>
      </c>
      <c r="F59" s="947"/>
      <c r="G59" s="947"/>
      <c r="H59" s="947"/>
      <c r="I59" s="948"/>
    </row>
    <row r="60" spans="1:11">
      <c r="B60" s="943" t="s">
        <v>381</v>
      </c>
      <c r="C60" s="944" t="str">
        <f>INDEX(dms_RPT_List,MATCH(dms_TradingName,dms_TradingName_List))</f>
        <v>Financial</v>
      </c>
      <c r="D60" s="945" t="s">
        <v>980</v>
      </c>
      <c r="E60" s="946" t="s">
        <v>981</v>
      </c>
      <c r="F60" s="947"/>
      <c r="G60" s="947"/>
      <c r="H60" s="947"/>
      <c r="I60" s="948"/>
    </row>
    <row r="61" spans="1:11">
      <c r="B61" s="943" t="s">
        <v>545</v>
      </c>
      <c r="C61" s="950" t="s">
        <v>382</v>
      </c>
      <c r="D61" s="951" t="s">
        <v>982</v>
      </c>
      <c r="E61" s="952" t="s">
        <v>983</v>
      </c>
      <c r="F61" s="947"/>
      <c r="G61" s="947"/>
      <c r="H61" s="947"/>
      <c r="I61" s="948"/>
    </row>
    <row r="62" spans="1:11">
      <c r="B62" s="943" t="s">
        <v>383</v>
      </c>
      <c r="C62" s="944" t="s">
        <v>419</v>
      </c>
      <c r="D62" s="951" t="s">
        <v>984</v>
      </c>
      <c r="E62" s="952" t="s">
        <v>985</v>
      </c>
      <c r="F62" s="947"/>
      <c r="G62" s="947"/>
      <c r="H62" s="947"/>
      <c r="I62" s="948"/>
    </row>
    <row r="63" spans="1:11">
      <c r="B63" s="953" t="s">
        <v>549</v>
      </c>
      <c r="C63" s="954">
        <v>5</v>
      </c>
      <c r="D63" s="955" t="s">
        <v>986</v>
      </c>
      <c r="E63" s="956"/>
      <c r="F63" s="957"/>
      <c r="G63" s="957"/>
      <c r="H63" s="957"/>
      <c r="I63" s="958"/>
    </row>
    <row r="64" spans="1:11">
      <c r="B64" s="943" t="s">
        <v>987</v>
      </c>
      <c r="C64" s="944" t="str">
        <f>INDEX(dms_RPTMonth_List,MATCH(dms_TradingName,dms_TradingName_List))</f>
        <v>June</v>
      </c>
      <c r="D64" s="951" t="s">
        <v>988</v>
      </c>
      <c r="E64" s="946" t="s">
        <v>989</v>
      </c>
      <c r="F64" s="947"/>
      <c r="G64" s="947"/>
      <c r="H64" s="947"/>
      <c r="I64" s="948"/>
      <c r="K64" s="1020"/>
    </row>
    <row r="65" spans="1:19" ht="14.25" customHeight="1">
      <c r="B65" s="943" t="s">
        <v>990</v>
      </c>
      <c r="C65" s="959" t="str">
        <f>CONCATENATE(dms_RPTMonth)&amp;" "&amp;VALUE((LEFT(dms_CRCP_FinalYear_Result,2)&amp;RIGHT(dms_CRCP_FinalYear_Result,2)))</f>
        <v>June 2019</v>
      </c>
      <c r="D65" s="945" t="s">
        <v>991</v>
      </c>
      <c r="E65" s="946" t="s">
        <v>992</v>
      </c>
      <c r="F65" s="947"/>
      <c r="G65" s="947"/>
      <c r="H65" s="947"/>
      <c r="I65" s="948"/>
      <c r="K65" s="1020"/>
    </row>
    <row r="66" spans="1:19" ht="15" customHeight="1">
      <c r="B66" s="943" t="s">
        <v>388</v>
      </c>
      <c r="C66" s="944" t="str">
        <f>INDEX(dms_FormControl_List,MATCH(dms_TradingName,dms_TradingName_List))</f>
        <v>Revenue cap</v>
      </c>
      <c r="D66" s="945" t="s">
        <v>555</v>
      </c>
      <c r="E66" s="946" t="s">
        <v>993</v>
      </c>
      <c r="F66" s="947"/>
      <c r="G66" s="947"/>
      <c r="H66" s="947"/>
      <c r="I66" s="948"/>
      <c r="K66" s="1020"/>
    </row>
    <row r="67" spans="1:19" ht="15" customHeight="1">
      <c r="B67" s="943" t="s">
        <v>547</v>
      </c>
      <c r="C67" s="944">
        <v>1</v>
      </c>
      <c r="D67" s="951" t="s">
        <v>994</v>
      </c>
      <c r="E67" s="952"/>
      <c r="F67" s="947"/>
      <c r="G67" s="947"/>
      <c r="H67" s="947"/>
      <c r="I67" s="948"/>
      <c r="K67" s="1020"/>
    </row>
    <row r="68" spans="1:19" ht="15.75" customHeight="1" thickBot="1">
      <c r="B68" s="960" t="s">
        <v>578</v>
      </c>
      <c r="C68" s="961" t="str">
        <f>INDEX(dms_JurisdictionList,MATCH(dms_TradingName,dms_TradingName_List))</f>
        <v>-</v>
      </c>
      <c r="D68" s="962" t="s">
        <v>995</v>
      </c>
      <c r="E68" s="963" t="s">
        <v>996</v>
      </c>
      <c r="F68" s="964"/>
      <c r="G68" s="964"/>
      <c r="H68" s="964"/>
      <c r="I68" s="965"/>
    </row>
    <row r="69" spans="1:19" ht="15" customHeight="1">
      <c r="B69" s="966" t="s">
        <v>997</v>
      </c>
      <c r="C69" s="967">
        <v>0</v>
      </c>
      <c r="D69" s="937" t="s">
        <v>998</v>
      </c>
      <c r="E69" s="938" t="s">
        <v>999</v>
      </c>
      <c r="F69" s="939"/>
      <c r="G69" s="939"/>
      <c r="H69" s="939"/>
      <c r="I69" s="940"/>
    </row>
    <row r="70" spans="1:19" ht="15" customHeight="1">
      <c r="B70" s="968"/>
      <c r="C70" s="1055">
        <v>2013</v>
      </c>
      <c r="D70" s="969" t="s">
        <v>1000</v>
      </c>
      <c r="E70" s="970" t="s">
        <v>1001</v>
      </c>
      <c r="F70" s="1056"/>
      <c r="G70" s="1056"/>
      <c r="H70" s="1056"/>
      <c r="I70" s="971"/>
    </row>
    <row r="71" spans="1:19" ht="15" customHeight="1">
      <c r="B71" s="972" t="s">
        <v>1002</v>
      </c>
      <c r="C71" s="973">
        <f>IF(dms_Model="EB",1,0)</f>
        <v>0</v>
      </c>
      <c r="D71" s="974" t="s">
        <v>1003</v>
      </c>
      <c r="E71" s="975"/>
      <c r="F71" s="976"/>
      <c r="G71" s="976"/>
      <c r="H71" s="976"/>
      <c r="I71" s="977"/>
    </row>
    <row r="72" spans="1:19" ht="15" customHeight="1">
      <c r="B72" s="972"/>
      <c r="C72" s="973">
        <f>IF(dms_Model="CA",1,0)</f>
        <v>0</v>
      </c>
      <c r="D72" s="945" t="s">
        <v>1004</v>
      </c>
      <c r="E72" s="946" t="s">
        <v>1005</v>
      </c>
      <c r="F72" s="947"/>
      <c r="G72" s="947"/>
      <c r="H72" s="947"/>
      <c r="I72" s="948"/>
    </row>
    <row r="73" spans="1:19">
      <c r="B73" s="978"/>
      <c r="C73" s="973">
        <f>IF(dms_Model="ARR",1,0)</f>
        <v>0</v>
      </c>
      <c r="D73" s="945" t="s">
        <v>1006</v>
      </c>
      <c r="E73" s="946"/>
      <c r="F73" s="947"/>
      <c r="G73" s="947"/>
      <c r="H73" s="947"/>
      <c r="I73" s="948"/>
    </row>
    <row r="74" spans="1:19" ht="15" customHeight="1">
      <c r="B74" s="979" t="s">
        <v>1007</v>
      </c>
      <c r="C74" s="980" t="s">
        <v>967</v>
      </c>
      <c r="D74" s="945" t="s">
        <v>1008</v>
      </c>
      <c r="E74" s="946" t="s">
        <v>1009</v>
      </c>
      <c r="F74" s="924"/>
      <c r="G74" s="924"/>
      <c r="H74" s="924"/>
      <c r="I74" s="925"/>
    </row>
    <row r="75" spans="1:19" ht="15" customHeight="1">
      <c r="B75" s="981" t="s">
        <v>1010</v>
      </c>
      <c r="C75" s="982" t="e">
        <f ca="1">INDIRECT(dms_SingleYear_FinalYear_Ref)</f>
        <v>#REF!</v>
      </c>
      <c r="D75" s="945" t="s">
        <v>1011</v>
      </c>
      <c r="E75" s="946" t="s">
        <v>1012</v>
      </c>
      <c r="F75" s="924"/>
      <c r="G75" s="924"/>
      <c r="H75" s="924"/>
      <c r="I75" s="983" t="s">
        <v>1013</v>
      </c>
      <c r="K75" s="1020"/>
      <c r="L75" s="1020"/>
      <c r="M75" s="1020"/>
    </row>
    <row r="76" spans="1:19" ht="15" customHeight="1">
      <c r="B76" s="984" t="s">
        <v>1014</v>
      </c>
      <c r="C76" s="944">
        <f>INDEX(dms_FRCPlength_List,MATCH(dms_TradingName,dms_TradingName_List))</f>
        <v>5</v>
      </c>
      <c r="D76" s="945" t="s">
        <v>1015</v>
      </c>
      <c r="E76" s="946" t="s">
        <v>1016</v>
      </c>
      <c r="F76" s="947"/>
      <c r="G76" s="947"/>
      <c r="H76" s="947"/>
      <c r="I76" s="948"/>
      <c r="K76" s="1020"/>
      <c r="L76" s="1020"/>
      <c r="M76" s="1020"/>
    </row>
    <row r="77" spans="1:19" ht="15" customHeight="1">
      <c r="B77" s="979" t="s">
        <v>1017</v>
      </c>
      <c r="C77" s="959" t="str">
        <f>INDEX(dms_FinalYear_List,MATCH(dms_FRCPlength_Num,dms_FRCPlength_Num_List))</f>
        <v>dms_FRCP_y5</v>
      </c>
      <c r="D77" s="945" t="s">
        <v>1018</v>
      </c>
      <c r="E77" s="946" t="s">
        <v>1019</v>
      </c>
      <c r="F77" s="924"/>
      <c r="G77" s="924"/>
      <c r="H77" s="924"/>
      <c r="I77" s="925"/>
      <c r="K77" s="1020"/>
      <c r="L77" s="1020"/>
      <c r="M77" s="1020"/>
    </row>
    <row r="78" spans="1:19" ht="15" customHeight="1">
      <c r="B78" s="981" t="s">
        <v>1020</v>
      </c>
      <c r="C78" s="982" t="str">
        <f ca="1">IF(dms_MultiYear_Flag=0,INDIRECT(dms_MultiYear_FinalYear_Ref),dms_Specified_FinalYear)</f>
        <v>2023-24</v>
      </c>
      <c r="D78" s="945" t="s">
        <v>1021</v>
      </c>
      <c r="E78" s="946" t="s">
        <v>1022</v>
      </c>
      <c r="F78" s="924"/>
      <c r="G78" s="924"/>
      <c r="H78" s="924"/>
      <c r="I78" s="983" t="s">
        <v>1013</v>
      </c>
      <c r="K78" s="1020"/>
      <c r="L78" s="1020"/>
      <c r="M78" s="1020"/>
    </row>
    <row r="79" spans="1:19">
      <c r="B79" s="984" t="s">
        <v>1023</v>
      </c>
      <c r="C79" s="944">
        <f>INDEX(dms_CRCPlength_List,MATCH(dms_TradingName,dms_TradingName_List))</f>
        <v>5</v>
      </c>
      <c r="D79" s="985" t="s">
        <v>1024</v>
      </c>
      <c r="E79" s="986" t="s">
        <v>1025</v>
      </c>
      <c r="F79" s="947"/>
      <c r="G79" s="947"/>
      <c r="H79" s="947"/>
      <c r="I79" s="948"/>
      <c r="K79" s="1020"/>
      <c r="L79" s="1020"/>
      <c r="M79" s="1020"/>
    </row>
    <row r="80" spans="1:19" s="989" customFormat="1">
      <c r="A80" s="1020"/>
      <c r="B80" s="984" t="s">
        <v>1026</v>
      </c>
      <c r="C80" s="944" t="str">
        <f>INDEX(dms_CFinalYear_List,MATCH(dms_CRCPlength_Num,dms_CRCPlength_Num_List))</f>
        <v>CRCP_y5</v>
      </c>
      <c r="D80" s="985" t="s">
        <v>1027</v>
      </c>
      <c r="E80" s="986" t="s">
        <v>1028</v>
      </c>
      <c r="F80" s="947"/>
      <c r="G80" s="947"/>
      <c r="H80" s="947"/>
      <c r="I80" s="948"/>
      <c r="J80" s="987"/>
      <c r="K80" s="987"/>
      <c r="L80" s="987"/>
      <c r="M80" s="987"/>
      <c r="N80" s="987"/>
      <c r="O80" s="988"/>
      <c r="P80" s="987"/>
      <c r="Q80" s="987"/>
      <c r="R80" s="987"/>
      <c r="S80" s="987"/>
    </row>
    <row r="81" spans="1:19" s="989" customFormat="1">
      <c r="A81" s="1020"/>
      <c r="B81" s="990" t="s">
        <v>1029</v>
      </c>
      <c r="C81" s="944" t="str">
        <f>INDEX(dms_CRCP_years,MATCH(dms_CRCPlength_Num,dms_CRCP_index))</f>
        <v>2014-15</v>
      </c>
      <c r="D81" s="991" t="s">
        <v>1030</v>
      </c>
      <c r="E81" s="986" t="s">
        <v>1031</v>
      </c>
      <c r="F81" s="992"/>
      <c r="G81" s="992"/>
      <c r="H81" s="992"/>
      <c r="I81" s="930"/>
      <c r="J81" s="987"/>
      <c r="K81" s="987"/>
      <c r="L81" s="987"/>
      <c r="M81" s="987"/>
      <c r="N81" s="987"/>
      <c r="O81" s="988"/>
      <c r="P81" s="987"/>
      <c r="Q81" s="987"/>
      <c r="R81" s="987"/>
      <c r="S81" s="987"/>
    </row>
    <row r="82" spans="1:19" s="853" customFormat="1" ht="15.75" thickBot="1">
      <c r="A82" s="1020"/>
      <c r="B82" s="993" t="s">
        <v>1032</v>
      </c>
      <c r="C82" s="1057" t="str">
        <f>IF(dms_MultiYear_Flag=0,(IF(SUM(dms_SingleYear_Model)&gt;0,CRY,dms_CRCP_yZ)),dms_Specified_FinalYear)</f>
        <v>2018-19</v>
      </c>
      <c r="D82" s="994" t="s">
        <v>1033</v>
      </c>
      <c r="E82" s="995" t="s">
        <v>1034</v>
      </c>
      <c r="F82" s="964"/>
      <c r="G82" s="964"/>
      <c r="H82" s="964"/>
      <c r="I82" s="996"/>
      <c r="O82" s="881"/>
    </row>
    <row r="83" spans="1:19">
      <c r="B83" s="997" t="s">
        <v>1035</v>
      </c>
      <c r="C83" s="998">
        <f>INDEX(dms_663_List,MATCH(dms_TradingName,dms_TradingName_List))</f>
        <v>2</v>
      </c>
      <c r="D83" s="974" t="s">
        <v>1036</v>
      </c>
      <c r="E83" s="999"/>
      <c r="F83" s="1000"/>
      <c r="G83" s="1000"/>
      <c r="H83" s="1000"/>
      <c r="I83" s="1001"/>
    </row>
    <row r="84" spans="1:19" s="853" customFormat="1" ht="14.25" customHeight="1" thickBot="1">
      <c r="A84" s="1020"/>
      <c r="B84" s="1002" t="s">
        <v>1037</v>
      </c>
      <c r="C84" s="1003" t="str">
        <f>INDEX(dms_DeterminationRef_List,MATCH(dms_TradingName,dms_TradingName_List))</f>
        <v>distribution determination</v>
      </c>
      <c r="D84" s="994" t="s">
        <v>1059</v>
      </c>
      <c r="E84" s="1004"/>
      <c r="F84" s="1005"/>
      <c r="G84" s="1005"/>
      <c r="H84" s="1005"/>
      <c r="I84" s="1006"/>
      <c r="O84" s="881"/>
    </row>
    <row r="85" spans="1:19">
      <c r="B85" s="935" t="s">
        <v>1038</v>
      </c>
      <c r="C85" s="1007" t="s">
        <v>807</v>
      </c>
      <c r="D85" s="1008" t="s">
        <v>1039</v>
      </c>
      <c r="E85" s="1551" t="s">
        <v>1040</v>
      </c>
      <c r="F85" s="1552"/>
      <c r="G85" s="1552"/>
      <c r="H85" s="1552"/>
      <c r="I85" s="1553"/>
    </row>
    <row r="86" spans="1:19">
      <c r="B86" s="943" t="s">
        <v>1041</v>
      </c>
      <c r="C86" s="1009" t="s">
        <v>807</v>
      </c>
      <c r="D86" s="945" t="s">
        <v>1042</v>
      </c>
      <c r="E86" s="1010" t="s">
        <v>1043</v>
      </c>
      <c r="F86" s="1011"/>
      <c r="G86" s="1011"/>
      <c r="H86" s="1011"/>
      <c r="I86" s="1012"/>
    </row>
    <row r="87" spans="1:19">
      <c r="B87" s="943"/>
      <c r="C87" s="1009"/>
      <c r="D87" s="945"/>
      <c r="E87" s="1010"/>
      <c r="F87" s="1011"/>
      <c r="G87" s="1011"/>
      <c r="H87" s="1011"/>
      <c r="I87" s="1012"/>
    </row>
    <row r="88" spans="1:19" ht="15.75" thickBot="1">
      <c r="B88" s="960" t="s">
        <v>1044</v>
      </c>
      <c r="C88" s="1013" t="s">
        <v>628</v>
      </c>
      <c r="D88" s="962" t="s">
        <v>1045</v>
      </c>
      <c r="E88" s="1014" t="s">
        <v>1046</v>
      </c>
      <c r="F88" s="1015"/>
      <c r="G88" s="1015"/>
      <c r="H88" s="1015"/>
      <c r="I88" s="1016"/>
    </row>
    <row r="90" spans="1:19" ht="20.25">
      <c r="B90" s="1017" t="s">
        <v>1047</v>
      </c>
      <c r="C90" s="1018" t="s">
        <v>1048</v>
      </c>
      <c r="D90" s="1019" t="s">
        <v>1049</v>
      </c>
      <c r="E90" s="772"/>
      <c r="F90" s="772"/>
      <c r="G90" s="772"/>
      <c r="H90" s="772"/>
      <c r="I90" s="772"/>
    </row>
    <row r="92" spans="1:19">
      <c r="E92" s="1020"/>
      <c r="F92" s="1020"/>
      <c r="G92" s="1020"/>
      <c r="H92" s="1020"/>
    </row>
    <row r="93" spans="1:19">
      <c r="C93" s="1020"/>
      <c r="D93" s="1020"/>
      <c r="E93" s="1020"/>
      <c r="F93" s="1020"/>
      <c r="G93" s="1020"/>
      <c r="H93" s="1020"/>
    </row>
    <row r="94" spans="1:19">
      <c r="C94" s="1020"/>
      <c r="D94" s="1020"/>
      <c r="E94" s="1020"/>
      <c r="F94" s="1020"/>
      <c r="G94" s="1020"/>
      <c r="H94" s="1020"/>
    </row>
  </sheetData>
  <sheetProtection formatColumns="0" formatRows="0" insertRows="0" autoFilter="0"/>
  <dataConsolidate/>
  <mergeCells count="18">
    <mergeCell ref="E85:I85"/>
    <mergeCell ref="E19:H19"/>
    <mergeCell ref="C20:D20"/>
    <mergeCell ref="E20:H20"/>
    <mergeCell ref="C23:D23"/>
    <mergeCell ref="E23:H23"/>
    <mergeCell ref="E24:H24"/>
    <mergeCell ref="C25:D25"/>
    <mergeCell ref="E25:H25"/>
    <mergeCell ref="B33:I33"/>
    <mergeCell ref="C52:D52"/>
    <mergeCell ref="C54:I54"/>
    <mergeCell ref="B8:I8"/>
    <mergeCell ref="B12:I12"/>
    <mergeCell ref="C14:E14"/>
    <mergeCell ref="C15:E15"/>
    <mergeCell ref="C18:D18"/>
    <mergeCell ref="E18:H18"/>
  </mergeCells>
  <conditionalFormatting sqref="H35">
    <cfRule type="expression" dxfId="3" priority="4">
      <formula>dms_FRCPlength_Num&lt;6</formula>
    </cfRule>
  </conditionalFormatting>
  <conditionalFormatting sqref="H38">
    <cfRule type="expression" dxfId="2" priority="3">
      <formula>dms_CRCPlength_Num&lt;6</formula>
    </cfRule>
  </conditionalFormatting>
  <conditionalFormatting sqref="C86">
    <cfRule type="expression" dxfId="1" priority="2">
      <formula>SUM(dms_SingleYear_Model)&gt;0</formula>
    </cfRule>
  </conditionalFormatting>
  <conditionalFormatting sqref="C70">
    <cfRule type="expression" dxfId="0" priority="1">
      <formula>dms_MultiYear_Flag=1</formula>
    </cfRule>
  </conditionalFormatting>
  <dataValidations count="15">
    <dataValidation type="list" allowBlank="1" showInputMessage="1" showErrorMessage="1" sqref="C35">
      <formula1>IF(dms_RPT="financial",dms_FRCP_ListF,dms_FRCP_ListC)</formula1>
    </dataValidation>
    <dataValidation type="list" allowBlank="1" showInputMessage="1" showErrorMessage="1" sqref="C61">
      <formula1>dms_Model_List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54:I54">
      <formula1>150</formula1>
    </dataValidation>
    <dataValidation type="list" allowBlank="1" showInputMessage="1" showErrorMessage="1" sqref="C53">
      <formula1>dms_DataQuality_List</formula1>
    </dataValidation>
    <dataValidation type="list" allowBlank="1" showInputMessage="1" showErrorMessage="1" sqref="C60">
      <formula1>"Financial, Calendar, Other"</formula1>
    </dataValidation>
    <dataValidation type="textLength" operator="greaterThan" showInputMessage="1" showErrorMessage="1" sqref="E18:H18 E20:H20 E23:H23 E25:H25">
      <formula1>1</formula1>
    </dataValidation>
    <dataValidation type="list" operator="lessThanOrEqual" showInputMessage="1" showErrorMessage="1" sqref="E26">
      <formula1>"ACT,Qld,NSW,Vic,Tas,SA"</formula1>
    </dataValidation>
    <dataValidation type="list" allowBlank="1" showInputMessage="1" showErrorMessage="1" sqref="C62">
      <formula1>"Public, Confidential"</formula1>
    </dataValidation>
    <dataValidation type="list" allowBlank="1" showInputMessage="1" showErrorMessage="1" sqref="C56">
      <formula1>"Yes, No"</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 NSW,NT,SA,Qld,Vic,-,Tas,WA"</formula1>
    </dataValidation>
    <dataValidation type="list" allowBlank="1" showInputMessage="1" showErrorMessage="1" sqref="C52:D52">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
      <formula1>1</formula1>
      <formula2>9999</formula2>
    </dataValidation>
    <dataValidation type="list" allowBlank="1" showInputMessage="1" showErrorMessage="1" sqref="C44 C46">
      <formula1>IF(dms_RPT="financial",dms_CRY_ListF,dms_CRY_ListC)</formula1>
    </dataValidation>
  </dataValidations>
  <pageMargins left="0.25" right="0.25" top="0.75" bottom="0.75" header="0.3" footer="0.3"/>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AZ190"/>
  <sheetViews>
    <sheetView showGridLines="0" topLeftCell="A101" zoomScaleNormal="100" workbookViewId="0">
      <selection activeCell="K53" sqref="K53"/>
    </sheetView>
  </sheetViews>
  <sheetFormatPr defaultRowHeight="12.75"/>
  <cols>
    <col min="1" max="1" width="2.28515625" customWidth="1"/>
    <col min="2" max="2" width="15.7109375" customWidth="1"/>
    <col min="4" max="4" width="11.42578125" bestFit="1" customWidth="1"/>
    <col min="6" max="6" width="8.5703125" customWidth="1"/>
    <col min="7" max="7" width="5.28515625" customWidth="1"/>
    <col min="8" max="8" width="9.140625" customWidth="1"/>
    <col min="11" max="11" width="8" customWidth="1"/>
    <col min="12" max="12" width="8.28515625" customWidth="1"/>
  </cols>
  <sheetData>
    <row r="1" spans="1:52" ht="44.25">
      <c r="A1" s="240"/>
      <c r="B1" s="240"/>
      <c r="C1" s="240"/>
      <c r="D1" s="356"/>
      <c r="E1" s="483"/>
      <c r="F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41.25" customHeight="1">
      <c r="A2" s="240"/>
      <c r="B2" s="240"/>
      <c r="C2" s="240"/>
      <c r="D2" s="356"/>
      <c r="E2" s="240"/>
      <c r="F2" s="240"/>
      <c r="G2" s="519" t="s">
        <v>339</v>
      </c>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row>
    <row r="3" spans="1:52" ht="53.25" customHeight="1">
      <c r="A3" s="240"/>
      <c r="B3" s="240"/>
      <c r="C3" s="240"/>
      <c r="D3" s="356"/>
      <c r="E3" s="240"/>
      <c r="F3" s="240"/>
      <c r="G3" s="518"/>
      <c r="H3" s="518" t="s">
        <v>336</v>
      </c>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row>
    <row r="4" spans="1:52" ht="36.75" customHeight="1">
      <c r="A4" s="240"/>
      <c r="B4" s="240"/>
      <c r="C4" s="240"/>
      <c r="D4" s="356"/>
      <c r="E4" s="240"/>
      <c r="F4" s="240"/>
      <c r="G4" s="484"/>
      <c r="H4" s="240"/>
      <c r="I4" s="240"/>
      <c r="J4" s="240"/>
      <c r="K4" s="541" t="s">
        <v>354</v>
      </c>
      <c r="L4" s="543">
        <v>3</v>
      </c>
      <c r="M4" s="485"/>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row>
    <row r="5" spans="1:52" ht="35.25" customHeight="1">
      <c r="A5" s="240"/>
      <c r="B5" s="240"/>
      <c r="C5" s="240"/>
      <c r="D5" s="356"/>
      <c r="E5" s="240"/>
      <c r="F5" s="240"/>
      <c r="G5" s="484"/>
      <c r="H5" s="240"/>
      <c r="I5" s="240"/>
      <c r="J5" s="240"/>
      <c r="K5" s="541" t="s">
        <v>355</v>
      </c>
      <c r="L5" s="542" t="s">
        <v>442</v>
      </c>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row>
    <row r="6" spans="1:52">
      <c r="A6" s="240"/>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row>
    <row r="7" spans="1:52">
      <c r="A7" s="108"/>
      <c r="B7" s="108"/>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row>
    <row r="8" spans="1:52" ht="27">
      <c r="A8" s="109"/>
      <c r="B8" s="110" t="s">
        <v>223</v>
      </c>
      <c r="C8" s="109"/>
      <c r="D8" s="109"/>
      <c r="E8" s="109"/>
      <c r="F8" s="109"/>
      <c r="G8" s="109"/>
      <c r="H8" s="109"/>
      <c r="I8" s="109"/>
      <c r="J8" s="520" t="s">
        <v>340</v>
      </c>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row>
    <row r="9" spans="1:52" ht="13.5" customHeight="1">
      <c r="A9" s="109"/>
      <c r="B9" s="109"/>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row>
    <row r="10" spans="1:52">
      <c r="A10" s="111"/>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row>
    <row r="11" spans="1:52" ht="18.75" customHeight="1">
      <c r="A11" s="509"/>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509"/>
      <c r="AE11" s="509"/>
      <c r="AF11" s="509"/>
      <c r="AG11" s="509"/>
      <c r="AH11" s="509"/>
      <c r="AI11" s="509"/>
      <c r="AJ11" s="509"/>
      <c r="AK11" s="509"/>
      <c r="AL11" s="509"/>
      <c r="AM11" s="509"/>
      <c r="AN11" s="509"/>
      <c r="AO11" s="509"/>
      <c r="AP11" s="509"/>
      <c r="AQ11" s="509"/>
      <c r="AR11" s="509"/>
      <c r="AS11" s="509"/>
      <c r="AT11" s="509"/>
      <c r="AU11" s="509"/>
      <c r="AV11" s="509"/>
      <c r="AW11" s="509"/>
      <c r="AX11" s="509"/>
      <c r="AY11" s="509"/>
      <c r="AZ11" s="509"/>
    </row>
    <row r="12" spans="1:52" s="319" customFormat="1">
      <c r="A12" s="334"/>
      <c r="B12" s="334"/>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row>
    <row r="13" spans="1:52" s="319" customFormat="1">
      <c r="A13" s="334"/>
      <c r="B13" s="334"/>
      <c r="C13" s="334" t="s">
        <v>139</v>
      </c>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row>
    <row r="14" spans="1:52" s="319" customFormat="1">
      <c r="A14" s="334"/>
      <c r="B14" s="334"/>
      <c r="C14" s="334" t="s">
        <v>140</v>
      </c>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row>
    <row r="15" spans="1:52" s="319" customFormat="1">
      <c r="A15" s="334"/>
      <c r="B15" s="334"/>
      <c r="C15" s="334" t="s">
        <v>179</v>
      </c>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row>
    <row r="16" spans="1:52" s="319" customFormat="1">
      <c r="A16" s="334"/>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row>
    <row r="17" spans="1:52" s="319" customFormat="1" ht="15.75">
      <c r="A17" s="334"/>
      <c r="B17" s="334"/>
      <c r="C17" s="487" t="s">
        <v>141</v>
      </c>
      <c r="D17" s="369"/>
      <c r="E17" s="369"/>
      <c r="F17" s="369"/>
      <c r="G17" s="369"/>
      <c r="H17" s="369"/>
      <c r="I17" s="369"/>
      <c r="J17" s="369"/>
      <c r="K17" s="369"/>
      <c r="L17" s="369"/>
      <c r="M17" s="369"/>
      <c r="N17" s="369"/>
      <c r="O17" s="369"/>
      <c r="P17" s="369"/>
      <c r="Q17" s="369"/>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row>
    <row r="18" spans="1:52" s="319" customFormat="1">
      <c r="A18" s="334"/>
      <c r="B18" s="334"/>
      <c r="C18" s="334" t="s">
        <v>443</v>
      </c>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row>
    <row r="19" spans="1:52" s="5" customFormat="1" ht="15">
      <c r="A19" s="369"/>
      <c r="B19" s="369"/>
      <c r="C19" s="652"/>
      <c r="D19" s="334"/>
      <c r="E19" s="334"/>
      <c r="F19" s="334"/>
      <c r="G19" s="334"/>
      <c r="H19" s="334"/>
      <c r="I19" s="334"/>
      <c r="J19" s="334"/>
      <c r="K19" s="334"/>
      <c r="L19" s="334"/>
      <c r="M19" s="334"/>
      <c r="N19" s="334"/>
      <c r="O19" s="334"/>
      <c r="P19" s="334"/>
      <c r="Q19" s="334"/>
      <c r="R19" s="369"/>
      <c r="S19" s="369"/>
      <c r="T19" s="369"/>
      <c r="U19" s="369"/>
      <c r="V19" s="369"/>
      <c r="W19" s="369"/>
      <c r="X19" s="369"/>
      <c r="Y19" s="369"/>
      <c r="Z19" s="369"/>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row>
    <row r="20" spans="1:52" s="319" customFormat="1">
      <c r="A20" s="334"/>
      <c r="B20" s="334"/>
      <c r="C20" s="652" t="s">
        <v>444</v>
      </c>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row>
    <row r="21" spans="1:52" s="319" customFormat="1">
      <c r="A21" s="334"/>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row>
    <row r="22" spans="1:52" s="319" customFormat="1">
      <c r="A22" s="334"/>
      <c r="B22" s="334"/>
      <c r="C22" s="328" t="s">
        <v>445</v>
      </c>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row>
    <row r="23" spans="1:52" s="319" customFormat="1">
      <c r="A23" s="334"/>
      <c r="B23" s="334"/>
      <c r="C23" s="334" t="s">
        <v>481</v>
      </c>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row>
    <row r="24" spans="1:52" s="319" customFormat="1">
      <c r="A24" s="334"/>
      <c r="B24" s="334"/>
      <c r="C24" s="334" t="s">
        <v>446</v>
      </c>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row>
    <row r="25" spans="1:52" s="319" customFormat="1">
      <c r="A25" s="334"/>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row>
    <row r="26" spans="1:52" s="319" customFormat="1">
      <c r="A26" s="334"/>
      <c r="B26" s="334"/>
      <c r="C26" s="328" t="s">
        <v>447</v>
      </c>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row>
    <row r="27" spans="1:52" s="319" customFormat="1">
      <c r="A27" s="334"/>
      <c r="B27" s="334"/>
      <c r="C27" s="334" t="s">
        <v>490</v>
      </c>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row>
    <row r="28" spans="1:52" s="319" customFormat="1">
      <c r="A28" s="334"/>
      <c r="B28" s="334"/>
      <c r="C28" s="334" t="s">
        <v>448</v>
      </c>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row>
    <row r="29" spans="1:52" s="319" customFormat="1">
      <c r="A29" s="334"/>
      <c r="B29" s="334"/>
      <c r="C29" s="334" t="s">
        <v>449</v>
      </c>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row>
    <row r="30" spans="1:52" s="319" customFormat="1">
      <c r="A30" s="334"/>
      <c r="B30" s="334"/>
      <c r="C30" s="334" t="s">
        <v>450</v>
      </c>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row>
    <row r="31" spans="1:52" s="319" customFormat="1">
      <c r="A31" s="334"/>
      <c r="B31" s="334"/>
      <c r="C31" s="328"/>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row>
    <row r="32" spans="1:52" s="319" customFormat="1">
      <c r="A32" s="334"/>
      <c r="B32" s="334"/>
      <c r="C32" s="328" t="s">
        <v>492</v>
      </c>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row>
    <row r="33" spans="1:52" s="319" customFormat="1">
      <c r="A33" s="334"/>
      <c r="B33" s="334"/>
      <c r="C33" s="334" t="s">
        <v>337</v>
      </c>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row>
    <row r="34" spans="1:52" s="319" customFormat="1">
      <c r="A34" s="334"/>
      <c r="B34" s="334"/>
      <c r="C34" s="334" t="s">
        <v>142</v>
      </c>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row>
    <row r="35" spans="1:52" s="319" customFormat="1">
      <c r="A35" s="334"/>
      <c r="B35" s="334"/>
      <c r="C35" s="334" t="s">
        <v>491</v>
      </c>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row>
    <row r="36" spans="1:52" s="319" customFormat="1">
      <c r="A36" s="334"/>
      <c r="B36" s="334"/>
      <c r="C36" s="334" t="s">
        <v>451</v>
      </c>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row>
    <row r="37" spans="1:52" s="319" customFormat="1">
      <c r="A37" s="334"/>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row>
    <row r="38" spans="1:52" s="319" customFormat="1">
      <c r="A38" s="334"/>
      <c r="B38" s="334"/>
      <c r="C38" s="652" t="s">
        <v>452</v>
      </c>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row>
    <row r="39" spans="1:52" s="319" customFormat="1">
      <c r="A39" s="334"/>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row>
    <row r="40" spans="1:52" s="319" customFormat="1">
      <c r="A40" s="334"/>
      <c r="B40" s="334"/>
      <c r="C40" s="328" t="s">
        <v>453</v>
      </c>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row>
    <row r="41" spans="1:52" s="319" customFormat="1">
      <c r="A41" s="334"/>
      <c r="B41" s="334"/>
      <c r="C41" s="334" t="s">
        <v>454</v>
      </c>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row>
    <row r="42" spans="1:52" s="319" customFormat="1">
      <c r="A42" s="334"/>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row>
    <row r="43" spans="1:52" s="319" customFormat="1">
      <c r="A43" s="334"/>
      <c r="B43" s="334"/>
      <c r="C43" s="328" t="s">
        <v>455</v>
      </c>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row>
    <row r="44" spans="1:52" s="319" customFormat="1">
      <c r="A44" s="334"/>
      <c r="B44" s="334"/>
      <c r="C44" s="334" t="s">
        <v>470</v>
      </c>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row>
    <row r="45" spans="1:52" s="319" customFormat="1">
      <c r="A45" s="334"/>
      <c r="B45" s="334"/>
      <c r="C45" s="334" t="s">
        <v>456</v>
      </c>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row>
    <row r="46" spans="1:52" s="319" customFormat="1">
      <c r="A46" s="334"/>
      <c r="B46" s="334"/>
      <c r="C46" s="334"/>
      <c r="D46" s="334"/>
      <c r="E46" s="334"/>
      <c r="F46" s="334"/>
      <c r="G46" s="359"/>
      <c r="H46" s="359"/>
      <c r="I46" s="359"/>
      <c r="J46" s="359"/>
      <c r="K46" s="359"/>
      <c r="L46" s="359"/>
      <c r="M46" s="359"/>
      <c r="N46" s="359"/>
      <c r="O46" s="359"/>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row>
    <row r="47" spans="1:52" s="319" customFormat="1">
      <c r="A47" s="334"/>
      <c r="B47" s="334"/>
      <c r="C47" s="328" t="s">
        <v>493</v>
      </c>
      <c r="D47" s="334"/>
      <c r="E47" s="334"/>
      <c r="F47" s="334"/>
      <c r="G47" s="359"/>
      <c r="H47" s="359"/>
      <c r="I47" s="359"/>
      <c r="J47" s="359"/>
      <c r="K47" s="359"/>
      <c r="L47" s="359"/>
      <c r="M47" s="359"/>
      <c r="N47" s="359"/>
      <c r="O47" s="359"/>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row>
    <row r="48" spans="1:52" s="319" customFormat="1">
      <c r="A48" s="334"/>
      <c r="B48" s="334"/>
      <c r="C48" s="334" t="s">
        <v>457</v>
      </c>
      <c r="D48" s="334"/>
      <c r="E48" s="334"/>
      <c r="F48" s="334"/>
      <c r="G48" s="359"/>
      <c r="H48" s="359"/>
      <c r="I48" s="359"/>
      <c r="J48" s="359"/>
      <c r="K48" s="359"/>
      <c r="L48" s="359"/>
      <c r="M48" s="359"/>
      <c r="N48" s="359"/>
      <c r="O48" s="359"/>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row>
    <row r="49" spans="1:52" s="319" customFormat="1">
      <c r="A49" s="334"/>
      <c r="B49" s="334"/>
      <c r="C49" s="334" t="s">
        <v>458</v>
      </c>
      <c r="D49" s="334"/>
      <c r="E49" s="334"/>
      <c r="F49" s="334"/>
      <c r="G49" s="359"/>
      <c r="H49" s="359"/>
      <c r="I49" s="359"/>
      <c r="J49" s="359"/>
      <c r="K49" s="359"/>
      <c r="L49" s="359"/>
      <c r="M49" s="359"/>
      <c r="N49" s="359"/>
      <c r="O49" s="359"/>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row>
    <row r="50" spans="1:52" s="319" customFormat="1">
      <c r="A50" s="334"/>
      <c r="B50" s="334"/>
      <c r="C50" s="334" t="s">
        <v>459</v>
      </c>
      <c r="D50" s="334"/>
      <c r="E50" s="334"/>
      <c r="F50" s="334"/>
      <c r="G50" s="359"/>
      <c r="H50" s="359"/>
      <c r="I50" s="359"/>
      <c r="J50" s="359"/>
      <c r="K50" s="359"/>
      <c r="L50" s="359"/>
      <c r="M50" s="359"/>
      <c r="N50" s="359"/>
      <c r="O50" s="359"/>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row>
    <row r="51" spans="1:52" s="319" customFormat="1">
      <c r="A51" s="334"/>
      <c r="B51" s="334"/>
      <c r="C51" s="334" t="s">
        <v>460</v>
      </c>
      <c r="D51" s="334"/>
      <c r="E51" s="334"/>
      <c r="F51" s="334"/>
      <c r="G51" s="359"/>
      <c r="H51" s="359"/>
      <c r="I51" s="359"/>
      <c r="J51" s="359"/>
      <c r="K51" s="359"/>
      <c r="L51" s="359"/>
      <c r="M51" s="359"/>
      <c r="N51" s="359"/>
      <c r="O51" s="359"/>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row>
    <row r="52" spans="1:52" s="319" customFormat="1">
      <c r="A52" s="334"/>
      <c r="B52" s="334"/>
      <c r="C52" s="334"/>
      <c r="D52" s="334"/>
      <c r="E52" s="334"/>
      <c r="F52" s="334"/>
      <c r="G52" s="662"/>
      <c r="H52" s="359"/>
      <c r="I52" s="359"/>
      <c r="J52" s="359"/>
      <c r="K52" s="359"/>
      <c r="L52" s="359"/>
      <c r="M52" s="359"/>
      <c r="N52" s="359"/>
      <c r="O52" s="359"/>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row>
    <row r="53" spans="1:52" s="319" customFormat="1">
      <c r="A53" s="334"/>
      <c r="B53" s="334"/>
      <c r="C53" s="334"/>
      <c r="D53" s="334"/>
      <c r="E53" s="334"/>
      <c r="F53" s="334"/>
      <c r="G53" s="359"/>
      <c r="H53" s="359"/>
      <c r="I53" s="359"/>
      <c r="J53" s="359"/>
      <c r="K53" s="359"/>
      <c r="L53" s="359"/>
      <c r="M53" s="359"/>
      <c r="N53" s="359"/>
      <c r="O53" s="359"/>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row>
    <row r="54" spans="1:52" s="319" customFormat="1" ht="15.75">
      <c r="A54" s="334"/>
      <c r="B54" s="334"/>
      <c r="C54" s="487" t="s">
        <v>473</v>
      </c>
      <c r="D54" s="369"/>
      <c r="E54" s="369"/>
      <c r="F54" s="369"/>
      <c r="G54" s="369"/>
      <c r="H54" s="369"/>
      <c r="I54" s="369"/>
      <c r="J54" s="369"/>
      <c r="K54" s="369"/>
      <c r="L54" s="369"/>
      <c r="M54" s="369"/>
      <c r="N54" s="369"/>
      <c r="O54" s="369"/>
      <c r="P54" s="369"/>
      <c r="Q54" s="369"/>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row>
    <row r="55" spans="1:52" s="319" customForma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row>
    <row r="56" spans="1:52" s="5" customFormat="1" ht="15">
      <c r="A56" s="369"/>
      <c r="B56" s="369"/>
      <c r="C56" s="653" t="s">
        <v>461</v>
      </c>
      <c r="D56" s="653" t="s">
        <v>462</v>
      </c>
      <c r="E56" s="653"/>
      <c r="F56" s="653" t="s">
        <v>356</v>
      </c>
      <c r="G56" s="653"/>
      <c r="H56" s="653"/>
      <c r="I56" s="653"/>
      <c r="J56" s="653"/>
      <c r="K56" s="653"/>
      <c r="L56" s="653"/>
      <c r="M56" s="653"/>
      <c r="N56" s="653"/>
      <c r="O56" s="653"/>
      <c r="P56" s="653"/>
      <c r="Q56" s="653"/>
      <c r="R56" s="369"/>
      <c r="S56" s="369"/>
      <c r="T56" s="369"/>
      <c r="U56" s="369"/>
      <c r="V56" s="369"/>
      <c r="W56" s="369"/>
      <c r="X56" s="369"/>
      <c r="Y56" s="369"/>
      <c r="Z56" s="369"/>
      <c r="AA56" s="369"/>
      <c r="AB56" s="369"/>
      <c r="AC56" s="369"/>
      <c r="AD56" s="369"/>
      <c r="AE56" s="369"/>
      <c r="AF56" s="369"/>
      <c r="AG56" s="369"/>
      <c r="AH56" s="369"/>
      <c r="AI56" s="369"/>
      <c r="AJ56" s="369"/>
      <c r="AK56" s="369"/>
      <c r="AL56" s="369"/>
      <c r="AM56" s="369"/>
      <c r="AN56" s="369"/>
      <c r="AO56" s="369"/>
      <c r="AP56" s="369"/>
      <c r="AQ56" s="369"/>
      <c r="AR56" s="369"/>
      <c r="AS56" s="369"/>
      <c r="AT56" s="369"/>
      <c r="AU56" s="369"/>
      <c r="AV56" s="369"/>
      <c r="AW56" s="369"/>
      <c r="AX56" s="369"/>
      <c r="AY56" s="369"/>
      <c r="AZ56" s="369"/>
    </row>
    <row r="57" spans="1:52" s="319" customFormat="1">
      <c r="A57" s="334"/>
      <c r="B57" s="334"/>
      <c r="C57" s="654">
        <v>1</v>
      </c>
      <c r="D57" s="655" t="s">
        <v>466</v>
      </c>
      <c r="E57" s="655"/>
      <c r="F57" s="656" t="s">
        <v>471</v>
      </c>
      <c r="G57" s="656"/>
      <c r="H57" s="656"/>
      <c r="I57" s="656"/>
      <c r="J57" s="656"/>
      <c r="K57" s="656"/>
      <c r="L57" s="656"/>
      <c r="M57" s="656"/>
      <c r="N57" s="656"/>
      <c r="O57" s="656"/>
      <c r="P57" s="656"/>
      <c r="Q57" s="656"/>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row>
    <row r="58" spans="1:52" s="319" customFormat="1">
      <c r="A58" s="334"/>
      <c r="B58" s="334"/>
      <c r="C58" s="657"/>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row>
    <row r="59" spans="1:52" s="319" customFormat="1">
      <c r="A59" s="334"/>
      <c r="B59" s="334"/>
      <c r="C59" s="658">
        <v>2</v>
      </c>
      <c r="D59" s="659" t="s">
        <v>467</v>
      </c>
      <c r="E59" s="334"/>
      <c r="F59" s="334" t="s">
        <v>468</v>
      </c>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row>
    <row r="60" spans="1:52" s="319" customFormat="1">
      <c r="A60" s="334"/>
      <c r="B60" s="334"/>
      <c r="C60" s="657"/>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row>
    <row r="61" spans="1:52" s="319" customFormat="1">
      <c r="A61" s="334"/>
      <c r="B61" s="334"/>
      <c r="C61" s="658">
        <v>3</v>
      </c>
      <c r="D61" s="661" t="s">
        <v>442</v>
      </c>
      <c r="E61" s="334"/>
      <c r="F61" s="334" t="s">
        <v>494</v>
      </c>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row>
    <row r="62" spans="1:52" s="319" customFormat="1">
      <c r="A62" s="334"/>
      <c r="B62" s="334"/>
      <c r="C62" s="657"/>
      <c r="D62" s="334"/>
      <c r="E62" s="334"/>
      <c r="F62" s="334" t="s">
        <v>463</v>
      </c>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row>
    <row r="63" spans="1:52" s="319" customFormat="1">
      <c r="A63" s="334"/>
      <c r="B63" s="334"/>
      <c r="C63" s="657"/>
      <c r="D63" s="334"/>
      <c r="E63" s="334"/>
      <c r="F63" s="334" t="s">
        <v>469</v>
      </c>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row>
    <row r="64" spans="1:52" s="319" customFormat="1">
      <c r="A64" s="334"/>
      <c r="B64" s="334"/>
      <c r="C64" s="657"/>
      <c r="D64" s="660"/>
      <c r="E64" s="334"/>
      <c r="F64" s="334" t="s">
        <v>464</v>
      </c>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row>
    <row r="65" spans="1:52" s="319" customFormat="1">
      <c r="A65" s="334"/>
      <c r="B65" s="334"/>
      <c r="C65" s="334"/>
      <c r="D65" s="334"/>
      <c r="E65" s="334"/>
      <c r="F65" s="334" t="s">
        <v>465</v>
      </c>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row>
    <row r="66" spans="1:52" s="319" customFormat="1">
      <c r="A66" s="334"/>
      <c r="B66" s="334"/>
      <c r="C66" s="657"/>
      <c r="D66" s="660"/>
      <c r="E66" s="334"/>
      <c r="F66" s="334" t="s">
        <v>472</v>
      </c>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row>
    <row r="67" spans="1:52" s="319" customForma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row>
    <row r="68" spans="1:52" s="319" customFormat="1">
      <c r="A68" s="334"/>
      <c r="B68" s="334"/>
      <c r="C68" s="328"/>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row>
    <row r="69" spans="1:52" s="319" customForma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row>
    <row r="70" spans="1:52" s="319" customForma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row>
    <row r="71" spans="1:52" ht="15">
      <c r="A71" s="240"/>
      <c r="B71" s="240"/>
      <c r="C71" s="240"/>
      <c r="D71" s="486"/>
      <c r="E71" s="486"/>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row>
    <row r="72" spans="1:52" ht="15">
      <c r="A72" s="240"/>
      <c r="B72" s="240"/>
      <c r="C72" s="240"/>
      <c r="D72" s="486"/>
      <c r="E72" s="486"/>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row>
    <row r="73" spans="1:52" ht="15">
      <c r="A73" s="240"/>
      <c r="B73" s="240"/>
      <c r="C73" s="240"/>
      <c r="D73" s="486"/>
      <c r="E73" s="486"/>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row>
    <row r="74" spans="1:52" ht="15">
      <c r="A74" s="240"/>
      <c r="B74" s="240"/>
      <c r="C74" s="240"/>
      <c r="D74" s="240"/>
      <c r="E74" s="486"/>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row>
    <row r="75" spans="1:52" ht="15">
      <c r="A75" s="240"/>
      <c r="B75" s="240"/>
      <c r="C75" s="240"/>
      <c r="D75" s="240"/>
      <c r="E75" s="486"/>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row>
    <row r="76" spans="1:52" ht="15">
      <c r="A76" s="240"/>
      <c r="B76" s="240"/>
      <c r="C76" s="240"/>
      <c r="D76" s="240"/>
      <c r="E76" s="486"/>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row>
    <row r="77" spans="1:52" ht="15">
      <c r="A77" s="240"/>
      <c r="B77" s="240"/>
      <c r="C77" s="240"/>
      <c r="D77" s="240"/>
      <c r="E77" s="486"/>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row>
    <row r="78" spans="1:52" ht="15">
      <c r="A78" s="240"/>
      <c r="B78" s="240"/>
      <c r="C78" s="240"/>
      <c r="D78" s="240"/>
      <c r="E78" s="486"/>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row>
    <row r="79" spans="1:52" ht="15">
      <c r="A79" s="240"/>
      <c r="B79" s="240"/>
      <c r="C79" s="240"/>
      <c r="D79" s="240"/>
      <c r="E79" s="486"/>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row>
    <row r="80" spans="1:52">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row>
    <row r="81" spans="1:52">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row>
    <row r="82" spans="1:52">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row>
    <row r="83" spans="1:52">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row>
    <row r="84" spans="1:52">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row>
    <row r="85" spans="1:52">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row>
    <row r="86" spans="1:52">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row>
    <row r="87" spans="1:52">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row>
    <row r="88" spans="1:52">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row>
    <row r="89" spans="1:52">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row>
    <row r="90" spans="1:52">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row>
    <row r="91" spans="1:52">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row>
    <row r="92" spans="1:52">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row>
    <row r="93" spans="1:52">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row>
    <row r="94" spans="1:52">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row>
    <row r="95" spans="1:52">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row>
    <row r="96" spans="1:52">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row>
    <row r="97" spans="1:52">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row>
    <row r="98" spans="1:52">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row>
    <row r="99" spans="1:52">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row>
    <row r="100" spans="1:52">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row>
    <row r="101" spans="1:52">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row>
    <row r="102" spans="1:52">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row>
    <row r="103" spans="1:52">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row>
    <row r="104" spans="1:52">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row>
    <row r="105" spans="1:52">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row>
    <row r="106" spans="1:52">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row>
    <row r="107" spans="1:52">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row>
    <row r="108" spans="1:52">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row>
    <row r="109" spans="1:52">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row>
    <row r="110" spans="1:52">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row>
    <row r="111" spans="1:52">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row>
    <row r="112" spans="1:52">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row>
    <row r="113" spans="1:52">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row>
    <row r="114" spans="1:52">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row>
    <row r="115" spans="1:52">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row>
    <row r="116" spans="1:52">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row>
    <row r="117" spans="1:52">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row>
    <row r="118" spans="1:52">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row>
    <row r="119" spans="1:52">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row>
    <row r="120" spans="1:52">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row>
    <row r="121" spans="1:52">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row>
    <row r="122" spans="1:52">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row>
    <row r="123" spans="1:52">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row>
    <row r="124" spans="1:52">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row>
    <row r="125" spans="1:52">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row>
    <row r="126" spans="1:52">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row>
    <row r="127" spans="1:52">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row>
    <row r="128" spans="1:52">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row>
    <row r="129" spans="1:52">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40"/>
      <c r="AK129" s="240"/>
      <c r="AL129" s="240"/>
      <c r="AM129" s="240"/>
      <c r="AN129" s="240"/>
      <c r="AO129" s="240"/>
      <c r="AP129" s="240"/>
      <c r="AQ129" s="240"/>
      <c r="AR129" s="240"/>
      <c r="AS129" s="240"/>
      <c r="AT129" s="240"/>
      <c r="AU129" s="240"/>
      <c r="AV129" s="240"/>
      <c r="AW129" s="240"/>
      <c r="AX129" s="240"/>
      <c r="AY129" s="240"/>
      <c r="AZ129" s="240"/>
    </row>
    <row r="130" spans="1:52">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c r="AA130" s="240"/>
      <c r="AB130" s="240"/>
      <c r="AC130" s="240"/>
      <c r="AD130" s="240"/>
      <c r="AE130" s="240"/>
      <c r="AF130" s="240"/>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row>
    <row r="131" spans="1:52">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row>
    <row r="132" spans="1:52">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row>
    <row r="133" spans="1:52">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c r="AE133" s="240"/>
      <c r="AF133" s="240"/>
      <c r="AG133" s="240"/>
      <c r="AH133" s="240"/>
      <c r="AI133" s="240"/>
      <c r="AJ133" s="240"/>
      <c r="AK133" s="240"/>
      <c r="AL133" s="240"/>
      <c r="AM133" s="240"/>
      <c r="AN133" s="240"/>
      <c r="AO133" s="240"/>
      <c r="AP133" s="240"/>
      <c r="AQ133" s="240"/>
      <c r="AR133" s="240"/>
      <c r="AS133" s="240"/>
      <c r="AT133" s="240"/>
      <c r="AU133" s="240"/>
      <c r="AV133" s="240"/>
      <c r="AW133" s="240"/>
      <c r="AX133" s="240"/>
      <c r="AY133" s="240"/>
      <c r="AZ133" s="240"/>
    </row>
    <row r="134" spans="1:52">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c r="AA134" s="240"/>
      <c r="AB134" s="240"/>
      <c r="AC134" s="240"/>
      <c r="AD134" s="240"/>
      <c r="AE134" s="240"/>
      <c r="AF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row>
    <row r="135" spans="1:52">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c r="AA135" s="240"/>
      <c r="AB135" s="240"/>
      <c r="AC135" s="240"/>
      <c r="AD135" s="240"/>
      <c r="AE135" s="240"/>
      <c r="AF135" s="240"/>
      <c r="AG135" s="240"/>
      <c r="AH135" s="240"/>
      <c r="AI135" s="240"/>
      <c r="AJ135" s="240"/>
      <c r="AK135" s="240"/>
      <c r="AL135" s="240"/>
      <c r="AM135" s="240"/>
      <c r="AN135" s="240"/>
      <c r="AO135" s="240"/>
      <c r="AP135" s="240"/>
      <c r="AQ135" s="240"/>
      <c r="AR135" s="240"/>
      <c r="AS135" s="240"/>
      <c r="AT135" s="240"/>
      <c r="AU135" s="240"/>
      <c r="AV135" s="240"/>
      <c r="AW135" s="240"/>
      <c r="AX135" s="240"/>
      <c r="AY135" s="240"/>
      <c r="AZ135" s="240"/>
    </row>
    <row r="136" spans="1:52">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c r="AA136" s="240"/>
      <c r="AB136" s="240"/>
      <c r="AC136" s="240"/>
      <c r="AD136" s="240"/>
      <c r="AE136" s="240"/>
      <c r="AF136" s="240"/>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row>
    <row r="137" spans="1:52">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row>
    <row r="138" spans="1:52">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c r="AA138" s="240"/>
      <c r="AB138" s="240"/>
      <c r="AC138" s="240"/>
      <c r="AD138" s="240"/>
      <c r="AE138" s="240"/>
      <c r="AF138" s="240"/>
      <c r="AG138" s="240"/>
      <c r="AH138" s="240"/>
      <c r="AI138" s="240"/>
      <c r="AJ138" s="240"/>
      <c r="AK138" s="240"/>
      <c r="AL138" s="240"/>
      <c r="AM138" s="240"/>
      <c r="AN138" s="240"/>
      <c r="AO138" s="240"/>
      <c r="AP138" s="240"/>
      <c r="AQ138" s="240"/>
      <c r="AR138" s="240"/>
      <c r="AS138" s="240"/>
      <c r="AT138" s="240"/>
      <c r="AU138" s="240"/>
      <c r="AV138" s="240"/>
      <c r="AW138" s="240"/>
      <c r="AX138" s="240"/>
      <c r="AY138" s="240"/>
      <c r="AZ138" s="240"/>
    </row>
    <row r="139" spans="1:52">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c r="AA139" s="240"/>
      <c r="AB139" s="240"/>
      <c r="AC139" s="240"/>
      <c r="AD139" s="240"/>
      <c r="AE139" s="240"/>
      <c r="AF139" s="240"/>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row>
    <row r="140" spans="1:52">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c r="Y140" s="240"/>
      <c r="Z140" s="240"/>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row>
    <row r="141" spans="1:52">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c r="AA141" s="240"/>
      <c r="AB141" s="240"/>
      <c r="AC141" s="240"/>
      <c r="AD141" s="240"/>
      <c r="AE141" s="240"/>
      <c r="AF141" s="240"/>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row>
    <row r="142" spans="1:52">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row>
    <row r="143" spans="1:52">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row>
    <row r="144" spans="1:52">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row>
    <row r="145" spans="1:52">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row>
    <row r="146" spans="1:52">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c r="AC146" s="240"/>
      <c r="AD146" s="240"/>
      <c r="AE146" s="240"/>
      <c r="AF146" s="240"/>
      <c r="AG146" s="240"/>
      <c r="AH146" s="240"/>
      <c r="AI146" s="240"/>
      <c r="AJ146" s="240"/>
      <c r="AK146" s="240"/>
      <c r="AL146" s="240"/>
      <c r="AM146" s="240"/>
      <c r="AN146" s="240"/>
      <c r="AO146" s="240"/>
      <c r="AP146" s="240"/>
      <c r="AQ146" s="240"/>
      <c r="AR146" s="240"/>
      <c r="AS146" s="240"/>
      <c r="AT146" s="240"/>
      <c r="AU146" s="240"/>
      <c r="AV146" s="240"/>
      <c r="AW146" s="240"/>
      <c r="AX146" s="240"/>
      <c r="AY146" s="240"/>
      <c r="AZ146" s="240"/>
    </row>
    <row r="147" spans="1:52">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row>
    <row r="148" spans="1:52">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c r="Y148" s="240"/>
      <c r="Z148" s="240"/>
      <c r="AA148" s="240"/>
      <c r="AB148" s="240"/>
      <c r="AC148" s="240"/>
      <c r="AD148" s="240"/>
      <c r="AE148" s="240"/>
      <c r="AF148" s="240"/>
      <c r="AG148" s="240"/>
      <c r="AH148" s="240"/>
      <c r="AI148" s="240"/>
      <c r="AJ148" s="240"/>
      <c r="AK148" s="240"/>
      <c r="AL148" s="240"/>
      <c r="AM148" s="240"/>
      <c r="AN148" s="240"/>
      <c r="AO148" s="240"/>
      <c r="AP148" s="240"/>
      <c r="AQ148" s="240"/>
      <c r="AR148" s="240"/>
      <c r="AS148" s="240"/>
      <c r="AT148" s="240"/>
      <c r="AU148" s="240"/>
      <c r="AV148" s="240"/>
      <c r="AW148" s="240"/>
      <c r="AX148" s="240"/>
      <c r="AY148" s="240"/>
      <c r="AZ148" s="240"/>
    </row>
    <row r="149" spans="1:52">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c r="Y149" s="240"/>
      <c r="Z149" s="240"/>
      <c r="AA149" s="240"/>
      <c r="AB149" s="240"/>
      <c r="AC149" s="240"/>
      <c r="AD149" s="240"/>
      <c r="AE149" s="240"/>
      <c r="AF149" s="240"/>
      <c r="AG149" s="240"/>
      <c r="AH149" s="240"/>
      <c r="AI149" s="240"/>
      <c r="AJ149" s="240"/>
      <c r="AK149" s="240"/>
      <c r="AL149" s="240"/>
      <c r="AM149" s="240"/>
      <c r="AN149" s="240"/>
      <c r="AO149" s="240"/>
      <c r="AP149" s="240"/>
      <c r="AQ149" s="240"/>
      <c r="AR149" s="240"/>
      <c r="AS149" s="240"/>
      <c r="AT149" s="240"/>
      <c r="AU149" s="240"/>
      <c r="AV149" s="240"/>
      <c r="AW149" s="240"/>
      <c r="AX149" s="240"/>
      <c r="AY149" s="240"/>
      <c r="AZ149" s="240"/>
    </row>
    <row r="150" spans="1:52">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row>
    <row r="151" spans="1:52">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row>
    <row r="152" spans="1:52">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row>
    <row r="153" spans="1:52">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240"/>
      <c r="Z153" s="240"/>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row>
    <row r="154" spans="1:52">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240"/>
      <c r="AE154" s="240"/>
      <c r="AF154" s="240"/>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row>
    <row r="155" spans="1:52">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240"/>
      <c r="Z155" s="240"/>
      <c r="AA155" s="240"/>
      <c r="AB155" s="240"/>
      <c r="AC155" s="240"/>
      <c r="AD155" s="240"/>
      <c r="AE155" s="240"/>
      <c r="AF155" s="240"/>
      <c r="AG155" s="240"/>
      <c r="AH155" s="240"/>
      <c r="AI155" s="240"/>
      <c r="AJ155" s="240"/>
      <c r="AK155" s="240"/>
      <c r="AL155" s="240"/>
      <c r="AM155" s="240"/>
      <c r="AN155" s="240"/>
      <c r="AO155" s="240"/>
      <c r="AP155" s="240"/>
      <c r="AQ155" s="240"/>
      <c r="AR155" s="240"/>
      <c r="AS155" s="240"/>
      <c r="AT155" s="240"/>
      <c r="AU155" s="240"/>
      <c r="AV155" s="240"/>
      <c r="AW155" s="240"/>
      <c r="AX155" s="240"/>
      <c r="AY155" s="240"/>
      <c r="AZ155" s="240"/>
    </row>
    <row r="156" spans="1:52">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c r="AA156" s="240"/>
      <c r="AB156" s="240"/>
      <c r="AC156" s="240"/>
      <c r="AD156" s="240"/>
      <c r="AE156" s="240"/>
      <c r="AF156" s="240"/>
      <c r="AG156" s="240"/>
      <c r="AH156" s="240"/>
      <c r="AI156" s="240"/>
      <c r="AJ156" s="240"/>
      <c r="AK156" s="240"/>
      <c r="AL156" s="240"/>
      <c r="AM156" s="240"/>
      <c r="AN156" s="240"/>
      <c r="AO156" s="240"/>
      <c r="AP156" s="240"/>
      <c r="AQ156" s="240"/>
      <c r="AR156" s="240"/>
      <c r="AS156" s="240"/>
      <c r="AT156" s="240"/>
      <c r="AU156" s="240"/>
      <c r="AV156" s="240"/>
      <c r="AW156" s="240"/>
      <c r="AX156" s="240"/>
      <c r="AY156" s="240"/>
      <c r="AZ156" s="240"/>
    </row>
    <row r="157" spans="1:52">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0"/>
      <c r="AA157" s="240"/>
      <c r="AB157" s="240"/>
      <c r="AC157" s="240"/>
      <c r="AD157" s="240"/>
      <c r="AE157" s="240"/>
      <c r="AF157" s="240"/>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row>
    <row r="158" spans="1:52">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240"/>
      <c r="Z158" s="240"/>
      <c r="AA158" s="240"/>
      <c r="AB158" s="240"/>
      <c r="AC158" s="240"/>
      <c r="AD158" s="240"/>
      <c r="AE158" s="240"/>
      <c r="AF158" s="240"/>
      <c r="AG158" s="240"/>
      <c r="AH158" s="240"/>
      <c r="AI158" s="240"/>
      <c r="AJ158" s="240"/>
      <c r="AK158" s="240"/>
      <c r="AL158" s="240"/>
      <c r="AM158" s="240"/>
      <c r="AN158" s="240"/>
      <c r="AO158" s="240"/>
      <c r="AP158" s="240"/>
      <c r="AQ158" s="240"/>
      <c r="AR158" s="240"/>
      <c r="AS158" s="240"/>
      <c r="AT158" s="240"/>
      <c r="AU158" s="240"/>
      <c r="AV158" s="240"/>
      <c r="AW158" s="240"/>
      <c r="AX158" s="240"/>
      <c r="AY158" s="240"/>
      <c r="AZ158" s="240"/>
    </row>
    <row r="159" spans="1:52">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c r="Y159" s="240"/>
      <c r="Z159" s="240"/>
      <c r="AA159" s="240"/>
      <c r="AB159" s="240"/>
      <c r="AC159" s="240"/>
      <c r="AD159" s="240"/>
      <c r="AE159" s="240"/>
      <c r="AF159" s="240"/>
      <c r="AG159" s="240"/>
      <c r="AH159" s="240"/>
      <c r="AI159" s="240"/>
      <c r="AJ159" s="240"/>
      <c r="AK159" s="240"/>
      <c r="AL159" s="240"/>
      <c r="AM159" s="240"/>
      <c r="AN159" s="240"/>
      <c r="AO159" s="240"/>
      <c r="AP159" s="240"/>
      <c r="AQ159" s="240"/>
      <c r="AR159" s="240"/>
      <c r="AS159" s="240"/>
      <c r="AT159" s="240"/>
      <c r="AU159" s="240"/>
      <c r="AV159" s="240"/>
      <c r="AW159" s="240"/>
      <c r="AX159" s="240"/>
      <c r="AY159" s="240"/>
      <c r="AZ159" s="240"/>
    </row>
    <row r="160" spans="1:52">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row>
    <row r="161" spans="1:52">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c r="AA161" s="240"/>
      <c r="AB161" s="240"/>
      <c r="AC161" s="240"/>
      <c r="AD161" s="240"/>
      <c r="AE161" s="240"/>
      <c r="AF161" s="240"/>
      <c r="AG161" s="240"/>
      <c r="AH161" s="240"/>
      <c r="AI161" s="240"/>
      <c r="AJ161" s="240"/>
      <c r="AK161" s="240"/>
      <c r="AL161" s="240"/>
      <c r="AM161" s="240"/>
      <c r="AN161" s="240"/>
      <c r="AO161" s="240"/>
      <c r="AP161" s="240"/>
      <c r="AQ161" s="240"/>
      <c r="AR161" s="240"/>
      <c r="AS161" s="240"/>
      <c r="AT161" s="240"/>
      <c r="AU161" s="240"/>
      <c r="AV161" s="240"/>
      <c r="AW161" s="240"/>
      <c r="AX161" s="240"/>
      <c r="AY161" s="240"/>
      <c r="AZ161" s="240"/>
    </row>
    <row r="162" spans="1:52">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c r="AA162" s="240"/>
      <c r="AB162" s="240"/>
      <c r="AC162" s="240"/>
      <c r="AD162" s="240"/>
      <c r="AE162" s="240"/>
      <c r="AF162" s="240"/>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row>
    <row r="163" spans="1:52">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c r="AA163" s="240"/>
      <c r="AB163" s="240"/>
      <c r="AC163" s="240"/>
      <c r="AD163" s="240"/>
      <c r="AE163" s="240"/>
      <c r="AF163" s="240"/>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row>
    <row r="164" spans="1:52">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c r="Y164" s="240"/>
      <c r="Z164" s="240"/>
      <c r="AA164" s="240"/>
      <c r="AB164" s="240"/>
      <c r="AC164" s="240"/>
      <c r="AD164" s="240"/>
      <c r="AE164" s="240"/>
      <c r="AF164" s="240"/>
      <c r="AG164" s="240"/>
      <c r="AH164" s="240"/>
      <c r="AI164" s="240"/>
      <c r="AJ164" s="240"/>
      <c r="AK164" s="240"/>
      <c r="AL164" s="240"/>
      <c r="AM164" s="240"/>
      <c r="AN164" s="240"/>
      <c r="AO164" s="240"/>
      <c r="AP164" s="240"/>
      <c r="AQ164" s="240"/>
      <c r="AR164" s="240"/>
      <c r="AS164" s="240"/>
      <c r="AT164" s="240"/>
      <c r="AU164" s="240"/>
      <c r="AV164" s="240"/>
      <c r="AW164" s="240"/>
      <c r="AX164" s="240"/>
      <c r="AY164" s="240"/>
      <c r="AZ164" s="240"/>
    </row>
    <row r="165" spans="1:52">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c r="Y165" s="240"/>
      <c r="Z165" s="240"/>
      <c r="AA165" s="240"/>
      <c r="AB165" s="240"/>
      <c r="AC165" s="240"/>
      <c r="AD165" s="240"/>
      <c r="AE165" s="240"/>
      <c r="AF165" s="240"/>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row>
    <row r="166" spans="1:52">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row>
    <row r="167" spans="1:52">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c r="AA167" s="240"/>
      <c r="AB167" s="240"/>
      <c r="AC167" s="240"/>
      <c r="AD167" s="240"/>
      <c r="AE167" s="240"/>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row>
    <row r="168" spans="1:52">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c r="Y168" s="240"/>
      <c r="Z168" s="240"/>
      <c r="AA168" s="240"/>
      <c r="AB168" s="240"/>
      <c r="AC168" s="240"/>
      <c r="AD168" s="240"/>
      <c r="AE168" s="240"/>
      <c r="AF168" s="240"/>
      <c r="AG168" s="240"/>
      <c r="AH168" s="240"/>
      <c r="AI168" s="240"/>
      <c r="AJ168" s="240"/>
      <c r="AK168" s="240"/>
      <c r="AL168" s="240"/>
      <c r="AM168" s="240"/>
      <c r="AN168" s="240"/>
      <c r="AO168" s="240"/>
      <c r="AP168" s="240"/>
      <c r="AQ168" s="240"/>
      <c r="AR168" s="240"/>
      <c r="AS168" s="240"/>
      <c r="AT168" s="240"/>
      <c r="AU168" s="240"/>
      <c r="AV168" s="240"/>
      <c r="AW168" s="240"/>
      <c r="AX168" s="240"/>
      <c r="AY168" s="240"/>
      <c r="AZ168" s="240"/>
    </row>
    <row r="169" spans="1:52">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c r="Y169" s="240"/>
      <c r="Z169" s="240"/>
      <c r="AA169" s="240"/>
      <c r="AB169" s="240"/>
      <c r="AC169" s="240"/>
      <c r="AD169" s="240"/>
      <c r="AE169" s="240"/>
      <c r="AF169" s="240"/>
      <c r="AG169" s="240"/>
      <c r="AH169" s="240"/>
      <c r="AI169" s="240"/>
      <c r="AJ169" s="240"/>
      <c r="AK169" s="240"/>
      <c r="AL169" s="240"/>
      <c r="AM169" s="240"/>
      <c r="AN169" s="240"/>
      <c r="AO169" s="240"/>
      <c r="AP169" s="240"/>
      <c r="AQ169" s="240"/>
      <c r="AR169" s="240"/>
      <c r="AS169" s="240"/>
      <c r="AT169" s="240"/>
      <c r="AU169" s="240"/>
      <c r="AV169" s="240"/>
      <c r="AW169" s="240"/>
      <c r="AX169" s="240"/>
      <c r="AY169" s="240"/>
      <c r="AZ169" s="240"/>
    </row>
    <row r="170" spans="1:52">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c r="Y170" s="240"/>
      <c r="Z170" s="240"/>
      <c r="AA170" s="240"/>
      <c r="AB170" s="240"/>
      <c r="AC170" s="240"/>
      <c r="AD170" s="240"/>
      <c r="AE170" s="240"/>
      <c r="AF170" s="240"/>
      <c r="AG170" s="240"/>
      <c r="AH170" s="240"/>
      <c r="AI170" s="240"/>
      <c r="AJ170" s="240"/>
      <c r="AK170" s="240"/>
      <c r="AL170" s="240"/>
      <c r="AM170" s="240"/>
      <c r="AN170" s="240"/>
      <c r="AO170" s="240"/>
      <c r="AP170" s="240"/>
      <c r="AQ170" s="240"/>
      <c r="AR170" s="240"/>
      <c r="AS170" s="240"/>
      <c r="AT170" s="240"/>
      <c r="AU170" s="240"/>
      <c r="AV170" s="240"/>
      <c r="AW170" s="240"/>
      <c r="AX170" s="240"/>
      <c r="AY170" s="240"/>
      <c r="AZ170" s="240"/>
    </row>
    <row r="171" spans="1:52">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c r="AA171" s="240"/>
      <c r="AB171" s="240"/>
      <c r="AC171" s="240"/>
      <c r="AD171" s="240"/>
      <c r="AE171" s="240"/>
      <c r="AF171" s="240"/>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row>
    <row r="172" spans="1:52">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c r="AA172" s="240"/>
      <c r="AB172" s="240"/>
      <c r="AC172" s="240"/>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240"/>
      <c r="AZ172" s="240"/>
    </row>
    <row r="173" spans="1:52">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c r="AA173" s="240"/>
      <c r="AB173" s="240"/>
      <c r="AC173" s="240"/>
      <c r="AD173" s="240"/>
      <c r="AE173" s="240"/>
      <c r="AF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row>
    <row r="174" spans="1:52">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c r="Y174" s="240"/>
      <c r="Z174" s="240"/>
      <c r="AA174" s="240"/>
      <c r="AB174" s="240"/>
      <c r="AC174" s="240"/>
      <c r="AD174" s="240"/>
      <c r="AE174" s="240"/>
      <c r="AF174" s="240"/>
      <c r="AG174" s="240"/>
      <c r="AH174" s="240"/>
      <c r="AI174" s="240"/>
      <c r="AJ174" s="240"/>
      <c r="AK174" s="240"/>
      <c r="AL174" s="240"/>
      <c r="AM174" s="240"/>
      <c r="AN174" s="240"/>
      <c r="AO174" s="240"/>
      <c r="AP174" s="240"/>
      <c r="AQ174" s="240"/>
      <c r="AR174" s="240"/>
      <c r="AS174" s="240"/>
      <c r="AT174" s="240"/>
      <c r="AU174" s="240"/>
      <c r="AV174" s="240"/>
      <c r="AW174" s="240"/>
      <c r="AX174" s="240"/>
      <c r="AY174" s="240"/>
      <c r="AZ174" s="240"/>
    </row>
    <row r="175" spans="1:52">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c r="AA175" s="240"/>
      <c r="AB175" s="240"/>
      <c r="AC175" s="240"/>
      <c r="AD175" s="240"/>
      <c r="AE175" s="240"/>
      <c r="AF175" s="240"/>
      <c r="AG175" s="240"/>
      <c r="AH175" s="240"/>
      <c r="AI175" s="240"/>
      <c r="AJ175" s="240"/>
      <c r="AK175" s="240"/>
      <c r="AL175" s="240"/>
      <c r="AM175" s="240"/>
      <c r="AN175" s="240"/>
      <c r="AO175" s="240"/>
      <c r="AP175" s="240"/>
      <c r="AQ175" s="240"/>
      <c r="AR175" s="240"/>
      <c r="AS175" s="240"/>
      <c r="AT175" s="240"/>
      <c r="AU175" s="240"/>
      <c r="AV175" s="240"/>
      <c r="AW175" s="240"/>
      <c r="AX175" s="240"/>
      <c r="AY175" s="240"/>
      <c r="AZ175" s="240"/>
    </row>
    <row r="176" spans="1:52">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row>
    <row r="177" spans="1:52">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row>
    <row r="178" spans="1:52">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row>
    <row r="179" spans="1:52">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row>
    <row r="180" spans="1:52">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c r="AA180" s="240"/>
      <c r="AB180" s="240"/>
      <c r="AC180" s="240"/>
      <c r="AD180" s="240"/>
      <c r="AE180" s="240"/>
      <c r="AF180" s="240"/>
      <c r="AG180" s="240"/>
      <c r="AH180" s="240"/>
      <c r="AI180" s="240"/>
      <c r="AJ180" s="240"/>
      <c r="AK180" s="240"/>
      <c r="AL180" s="240"/>
      <c r="AM180" s="240"/>
      <c r="AN180" s="240"/>
      <c r="AO180" s="240"/>
      <c r="AP180" s="240"/>
      <c r="AQ180" s="240"/>
      <c r="AR180" s="240"/>
      <c r="AS180" s="240"/>
      <c r="AT180" s="240"/>
      <c r="AU180" s="240"/>
      <c r="AV180" s="240"/>
      <c r="AW180" s="240"/>
      <c r="AX180" s="240"/>
      <c r="AY180" s="240"/>
      <c r="AZ180" s="240"/>
    </row>
    <row r="181" spans="1:52">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c r="AC181" s="240"/>
      <c r="AD181" s="240"/>
      <c r="AE181" s="240"/>
      <c r="AF181" s="240"/>
      <c r="AG181" s="240"/>
      <c r="AH181" s="240"/>
      <c r="AI181" s="240"/>
      <c r="AJ181" s="240"/>
      <c r="AK181" s="240"/>
      <c r="AL181" s="240"/>
      <c r="AM181" s="240"/>
      <c r="AN181" s="240"/>
      <c r="AO181" s="240"/>
      <c r="AP181" s="240"/>
      <c r="AQ181" s="240"/>
      <c r="AR181" s="240"/>
      <c r="AS181" s="240"/>
      <c r="AT181" s="240"/>
      <c r="AU181" s="240"/>
      <c r="AV181" s="240"/>
      <c r="AW181" s="240"/>
      <c r="AX181" s="240"/>
      <c r="AY181" s="240"/>
      <c r="AZ181" s="240"/>
    </row>
    <row r="182" spans="1:52">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c r="AA182" s="240"/>
      <c r="AB182" s="240"/>
      <c r="AC182" s="240"/>
      <c r="AD182" s="240"/>
      <c r="AE182" s="240"/>
      <c r="AF182" s="240"/>
      <c r="AG182" s="240"/>
      <c r="AH182" s="240"/>
      <c r="AI182" s="240"/>
      <c r="AJ182" s="240"/>
      <c r="AK182" s="240"/>
      <c r="AL182" s="240"/>
      <c r="AM182" s="240"/>
      <c r="AN182" s="240"/>
      <c r="AO182" s="240"/>
      <c r="AP182" s="240"/>
      <c r="AQ182" s="240"/>
      <c r="AR182" s="240"/>
      <c r="AS182" s="240"/>
      <c r="AT182" s="240"/>
      <c r="AU182" s="240"/>
      <c r="AV182" s="240"/>
      <c r="AW182" s="240"/>
      <c r="AX182" s="240"/>
      <c r="AY182" s="240"/>
      <c r="AZ182" s="240"/>
    </row>
    <row r="183" spans="1:52">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c r="AA183" s="240"/>
      <c r="AB183" s="240"/>
      <c r="AC183" s="240"/>
      <c r="AD183" s="240"/>
      <c r="AE183" s="240"/>
      <c r="AF183" s="240"/>
      <c r="AG183" s="240"/>
      <c r="AH183" s="240"/>
      <c r="AI183" s="240"/>
      <c r="AJ183" s="240"/>
      <c r="AK183" s="240"/>
      <c r="AL183" s="240"/>
      <c r="AM183" s="240"/>
      <c r="AN183" s="240"/>
      <c r="AO183" s="240"/>
      <c r="AP183" s="240"/>
      <c r="AQ183" s="240"/>
      <c r="AR183" s="240"/>
      <c r="AS183" s="240"/>
      <c r="AT183" s="240"/>
      <c r="AU183" s="240"/>
      <c r="AV183" s="240"/>
      <c r="AW183" s="240"/>
      <c r="AX183" s="240"/>
      <c r="AY183" s="240"/>
      <c r="AZ183" s="240"/>
    </row>
    <row r="184" spans="1:52">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c r="Y184" s="240"/>
      <c r="Z184" s="240"/>
      <c r="AA184" s="240"/>
      <c r="AB184" s="240"/>
      <c r="AC184" s="240"/>
      <c r="AD184" s="240"/>
      <c r="AE184" s="240"/>
      <c r="AF184" s="240"/>
      <c r="AG184" s="240"/>
      <c r="AH184" s="240"/>
      <c r="AI184" s="240"/>
      <c r="AJ184" s="240"/>
      <c r="AK184" s="240"/>
      <c r="AL184" s="240"/>
      <c r="AM184" s="240"/>
      <c r="AN184" s="240"/>
      <c r="AO184" s="240"/>
      <c r="AP184" s="240"/>
      <c r="AQ184" s="240"/>
      <c r="AR184" s="240"/>
      <c r="AS184" s="240"/>
      <c r="AT184" s="240"/>
      <c r="AU184" s="240"/>
      <c r="AV184" s="240"/>
      <c r="AW184" s="240"/>
      <c r="AX184" s="240"/>
      <c r="AY184" s="240"/>
      <c r="AZ184" s="240"/>
    </row>
    <row r="185" spans="1:52">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40"/>
      <c r="Z185" s="240"/>
      <c r="AA185" s="240"/>
      <c r="AB185" s="240"/>
      <c r="AC185" s="240"/>
      <c r="AD185" s="240"/>
      <c r="AE185" s="240"/>
      <c r="AF185" s="240"/>
      <c r="AG185" s="240"/>
      <c r="AH185" s="240"/>
      <c r="AI185" s="240"/>
      <c r="AJ185" s="240"/>
      <c r="AK185" s="240"/>
      <c r="AL185" s="240"/>
      <c r="AM185" s="240"/>
      <c r="AN185" s="240"/>
      <c r="AO185" s="240"/>
      <c r="AP185" s="240"/>
      <c r="AQ185" s="240"/>
      <c r="AR185" s="240"/>
      <c r="AS185" s="240"/>
      <c r="AT185" s="240"/>
      <c r="AU185" s="240"/>
      <c r="AV185" s="240"/>
      <c r="AW185" s="240"/>
      <c r="AX185" s="240"/>
      <c r="AY185" s="240"/>
      <c r="AZ185" s="240"/>
    </row>
    <row r="186" spans="1:52">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c r="AA186" s="240"/>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row>
    <row r="187" spans="1:52">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c r="AA187" s="240"/>
      <c r="AB187" s="240"/>
      <c r="AC187" s="240"/>
      <c r="AD187" s="240"/>
      <c r="AE187" s="240"/>
      <c r="AF187" s="240"/>
      <c r="AG187" s="240"/>
      <c r="AH187" s="240"/>
      <c r="AI187" s="240"/>
      <c r="AJ187" s="240"/>
      <c r="AK187" s="240"/>
      <c r="AL187" s="240"/>
      <c r="AM187" s="240"/>
      <c r="AN187" s="240"/>
      <c r="AO187" s="240"/>
      <c r="AP187" s="240"/>
      <c r="AQ187" s="240"/>
      <c r="AR187" s="240"/>
      <c r="AS187" s="240"/>
      <c r="AT187" s="240"/>
      <c r="AU187" s="240"/>
      <c r="AV187" s="240"/>
      <c r="AW187" s="240"/>
      <c r="AX187" s="240"/>
      <c r="AY187" s="240"/>
      <c r="AZ187" s="240"/>
    </row>
    <row r="188" spans="1:52">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c r="Y188" s="240"/>
      <c r="Z188" s="240"/>
      <c r="AA188" s="240"/>
      <c r="AB188" s="240"/>
      <c r="AC188" s="240"/>
      <c r="AD188" s="240"/>
      <c r="AE188" s="240"/>
      <c r="AF188" s="240"/>
      <c r="AG188" s="240"/>
      <c r="AH188" s="240"/>
      <c r="AI188" s="240"/>
      <c r="AJ188" s="240"/>
      <c r="AK188" s="240"/>
      <c r="AL188" s="240"/>
      <c r="AM188" s="240"/>
      <c r="AN188" s="240"/>
      <c r="AO188" s="240"/>
      <c r="AP188" s="240"/>
      <c r="AQ188" s="240"/>
      <c r="AR188" s="240"/>
      <c r="AS188" s="240"/>
      <c r="AT188" s="240"/>
      <c r="AU188" s="240"/>
      <c r="AV188" s="240"/>
      <c r="AW188" s="240"/>
      <c r="AX188" s="240"/>
      <c r="AY188" s="240"/>
      <c r="AZ188" s="240"/>
    </row>
    <row r="189" spans="1:52">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c r="Y189" s="240"/>
      <c r="Z189" s="240"/>
      <c r="AA189" s="240"/>
      <c r="AB189" s="240"/>
      <c r="AC189" s="240"/>
      <c r="AD189" s="240"/>
      <c r="AE189" s="240"/>
      <c r="AF189" s="240"/>
      <c r="AG189" s="240"/>
      <c r="AH189" s="240"/>
      <c r="AI189" s="240"/>
      <c r="AJ189" s="240"/>
      <c r="AK189" s="240"/>
      <c r="AL189" s="240"/>
      <c r="AM189" s="240"/>
      <c r="AN189" s="240"/>
      <c r="AO189" s="240"/>
      <c r="AP189" s="240"/>
      <c r="AQ189" s="240"/>
      <c r="AR189" s="240"/>
      <c r="AS189" s="240"/>
      <c r="AT189" s="240"/>
      <c r="AU189" s="240"/>
      <c r="AV189" s="240"/>
      <c r="AW189" s="240"/>
      <c r="AX189" s="240"/>
      <c r="AY189" s="240"/>
      <c r="AZ189" s="240"/>
    </row>
    <row r="190" spans="1:52">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c r="AA190" s="240"/>
      <c r="AB190" s="240"/>
      <c r="AC190" s="240"/>
      <c r="AD190" s="240"/>
      <c r="AE190" s="240"/>
      <c r="AF190" s="240"/>
      <c r="AG190" s="240"/>
      <c r="AH190" s="240"/>
      <c r="AI190" s="240"/>
      <c r="AJ190" s="240"/>
      <c r="AK190" s="240"/>
      <c r="AL190" s="240"/>
      <c r="AM190" s="240"/>
      <c r="AN190" s="240"/>
      <c r="AO190" s="240"/>
      <c r="AP190" s="240"/>
      <c r="AQ190" s="240"/>
      <c r="AR190" s="240"/>
      <c r="AS190" s="240"/>
      <c r="AT190" s="240"/>
      <c r="AU190" s="240"/>
      <c r="AV190" s="240"/>
      <c r="AW190" s="240"/>
      <c r="AX190" s="240"/>
      <c r="AY190" s="240"/>
      <c r="AZ190" s="240"/>
    </row>
  </sheetData>
  <phoneticPr fontId="31"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P67"/>
  <sheetViews>
    <sheetView showGridLines="0" tabSelected="1" zoomScaleNormal="100" workbookViewId="0">
      <selection activeCell="B2" sqref="B2:C2"/>
    </sheetView>
  </sheetViews>
  <sheetFormatPr defaultRowHeight="12.75"/>
  <cols>
    <col min="1" max="1" width="5.85546875" style="616" customWidth="1"/>
    <col min="2" max="2" width="41.5703125" style="615" customWidth="1"/>
    <col min="3" max="14" width="11.28515625" style="615" customWidth="1"/>
    <col min="15" max="256" width="9.140625" style="615"/>
    <col min="257" max="257" width="24.5703125" style="615" customWidth="1"/>
    <col min="258" max="258" width="60.85546875" style="615" bestFit="1" customWidth="1"/>
    <col min="259" max="264" width="17.42578125" style="615" customWidth="1"/>
    <col min="265" max="512" width="9.140625" style="615"/>
    <col min="513" max="513" width="24.5703125" style="615" customWidth="1"/>
    <col min="514" max="514" width="60.85546875" style="615" bestFit="1" customWidth="1"/>
    <col min="515" max="520" width="17.42578125" style="615" customWidth="1"/>
    <col min="521" max="768" width="9.140625" style="615"/>
    <col min="769" max="769" width="24.5703125" style="615" customWidth="1"/>
    <col min="770" max="770" width="60.85546875" style="615" bestFit="1" customWidth="1"/>
    <col min="771" max="776" width="17.42578125" style="615" customWidth="1"/>
    <col min="777" max="1024" width="9.140625" style="615"/>
    <col min="1025" max="1025" width="24.5703125" style="615" customWidth="1"/>
    <col min="1026" max="1026" width="60.85546875" style="615" bestFit="1" customWidth="1"/>
    <col min="1027" max="1032" width="17.42578125" style="615" customWidth="1"/>
    <col min="1033" max="1280" width="9.140625" style="615"/>
    <col min="1281" max="1281" width="24.5703125" style="615" customWidth="1"/>
    <col min="1282" max="1282" width="60.85546875" style="615" bestFit="1" customWidth="1"/>
    <col min="1283" max="1288" width="17.42578125" style="615" customWidth="1"/>
    <col min="1289" max="1536" width="9.140625" style="615"/>
    <col min="1537" max="1537" width="24.5703125" style="615" customWidth="1"/>
    <col min="1538" max="1538" width="60.85546875" style="615" bestFit="1" customWidth="1"/>
    <col min="1539" max="1544" width="17.42578125" style="615" customWidth="1"/>
    <col min="1545" max="1792" width="9.140625" style="615"/>
    <col min="1793" max="1793" width="24.5703125" style="615" customWidth="1"/>
    <col min="1794" max="1794" width="60.85546875" style="615" bestFit="1" customWidth="1"/>
    <col min="1795" max="1800" width="17.42578125" style="615" customWidth="1"/>
    <col min="1801" max="2048" width="9.140625" style="615"/>
    <col min="2049" max="2049" width="24.5703125" style="615" customWidth="1"/>
    <col min="2050" max="2050" width="60.85546875" style="615" bestFit="1" customWidth="1"/>
    <col min="2051" max="2056" width="17.42578125" style="615" customWidth="1"/>
    <col min="2057" max="2304" width="9.140625" style="615"/>
    <col min="2305" max="2305" width="24.5703125" style="615" customWidth="1"/>
    <col min="2306" max="2306" width="60.85546875" style="615" bestFit="1" customWidth="1"/>
    <col min="2307" max="2312" width="17.42578125" style="615" customWidth="1"/>
    <col min="2313" max="2560" width="9.140625" style="615"/>
    <col min="2561" max="2561" width="24.5703125" style="615" customWidth="1"/>
    <col min="2562" max="2562" width="60.85546875" style="615" bestFit="1" customWidth="1"/>
    <col min="2563" max="2568" width="17.42578125" style="615" customWidth="1"/>
    <col min="2569" max="2816" width="9.140625" style="615"/>
    <col min="2817" max="2817" width="24.5703125" style="615" customWidth="1"/>
    <col min="2818" max="2818" width="60.85546875" style="615" bestFit="1" customWidth="1"/>
    <col min="2819" max="2824" width="17.42578125" style="615" customWidth="1"/>
    <col min="2825" max="3072" width="9.140625" style="615"/>
    <col min="3073" max="3073" width="24.5703125" style="615" customWidth="1"/>
    <col min="3074" max="3074" width="60.85546875" style="615" bestFit="1" customWidth="1"/>
    <col min="3075" max="3080" width="17.42578125" style="615" customWidth="1"/>
    <col min="3081" max="3328" width="9.140625" style="615"/>
    <col min="3329" max="3329" width="24.5703125" style="615" customWidth="1"/>
    <col min="3330" max="3330" width="60.85546875" style="615" bestFit="1" customWidth="1"/>
    <col min="3331" max="3336" width="17.42578125" style="615" customWidth="1"/>
    <col min="3337" max="3584" width="9.140625" style="615"/>
    <col min="3585" max="3585" width="24.5703125" style="615" customWidth="1"/>
    <col min="3586" max="3586" width="60.85546875" style="615" bestFit="1" customWidth="1"/>
    <col min="3587" max="3592" width="17.42578125" style="615" customWidth="1"/>
    <col min="3593" max="3840" width="9.140625" style="615"/>
    <col min="3841" max="3841" width="24.5703125" style="615" customWidth="1"/>
    <col min="3842" max="3842" width="60.85546875" style="615" bestFit="1" customWidth="1"/>
    <col min="3843" max="3848" width="17.42578125" style="615" customWidth="1"/>
    <col min="3849" max="4096" width="9.140625" style="615"/>
    <col min="4097" max="4097" width="24.5703125" style="615" customWidth="1"/>
    <col min="4098" max="4098" width="60.85546875" style="615" bestFit="1" customWidth="1"/>
    <col min="4099" max="4104" width="17.42578125" style="615" customWidth="1"/>
    <col min="4105" max="4352" width="9.140625" style="615"/>
    <col min="4353" max="4353" width="24.5703125" style="615" customWidth="1"/>
    <col min="4354" max="4354" width="60.85546875" style="615" bestFit="1" customWidth="1"/>
    <col min="4355" max="4360" width="17.42578125" style="615" customWidth="1"/>
    <col min="4361" max="4608" width="9.140625" style="615"/>
    <col min="4609" max="4609" width="24.5703125" style="615" customWidth="1"/>
    <col min="4610" max="4610" width="60.85546875" style="615" bestFit="1" customWidth="1"/>
    <col min="4611" max="4616" width="17.42578125" style="615" customWidth="1"/>
    <col min="4617" max="4864" width="9.140625" style="615"/>
    <col min="4865" max="4865" width="24.5703125" style="615" customWidth="1"/>
    <col min="4866" max="4866" width="60.85546875" style="615" bestFit="1" customWidth="1"/>
    <col min="4867" max="4872" width="17.42578125" style="615" customWidth="1"/>
    <col min="4873" max="5120" width="9.140625" style="615"/>
    <col min="5121" max="5121" width="24.5703125" style="615" customWidth="1"/>
    <col min="5122" max="5122" width="60.85546875" style="615" bestFit="1" customWidth="1"/>
    <col min="5123" max="5128" width="17.42578125" style="615" customWidth="1"/>
    <col min="5129" max="5376" width="9.140625" style="615"/>
    <col min="5377" max="5377" width="24.5703125" style="615" customWidth="1"/>
    <col min="5378" max="5378" width="60.85546875" style="615" bestFit="1" customWidth="1"/>
    <col min="5379" max="5384" width="17.42578125" style="615" customWidth="1"/>
    <col min="5385" max="5632" width="9.140625" style="615"/>
    <col min="5633" max="5633" width="24.5703125" style="615" customWidth="1"/>
    <col min="5634" max="5634" width="60.85546875" style="615" bestFit="1" customWidth="1"/>
    <col min="5635" max="5640" width="17.42578125" style="615" customWidth="1"/>
    <col min="5641" max="5888" width="9.140625" style="615"/>
    <col min="5889" max="5889" width="24.5703125" style="615" customWidth="1"/>
    <col min="5890" max="5890" width="60.85546875" style="615" bestFit="1" customWidth="1"/>
    <col min="5891" max="5896" width="17.42578125" style="615" customWidth="1"/>
    <col min="5897" max="6144" width="9.140625" style="615"/>
    <col min="6145" max="6145" width="24.5703125" style="615" customWidth="1"/>
    <col min="6146" max="6146" width="60.85546875" style="615" bestFit="1" customWidth="1"/>
    <col min="6147" max="6152" width="17.42578125" style="615" customWidth="1"/>
    <col min="6153" max="6400" width="9.140625" style="615"/>
    <col min="6401" max="6401" width="24.5703125" style="615" customWidth="1"/>
    <col min="6402" max="6402" width="60.85546875" style="615" bestFit="1" customWidth="1"/>
    <col min="6403" max="6408" width="17.42578125" style="615" customWidth="1"/>
    <col min="6409" max="6656" width="9.140625" style="615"/>
    <col min="6657" max="6657" width="24.5703125" style="615" customWidth="1"/>
    <col min="6658" max="6658" width="60.85546875" style="615" bestFit="1" customWidth="1"/>
    <col min="6659" max="6664" width="17.42578125" style="615" customWidth="1"/>
    <col min="6665" max="6912" width="9.140625" style="615"/>
    <col min="6913" max="6913" width="24.5703125" style="615" customWidth="1"/>
    <col min="6914" max="6914" width="60.85546875" style="615" bestFit="1" customWidth="1"/>
    <col min="6915" max="6920" width="17.42578125" style="615" customWidth="1"/>
    <col min="6921" max="7168" width="9.140625" style="615"/>
    <col min="7169" max="7169" width="24.5703125" style="615" customWidth="1"/>
    <col min="7170" max="7170" width="60.85546875" style="615" bestFit="1" customWidth="1"/>
    <col min="7171" max="7176" width="17.42578125" style="615" customWidth="1"/>
    <col min="7177" max="7424" width="9.140625" style="615"/>
    <col min="7425" max="7425" width="24.5703125" style="615" customWidth="1"/>
    <col min="7426" max="7426" width="60.85546875" style="615" bestFit="1" customWidth="1"/>
    <col min="7427" max="7432" width="17.42578125" style="615" customWidth="1"/>
    <col min="7433" max="7680" width="9.140625" style="615"/>
    <col min="7681" max="7681" width="24.5703125" style="615" customWidth="1"/>
    <col min="7682" max="7682" width="60.85546875" style="615" bestFit="1" customWidth="1"/>
    <col min="7683" max="7688" width="17.42578125" style="615" customWidth="1"/>
    <col min="7689" max="7936" width="9.140625" style="615"/>
    <col min="7937" max="7937" width="24.5703125" style="615" customWidth="1"/>
    <col min="7938" max="7938" width="60.85546875" style="615" bestFit="1" customWidth="1"/>
    <col min="7939" max="7944" width="17.42578125" style="615" customWidth="1"/>
    <col min="7945" max="8192" width="9.140625" style="615"/>
    <col min="8193" max="8193" width="24.5703125" style="615" customWidth="1"/>
    <col min="8194" max="8194" width="60.85546875" style="615" bestFit="1" customWidth="1"/>
    <col min="8195" max="8200" width="17.42578125" style="615" customWidth="1"/>
    <col min="8201" max="8448" width="9.140625" style="615"/>
    <col min="8449" max="8449" width="24.5703125" style="615" customWidth="1"/>
    <col min="8450" max="8450" width="60.85546875" style="615" bestFit="1" customWidth="1"/>
    <col min="8451" max="8456" width="17.42578125" style="615" customWidth="1"/>
    <col min="8457" max="8704" width="9.140625" style="615"/>
    <col min="8705" max="8705" width="24.5703125" style="615" customWidth="1"/>
    <col min="8706" max="8706" width="60.85546875" style="615" bestFit="1" customWidth="1"/>
    <col min="8707" max="8712" width="17.42578125" style="615" customWidth="1"/>
    <col min="8713" max="8960" width="9.140625" style="615"/>
    <col min="8961" max="8961" width="24.5703125" style="615" customWidth="1"/>
    <col min="8962" max="8962" width="60.85546875" style="615" bestFit="1" customWidth="1"/>
    <col min="8963" max="8968" width="17.42578125" style="615" customWidth="1"/>
    <col min="8969" max="9216" width="9.140625" style="615"/>
    <col min="9217" max="9217" width="24.5703125" style="615" customWidth="1"/>
    <col min="9218" max="9218" width="60.85546875" style="615" bestFit="1" customWidth="1"/>
    <col min="9219" max="9224" width="17.42578125" style="615" customWidth="1"/>
    <col min="9225" max="9472" width="9.140625" style="615"/>
    <col min="9473" max="9473" width="24.5703125" style="615" customWidth="1"/>
    <col min="9474" max="9474" width="60.85546875" style="615" bestFit="1" customWidth="1"/>
    <col min="9475" max="9480" width="17.42578125" style="615" customWidth="1"/>
    <col min="9481" max="9728" width="9.140625" style="615"/>
    <col min="9729" max="9729" width="24.5703125" style="615" customWidth="1"/>
    <col min="9730" max="9730" width="60.85546875" style="615" bestFit="1" customWidth="1"/>
    <col min="9731" max="9736" width="17.42578125" style="615" customWidth="1"/>
    <col min="9737" max="9984" width="9.140625" style="615"/>
    <col min="9985" max="9985" width="24.5703125" style="615" customWidth="1"/>
    <col min="9986" max="9986" width="60.85546875" style="615" bestFit="1" customWidth="1"/>
    <col min="9987" max="9992" width="17.42578125" style="615" customWidth="1"/>
    <col min="9993" max="10240" width="9.140625" style="615"/>
    <col min="10241" max="10241" width="24.5703125" style="615" customWidth="1"/>
    <col min="10242" max="10242" width="60.85546875" style="615" bestFit="1" customWidth="1"/>
    <col min="10243" max="10248" width="17.42578125" style="615" customWidth="1"/>
    <col min="10249" max="10496" width="9.140625" style="615"/>
    <col min="10497" max="10497" width="24.5703125" style="615" customWidth="1"/>
    <col min="10498" max="10498" width="60.85546875" style="615" bestFit="1" customWidth="1"/>
    <col min="10499" max="10504" width="17.42578125" style="615" customWidth="1"/>
    <col min="10505" max="10752" width="9.140625" style="615"/>
    <col min="10753" max="10753" width="24.5703125" style="615" customWidth="1"/>
    <col min="10754" max="10754" width="60.85546875" style="615" bestFit="1" customWidth="1"/>
    <col min="10755" max="10760" width="17.42578125" style="615" customWidth="1"/>
    <col min="10761" max="11008" width="9.140625" style="615"/>
    <col min="11009" max="11009" width="24.5703125" style="615" customWidth="1"/>
    <col min="11010" max="11010" width="60.85546875" style="615" bestFit="1" customWidth="1"/>
    <col min="11011" max="11016" width="17.42578125" style="615" customWidth="1"/>
    <col min="11017" max="11264" width="9.140625" style="615"/>
    <col min="11265" max="11265" width="24.5703125" style="615" customWidth="1"/>
    <col min="11266" max="11266" width="60.85546875" style="615" bestFit="1" customWidth="1"/>
    <col min="11267" max="11272" width="17.42578125" style="615" customWidth="1"/>
    <col min="11273" max="11520" width="9.140625" style="615"/>
    <col min="11521" max="11521" width="24.5703125" style="615" customWidth="1"/>
    <col min="11522" max="11522" width="60.85546875" style="615" bestFit="1" customWidth="1"/>
    <col min="11523" max="11528" width="17.42578125" style="615" customWidth="1"/>
    <col min="11529" max="11776" width="9.140625" style="615"/>
    <col min="11777" max="11777" width="24.5703125" style="615" customWidth="1"/>
    <col min="11778" max="11778" width="60.85546875" style="615" bestFit="1" customWidth="1"/>
    <col min="11779" max="11784" width="17.42578125" style="615" customWidth="1"/>
    <col min="11785" max="12032" width="9.140625" style="615"/>
    <col min="12033" max="12033" width="24.5703125" style="615" customWidth="1"/>
    <col min="12034" max="12034" width="60.85546875" style="615" bestFit="1" customWidth="1"/>
    <col min="12035" max="12040" width="17.42578125" style="615" customWidth="1"/>
    <col min="12041" max="12288" width="9.140625" style="615"/>
    <col min="12289" max="12289" width="24.5703125" style="615" customWidth="1"/>
    <col min="12290" max="12290" width="60.85546875" style="615" bestFit="1" customWidth="1"/>
    <col min="12291" max="12296" width="17.42578125" style="615" customWidth="1"/>
    <col min="12297" max="12544" width="9.140625" style="615"/>
    <col min="12545" max="12545" width="24.5703125" style="615" customWidth="1"/>
    <col min="12546" max="12546" width="60.85546875" style="615" bestFit="1" customWidth="1"/>
    <col min="12547" max="12552" width="17.42578125" style="615" customWidth="1"/>
    <col min="12553" max="12800" width="9.140625" style="615"/>
    <col min="12801" max="12801" width="24.5703125" style="615" customWidth="1"/>
    <col min="12802" max="12802" width="60.85546875" style="615" bestFit="1" customWidth="1"/>
    <col min="12803" max="12808" width="17.42578125" style="615" customWidth="1"/>
    <col min="12809" max="13056" width="9.140625" style="615"/>
    <col min="13057" max="13057" width="24.5703125" style="615" customWidth="1"/>
    <col min="13058" max="13058" width="60.85546875" style="615" bestFit="1" customWidth="1"/>
    <col min="13059" max="13064" width="17.42578125" style="615" customWidth="1"/>
    <col min="13065" max="13312" width="9.140625" style="615"/>
    <col min="13313" max="13313" width="24.5703125" style="615" customWidth="1"/>
    <col min="13314" max="13314" width="60.85546875" style="615" bestFit="1" customWidth="1"/>
    <col min="13315" max="13320" width="17.42578125" style="615" customWidth="1"/>
    <col min="13321" max="13568" width="9.140625" style="615"/>
    <col min="13569" max="13569" width="24.5703125" style="615" customWidth="1"/>
    <col min="13570" max="13570" width="60.85546875" style="615" bestFit="1" customWidth="1"/>
    <col min="13571" max="13576" width="17.42578125" style="615" customWidth="1"/>
    <col min="13577" max="13824" width="9.140625" style="615"/>
    <col min="13825" max="13825" width="24.5703125" style="615" customWidth="1"/>
    <col min="13826" max="13826" width="60.85546875" style="615" bestFit="1" customWidth="1"/>
    <col min="13827" max="13832" width="17.42578125" style="615" customWidth="1"/>
    <col min="13833" max="14080" width="9.140625" style="615"/>
    <col min="14081" max="14081" width="24.5703125" style="615" customWidth="1"/>
    <col min="14082" max="14082" width="60.85546875" style="615" bestFit="1" customWidth="1"/>
    <col min="14083" max="14088" width="17.42578125" style="615" customWidth="1"/>
    <col min="14089" max="14336" width="9.140625" style="615"/>
    <col min="14337" max="14337" width="24.5703125" style="615" customWidth="1"/>
    <col min="14338" max="14338" width="60.85546875" style="615" bestFit="1" customWidth="1"/>
    <col min="14339" max="14344" width="17.42578125" style="615" customWidth="1"/>
    <col min="14345" max="14592" width="9.140625" style="615"/>
    <col min="14593" max="14593" width="24.5703125" style="615" customWidth="1"/>
    <col min="14594" max="14594" width="60.85546875" style="615" bestFit="1" customWidth="1"/>
    <col min="14595" max="14600" width="17.42578125" style="615" customWidth="1"/>
    <col min="14601" max="14848" width="9.140625" style="615"/>
    <col min="14849" max="14849" width="24.5703125" style="615" customWidth="1"/>
    <col min="14850" max="14850" width="60.85546875" style="615" bestFit="1" customWidth="1"/>
    <col min="14851" max="14856" width="17.42578125" style="615" customWidth="1"/>
    <col min="14857" max="15104" width="9.140625" style="615"/>
    <col min="15105" max="15105" width="24.5703125" style="615" customWidth="1"/>
    <col min="15106" max="15106" width="60.85546875" style="615" bestFit="1" customWidth="1"/>
    <col min="15107" max="15112" width="17.42578125" style="615" customWidth="1"/>
    <col min="15113" max="15360" width="9.140625" style="615"/>
    <col min="15361" max="15361" width="24.5703125" style="615" customWidth="1"/>
    <col min="15362" max="15362" width="60.85546875" style="615" bestFit="1" customWidth="1"/>
    <col min="15363" max="15368" width="17.42578125" style="615" customWidth="1"/>
    <col min="15369" max="15616" width="9.140625" style="615"/>
    <col min="15617" max="15617" width="24.5703125" style="615" customWidth="1"/>
    <col min="15618" max="15618" width="60.85546875" style="615" bestFit="1" customWidth="1"/>
    <col min="15619" max="15624" width="17.42578125" style="615" customWidth="1"/>
    <col min="15625" max="15872" width="9.140625" style="615"/>
    <col min="15873" max="15873" width="24.5703125" style="615" customWidth="1"/>
    <col min="15874" max="15874" width="60.85546875" style="615" bestFit="1" customWidth="1"/>
    <col min="15875" max="15880" width="17.42578125" style="615" customWidth="1"/>
    <col min="15881" max="16128" width="9.140625" style="615"/>
    <col min="16129" max="16129" width="24.5703125" style="615" customWidth="1"/>
    <col min="16130" max="16130" width="60.85546875" style="615" bestFit="1" customWidth="1"/>
    <col min="16131" max="16136" width="17.42578125" style="615" customWidth="1"/>
    <col min="16137" max="16384" width="9.140625" style="615"/>
  </cols>
  <sheetData>
    <row r="1" spans="1:16" ht="12.75" customHeight="1">
      <c r="A1" s="608"/>
      <c r="B1" s="607"/>
      <c r="C1" s="608"/>
      <c r="D1" s="608"/>
      <c r="E1" s="608"/>
      <c r="F1" s="608"/>
      <c r="G1" s="608"/>
      <c r="H1" s="608"/>
      <c r="I1" s="608"/>
      <c r="J1" s="608"/>
      <c r="K1" s="608"/>
      <c r="L1" s="608"/>
      <c r="M1" s="608"/>
      <c r="N1" s="608"/>
      <c r="O1" s="608"/>
      <c r="P1" s="608"/>
    </row>
    <row r="2" spans="1:16" ht="12.75" customHeight="1">
      <c r="A2" s="608"/>
      <c r="B2" s="1568" t="str">
        <f>C16&amp;" - DMS Input"&amp;" - DNSP PTRM - version "&amp;Intro!$L$4</f>
        <v>Aus Elec - DMS Input - DNSP PTRM - version 3</v>
      </c>
      <c r="C2" s="1568"/>
      <c r="D2" s="608"/>
      <c r="E2" s="608"/>
      <c r="F2" s="608"/>
      <c r="G2" s="1569" t="s">
        <v>112</v>
      </c>
      <c r="H2" s="1570"/>
      <c r="I2" s="608"/>
      <c r="J2" s="608"/>
      <c r="K2" s="608"/>
      <c r="L2" s="608"/>
      <c r="M2" s="608"/>
      <c r="N2" s="608"/>
      <c r="O2" s="608"/>
      <c r="P2" s="608"/>
    </row>
    <row r="3" spans="1:16" ht="12.75" customHeight="1">
      <c r="A3" s="608"/>
      <c r="B3" s="607"/>
      <c r="C3" s="607"/>
      <c r="D3" s="607"/>
      <c r="E3" s="608"/>
      <c r="F3" s="608"/>
      <c r="G3" s="607"/>
      <c r="H3" s="607"/>
      <c r="I3" s="607"/>
      <c r="J3" s="607"/>
      <c r="K3" s="608"/>
      <c r="L3" s="608"/>
      <c r="M3" s="608"/>
      <c r="N3" s="608"/>
      <c r="O3" s="608"/>
      <c r="P3" s="608"/>
    </row>
    <row r="4" spans="1:16" ht="12.75" customHeight="1">
      <c r="A4" s="648"/>
      <c r="B4" s="648"/>
      <c r="C4" s="648"/>
      <c r="D4" s="648"/>
      <c r="E4" s="648"/>
      <c r="F4" s="648"/>
      <c r="G4" s="648"/>
      <c r="H4" s="648"/>
      <c r="I4" s="648"/>
      <c r="J4" s="648"/>
      <c r="K4" s="648"/>
      <c r="L4" s="648"/>
      <c r="M4" s="609"/>
      <c r="N4" s="609"/>
      <c r="O4" s="609"/>
      <c r="P4" s="608"/>
    </row>
    <row r="5" spans="1:16" ht="12.75" customHeight="1">
      <c r="A5" s="608"/>
      <c r="B5" s="608"/>
      <c r="C5" s="608"/>
      <c r="D5" s="608"/>
      <c r="E5" s="608"/>
      <c r="F5" s="608"/>
      <c r="G5" s="608"/>
      <c r="H5" s="608"/>
      <c r="I5" s="608"/>
      <c r="J5" s="608"/>
      <c r="K5" s="608"/>
      <c r="L5" s="608"/>
      <c r="M5" s="608"/>
      <c r="N5" s="608"/>
      <c r="O5" s="608"/>
      <c r="P5" s="608"/>
    </row>
    <row r="6" spans="1:16" ht="12.75" customHeight="1">
      <c r="A6" s="608"/>
      <c r="B6" s="608" t="s">
        <v>487</v>
      </c>
      <c r="C6" s="608"/>
      <c r="D6" s="608"/>
      <c r="E6" s="608"/>
      <c r="F6" s="608"/>
      <c r="G6" s="608"/>
      <c r="H6" s="608"/>
      <c r="I6" s="608"/>
      <c r="J6" s="608"/>
      <c r="K6" s="608"/>
      <c r="L6" s="608"/>
      <c r="M6" s="608"/>
      <c r="N6" s="608"/>
      <c r="O6" s="608"/>
      <c r="P6" s="608"/>
    </row>
    <row r="7" spans="1:16" ht="12.75" customHeight="1">
      <c r="A7" s="610"/>
      <c r="B7" s="603" t="s">
        <v>488</v>
      </c>
      <c r="C7" s="603"/>
      <c r="D7" s="603"/>
      <c r="E7" s="603"/>
      <c r="F7" s="603"/>
      <c r="G7" s="603"/>
      <c r="H7" s="603"/>
      <c r="I7" s="603"/>
      <c r="J7" s="608"/>
      <c r="K7" s="608"/>
      <c r="L7" s="608"/>
      <c r="M7" s="608"/>
      <c r="N7" s="608"/>
      <c r="O7" s="608"/>
      <c r="P7" s="608"/>
    </row>
    <row r="8" spans="1:16" ht="12.75" customHeight="1">
      <c r="A8" s="610"/>
      <c r="B8" s="603" t="s">
        <v>489</v>
      </c>
      <c r="C8" s="603"/>
      <c r="D8" s="603"/>
      <c r="E8" s="603"/>
      <c r="F8" s="603"/>
      <c r="G8" s="603"/>
      <c r="H8" s="603"/>
      <c r="I8" s="603"/>
      <c r="J8" s="608"/>
      <c r="K8" s="608"/>
      <c r="L8" s="608"/>
      <c r="M8" s="608"/>
      <c r="N8" s="608"/>
      <c r="O8" s="608"/>
      <c r="P8" s="608"/>
    </row>
    <row r="9" spans="1:16" ht="12.75" customHeight="1">
      <c r="A9" s="611"/>
      <c r="B9" s="603" t="s">
        <v>386</v>
      </c>
      <c r="C9" s="606"/>
      <c r="D9" s="606"/>
      <c r="E9" s="606"/>
      <c r="F9" s="606"/>
      <c r="G9" s="606"/>
      <c r="H9" s="606"/>
      <c r="I9" s="606"/>
      <c r="J9" s="608"/>
      <c r="K9" s="608"/>
      <c r="L9" s="608"/>
      <c r="M9" s="608"/>
      <c r="N9" s="608"/>
      <c r="O9" s="608"/>
      <c r="P9" s="608"/>
    </row>
    <row r="10" spans="1:16" ht="12.75" customHeight="1">
      <c r="A10" s="611"/>
      <c r="B10" s="603" t="s">
        <v>486</v>
      </c>
      <c r="C10" s="606"/>
      <c r="D10" s="606"/>
      <c r="E10" s="606"/>
      <c r="F10" s="606"/>
      <c r="G10" s="606"/>
      <c r="H10" s="606"/>
      <c r="I10" s="606"/>
      <c r="J10" s="608"/>
      <c r="K10" s="608"/>
      <c r="L10" s="608"/>
      <c r="M10" s="608"/>
      <c r="N10" s="608"/>
      <c r="O10" s="608"/>
      <c r="P10" s="608"/>
    </row>
    <row r="11" spans="1:16" ht="12.75" customHeight="1">
      <c r="A11" s="604"/>
      <c r="B11" s="604"/>
      <c r="C11" s="604"/>
      <c r="D11" s="604"/>
      <c r="E11" s="604"/>
      <c r="F11" s="604"/>
      <c r="G11" s="604"/>
      <c r="H11" s="604"/>
      <c r="I11" s="604"/>
      <c r="J11" s="608"/>
      <c r="K11" s="608"/>
      <c r="L11" s="608"/>
      <c r="M11" s="608"/>
      <c r="N11" s="608"/>
      <c r="O11" s="608"/>
      <c r="P11" s="608"/>
    </row>
    <row r="12" spans="1:16" ht="12.75" customHeight="1">
      <c r="A12" s="649"/>
      <c r="B12" s="649" t="s">
        <v>359</v>
      </c>
      <c r="C12" s="649"/>
      <c r="D12" s="649"/>
      <c r="E12" s="649"/>
      <c r="F12" s="649"/>
      <c r="G12" s="649"/>
      <c r="H12" s="649"/>
      <c r="I12" s="649"/>
      <c r="J12" s="649"/>
      <c r="K12" s="649"/>
      <c r="L12" s="649"/>
      <c r="M12" s="600"/>
      <c r="N12" s="600"/>
      <c r="O12" s="600"/>
      <c r="P12" s="608"/>
    </row>
    <row r="13" spans="1:16" ht="12.75" customHeight="1">
      <c r="A13" s="611"/>
      <c r="B13" s="605"/>
      <c r="C13" s="604"/>
      <c r="D13" s="604"/>
      <c r="E13" s="604"/>
      <c r="F13" s="604"/>
      <c r="G13" s="604"/>
      <c r="H13" s="604"/>
      <c r="I13" s="604"/>
      <c r="J13" s="608"/>
      <c r="K13" s="608"/>
      <c r="L13" s="608"/>
      <c r="M13" s="608"/>
      <c r="N13" s="608"/>
      <c r="O13" s="608"/>
      <c r="P13" s="608"/>
    </row>
    <row r="14" spans="1:16" s="735" customFormat="1" ht="12.75" customHeight="1">
      <c r="A14" s="731"/>
      <c r="B14" s="732" t="s">
        <v>360</v>
      </c>
      <c r="C14" s="1584" t="s">
        <v>559</v>
      </c>
      <c r="D14" s="1585"/>
      <c r="E14" s="1585"/>
      <c r="F14" s="1585"/>
      <c r="G14" s="1585"/>
      <c r="H14" s="1585"/>
      <c r="I14" s="733"/>
      <c r="J14" s="734"/>
      <c r="K14" s="734"/>
      <c r="L14" s="734"/>
      <c r="M14" s="734"/>
      <c r="N14" s="734"/>
      <c r="O14" s="734"/>
      <c r="P14" s="734"/>
    </row>
    <row r="15" spans="1:16" s="735" customFormat="1" ht="12.75" customHeight="1">
      <c r="A15" s="731"/>
      <c r="B15" s="736" t="s">
        <v>361</v>
      </c>
      <c r="C15" s="1586">
        <f>INDEX(dms_ABN_List,MATCH(dms_TradingName,dms_TradingName_List))</f>
        <v>11222333444</v>
      </c>
      <c r="D15" s="1586"/>
      <c r="E15" s="1586"/>
      <c r="F15" s="737"/>
      <c r="G15" s="737"/>
      <c r="H15" s="737"/>
      <c r="I15" s="738"/>
      <c r="J15" s="734"/>
      <c r="K15" s="734"/>
      <c r="L15" s="734"/>
      <c r="M15" s="734"/>
      <c r="N15" s="734"/>
      <c r="O15" s="734"/>
      <c r="P15" s="734"/>
    </row>
    <row r="16" spans="1:16" s="735" customFormat="1" ht="12.75" customHeight="1">
      <c r="A16" s="731"/>
      <c r="B16" s="732" t="s">
        <v>385</v>
      </c>
      <c r="C16" s="1571" t="s">
        <v>430</v>
      </c>
      <c r="D16" s="1572"/>
      <c r="E16" s="1572"/>
      <c r="F16" s="738"/>
      <c r="G16" s="738"/>
      <c r="H16" s="738"/>
      <c r="I16" s="738"/>
      <c r="J16" s="734"/>
      <c r="K16" s="734"/>
      <c r="L16" s="734"/>
      <c r="M16" s="734"/>
      <c r="N16" s="734"/>
      <c r="O16" s="734"/>
      <c r="P16" s="734"/>
    </row>
    <row r="17" spans="1:16" s="735" customFormat="1" ht="12.75" customHeight="1">
      <c r="A17" s="731"/>
      <c r="B17" s="739"/>
      <c r="C17" s="733"/>
      <c r="D17" s="733"/>
      <c r="E17" s="733"/>
      <c r="F17" s="738"/>
      <c r="G17" s="738"/>
      <c r="H17" s="738"/>
      <c r="I17" s="738"/>
      <c r="J17" s="734"/>
      <c r="K17" s="734"/>
      <c r="L17" s="734"/>
      <c r="M17" s="734"/>
      <c r="N17" s="734"/>
      <c r="O17" s="734"/>
      <c r="P17" s="734"/>
    </row>
    <row r="18" spans="1:16" s="735" customFormat="1" ht="12.75" customHeight="1">
      <c r="A18" s="731"/>
      <c r="B18" s="740" t="s">
        <v>362</v>
      </c>
      <c r="C18" s="1575" t="s">
        <v>363</v>
      </c>
      <c r="D18" s="1575"/>
      <c r="E18" s="1584" t="s">
        <v>414</v>
      </c>
      <c r="F18" s="1585"/>
      <c r="G18" s="1585"/>
      <c r="H18" s="1585"/>
      <c r="I18" s="733"/>
      <c r="J18" s="734"/>
      <c r="K18" s="734"/>
      <c r="L18" s="734"/>
      <c r="M18" s="734"/>
      <c r="N18" s="734"/>
      <c r="O18" s="734"/>
      <c r="P18" s="734"/>
    </row>
    <row r="19" spans="1:16" s="735" customFormat="1" ht="12.75" customHeight="1">
      <c r="A19" s="731"/>
      <c r="B19" s="740"/>
      <c r="C19" s="741"/>
      <c r="D19" s="741" t="s">
        <v>364</v>
      </c>
      <c r="E19" s="1580"/>
      <c r="F19" s="1581"/>
      <c r="G19" s="1581"/>
      <c r="H19" s="1581"/>
      <c r="I19" s="733"/>
      <c r="J19" s="734"/>
      <c r="K19" s="734"/>
      <c r="L19" s="734"/>
      <c r="M19" s="734"/>
      <c r="N19" s="734"/>
      <c r="O19" s="734"/>
      <c r="P19" s="734"/>
    </row>
    <row r="20" spans="1:16" s="735" customFormat="1" ht="12.75" customHeight="1">
      <c r="A20" s="731"/>
      <c r="B20" s="740"/>
      <c r="C20" s="1575" t="s">
        <v>365</v>
      </c>
      <c r="D20" s="1575"/>
      <c r="E20" s="1580" t="s">
        <v>415</v>
      </c>
      <c r="F20" s="1581"/>
      <c r="G20" s="1581"/>
      <c r="H20" s="1581"/>
      <c r="I20" s="733"/>
      <c r="J20" s="734"/>
      <c r="K20" s="734"/>
      <c r="L20" s="734"/>
      <c r="M20" s="734"/>
      <c r="N20" s="734"/>
      <c r="O20" s="734"/>
      <c r="P20" s="734"/>
    </row>
    <row r="21" spans="1:16" s="735" customFormat="1" ht="12.75" customHeight="1">
      <c r="A21" s="731"/>
      <c r="B21" s="740"/>
      <c r="C21" s="738"/>
      <c r="D21" s="741" t="s">
        <v>366</v>
      </c>
      <c r="E21" s="749" t="s">
        <v>416</v>
      </c>
      <c r="F21" s="741" t="s">
        <v>384</v>
      </c>
      <c r="G21" s="742">
        <v>2000</v>
      </c>
      <c r="H21" s="738"/>
      <c r="I21" s="738"/>
      <c r="J21" s="734"/>
      <c r="K21" s="734"/>
      <c r="L21" s="734"/>
      <c r="M21" s="734"/>
      <c r="N21" s="734"/>
      <c r="O21" s="734"/>
      <c r="P21" s="734"/>
    </row>
    <row r="22" spans="1:16" s="735" customFormat="1" ht="12.75" customHeight="1">
      <c r="A22" s="731"/>
      <c r="B22" s="740"/>
      <c r="C22" s="738"/>
      <c r="D22" s="738"/>
      <c r="E22" s="738"/>
      <c r="F22" s="738"/>
      <c r="G22" s="738"/>
      <c r="H22" s="738"/>
      <c r="I22" s="738"/>
      <c r="J22" s="734"/>
      <c r="K22" s="734"/>
      <c r="L22" s="734"/>
      <c r="M22" s="734"/>
      <c r="N22" s="734"/>
      <c r="O22" s="734"/>
      <c r="P22" s="734"/>
    </row>
    <row r="23" spans="1:16" s="735" customFormat="1" ht="12.75" customHeight="1">
      <c r="A23" s="731"/>
      <c r="B23" s="740" t="s">
        <v>367</v>
      </c>
      <c r="C23" s="1575" t="s">
        <v>363</v>
      </c>
      <c r="D23" s="1575"/>
      <c r="E23" s="1582" t="s">
        <v>417</v>
      </c>
      <c r="F23" s="1583"/>
      <c r="G23" s="1583"/>
      <c r="H23" s="1583"/>
      <c r="I23" s="733"/>
      <c r="J23" s="734"/>
      <c r="K23" s="734"/>
      <c r="L23" s="734"/>
      <c r="M23" s="734"/>
      <c r="N23" s="734"/>
      <c r="O23" s="734"/>
      <c r="P23" s="734"/>
    </row>
    <row r="24" spans="1:16" s="735" customFormat="1" ht="12.75" customHeight="1">
      <c r="A24" s="731"/>
      <c r="B24" s="740"/>
      <c r="C24" s="741"/>
      <c r="D24" s="741" t="s">
        <v>364</v>
      </c>
      <c r="E24" s="1571"/>
      <c r="F24" s="1572"/>
      <c r="G24" s="1572"/>
      <c r="H24" s="1572"/>
      <c r="I24" s="733"/>
      <c r="J24" s="734"/>
      <c r="K24" s="734"/>
      <c r="L24" s="734"/>
      <c r="M24" s="734"/>
      <c r="N24" s="734"/>
      <c r="O24" s="734"/>
      <c r="P24" s="734"/>
    </row>
    <row r="25" spans="1:16" s="735" customFormat="1" ht="12.75" customHeight="1">
      <c r="A25" s="731"/>
      <c r="B25" s="740"/>
      <c r="C25" s="1575" t="s">
        <v>365</v>
      </c>
      <c r="D25" s="1575"/>
      <c r="E25" s="1571" t="s">
        <v>415</v>
      </c>
      <c r="F25" s="1572"/>
      <c r="G25" s="1572"/>
      <c r="H25" s="1572"/>
      <c r="I25" s="733"/>
      <c r="J25" s="734"/>
      <c r="K25" s="734"/>
      <c r="L25" s="734"/>
      <c r="M25" s="734"/>
      <c r="N25" s="734"/>
      <c r="O25" s="734"/>
      <c r="P25" s="734"/>
    </row>
    <row r="26" spans="1:16" s="735" customFormat="1" ht="12.75" customHeight="1">
      <c r="A26" s="731"/>
      <c r="B26" s="739"/>
      <c r="C26" s="738"/>
      <c r="D26" s="741" t="s">
        <v>366</v>
      </c>
      <c r="E26" s="749" t="s">
        <v>416</v>
      </c>
      <c r="F26" s="741" t="s">
        <v>384</v>
      </c>
      <c r="G26" s="742">
        <v>2000</v>
      </c>
      <c r="H26" s="738"/>
      <c r="I26" s="738"/>
      <c r="J26" s="734"/>
      <c r="K26" s="734"/>
      <c r="L26" s="734"/>
      <c r="M26" s="734"/>
      <c r="N26" s="734"/>
      <c r="O26" s="734"/>
      <c r="P26" s="734"/>
    </row>
    <row r="27" spans="1:16" s="735" customFormat="1" ht="12.75" customHeight="1">
      <c r="A27" s="731"/>
      <c r="B27" s="739"/>
      <c r="C27" s="733"/>
      <c r="D27" s="733"/>
      <c r="E27" s="733"/>
      <c r="F27" s="738"/>
      <c r="G27" s="738"/>
      <c r="H27" s="738"/>
      <c r="I27" s="738"/>
      <c r="J27" s="734"/>
      <c r="K27" s="734"/>
      <c r="L27" s="734"/>
      <c r="M27" s="734"/>
      <c r="N27" s="734"/>
      <c r="O27" s="734"/>
      <c r="P27" s="734"/>
    </row>
    <row r="28" spans="1:16" s="735" customFormat="1" ht="12.75" customHeight="1">
      <c r="A28" s="731"/>
      <c r="B28" s="739"/>
      <c r="C28" s="733"/>
      <c r="D28" s="733"/>
      <c r="E28" s="733"/>
      <c r="F28" s="738"/>
      <c r="G28" s="738"/>
      <c r="H28" s="738"/>
      <c r="I28" s="738"/>
      <c r="J28" s="734"/>
      <c r="K28" s="734"/>
      <c r="L28" s="734"/>
      <c r="M28" s="734"/>
      <c r="N28" s="734"/>
      <c r="O28" s="734"/>
      <c r="P28" s="734"/>
    </row>
    <row r="29" spans="1:16" s="735" customFormat="1" ht="12.75" customHeight="1">
      <c r="A29" s="731"/>
      <c r="B29" s="743" t="s">
        <v>368</v>
      </c>
      <c r="C29" s="1576" t="s">
        <v>390</v>
      </c>
      <c r="D29" s="1577"/>
      <c r="E29" s="744"/>
      <c r="F29" s="1576" t="s">
        <v>391</v>
      </c>
      <c r="G29" s="1577"/>
      <c r="H29" s="745"/>
      <c r="I29" s="745"/>
      <c r="J29" s="734"/>
      <c r="K29" s="746"/>
      <c r="L29" s="734"/>
      <c r="M29" s="734"/>
      <c r="N29" s="734"/>
      <c r="O29" s="734"/>
      <c r="P29" s="734"/>
    </row>
    <row r="30" spans="1:16" s="735" customFormat="1" ht="12.75" customHeight="1">
      <c r="A30" s="731"/>
      <c r="B30" s="740" t="s">
        <v>369</v>
      </c>
      <c r="C30" s="1578">
        <v>212345678</v>
      </c>
      <c r="D30" s="1579"/>
      <c r="E30" s="747"/>
      <c r="F30" s="1578">
        <v>291234567</v>
      </c>
      <c r="G30" s="1579"/>
      <c r="H30" s="738"/>
      <c r="I30" s="738"/>
      <c r="J30" s="734"/>
      <c r="K30" s="734"/>
      <c r="L30" s="734"/>
      <c r="M30" s="734"/>
      <c r="N30" s="734"/>
      <c r="O30" s="734"/>
      <c r="P30" s="734"/>
    </row>
    <row r="31" spans="1:16" s="735" customFormat="1" ht="12.75" customHeight="1">
      <c r="A31" s="731"/>
      <c r="B31" s="740" t="s">
        <v>370</v>
      </c>
      <c r="C31" s="1573" t="s">
        <v>484</v>
      </c>
      <c r="D31" s="1574"/>
      <c r="E31" s="747"/>
      <c r="F31" s="1573" t="s">
        <v>485</v>
      </c>
      <c r="G31" s="1574"/>
      <c r="H31" s="738"/>
      <c r="I31" s="738"/>
      <c r="J31" s="734"/>
      <c r="K31" s="734"/>
      <c r="L31" s="734"/>
      <c r="M31" s="734"/>
      <c r="N31" s="734"/>
      <c r="O31" s="734"/>
      <c r="P31" s="734"/>
    </row>
    <row r="32" spans="1:16" s="735" customFormat="1" ht="12.75" customHeight="1">
      <c r="A32" s="731"/>
      <c r="B32" s="739"/>
      <c r="C32" s="733"/>
      <c r="D32" s="733"/>
      <c r="E32" s="733"/>
      <c r="F32" s="738"/>
      <c r="G32" s="738"/>
      <c r="H32" s="738"/>
      <c r="I32" s="738"/>
      <c r="J32" s="734"/>
      <c r="K32" s="734"/>
      <c r="L32" s="734"/>
      <c r="M32" s="734"/>
      <c r="N32" s="734"/>
      <c r="O32" s="734"/>
      <c r="P32" s="734"/>
    </row>
    <row r="33" spans="1:16" s="735" customFormat="1" ht="12.75" customHeight="1">
      <c r="A33" s="748"/>
      <c r="B33" s="748" t="s">
        <v>387</v>
      </c>
      <c r="C33" s="748"/>
      <c r="D33" s="748"/>
      <c r="E33" s="748"/>
      <c r="F33" s="748"/>
      <c r="G33" s="748"/>
      <c r="H33" s="748"/>
      <c r="I33" s="748"/>
      <c r="J33" s="748"/>
      <c r="K33" s="748"/>
      <c r="L33" s="748"/>
      <c r="M33" s="748"/>
      <c r="N33" s="650"/>
      <c r="O33" s="650"/>
      <c r="P33" s="734"/>
    </row>
    <row r="34" spans="1:16" customFormat="1" ht="12.75" customHeight="1"/>
    <row r="35" spans="1:16" customFormat="1" ht="12.75" hidden="1" customHeight="1"/>
    <row r="36" spans="1:16" customFormat="1" ht="12.75" hidden="1" customHeight="1"/>
    <row r="37" spans="1:16" customFormat="1" ht="12.75" hidden="1" customHeight="1"/>
    <row r="38" spans="1:16" customFormat="1" ht="12.75" hidden="1" customHeight="1"/>
    <row r="39" spans="1:16" customFormat="1" ht="12.75" hidden="1" customHeight="1"/>
    <row r="40" spans="1:16" customFormat="1" ht="12.75" hidden="1" customHeight="1"/>
    <row r="41" spans="1:16" customFormat="1" ht="12.75" hidden="1" customHeight="1"/>
    <row r="42" spans="1:16" customFormat="1" ht="12.75" hidden="1" customHeight="1"/>
    <row r="43" spans="1:16" customFormat="1" ht="12.75" hidden="1" customHeight="1"/>
    <row r="44" spans="1:16" customFormat="1" ht="12.75" hidden="1" customHeight="1"/>
    <row r="45" spans="1:16" s="735" customFormat="1" ht="12.75" hidden="1" customHeight="1">
      <c r="A45" s="731"/>
      <c r="B45" s="738"/>
      <c r="C45" s="738"/>
      <c r="D45" s="738"/>
      <c r="E45" s="738"/>
      <c r="F45" s="738"/>
      <c r="G45" s="738"/>
      <c r="H45" s="738"/>
      <c r="I45" s="738"/>
      <c r="J45" s="734"/>
      <c r="K45" s="734"/>
      <c r="L45" s="734"/>
      <c r="M45" s="734"/>
      <c r="N45" s="734"/>
      <c r="O45" s="734"/>
      <c r="P45" s="734"/>
    </row>
    <row r="46" spans="1:16" s="735" customFormat="1" ht="12.75" customHeight="1">
      <c r="A46" s="731"/>
      <c r="B46" s="738" t="s">
        <v>378</v>
      </c>
      <c r="C46" s="1566" t="s">
        <v>379</v>
      </c>
      <c r="D46" s="1567"/>
      <c r="E46" s="1567"/>
      <c r="F46"/>
      <c r="G46"/>
      <c r="H46"/>
      <c r="I46"/>
      <c r="J46" s="734"/>
      <c r="K46" s="734"/>
      <c r="L46" s="734"/>
      <c r="M46" s="734"/>
      <c r="N46" s="734"/>
      <c r="O46" s="734"/>
      <c r="P46" s="734"/>
    </row>
    <row r="47" spans="1:16" customFormat="1" ht="12.75" hidden="1" customHeight="1"/>
    <row r="48" spans="1:16" customFormat="1" ht="12.75" hidden="1" customHeight="1"/>
    <row r="49" spans="1:16" customFormat="1" ht="12.75" hidden="1" customHeight="1"/>
    <row r="50" spans="1:16" customFormat="1" ht="12.75" hidden="1" customHeight="1"/>
    <row r="51" spans="1:16" customFormat="1" ht="12.75" hidden="1" customHeight="1"/>
    <row r="52" spans="1:16" customFormat="1" ht="12.75" hidden="1" customHeight="1"/>
    <row r="53" spans="1:16" s="735" customFormat="1" ht="25.5" customHeight="1">
      <c r="A53" s="731"/>
      <c r="B53" s="745" t="s">
        <v>389</v>
      </c>
      <c r="C53" s="1562"/>
      <c r="D53" s="1563"/>
      <c r="E53" s="1563"/>
      <c r="F53" s="1563"/>
      <c r="G53" s="1563"/>
      <c r="H53" s="1563"/>
      <c r="I53" s="1563"/>
      <c r="J53" s="734"/>
      <c r="K53" s="734"/>
      <c r="L53" s="734"/>
      <c r="M53" s="734"/>
      <c r="N53" s="734"/>
      <c r="O53" s="734"/>
      <c r="P53" s="734"/>
    </row>
    <row r="54" spans="1:16" customFormat="1" ht="25.5" hidden="1" customHeight="1"/>
    <row r="55" spans="1:16" customFormat="1" ht="25.5" hidden="1" customHeight="1"/>
    <row r="56" spans="1:16" s="735" customFormat="1" ht="12.75" customHeight="1">
      <c r="A56" s="731"/>
      <c r="B56" s="738" t="s">
        <v>388</v>
      </c>
      <c r="C56" s="1564" t="s">
        <v>177</v>
      </c>
      <c r="D56" s="1565"/>
      <c r="E56" s="1565"/>
      <c r="F56" s="738"/>
      <c r="G56" s="738"/>
      <c r="H56" s="738"/>
      <c r="I56" s="738"/>
      <c r="J56" s="734"/>
      <c r="K56" s="734"/>
      <c r="L56" s="734"/>
      <c r="M56" s="734"/>
      <c r="N56" s="734"/>
      <c r="O56" s="734"/>
      <c r="P56" s="734"/>
    </row>
    <row r="57" spans="1:16">
      <c r="A57" s="610"/>
      <c r="B57" s="612"/>
      <c r="C57" s="608"/>
      <c r="D57" s="608"/>
      <c r="E57" s="608"/>
      <c r="F57" s="608"/>
      <c r="G57" s="608"/>
      <c r="H57" s="608"/>
      <c r="I57" s="608"/>
      <c r="J57" s="608"/>
      <c r="K57" s="608"/>
      <c r="L57" s="608"/>
      <c r="M57" s="608"/>
      <c r="N57" s="608"/>
      <c r="O57" s="608"/>
      <c r="P57" s="608"/>
    </row>
    <row r="58" spans="1:16">
      <c r="A58" s="610"/>
      <c r="B58" s="612"/>
      <c r="C58" s="608"/>
      <c r="D58" s="608"/>
      <c r="E58" s="608"/>
      <c r="F58" s="608"/>
      <c r="G58" s="608"/>
      <c r="H58" s="608"/>
      <c r="I58" s="608"/>
      <c r="J58" s="608"/>
      <c r="K58" s="608"/>
      <c r="L58" s="608"/>
      <c r="M58" s="608"/>
      <c r="N58" s="608"/>
      <c r="O58" s="608"/>
      <c r="P58" s="608"/>
    </row>
    <row r="59" spans="1:16">
      <c r="A59" s="610"/>
      <c r="B59" s="608"/>
      <c r="C59" s="608"/>
      <c r="D59" s="608"/>
      <c r="E59" s="608"/>
      <c r="F59" s="608"/>
      <c r="G59" s="608"/>
      <c r="H59" s="608"/>
      <c r="I59" s="608"/>
      <c r="J59" s="608"/>
      <c r="K59" s="608"/>
      <c r="L59" s="608"/>
      <c r="M59" s="608"/>
      <c r="N59" s="608"/>
      <c r="O59" s="608"/>
      <c r="P59" s="608"/>
    </row>
    <row r="60" spans="1:16">
      <c r="A60" s="610"/>
      <c r="B60" s="608"/>
      <c r="C60" s="608"/>
      <c r="D60" s="608"/>
      <c r="E60" s="608"/>
      <c r="F60" s="608"/>
      <c r="G60" s="608"/>
      <c r="H60" s="608"/>
      <c r="I60" s="608"/>
      <c r="J60" s="608"/>
      <c r="K60" s="608"/>
      <c r="L60" s="608"/>
      <c r="M60" s="608"/>
      <c r="N60" s="608"/>
      <c r="O60" s="608"/>
      <c r="P60" s="608"/>
    </row>
    <row r="61" spans="1:16">
      <c r="A61" s="610"/>
      <c r="B61" s="608"/>
      <c r="C61" s="608"/>
      <c r="D61" s="608"/>
      <c r="E61" s="608"/>
      <c r="F61" s="608"/>
      <c r="G61" s="608"/>
      <c r="H61" s="608"/>
      <c r="I61" s="608"/>
      <c r="J61" s="608"/>
      <c r="K61" s="608"/>
      <c r="L61" s="608"/>
      <c r="M61" s="608"/>
      <c r="N61" s="608"/>
      <c r="O61" s="608"/>
      <c r="P61" s="608"/>
    </row>
    <row r="62" spans="1:16">
      <c r="A62" s="610"/>
      <c r="B62" s="608"/>
      <c r="C62" s="608"/>
      <c r="D62" s="608"/>
      <c r="E62" s="608"/>
      <c r="F62" s="608"/>
      <c r="G62" s="608"/>
      <c r="H62" s="608"/>
      <c r="I62" s="608"/>
      <c r="J62" s="608"/>
      <c r="K62" s="608"/>
      <c r="L62" s="608"/>
      <c r="M62" s="608"/>
      <c r="N62" s="608"/>
      <c r="O62" s="608"/>
      <c r="P62" s="608"/>
    </row>
    <row r="63" spans="1:16">
      <c r="A63" s="610"/>
      <c r="B63" s="608"/>
      <c r="C63" s="608"/>
      <c r="D63" s="608"/>
      <c r="E63" s="608"/>
      <c r="F63" s="608"/>
      <c r="G63" s="608"/>
      <c r="H63" s="608"/>
      <c r="I63" s="608"/>
      <c r="J63" s="608"/>
      <c r="K63" s="608"/>
      <c r="L63" s="608"/>
      <c r="M63" s="608"/>
      <c r="N63" s="608"/>
      <c r="O63" s="608"/>
      <c r="P63" s="608"/>
    </row>
    <row r="64" spans="1:16">
      <c r="A64" s="610"/>
      <c r="B64" s="608"/>
      <c r="C64" s="608"/>
      <c r="D64" s="608"/>
      <c r="E64" s="608"/>
      <c r="F64" s="608"/>
      <c r="G64" s="608"/>
      <c r="H64" s="608"/>
      <c r="I64" s="608"/>
      <c r="J64" s="608"/>
      <c r="K64" s="608"/>
      <c r="L64" s="608"/>
      <c r="M64" s="608"/>
      <c r="N64" s="608"/>
      <c r="O64" s="608"/>
      <c r="P64" s="608"/>
    </row>
    <row r="65" spans="1:16">
      <c r="A65" s="610"/>
      <c r="B65" s="608"/>
      <c r="C65" s="608"/>
      <c r="D65" s="608"/>
      <c r="E65" s="608"/>
      <c r="F65" s="608"/>
      <c r="G65" s="608"/>
      <c r="H65" s="608"/>
      <c r="I65" s="608"/>
      <c r="J65" s="608"/>
      <c r="K65" s="608"/>
      <c r="L65" s="608"/>
      <c r="M65" s="608"/>
      <c r="N65" s="608"/>
      <c r="O65" s="608"/>
      <c r="P65" s="608"/>
    </row>
    <row r="66" spans="1:16">
      <c r="A66" s="610"/>
      <c r="B66" s="608"/>
      <c r="C66" s="608"/>
      <c r="D66" s="608"/>
      <c r="E66" s="608"/>
      <c r="F66" s="608"/>
      <c r="G66" s="608"/>
      <c r="H66" s="608"/>
      <c r="I66" s="608"/>
      <c r="J66" s="608"/>
      <c r="K66" s="608"/>
      <c r="L66" s="608"/>
      <c r="M66" s="608"/>
      <c r="N66" s="608"/>
      <c r="O66" s="608"/>
      <c r="P66" s="608"/>
    </row>
    <row r="67" spans="1:16">
      <c r="A67" s="610"/>
      <c r="B67" s="608"/>
      <c r="C67" s="608"/>
      <c r="D67" s="608"/>
      <c r="E67" s="608"/>
      <c r="F67" s="608"/>
      <c r="G67" s="608"/>
      <c r="H67" s="608"/>
      <c r="I67" s="608"/>
      <c r="J67" s="608"/>
      <c r="K67" s="608"/>
      <c r="L67" s="608"/>
      <c r="M67" s="608"/>
      <c r="N67" s="608"/>
      <c r="O67" s="608"/>
      <c r="P67" s="608"/>
    </row>
  </sheetData>
  <mergeCells count="24">
    <mergeCell ref="E20:H20"/>
    <mergeCell ref="C23:D23"/>
    <mergeCell ref="E23:H23"/>
    <mergeCell ref="C14:H14"/>
    <mergeCell ref="C15:E15"/>
    <mergeCell ref="C18:D18"/>
    <mergeCell ref="E18:H18"/>
    <mergeCell ref="E19:H19"/>
    <mergeCell ref="C53:I53"/>
    <mergeCell ref="C56:E56"/>
    <mergeCell ref="C46:E46"/>
    <mergeCell ref="B2:C2"/>
    <mergeCell ref="G2:H2"/>
    <mergeCell ref="C16:E16"/>
    <mergeCell ref="C31:D31"/>
    <mergeCell ref="F31:G31"/>
    <mergeCell ref="C25:D25"/>
    <mergeCell ref="E25:H25"/>
    <mergeCell ref="C29:D29"/>
    <mergeCell ref="F29:G29"/>
    <mergeCell ref="C30:D30"/>
    <mergeCell ref="F30:G30"/>
    <mergeCell ref="E24:H24"/>
    <mergeCell ref="C20:D20"/>
  </mergeCells>
  <dataValidations count="18">
    <dataValidation type="list" operator="lessThanOrEqual" showInputMessage="1" showErrorMessage="1" sqref="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"ACT,Qld,NSW,Vic,Tas,SA"</formula1>
    </dataValidation>
    <dataValidation type="textLength" operator="greaterThan" showInputMessage="1" showErrorMessage="1" sqref="WVM983060:WVP983060 E786452:H786452 JA786452:JD786452 SW786452:SZ786452 ACS786452:ACV786452 AMO786452:AMR786452 AWK786452:AWN786452 BGG786452:BGJ786452 BQC786452:BQF786452 BZY786452:CAB786452 CJU786452:CJX786452 CTQ786452:CTT786452 DDM786452:DDP786452 DNI786452:DNL786452 DXE786452:DXH786452 EHA786452:EHD786452 EQW786452:EQZ786452 FAS786452:FAV786452 FKO786452:FKR786452 FUK786452:FUN786452 GEG786452:GEJ786452 GOC786452:GOF786452 GXY786452:GYB786452 HHU786452:HHX786452 HRQ786452:HRT786452 IBM786452:IBP786452 ILI786452:ILL786452 IVE786452:IVH786452 JFA786452:JFD786452 JOW786452:JOZ786452 JYS786452:JYV786452 KIO786452:KIR786452 KSK786452:KSN786452 LCG786452:LCJ786452 LMC786452:LMF786452 LVY786452:LWB786452 MFU786452:MFX786452 MPQ786452:MPT786452 MZM786452:MZP786452 NJI786452:NJL786452 NTE786452:NTH786452 ODA786452:ODD786452 OMW786452:OMZ786452 OWS786452:OWV786452 PGO786452:PGR786452 PQK786452:PQN786452 QAG786452:QAJ786452 QKC786452:QKF786452 QTY786452:QUB786452 RDU786452:RDX786452 RNQ786452:RNT786452 RXM786452:RXP786452 SHI786452:SHL786452 SRE786452:SRH786452 TBA786452:TBD786452 TKW786452:TKZ786452 TUS786452:TUV786452 UEO786452:UER786452 UOK786452:UON786452 UYG786452:UYJ786452 VIC786452:VIF786452 VRY786452:VSB786452 WBU786452:WBX786452 WLQ786452:WLT786452 E65553:H65553 JA65553:JD65553 SW65553:SZ65553 ACS65553:ACV65553 AMO65553:AMR65553 AWK65553:AWN65553 BGG65553:BGJ65553 BQC65553:BQF65553 BZY65553:CAB65553 CJU65553:CJX65553 CTQ65553:CTT65553 DDM65553:DDP65553 DNI65553:DNL65553 DXE65553:DXH65553 EHA65553:EHD65553 EQW65553:EQZ65553 FAS65553:FAV65553 FKO65553:FKR65553 FUK65553:FUN65553 GEG65553:GEJ65553 GOC65553:GOF65553 GXY65553:GYB65553 HHU65553:HHX65553 HRQ65553:HRT65553 IBM65553:IBP65553 ILI65553:ILL65553 IVE65553:IVH65553 JFA65553:JFD65553 JOW65553:JOZ65553 JYS65553:JYV65553 KIO65553:KIR65553 KSK65553:KSN65553 LCG65553:LCJ65553 LMC65553:LMF65553 LVY65553:LWB65553 MFU65553:MFX65553 MPQ65553:MPT65553 MZM65553:MZP65553 NJI65553:NJL65553 NTE65553:NTH65553 ODA65553:ODD65553 OMW65553:OMZ65553 OWS65553:OWV65553 PGO65553:PGR65553 PQK65553:PQN65553 QAG65553:QAJ65553 QKC65553:QKF65553 QTY65553:QUB65553 RDU65553:RDX65553 RNQ65553:RNT65553 RXM65553:RXP65553 SHI65553:SHL65553 SRE65553:SRH65553 TBA65553:TBD65553 TKW65553:TKZ65553 TUS65553:TUV65553 UEO65553:UER65553 UOK65553:UON65553 UYG65553:UYJ65553 VIC65553:VIF65553 VRY65553:VSB65553 WBU65553:WBX65553 WLQ65553:WLT65553 WVM65553:WVP65553 E131089:H131089 JA131089:JD131089 SW131089:SZ131089 ACS131089:ACV131089 AMO131089:AMR131089 AWK131089:AWN131089 BGG131089:BGJ131089 BQC131089:BQF131089 BZY131089:CAB131089 CJU131089:CJX131089 CTQ131089:CTT131089 DDM131089:DDP131089 DNI131089:DNL131089 DXE131089:DXH131089 EHA131089:EHD131089 EQW131089:EQZ131089 FAS131089:FAV131089 FKO131089:FKR131089 FUK131089:FUN131089 GEG131089:GEJ131089 GOC131089:GOF131089 GXY131089:GYB131089 HHU131089:HHX131089 HRQ131089:HRT131089 IBM131089:IBP131089 ILI131089:ILL131089 IVE131089:IVH131089 JFA131089:JFD131089 JOW131089:JOZ131089 JYS131089:JYV131089 KIO131089:KIR131089 KSK131089:KSN131089 LCG131089:LCJ131089 LMC131089:LMF131089 LVY131089:LWB131089 MFU131089:MFX131089 MPQ131089:MPT131089 MZM131089:MZP131089 NJI131089:NJL131089 NTE131089:NTH131089 ODA131089:ODD131089 OMW131089:OMZ131089 OWS131089:OWV131089 PGO131089:PGR131089 PQK131089:PQN131089 QAG131089:QAJ131089 QKC131089:QKF131089 QTY131089:QUB131089 RDU131089:RDX131089 RNQ131089:RNT131089 RXM131089:RXP131089 SHI131089:SHL131089 SRE131089:SRH131089 TBA131089:TBD131089 TKW131089:TKZ131089 TUS131089:TUV131089 UEO131089:UER131089 UOK131089:UON131089 UYG131089:UYJ131089 VIC131089:VIF131089 VRY131089:VSB131089 WBU131089:WBX131089 WLQ131089:WLT131089 WVM131089:WVP131089 E196625:H196625 JA196625:JD196625 SW196625:SZ196625 ACS196625:ACV196625 AMO196625:AMR196625 AWK196625:AWN196625 BGG196625:BGJ196625 BQC196625:BQF196625 BZY196625:CAB196625 CJU196625:CJX196625 CTQ196625:CTT196625 DDM196625:DDP196625 DNI196625:DNL196625 DXE196625:DXH196625 EHA196625:EHD196625 EQW196625:EQZ196625 FAS196625:FAV196625 FKO196625:FKR196625 FUK196625:FUN196625 GEG196625:GEJ196625 GOC196625:GOF196625 GXY196625:GYB196625 HHU196625:HHX196625 HRQ196625:HRT196625 IBM196625:IBP196625 ILI196625:ILL196625 IVE196625:IVH196625 JFA196625:JFD196625 JOW196625:JOZ196625 JYS196625:JYV196625 KIO196625:KIR196625 KSK196625:KSN196625 LCG196625:LCJ196625 LMC196625:LMF196625 LVY196625:LWB196625 MFU196625:MFX196625 MPQ196625:MPT196625 MZM196625:MZP196625 NJI196625:NJL196625 NTE196625:NTH196625 ODA196625:ODD196625 OMW196625:OMZ196625 OWS196625:OWV196625 PGO196625:PGR196625 PQK196625:PQN196625 QAG196625:QAJ196625 QKC196625:QKF196625 QTY196625:QUB196625 RDU196625:RDX196625 RNQ196625:RNT196625 RXM196625:RXP196625 SHI196625:SHL196625 SRE196625:SRH196625 TBA196625:TBD196625 TKW196625:TKZ196625 TUS196625:TUV196625 UEO196625:UER196625 UOK196625:UON196625 UYG196625:UYJ196625 VIC196625:VIF196625 VRY196625:VSB196625 WBU196625:WBX196625 WLQ196625:WLT196625 WVM196625:WVP196625 E262161:H262161 JA262161:JD262161 SW262161:SZ262161 ACS262161:ACV262161 AMO262161:AMR262161 AWK262161:AWN262161 BGG262161:BGJ262161 BQC262161:BQF262161 BZY262161:CAB262161 CJU262161:CJX262161 CTQ262161:CTT262161 DDM262161:DDP262161 DNI262161:DNL262161 DXE262161:DXH262161 EHA262161:EHD262161 EQW262161:EQZ262161 FAS262161:FAV262161 FKO262161:FKR262161 FUK262161:FUN262161 GEG262161:GEJ262161 GOC262161:GOF262161 GXY262161:GYB262161 HHU262161:HHX262161 HRQ262161:HRT262161 IBM262161:IBP262161 ILI262161:ILL262161 IVE262161:IVH262161 JFA262161:JFD262161 JOW262161:JOZ262161 JYS262161:JYV262161 KIO262161:KIR262161 KSK262161:KSN262161 LCG262161:LCJ262161 LMC262161:LMF262161 LVY262161:LWB262161 MFU262161:MFX262161 MPQ262161:MPT262161 MZM262161:MZP262161 NJI262161:NJL262161 NTE262161:NTH262161 ODA262161:ODD262161 OMW262161:OMZ262161 OWS262161:OWV262161 PGO262161:PGR262161 PQK262161:PQN262161 QAG262161:QAJ262161 QKC262161:QKF262161 QTY262161:QUB262161 RDU262161:RDX262161 RNQ262161:RNT262161 RXM262161:RXP262161 SHI262161:SHL262161 SRE262161:SRH262161 TBA262161:TBD262161 TKW262161:TKZ262161 TUS262161:TUV262161 UEO262161:UER262161 UOK262161:UON262161 UYG262161:UYJ262161 VIC262161:VIF262161 VRY262161:VSB262161 WBU262161:WBX262161 WLQ262161:WLT262161 WVM262161:WVP262161 E327697:H327697 JA327697:JD327697 SW327697:SZ327697 ACS327697:ACV327697 AMO327697:AMR327697 AWK327697:AWN327697 BGG327697:BGJ327697 BQC327697:BQF327697 BZY327697:CAB327697 CJU327697:CJX327697 CTQ327697:CTT327697 DDM327697:DDP327697 DNI327697:DNL327697 DXE327697:DXH327697 EHA327697:EHD327697 EQW327697:EQZ327697 FAS327697:FAV327697 FKO327697:FKR327697 FUK327697:FUN327697 GEG327697:GEJ327697 GOC327697:GOF327697 GXY327697:GYB327697 HHU327697:HHX327697 HRQ327697:HRT327697 IBM327697:IBP327697 ILI327697:ILL327697 IVE327697:IVH327697 JFA327697:JFD327697 JOW327697:JOZ327697 JYS327697:JYV327697 KIO327697:KIR327697 KSK327697:KSN327697 LCG327697:LCJ327697 LMC327697:LMF327697 LVY327697:LWB327697 MFU327697:MFX327697 MPQ327697:MPT327697 MZM327697:MZP327697 NJI327697:NJL327697 NTE327697:NTH327697 ODA327697:ODD327697 OMW327697:OMZ327697 OWS327697:OWV327697 PGO327697:PGR327697 PQK327697:PQN327697 QAG327697:QAJ327697 QKC327697:QKF327697 QTY327697:QUB327697 RDU327697:RDX327697 RNQ327697:RNT327697 RXM327697:RXP327697 SHI327697:SHL327697 SRE327697:SRH327697 TBA327697:TBD327697 TKW327697:TKZ327697 TUS327697:TUV327697 UEO327697:UER327697 UOK327697:UON327697 UYG327697:UYJ327697 VIC327697:VIF327697 VRY327697:VSB327697 WBU327697:WBX327697 WLQ327697:WLT327697 WVM327697:WVP327697 E393233:H393233 JA393233:JD393233 SW393233:SZ393233 ACS393233:ACV393233 AMO393233:AMR393233 AWK393233:AWN393233 BGG393233:BGJ393233 BQC393233:BQF393233 BZY393233:CAB393233 CJU393233:CJX393233 CTQ393233:CTT393233 DDM393233:DDP393233 DNI393233:DNL393233 DXE393233:DXH393233 EHA393233:EHD393233 EQW393233:EQZ393233 FAS393233:FAV393233 FKO393233:FKR393233 FUK393233:FUN393233 GEG393233:GEJ393233 GOC393233:GOF393233 GXY393233:GYB393233 HHU393233:HHX393233 HRQ393233:HRT393233 IBM393233:IBP393233 ILI393233:ILL393233 IVE393233:IVH393233 JFA393233:JFD393233 JOW393233:JOZ393233 JYS393233:JYV393233 KIO393233:KIR393233 KSK393233:KSN393233 LCG393233:LCJ393233 LMC393233:LMF393233 LVY393233:LWB393233 MFU393233:MFX393233 MPQ393233:MPT393233 MZM393233:MZP393233 NJI393233:NJL393233 NTE393233:NTH393233 ODA393233:ODD393233 OMW393233:OMZ393233 OWS393233:OWV393233 PGO393233:PGR393233 PQK393233:PQN393233 QAG393233:QAJ393233 QKC393233:QKF393233 QTY393233:QUB393233 RDU393233:RDX393233 RNQ393233:RNT393233 RXM393233:RXP393233 SHI393233:SHL393233 SRE393233:SRH393233 TBA393233:TBD393233 TKW393233:TKZ393233 TUS393233:TUV393233 UEO393233:UER393233 UOK393233:UON393233 UYG393233:UYJ393233 VIC393233:VIF393233 VRY393233:VSB393233 WBU393233:WBX393233 WLQ393233:WLT393233 WVM393233:WVP393233 E458769:H458769 JA458769:JD458769 SW458769:SZ458769 ACS458769:ACV458769 AMO458769:AMR458769 AWK458769:AWN458769 BGG458769:BGJ458769 BQC458769:BQF458769 BZY458769:CAB458769 CJU458769:CJX458769 CTQ458769:CTT458769 DDM458769:DDP458769 DNI458769:DNL458769 DXE458769:DXH458769 EHA458769:EHD458769 EQW458769:EQZ458769 FAS458769:FAV458769 FKO458769:FKR458769 FUK458769:FUN458769 GEG458769:GEJ458769 GOC458769:GOF458769 GXY458769:GYB458769 HHU458769:HHX458769 HRQ458769:HRT458769 IBM458769:IBP458769 ILI458769:ILL458769 IVE458769:IVH458769 JFA458769:JFD458769 JOW458769:JOZ458769 JYS458769:JYV458769 KIO458769:KIR458769 KSK458769:KSN458769 LCG458769:LCJ458769 LMC458769:LMF458769 LVY458769:LWB458769 MFU458769:MFX458769 MPQ458769:MPT458769 MZM458769:MZP458769 NJI458769:NJL458769 NTE458769:NTH458769 ODA458769:ODD458769 OMW458769:OMZ458769 OWS458769:OWV458769 PGO458769:PGR458769 PQK458769:PQN458769 QAG458769:QAJ458769 QKC458769:QKF458769 QTY458769:QUB458769 RDU458769:RDX458769 RNQ458769:RNT458769 RXM458769:RXP458769 SHI458769:SHL458769 SRE458769:SRH458769 TBA458769:TBD458769 TKW458769:TKZ458769 TUS458769:TUV458769 UEO458769:UER458769 UOK458769:UON458769 UYG458769:UYJ458769 VIC458769:VIF458769 VRY458769:VSB458769 WBU458769:WBX458769 WLQ458769:WLT458769 WVM458769:WVP458769 E524305:H524305 JA524305:JD524305 SW524305:SZ524305 ACS524305:ACV524305 AMO524305:AMR524305 AWK524305:AWN524305 BGG524305:BGJ524305 BQC524305:BQF524305 BZY524305:CAB524305 CJU524305:CJX524305 CTQ524305:CTT524305 DDM524305:DDP524305 DNI524305:DNL524305 DXE524305:DXH524305 EHA524305:EHD524305 EQW524305:EQZ524305 FAS524305:FAV524305 FKO524305:FKR524305 FUK524305:FUN524305 GEG524305:GEJ524305 GOC524305:GOF524305 GXY524305:GYB524305 HHU524305:HHX524305 HRQ524305:HRT524305 IBM524305:IBP524305 ILI524305:ILL524305 IVE524305:IVH524305 JFA524305:JFD524305 JOW524305:JOZ524305 JYS524305:JYV524305 KIO524305:KIR524305 KSK524305:KSN524305 LCG524305:LCJ524305 LMC524305:LMF524305 LVY524305:LWB524305 MFU524305:MFX524305 MPQ524305:MPT524305 MZM524305:MZP524305 NJI524305:NJL524305 NTE524305:NTH524305 ODA524305:ODD524305 OMW524305:OMZ524305 OWS524305:OWV524305 PGO524305:PGR524305 PQK524305:PQN524305 QAG524305:QAJ524305 QKC524305:QKF524305 QTY524305:QUB524305 RDU524305:RDX524305 RNQ524305:RNT524305 RXM524305:RXP524305 SHI524305:SHL524305 SRE524305:SRH524305 TBA524305:TBD524305 TKW524305:TKZ524305 TUS524305:TUV524305 UEO524305:UER524305 UOK524305:UON524305 UYG524305:UYJ524305 VIC524305:VIF524305 VRY524305:VSB524305 WBU524305:WBX524305 WLQ524305:WLT524305 WVM524305:WVP524305 E589841:H589841 JA589841:JD589841 SW589841:SZ589841 ACS589841:ACV589841 AMO589841:AMR589841 AWK589841:AWN589841 BGG589841:BGJ589841 BQC589841:BQF589841 BZY589841:CAB589841 CJU589841:CJX589841 CTQ589841:CTT589841 DDM589841:DDP589841 DNI589841:DNL589841 DXE589841:DXH589841 EHA589841:EHD589841 EQW589841:EQZ589841 FAS589841:FAV589841 FKO589841:FKR589841 FUK589841:FUN589841 GEG589841:GEJ589841 GOC589841:GOF589841 GXY589841:GYB589841 HHU589841:HHX589841 HRQ589841:HRT589841 IBM589841:IBP589841 ILI589841:ILL589841 IVE589841:IVH589841 JFA589841:JFD589841 JOW589841:JOZ589841 JYS589841:JYV589841 KIO589841:KIR589841 KSK589841:KSN589841 LCG589841:LCJ589841 LMC589841:LMF589841 LVY589841:LWB589841 MFU589841:MFX589841 MPQ589841:MPT589841 MZM589841:MZP589841 NJI589841:NJL589841 NTE589841:NTH589841 ODA589841:ODD589841 OMW589841:OMZ589841 OWS589841:OWV589841 PGO589841:PGR589841 PQK589841:PQN589841 QAG589841:QAJ589841 QKC589841:QKF589841 QTY589841:QUB589841 RDU589841:RDX589841 RNQ589841:RNT589841 RXM589841:RXP589841 SHI589841:SHL589841 SRE589841:SRH589841 TBA589841:TBD589841 TKW589841:TKZ589841 TUS589841:TUV589841 UEO589841:UER589841 UOK589841:UON589841 UYG589841:UYJ589841 VIC589841:VIF589841 VRY589841:VSB589841 WBU589841:WBX589841 WLQ589841:WLT589841 WVM589841:WVP589841 E655377:H655377 JA655377:JD655377 SW655377:SZ655377 ACS655377:ACV655377 AMO655377:AMR655377 AWK655377:AWN655377 BGG655377:BGJ655377 BQC655377:BQF655377 BZY655377:CAB655377 CJU655377:CJX655377 CTQ655377:CTT655377 DDM655377:DDP655377 DNI655377:DNL655377 DXE655377:DXH655377 EHA655377:EHD655377 EQW655377:EQZ655377 FAS655377:FAV655377 FKO655377:FKR655377 FUK655377:FUN655377 GEG655377:GEJ655377 GOC655377:GOF655377 GXY655377:GYB655377 HHU655377:HHX655377 HRQ655377:HRT655377 IBM655377:IBP655377 ILI655377:ILL655377 IVE655377:IVH655377 JFA655377:JFD655377 JOW655377:JOZ655377 JYS655377:JYV655377 KIO655377:KIR655377 KSK655377:KSN655377 LCG655377:LCJ655377 LMC655377:LMF655377 LVY655377:LWB655377 MFU655377:MFX655377 MPQ655377:MPT655377 MZM655377:MZP655377 NJI655377:NJL655377 NTE655377:NTH655377 ODA655377:ODD655377 OMW655377:OMZ655377 OWS655377:OWV655377 PGO655377:PGR655377 PQK655377:PQN655377 QAG655377:QAJ655377 QKC655377:QKF655377 QTY655377:QUB655377 RDU655377:RDX655377 RNQ655377:RNT655377 RXM655377:RXP655377 SHI655377:SHL655377 SRE655377:SRH655377 TBA655377:TBD655377 TKW655377:TKZ655377 TUS655377:TUV655377 UEO655377:UER655377 UOK655377:UON655377 UYG655377:UYJ655377 VIC655377:VIF655377 VRY655377:VSB655377 WBU655377:WBX655377 WLQ655377:WLT655377 WVM655377:WVP655377 E720913:H720913 JA720913:JD720913 SW720913:SZ720913 ACS720913:ACV720913 AMO720913:AMR720913 AWK720913:AWN720913 BGG720913:BGJ720913 BQC720913:BQF720913 BZY720913:CAB720913 CJU720913:CJX720913 CTQ720913:CTT720913 DDM720913:DDP720913 DNI720913:DNL720913 DXE720913:DXH720913 EHA720913:EHD720913 EQW720913:EQZ720913 FAS720913:FAV720913 FKO720913:FKR720913 FUK720913:FUN720913 GEG720913:GEJ720913 GOC720913:GOF720913 GXY720913:GYB720913 HHU720913:HHX720913 HRQ720913:HRT720913 IBM720913:IBP720913 ILI720913:ILL720913 IVE720913:IVH720913 JFA720913:JFD720913 JOW720913:JOZ720913 JYS720913:JYV720913 KIO720913:KIR720913 KSK720913:KSN720913 LCG720913:LCJ720913 LMC720913:LMF720913 LVY720913:LWB720913 MFU720913:MFX720913 MPQ720913:MPT720913 MZM720913:MZP720913 NJI720913:NJL720913 NTE720913:NTH720913 ODA720913:ODD720913 OMW720913:OMZ720913 OWS720913:OWV720913 PGO720913:PGR720913 PQK720913:PQN720913 QAG720913:QAJ720913 QKC720913:QKF720913 QTY720913:QUB720913 RDU720913:RDX720913 RNQ720913:RNT720913 RXM720913:RXP720913 SHI720913:SHL720913 SRE720913:SRH720913 TBA720913:TBD720913 TKW720913:TKZ720913 TUS720913:TUV720913 UEO720913:UER720913 UOK720913:UON720913 UYG720913:UYJ720913 VIC720913:VIF720913 VRY720913:VSB720913 WBU720913:WBX720913 WLQ720913:WLT720913 WVM720913:WVP720913 E786449:H786449 JA786449:JD786449 SW786449:SZ786449 ACS786449:ACV786449 AMO786449:AMR786449 AWK786449:AWN786449 BGG786449:BGJ786449 BQC786449:BQF786449 BZY786449:CAB786449 CJU786449:CJX786449 CTQ786449:CTT786449 DDM786449:DDP786449 DNI786449:DNL786449 DXE786449:DXH786449 EHA786449:EHD786449 EQW786449:EQZ786449 FAS786449:FAV786449 FKO786449:FKR786449 FUK786449:FUN786449 GEG786449:GEJ786449 GOC786449:GOF786449 GXY786449:GYB786449 HHU786449:HHX786449 HRQ786449:HRT786449 IBM786449:IBP786449 ILI786449:ILL786449 IVE786449:IVH786449 JFA786449:JFD786449 JOW786449:JOZ786449 JYS786449:JYV786449 KIO786449:KIR786449 KSK786449:KSN786449 LCG786449:LCJ786449 LMC786449:LMF786449 LVY786449:LWB786449 MFU786449:MFX786449 MPQ786449:MPT786449 MZM786449:MZP786449 NJI786449:NJL786449 NTE786449:NTH786449 ODA786449:ODD786449 OMW786449:OMZ786449 OWS786449:OWV786449 PGO786449:PGR786449 PQK786449:PQN786449 QAG786449:QAJ786449 QKC786449:QKF786449 QTY786449:QUB786449 RDU786449:RDX786449 RNQ786449:RNT786449 RXM786449:RXP786449 SHI786449:SHL786449 SRE786449:SRH786449 TBA786449:TBD786449 TKW786449:TKZ786449 TUS786449:TUV786449 UEO786449:UER786449 UOK786449:UON786449 UYG786449:UYJ786449 VIC786449:VIF786449 VRY786449:VSB786449 WBU786449:WBX786449 WLQ786449:WLT786449 WVM786449:WVP786449 E851985:H851985 JA851985:JD851985 SW851985:SZ851985 ACS851985:ACV851985 AMO851985:AMR851985 AWK851985:AWN851985 BGG851985:BGJ851985 BQC851985:BQF851985 BZY851985:CAB851985 CJU851985:CJX851985 CTQ851985:CTT851985 DDM851985:DDP851985 DNI851985:DNL851985 DXE851985:DXH851985 EHA851985:EHD851985 EQW851985:EQZ851985 FAS851985:FAV851985 FKO851985:FKR851985 FUK851985:FUN851985 GEG851985:GEJ851985 GOC851985:GOF851985 GXY851985:GYB851985 HHU851985:HHX851985 HRQ851985:HRT851985 IBM851985:IBP851985 ILI851985:ILL851985 IVE851985:IVH851985 JFA851985:JFD851985 JOW851985:JOZ851985 JYS851985:JYV851985 KIO851985:KIR851985 KSK851985:KSN851985 LCG851985:LCJ851985 LMC851985:LMF851985 LVY851985:LWB851985 MFU851985:MFX851985 MPQ851985:MPT851985 MZM851985:MZP851985 NJI851985:NJL851985 NTE851985:NTH851985 ODA851985:ODD851985 OMW851985:OMZ851985 OWS851985:OWV851985 PGO851985:PGR851985 PQK851985:PQN851985 QAG851985:QAJ851985 QKC851985:QKF851985 QTY851985:QUB851985 RDU851985:RDX851985 RNQ851985:RNT851985 RXM851985:RXP851985 SHI851985:SHL851985 SRE851985:SRH851985 TBA851985:TBD851985 TKW851985:TKZ851985 TUS851985:TUV851985 UEO851985:UER851985 UOK851985:UON851985 UYG851985:UYJ851985 VIC851985:VIF851985 VRY851985:VSB851985 WBU851985:WBX851985 WLQ851985:WLT851985 WVM851985:WVP851985 E917521:H917521 JA917521:JD917521 SW917521:SZ917521 ACS917521:ACV917521 AMO917521:AMR917521 AWK917521:AWN917521 BGG917521:BGJ917521 BQC917521:BQF917521 BZY917521:CAB917521 CJU917521:CJX917521 CTQ917521:CTT917521 DDM917521:DDP917521 DNI917521:DNL917521 DXE917521:DXH917521 EHA917521:EHD917521 EQW917521:EQZ917521 FAS917521:FAV917521 FKO917521:FKR917521 FUK917521:FUN917521 GEG917521:GEJ917521 GOC917521:GOF917521 GXY917521:GYB917521 HHU917521:HHX917521 HRQ917521:HRT917521 IBM917521:IBP917521 ILI917521:ILL917521 IVE917521:IVH917521 JFA917521:JFD917521 JOW917521:JOZ917521 JYS917521:JYV917521 KIO917521:KIR917521 KSK917521:KSN917521 LCG917521:LCJ917521 LMC917521:LMF917521 LVY917521:LWB917521 MFU917521:MFX917521 MPQ917521:MPT917521 MZM917521:MZP917521 NJI917521:NJL917521 NTE917521:NTH917521 ODA917521:ODD917521 OMW917521:OMZ917521 OWS917521:OWV917521 PGO917521:PGR917521 PQK917521:PQN917521 QAG917521:QAJ917521 QKC917521:QKF917521 QTY917521:QUB917521 RDU917521:RDX917521 RNQ917521:RNT917521 RXM917521:RXP917521 SHI917521:SHL917521 SRE917521:SRH917521 TBA917521:TBD917521 TKW917521:TKZ917521 TUS917521:TUV917521 UEO917521:UER917521 UOK917521:UON917521 UYG917521:UYJ917521 VIC917521:VIF917521 VRY917521:VSB917521 WBU917521:WBX917521 WLQ917521:WLT917521 WVM917521:WVP917521 E983057:H983057 JA983057:JD983057 SW983057:SZ983057 ACS983057:ACV983057 AMO983057:AMR983057 AWK983057:AWN983057 BGG983057:BGJ983057 BQC983057:BQF983057 BZY983057:CAB983057 CJU983057:CJX983057 CTQ983057:CTT983057 DDM983057:DDP983057 DNI983057:DNL983057 DXE983057:DXH983057 EHA983057:EHD983057 EQW983057:EQZ983057 FAS983057:FAV983057 FKO983057:FKR983057 FUK983057:FUN983057 GEG983057:GEJ983057 GOC983057:GOF983057 GXY983057:GYB983057 HHU983057:HHX983057 HRQ983057:HRT983057 IBM983057:IBP983057 ILI983057:ILL983057 IVE983057:IVH983057 JFA983057:JFD983057 JOW983057:JOZ983057 JYS983057:JYV983057 KIO983057:KIR983057 KSK983057:KSN983057 LCG983057:LCJ983057 LMC983057:LMF983057 LVY983057:LWB983057 MFU983057:MFX983057 MPQ983057:MPT983057 MZM983057:MZP983057 NJI983057:NJL983057 NTE983057:NTH983057 ODA983057:ODD983057 OMW983057:OMZ983057 OWS983057:OWV983057 PGO983057:PGR983057 PQK983057:PQN983057 QAG983057:QAJ983057 QKC983057:QKF983057 QTY983057:QUB983057 RDU983057:RDX983057 RNQ983057:RNT983057 RXM983057:RXP983057 SHI983057:SHL983057 SRE983057:SRH983057 TBA983057:TBD983057 TKW983057:TKZ983057 TUS983057:TUV983057 UEO983057:UER983057 UOK983057:UON983057 UYG983057:UYJ983057 VIC983057:VIF983057 VRY983057:VSB983057 WBU983057:WBX983057 WLQ983057:WLT983057 WVM983057:WVP983057 WVM786452:WVP786452 E851988:H851988 JA851988:JD851988 SW851988:SZ851988 ACS851988:ACV851988 AMO851988:AMR851988 AWK851988:AWN851988 BGG851988:BGJ851988 BQC851988:BQF851988 BZY851988:CAB851988 CJU851988:CJX851988 CTQ851988:CTT851988 DDM851988:DDP851988 DNI851988:DNL851988 DXE851988:DXH851988 EHA851988:EHD851988 EQW851988:EQZ851988 FAS851988:FAV851988 FKO851988:FKR851988 FUK851988:FUN851988 GEG851988:GEJ851988 GOC851988:GOF851988 GXY851988:GYB851988 HHU851988:HHX851988 HRQ851988:HRT851988 IBM851988:IBP851988 ILI851988:ILL851988 IVE851988:IVH851988 JFA851988:JFD851988 JOW851988:JOZ851988 JYS851988:JYV851988 KIO851988:KIR851988 KSK851988:KSN851988 LCG851988:LCJ851988 LMC851988:LMF851988 LVY851988:LWB851988 MFU851988:MFX851988 MPQ851988:MPT851988 MZM851988:MZP851988 NJI851988:NJL851988 NTE851988:NTH851988 ODA851988:ODD851988 OMW851988:OMZ851988 OWS851988:OWV851988 PGO851988:PGR851988 PQK851988:PQN851988 QAG851988:QAJ851988 QKC851988:QKF851988 QTY851988:QUB851988 RDU851988:RDX851988 RNQ851988:RNT851988 RXM851988:RXP851988 SHI851988:SHL851988 SRE851988:SRH851988 TBA851988:TBD851988 TKW851988:TKZ851988 TUS851988:TUV851988 UEO851988:UER851988 UOK851988:UON851988 UYG851988:UYJ851988 VIC851988:VIF851988 VRY851988:VSB851988 WBU851988:WBX851988 WLQ851988:WLT851988 E65551:H65551 JA65551:JD65551 SW65551:SZ65551 ACS65551:ACV65551 AMO65551:AMR65551 AWK65551:AWN65551 BGG65551:BGJ65551 BQC65551:BQF65551 BZY65551:CAB65551 CJU65551:CJX65551 CTQ65551:CTT65551 DDM65551:DDP65551 DNI65551:DNL65551 DXE65551:DXH65551 EHA65551:EHD65551 EQW65551:EQZ65551 FAS65551:FAV65551 FKO65551:FKR65551 FUK65551:FUN65551 GEG65551:GEJ65551 GOC65551:GOF65551 GXY65551:GYB65551 HHU65551:HHX65551 HRQ65551:HRT65551 IBM65551:IBP65551 ILI65551:ILL65551 IVE65551:IVH65551 JFA65551:JFD65551 JOW65551:JOZ65551 JYS65551:JYV65551 KIO65551:KIR65551 KSK65551:KSN65551 LCG65551:LCJ65551 LMC65551:LMF65551 LVY65551:LWB65551 MFU65551:MFX65551 MPQ65551:MPT65551 MZM65551:MZP65551 NJI65551:NJL65551 NTE65551:NTH65551 ODA65551:ODD65551 OMW65551:OMZ65551 OWS65551:OWV65551 PGO65551:PGR65551 PQK65551:PQN65551 QAG65551:QAJ65551 QKC65551:QKF65551 QTY65551:QUB65551 RDU65551:RDX65551 RNQ65551:RNT65551 RXM65551:RXP65551 SHI65551:SHL65551 SRE65551:SRH65551 TBA65551:TBD65551 TKW65551:TKZ65551 TUS65551:TUV65551 UEO65551:UER65551 UOK65551:UON65551 UYG65551:UYJ65551 VIC65551:VIF65551 VRY65551:VSB65551 WBU65551:WBX65551 WLQ65551:WLT65551 WVM65551:WVP65551 E131087:H131087 JA131087:JD131087 SW131087:SZ131087 ACS131087:ACV131087 AMO131087:AMR131087 AWK131087:AWN131087 BGG131087:BGJ131087 BQC131087:BQF131087 BZY131087:CAB131087 CJU131087:CJX131087 CTQ131087:CTT131087 DDM131087:DDP131087 DNI131087:DNL131087 DXE131087:DXH131087 EHA131087:EHD131087 EQW131087:EQZ131087 FAS131087:FAV131087 FKO131087:FKR131087 FUK131087:FUN131087 GEG131087:GEJ131087 GOC131087:GOF131087 GXY131087:GYB131087 HHU131087:HHX131087 HRQ131087:HRT131087 IBM131087:IBP131087 ILI131087:ILL131087 IVE131087:IVH131087 JFA131087:JFD131087 JOW131087:JOZ131087 JYS131087:JYV131087 KIO131087:KIR131087 KSK131087:KSN131087 LCG131087:LCJ131087 LMC131087:LMF131087 LVY131087:LWB131087 MFU131087:MFX131087 MPQ131087:MPT131087 MZM131087:MZP131087 NJI131087:NJL131087 NTE131087:NTH131087 ODA131087:ODD131087 OMW131087:OMZ131087 OWS131087:OWV131087 PGO131087:PGR131087 PQK131087:PQN131087 QAG131087:QAJ131087 QKC131087:QKF131087 QTY131087:QUB131087 RDU131087:RDX131087 RNQ131087:RNT131087 RXM131087:RXP131087 SHI131087:SHL131087 SRE131087:SRH131087 TBA131087:TBD131087 TKW131087:TKZ131087 TUS131087:TUV131087 UEO131087:UER131087 UOK131087:UON131087 UYG131087:UYJ131087 VIC131087:VIF131087 VRY131087:VSB131087 WBU131087:WBX131087 WLQ131087:WLT131087 WVM131087:WVP131087 E196623:H196623 JA196623:JD196623 SW196623:SZ196623 ACS196623:ACV196623 AMO196623:AMR196623 AWK196623:AWN196623 BGG196623:BGJ196623 BQC196623:BQF196623 BZY196623:CAB196623 CJU196623:CJX196623 CTQ196623:CTT196623 DDM196623:DDP196623 DNI196623:DNL196623 DXE196623:DXH196623 EHA196623:EHD196623 EQW196623:EQZ196623 FAS196623:FAV196623 FKO196623:FKR196623 FUK196623:FUN196623 GEG196623:GEJ196623 GOC196623:GOF196623 GXY196623:GYB196623 HHU196623:HHX196623 HRQ196623:HRT196623 IBM196623:IBP196623 ILI196623:ILL196623 IVE196623:IVH196623 JFA196623:JFD196623 JOW196623:JOZ196623 JYS196623:JYV196623 KIO196623:KIR196623 KSK196623:KSN196623 LCG196623:LCJ196623 LMC196623:LMF196623 LVY196623:LWB196623 MFU196623:MFX196623 MPQ196623:MPT196623 MZM196623:MZP196623 NJI196623:NJL196623 NTE196623:NTH196623 ODA196623:ODD196623 OMW196623:OMZ196623 OWS196623:OWV196623 PGO196623:PGR196623 PQK196623:PQN196623 QAG196623:QAJ196623 QKC196623:QKF196623 QTY196623:QUB196623 RDU196623:RDX196623 RNQ196623:RNT196623 RXM196623:RXP196623 SHI196623:SHL196623 SRE196623:SRH196623 TBA196623:TBD196623 TKW196623:TKZ196623 TUS196623:TUV196623 UEO196623:UER196623 UOK196623:UON196623 UYG196623:UYJ196623 VIC196623:VIF196623 VRY196623:VSB196623 WBU196623:WBX196623 WLQ196623:WLT196623 WVM196623:WVP196623 E262159:H262159 JA262159:JD262159 SW262159:SZ262159 ACS262159:ACV262159 AMO262159:AMR262159 AWK262159:AWN262159 BGG262159:BGJ262159 BQC262159:BQF262159 BZY262159:CAB262159 CJU262159:CJX262159 CTQ262159:CTT262159 DDM262159:DDP262159 DNI262159:DNL262159 DXE262159:DXH262159 EHA262159:EHD262159 EQW262159:EQZ262159 FAS262159:FAV262159 FKO262159:FKR262159 FUK262159:FUN262159 GEG262159:GEJ262159 GOC262159:GOF262159 GXY262159:GYB262159 HHU262159:HHX262159 HRQ262159:HRT262159 IBM262159:IBP262159 ILI262159:ILL262159 IVE262159:IVH262159 JFA262159:JFD262159 JOW262159:JOZ262159 JYS262159:JYV262159 KIO262159:KIR262159 KSK262159:KSN262159 LCG262159:LCJ262159 LMC262159:LMF262159 LVY262159:LWB262159 MFU262159:MFX262159 MPQ262159:MPT262159 MZM262159:MZP262159 NJI262159:NJL262159 NTE262159:NTH262159 ODA262159:ODD262159 OMW262159:OMZ262159 OWS262159:OWV262159 PGO262159:PGR262159 PQK262159:PQN262159 QAG262159:QAJ262159 QKC262159:QKF262159 QTY262159:QUB262159 RDU262159:RDX262159 RNQ262159:RNT262159 RXM262159:RXP262159 SHI262159:SHL262159 SRE262159:SRH262159 TBA262159:TBD262159 TKW262159:TKZ262159 TUS262159:TUV262159 UEO262159:UER262159 UOK262159:UON262159 UYG262159:UYJ262159 VIC262159:VIF262159 VRY262159:VSB262159 WBU262159:WBX262159 WLQ262159:WLT262159 WVM262159:WVP262159 E327695:H327695 JA327695:JD327695 SW327695:SZ327695 ACS327695:ACV327695 AMO327695:AMR327695 AWK327695:AWN327695 BGG327695:BGJ327695 BQC327695:BQF327695 BZY327695:CAB327695 CJU327695:CJX327695 CTQ327695:CTT327695 DDM327695:DDP327695 DNI327695:DNL327695 DXE327695:DXH327695 EHA327695:EHD327695 EQW327695:EQZ327695 FAS327695:FAV327695 FKO327695:FKR327695 FUK327695:FUN327695 GEG327695:GEJ327695 GOC327695:GOF327695 GXY327695:GYB327695 HHU327695:HHX327695 HRQ327695:HRT327695 IBM327695:IBP327695 ILI327695:ILL327695 IVE327695:IVH327695 JFA327695:JFD327695 JOW327695:JOZ327695 JYS327695:JYV327695 KIO327695:KIR327695 KSK327695:KSN327695 LCG327695:LCJ327695 LMC327695:LMF327695 LVY327695:LWB327695 MFU327695:MFX327695 MPQ327695:MPT327695 MZM327695:MZP327695 NJI327695:NJL327695 NTE327695:NTH327695 ODA327695:ODD327695 OMW327695:OMZ327695 OWS327695:OWV327695 PGO327695:PGR327695 PQK327695:PQN327695 QAG327695:QAJ327695 QKC327695:QKF327695 QTY327695:QUB327695 RDU327695:RDX327695 RNQ327695:RNT327695 RXM327695:RXP327695 SHI327695:SHL327695 SRE327695:SRH327695 TBA327695:TBD327695 TKW327695:TKZ327695 TUS327695:TUV327695 UEO327695:UER327695 UOK327695:UON327695 UYG327695:UYJ327695 VIC327695:VIF327695 VRY327695:VSB327695 WBU327695:WBX327695 WLQ327695:WLT327695 WVM327695:WVP327695 E393231:H393231 JA393231:JD393231 SW393231:SZ393231 ACS393231:ACV393231 AMO393231:AMR393231 AWK393231:AWN393231 BGG393231:BGJ393231 BQC393231:BQF393231 BZY393231:CAB393231 CJU393231:CJX393231 CTQ393231:CTT393231 DDM393231:DDP393231 DNI393231:DNL393231 DXE393231:DXH393231 EHA393231:EHD393231 EQW393231:EQZ393231 FAS393231:FAV393231 FKO393231:FKR393231 FUK393231:FUN393231 GEG393231:GEJ393231 GOC393231:GOF393231 GXY393231:GYB393231 HHU393231:HHX393231 HRQ393231:HRT393231 IBM393231:IBP393231 ILI393231:ILL393231 IVE393231:IVH393231 JFA393231:JFD393231 JOW393231:JOZ393231 JYS393231:JYV393231 KIO393231:KIR393231 KSK393231:KSN393231 LCG393231:LCJ393231 LMC393231:LMF393231 LVY393231:LWB393231 MFU393231:MFX393231 MPQ393231:MPT393231 MZM393231:MZP393231 NJI393231:NJL393231 NTE393231:NTH393231 ODA393231:ODD393231 OMW393231:OMZ393231 OWS393231:OWV393231 PGO393231:PGR393231 PQK393231:PQN393231 QAG393231:QAJ393231 QKC393231:QKF393231 QTY393231:QUB393231 RDU393231:RDX393231 RNQ393231:RNT393231 RXM393231:RXP393231 SHI393231:SHL393231 SRE393231:SRH393231 TBA393231:TBD393231 TKW393231:TKZ393231 TUS393231:TUV393231 UEO393231:UER393231 UOK393231:UON393231 UYG393231:UYJ393231 VIC393231:VIF393231 VRY393231:VSB393231 WBU393231:WBX393231 WLQ393231:WLT393231 WVM393231:WVP393231 E458767:H458767 JA458767:JD458767 SW458767:SZ458767 ACS458767:ACV458767 AMO458767:AMR458767 AWK458767:AWN458767 BGG458767:BGJ458767 BQC458767:BQF458767 BZY458767:CAB458767 CJU458767:CJX458767 CTQ458767:CTT458767 DDM458767:DDP458767 DNI458767:DNL458767 DXE458767:DXH458767 EHA458767:EHD458767 EQW458767:EQZ458767 FAS458767:FAV458767 FKO458767:FKR458767 FUK458767:FUN458767 GEG458767:GEJ458767 GOC458767:GOF458767 GXY458767:GYB458767 HHU458767:HHX458767 HRQ458767:HRT458767 IBM458767:IBP458767 ILI458767:ILL458767 IVE458767:IVH458767 JFA458767:JFD458767 JOW458767:JOZ458767 JYS458767:JYV458767 KIO458767:KIR458767 KSK458767:KSN458767 LCG458767:LCJ458767 LMC458767:LMF458767 LVY458767:LWB458767 MFU458767:MFX458767 MPQ458767:MPT458767 MZM458767:MZP458767 NJI458767:NJL458767 NTE458767:NTH458767 ODA458767:ODD458767 OMW458767:OMZ458767 OWS458767:OWV458767 PGO458767:PGR458767 PQK458767:PQN458767 QAG458767:QAJ458767 QKC458767:QKF458767 QTY458767:QUB458767 RDU458767:RDX458767 RNQ458767:RNT458767 RXM458767:RXP458767 SHI458767:SHL458767 SRE458767:SRH458767 TBA458767:TBD458767 TKW458767:TKZ458767 TUS458767:TUV458767 UEO458767:UER458767 UOK458767:UON458767 UYG458767:UYJ458767 VIC458767:VIF458767 VRY458767:VSB458767 WBU458767:WBX458767 WLQ458767:WLT458767 WVM458767:WVP458767 E524303:H524303 JA524303:JD524303 SW524303:SZ524303 ACS524303:ACV524303 AMO524303:AMR524303 AWK524303:AWN524303 BGG524303:BGJ524303 BQC524303:BQF524303 BZY524303:CAB524303 CJU524303:CJX524303 CTQ524303:CTT524303 DDM524303:DDP524303 DNI524303:DNL524303 DXE524303:DXH524303 EHA524303:EHD524303 EQW524303:EQZ524303 FAS524303:FAV524303 FKO524303:FKR524303 FUK524303:FUN524303 GEG524303:GEJ524303 GOC524303:GOF524303 GXY524303:GYB524303 HHU524303:HHX524303 HRQ524303:HRT524303 IBM524303:IBP524303 ILI524303:ILL524303 IVE524303:IVH524303 JFA524303:JFD524303 JOW524303:JOZ524303 JYS524303:JYV524303 KIO524303:KIR524303 KSK524303:KSN524303 LCG524303:LCJ524303 LMC524303:LMF524303 LVY524303:LWB524303 MFU524303:MFX524303 MPQ524303:MPT524303 MZM524303:MZP524303 NJI524303:NJL524303 NTE524303:NTH524303 ODA524303:ODD524303 OMW524303:OMZ524303 OWS524303:OWV524303 PGO524303:PGR524303 PQK524303:PQN524303 QAG524303:QAJ524303 QKC524303:QKF524303 QTY524303:QUB524303 RDU524303:RDX524303 RNQ524303:RNT524303 RXM524303:RXP524303 SHI524303:SHL524303 SRE524303:SRH524303 TBA524303:TBD524303 TKW524303:TKZ524303 TUS524303:TUV524303 UEO524303:UER524303 UOK524303:UON524303 UYG524303:UYJ524303 VIC524303:VIF524303 VRY524303:VSB524303 WBU524303:WBX524303 WLQ524303:WLT524303 WVM524303:WVP524303 E589839:H589839 JA589839:JD589839 SW589839:SZ589839 ACS589839:ACV589839 AMO589839:AMR589839 AWK589839:AWN589839 BGG589839:BGJ589839 BQC589839:BQF589839 BZY589839:CAB589839 CJU589839:CJX589839 CTQ589839:CTT589839 DDM589839:DDP589839 DNI589839:DNL589839 DXE589839:DXH589839 EHA589839:EHD589839 EQW589839:EQZ589839 FAS589839:FAV589839 FKO589839:FKR589839 FUK589839:FUN589839 GEG589839:GEJ589839 GOC589839:GOF589839 GXY589839:GYB589839 HHU589839:HHX589839 HRQ589839:HRT589839 IBM589839:IBP589839 ILI589839:ILL589839 IVE589839:IVH589839 JFA589839:JFD589839 JOW589839:JOZ589839 JYS589839:JYV589839 KIO589839:KIR589839 KSK589839:KSN589839 LCG589839:LCJ589839 LMC589839:LMF589839 LVY589839:LWB589839 MFU589839:MFX589839 MPQ589839:MPT589839 MZM589839:MZP589839 NJI589839:NJL589839 NTE589839:NTH589839 ODA589839:ODD589839 OMW589839:OMZ589839 OWS589839:OWV589839 PGO589839:PGR589839 PQK589839:PQN589839 QAG589839:QAJ589839 QKC589839:QKF589839 QTY589839:QUB589839 RDU589839:RDX589839 RNQ589839:RNT589839 RXM589839:RXP589839 SHI589839:SHL589839 SRE589839:SRH589839 TBA589839:TBD589839 TKW589839:TKZ589839 TUS589839:TUV589839 UEO589839:UER589839 UOK589839:UON589839 UYG589839:UYJ589839 VIC589839:VIF589839 VRY589839:VSB589839 WBU589839:WBX589839 WLQ589839:WLT589839 WVM589839:WVP589839 E655375:H655375 JA655375:JD655375 SW655375:SZ655375 ACS655375:ACV655375 AMO655375:AMR655375 AWK655375:AWN655375 BGG655375:BGJ655375 BQC655375:BQF655375 BZY655375:CAB655375 CJU655375:CJX655375 CTQ655375:CTT655375 DDM655375:DDP655375 DNI655375:DNL655375 DXE655375:DXH655375 EHA655375:EHD655375 EQW655375:EQZ655375 FAS655375:FAV655375 FKO655375:FKR655375 FUK655375:FUN655375 GEG655375:GEJ655375 GOC655375:GOF655375 GXY655375:GYB655375 HHU655375:HHX655375 HRQ655375:HRT655375 IBM655375:IBP655375 ILI655375:ILL655375 IVE655375:IVH655375 JFA655375:JFD655375 JOW655375:JOZ655375 JYS655375:JYV655375 KIO655375:KIR655375 KSK655375:KSN655375 LCG655375:LCJ655375 LMC655375:LMF655375 LVY655375:LWB655375 MFU655375:MFX655375 MPQ655375:MPT655375 MZM655375:MZP655375 NJI655375:NJL655375 NTE655375:NTH655375 ODA655375:ODD655375 OMW655375:OMZ655375 OWS655375:OWV655375 PGO655375:PGR655375 PQK655375:PQN655375 QAG655375:QAJ655375 QKC655375:QKF655375 QTY655375:QUB655375 RDU655375:RDX655375 RNQ655375:RNT655375 RXM655375:RXP655375 SHI655375:SHL655375 SRE655375:SRH655375 TBA655375:TBD655375 TKW655375:TKZ655375 TUS655375:TUV655375 UEO655375:UER655375 UOK655375:UON655375 UYG655375:UYJ655375 VIC655375:VIF655375 VRY655375:VSB655375 WBU655375:WBX655375 WLQ655375:WLT655375 WVM655375:WVP655375 E720911:H720911 JA720911:JD720911 SW720911:SZ720911 ACS720911:ACV720911 AMO720911:AMR720911 AWK720911:AWN720911 BGG720911:BGJ720911 BQC720911:BQF720911 BZY720911:CAB720911 CJU720911:CJX720911 CTQ720911:CTT720911 DDM720911:DDP720911 DNI720911:DNL720911 DXE720911:DXH720911 EHA720911:EHD720911 EQW720911:EQZ720911 FAS720911:FAV720911 FKO720911:FKR720911 FUK720911:FUN720911 GEG720911:GEJ720911 GOC720911:GOF720911 GXY720911:GYB720911 HHU720911:HHX720911 HRQ720911:HRT720911 IBM720911:IBP720911 ILI720911:ILL720911 IVE720911:IVH720911 JFA720911:JFD720911 JOW720911:JOZ720911 JYS720911:JYV720911 KIO720911:KIR720911 KSK720911:KSN720911 LCG720911:LCJ720911 LMC720911:LMF720911 LVY720911:LWB720911 MFU720911:MFX720911 MPQ720911:MPT720911 MZM720911:MZP720911 NJI720911:NJL720911 NTE720911:NTH720911 ODA720911:ODD720911 OMW720911:OMZ720911 OWS720911:OWV720911 PGO720911:PGR720911 PQK720911:PQN720911 QAG720911:QAJ720911 QKC720911:QKF720911 QTY720911:QUB720911 RDU720911:RDX720911 RNQ720911:RNT720911 RXM720911:RXP720911 SHI720911:SHL720911 SRE720911:SRH720911 TBA720911:TBD720911 TKW720911:TKZ720911 TUS720911:TUV720911 UEO720911:UER720911 UOK720911:UON720911 UYG720911:UYJ720911 VIC720911:VIF720911 VRY720911:VSB720911 WBU720911:WBX720911 WLQ720911:WLT720911 WVM720911:WVP720911 E786447:H786447 JA786447:JD786447 SW786447:SZ786447 ACS786447:ACV786447 AMO786447:AMR786447 AWK786447:AWN786447 BGG786447:BGJ786447 BQC786447:BQF786447 BZY786447:CAB786447 CJU786447:CJX786447 CTQ786447:CTT786447 DDM786447:DDP786447 DNI786447:DNL786447 DXE786447:DXH786447 EHA786447:EHD786447 EQW786447:EQZ786447 FAS786447:FAV786447 FKO786447:FKR786447 FUK786447:FUN786447 GEG786447:GEJ786447 GOC786447:GOF786447 GXY786447:GYB786447 HHU786447:HHX786447 HRQ786447:HRT786447 IBM786447:IBP786447 ILI786447:ILL786447 IVE786447:IVH786447 JFA786447:JFD786447 JOW786447:JOZ786447 JYS786447:JYV786447 KIO786447:KIR786447 KSK786447:KSN786447 LCG786447:LCJ786447 LMC786447:LMF786447 LVY786447:LWB786447 MFU786447:MFX786447 MPQ786447:MPT786447 MZM786447:MZP786447 NJI786447:NJL786447 NTE786447:NTH786447 ODA786447:ODD786447 OMW786447:OMZ786447 OWS786447:OWV786447 PGO786447:PGR786447 PQK786447:PQN786447 QAG786447:QAJ786447 QKC786447:QKF786447 QTY786447:QUB786447 RDU786447:RDX786447 RNQ786447:RNT786447 RXM786447:RXP786447 SHI786447:SHL786447 SRE786447:SRH786447 TBA786447:TBD786447 TKW786447:TKZ786447 TUS786447:TUV786447 UEO786447:UER786447 UOK786447:UON786447 UYG786447:UYJ786447 VIC786447:VIF786447 VRY786447:VSB786447 WBU786447:WBX786447 WLQ786447:WLT786447 WVM786447:WVP786447 E851983:H851983 JA851983:JD851983 SW851983:SZ851983 ACS851983:ACV851983 AMO851983:AMR851983 AWK851983:AWN851983 BGG851983:BGJ851983 BQC851983:BQF851983 BZY851983:CAB851983 CJU851983:CJX851983 CTQ851983:CTT851983 DDM851983:DDP851983 DNI851983:DNL851983 DXE851983:DXH851983 EHA851983:EHD851983 EQW851983:EQZ851983 FAS851983:FAV851983 FKO851983:FKR851983 FUK851983:FUN851983 GEG851983:GEJ851983 GOC851983:GOF851983 GXY851983:GYB851983 HHU851983:HHX851983 HRQ851983:HRT851983 IBM851983:IBP851983 ILI851983:ILL851983 IVE851983:IVH851983 JFA851983:JFD851983 JOW851983:JOZ851983 JYS851983:JYV851983 KIO851983:KIR851983 KSK851983:KSN851983 LCG851983:LCJ851983 LMC851983:LMF851983 LVY851983:LWB851983 MFU851983:MFX851983 MPQ851983:MPT851983 MZM851983:MZP851983 NJI851983:NJL851983 NTE851983:NTH851983 ODA851983:ODD851983 OMW851983:OMZ851983 OWS851983:OWV851983 PGO851983:PGR851983 PQK851983:PQN851983 QAG851983:QAJ851983 QKC851983:QKF851983 QTY851983:QUB851983 RDU851983:RDX851983 RNQ851983:RNT851983 RXM851983:RXP851983 SHI851983:SHL851983 SRE851983:SRH851983 TBA851983:TBD851983 TKW851983:TKZ851983 TUS851983:TUV851983 UEO851983:UER851983 UOK851983:UON851983 UYG851983:UYJ851983 VIC851983:VIF851983 VRY851983:VSB851983 WBU851983:WBX851983 WLQ851983:WLT851983 WVM851983:WVP851983 E917519:H917519 JA917519:JD917519 SW917519:SZ917519 ACS917519:ACV917519 AMO917519:AMR917519 AWK917519:AWN917519 BGG917519:BGJ917519 BQC917519:BQF917519 BZY917519:CAB917519 CJU917519:CJX917519 CTQ917519:CTT917519 DDM917519:DDP917519 DNI917519:DNL917519 DXE917519:DXH917519 EHA917519:EHD917519 EQW917519:EQZ917519 FAS917519:FAV917519 FKO917519:FKR917519 FUK917519:FUN917519 GEG917519:GEJ917519 GOC917519:GOF917519 GXY917519:GYB917519 HHU917519:HHX917519 HRQ917519:HRT917519 IBM917519:IBP917519 ILI917519:ILL917519 IVE917519:IVH917519 JFA917519:JFD917519 JOW917519:JOZ917519 JYS917519:JYV917519 KIO917519:KIR917519 KSK917519:KSN917519 LCG917519:LCJ917519 LMC917519:LMF917519 LVY917519:LWB917519 MFU917519:MFX917519 MPQ917519:MPT917519 MZM917519:MZP917519 NJI917519:NJL917519 NTE917519:NTH917519 ODA917519:ODD917519 OMW917519:OMZ917519 OWS917519:OWV917519 PGO917519:PGR917519 PQK917519:PQN917519 QAG917519:QAJ917519 QKC917519:QKF917519 QTY917519:QUB917519 RDU917519:RDX917519 RNQ917519:RNT917519 RXM917519:RXP917519 SHI917519:SHL917519 SRE917519:SRH917519 TBA917519:TBD917519 TKW917519:TKZ917519 TUS917519:TUV917519 UEO917519:UER917519 UOK917519:UON917519 UYG917519:UYJ917519 VIC917519:VIF917519 VRY917519:VSB917519 WBU917519:WBX917519 WLQ917519:WLT917519 WVM917519:WVP917519 E983055:H983055 JA983055:JD983055 SW983055:SZ983055 ACS983055:ACV983055 AMO983055:AMR983055 AWK983055:AWN983055 BGG983055:BGJ983055 BQC983055:BQF983055 BZY983055:CAB983055 CJU983055:CJX983055 CTQ983055:CTT983055 DDM983055:DDP983055 DNI983055:DNL983055 DXE983055:DXH983055 EHA983055:EHD983055 EQW983055:EQZ983055 FAS983055:FAV983055 FKO983055:FKR983055 FUK983055:FUN983055 GEG983055:GEJ983055 GOC983055:GOF983055 GXY983055:GYB983055 HHU983055:HHX983055 HRQ983055:HRT983055 IBM983055:IBP983055 ILI983055:ILL983055 IVE983055:IVH983055 JFA983055:JFD983055 JOW983055:JOZ983055 JYS983055:JYV983055 KIO983055:KIR983055 KSK983055:KSN983055 LCG983055:LCJ983055 LMC983055:LMF983055 LVY983055:LWB983055 MFU983055:MFX983055 MPQ983055:MPT983055 MZM983055:MZP983055 NJI983055:NJL983055 NTE983055:NTH983055 ODA983055:ODD983055 OMW983055:OMZ983055 OWS983055:OWV983055 PGO983055:PGR983055 PQK983055:PQN983055 QAG983055:QAJ983055 QKC983055:QKF983055 QTY983055:QUB983055 RDU983055:RDX983055 RNQ983055:RNT983055 RXM983055:RXP983055 SHI983055:SHL983055 SRE983055:SRH983055 TBA983055:TBD983055 TKW983055:TKZ983055 TUS983055:TUV983055 UEO983055:UER983055 UOK983055:UON983055 UYG983055:UYJ983055 VIC983055:VIF983055 VRY983055:VSB983055 WBU983055:WBX983055 WLQ983055:WLT983055 WVM983055:WVP983055 WVM851988:WVP851988 E917524:H917524 JA917524:JD917524 SW917524:SZ917524 ACS917524:ACV917524 AMO917524:AMR917524 AWK917524:AWN917524 BGG917524:BGJ917524 BQC917524:BQF917524 BZY917524:CAB917524 CJU917524:CJX917524 CTQ917524:CTT917524 DDM917524:DDP917524 DNI917524:DNL917524 DXE917524:DXH917524 EHA917524:EHD917524 EQW917524:EQZ917524 FAS917524:FAV917524 FKO917524:FKR917524 FUK917524:FUN917524 GEG917524:GEJ917524 GOC917524:GOF917524 GXY917524:GYB917524 HHU917524:HHX917524 HRQ917524:HRT917524 IBM917524:IBP917524 ILI917524:ILL917524 IVE917524:IVH917524 JFA917524:JFD917524 JOW917524:JOZ917524 JYS917524:JYV917524 KIO917524:KIR917524 KSK917524:KSN917524 LCG917524:LCJ917524 LMC917524:LMF917524 LVY917524:LWB917524 MFU917524:MFX917524 MPQ917524:MPT917524 MZM917524:MZP917524 NJI917524:NJL917524 NTE917524:NTH917524 ODA917524:ODD917524 OMW917524:OMZ917524 OWS917524:OWV917524 PGO917524:PGR917524 PQK917524:PQN917524 QAG917524:QAJ917524 QKC917524:QKF917524 QTY917524:QUB917524 RDU917524:RDX917524 RNQ917524:RNT917524 RXM917524:RXP917524 SHI917524:SHL917524 SRE917524:SRH917524 TBA917524:TBD917524 TKW917524:TKZ917524 TUS917524:TUV917524 UEO917524:UER917524 UOK917524:UON917524 UYG917524:UYJ917524 VIC917524:VIF917524 VRY917524:VSB917524 WBU917524:WBX917524 WLQ917524:WLT917524 E65558:H65558 JA65558:JD65558 SW65558:SZ65558 ACS65558:ACV65558 AMO65558:AMR65558 AWK65558:AWN65558 BGG65558:BGJ65558 BQC65558:BQF65558 BZY65558:CAB65558 CJU65558:CJX65558 CTQ65558:CTT65558 DDM65558:DDP65558 DNI65558:DNL65558 DXE65558:DXH65558 EHA65558:EHD65558 EQW65558:EQZ65558 FAS65558:FAV65558 FKO65558:FKR65558 FUK65558:FUN65558 GEG65558:GEJ65558 GOC65558:GOF65558 GXY65558:GYB65558 HHU65558:HHX65558 HRQ65558:HRT65558 IBM65558:IBP65558 ILI65558:ILL65558 IVE65558:IVH65558 JFA65558:JFD65558 JOW65558:JOZ65558 JYS65558:JYV65558 KIO65558:KIR65558 KSK65558:KSN65558 LCG65558:LCJ65558 LMC65558:LMF65558 LVY65558:LWB65558 MFU65558:MFX65558 MPQ65558:MPT65558 MZM65558:MZP65558 NJI65558:NJL65558 NTE65558:NTH65558 ODA65558:ODD65558 OMW65558:OMZ65558 OWS65558:OWV65558 PGO65558:PGR65558 PQK65558:PQN65558 QAG65558:QAJ65558 QKC65558:QKF65558 QTY65558:QUB65558 RDU65558:RDX65558 RNQ65558:RNT65558 RXM65558:RXP65558 SHI65558:SHL65558 SRE65558:SRH65558 TBA65558:TBD65558 TKW65558:TKZ65558 TUS65558:TUV65558 UEO65558:UER65558 UOK65558:UON65558 UYG65558:UYJ65558 VIC65558:VIF65558 VRY65558:VSB65558 WBU65558:WBX65558 WLQ65558:WLT65558 WVM65558:WVP65558 E131094:H131094 JA131094:JD131094 SW131094:SZ131094 ACS131094:ACV131094 AMO131094:AMR131094 AWK131094:AWN131094 BGG131094:BGJ131094 BQC131094:BQF131094 BZY131094:CAB131094 CJU131094:CJX131094 CTQ131094:CTT131094 DDM131094:DDP131094 DNI131094:DNL131094 DXE131094:DXH131094 EHA131094:EHD131094 EQW131094:EQZ131094 FAS131094:FAV131094 FKO131094:FKR131094 FUK131094:FUN131094 GEG131094:GEJ131094 GOC131094:GOF131094 GXY131094:GYB131094 HHU131094:HHX131094 HRQ131094:HRT131094 IBM131094:IBP131094 ILI131094:ILL131094 IVE131094:IVH131094 JFA131094:JFD131094 JOW131094:JOZ131094 JYS131094:JYV131094 KIO131094:KIR131094 KSK131094:KSN131094 LCG131094:LCJ131094 LMC131094:LMF131094 LVY131094:LWB131094 MFU131094:MFX131094 MPQ131094:MPT131094 MZM131094:MZP131094 NJI131094:NJL131094 NTE131094:NTH131094 ODA131094:ODD131094 OMW131094:OMZ131094 OWS131094:OWV131094 PGO131094:PGR131094 PQK131094:PQN131094 QAG131094:QAJ131094 QKC131094:QKF131094 QTY131094:QUB131094 RDU131094:RDX131094 RNQ131094:RNT131094 RXM131094:RXP131094 SHI131094:SHL131094 SRE131094:SRH131094 TBA131094:TBD131094 TKW131094:TKZ131094 TUS131094:TUV131094 UEO131094:UER131094 UOK131094:UON131094 UYG131094:UYJ131094 VIC131094:VIF131094 VRY131094:VSB131094 WBU131094:WBX131094 WLQ131094:WLT131094 WVM131094:WVP131094 E196630:H196630 JA196630:JD196630 SW196630:SZ196630 ACS196630:ACV196630 AMO196630:AMR196630 AWK196630:AWN196630 BGG196630:BGJ196630 BQC196630:BQF196630 BZY196630:CAB196630 CJU196630:CJX196630 CTQ196630:CTT196630 DDM196630:DDP196630 DNI196630:DNL196630 DXE196630:DXH196630 EHA196630:EHD196630 EQW196630:EQZ196630 FAS196630:FAV196630 FKO196630:FKR196630 FUK196630:FUN196630 GEG196630:GEJ196630 GOC196630:GOF196630 GXY196630:GYB196630 HHU196630:HHX196630 HRQ196630:HRT196630 IBM196630:IBP196630 ILI196630:ILL196630 IVE196630:IVH196630 JFA196630:JFD196630 JOW196630:JOZ196630 JYS196630:JYV196630 KIO196630:KIR196630 KSK196630:KSN196630 LCG196630:LCJ196630 LMC196630:LMF196630 LVY196630:LWB196630 MFU196630:MFX196630 MPQ196630:MPT196630 MZM196630:MZP196630 NJI196630:NJL196630 NTE196630:NTH196630 ODA196630:ODD196630 OMW196630:OMZ196630 OWS196630:OWV196630 PGO196630:PGR196630 PQK196630:PQN196630 QAG196630:QAJ196630 QKC196630:QKF196630 QTY196630:QUB196630 RDU196630:RDX196630 RNQ196630:RNT196630 RXM196630:RXP196630 SHI196630:SHL196630 SRE196630:SRH196630 TBA196630:TBD196630 TKW196630:TKZ196630 TUS196630:TUV196630 UEO196630:UER196630 UOK196630:UON196630 UYG196630:UYJ196630 VIC196630:VIF196630 VRY196630:VSB196630 WBU196630:WBX196630 WLQ196630:WLT196630 WVM196630:WVP196630 E262166:H262166 JA262166:JD262166 SW262166:SZ262166 ACS262166:ACV262166 AMO262166:AMR262166 AWK262166:AWN262166 BGG262166:BGJ262166 BQC262166:BQF262166 BZY262166:CAB262166 CJU262166:CJX262166 CTQ262166:CTT262166 DDM262166:DDP262166 DNI262166:DNL262166 DXE262166:DXH262166 EHA262166:EHD262166 EQW262166:EQZ262166 FAS262166:FAV262166 FKO262166:FKR262166 FUK262166:FUN262166 GEG262166:GEJ262166 GOC262166:GOF262166 GXY262166:GYB262166 HHU262166:HHX262166 HRQ262166:HRT262166 IBM262166:IBP262166 ILI262166:ILL262166 IVE262166:IVH262166 JFA262166:JFD262166 JOW262166:JOZ262166 JYS262166:JYV262166 KIO262166:KIR262166 KSK262166:KSN262166 LCG262166:LCJ262166 LMC262166:LMF262166 LVY262166:LWB262166 MFU262166:MFX262166 MPQ262166:MPT262166 MZM262166:MZP262166 NJI262166:NJL262166 NTE262166:NTH262166 ODA262166:ODD262166 OMW262166:OMZ262166 OWS262166:OWV262166 PGO262166:PGR262166 PQK262166:PQN262166 QAG262166:QAJ262166 QKC262166:QKF262166 QTY262166:QUB262166 RDU262166:RDX262166 RNQ262166:RNT262166 RXM262166:RXP262166 SHI262166:SHL262166 SRE262166:SRH262166 TBA262166:TBD262166 TKW262166:TKZ262166 TUS262166:TUV262166 UEO262166:UER262166 UOK262166:UON262166 UYG262166:UYJ262166 VIC262166:VIF262166 VRY262166:VSB262166 WBU262166:WBX262166 WLQ262166:WLT262166 WVM262166:WVP262166 E327702:H327702 JA327702:JD327702 SW327702:SZ327702 ACS327702:ACV327702 AMO327702:AMR327702 AWK327702:AWN327702 BGG327702:BGJ327702 BQC327702:BQF327702 BZY327702:CAB327702 CJU327702:CJX327702 CTQ327702:CTT327702 DDM327702:DDP327702 DNI327702:DNL327702 DXE327702:DXH327702 EHA327702:EHD327702 EQW327702:EQZ327702 FAS327702:FAV327702 FKO327702:FKR327702 FUK327702:FUN327702 GEG327702:GEJ327702 GOC327702:GOF327702 GXY327702:GYB327702 HHU327702:HHX327702 HRQ327702:HRT327702 IBM327702:IBP327702 ILI327702:ILL327702 IVE327702:IVH327702 JFA327702:JFD327702 JOW327702:JOZ327702 JYS327702:JYV327702 KIO327702:KIR327702 KSK327702:KSN327702 LCG327702:LCJ327702 LMC327702:LMF327702 LVY327702:LWB327702 MFU327702:MFX327702 MPQ327702:MPT327702 MZM327702:MZP327702 NJI327702:NJL327702 NTE327702:NTH327702 ODA327702:ODD327702 OMW327702:OMZ327702 OWS327702:OWV327702 PGO327702:PGR327702 PQK327702:PQN327702 QAG327702:QAJ327702 QKC327702:QKF327702 QTY327702:QUB327702 RDU327702:RDX327702 RNQ327702:RNT327702 RXM327702:RXP327702 SHI327702:SHL327702 SRE327702:SRH327702 TBA327702:TBD327702 TKW327702:TKZ327702 TUS327702:TUV327702 UEO327702:UER327702 UOK327702:UON327702 UYG327702:UYJ327702 VIC327702:VIF327702 VRY327702:VSB327702 WBU327702:WBX327702 WLQ327702:WLT327702 WVM327702:WVP327702 E393238:H393238 JA393238:JD393238 SW393238:SZ393238 ACS393238:ACV393238 AMO393238:AMR393238 AWK393238:AWN393238 BGG393238:BGJ393238 BQC393238:BQF393238 BZY393238:CAB393238 CJU393238:CJX393238 CTQ393238:CTT393238 DDM393238:DDP393238 DNI393238:DNL393238 DXE393238:DXH393238 EHA393238:EHD393238 EQW393238:EQZ393238 FAS393238:FAV393238 FKO393238:FKR393238 FUK393238:FUN393238 GEG393238:GEJ393238 GOC393238:GOF393238 GXY393238:GYB393238 HHU393238:HHX393238 HRQ393238:HRT393238 IBM393238:IBP393238 ILI393238:ILL393238 IVE393238:IVH393238 JFA393238:JFD393238 JOW393238:JOZ393238 JYS393238:JYV393238 KIO393238:KIR393238 KSK393238:KSN393238 LCG393238:LCJ393238 LMC393238:LMF393238 LVY393238:LWB393238 MFU393238:MFX393238 MPQ393238:MPT393238 MZM393238:MZP393238 NJI393238:NJL393238 NTE393238:NTH393238 ODA393238:ODD393238 OMW393238:OMZ393238 OWS393238:OWV393238 PGO393238:PGR393238 PQK393238:PQN393238 QAG393238:QAJ393238 QKC393238:QKF393238 QTY393238:QUB393238 RDU393238:RDX393238 RNQ393238:RNT393238 RXM393238:RXP393238 SHI393238:SHL393238 SRE393238:SRH393238 TBA393238:TBD393238 TKW393238:TKZ393238 TUS393238:TUV393238 UEO393238:UER393238 UOK393238:UON393238 UYG393238:UYJ393238 VIC393238:VIF393238 VRY393238:VSB393238 WBU393238:WBX393238 WLQ393238:WLT393238 WVM393238:WVP393238 E458774:H458774 JA458774:JD458774 SW458774:SZ458774 ACS458774:ACV458774 AMO458774:AMR458774 AWK458774:AWN458774 BGG458774:BGJ458774 BQC458774:BQF458774 BZY458774:CAB458774 CJU458774:CJX458774 CTQ458774:CTT458774 DDM458774:DDP458774 DNI458774:DNL458774 DXE458774:DXH458774 EHA458774:EHD458774 EQW458774:EQZ458774 FAS458774:FAV458774 FKO458774:FKR458774 FUK458774:FUN458774 GEG458774:GEJ458774 GOC458774:GOF458774 GXY458774:GYB458774 HHU458774:HHX458774 HRQ458774:HRT458774 IBM458774:IBP458774 ILI458774:ILL458774 IVE458774:IVH458774 JFA458774:JFD458774 JOW458774:JOZ458774 JYS458774:JYV458774 KIO458774:KIR458774 KSK458774:KSN458774 LCG458774:LCJ458774 LMC458774:LMF458774 LVY458774:LWB458774 MFU458774:MFX458774 MPQ458774:MPT458774 MZM458774:MZP458774 NJI458774:NJL458774 NTE458774:NTH458774 ODA458774:ODD458774 OMW458774:OMZ458774 OWS458774:OWV458774 PGO458774:PGR458774 PQK458774:PQN458774 QAG458774:QAJ458774 QKC458774:QKF458774 QTY458774:QUB458774 RDU458774:RDX458774 RNQ458774:RNT458774 RXM458774:RXP458774 SHI458774:SHL458774 SRE458774:SRH458774 TBA458774:TBD458774 TKW458774:TKZ458774 TUS458774:TUV458774 UEO458774:UER458774 UOK458774:UON458774 UYG458774:UYJ458774 VIC458774:VIF458774 VRY458774:VSB458774 WBU458774:WBX458774 WLQ458774:WLT458774 WVM458774:WVP458774 E524310:H524310 JA524310:JD524310 SW524310:SZ524310 ACS524310:ACV524310 AMO524310:AMR524310 AWK524310:AWN524310 BGG524310:BGJ524310 BQC524310:BQF524310 BZY524310:CAB524310 CJU524310:CJX524310 CTQ524310:CTT524310 DDM524310:DDP524310 DNI524310:DNL524310 DXE524310:DXH524310 EHA524310:EHD524310 EQW524310:EQZ524310 FAS524310:FAV524310 FKO524310:FKR524310 FUK524310:FUN524310 GEG524310:GEJ524310 GOC524310:GOF524310 GXY524310:GYB524310 HHU524310:HHX524310 HRQ524310:HRT524310 IBM524310:IBP524310 ILI524310:ILL524310 IVE524310:IVH524310 JFA524310:JFD524310 JOW524310:JOZ524310 JYS524310:JYV524310 KIO524310:KIR524310 KSK524310:KSN524310 LCG524310:LCJ524310 LMC524310:LMF524310 LVY524310:LWB524310 MFU524310:MFX524310 MPQ524310:MPT524310 MZM524310:MZP524310 NJI524310:NJL524310 NTE524310:NTH524310 ODA524310:ODD524310 OMW524310:OMZ524310 OWS524310:OWV524310 PGO524310:PGR524310 PQK524310:PQN524310 QAG524310:QAJ524310 QKC524310:QKF524310 QTY524310:QUB524310 RDU524310:RDX524310 RNQ524310:RNT524310 RXM524310:RXP524310 SHI524310:SHL524310 SRE524310:SRH524310 TBA524310:TBD524310 TKW524310:TKZ524310 TUS524310:TUV524310 UEO524310:UER524310 UOK524310:UON524310 UYG524310:UYJ524310 VIC524310:VIF524310 VRY524310:VSB524310 WBU524310:WBX524310 WLQ524310:WLT524310 WVM524310:WVP524310 E589846:H589846 JA589846:JD589846 SW589846:SZ589846 ACS589846:ACV589846 AMO589846:AMR589846 AWK589846:AWN589846 BGG589846:BGJ589846 BQC589846:BQF589846 BZY589846:CAB589846 CJU589846:CJX589846 CTQ589846:CTT589846 DDM589846:DDP589846 DNI589846:DNL589846 DXE589846:DXH589846 EHA589846:EHD589846 EQW589846:EQZ589846 FAS589846:FAV589846 FKO589846:FKR589846 FUK589846:FUN589846 GEG589846:GEJ589846 GOC589846:GOF589846 GXY589846:GYB589846 HHU589846:HHX589846 HRQ589846:HRT589846 IBM589846:IBP589846 ILI589846:ILL589846 IVE589846:IVH589846 JFA589846:JFD589846 JOW589846:JOZ589846 JYS589846:JYV589846 KIO589846:KIR589846 KSK589846:KSN589846 LCG589846:LCJ589846 LMC589846:LMF589846 LVY589846:LWB589846 MFU589846:MFX589846 MPQ589846:MPT589846 MZM589846:MZP589846 NJI589846:NJL589846 NTE589846:NTH589846 ODA589846:ODD589846 OMW589846:OMZ589846 OWS589846:OWV589846 PGO589846:PGR589846 PQK589846:PQN589846 QAG589846:QAJ589846 QKC589846:QKF589846 QTY589846:QUB589846 RDU589846:RDX589846 RNQ589846:RNT589846 RXM589846:RXP589846 SHI589846:SHL589846 SRE589846:SRH589846 TBA589846:TBD589846 TKW589846:TKZ589846 TUS589846:TUV589846 UEO589846:UER589846 UOK589846:UON589846 UYG589846:UYJ589846 VIC589846:VIF589846 VRY589846:VSB589846 WBU589846:WBX589846 WLQ589846:WLT589846 WVM589846:WVP589846 E655382:H655382 JA655382:JD655382 SW655382:SZ655382 ACS655382:ACV655382 AMO655382:AMR655382 AWK655382:AWN655382 BGG655382:BGJ655382 BQC655382:BQF655382 BZY655382:CAB655382 CJU655382:CJX655382 CTQ655382:CTT655382 DDM655382:DDP655382 DNI655382:DNL655382 DXE655382:DXH655382 EHA655382:EHD655382 EQW655382:EQZ655382 FAS655382:FAV655382 FKO655382:FKR655382 FUK655382:FUN655382 GEG655382:GEJ655382 GOC655382:GOF655382 GXY655382:GYB655382 HHU655382:HHX655382 HRQ655382:HRT655382 IBM655382:IBP655382 ILI655382:ILL655382 IVE655382:IVH655382 JFA655382:JFD655382 JOW655382:JOZ655382 JYS655382:JYV655382 KIO655382:KIR655382 KSK655382:KSN655382 LCG655382:LCJ655382 LMC655382:LMF655382 LVY655382:LWB655382 MFU655382:MFX655382 MPQ655382:MPT655382 MZM655382:MZP655382 NJI655382:NJL655382 NTE655382:NTH655382 ODA655382:ODD655382 OMW655382:OMZ655382 OWS655382:OWV655382 PGO655382:PGR655382 PQK655382:PQN655382 QAG655382:QAJ655382 QKC655382:QKF655382 QTY655382:QUB655382 RDU655382:RDX655382 RNQ655382:RNT655382 RXM655382:RXP655382 SHI655382:SHL655382 SRE655382:SRH655382 TBA655382:TBD655382 TKW655382:TKZ655382 TUS655382:TUV655382 UEO655382:UER655382 UOK655382:UON655382 UYG655382:UYJ655382 VIC655382:VIF655382 VRY655382:VSB655382 WBU655382:WBX655382 WLQ655382:WLT655382 WVM655382:WVP655382 E720918:H720918 JA720918:JD720918 SW720918:SZ720918 ACS720918:ACV720918 AMO720918:AMR720918 AWK720918:AWN720918 BGG720918:BGJ720918 BQC720918:BQF720918 BZY720918:CAB720918 CJU720918:CJX720918 CTQ720918:CTT720918 DDM720918:DDP720918 DNI720918:DNL720918 DXE720918:DXH720918 EHA720918:EHD720918 EQW720918:EQZ720918 FAS720918:FAV720918 FKO720918:FKR720918 FUK720918:FUN720918 GEG720918:GEJ720918 GOC720918:GOF720918 GXY720918:GYB720918 HHU720918:HHX720918 HRQ720918:HRT720918 IBM720918:IBP720918 ILI720918:ILL720918 IVE720918:IVH720918 JFA720918:JFD720918 JOW720918:JOZ720918 JYS720918:JYV720918 KIO720918:KIR720918 KSK720918:KSN720918 LCG720918:LCJ720918 LMC720918:LMF720918 LVY720918:LWB720918 MFU720918:MFX720918 MPQ720918:MPT720918 MZM720918:MZP720918 NJI720918:NJL720918 NTE720918:NTH720918 ODA720918:ODD720918 OMW720918:OMZ720918 OWS720918:OWV720918 PGO720918:PGR720918 PQK720918:PQN720918 QAG720918:QAJ720918 QKC720918:QKF720918 QTY720918:QUB720918 RDU720918:RDX720918 RNQ720918:RNT720918 RXM720918:RXP720918 SHI720918:SHL720918 SRE720918:SRH720918 TBA720918:TBD720918 TKW720918:TKZ720918 TUS720918:TUV720918 UEO720918:UER720918 UOK720918:UON720918 UYG720918:UYJ720918 VIC720918:VIF720918 VRY720918:VSB720918 WBU720918:WBX720918 WLQ720918:WLT720918 WVM720918:WVP720918 E786454:H786454 JA786454:JD786454 SW786454:SZ786454 ACS786454:ACV786454 AMO786454:AMR786454 AWK786454:AWN786454 BGG786454:BGJ786454 BQC786454:BQF786454 BZY786454:CAB786454 CJU786454:CJX786454 CTQ786454:CTT786454 DDM786454:DDP786454 DNI786454:DNL786454 DXE786454:DXH786454 EHA786454:EHD786454 EQW786454:EQZ786454 FAS786454:FAV786454 FKO786454:FKR786454 FUK786454:FUN786454 GEG786454:GEJ786454 GOC786454:GOF786454 GXY786454:GYB786454 HHU786454:HHX786454 HRQ786454:HRT786454 IBM786454:IBP786454 ILI786454:ILL786454 IVE786454:IVH786454 JFA786454:JFD786454 JOW786454:JOZ786454 JYS786454:JYV786454 KIO786454:KIR786454 KSK786454:KSN786454 LCG786454:LCJ786454 LMC786454:LMF786454 LVY786454:LWB786454 MFU786454:MFX786454 MPQ786454:MPT786454 MZM786454:MZP786454 NJI786454:NJL786454 NTE786454:NTH786454 ODA786454:ODD786454 OMW786454:OMZ786454 OWS786454:OWV786454 PGO786454:PGR786454 PQK786454:PQN786454 QAG786454:QAJ786454 QKC786454:QKF786454 QTY786454:QUB786454 RDU786454:RDX786454 RNQ786454:RNT786454 RXM786454:RXP786454 SHI786454:SHL786454 SRE786454:SRH786454 TBA786454:TBD786454 TKW786454:TKZ786454 TUS786454:TUV786454 UEO786454:UER786454 UOK786454:UON786454 UYG786454:UYJ786454 VIC786454:VIF786454 VRY786454:VSB786454 WBU786454:WBX786454 WLQ786454:WLT786454 WVM786454:WVP786454 E851990:H851990 JA851990:JD851990 SW851990:SZ851990 ACS851990:ACV851990 AMO851990:AMR851990 AWK851990:AWN851990 BGG851990:BGJ851990 BQC851990:BQF851990 BZY851990:CAB851990 CJU851990:CJX851990 CTQ851990:CTT851990 DDM851990:DDP851990 DNI851990:DNL851990 DXE851990:DXH851990 EHA851990:EHD851990 EQW851990:EQZ851990 FAS851990:FAV851990 FKO851990:FKR851990 FUK851990:FUN851990 GEG851990:GEJ851990 GOC851990:GOF851990 GXY851990:GYB851990 HHU851990:HHX851990 HRQ851990:HRT851990 IBM851990:IBP851990 ILI851990:ILL851990 IVE851990:IVH851990 JFA851990:JFD851990 JOW851990:JOZ851990 JYS851990:JYV851990 KIO851990:KIR851990 KSK851990:KSN851990 LCG851990:LCJ851990 LMC851990:LMF851990 LVY851990:LWB851990 MFU851990:MFX851990 MPQ851990:MPT851990 MZM851990:MZP851990 NJI851990:NJL851990 NTE851990:NTH851990 ODA851990:ODD851990 OMW851990:OMZ851990 OWS851990:OWV851990 PGO851990:PGR851990 PQK851990:PQN851990 QAG851990:QAJ851990 QKC851990:QKF851990 QTY851990:QUB851990 RDU851990:RDX851990 RNQ851990:RNT851990 RXM851990:RXP851990 SHI851990:SHL851990 SRE851990:SRH851990 TBA851990:TBD851990 TKW851990:TKZ851990 TUS851990:TUV851990 UEO851990:UER851990 UOK851990:UON851990 UYG851990:UYJ851990 VIC851990:VIF851990 VRY851990:VSB851990 WBU851990:WBX851990 WLQ851990:WLT851990 WVM851990:WVP851990 E917526:H917526 JA917526:JD917526 SW917526:SZ917526 ACS917526:ACV917526 AMO917526:AMR917526 AWK917526:AWN917526 BGG917526:BGJ917526 BQC917526:BQF917526 BZY917526:CAB917526 CJU917526:CJX917526 CTQ917526:CTT917526 DDM917526:DDP917526 DNI917526:DNL917526 DXE917526:DXH917526 EHA917526:EHD917526 EQW917526:EQZ917526 FAS917526:FAV917526 FKO917526:FKR917526 FUK917526:FUN917526 GEG917526:GEJ917526 GOC917526:GOF917526 GXY917526:GYB917526 HHU917526:HHX917526 HRQ917526:HRT917526 IBM917526:IBP917526 ILI917526:ILL917526 IVE917526:IVH917526 JFA917526:JFD917526 JOW917526:JOZ917526 JYS917526:JYV917526 KIO917526:KIR917526 KSK917526:KSN917526 LCG917526:LCJ917526 LMC917526:LMF917526 LVY917526:LWB917526 MFU917526:MFX917526 MPQ917526:MPT917526 MZM917526:MZP917526 NJI917526:NJL917526 NTE917526:NTH917526 ODA917526:ODD917526 OMW917526:OMZ917526 OWS917526:OWV917526 PGO917526:PGR917526 PQK917526:PQN917526 QAG917526:QAJ917526 QKC917526:QKF917526 QTY917526:QUB917526 RDU917526:RDX917526 RNQ917526:RNT917526 RXM917526:RXP917526 SHI917526:SHL917526 SRE917526:SRH917526 TBA917526:TBD917526 TKW917526:TKZ917526 TUS917526:TUV917526 UEO917526:UER917526 UOK917526:UON917526 UYG917526:UYJ917526 VIC917526:VIF917526 VRY917526:VSB917526 WBU917526:WBX917526 WLQ917526:WLT917526 WVM917526:WVP917526 E983062:H983062 JA983062:JD983062 SW983062:SZ983062 ACS983062:ACV983062 AMO983062:AMR983062 AWK983062:AWN983062 BGG983062:BGJ983062 BQC983062:BQF983062 BZY983062:CAB983062 CJU983062:CJX983062 CTQ983062:CTT983062 DDM983062:DDP983062 DNI983062:DNL983062 DXE983062:DXH983062 EHA983062:EHD983062 EQW983062:EQZ983062 FAS983062:FAV983062 FKO983062:FKR983062 FUK983062:FUN983062 GEG983062:GEJ983062 GOC983062:GOF983062 GXY983062:GYB983062 HHU983062:HHX983062 HRQ983062:HRT983062 IBM983062:IBP983062 ILI983062:ILL983062 IVE983062:IVH983062 JFA983062:JFD983062 JOW983062:JOZ983062 JYS983062:JYV983062 KIO983062:KIR983062 KSK983062:KSN983062 LCG983062:LCJ983062 LMC983062:LMF983062 LVY983062:LWB983062 MFU983062:MFX983062 MPQ983062:MPT983062 MZM983062:MZP983062 NJI983062:NJL983062 NTE983062:NTH983062 ODA983062:ODD983062 OMW983062:OMZ983062 OWS983062:OWV983062 PGO983062:PGR983062 PQK983062:PQN983062 QAG983062:QAJ983062 QKC983062:QKF983062 QTY983062:QUB983062 RDU983062:RDX983062 RNQ983062:RNT983062 RXM983062:RXP983062 SHI983062:SHL983062 SRE983062:SRH983062 TBA983062:TBD983062 TKW983062:TKZ983062 TUS983062:TUV983062 UEO983062:UER983062 UOK983062:UON983062 UYG983062:UYJ983062 VIC983062:VIF983062 VRY983062:VSB983062 WBU983062:WBX983062 WLQ983062:WLT983062 WVM983062:WVP983062 WVM917524:WVP917524 E983060:H983060 JA983060:JD983060 SW983060:SZ983060 ACS983060:ACV983060 AMO983060:AMR983060 AWK983060:AWN983060 BGG983060:BGJ983060 BQC983060:BQF983060 BZY983060:CAB983060 CJU983060:CJX983060 CTQ983060:CTT983060 DDM983060:DDP983060 DNI983060:DNL983060 DXE983060:DXH983060 EHA983060:EHD983060 EQW983060:EQZ983060 FAS983060:FAV983060 FKO983060:FKR983060 FUK983060:FUN983060 GEG983060:GEJ983060 GOC983060:GOF983060 GXY983060:GYB983060 HHU983060:HHX983060 HRQ983060:HRT983060 IBM983060:IBP983060 ILI983060:ILL983060 IVE983060:IVH983060 JFA983060:JFD983060 JOW983060:JOZ983060 JYS983060:JYV983060 KIO983060:KIR983060 KSK983060:KSN983060 LCG983060:LCJ983060 LMC983060:LMF983060 LVY983060:LWB983060 MFU983060:MFX983060 MPQ983060:MPT983060 MZM983060:MZP983060 NJI983060:NJL983060 NTE983060:NTH983060 ODA983060:ODD983060 OMW983060:OMZ983060 OWS983060:OWV983060 PGO983060:PGR983060 PQK983060:PQN983060 QAG983060:QAJ983060 QKC983060:QKF983060 QTY983060:QUB983060 RDU983060:RDX983060 RNQ983060:RNT983060 RXM983060:RXP983060 SHI983060:SHL983060 SRE983060:SRH983060 TBA983060:TBD983060 TKW983060:TKZ983060 TUS983060:TUV983060 UEO983060:UER983060 UOK983060:UON983060 UYG983060:UYJ983060 VIC983060:VIF983060 VRY983060:VSB983060 WBU983060:WBX983060 WLQ983060:WLT983060 E65556:H65556 JA65556:JD65556 SW65556:SZ65556 ACS65556:ACV65556 AMO65556:AMR65556 AWK65556:AWN65556 BGG65556:BGJ65556 BQC65556:BQF65556 BZY65556:CAB65556 CJU65556:CJX65556 CTQ65556:CTT65556 DDM65556:DDP65556 DNI65556:DNL65556 DXE65556:DXH65556 EHA65556:EHD65556 EQW65556:EQZ65556 FAS65556:FAV65556 FKO65556:FKR65556 FUK65556:FUN65556 GEG65556:GEJ65556 GOC65556:GOF65556 GXY65556:GYB65556 HHU65556:HHX65556 HRQ65556:HRT65556 IBM65556:IBP65556 ILI65556:ILL65556 IVE65556:IVH65556 JFA65556:JFD65556 JOW65556:JOZ65556 JYS65556:JYV65556 KIO65556:KIR65556 KSK65556:KSN65556 LCG65556:LCJ65556 LMC65556:LMF65556 LVY65556:LWB65556 MFU65556:MFX65556 MPQ65556:MPT65556 MZM65556:MZP65556 NJI65556:NJL65556 NTE65556:NTH65556 ODA65556:ODD65556 OMW65556:OMZ65556 OWS65556:OWV65556 PGO65556:PGR65556 PQK65556:PQN65556 QAG65556:QAJ65556 QKC65556:QKF65556 QTY65556:QUB65556 RDU65556:RDX65556 RNQ65556:RNT65556 RXM65556:RXP65556 SHI65556:SHL65556 SRE65556:SRH65556 TBA65556:TBD65556 TKW65556:TKZ65556 TUS65556:TUV65556 UEO65556:UER65556 UOK65556:UON65556 UYG65556:UYJ65556 VIC65556:VIF65556 VRY65556:VSB65556 WBU65556:WBX65556 WLQ65556:WLT65556 WVM65556:WVP65556 E131092:H131092 JA131092:JD131092 SW131092:SZ131092 ACS131092:ACV131092 AMO131092:AMR131092 AWK131092:AWN131092 BGG131092:BGJ131092 BQC131092:BQF131092 BZY131092:CAB131092 CJU131092:CJX131092 CTQ131092:CTT131092 DDM131092:DDP131092 DNI131092:DNL131092 DXE131092:DXH131092 EHA131092:EHD131092 EQW131092:EQZ131092 FAS131092:FAV131092 FKO131092:FKR131092 FUK131092:FUN131092 GEG131092:GEJ131092 GOC131092:GOF131092 GXY131092:GYB131092 HHU131092:HHX131092 HRQ131092:HRT131092 IBM131092:IBP131092 ILI131092:ILL131092 IVE131092:IVH131092 JFA131092:JFD131092 JOW131092:JOZ131092 JYS131092:JYV131092 KIO131092:KIR131092 KSK131092:KSN131092 LCG131092:LCJ131092 LMC131092:LMF131092 LVY131092:LWB131092 MFU131092:MFX131092 MPQ131092:MPT131092 MZM131092:MZP131092 NJI131092:NJL131092 NTE131092:NTH131092 ODA131092:ODD131092 OMW131092:OMZ131092 OWS131092:OWV131092 PGO131092:PGR131092 PQK131092:PQN131092 QAG131092:QAJ131092 QKC131092:QKF131092 QTY131092:QUB131092 RDU131092:RDX131092 RNQ131092:RNT131092 RXM131092:RXP131092 SHI131092:SHL131092 SRE131092:SRH131092 TBA131092:TBD131092 TKW131092:TKZ131092 TUS131092:TUV131092 UEO131092:UER131092 UOK131092:UON131092 UYG131092:UYJ131092 VIC131092:VIF131092 VRY131092:VSB131092 WBU131092:WBX131092 WLQ131092:WLT131092 WVM131092:WVP131092 E196628:H196628 JA196628:JD196628 SW196628:SZ196628 ACS196628:ACV196628 AMO196628:AMR196628 AWK196628:AWN196628 BGG196628:BGJ196628 BQC196628:BQF196628 BZY196628:CAB196628 CJU196628:CJX196628 CTQ196628:CTT196628 DDM196628:DDP196628 DNI196628:DNL196628 DXE196628:DXH196628 EHA196628:EHD196628 EQW196628:EQZ196628 FAS196628:FAV196628 FKO196628:FKR196628 FUK196628:FUN196628 GEG196628:GEJ196628 GOC196628:GOF196628 GXY196628:GYB196628 HHU196628:HHX196628 HRQ196628:HRT196628 IBM196628:IBP196628 ILI196628:ILL196628 IVE196628:IVH196628 JFA196628:JFD196628 JOW196628:JOZ196628 JYS196628:JYV196628 KIO196628:KIR196628 KSK196628:KSN196628 LCG196628:LCJ196628 LMC196628:LMF196628 LVY196628:LWB196628 MFU196628:MFX196628 MPQ196628:MPT196628 MZM196628:MZP196628 NJI196628:NJL196628 NTE196628:NTH196628 ODA196628:ODD196628 OMW196628:OMZ196628 OWS196628:OWV196628 PGO196628:PGR196628 PQK196628:PQN196628 QAG196628:QAJ196628 QKC196628:QKF196628 QTY196628:QUB196628 RDU196628:RDX196628 RNQ196628:RNT196628 RXM196628:RXP196628 SHI196628:SHL196628 SRE196628:SRH196628 TBA196628:TBD196628 TKW196628:TKZ196628 TUS196628:TUV196628 UEO196628:UER196628 UOK196628:UON196628 UYG196628:UYJ196628 VIC196628:VIF196628 VRY196628:VSB196628 WBU196628:WBX196628 WLQ196628:WLT196628 WVM196628:WVP196628 E262164:H262164 JA262164:JD262164 SW262164:SZ262164 ACS262164:ACV262164 AMO262164:AMR262164 AWK262164:AWN262164 BGG262164:BGJ262164 BQC262164:BQF262164 BZY262164:CAB262164 CJU262164:CJX262164 CTQ262164:CTT262164 DDM262164:DDP262164 DNI262164:DNL262164 DXE262164:DXH262164 EHA262164:EHD262164 EQW262164:EQZ262164 FAS262164:FAV262164 FKO262164:FKR262164 FUK262164:FUN262164 GEG262164:GEJ262164 GOC262164:GOF262164 GXY262164:GYB262164 HHU262164:HHX262164 HRQ262164:HRT262164 IBM262164:IBP262164 ILI262164:ILL262164 IVE262164:IVH262164 JFA262164:JFD262164 JOW262164:JOZ262164 JYS262164:JYV262164 KIO262164:KIR262164 KSK262164:KSN262164 LCG262164:LCJ262164 LMC262164:LMF262164 LVY262164:LWB262164 MFU262164:MFX262164 MPQ262164:MPT262164 MZM262164:MZP262164 NJI262164:NJL262164 NTE262164:NTH262164 ODA262164:ODD262164 OMW262164:OMZ262164 OWS262164:OWV262164 PGO262164:PGR262164 PQK262164:PQN262164 QAG262164:QAJ262164 QKC262164:QKF262164 QTY262164:QUB262164 RDU262164:RDX262164 RNQ262164:RNT262164 RXM262164:RXP262164 SHI262164:SHL262164 SRE262164:SRH262164 TBA262164:TBD262164 TKW262164:TKZ262164 TUS262164:TUV262164 UEO262164:UER262164 UOK262164:UON262164 UYG262164:UYJ262164 VIC262164:VIF262164 VRY262164:VSB262164 WBU262164:WBX262164 WLQ262164:WLT262164 WVM262164:WVP262164 E327700:H327700 JA327700:JD327700 SW327700:SZ327700 ACS327700:ACV327700 AMO327700:AMR327700 AWK327700:AWN327700 BGG327700:BGJ327700 BQC327700:BQF327700 BZY327700:CAB327700 CJU327700:CJX327700 CTQ327700:CTT327700 DDM327700:DDP327700 DNI327700:DNL327700 DXE327700:DXH327700 EHA327700:EHD327700 EQW327700:EQZ327700 FAS327700:FAV327700 FKO327700:FKR327700 FUK327700:FUN327700 GEG327700:GEJ327700 GOC327700:GOF327700 GXY327700:GYB327700 HHU327700:HHX327700 HRQ327700:HRT327700 IBM327700:IBP327700 ILI327700:ILL327700 IVE327700:IVH327700 JFA327700:JFD327700 JOW327700:JOZ327700 JYS327700:JYV327700 KIO327700:KIR327700 KSK327700:KSN327700 LCG327700:LCJ327700 LMC327700:LMF327700 LVY327700:LWB327700 MFU327700:MFX327700 MPQ327700:MPT327700 MZM327700:MZP327700 NJI327700:NJL327700 NTE327700:NTH327700 ODA327700:ODD327700 OMW327700:OMZ327700 OWS327700:OWV327700 PGO327700:PGR327700 PQK327700:PQN327700 QAG327700:QAJ327700 QKC327700:QKF327700 QTY327700:QUB327700 RDU327700:RDX327700 RNQ327700:RNT327700 RXM327700:RXP327700 SHI327700:SHL327700 SRE327700:SRH327700 TBA327700:TBD327700 TKW327700:TKZ327700 TUS327700:TUV327700 UEO327700:UER327700 UOK327700:UON327700 UYG327700:UYJ327700 VIC327700:VIF327700 VRY327700:VSB327700 WBU327700:WBX327700 WLQ327700:WLT327700 WVM327700:WVP327700 E393236:H393236 JA393236:JD393236 SW393236:SZ393236 ACS393236:ACV393236 AMO393236:AMR393236 AWK393236:AWN393236 BGG393236:BGJ393236 BQC393236:BQF393236 BZY393236:CAB393236 CJU393236:CJX393236 CTQ393236:CTT393236 DDM393236:DDP393236 DNI393236:DNL393236 DXE393236:DXH393236 EHA393236:EHD393236 EQW393236:EQZ393236 FAS393236:FAV393236 FKO393236:FKR393236 FUK393236:FUN393236 GEG393236:GEJ393236 GOC393236:GOF393236 GXY393236:GYB393236 HHU393236:HHX393236 HRQ393236:HRT393236 IBM393236:IBP393236 ILI393236:ILL393236 IVE393236:IVH393236 JFA393236:JFD393236 JOW393236:JOZ393236 JYS393236:JYV393236 KIO393236:KIR393236 KSK393236:KSN393236 LCG393236:LCJ393236 LMC393236:LMF393236 LVY393236:LWB393236 MFU393236:MFX393236 MPQ393236:MPT393236 MZM393236:MZP393236 NJI393236:NJL393236 NTE393236:NTH393236 ODA393236:ODD393236 OMW393236:OMZ393236 OWS393236:OWV393236 PGO393236:PGR393236 PQK393236:PQN393236 QAG393236:QAJ393236 QKC393236:QKF393236 QTY393236:QUB393236 RDU393236:RDX393236 RNQ393236:RNT393236 RXM393236:RXP393236 SHI393236:SHL393236 SRE393236:SRH393236 TBA393236:TBD393236 TKW393236:TKZ393236 TUS393236:TUV393236 UEO393236:UER393236 UOK393236:UON393236 UYG393236:UYJ393236 VIC393236:VIF393236 VRY393236:VSB393236 WBU393236:WBX393236 WLQ393236:WLT393236 WVM393236:WVP393236 E458772:H458772 JA458772:JD458772 SW458772:SZ458772 ACS458772:ACV458772 AMO458772:AMR458772 AWK458772:AWN458772 BGG458772:BGJ458772 BQC458772:BQF458772 BZY458772:CAB458772 CJU458772:CJX458772 CTQ458772:CTT458772 DDM458772:DDP458772 DNI458772:DNL458772 DXE458772:DXH458772 EHA458772:EHD458772 EQW458772:EQZ458772 FAS458772:FAV458772 FKO458772:FKR458772 FUK458772:FUN458772 GEG458772:GEJ458772 GOC458772:GOF458772 GXY458772:GYB458772 HHU458772:HHX458772 HRQ458772:HRT458772 IBM458772:IBP458772 ILI458772:ILL458772 IVE458772:IVH458772 JFA458772:JFD458772 JOW458772:JOZ458772 JYS458772:JYV458772 KIO458772:KIR458772 KSK458772:KSN458772 LCG458772:LCJ458772 LMC458772:LMF458772 LVY458772:LWB458772 MFU458772:MFX458772 MPQ458772:MPT458772 MZM458772:MZP458772 NJI458772:NJL458772 NTE458772:NTH458772 ODA458772:ODD458772 OMW458772:OMZ458772 OWS458772:OWV458772 PGO458772:PGR458772 PQK458772:PQN458772 QAG458772:QAJ458772 QKC458772:QKF458772 QTY458772:QUB458772 RDU458772:RDX458772 RNQ458772:RNT458772 RXM458772:RXP458772 SHI458772:SHL458772 SRE458772:SRH458772 TBA458772:TBD458772 TKW458772:TKZ458772 TUS458772:TUV458772 UEO458772:UER458772 UOK458772:UON458772 UYG458772:UYJ458772 VIC458772:VIF458772 VRY458772:VSB458772 WBU458772:WBX458772 WLQ458772:WLT458772 WVM458772:WVP458772 E524308:H524308 JA524308:JD524308 SW524308:SZ524308 ACS524308:ACV524308 AMO524308:AMR524308 AWK524308:AWN524308 BGG524308:BGJ524308 BQC524308:BQF524308 BZY524308:CAB524308 CJU524308:CJX524308 CTQ524308:CTT524308 DDM524308:DDP524308 DNI524308:DNL524308 DXE524308:DXH524308 EHA524308:EHD524308 EQW524308:EQZ524308 FAS524308:FAV524308 FKO524308:FKR524308 FUK524308:FUN524308 GEG524308:GEJ524308 GOC524308:GOF524308 GXY524308:GYB524308 HHU524308:HHX524308 HRQ524308:HRT524308 IBM524308:IBP524308 ILI524308:ILL524308 IVE524308:IVH524308 JFA524308:JFD524308 JOW524308:JOZ524308 JYS524308:JYV524308 KIO524308:KIR524308 KSK524308:KSN524308 LCG524308:LCJ524308 LMC524308:LMF524308 LVY524308:LWB524308 MFU524308:MFX524308 MPQ524308:MPT524308 MZM524308:MZP524308 NJI524308:NJL524308 NTE524308:NTH524308 ODA524308:ODD524308 OMW524308:OMZ524308 OWS524308:OWV524308 PGO524308:PGR524308 PQK524308:PQN524308 QAG524308:QAJ524308 QKC524308:QKF524308 QTY524308:QUB524308 RDU524308:RDX524308 RNQ524308:RNT524308 RXM524308:RXP524308 SHI524308:SHL524308 SRE524308:SRH524308 TBA524308:TBD524308 TKW524308:TKZ524308 TUS524308:TUV524308 UEO524308:UER524308 UOK524308:UON524308 UYG524308:UYJ524308 VIC524308:VIF524308 VRY524308:VSB524308 WBU524308:WBX524308 WLQ524308:WLT524308 WVM524308:WVP524308 E589844:H589844 JA589844:JD589844 SW589844:SZ589844 ACS589844:ACV589844 AMO589844:AMR589844 AWK589844:AWN589844 BGG589844:BGJ589844 BQC589844:BQF589844 BZY589844:CAB589844 CJU589844:CJX589844 CTQ589844:CTT589844 DDM589844:DDP589844 DNI589844:DNL589844 DXE589844:DXH589844 EHA589844:EHD589844 EQW589844:EQZ589844 FAS589844:FAV589844 FKO589844:FKR589844 FUK589844:FUN589844 GEG589844:GEJ589844 GOC589844:GOF589844 GXY589844:GYB589844 HHU589844:HHX589844 HRQ589844:HRT589844 IBM589844:IBP589844 ILI589844:ILL589844 IVE589844:IVH589844 JFA589844:JFD589844 JOW589844:JOZ589844 JYS589844:JYV589844 KIO589844:KIR589844 KSK589844:KSN589844 LCG589844:LCJ589844 LMC589844:LMF589844 LVY589844:LWB589844 MFU589844:MFX589844 MPQ589844:MPT589844 MZM589844:MZP589844 NJI589844:NJL589844 NTE589844:NTH589844 ODA589844:ODD589844 OMW589844:OMZ589844 OWS589844:OWV589844 PGO589844:PGR589844 PQK589844:PQN589844 QAG589844:QAJ589844 QKC589844:QKF589844 QTY589844:QUB589844 RDU589844:RDX589844 RNQ589844:RNT589844 RXM589844:RXP589844 SHI589844:SHL589844 SRE589844:SRH589844 TBA589844:TBD589844 TKW589844:TKZ589844 TUS589844:TUV589844 UEO589844:UER589844 UOK589844:UON589844 UYG589844:UYJ589844 VIC589844:VIF589844 VRY589844:VSB589844 WBU589844:WBX589844 WLQ589844:WLT589844 WVM589844:WVP589844 E655380:H655380 JA655380:JD655380 SW655380:SZ655380 ACS655380:ACV655380 AMO655380:AMR655380 AWK655380:AWN655380 BGG655380:BGJ655380 BQC655380:BQF655380 BZY655380:CAB655380 CJU655380:CJX655380 CTQ655380:CTT655380 DDM655380:DDP655380 DNI655380:DNL655380 DXE655380:DXH655380 EHA655380:EHD655380 EQW655380:EQZ655380 FAS655380:FAV655380 FKO655380:FKR655380 FUK655380:FUN655380 GEG655380:GEJ655380 GOC655380:GOF655380 GXY655380:GYB655380 HHU655380:HHX655380 HRQ655380:HRT655380 IBM655380:IBP655380 ILI655380:ILL655380 IVE655380:IVH655380 JFA655380:JFD655380 JOW655380:JOZ655380 JYS655380:JYV655380 KIO655380:KIR655380 KSK655380:KSN655380 LCG655380:LCJ655380 LMC655380:LMF655380 LVY655380:LWB655380 MFU655380:MFX655380 MPQ655380:MPT655380 MZM655380:MZP655380 NJI655380:NJL655380 NTE655380:NTH655380 ODA655380:ODD655380 OMW655380:OMZ655380 OWS655380:OWV655380 PGO655380:PGR655380 PQK655380:PQN655380 QAG655380:QAJ655380 QKC655380:QKF655380 QTY655380:QUB655380 RDU655380:RDX655380 RNQ655380:RNT655380 RXM655380:RXP655380 SHI655380:SHL655380 SRE655380:SRH655380 TBA655380:TBD655380 TKW655380:TKZ655380 TUS655380:TUV655380 UEO655380:UER655380 UOK655380:UON655380 UYG655380:UYJ655380 VIC655380:VIF655380 VRY655380:VSB655380 WBU655380:WBX655380 WLQ655380:WLT655380 WVM655380:WVP655380 E720916:H720916 JA720916:JD720916 SW720916:SZ720916 ACS720916:ACV720916 AMO720916:AMR720916 AWK720916:AWN720916 BGG720916:BGJ720916 BQC720916:BQF720916 BZY720916:CAB720916 CJU720916:CJX720916 CTQ720916:CTT720916 DDM720916:DDP720916 DNI720916:DNL720916 DXE720916:DXH720916 EHA720916:EHD720916 EQW720916:EQZ720916 FAS720916:FAV720916 FKO720916:FKR720916 FUK720916:FUN720916 GEG720916:GEJ720916 GOC720916:GOF720916 GXY720916:GYB720916 HHU720916:HHX720916 HRQ720916:HRT720916 IBM720916:IBP720916 ILI720916:ILL720916 IVE720916:IVH720916 JFA720916:JFD720916 JOW720916:JOZ720916 JYS720916:JYV720916 KIO720916:KIR720916 KSK720916:KSN720916 LCG720916:LCJ720916 LMC720916:LMF720916 LVY720916:LWB720916 MFU720916:MFX720916 MPQ720916:MPT720916 MZM720916:MZP720916 NJI720916:NJL720916 NTE720916:NTH720916 ODA720916:ODD720916 OMW720916:OMZ720916 OWS720916:OWV720916 PGO720916:PGR720916 PQK720916:PQN720916 QAG720916:QAJ720916 QKC720916:QKF720916 QTY720916:QUB720916 RDU720916:RDX720916 RNQ720916:RNT720916 RXM720916:RXP720916 SHI720916:SHL720916 SRE720916:SRH720916 TBA720916:TBD720916 TKW720916:TKZ720916 TUS720916:TUV720916 UEO720916:UER720916 UOK720916:UON720916 UYG720916:UYJ720916 VIC720916:VIF720916 VRY720916:VSB720916 WBU720916:WBX720916 WLQ720916:WLT720916 WVM720916:WVP720916 JA20:JD20 SW20:SZ20 ACS20:ACV20 AMO20:AMR20 AWK20:AWN20 BGG20:BGJ20 BQC20:BQF20 BZY20:CAB20 CJU20:CJX20 CTQ20:CTT20 DDM20:DDP20 DNI20:DNL20 DXE20:DXH20 EHA20:EHD20 EQW20:EQZ20 FAS20:FAV20 FKO20:FKR20 FUK20:FUN20 GEG20:GEJ20 GOC20:GOF20 GXY20:GYB20 HHU20:HHX20 HRQ20:HRT20 IBM20:IBP20 ILI20:ILL20 IVE20:IVH20 JFA20:JFD20 JOW20:JOZ20 JYS20:JYV20 KIO20:KIR20 KSK20:KSN20 LCG20:LCJ20 LMC20:LMF20 LVY20:LWB20 MFU20:MFX20 MPQ20:MPT20 MZM20:MZP20 NJI20:NJL20 NTE20:NTH20 ODA20:ODD20 OMW20:OMZ20 OWS20:OWV20 PGO20:PGR20 PQK20:PQN20 QAG20:QAJ20 QKC20:QKF20 QTY20:QUB20 RDU20:RDX20 RNQ20:RNT20 RXM20:RXP20 SHI20:SHL20 SRE20:SRH20 TBA20:TBD20 TKW20:TKZ20 TUS20:TUV20 UEO20:UER20 UOK20:UON20 UYG20:UYJ20 VIC20:VIF20 VRY20:VSB20 WBU20:WBX20 WLQ20:WLT20 WVM20:WVP20 E20 JA18:JD18 SW18:SZ18 ACS18:ACV18 AMO18:AMR18 AWK18:AWN18 BGG18:BGJ18 BQC18:BQF18 BZY18:CAB18 CJU18:CJX18 CTQ18:CTT18 DDM18:DDP18 DNI18:DNL18 DXE18:DXH18 EHA18:EHD18 EQW18:EQZ18 FAS18:FAV18 FKO18:FKR18 FUK18:FUN18 GEG18:GEJ18 GOC18:GOF18 GXY18:GYB18 HHU18:HHX18 HRQ18:HRT18 IBM18:IBP18 ILI18:ILL18 IVE18:IVH18 JFA18:JFD18 JOW18:JOZ18 JYS18:JYV18 KIO18:KIR18 KSK18:KSN18 LCG18:LCJ18 LMC18:LMF18 LVY18:LWB18 MFU18:MFX18 MPQ18:MPT18 MZM18:MZP18 NJI18:NJL18 NTE18:NTH18 ODA18:ODD18 OMW18:OMZ18 OWS18:OWV18 PGO18:PGR18 PQK18:PQN18 QAG18:QAJ18 QKC18:QKF18 QTY18:QUB18 RDU18:RDX18 RNQ18:RNT18 RXM18:RXP18 SHI18:SHL18 SRE18:SRH18 TBA18:TBD18 TKW18:TKZ18 TUS18:TUV18 UEO18:UER18 UOK18:UON18 UYG18:UYJ18 VIC18:VIF18 VRY18:VSB18 WBU18:WBX18 WLQ18:WLT18 WVM18:WVP18 E25:H25 JA25:JD25 SW25:SZ25 ACS25:ACV25 AMO25:AMR25 AWK25:AWN25 BGG25:BGJ25 BQC25:BQF25 BZY25:CAB25 CJU25:CJX25 CTQ25:CTT25 DDM25:DDP25 DNI25:DNL25 DXE25:DXH25 EHA25:EHD25 EQW25:EQZ25 FAS25:FAV25 FKO25:FKR25 FUK25:FUN25 GEG25:GEJ25 GOC25:GOF25 GXY25:GYB25 HHU25:HHX25 HRQ25:HRT25 IBM25:IBP25 ILI25:ILL25 IVE25:IVH25 JFA25:JFD25 JOW25:JOZ25 JYS25:JYV25 KIO25:KIR25 KSK25:KSN25 LCG25:LCJ25 LMC25:LMF25 LVY25:LWB25 MFU25:MFX25 MPQ25:MPT25 MZM25:MZP25 NJI25:NJL25 NTE25:NTH25 ODA25:ODD25 OMW25:OMZ25 OWS25:OWV25 PGO25:PGR25 PQK25:PQN25 QAG25:QAJ25 QKC25:QKF25 QTY25:QUB25 RDU25:RDX25 RNQ25:RNT25 RXM25:RXP25 SHI25:SHL25 SRE25:SRH25 TBA25:TBD25 TKW25:TKZ25 TUS25:TUV25 UEO25:UER25 UOK25:UON25 UYG25:UYJ25 VIC25:VIF25 VRY25:VSB25 WBU25:WBX25 WLQ25:WLT25 WVM25:WVP25 E23:H23 JA23:JD23 SW23:SZ23 ACS23:ACV23 AMO23:AMR23 AWK23:AWN23 BGG23:BGJ23 BQC23:BQF23 BZY23:CAB23 CJU23:CJX23 CTQ23:CTT23 DDM23:DDP23 DNI23:DNL23 DXE23:DXH23 EHA23:EHD23 EQW23:EQZ23 FAS23:FAV23 FKO23:FKR23 FUK23:FUN23 GEG23:GEJ23 GOC23:GOF23 GXY23:GYB23 HHU23:HHX23 HRQ23:HRT23 IBM23:IBP23 ILI23:ILL23 IVE23:IVH23 JFA23:JFD23 JOW23:JOZ23 JYS23:JYV23 KIO23:KIR23 KSK23:KSN23 LCG23:LCJ23 LMC23:LMF23 LVY23:LWB23 MFU23:MFX23 MPQ23:MPT23 MZM23:MZP23 NJI23:NJL23 NTE23:NTH23 ODA23:ODD23 OMW23:OMZ23 OWS23:OWV23 PGO23:PGR23 PQK23:PQN23 QAG23:QAJ23 QKC23:QKF23 QTY23:QUB23 RDU23:RDX23 RNQ23:RNT23 RXM23:RXP23 SHI23:SHL23 SRE23:SRH23 TBA23:TBD23 TKW23:TKZ23 TUS23:TUV23 UEO23:UER23 UOK23:UON23 UYG23:UYJ23 VIC23:VIF23 VRY23:VSB23 WBU23:WBX23 WLQ23:WLT23 WVM23:WVP23 E18">
      <formula1>1</formula1>
    </dataValidation>
    <dataValidation type="whole" operator="greaterThan" showInputMessage="1" showErrorMessage="1" sqref="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formula1>1</formula1>
    </dataValidation>
    <dataValidation type="list" allowBlank="1" showInputMessage="1" showErrorMessage="1" sqref="WVK98308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formula1>"1999,2000,2001,2002,2003,2004,2005,2006,2007,2008,2009,2010,2011,2012,2013,2014,2015,2016,2017,2018,2019,2020,2021,2022,2023,2024"</formula1>
    </dataValidation>
    <dataValidation type="list" allowBlank="1" showInputMessage="1" showErrorMessage="1" sqref="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IY46">
      <formula1>"Regulatory proposal, Revised regulatory proposal, After appeal, Draft decision, Final decision, Pass through decision, Contingent projects"</formula1>
    </dataValidation>
    <dataValidation type="list" allowBlank="1" showInputMessage="1" showErrorMessage="1" sqref="WVK98308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formula1>"Financial, Calendar, Other"</formula1>
    </dataValidation>
    <dataValidation type="list" allowBlank="1" showInputMessage="1" showErrorMessage="1" sqref="WVK983088 C65584 IY65584 SU65584 ACQ65584 AMM65584 AWI65584 BGE65584 BQA65584 BZW65584 CJS65584 CTO65584 DDK65584 DNG65584 DXC65584 EGY65584 EQU65584 FAQ65584 FKM65584 FUI65584 GEE65584 GOA65584 GXW65584 HHS65584 HRO65584 IBK65584 ILG65584 IVC65584 JEY65584 JOU65584 JYQ65584 KIM65584 KSI65584 LCE65584 LMA65584 LVW65584 MFS65584 MPO65584 MZK65584 NJG65584 NTC65584 OCY65584 OMU65584 OWQ65584 PGM65584 PQI65584 QAE65584 QKA65584 QTW65584 RDS65584 RNO65584 RXK65584 SHG65584 SRC65584 TAY65584 TKU65584 TUQ65584 UEM65584 UOI65584 UYE65584 VIA65584 VRW65584 WBS65584 WLO65584 WVK65584 C131120 IY131120 SU131120 ACQ131120 AMM131120 AWI131120 BGE131120 BQA131120 BZW131120 CJS131120 CTO131120 DDK131120 DNG131120 DXC131120 EGY131120 EQU131120 FAQ131120 FKM131120 FUI131120 GEE131120 GOA131120 GXW131120 HHS131120 HRO131120 IBK131120 ILG131120 IVC131120 JEY131120 JOU131120 JYQ131120 KIM131120 KSI131120 LCE131120 LMA131120 LVW131120 MFS131120 MPO131120 MZK131120 NJG131120 NTC131120 OCY131120 OMU131120 OWQ131120 PGM131120 PQI131120 QAE131120 QKA131120 QTW131120 RDS131120 RNO131120 RXK131120 SHG131120 SRC131120 TAY131120 TKU131120 TUQ131120 UEM131120 UOI131120 UYE131120 VIA131120 VRW131120 WBS131120 WLO131120 WVK131120 C196656 IY196656 SU196656 ACQ196656 AMM196656 AWI196656 BGE196656 BQA196656 BZW196656 CJS196656 CTO196656 DDK196656 DNG196656 DXC196656 EGY196656 EQU196656 FAQ196656 FKM196656 FUI196656 GEE196656 GOA196656 GXW196656 HHS196656 HRO196656 IBK196656 ILG196656 IVC196656 JEY196656 JOU196656 JYQ196656 KIM196656 KSI196656 LCE196656 LMA196656 LVW196656 MFS196656 MPO196656 MZK196656 NJG196656 NTC196656 OCY196656 OMU196656 OWQ196656 PGM196656 PQI196656 QAE196656 QKA196656 QTW196656 RDS196656 RNO196656 RXK196656 SHG196656 SRC196656 TAY196656 TKU196656 TUQ196656 UEM196656 UOI196656 UYE196656 VIA196656 VRW196656 WBS196656 WLO196656 WVK196656 C262192 IY262192 SU262192 ACQ262192 AMM262192 AWI262192 BGE262192 BQA262192 BZW262192 CJS262192 CTO262192 DDK262192 DNG262192 DXC262192 EGY262192 EQU262192 FAQ262192 FKM262192 FUI262192 GEE262192 GOA262192 GXW262192 HHS262192 HRO262192 IBK262192 ILG262192 IVC262192 JEY262192 JOU262192 JYQ262192 KIM262192 KSI262192 LCE262192 LMA262192 LVW262192 MFS262192 MPO262192 MZK262192 NJG262192 NTC262192 OCY262192 OMU262192 OWQ262192 PGM262192 PQI262192 QAE262192 QKA262192 QTW262192 RDS262192 RNO262192 RXK262192 SHG262192 SRC262192 TAY262192 TKU262192 TUQ262192 UEM262192 UOI262192 UYE262192 VIA262192 VRW262192 WBS262192 WLO262192 WVK262192 C327728 IY327728 SU327728 ACQ327728 AMM327728 AWI327728 BGE327728 BQA327728 BZW327728 CJS327728 CTO327728 DDK327728 DNG327728 DXC327728 EGY327728 EQU327728 FAQ327728 FKM327728 FUI327728 GEE327728 GOA327728 GXW327728 HHS327728 HRO327728 IBK327728 ILG327728 IVC327728 JEY327728 JOU327728 JYQ327728 KIM327728 KSI327728 LCE327728 LMA327728 LVW327728 MFS327728 MPO327728 MZK327728 NJG327728 NTC327728 OCY327728 OMU327728 OWQ327728 PGM327728 PQI327728 QAE327728 QKA327728 QTW327728 RDS327728 RNO327728 RXK327728 SHG327728 SRC327728 TAY327728 TKU327728 TUQ327728 UEM327728 UOI327728 UYE327728 VIA327728 VRW327728 WBS327728 WLO327728 WVK327728 C393264 IY393264 SU393264 ACQ393264 AMM393264 AWI393264 BGE393264 BQA393264 BZW393264 CJS393264 CTO393264 DDK393264 DNG393264 DXC393264 EGY393264 EQU393264 FAQ393264 FKM393264 FUI393264 GEE393264 GOA393264 GXW393264 HHS393264 HRO393264 IBK393264 ILG393264 IVC393264 JEY393264 JOU393264 JYQ393264 KIM393264 KSI393264 LCE393264 LMA393264 LVW393264 MFS393264 MPO393264 MZK393264 NJG393264 NTC393264 OCY393264 OMU393264 OWQ393264 PGM393264 PQI393264 QAE393264 QKA393264 QTW393264 RDS393264 RNO393264 RXK393264 SHG393264 SRC393264 TAY393264 TKU393264 TUQ393264 UEM393264 UOI393264 UYE393264 VIA393264 VRW393264 WBS393264 WLO393264 WVK393264 C458800 IY458800 SU458800 ACQ458800 AMM458800 AWI458800 BGE458800 BQA458800 BZW458800 CJS458800 CTO458800 DDK458800 DNG458800 DXC458800 EGY458800 EQU458800 FAQ458800 FKM458800 FUI458800 GEE458800 GOA458800 GXW458800 HHS458800 HRO458800 IBK458800 ILG458800 IVC458800 JEY458800 JOU458800 JYQ458800 KIM458800 KSI458800 LCE458800 LMA458800 LVW458800 MFS458800 MPO458800 MZK458800 NJG458800 NTC458800 OCY458800 OMU458800 OWQ458800 PGM458800 PQI458800 QAE458800 QKA458800 QTW458800 RDS458800 RNO458800 RXK458800 SHG458800 SRC458800 TAY458800 TKU458800 TUQ458800 UEM458800 UOI458800 UYE458800 VIA458800 VRW458800 WBS458800 WLO458800 WVK458800 C524336 IY524336 SU524336 ACQ524336 AMM524336 AWI524336 BGE524336 BQA524336 BZW524336 CJS524336 CTO524336 DDK524336 DNG524336 DXC524336 EGY524336 EQU524336 FAQ524336 FKM524336 FUI524336 GEE524336 GOA524336 GXW524336 HHS524336 HRO524336 IBK524336 ILG524336 IVC524336 JEY524336 JOU524336 JYQ524336 KIM524336 KSI524336 LCE524336 LMA524336 LVW524336 MFS524336 MPO524336 MZK524336 NJG524336 NTC524336 OCY524336 OMU524336 OWQ524336 PGM524336 PQI524336 QAE524336 QKA524336 QTW524336 RDS524336 RNO524336 RXK524336 SHG524336 SRC524336 TAY524336 TKU524336 TUQ524336 UEM524336 UOI524336 UYE524336 VIA524336 VRW524336 WBS524336 WLO524336 WVK524336 C589872 IY589872 SU589872 ACQ589872 AMM589872 AWI589872 BGE589872 BQA589872 BZW589872 CJS589872 CTO589872 DDK589872 DNG589872 DXC589872 EGY589872 EQU589872 FAQ589872 FKM589872 FUI589872 GEE589872 GOA589872 GXW589872 HHS589872 HRO589872 IBK589872 ILG589872 IVC589872 JEY589872 JOU589872 JYQ589872 KIM589872 KSI589872 LCE589872 LMA589872 LVW589872 MFS589872 MPO589872 MZK589872 NJG589872 NTC589872 OCY589872 OMU589872 OWQ589872 PGM589872 PQI589872 QAE589872 QKA589872 QTW589872 RDS589872 RNO589872 RXK589872 SHG589872 SRC589872 TAY589872 TKU589872 TUQ589872 UEM589872 UOI589872 UYE589872 VIA589872 VRW589872 WBS589872 WLO589872 WVK589872 C655408 IY655408 SU655408 ACQ655408 AMM655408 AWI655408 BGE655408 BQA655408 BZW655408 CJS655408 CTO655408 DDK655408 DNG655408 DXC655408 EGY655408 EQU655408 FAQ655408 FKM655408 FUI655408 GEE655408 GOA655408 GXW655408 HHS655408 HRO655408 IBK655408 ILG655408 IVC655408 JEY655408 JOU655408 JYQ655408 KIM655408 KSI655408 LCE655408 LMA655408 LVW655408 MFS655408 MPO655408 MZK655408 NJG655408 NTC655408 OCY655408 OMU655408 OWQ655408 PGM655408 PQI655408 QAE655408 QKA655408 QTW655408 RDS655408 RNO655408 RXK655408 SHG655408 SRC655408 TAY655408 TKU655408 TUQ655408 UEM655408 UOI655408 UYE655408 VIA655408 VRW655408 WBS655408 WLO655408 WVK655408 C720944 IY720944 SU720944 ACQ720944 AMM720944 AWI720944 BGE720944 BQA720944 BZW720944 CJS720944 CTO720944 DDK720944 DNG720944 DXC720944 EGY720944 EQU720944 FAQ720944 FKM720944 FUI720944 GEE720944 GOA720944 GXW720944 HHS720944 HRO720944 IBK720944 ILG720944 IVC720944 JEY720944 JOU720944 JYQ720944 KIM720944 KSI720944 LCE720944 LMA720944 LVW720944 MFS720944 MPO720944 MZK720944 NJG720944 NTC720944 OCY720944 OMU720944 OWQ720944 PGM720944 PQI720944 QAE720944 QKA720944 QTW720944 RDS720944 RNO720944 RXK720944 SHG720944 SRC720944 TAY720944 TKU720944 TUQ720944 UEM720944 UOI720944 UYE720944 VIA720944 VRW720944 WBS720944 WLO720944 WVK720944 C786480 IY786480 SU786480 ACQ786480 AMM786480 AWI786480 BGE786480 BQA786480 BZW786480 CJS786480 CTO786480 DDK786480 DNG786480 DXC786480 EGY786480 EQU786480 FAQ786480 FKM786480 FUI786480 GEE786480 GOA786480 GXW786480 HHS786480 HRO786480 IBK786480 ILG786480 IVC786480 JEY786480 JOU786480 JYQ786480 KIM786480 KSI786480 LCE786480 LMA786480 LVW786480 MFS786480 MPO786480 MZK786480 NJG786480 NTC786480 OCY786480 OMU786480 OWQ786480 PGM786480 PQI786480 QAE786480 QKA786480 QTW786480 RDS786480 RNO786480 RXK786480 SHG786480 SRC786480 TAY786480 TKU786480 TUQ786480 UEM786480 UOI786480 UYE786480 VIA786480 VRW786480 WBS786480 WLO786480 WVK786480 C852016 IY852016 SU852016 ACQ852016 AMM852016 AWI852016 BGE852016 BQA852016 BZW852016 CJS852016 CTO852016 DDK852016 DNG852016 DXC852016 EGY852016 EQU852016 FAQ852016 FKM852016 FUI852016 GEE852016 GOA852016 GXW852016 HHS852016 HRO852016 IBK852016 ILG852016 IVC852016 JEY852016 JOU852016 JYQ852016 KIM852016 KSI852016 LCE852016 LMA852016 LVW852016 MFS852016 MPO852016 MZK852016 NJG852016 NTC852016 OCY852016 OMU852016 OWQ852016 PGM852016 PQI852016 QAE852016 QKA852016 QTW852016 RDS852016 RNO852016 RXK852016 SHG852016 SRC852016 TAY852016 TKU852016 TUQ852016 UEM852016 UOI852016 UYE852016 VIA852016 VRW852016 WBS852016 WLO852016 WVK852016 C917552 IY917552 SU917552 ACQ917552 AMM917552 AWI917552 BGE917552 BQA917552 BZW917552 CJS917552 CTO917552 DDK917552 DNG917552 DXC917552 EGY917552 EQU917552 FAQ917552 FKM917552 FUI917552 GEE917552 GOA917552 GXW917552 HHS917552 HRO917552 IBK917552 ILG917552 IVC917552 JEY917552 JOU917552 JYQ917552 KIM917552 KSI917552 LCE917552 LMA917552 LVW917552 MFS917552 MPO917552 MZK917552 NJG917552 NTC917552 OCY917552 OMU917552 OWQ917552 PGM917552 PQI917552 QAE917552 QKA917552 QTW917552 RDS917552 RNO917552 RXK917552 SHG917552 SRC917552 TAY917552 TKU917552 TUQ917552 UEM917552 UOI917552 UYE917552 VIA917552 VRW917552 WBS917552 WLO917552 WVK917552 C983088 IY983088 SU983088 ACQ983088 AMM983088 AWI983088 BGE983088 BQA983088 BZW983088 CJS983088 CTO983088 DDK983088 DNG983088 DXC983088 EGY983088 EQU983088 FAQ983088 FKM983088 FUI983088 GEE983088 GOA983088 GXW983088 HHS983088 HRO983088 IBK983088 ILG983088 IVC983088 JEY983088 JOU983088 JYQ983088 KIM983088 KSI983088 LCE983088 LMA983088 LVW983088 MFS983088 MPO983088 MZK983088 NJG983088 NTC983088 OCY983088 OMU983088 OWQ983088 PGM983088 PQI983088 QAE983088 QKA983088 QTW983088 RDS983088 RNO983088 RXK983088 SHG983088 SRC983088 TAY983088 TKU983088 TUQ983088 UEM983088 UOI983088 UYE983088 VIA983088 VRW983088 WBS983088 WLO983088">
      <formula1>"Actual, Estimate, Consolidated, Public"</formula1>
    </dataValidation>
    <dataValidation type="textLength" operator="lessThanOrEqual" showInputMessage="1" showErrorMessage="1" sqref="WVK983051:WVP983051 C983051:H983051 IY983051:JD983051 SU983051:SZ983051 ACQ983051:ACV983051 AMM983051:AMR983051 AWI983051:AWN983051 BGE983051:BGJ983051 BQA983051:BQF983051 BZW983051:CAB983051 CJS983051:CJX983051 CTO983051:CTT983051 DDK983051:DDP983051 DNG983051:DNL983051 DXC983051:DXH983051 EGY983051:EHD983051 EQU983051:EQZ983051 FAQ983051:FAV983051 FKM983051:FKR983051 FUI983051:FUN983051 GEE983051:GEJ983051 GOA983051:GOF983051 GXW983051:GYB983051 HHS983051:HHX983051 HRO983051:HRT983051 IBK983051:IBP983051 ILG983051:ILL983051 IVC983051:IVH983051 JEY983051:JFD983051 JOU983051:JOZ983051 JYQ983051:JYV983051 KIM983051:KIR983051 KSI983051:KSN983051 LCE983051:LCJ983051 LMA983051:LMF983051 LVW983051:LWB983051 MFS983051:MFX983051 MPO983051:MPT983051 MZK983051:MZP983051 NJG983051:NJL983051 NTC983051:NTH983051 OCY983051:ODD983051 OMU983051:OMZ983051 OWQ983051:OWV983051 PGM983051:PGR983051 PQI983051:PQN983051 QAE983051:QAJ983051 QKA983051:QKF983051 QTW983051:QUB983051 RDS983051:RDX983051 RNO983051:RNT983051 RXK983051:RXP983051 SHG983051:SHL983051 SRC983051:SRH983051 TAY983051:TBD983051 TKU983051:TKZ983051 TUQ983051:TUV983051 UEM983051:UER983051 UOI983051:UON983051 UYE983051:UYJ983051 VIA983051:VIF983051 VRW983051:VSB983051 WBS983051:WBX983051 WLO983051:WLT983051 C65547:H65547 IY65547:JD65547 SU65547:SZ65547 ACQ65547:ACV65547 AMM65547:AMR65547 AWI65547:AWN65547 BGE65547:BGJ65547 BQA65547:BQF65547 BZW65547:CAB65547 CJS65547:CJX65547 CTO65547:CTT65547 DDK65547:DDP65547 DNG65547:DNL65547 DXC65547:DXH65547 EGY65547:EHD65547 EQU65547:EQZ65547 FAQ65547:FAV65547 FKM65547:FKR65547 FUI65547:FUN65547 GEE65547:GEJ65547 GOA65547:GOF65547 GXW65547:GYB65547 HHS65547:HHX65547 HRO65547:HRT65547 IBK65547:IBP65547 ILG65547:ILL65547 IVC65547:IVH65547 JEY65547:JFD65547 JOU65547:JOZ65547 JYQ65547:JYV65547 KIM65547:KIR65547 KSI65547:KSN65547 LCE65547:LCJ65547 LMA65547:LMF65547 LVW65547:LWB65547 MFS65547:MFX65547 MPO65547:MPT65547 MZK65547:MZP65547 NJG65547:NJL65547 NTC65547:NTH65547 OCY65547:ODD65547 OMU65547:OMZ65547 OWQ65547:OWV65547 PGM65547:PGR65547 PQI65547:PQN65547 QAE65547:QAJ65547 QKA65547:QKF65547 QTW65547:QUB65547 RDS65547:RDX65547 RNO65547:RNT65547 RXK65547:RXP65547 SHG65547:SHL65547 SRC65547:SRH65547 TAY65547:TBD65547 TKU65547:TKZ65547 TUQ65547:TUV65547 UEM65547:UER65547 UOI65547:UON65547 UYE65547:UYJ65547 VIA65547:VIF65547 VRW65547:VSB65547 WBS65547:WBX65547 WLO65547:WLT65547 WVK65547:WVP65547 C131083:H131083 IY131083:JD131083 SU131083:SZ131083 ACQ131083:ACV131083 AMM131083:AMR131083 AWI131083:AWN131083 BGE131083:BGJ131083 BQA131083:BQF131083 BZW131083:CAB131083 CJS131083:CJX131083 CTO131083:CTT131083 DDK131083:DDP131083 DNG131083:DNL131083 DXC131083:DXH131083 EGY131083:EHD131083 EQU131083:EQZ131083 FAQ131083:FAV131083 FKM131083:FKR131083 FUI131083:FUN131083 GEE131083:GEJ131083 GOA131083:GOF131083 GXW131083:GYB131083 HHS131083:HHX131083 HRO131083:HRT131083 IBK131083:IBP131083 ILG131083:ILL131083 IVC131083:IVH131083 JEY131083:JFD131083 JOU131083:JOZ131083 JYQ131083:JYV131083 KIM131083:KIR131083 KSI131083:KSN131083 LCE131083:LCJ131083 LMA131083:LMF131083 LVW131083:LWB131083 MFS131083:MFX131083 MPO131083:MPT131083 MZK131083:MZP131083 NJG131083:NJL131083 NTC131083:NTH131083 OCY131083:ODD131083 OMU131083:OMZ131083 OWQ131083:OWV131083 PGM131083:PGR131083 PQI131083:PQN131083 QAE131083:QAJ131083 QKA131083:QKF131083 QTW131083:QUB131083 RDS131083:RDX131083 RNO131083:RNT131083 RXK131083:RXP131083 SHG131083:SHL131083 SRC131083:SRH131083 TAY131083:TBD131083 TKU131083:TKZ131083 TUQ131083:TUV131083 UEM131083:UER131083 UOI131083:UON131083 UYE131083:UYJ131083 VIA131083:VIF131083 VRW131083:VSB131083 WBS131083:WBX131083 WLO131083:WLT131083 WVK131083:WVP131083 C196619:H196619 IY196619:JD196619 SU196619:SZ196619 ACQ196619:ACV196619 AMM196619:AMR196619 AWI196619:AWN196619 BGE196619:BGJ196619 BQA196619:BQF196619 BZW196619:CAB196619 CJS196619:CJX196619 CTO196619:CTT196619 DDK196619:DDP196619 DNG196619:DNL196619 DXC196619:DXH196619 EGY196619:EHD196619 EQU196619:EQZ196619 FAQ196619:FAV196619 FKM196619:FKR196619 FUI196619:FUN196619 GEE196619:GEJ196619 GOA196619:GOF196619 GXW196619:GYB196619 HHS196619:HHX196619 HRO196619:HRT196619 IBK196619:IBP196619 ILG196619:ILL196619 IVC196619:IVH196619 JEY196619:JFD196619 JOU196619:JOZ196619 JYQ196619:JYV196619 KIM196619:KIR196619 KSI196619:KSN196619 LCE196619:LCJ196619 LMA196619:LMF196619 LVW196619:LWB196619 MFS196619:MFX196619 MPO196619:MPT196619 MZK196619:MZP196619 NJG196619:NJL196619 NTC196619:NTH196619 OCY196619:ODD196619 OMU196619:OMZ196619 OWQ196619:OWV196619 PGM196619:PGR196619 PQI196619:PQN196619 QAE196619:QAJ196619 QKA196619:QKF196619 QTW196619:QUB196619 RDS196619:RDX196619 RNO196619:RNT196619 RXK196619:RXP196619 SHG196619:SHL196619 SRC196619:SRH196619 TAY196619:TBD196619 TKU196619:TKZ196619 TUQ196619:TUV196619 UEM196619:UER196619 UOI196619:UON196619 UYE196619:UYJ196619 VIA196619:VIF196619 VRW196619:VSB196619 WBS196619:WBX196619 WLO196619:WLT196619 WVK196619:WVP196619 C262155:H262155 IY262155:JD262155 SU262155:SZ262155 ACQ262155:ACV262155 AMM262155:AMR262155 AWI262155:AWN262155 BGE262155:BGJ262155 BQA262155:BQF262155 BZW262155:CAB262155 CJS262155:CJX262155 CTO262155:CTT262155 DDK262155:DDP262155 DNG262155:DNL262155 DXC262155:DXH262155 EGY262155:EHD262155 EQU262155:EQZ262155 FAQ262155:FAV262155 FKM262155:FKR262155 FUI262155:FUN262155 GEE262155:GEJ262155 GOA262155:GOF262155 GXW262155:GYB262155 HHS262155:HHX262155 HRO262155:HRT262155 IBK262155:IBP262155 ILG262155:ILL262155 IVC262155:IVH262155 JEY262155:JFD262155 JOU262155:JOZ262155 JYQ262155:JYV262155 KIM262155:KIR262155 KSI262155:KSN262155 LCE262155:LCJ262155 LMA262155:LMF262155 LVW262155:LWB262155 MFS262155:MFX262155 MPO262155:MPT262155 MZK262155:MZP262155 NJG262155:NJL262155 NTC262155:NTH262155 OCY262155:ODD262155 OMU262155:OMZ262155 OWQ262155:OWV262155 PGM262155:PGR262155 PQI262155:PQN262155 QAE262155:QAJ262155 QKA262155:QKF262155 QTW262155:QUB262155 RDS262155:RDX262155 RNO262155:RNT262155 RXK262155:RXP262155 SHG262155:SHL262155 SRC262155:SRH262155 TAY262155:TBD262155 TKU262155:TKZ262155 TUQ262155:TUV262155 UEM262155:UER262155 UOI262155:UON262155 UYE262155:UYJ262155 VIA262155:VIF262155 VRW262155:VSB262155 WBS262155:WBX262155 WLO262155:WLT262155 WVK262155:WVP262155 C327691:H327691 IY327691:JD327691 SU327691:SZ327691 ACQ327691:ACV327691 AMM327691:AMR327691 AWI327691:AWN327691 BGE327691:BGJ327691 BQA327691:BQF327691 BZW327691:CAB327691 CJS327691:CJX327691 CTO327691:CTT327691 DDK327691:DDP327691 DNG327691:DNL327691 DXC327691:DXH327691 EGY327691:EHD327691 EQU327691:EQZ327691 FAQ327691:FAV327691 FKM327691:FKR327691 FUI327691:FUN327691 GEE327691:GEJ327691 GOA327691:GOF327691 GXW327691:GYB327691 HHS327691:HHX327691 HRO327691:HRT327691 IBK327691:IBP327691 ILG327691:ILL327691 IVC327691:IVH327691 JEY327691:JFD327691 JOU327691:JOZ327691 JYQ327691:JYV327691 KIM327691:KIR327691 KSI327691:KSN327691 LCE327691:LCJ327691 LMA327691:LMF327691 LVW327691:LWB327691 MFS327691:MFX327691 MPO327691:MPT327691 MZK327691:MZP327691 NJG327691:NJL327691 NTC327691:NTH327691 OCY327691:ODD327691 OMU327691:OMZ327691 OWQ327691:OWV327691 PGM327691:PGR327691 PQI327691:PQN327691 QAE327691:QAJ327691 QKA327691:QKF327691 QTW327691:QUB327691 RDS327691:RDX327691 RNO327691:RNT327691 RXK327691:RXP327691 SHG327691:SHL327691 SRC327691:SRH327691 TAY327691:TBD327691 TKU327691:TKZ327691 TUQ327691:TUV327691 UEM327691:UER327691 UOI327691:UON327691 UYE327691:UYJ327691 VIA327691:VIF327691 VRW327691:VSB327691 WBS327691:WBX327691 WLO327691:WLT327691 WVK327691:WVP327691 C393227:H393227 IY393227:JD393227 SU393227:SZ393227 ACQ393227:ACV393227 AMM393227:AMR393227 AWI393227:AWN393227 BGE393227:BGJ393227 BQA393227:BQF393227 BZW393227:CAB393227 CJS393227:CJX393227 CTO393227:CTT393227 DDK393227:DDP393227 DNG393227:DNL393227 DXC393227:DXH393227 EGY393227:EHD393227 EQU393227:EQZ393227 FAQ393227:FAV393227 FKM393227:FKR393227 FUI393227:FUN393227 GEE393227:GEJ393227 GOA393227:GOF393227 GXW393227:GYB393227 HHS393227:HHX393227 HRO393227:HRT393227 IBK393227:IBP393227 ILG393227:ILL393227 IVC393227:IVH393227 JEY393227:JFD393227 JOU393227:JOZ393227 JYQ393227:JYV393227 KIM393227:KIR393227 KSI393227:KSN393227 LCE393227:LCJ393227 LMA393227:LMF393227 LVW393227:LWB393227 MFS393227:MFX393227 MPO393227:MPT393227 MZK393227:MZP393227 NJG393227:NJL393227 NTC393227:NTH393227 OCY393227:ODD393227 OMU393227:OMZ393227 OWQ393227:OWV393227 PGM393227:PGR393227 PQI393227:PQN393227 QAE393227:QAJ393227 QKA393227:QKF393227 QTW393227:QUB393227 RDS393227:RDX393227 RNO393227:RNT393227 RXK393227:RXP393227 SHG393227:SHL393227 SRC393227:SRH393227 TAY393227:TBD393227 TKU393227:TKZ393227 TUQ393227:TUV393227 UEM393227:UER393227 UOI393227:UON393227 UYE393227:UYJ393227 VIA393227:VIF393227 VRW393227:VSB393227 WBS393227:WBX393227 WLO393227:WLT393227 WVK393227:WVP393227 C458763:H458763 IY458763:JD458763 SU458763:SZ458763 ACQ458763:ACV458763 AMM458763:AMR458763 AWI458763:AWN458763 BGE458763:BGJ458763 BQA458763:BQF458763 BZW458763:CAB458763 CJS458763:CJX458763 CTO458763:CTT458763 DDK458763:DDP458763 DNG458763:DNL458763 DXC458763:DXH458763 EGY458763:EHD458763 EQU458763:EQZ458763 FAQ458763:FAV458763 FKM458763:FKR458763 FUI458763:FUN458763 GEE458763:GEJ458763 GOA458763:GOF458763 GXW458763:GYB458763 HHS458763:HHX458763 HRO458763:HRT458763 IBK458763:IBP458763 ILG458763:ILL458763 IVC458763:IVH458763 JEY458763:JFD458763 JOU458763:JOZ458763 JYQ458763:JYV458763 KIM458763:KIR458763 KSI458763:KSN458763 LCE458763:LCJ458763 LMA458763:LMF458763 LVW458763:LWB458763 MFS458763:MFX458763 MPO458763:MPT458763 MZK458763:MZP458763 NJG458763:NJL458763 NTC458763:NTH458763 OCY458763:ODD458763 OMU458763:OMZ458763 OWQ458763:OWV458763 PGM458763:PGR458763 PQI458763:PQN458763 QAE458763:QAJ458763 QKA458763:QKF458763 QTW458763:QUB458763 RDS458763:RDX458763 RNO458763:RNT458763 RXK458763:RXP458763 SHG458763:SHL458763 SRC458763:SRH458763 TAY458763:TBD458763 TKU458763:TKZ458763 TUQ458763:TUV458763 UEM458763:UER458763 UOI458763:UON458763 UYE458763:UYJ458763 VIA458763:VIF458763 VRW458763:VSB458763 WBS458763:WBX458763 WLO458763:WLT458763 WVK458763:WVP458763 C524299:H524299 IY524299:JD524299 SU524299:SZ524299 ACQ524299:ACV524299 AMM524299:AMR524299 AWI524299:AWN524299 BGE524299:BGJ524299 BQA524299:BQF524299 BZW524299:CAB524299 CJS524299:CJX524299 CTO524299:CTT524299 DDK524299:DDP524299 DNG524299:DNL524299 DXC524299:DXH524299 EGY524299:EHD524299 EQU524299:EQZ524299 FAQ524299:FAV524299 FKM524299:FKR524299 FUI524299:FUN524299 GEE524299:GEJ524299 GOA524299:GOF524299 GXW524299:GYB524299 HHS524299:HHX524299 HRO524299:HRT524299 IBK524299:IBP524299 ILG524299:ILL524299 IVC524299:IVH524299 JEY524299:JFD524299 JOU524299:JOZ524299 JYQ524299:JYV524299 KIM524299:KIR524299 KSI524299:KSN524299 LCE524299:LCJ524299 LMA524299:LMF524299 LVW524299:LWB524299 MFS524299:MFX524299 MPO524299:MPT524299 MZK524299:MZP524299 NJG524299:NJL524299 NTC524299:NTH524299 OCY524299:ODD524299 OMU524299:OMZ524299 OWQ524299:OWV524299 PGM524299:PGR524299 PQI524299:PQN524299 QAE524299:QAJ524299 QKA524299:QKF524299 QTW524299:QUB524299 RDS524299:RDX524299 RNO524299:RNT524299 RXK524299:RXP524299 SHG524299:SHL524299 SRC524299:SRH524299 TAY524299:TBD524299 TKU524299:TKZ524299 TUQ524299:TUV524299 UEM524299:UER524299 UOI524299:UON524299 UYE524299:UYJ524299 VIA524299:VIF524299 VRW524299:VSB524299 WBS524299:WBX524299 WLO524299:WLT524299 WVK524299:WVP524299 C589835:H589835 IY589835:JD589835 SU589835:SZ589835 ACQ589835:ACV589835 AMM589835:AMR589835 AWI589835:AWN589835 BGE589835:BGJ589835 BQA589835:BQF589835 BZW589835:CAB589835 CJS589835:CJX589835 CTO589835:CTT589835 DDK589835:DDP589835 DNG589835:DNL589835 DXC589835:DXH589835 EGY589835:EHD589835 EQU589835:EQZ589835 FAQ589835:FAV589835 FKM589835:FKR589835 FUI589835:FUN589835 GEE589835:GEJ589835 GOA589835:GOF589835 GXW589835:GYB589835 HHS589835:HHX589835 HRO589835:HRT589835 IBK589835:IBP589835 ILG589835:ILL589835 IVC589835:IVH589835 JEY589835:JFD589835 JOU589835:JOZ589835 JYQ589835:JYV589835 KIM589835:KIR589835 KSI589835:KSN589835 LCE589835:LCJ589835 LMA589835:LMF589835 LVW589835:LWB589835 MFS589835:MFX589835 MPO589835:MPT589835 MZK589835:MZP589835 NJG589835:NJL589835 NTC589835:NTH589835 OCY589835:ODD589835 OMU589835:OMZ589835 OWQ589835:OWV589835 PGM589835:PGR589835 PQI589835:PQN589835 QAE589835:QAJ589835 QKA589835:QKF589835 QTW589835:QUB589835 RDS589835:RDX589835 RNO589835:RNT589835 RXK589835:RXP589835 SHG589835:SHL589835 SRC589835:SRH589835 TAY589835:TBD589835 TKU589835:TKZ589835 TUQ589835:TUV589835 UEM589835:UER589835 UOI589835:UON589835 UYE589835:UYJ589835 VIA589835:VIF589835 VRW589835:VSB589835 WBS589835:WBX589835 WLO589835:WLT589835 WVK589835:WVP589835 C655371:H655371 IY655371:JD655371 SU655371:SZ655371 ACQ655371:ACV655371 AMM655371:AMR655371 AWI655371:AWN655371 BGE655371:BGJ655371 BQA655371:BQF655371 BZW655371:CAB655371 CJS655371:CJX655371 CTO655371:CTT655371 DDK655371:DDP655371 DNG655371:DNL655371 DXC655371:DXH655371 EGY655371:EHD655371 EQU655371:EQZ655371 FAQ655371:FAV655371 FKM655371:FKR655371 FUI655371:FUN655371 GEE655371:GEJ655371 GOA655371:GOF655371 GXW655371:GYB655371 HHS655371:HHX655371 HRO655371:HRT655371 IBK655371:IBP655371 ILG655371:ILL655371 IVC655371:IVH655371 JEY655371:JFD655371 JOU655371:JOZ655371 JYQ655371:JYV655371 KIM655371:KIR655371 KSI655371:KSN655371 LCE655371:LCJ655371 LMA655371:LMF655371 LVW655371:LWB655371 MFS655371:MFX655371 MPO655371:MPT655371 MZK655371:MZP655371 NJG655371:NJL655371 NTC655371:NTH655371 OCY655371:ODD655371 OMU655371:OMZ655371 OWQ655371:OWV655371 PGM655371:PGR655371 PQI655371:PQN655371 QAE655371:QAJ655371 QKA655371:QKF655371 QTW655371:QUB655371 RDS655371:RDX655371 RNO655371:RNT655371 RXK655371:RXP655371 SHG655371:SHL655371 SRC655371:SRH655371 TAY655371:TBD655371 TKU655371:TKZ655371 TUQ655371:TUV655371 UEM655371:UER655371 UOI655371:UON655371 UYE655371:UYJ655371 VIA655371:VIF655371 VRW655371:VSB655371 WBS655371:WBX655371 WLO655371:WLT655371 WVK655371:WVP655371 C720907:H720907 IY720907:JD720907 SU720907:SZ720907 ACQ720907:ACV720907 AMM720907:AMR720907 AWI720907:AWN720907 BGE720907:BGJ720907 BQA720907:BQF720907 BZW720907:CAB720907 CJS720907:CJX720907 CTO720907:CTT720907 DDK720907:DDP720907 DNG720907:DNL720907 DXC720907:DXH720907 EGY720907:EHD720907 EQU720907:EQZ720907 FAQ720907:FAV720907 FKM720907:FKR720907 FUI720907:FUN720907 GEE720907:GEJ720907 GOA720907:GOF720907 GXW720907:GYB720907 HHS720907:HHX720907 HRO720907:HRT720907 IBK720907:IBP720907 ILG720907:ILL720907 IVC720907:IVH720907 JEY720907:JFD720907 JOU720907:JOZ720907 JYQ720907:JYV720907 KIM720907:KIR720907 KSI720907:KSN720907 LCE720907:LCJ720907 LMA720907:LMF720907 LVW720907:LWB720907 MFS720907:MFX720907 MPO720907:MPT720907 MZK720907:MZP720907 NJG720907:NJL720907 NTC720907:NTH720907 OCY720907:ODD720907 OMU720907:OMZ720907 OWQ720907:OWV720907 PGM720907:PGR720907 PQI720907:PQN720907 QAE720907:QAJ720907 QKA720907:QKF720907 QTW720907:QUB720907 RDS720907:RDX720907 RNO720907:RNT720907 RXK720907:RXP720907 SHG720907:SHL720907 SRC720907:SRH720907 TAY720907:TBD720907 TKU720907:TKZ720907 TUQ720907:TUV720907 UEM720907:UER720907 UOI720907:UON720907 UYE720907:UYJ720907 VIA720907:VIF720907 VRW720907:VSB720907 WBS720907:WBX720907 WLO720907:WLT720907 WVK720907:WVP720907 C786443:H786443 IY786443:JD786443 SU786443:SZ786443 ACQ786443:ACV786443 AMM786443:AMR786443 AWI786443:AWN786443 BGE786443:BGJ786443 BQA786443:BQF786443 BZW786443:CAB786443 CJS786443:CJX786443 CTO786443:CTT786443 DDK786443:DDP786443 DNG786443:DNL786443 DXC786443:DXH786443 EGY786443:EHD786443 EQU786443:EQZ786443 FAQ786443:FAV786443 FKM786443:FKR786443 FUI786443:FUN786443 GEE786443:GEJ786443 GOA786443:GOF786443 GXW786443:GYB786443 HHS786443:HHX786443 HRO786443:HRT786443 IBK786443:IBP786443 ILG786443:ILL786443 IVC786443:IVH786443 JEY786443:JFD786443 JOU786443:JOZ786443 JYQ786443:JYV786443 KIM786443:KIR786443 KSI786443:KSN786443 LCE786443:LCJ786443 LMA786443:LMF786443 LVW786443:LWB786443 MFS786443:MFX786443 MPO786443:MPT786443 MZK786443:MZP786443 NJG786443:NJL786443 NTC786443:NTH786443 OCY786443:ODD786443 OMU786443:OMZ786443 OWQ786443:OWV786443 PGM786443:PGR786443 PQI786443:PQN786443 QAE786443:QAJ786443 QKA786443:QKF786443 QTW786443:QUB786443 RDS786443:RDX786443 RNO786443:RNT786443 RXK786443:RXP786443 SHG786443:SHL786443 SRC786443:SRH786443 TAY786443:TBD786443 TKU786443:TKZ786443 TUQ786443:TUV786443 UEM786443:UER786443 UOI786443:UON786443 UYE786443:UYJ786443 VIA786443:VIF786443 VRW786443:VSB786443 WBS786443:WBX786443 WLO786443:WLT786443 WVK786443:WVP786443 C851979:H851979 IY851979:JD851979 SU851979:SZ851979 ACQ851979:ACV851979 AMM851979:AMR851979 AWI851979:AWN851979 BGE851979:BGJ851979 BQA851979:BQF851979 BZW851979:CAB851979 CJS851979:CJX851979 CTO851979:CTT851979 DDK851979:DDP851979 DNG851979:DNL851979 DXC851979:DXH851979 EGY851979:EHD851979 EQU851979:EQZ851979 FAQ851979:FAV851979 FKM851979:FKR851979 FUI851979:FUN851979 GEE851979:GEJ851979 GOA851979:GOF851979 GXW851979:GYB851979 HHS851979:HHX851979 HRO851979:HRT851979 IBK851979:IBP851979 ILG851979:ILL851979 IVC851979:IVH851979 JEY851979:JFD851979 JOU851979:JOZ851979 JYQ851979:JYV851979 KIM851979:KIR851979 KSI851979:KSN851979 LCE851979:LCJ851979 LMA851979:LMF851979 LVW851979:LWB851979 MFS851979:MFX851979 MPO851979:MPT851979 MZK851979:MZP851979 NJG851979:NJL851979 NTC851979:NTH851979 OCY851979:ODD851979 OMU851979:OMZ851979 OWQ851979:OWV851979 PGM851979:PGR851979 PQI851979:PQN851979 QAE851979:QAJ851979 QKA851979:QKF851979 QTW851979:QUB851979 RDS851979:RDX851979 RNO851979:RNT851979 RXK851979:RXP851979 SHG851979:SHL851979 SRC851979:SRH851979 TAY851979:TBD851979 TKU851979:TKZ851979 TUQ851979:TUV851979 UEM851979:UER851979 UOI851979:UON851979 UYE851979:UYJ851979 VIA851979:VIF851979 VRW851979:VSB851979 WBS851979:WBX851979 WLO851979:WLT851979 WVK851979:WVP851979 C917515:H917515 IY917515:JD917515 SU917515:SZ917515 ACQ917515:ACV917515 AMM917515:AMR917515 AWI917515:AWN917515 BGE917515:BGJ917515 BQA917515:BQF917515 BZW917515:CAB917515 CJS917515:CJX917515 CTO917515:CTT917515 DDK917515:DDP917515 DNG917515:DNL917515 DXC917515:DXH917515 EGY917515:EHD917515 EQU917515:EQZ917515 FAQ917515:FAV917515 FKM917515:FKR917515 FUI917515:FUN917515 GEE917515:GEJ917515 GOA917515:GOF917515 GXW917515:GYB917515 HHS917515:HHX917515 HRO917515:HRT917515 IBK917515:IBP917515 ILG917515:ILL917515 IVC917515:IVH917515 JEY917515:JFD917515 JOU917515:JOZ917515 JYQ917515:JYV917515 KIM917515:KIR917515 KSI917515:KSN917515 LCE917515:LCJ917515 LMA917515:LMF917515 LVW917515:LWB917515 MFS917515:MFX917515 MPO917515:MPT917515 MZK917515:MZP917515 NJG917515:NJL917515 NTC917515:NTH917515 OCY917515:ODD917515 OMU917515:OMZ917515 OWQ917515:OWV917515 PGM917515:PGR917515 PQI917515:PQN917515 QAE917515:QAJ917515 QKA917515:QKF917515 QTW917515:QUB917515 RDS917515:RDX917515 RNO917515:RNT917515 RXK917515:RXP917515 SHG917515:SHL917515 SRC917515:SRH917515 TAY917515:TBD917515 TKU917515:TKZ917515 TUQ917515:TUV917515 UEM917515:UER917515 UOI917515:UON917515 UYE917515:UYJ917515 VIA917515:VIF917515 VRW917515:VSB917515 WBS917515:WBX917515 WLO917515:WLT917515 WVK917515:WVP917515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formula1>150</formula1>
    </dataValidation>
    <dataValidation type="list" operator="lessThanOrEqual" showInputMessage="1" showErrorMessage="1" sqref="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formula1>"ACT,QLD,NSW,Vic,Tas,SA"</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86:I65586 IY65586:JE65586 SU65586:TA65586 ACQ65586:ACW65586 AMM65586:AMS65586 AWI65586:AWO65586 BGE65586:BGK65586 BQA65586:BQG65586 BZW65586:CAC65586 CJS65586:CJY65586 CTO65586:CTU65586 DDK65586:DDQ65586 DNG65586:DNM65586 DXC65586:DXI65586 EGY65586:EHE65586 EQU65586:ERA65586 FAQ65586:FAW65586 FKM65586:FKS65586 FUI65586:FUO65586 GEE65586:GEK65586 GOA65586:GOG65586 GXW65586:GYC65586 HHS65586:HHY65586 HRO65586:HRU65586 IBK65586:IBQ65586 ILG65586:ILM65586 IVC65586:IVI65586 JEY65586:JFE65586 JOU65586:JPA65586 JYQ65586:JYW65586 KIM65586:KIS65586 KSI65586:KSO65586 LCE65586:LCK65586 LMA65586:LMG65586 LVW65586:LWC65586 MFS65586:MFY65586 MPO65586:MPU65586 MZK65586:MZQ65586 NJG65586:NJM65586 NTC65586:NTI65586 OCY65586:ODE65586 OMU65586:ONA65586 OWQ65586:OWW65586 PGM65586:PGS65586 PQI65586:PQO65586 QAE65586:QAK65586 QKA65586:QKG65586 QTW65586:QUC65586 RDS65586:RDY65586 RNO65586:RNU65586 RXK65586:RXQ65586 SHG65586:SHM65586 SRC65586:SRI65586 TAY65586:TBE65586 TKU65586:TLA65586 TUQ65586:TUW65586 UEM65586:UES65586 UOI65586:UOO65586 UYE65586:UYK65586 VIA65586:VIG65586 VRW65586:VSC65586 WBS65586:WBY65586 WLO65586:WLU65586 WVK65586:WVQ65586 C131122:I131122 IY131122:JE131122 SU131122:TA131122 ACQ131122:ACW131122 AMM131122:AMS131122 AWI131122:AWO131122 BGE131122:BGK131122 BQA131122:BQG131122 BZW131122:CAC131122 CJS131122:CJY131122 CTO131122:CTU131122 DDK131122:DDQ131122 DNG131122:DNM131122 DXC131122:DXI131122 EGY131122:EHE131122 EQU131122:ERA131122 FAQ131122:FAW131122 FKM131122:FKS131122 FUI131122:FUO131122 GEE131122:GEK131122 GOA131122:GOG131122 GXW131122:GYC131122 HHS131122:HHY131122 HRO131122:HRU131122 IBK131122:IBQ131122 ILG131122:ILM131122 IVC131122:IVI131122 JEY131122:JFE131122 JOU131122:JPA131122 JYQ131122:JYW131122 KIM131122:KIS131122 KSI131122:KSO131122 LCE131122:LCK131122 LMA131122:LMG131122 LVW131122:LWC131122 MFS131122:MFY131122 MPO131122:MPU131122 MZK131122:MZQ131122 NJG131122:NJM131122 NTC131122:NTI131122 OCY131122:ODE131122 OMU131122:ONA131122 OWQ131122:OWW131122 PGM131122:PGS131122 PQI131122:PQO131122 QAE131122:QAK131122 QKA131122:QKG131122 QTW131122:QUC131122 RDS131122:RDY131122 RNO131122:RNU131122 RXK131122:RXQ131122 SHG131122:SHM131122 SRC131122:SRI131122 TAY131122:TBE131122 TKU131122:TLA131122 TUQ131122:TUW131122 UEM131122:UES131122 UOI131122:UOO131122 UYE131122:UYK131122 VIA131122:VIG131122 VRW131122:VSC131122 WBS131122:WBY131122 WLO131122:WLU131122 WVK131122:WVQ131122 C196658:I196658 IY196658:JE196658 SU196658:TA196658 ACQ196658:ACW196658 AMM196658:AMS196658 AWI196658:AWO196658 BGE196658:BGK196658 BQA196658:BQG196658 BZW196658:CAC196658 CJS196658:CJY196658 CTO196658:CTU196658 DDK196658:DDQ196658 DNG196658:DNM196658 DXC196658:DXI196658 EGY196658:EHE196658 EQU196658:ERA196658 FAQ196658:FAW196658 FKM196658:FKS196658 FUI196658:FUO196658 GEE196658:GEK196658 GOA196658:GOG196658 GXW196658:GYC196658 HHS196658:HHY196658 HRO196658:HRU196658 IBK196658:IBQ196658 ILG196658:ILM196658 IVC196658:IVI196658 JEY196658:JFE196658 JOU196658:JPA196658 JYQ196658:JYW196658 KIM196658:KIS196658 KSI196658:KSO196658 LCE196658:LCK196658 LMA196658:LMG196658 LVW196658:LWC196658 MFS196658:MFY196658 MPO196658:MPU196658 MZK196658:MZQ196658 NJG196658:NJM196658 NTC196658:NTI196658 OCY196658:ODE196658 OMU196658:ONA196658 OWQ196658:OWW196658 PGM196658:PGS196658 PQI196658:PQO196658 QAE196658:QAK196658 QKA196658:QKG196658 QTW196658:QUC196658 RDS196658:RDY196658 RNO196658:RNU196658 RXK196658:RXQ196658 SHG196658:SHM196658 SRC196658:SRI196658 TAY196658:TBE196658 TKU196658:TLA196658 TUQ196658:TUW196658 UEM196658:UES196658 UOI196658:UOO196658 UYE196658:UYK196658 VIA196658:VIG196658 VRW196658:VSC196658 WBS196658:WBY196658 WLO196658:WLU196658 WVK196658:WVQ196658 C262194:I262194 IY262194:JE262194 SU262194:TA262194 ACQ262194:ACW262194 AMM262194:AMS262194 AWI262194:AWO262194 BGE262194:BGK262194 BQA262194:BQG262194 BZW262194:CAC262194 CJS262194:CJY262194 CTO262194:CTU262194 DDK262194:DDQ262194 DNG262194:DNM262194 DXC262194:DXI262194 EGY262194:EHE262194 EQU262194:ERA262194 FAQ262194:FAW262194 FKM262194:FKS262194 FUI262194:FUO262194 GEE262194:GEK262194 GOA262194:GOG262194 GXW262194:GYC262194 HHS262194:HHY262194 HRO262194:HRU262194 IBK262194:IBQ262194 ILG262194:ILM262194 IVC262194:IVI262194 JEY262194:JFE262194 JOU262194:JPA262194 JYQ262194:JYW262194 KIM262194:KIS262194 KSI262194:KSO262194 LCE262194:LCK262194 LMA262194:LMG262194 LVW262194:LWC262194 MFS262194:MFY262194 MPO262194:MPU262194 MZK262194:MZQ262194 NJG262194:NJM262194 NTC262194:NTI262194 OCY262194:ODE262194 OMU262194:ONA262194 OWQ262194:OWW262194 PGM262194:PGS262194 PQI262194:PQO262194 QAE262194:QAK262194 QKA262194:QKG262194 QTW262194:QUC262194 RDS262194:RDY262194 RNO262194:RNU262194 RXK262194:RXQ262194 SHG262194:SHM262194 SRC262194:SRI262194 TAY262194:TBE262194 TKU262194:TLA262194 TUQ262194:TUW262194 UEM262194:UES262194 UOI262194:UOO262194 UYE262194:UYK262194 VIA262194:VIG262194 VRW262194:VSC262194 WBS262194:WBY262194 WLO262194:WLU262194 WVK262194:WVQ262194 C327730:I327730 IY327730:JE327730 SU327730:TA327730 ACQ327730:ACW327730 AMM327730:AMS327730 AWI327730:AWO327730 BGE327730:BGK327730 BQA327730:BQG327730 BZW327730:CAC327730 CJS327730:CJY327730 CTO327730:CTU327730 DDK327730:DDQ327730 DNG327730:DNM327730 DXC327730:DXI327730 EGY327730:EHE327730 EQU327730:ERA327730 FAQ327730:FAW327730 FKM327730:FKS327730 FUI327730:FUO327730 GEE327730:GEK327730 GOA327730:GOG327730 GXW327730:GYC327730 HHS327730:HHY327730 HRO327730:HRU327730 IBK327730:IBQ327730 ILG327730:ILM327730 IVC327730:IVI327730 JEY327730:JFE327730 JOU327730:JPA327730 JYQ327730:JYW327730 KIM327730:KIS327730 KSI327730:KSO327730 LCE327730:LCK327730 LMA327730:LMG327730 LVW327730:LWC327730 MFS327730:MFY327730 MPO327730:MPU327730 MZK327730:MZQ327730 NJG327730:NJM327730 NTC327730:NTI327730 OCY327730:ODE327730 OMU327730:ONA327730 OWQ327730:OWW327730 PGM327730:PGS327730 PQI327730:PQO327730 QAE327730:QAK327730 QKA327730:QKG327730 QTW327730:QUC327730 RDS327730:RDY327730 RNO327730:RNU327730 RXK327730:RXQ327730 SHG327730:SHM327730 SRC327730:SRI327730 TAY327730:TBE327730 TKU327730:TLA327730 TUQ327730:TUW327730 UEM327730:UES327730 UOI327730:UOO327730 UYE327730:UYK327730 VIA327730:VIG327730 VRW327730:VSC327730 WBS327730:WBY327730 WLO327730:WLU327730 WVK327730:WVQ327730 C393266:I393266 IY393266:JE393266 SU393266:TA393266 ACQ393266:ACW393266 AMM393266:AMS393266 AWI393266:AWO393266 BGE393266:BGK393266 BQA393266:BQG393266 BZW393266:CAC393266 CJS393266:CJY393266 CTO393266:CTU393266 DDK393266:DDQ393266 DNG393266:DNM393266 DXC393266:DXI393266 EGY393266:EHE393266 EQU393266:ERA393266 FAQ393266:FAW393266 FKM393266:FKS393266 FUI393266:FUO393266 GEE393266:GEK393266 GOA393266:GOG393266 GXW393266:GYC393266 HHS393266:HHY393266 HRO393266:HRU393266 IBK393266:IBQ393266 ILG393266:ILM393266 IVC393266:IVI393266 JEY393266:JFE393266 JOU393266:JPA393266 JYQ393266:JYW393266 KIM393266:KIS393266 KSI393266:KSO393266 LCE393266:LCK393266 LMA393266:LMG393266 LVW393266:LWC393266 MFS393266:MFY393266 MPO393266:MPU393266 MZK393266:MZQ393266 NJG393266:NJM393266 NTC393266:NTI393266 OCY393266:ODE393266 OMU393266:ONA393266 OWQ393266:OWW393266 PGM393266:PGS393266 PQI393266:PQO393266 QAE393266:QAK393266 QKA393266:QKG393266 QTW393266:QUC393266 RDS393266:RDY393266 RNO393266:RNU393266 RXK393266:RXQ393266 SHG393266:SHM393266 SRC393266:SRI393266 TAY393266:TBE393266 TKU393266:TLA393266 TUQ393266:TUW393266 UEM393266:UES393266 UOI393266:UOO393266 UYE393266:UYK393266 VIA393266:VIG393266 VRW393266:VSC393266 WBS393266:WBY393266 WLO393266:WLU393266 WVK393266:WVQ393266 C458802:I458802 IY458802:JE458802 SU458802:TA458802 ACQ458802:ACW458802 AMM458802:AMS458802 AWI458802:AWO458802 BGE458802:BGK458802 BQA458802:BQG458802 BZW458802:CAC458802 CJS458802:CJY458802 CTO458802:CTU458802 DDK458802:DDQ458802 DNG458802:DNM458802 DXC458802:DXI458802 EGY458802:EHE458802 EQU458802:ERA458802 FAQ458802:FAW458802 FKM458802:FKS458802 FUI458802:FUO458802 GEE458802:GEK458802 GOA458802:GOG458802 GXW458802:GYC458802 HHS458802:HHY458802 HRO458802:HRU458802 IBK458802:IBQ458802 ILG458802:ILM458802 IVC458802:IVI458802 JEY458802:JFE458802 JOU458802:JPA458802 JYQ458802:JYW458802 KIM458802:KIS458802 KSI458802:KSO458802 LCE458802:LCK458802 LMA458802:LMG458802 LVW458802:LWC458802 MFS458802:MFY458802 MPO458802:MPU458802 MZK458802:MZQ458802 NJG458802:NJM458802 NTC458802:NTI458802 OCY458802:ODE458802 OMU458802:ONA458802 OWQ458802:OWW458802 PGM458802:PGS458802 PQI458802:PQO458802 QAE458802:QAK458802 QKA458802:QKG458802 QTW458802:QUC458802 RDS458802:RDY458802 RNO458802:RNU458802 RXK458802:RXQ458802 SHG458802:SHM458802 SRC458802:SRI458802 TAY458802:TBE458802 TKU458802:TLA458802 TUQ458802:TUW458802 UEM458802:UES458802 UOI458802:UOO458802 UYE458802:UYK458802 VIA458802:VIG458802 VRW458802:VSC458802 WBS458802:WBY458802 WLO458802:WLU458802 WVK458802:WVQ458802 C524338:I524338 IY524338:JE524338 SU524338:TA524338 ACQ524338:ACW524338 AMM524338:AMS524338 AWI524338:AWO524338 BGE524338:BGK524338 BQA524338:BQG524338 BZW524338:CAC524338 CJS524338:CJY524338 CTO524338:CTU524338 DDK524338:DDQ524338 DNG524338:DNM524338 DXC524338:DXI524338 EGY524338:EHE524338 EQU524338:ERA524338 FAQ524338:FAW524338 FKM524338:FKS524338 FUI524338:FUO524338 GEE524338:GEK524338 GOA524338:GOG524338 GXW524338:GYC524338 HHS524338:HHY524338 HRO524338:HRU524338 IBK524338:IBQ524338 ILG524338:ILM524338 IVC524338:IVI524338 JEY524338:JFE524338 JOU524338:JPA524338 JYQ524338:JYW524338 KIM524338:KIS524338 KSI524338:KSO524338 LCE524338:LCK524338 LMA524338:LMG524338 LVW524338:LWC524338 MFS524338:MFY524338 MPO524338:MPU524338 MZK524338:MZQ524338 NJG524338:NJM524338 NTC524338:NTI524338 OCY524338:ODE524338 OMU524338:ONA524338 OWQ524338:OWW524338 PGM524338:PGS524338 PQI524338:PQO524338 QAE524338:QAK524338 QKA524338:QKG524338 QTW524338:QUC524338 RDS524338:RDY524338 RNO524338:RNU524338 RXK524338:RXQ524338 SHG524338:SHM524338 SRC524338:SRI524338 TAY524338:TBE524338 TKU524338:TLA524338 TUQ524338:TUW524338 UEM524338:UES524338 UOI524338:UOO524338 UYE524338:UYK524338 VIA524338:VIG524338 VRW524338:VSC524338 WBS524338:WBY524338 WLO524338:WLU524338 WVK524338:WVQ524338 C589874:I589874 IY589874:JE589874 SU589874:TA589874 ACQ589874:ACW589874 AMM589874:AMS589874 AWI589874:AWO589874 BGE589874:BGK589874 BQA589874:BQG589874 BZW589874:CAC589874 CJS589874:CJY589874 CTO589874:CTU589874 DDK589874:DDQ589874 DNG589874:DNM589874 DXC589874:DXI589874 EGY589874:EHE589874 EQU589874:ERA589874 FAQ589874:FAW589874 FKM589874:FKS589874 FUI589874:FUO589874 GEE589874:GEK589874 GOA589874:GOG589874 GXW589874:GYC589874 HHS589874:HHY589874 HRO589874:HRU589874 IBK589874:IBQ589874 ILG589874:ILM589874 IVC589874:IVI589874 JEY589874:JFE589874 JOU589874:JPA589874 JYQ589874:JYW589874 KIM589874:KIS589874 KSI589874:KSO589874 LCE589874:LCK589874 LMA589874:LMG589874 LVW589874:LWC589874 MFS589874:MFY589874 MPO589874:MPU589874 MZK589874:MZQ589874 NJG589874:NJM589874 NTC589874:NTI589874 OCY589874:ODE589874 OMU589874:ONA589874 OWQ589874:OWW589874 PGM589874:PGS589874 PQI589874:PQO589874 QAE589874:QAK589874 QKA589874:QKG589874 QTW589874:QUC589874 RDS589874:RDY589874 RNO589874:RNU589874 RXK589874:RXQ589874 SHG589874:SHM589874 SRC589874:SRI589874 TAY589874:TBE589874 TKU589874:TLA589874 TUQ589874:TUW589874 UEM589874:UES589874 UOI589874:UOO589874 UYE589874:UYK589874 VIA589874:VIG589874 VRW589874:VSC589874 WBS589874:WBY589874 WLO589874:WLU589874 WVK589874:WVQ589874 C655410:I655410 IY655410:JE655410 SU655410:TA655410 ACQ655410:ACW655410 AMM655410:AMS655410 AWI655410:AWO655410 BGE655410:BGK655410 BQA655410:BQG655410 BZW655410:CAC655410 CJS655410:CJY655410 CTO655410:CTU655410 DDK655410:DDQ655410 DNG655410:DNM655410 DXC655410:DXI655410 EGY655410:EHE655410 EQU655410:ERA655410 FAQ655410:FAW655410 FKM655410:FKS655410 FUI655410:FUO655410 GEE655410:GEK655410 GOA655410:GOG655410 GXW655410:GYC655410 HHS655410:HHY655410 HRO655410:HRU655410 IBK655410:IBQ655410 ILG655410:ILM655410 IVC655410:IVI655410 JEY655410:JFE655410 JOU655410:JPA655410 JYQ655410:JYW655410 KIM655410:KIS655410 KSI655410:KSO655410 LCE655410:LCK655410 LMA655410:LMG655410 LVW655410:LWC655410 MFS655410:MFY655410 MPO655410:MPU655410 MZK655410:MZQ655410 NJG655410:NJM655410 NTC655410:NTI655410 OCY655410:ODE655410 OMU655410:ONA655410 OWQ655410:OWW655410 PGM655410:PGS655410 PQI655410:PQO655410 QAE655410:QAK655410 QKA655410:QKG655410 QTW655410:QUC655410 RDS655410:RDY655410 RNO655410:RNU655410 RXK655410:RXQ655410 SHG655410:SHM655410 SRC655410:SRI655410 TAY655410:TBE655410 TKU655410:TLA655410 TUQ655410:TUW655410 UEM655410:UES655410 UOI655410:UOO655410 UYE655410:UYK655410 VIA655410:VIG655410 VRW655410:VSC655410 WBS655410:WBY655410 WLO655410:WLU655410 WVK655410:WVQ655410 C720946:I720946 IY720946:JE720946 SU720946:TA720946 ACQ720946:ACW720946 AMM720946:AMS720946 AWI720946:AWO720946 BGE720946:BGK720946 BQA720946:BQG720946 BZW720946:CAC720946 CJS720946:CJY720946 CTO720946:CTU720946 DDK720946:DDQ720946 DNG720946:DNM720946 DXC720946:DXI720946 EGY720946:EHE720946 EQU720946:ERA720946 FAQ720946:FAW720946 FKM720946:FKS720946 FUI720946:FUO720946 GEE720946:GEK720946 GOA720946:GOG720946 GXW720946:GYC720946 HHS720946:HHY720946 HRO720946:HRU720946 IBK720946:IBQ720946 ILG720946:ILM720946 IVC720946:IVI720946 JEY720946:JFE720946 JOU720946:JPA720946 JYQ720946:JYW720946 KIM720946:KIS720946 KSI720946:KSO720946 LCE720946:LCK720946 LMA720946:LMG720946 LVW720946:LWC720946 MFS720946:MFY720946 MPO720946:MPU720946 MZK720946:MZQ720946 NJG720946:NJM720946 NTC720946:NTI720946 OCY720946:ODE720946 OMU720946:ONA720946 OWQ720946:OWW720946 PGM720946:PGS720946 PQI720946:PQO720946 QAE720946:QAK720946 QKA720946:QKG720946 QTW720946:QUC720946 RDS720946:RDY720946 RNO720946:RNU720946 RXK720946:RXQ720946 SHG720946:SHM720946 SRC720946:SRI720946 TAY720946:TBE720946 TKU720946:TLA720946 TUQ720946:TUW720946 UEM720946:UES720946 UOI720946:UOO720946 UYE720946:UYK720946 VIA720946:VIG720946 VRW720946:VSC720946 WBS720946:WBY720946 WLO720946:WLU720946 WVK720946:WVQ720946 C786482:I786482 IY786482:JE786482 SU786482:TA786482 ACQ786482:ACW786482 AMM786482:AMS786482 AWI786482:AWO786482 BGE786482:BGK786482 BQA786482:BQG786482 BZW786482:CAC786482 CJS786482:CJY786482 CTO786482:CTU786482 DDK786482:DDQ786482 DNG786482:DNM786482 DXC786482:DXI786482 EGY786482:EHE786482 EQU786482:ERA786482 FAQ786482:FAW786482 FKM786482:FKS786482 FUI786482:FUO786482 GEE786482:GEK786482 GOA786482:GOG786482 GXW786482:GYC786482 HHS786482:HHY786482 HRO786482:HRU786482 IBK786482:IBQ786482 ILG786482:ILM786482 IVC786482:IVI786482 JEY786482:JFE786482 JOU786482:JPA786482 JYQ786482:JYW786482 KIM786482:KIS786482 KSI786482:KSO786482 LCE786482:LCK786482 LMA786482:LMG786482 LVW786482:LWC786482 MFS786482:MFY786482 MPO786482:MPU786482 MZK786482:MZQ786482 NJG786482:NJM786482 NTC786482:NTI786482 OCY786482:ODE786482 OMU786482:ONA786482 OWQ786482:OWW786482 PGM786482:PGS786482 PQI786482:PQO786482 QAE786482:QAK786482 QKA786482:QKG786482 QTW786482:QUC786482 RDS786482:RDY786482 RNO786482:RNU786482 RXK786482:RXQ786482 SHG786482:SHM786482 SRC786482:SRI786482 TAY786482:TBE786482 TKU786482:TLA786482 TUQ786482:TUW786482 UEM786482:UES786482 UOI786482:UOO786482 UYE786482:UYK786482 VIA786482:VIG786482 VRW786482:VSC786482 WBS786482:WBY786482 WLO786482:WLU786482 WVK786482:WVQ786482 C852018:I852018 IY852018:JE852018 SU852018:TA852018 ACQ852018:ACW852018 AMM852018:AMS852018 AWI852018:AWO852018 BGE852018:BGK852018 BQA852018:BQG852018 BZW852018:CAC852018 CJS852018:CJY852018 CTO852018:CTU852018 DDK852018:DDQ852018 DNG852018:DNM852018 DXC852018:DXI852018 EGY852018:EHE852018 EQU852018:ERA852018 FAQ852018:FAW852018 FKM852018:FKS852018 FUI852018:FUO852018 GEE852018:GEK852018 GOA852018:GOG852018 GXW852018:GYC852018 HHS852018:HHY852018 HRO852018:HRU852018 IBK852018:IBQ852018 ILG852018:ILM852018 IVC852018:IVI852018 JEY852018:JFE852018 JOU852018:JPA852018 JYQ852018:JYW852018 KIM852018:KIS852018 KSI852018:KSO852018 LCE852018:LCK852018 LMA852018:LMG852018 LVW852018:LWC852018 MFS852018:MFY852018 MPO852018:MPU852018 MZK852018:MZQ852018 NJG852018:NJM852018 NTC852018:NTI852018 OCY852018:ODE852018 OMU852018:ONA852018 OWQ852018:OWW852018 PGM852018:PGS852018 PQI852018:PQO852018 QAE852018:QAK852018 QKA852018:QKG852018 QTW852018:QUC852018 RDS852018:RDY852018 RNO852018:RNU852018 RXK852018:RXQ852018 SHG852018:SHM852018 SRC852018:SRI852018 TAY852018:TBE852018 TKU852018:TLA852018 TUQ852018:TUW852018 UEM852018:UES852018 UOI852018:UOO852018 UYE852018:UYK852018 VIA852018:VIG852018 VRW852018:VSC852018 WBS852018:WBY852018 WLO852018:WLU852018 WVK852018:WVQ852018 C917554:I917554 IY917554:JE917554 SU917554:TA917554 ACQ917554:ACW917554 AMM917554:AMS917554 AWI917554:AWO917554 BGE917554:BGK917554 BQA917554:BQG917554 BZW917554:CAC917554 CJS917554:CJY917554 CTO917554:CTU917554 DDK917554:DDQ917554 DNG917554:DNM917554 DXC917554:DXI917554 EGY917554:EHE917554 EQU917554:ERA917554 FAQ917554:FAW917554 FKM917554:FKS917554 FUI917554:FUO917554 GEE917554:GEK917554 GOA917554:GOG917554 GXW917554:GYC917554 HHS917554:HHY917554 HRO917554:HRU917554 IBK917554:IBQ917554 ILG917554:ILM917554 IVC917554:IVI917554 JEY917554:JFE917554 JOU917554:JPA917554 JYQ917554:JYW917554 KIM917554:KIS917554 KSI917554:KSO917554 LCE917554:LCK917554 LMA917554:LMG917554 LVW917554:LWC917554 MFS917554:MFY917554 MPO917554:MPU917554 MZK917554:MZQ917554 NJG917554:NJM917554 NTC917554:NTI917554 OCY917554:ODE917554 OMU917554:ONA917554 OWQ917554:OWW917554 PGM917554:PGS917554 PQI917554:PQO917554 QAE917554:QAK917554 QKA917554:QKG917554 QTW917554:QUC917554 RDS917554:RDY917554 RNO917554:RNU917554 RXK917554:RXQ917554 SHG917554:SHM917554 SRC917554:SRI917554 TAY917554:TBE917554 TKU917554:TLA917554 TUQ917554:TUW917554 UEM917554:UES917554 UOI917554:UOO917554 UYE917554:UYK917554 VIA917554:VIG917554 VRW917554:VSC917554 WBS917554:WBY917554 WLO917554:WLU917554 WVK917554:WVQ917554 C983090:I983090 IY983090:JE983090 SU983090:TA983090 ACQ983090:ACW983090 AMM983090:AMS983090 AWI983090:AWO983090 BGE983090:BGK983090 BQA983090:BQG983090 BZW983090:CAC983090 CJS983090:CJY983090 CTO983090:CTU983090 DDK983090:DDQ983090 DNG983090:DNM983090 DXC983090:DXI983090 EGY983090:EHE983090 EQU983090:ERA983090 FAQ983090:FAW983090 FKM983090:FKS983090 FUI983090:FUO983090 GEE983090:GEK983090 GOA983090:GOG983090 GXW983090:GYC983090 HHS983090:HHY983090 HRO983090:HRU983090 IBK983090:IBQ983090 ILG983090:ILM983090 IVC983090:IVI983090 JEY983090:JFE983090 JOU983090:JPA983090 JYQ983090:JYW983090 KIM983090:KIS983090 KSI983090:KSO983090 LCE983090:LCK983090 LMA983090:LMG983090 LVW983090:LWC983090 MFS983090:MFY983090 MPO983090:MPU983090 MZK983090:MZQ983090 NJG983090:NJM983090 NTC983090:NTI983090 OCY983090:ODE983090 OMU983090:ONA983090 OWQ983090:OWW983090 PGM983090:PGS983090 PQI983090:PQO983090 QAE983090:QAK983090 QKA983090:QKG983090 QTW983090:QUC983090 RDS983090:RDY983090 RNO983090:RNU983090 RXK983090:RXQ983090 SHG983090:SHM983090 SRC983090:SRI983090 TAY983090:TBE983090 TKU983090:TLA983090 TUQ983090:TUW983090 UEM983090:UES983090 UOI983090:UOO983090 UYE983090:UYK983090 VIA983090:VIG983090 VRW983090:VSC983090 WBS983090:WBY983090 WLO983090:WLU983090 WVK983090:WVQ983090 WLO53:WLU53 WBS53:WBY53 VRW53:VSC53 VIA53:VIG53 UYE53:UYK53 UOI53:UOO53 UEM53:UES53 TUQ53:TUW53 TKU53:TLA53 TAY53:TBE53 SRC53:SRI53 SHG53:SHM53 RXK53:RXQ53 RNO53:RNU53 RDS53:RDY53 QTW53:QUC53 QKA53:QKG53 QAE53:QAK53 PQI53:PQO53 PGM53:PGS53 OWQ53:OWW53 OMU53:ONA53 OCY53:ODE53 NTC53:NTI53 NJG53:NJM53 MZK53:MZQ53 MPO53:MPU53 MFS53:MFY53 LVW53:LWC53 LMA53:LMG53 LCE53:LCK53 KSI53:KSO53 KIM53:KIS53 JYQ53:JYW53 JOU53:JPA53 JEY53:JFE53 IVC53:IVI53 ILG53:ILM53 IBK53:IBQ53 HRO53:HRU53 HHS53:HHY53 GXW53:GYC53 GOA53:GOG53 GEE53:GEK53 FUI53:FUO53 FKM53:FKS53 FAQ53:FAW53 EQU53:ERA53 EGY53:EHE53 DXC53:DXI53 DNG53:DNM53 DDK53:DDQ53 CTO53:CTU53 CJS53:CJY53 BZW53:CAC53 BQA53:BQG53 BGE53:BGK53 AWI53:AWO53 AMM53:AMS53 ACQ53:ACW53 SU53:TA53 IY53:JE53 C53:I53 WVK53:WVQ53">
      <formula1>150</formula1>
    </dataValidation>
    <dataValidation type="whole" operator="greaterThan" showInputMessage="1" showErrorMessage="1" promptTitle="ABN / ACN" prompt="Please enter ABN / ACN without any spaces." sqref="C983052:E983052 IY983052:JA983052 SU983052:SW983052 ACQ983052:ACS983052 AMM983052:AMO983052 AWI983052:AWK983052 BGE983052:BGG983052 BQA983052:BQC983052 BZW983052:BZY983052 CJS983052:CJU983052 CTO983052:CTQ983052 DDK983052:DDM983052 DNG983052:DNI983052 DXC983052:DXE983052 EGY983052:EHA983052 EQU983052:EQW983052 FAQ983052:FAS983052 FKM983052:FKO983052 FUI983052:FUK983052 GEE983052:GEG983052 GOA983052:GOC983052 GXW983052:GXY983052 HHS983052:HHU983052 HRO983052:HRQ983052 IBK983052:IBM983052 ILG983052:ILI983052 IVC983052:IVE983052 JEY983052:JFA983052 JOU983052:JOW983052 JYQ983052:JYS983052 KIM983052:KIO983052 KSI983052:KSK983052 LCE983052:LCG983052 LMA983052:LMC983052 LVW983052:LVY983052 MFS983052:MFU983052 MPO983052:MPQ983052 MZK983052:MZM983052 NJG983052:NJI983052 NTC983052:NTE983052 OCY983052:ODA983052 OMU983052:OMW983052 OWQ983052:OWS983052 PGM983052:PGO983052 PQI983052:PQK983052 QAE983052:QAG983052 QKA983052:QKC983052 QTW983052:QTY983052 RDS983052:RDU983052 RNO983052:RNQ983052 RXK983052:RXM983052 SHG983052:SHI983052 SRC983052:SRE983052 TAY983052:TBA983052 TKU983052:TKW983052 TUQ983052:TUS983052 UEM983052:UEO983052 UOI983052:UOK983052 UYE983052:UYG983052 VIA983052:VIC983052 VRW983052:VRY983052 WBS983052:WBU983052 WLO983052:WLQ983052 WVK983052:WVM983052 C65548:E65548 IY65548:JA65548 SU65548:SW65548 ACQ65548:ACS65548 AMM65548:AMO65548 AWI65548:AWK65548 BGE65548:BGG65548 BQA65548:BQC65548 BZW65548:BZY65548 CJS65548:CJU65548 CTO65548:CTQ65548 DDK65548:DDM65548 DNG65548:DNI65548 DXC65548:DXE65548 EGY65548:EHA65548 EQU65548:EQW65548 FAQ65548:FAS65548 FKM65548:FKO65548 FUI65548:FUK65548 GEE65548:GEG65548 GOA65548:GOC65548 GXW65548:GXY65548 HHS65548:HHU65548 HRO65548:HRQ65548 IBK65548:IBM65548 ILG65548:ILI65548 IVC65548:IVE65548 JEY65548:JFA65548 JOU65548:JOW65548 JYQ65548:JYS65548 KIM65548:KIO65548 KSI65548:KSK65548 LCE65548:LCG65548 LMA65548:LMC65548 LVW65548:LVY65548 MFS65548:MFU65548 MPO65548:MPQ65548 MZK65548:MZM65548 NJG65548:NJI65548 NTC65548:NTE65548 OCY65548:ODA65548 OMU65548:OMW65548 OWQ65548:OWS65548 PGM65548:PGO65548 PQI65548:PQK65548 QAE65548:QAG65548 QKA65548:QKC65548 QTW65548:QTY65548 RDS65548:RDU65548 RNO65548:RNQ65548 RXK65548:RXM65548 SHG65548:SHI65548 SRC65548:SRE65548 TAY65548:TBA65548 TKU65548:TKW65548 TUQ65548:TUS65548 UEM65548:UEO65548 UOI65548:UOK65548 UYE65548:UYG65548 VIA65548:VIC65548 VRW65548:VRY65548 WBS65548:WBU65548 WLO65548:WLQ65548 WVK65548:WVM65548 C131084:E131084 IY131084:JA131084 SU131084:SW131084 ACQ131084:ACS131084 AMM131084:AMO131084 AWI131084:AWK131084 BGE131084:BGG131084 BQA131084:BQC131084 BZW131084:BZY131084 CJS131084:CJU131084 CTO131084:CTQ131084 DDK131084:DDM131084 DNG131084:DNI131084 DXC131084:DXE131084 EGY131084:EHA131084 EQU131084:EQW131084 FAQ131084:FAS131084 FKM131084:FKO131084 FUI131084:FUK131084 GEE131084:GEG131084 GOA131084:GOC131084 GXW131084:GXY131084 HHS131084:HHU131084 HRO131084:HRQ131084 IBK131084:IBM131084 ILG131084:ILI131084 IVC131084:IVE131084 JEY131084:JFA131084 JOU131084:JOW131084 JYQ131084:JYS131084 KIM131084:KIO131084 KSI131084:KSK131084 LCE131084:LCG131084 LMA131084:LMC131084 LVW131084:LVY131084 MFS131084:MFU131084 MPO131084:MPQ131084 MZK131084:MZM131084 NJG131084:NJI131084 NTC131084:NTE131084 OCY131084:ODA131084 OMU131084:OMW131084 OWQ131084:OWS131084 PGM131084:PGO131084 PQI131084:PQK131084 QAE131084:QAG131084 QKA131084:QKC131084 QTW131084:QTY131084 RDS131084:RDU131084 RNO131084:RNQ131084 RXK131084:RXM131084 SHG131084:SHI131084 SRC131084:SRE131084 TAY131084:TBA131084 TKU131084:TKW131084 TUQ131084:TUS131084 UEM131084:UEO131084 UOI131084:UOK131084 UYE131084:UYG131084 VIA131084:VIC131084 VRW131084:VRY131084 WBS131084:WBU131084 WLO131084:WLQ131084 WVK131084:WVM131084 C196620:E196620 IY196620:JA196620 SU196620:SW196620 ACQ196620:ACS196620 AMM196620:AMO196620 AWI196620:AWK196620 BGE196620:BGG196620 BQA196620:BQC196620 BZW196620:BZY196620 CJS196620:CJU196620 CTO196620:CTQ196620 DDK196620:DDM196620 DNG196620:DNI196620 DXC196620:DXE196620 EGY196620:EHA196620 EQU196620:EQW196620 FAQ196620:FAS196620 FKM196620:FKO196620 FUI196620:FUK196620 GEE196620:GEG196620 GOA196620:GOC196620 GXW196620:GXY196620 HHS196620:HHU196620 HRO196620:HRQ196620 IBK196620:IBM196620 ILG196620:ILI196620 IVC196620:IVE196620 JEY196620:JFA196620 JOU196620:JOW196620 JYQ196620:JYS196620 KIM196620:KIO196620 KSI196620:KSK196620 LCE196620:LCG196620 LMA196620:LMC196620 LVW196620:LVY196620 MFS196620:MFU196620 MPO196620:MPQ196620 MZK196620:MZM196620 NJG196620:NJI196620 NTC196620:NTE196620 OCY196620:ODA196620 OMU196620:OMW196620 OWQ196620:OWS196620 PGM196620:PGO196620 PQI196620:PQK196620 QAE196620:QAG196620 QKA196620:QKC196620 QTW196620:QTY196620 RDS196620:RDU196620 RNO196620:RNQ196620 RXK196620:RXM196620 SHG196620:SHI196620 SRC196620:SRE196620 TAY196620:TBA196620 TKU196620:TKW196620 TUQ196620:TUS196620 UEM196620:UEO196620 UOI196620:UOK196620 UYE196620:UYG196620 VIA196620:VIC196620 VRW196620:VRY196620 WBS196620:WBU196620 WLO196620:WLQ196620 WVK196620:WVM196620 C262156:E262156 IY262156:JA262156 SU262156:SW262156 ACQ262156:ACS262156 AMM262156:AMO262156 AWI262156:AWK262156 BGE262156:BGG262156 BQA262156:BQC262156 BZW262156:BZY262156 CJS262156:CJU262156 CTO262156:CTQ262156 DDK262156:DDM262156 DNG262156:DNI262156 DXC262156:DXE262156 EGY262156:EHA262156 EQU262156:EQW262156 FAQ262156:FAS262156 FKM262156:FKO262156 FUI262156:FUK262156 GEE262156:GEG262156 GOA262156:GOC262156 GXW262156:GXY262156 HHS262156:HHU262156 HRO262156:HRQ262156 IBK262156:IBM262156 ILG262156:ILI262156 IVC262156:IVE262156 JEY262156:JFA262156 JOU262156:JOW262156 JYQ262156:JYS262156 KIM262156:KIO262156 KSI262156:KSK262156 LCE262156:LCG262156 LMA262156:LMC262156 LVW262156:LVY262156 MFS262156:MFU262156 MPO262156:MPQ262156 MZK262156:MZM262156 NJG262156:NJI262156 NTC262156:NTE262156 OCY262156:ODA262156 OMU262156:OMW262156 OWQ262156:OWS262156 PGM262156:PGO262156 PQI262156:PQK262156 QAE262156:QAG262156 QKA262156:QKC262156 QTW262156:QTY262156 RDS262156:RDU262156 RNO262156:RNQ262156 RXK262156:RXM262156 SHG262156:SHI262156 SRC262156:SRE262156 TAY262156:TBA262156 TKU262156:TKW262156 TUQ262156:TUS262156 UEM262156:UEO262156 UOI262156:UOK262156 UYE262156:UYG262156 VIA262156:VIC262156 VRW262156:VRY262156 WBS262156:WBU262156 WLO262156:WLQ262156 WVK262156:WVM262156 C327692:E327692 IY327692:JA327692 SU327692:SW327692 ACQ327692:ACS327692 AMM327692:AMO327692 AWI327692:AWK327692 BGE327692:BGG327692 BQA327692:BQC327692 BZW327692:BZY327692 CJS327692:CJU327692 CTO327692:CTQ327692 DDK327692:DDM327692 DNG327692:DNI327692 DXC327692:DXE327692 EGY327692:EHA327692 EQU327692:EQW327692 FAQ327692:FAS327692 FKM327692:FKO327692 FUI327692:FUK327692 GEE327692:GEG327692 GOA327692:GOC327692 GXW327692:GXY327692 HHS327692:HHU327692 HRO327692:HRQ327692 IBK327692:IBM327692 ILG327692:ILI327692 IVC327692:IVE327692 JEY327692:JFA327692 JOU327692:JOW327692 JYQ327692:JYS327692 KIM327692:KIO327692 KSI327692:KSK327692 LCE327692:LCG327692 LMA327692:LMC327692 LVW327692:LVY327692 MFS327692:MFU327692 MPO327692:MPQ327692 MZK327692:MZM327692 NJG327692:NJI327692 NTC327692:NTE327692 OCY327692:ODA327692 OMU327692:OMW327692 OWQ327692:OWS327692 PGM327692:PGO327692 PQI327692:PQK327692 QAE327692:QAG327692 QKA327692:QKC327692 QTW327692:QTY327692 RDS327692:RDU327692 RNO327692:RNQ327692 RXK327692:RXM327692 SHG327692:SHI327692 SRC327692:SRE327692 TAY327692:TBA327692 TKU327692:TKW327692 TUQ327692:TUS327692 UEM327692:UEO327692 UOI327692:UOK327692 UYE327692:UYG327692 VIA327692:VIC327692 VRW327692:VRY327692 WBS327692:WBU327692 WLO327692:WLQ327692 WVK327692:WVM327692 C393228:E393228 IY393228:JA393228 SU393228:SW393228 ACQ393228:ACS393228 AMM393228:AMO393228 AWI393228:AWK393228 BGE393228:BGG393228 BQA393228:BQC393228 BZW393228:BZY393228 CJS393228:CJU393228 CTO393228:CTQ393228 DDK393228:DDM393228 DNG393228:DNI393228 DXC393228:DXE393228 EGY393228:EHA393228 EQU393228:EQW393228 FAQ393228:FAS393228 FKM393228:FKO393228 FUI393228:FUK393228 GEE393228:GEG393228 GOA393228:GOC393228 GXW393228:GXY393228 HHS393228:HHU393228 HRO393228:HRQ393228 IBK393228:IBM393228 ILG393228:ILI393228 IVC393228:IVE393228 JEY393228:JFA393228 JOU393228:JOW393228 JYQ393228:JYS393228 KIM393228:KIO393228 KSI393228:KSK393228 LCE393228:LCG393228 LMA393228:LMC393228 LVW393228:LVY393228 MFS393228:MFU393228 MPO393228:MPQ393228 MZK393228:MZM393228 NJG393228:NJI393228 NTC393228:NTE393228 OCY393228:ODA393228 OMU393228:OMW393228 OWQ393228:OWS393228 PGM393228:PGO393228 PQI393228:PQK393228 QAE393228:QAG393228 QKA393228:QKC393228 QTW393228:QTY393228 RDS393228:RDU393228 RNO393228:RNQ393228 RXK393228:RXM393228 SHG393228:SHI393228 SRC393228:SRE393228 TAY393228:TBA393228 TKU393228:TKW393228 TUQ393228:TUS393228 UEM393228:UEO393228 UOI393228:UOK393228 UYE393228:UYG393228 VIA393228:VIC393228 VRW393228:VRY393228 WBS393228:WBU393228 WLO393228:WLQ393228 WVK393228:WVM393228 C458764:E458764 IY458764:JA458764 SU458764:SW458764 ACQ458764:ACS458764 AMM458764:AMO458764 AWI458764:AWK458764 BGE458764:BGG458764 BQA458764:BQC458764 BZW458764:BZY458764 CJS458764:CJU458764 CTO458764:CTQ458764 DDK458764:DDM458764 DNG458764:DNI458764 DXC458764:DXE458764 EGY458764:EHA458764 EQU458764:EQW458764 FAQ458764:FAS458764 FKM458764:FKO458764 FUI458764:FUK458764 GEE458764:GEG458764 GOA458764:GOC458764 GXW458764:GXY458764 HHS458764:HHU458764 HRO458764:HRQ458764 IBK458764:IBM458764 ILG458764:ILI458764 IVC458764:IVE458764 JEY458764:JFA458764 JOU458764:JOW458764 JYQ458764:JYS458764 KIM458764:KIO458764 KSI458764:KSK458764 LCE458764:LCG458764 LMA458764:LMC458764 LVW458764:LVY458764 MFS458764:MFU458764 MPO458764:MPQ458764 MZK458764:MZM458764 NJG458764:NJI458764 NTC458764:NTE458764 OCY458764:ODA458764 OMU458764:OMW458764 OWQ458764:OWS458764 PGM458764:PGO458764 PQI458764:PQK458764 QAE458764:QAG458764 QKA458764:QKC458764 QTW458764:QTY458764 RDS458764:RDU458764 RNO458764:RNQ458764 RXK458764:RXM458764 SHG458764:SHI458764 SRC458764:SRE458764 TAY458764:TBA458764 TKU458764:TKW458764 TUQ458764:TUS458764 UEM458764:UEO458764 UOI458764:UOK458764 UYE458764:UYG458764 VIA458764:VIC458764 VRW458764:VRY458764 WBS458764:WBU458764 WLO458764:WLQ458764 WVK458764:WVM458764 C524300:E524300 IY524300:JA524300 SU524300:SW524300 ACQ524300:ACS524300 AMM524300:AMO524300 AWI524300:AWK524300 BGE524300:BGG524300 BQA524300:BQC524300 BZW524300:BZY524300 CJS524300:CJU524300 CTO524300:CTQ524300 DDK524300:DDM524300 DNG524300:DNI524300 DXC524300:DXE524300 EGY524300:EHA524300 EQU524300:EQW524300 FAQ524300:FAS524300 FKM524300:FKO524300 FUI524300:FUK524300 GEE524300:GEG524300 GOA524300:GOC524300 GXW524300:GXY524300 HHS524300:HHU524300 HRO524300:HRQ524300 IBK524300:IBM524300 ILG524300:ILI524300 IVC524300:IVE524300 JEY524300:JFA524300 JOU524300:JOW524300 JYQ524300:JYS524300 KIM524300:KIO524300 KSI524300:KSK524300 LCE524300:LCG524300 LMA524300:LMC524300 LVW524300:LVY524300 MFS524300:MFU524300 MPO524300:MPQ524300 MZK524300:MZM524300 NJG524300:NJI524300 NTC524300:NTE524300 OCY524300:ODA524300 OMU524300:OMW524300 OWQ524300:OWS524300 PGM524300:PGO524300 PQI524300:PQK524300 QAE524300:QAG524300 QKA524300:QKC524300 QTW524300:QTY524300 RDS524300:RDU524300 RNO524300:RNQ524300 RXK524300:RXM524300 SHG524300:SHI524300 SRC524300:SRE524300 TAY524300:TBA524300 TKU524300:TKW524300 TUQ524300:TUS524300 UEM524300:UEO524300 UOI524300:UOK524300 UYE524300:UYG524300 VIA524300:VIC524300 VRW524300:VRY524300 WBS524300:WBU524300 WLO524300:WLQ524300 WVK524300:WVM524300 C589836:E589836 IY589836:JA589836 SU589836:SW589836 ACQ589836:ACS589836 AMM589836:AMO589836 AWI589836:AWK589836 BGE589836:BGG589836 BQA589836:BQC589836 BZW589836:BZY589836 CJS589836:CJU589836 CTO589836:CTQ589836 DDK589836:DDM589836 DNG589836:DNI589836 DXC589836:DXE589836 EGY589836:EHA589836 EQU589836:EQW589836 FAQ589836:FAS589836 FKM589836:FKO589836 FUI589836:FUK589836 GEE589836:GEG589836 GOA589836:GOC589836 GXW589836:GXY589836 HHS589836:HHU589836 HRO589836:HRQ589836 IBK589836:IBM589836 ILG589836:ILI589836 IVC589836:IVE589836 JEY589836:JFA589836 JOU589836:JOW589836 JYQ589836:JYS589836 KIM589836:KIO589836 KSI589836:KSK589836 LCE589836:LCG589836 LMA589836:LMC589836 LVW589836:LVY589836 MFS589836:MFU589836 MPO589836:MPQ589836 MZK589836:MZM589836 NJG589836:NJI589836 NTC589836:NTE589836 OCY589836:ODA589836 OMU589836:OMW589836 OWQ589836:OWS589836 PGM589836:PGO589836 PQI589836:PQK589836 QAE589836:QAG589836 QKA589836:QKC589836 QTW589836:QTY589836 RDS589836:RDU589836 RNO589836:RNQ589836 RXK589836:RXM589836 SHG589836:SHI589836 SRC589836:SRE589836 TAY589836:TBA589836 TKU589836:TKW589836 TUQ589836:TUS589836 UEM589836:UEO589836 UOI589836:UOK589836 UYE589836:UYG589836 VIA589836:VIC589836 VRW589836:VRY589836 WBS589836:WBU589836 WLO589836:WLQ589836 WVK589836:WVM589836 C655372:E655372 IY655372:JA655372 SU655372:SW655372 ACQ655372:ACS655372 AMM655372:AMO655372 AWI655372:AWK655372 BGE655372:BGG655372 BQA655372:BQC655372 BZW655372:BZY655372 CJS655372:CJU655372 CTO655372:CTQ655372 DDK655372:DDM655372 DNG655372:DNI655372 DXC655372:DXE655372 EGY655372:EHA655372 EQU655372:EQW655372 FAQ655372:FAS655372 FKM655372:FKO655372 FUI655372:FUK655372 GEE655372:GEG655372 GOA655372:GOC655372 GXW655372:GXY655372 HHS655372:HHU655372 HRO655372:HRQ655372 IBK655372:IBM655372 ILG655372:ILI655372 IVC655372:IVE655372 JEY655372:JFA655372 JOU655372:JOW655372 JYQ655372:JYS655372 KIM655372:KIO655372 KSI655372:KSK655372 LCE655372:LCG655372 LMA655372:LMC655372 LVW655372:LVY655372 MFS655372:MFU655372 MPO655372:MPQ655372 MZK655372:MZM655372 NJG655372:NJI655372 NTC655372:NTE655372 OCY655372:ODA655372 OMU655372:OMW655372 OWQ655372:OWS655372 PGM655372:PGO655372 PQI655372:PQK655372 QAE655372:QAG655372 QKA655372:QKC655372 QTW655372:QTY655372 RDS655372:RDU655372 RNO655372:RNQ655372 RXK655372:RXM655372 SHG655372:SHI655372 SRC655372:SRE655372 TAY655372:TBA655372 TKU655372:TKW655372 TUQ655372:TUS655372 UEM655372:UEO655372 UOI655372:UOK655372 UYE655372:UYG655372 VIA655372:VIC655372 VRW655372:VRY655372 WBS655372:WBU655372 WLO655372:WLQ655372 WVK655372:WVM655372 C720908:E720908 IY720908:JA720908 SU720908:SW720908 ACQ720908:ACS720908 AMM720908:AMO720908 AWI720908:AWK720908 BGE720908:BGG720908 BQA720908:BQC720908 BZW720908:BZY720908 CJS720908:CJU720908 CTO720908:CTQ720908 DDK720908:DDM720908 DNG720908:DNI720908 DXC720908:DXE720908 EGY720908:EHA720908 EQU720908:EQW720908 FAQ720908:FAS720908 FKM720908:FKO720908 FUI720908:FUK720908 GEE720908:GEG720908 GOA720908:GOC720908 GXW720908:GXY720908 HHS720908:HHU720908 HRO720908:HRQ720908 IBK720908:IBM720908 ILG720908:ILI720908 IVC720908:IVE720908 JEY720908:JFA720908 JOU720908:JOW720908 JYQ720908:JYS720908 KIM720908:KIO720908 KSI720908:KSK720908 LCE720908:LCG720908 LMA720908:LMC720908 LVW720908:LVY720908 MFS720908:MFU720908 MPO720908:MPQ720908 MZK720908:MZM720908 NJG720908:NJI720908 NTC720908:NTE720908 OCY720908:ODA720908 OMU720908:OMW720908 OWQ720908:OWS720908 PGM720908:PGO720908 PQI720908:PQK720908 QAE720908:QAG720908 QKA720908:QKC720908 QTW720908:QTY720908 RDS720908:RDU720908 RNO720908:RNQ720908 RXK720908:RXM720908 SHG720908:SHI720908 SRC720908:SRE720908 TAY720908:TBA720908 TKU720908:TKW720908 TUQ720908:TUS720908 UEM720908:UEO720908 UOI720908:UOK720908 UYE720908:UYG720908 VIA720908:VIC720908 VRW720908:VRY720908 WBS720908:WBU720908 WLO720908:WLQ720908 WVK720908:WVM720908 C786444:E786444 IY786444:JA786444 SU786444:SW786444 ACQ786444:ACS786444 AMM786444:AMO786444 AWI786444:AWK786444 BGE786444:BGG786444 BQA786444:BQC786444 BZW786444:BZY786444 CJS786444:CJU786444 CTO786444:CTQ786444 DDK786444:DDM786444 DNG786444:DNI786444 DXC786444:DXE786444 EGY786444:EHA786444 EQU786444:EQW786444 FAQ786444:FAS786444 FKM786444:FKO786444 FUI786444:FUK786444 GEE786444:GEG786444 GOA786444:GOC786444 GXW786444:GXY786444 HHS786444:HHU786444 HRO786444:HRQ786444 IBK786444:IBM786444 ILG786444:ILI786444 IVC786444:IVE786444 JEY786444:JFA786444 JOU786444:JOW786444 JYQ786444:JYS786444 KIM786444:KIO786444 KSI786444:KSK786444 LCE786444:LCG786444 LMA786444:LMC786444 LVW786444:LVY786444 MFS786444:MFU786444 MPO786444:MPQ786444 MZK786444:MZM786444 NJG786444:NJI786444 NTC786444:NTE786444 OCY786444:ODA786444 OMU786444:OMW786444 OWQ786444:OWS786444 PGM786444:PGO786444 PQI786444:PQK786444 QAE786444:QAG786444 QKA786444:QKC786444 QTW786444:QTY786444 RDS786444:RDU786444 RNO786444:RNQ786444 RXK786444:RXM786444 SHG786444:SHI786444 SRC786444:SRE786444 TAY786444:TBA786444 TKU786444:TKW786444 TUQ786444:TUS786444 UEM786444:UEO786444 UOI786444:UOK786444 UYE786444:UYG786444 VIA786444:VIC786444 VRW786444:VRY786444 WBS786444:WBU786444 WLO786444:WLQ786444 WVK786444:WVM786444 C851980:E851980 IY851980:JA851980 SU851980:SW851980 ACQ851980:ACS851980 AMM851980:AMO851980 AWI851980:AWK851980 BGE851980:BGG851980 BQA851980:BQC851980 BZW851980:BZY851980 CJS851980:CJU851980 CTO851980:CTQ851980 DDK851980:DDM851980 DNG851980:DNI851980 DXC851980:DXE851980 EGY851980:EHA851980 EQU851980:EQW851980 FAQ851980:FAS851980 FKM851980:FKO851980 FUI851980:FUK851980 GEE851980:GEG851980 GOA851980:GOC851980 GXW851980:GXY851980 HHS851980:HHU851980 HRO851980:HRQ851980 IBK851980:IBM851980 ILG851980:ILI851980 IVC851980:IVE851980 JEY851980:JFA851980 JOU851980:JOW851980 JYQ851980:JYS851980 KIM851980:KIO851980 KSI851980:KSK851980 LCE851980:LCG851980 LMA851980:LMC851980 LVW851980:LVY851980 MFS851980:MFU851980 MPO851980:MPQ851980 MZK851980:MZM851980 NJG851980:NJI851980 NTC851980:NTE851980 OCY851980:ODA851980 OMU851980:OMW851980 OWQ851980:OWS851980 PGM851980:PGO851980 PQI851980:PQK851980 QAE851980:QAG851980 QKA851980:QKC851980 QTW851980:QTY851980 RDS851980:RDU851980 RNO851980:RNQ851980 RXK851980:RXM851980 SHG851980:SHI851980 SRC851980:SRE851980 TAY851980:TBA851980 TKU851980:TKW851980 TUQ851980:TUS851980 UEM851980:UEO851980 UOI851980:UOK851980 UYE851980:UYG851980 VIA851980:VIC851980 VRW851980:VRY851980 WBS851980:WBU851980 WLO851980:WLQ851980 WVK851980:WVM851980 C917516:E917516 IY917516:JA917516 SU917516:SW917516 ACQ917516:ACS917516 AMM917516:AMO917516 AWI917516:AWK917516 BGE917516:BGG917516 BQA917516:BQC917516 BZW917516:BZY917516 CJS917516:CJU917516 CTO917516:CTQ917516 DDK917516:DDM917516 DNG917516:DNI917516 DXC917516:DXE917516 EGY917516:EHA917516 EQU917516:EQW917516 FAQ917516:FAS917516 FKM917516:FKO917516 FUI917516:FUK917516 GEE917516:GEG917516 GOA917516:GOC917516 GXW917516:GXY917516 HHS917516:HHU917516 HRO917516:HRQ917516 IBK917516:IBM917516 ILG917516:ILI917516 IVC917516:IVE917516 JEY917516:JFA917516 JOU917516:JOW917516 JYQ917516:JYS917516 KIM917516:KIO917516 KSI917516:KSK917516 LCE917516:LCG917516 LMA917516:LMC917516 LVW917516:LVY917516 MFS917516:MFU917516 MPO917516:MPQ917516 MZK917516:MZM917516 NJG917516:NJI917516 NTC917516:NTE917516 OCY917516:ODA917516 OMU917516:OMW917516 OWQ917516:OWS917516 PGM917516:PGO917516 PQI917516:PQK917516 QAE917516:QAG917516 QKA917516:QKC917516 QTW917516:QTY917516 RDS917516:RDU917516 RNO917516:RNQ917516 RXK917516:RXM917516 SHG917516:SHI917516 SRC917516:SRE917516 TAY917516:TBA917516 TKU917516:TKW917516 TUQ917516:TUS917516 UEM917516:UEO917516 UOI917516:UOK917516 UYE917516:UYG917516 VIA917516:VIC917516 VRW917516:VRY917516 WBS917516:WBU917516 WLO917516:WLQ917516 WVK917516:WVM917516 WVK15:WVM15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formula1>1</formula1>
    </dataValidation>
    <dataValidation type="list" allowBlank="1" showInputMessage="1" showErrorMessage="1" sqref="WVK983082 C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C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C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C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C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C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C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C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C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C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C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C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C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C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C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formula1>"Distribution, Transmission"</formula1>
    </dataValidation>
    <dataValidation type="list" allowBlank="1" showInputMessage="1" showErrorMessage="1" sqref="WVK98308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formula1>"Electricity, Gas"</formula1>
    </dataValidation>
    <dataValidation type="list" allowBlank="1" showInputMessage="1" showErrorMessage="1" sqref="WVK983086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formula1>"Reset, EB, CA, PTRM, RFM, CPI, WACC"</formula1>
    </dataValidation>
    <dataValidation type="list" allowBlank="1" showInputMessage="1" showErrorMessage="1" sqref="C65589 IY65589 SU65589 ACQ65589 AMM65589 AWI65589 BGE65589 BQA65589 BZW65589 CJS65589 CTO65589 DDK65589 DNG65589 DXC65589 EGY65589 EQU65589 FAQ65589 FKM65589 FUI65589 GEE65589 GOA65589 GXW65589 HHS65589 HRO65589 IBK65589 ILG65589 IVC65589 JEY65589 JOU65589 JYQ65589 KIM65589 KSI65589 LCE65589 LMA65589 LVW65589 MFS65589 MPO65589 MZK65589 NJG65589 NTC65589 OCY65589 OMU65589 OWQ65589 PGM65589 PQI65589 QAE65589 QKA65589 QTW65589 RDS65589 RNO65589 RXK65589 SHG65589 SRC65589 TAY65589 TKU65589 TUQ65589 UEM65589 UOI65589 UYE65589 VIA65589 VRW65589 WBS65589 WLO65589 WVK65589 C131125 IY131125 SU131125 ACQ131125 AMM131125 AWI131125 BGE131125 BQA131125 BZW131125 CJS131125 CTO131125 DDK131125 DNG131125 DXC131125 EGY131125 EQU131125 FAQ131125 FKM131125 FUI131125 GEE131125 GOA131125 GXW131125 HHS131125 HRO131125 IBK131125 ILG131125 IVC131125 JEY131125 JOU131125 JYQ131125 KIM131125 KSI131125 LCE131125 LMA131125 LVW131125 MFS131125 MPO131125 MZK131125 NJG131125 NTC131125 OCY131125 OMU131125 OWQ131125 PGM131125 PQI131125 QAE131125 QKA131125 QTW131125 RDS131125 RNO131125 RXK131125 SHG131125 SRC131125 TAY131125 TKU131125 TUQ131125 UEM131125 UOI131125 UYE131125 VIA131125 VRW131125 WBS131125 WLO131125 WVK131125 C196661 IY196661 SU196661 ACQ196661 AMM196661 AWI196661 BGE196661 BQA196661 BZW196661 CJS196661 CTO196661 DDK196661 DNG196661 DXC196661 EGY196661 EQU196661 FAQ196661 FKM196661 FUI196661 GEE196661 GOA196661 GXW196661 HHS196661 HRO196661 IBK196661 ILG196661 IVC196661 JEY196661 JOU196661 JYQ196661 KIM196661 KSI196661 LCE196661 LMA196661 LVW196661 MFS196661 MPO196661 MZK196661 NJG196661 NTC196661 OCY196661 OMU196661 OWQ196661 PGM196661 PQI196661 QAE196661 QKA196661 QTW196661 RDS196661 RNO196661 RXK196661 SHG196661 SRC196661 TAY196661 TKU196661 TUQ196661 UEM196661 UOI196661 UYE196661 VIA196661 VRW196661 WBS196661 WLO196661 WVK196661 C262197 IY262197 SU262197 ACQ262197 AMM262197 AWI262197 BGE262197 BQA262197 BZW262197 CJS262197 CTO262197 DDK262197 DNG262197 DXC262197 EGY262197 EQU262197 FAQ262197 FKM262197 FUI262197 GEE262197 GOA262197 GXW262197 HHS262197 HRO262197 IBK262197 ILG262197 IVC262197 JEY262197 JOU262197 JYQ262197 KIM262197 KSI262197 LCE262197 LMA262197 LVW262197 MFS262197 MPO262197 MZK262197 NJG262197 NTC262197 OCY262197 OMU262197 OWQ262197 PGM262197 PQI262197 QAE262197 QKA262197 QTW262197 RDS262197 RNO262197 RXK262197 SHG262197 SRC262197 TAY262197 TKU262197 TUQ262197 UEM262197 UOI262197 UYE262197 VIA262197 VRW262197 WBS262197 WLO262197 WVK262197 C327733 IY327733 SU327733 ACQ327733 AMM327733 AWI327733 BGE327733 BQA327733 BZW327733 CJS327733 CTO327733 DDK327733 DNG327733 DXC327733 EGY327733 EQU327733 FAQ327733 FKM327733 FUI327733 GEE327733 GOA327733 GXW327733 HHS327733 HRO327733 IBK327733 ILG327733 IVC327733 JEY327733 JOU327733 JYQ327733 KIM327733 KSI327733 LCE327733 LMA327733 LVW327733 MFS327733 MPO327733 MZK327733 NJG327733 NTC327733 OCY327733 OMU327733 OWQ327733 PGM327733 PQI327733 QAE327733 QKA327733 QTW327733 RDS327733 RNO327733 RXK327733 SHG327733 SRC327733 TAY327733 TKU327733 TUQ327733 UEM327733 UOI327733 UYE327733 VIA327733 VRW327733 WBS327733 WLO327733 WVK327733 C393269 IY393269 SU393269 ACQ393269 AMM393269 AWI393269 BGE393269 BQA393269 BZW393269 CJS393269 CTO393269 DDK393269 DNG393269 DXC393269 EGY393269 EQU393269 FAQ393269 FKM393269 FUI393269 GEE393269 GOA393269 GXW393269 HHS393269 HRO393269 IBK393269 ILG393269 IVC393269 JEY393269 JOU393269 JYQ393269 KIM393269 KSI393269 LCE393269 LMA393269 LVW393269 MFS393269 MPO393269 MZK393269 NJG393269 NTC393269 OCY393269 OMU393269 OWQ393269 PGM393269 PQI393269 QAE393269 QKA393269 QTW393269 RDS393269 RNO393269 RXK393269 SHG393269 SRC393269 TAY393269 TKU393269 TUQ393269 UEM393269 UOI393269 UYE393269 VIA393269 VRW393269 WBS393269 WLO393269 WVK393269 C458805 IY458805 SU458805 ACQ458805 AMM458805 AWI458805 BGE458805 BQA458805 BZW458805 CJS458805 CTO458805 DDK458805 DNG458805 DXC458805 EGY458805 EQU458805 FAQ458805 FKM458805 FUI458805 GEE458805 GOA458805 GXW458805 HHS458805 HRO458805 IBK458805 ILG458805 IVC458805 JEY458805 JOU458805 JYQ458805 KIM458805 KSI458805 LCE458805 LMA458805 LVW458805 MFS458805 MPO458805 MZK458805 NJG458805 NTC458805 OCY458805 OMU458805 OWQ458805 PGM458805 PQI458805 QAE458805 QKA458805 QTW458805 RDS458805 RNO458805 RXK458805 SHG458805 SRC458805 TAY458805 TKU458805 TUQ458805 UEM458805 UOI458805 UYE458805 VIA458805 VRW458805 WBS458805 WLO458805 WVK458805 C524341 IY524341 SU524341 ACQ524341 AMM524341 AWI524341 BGE524341 BQA524341 BZW524341 CJS524341 CTO524341 DDK524341 DNG524341 DXC524341 EGY524341 EQU524341 FAQ524341 FKM524341 FUI524341 GEE524341 GOA524341 GXW524341 HHS524341 HRO524341 IBK524341 ILG524341 IVC524341 JEY524341 JOU524341 JYQ524341 KIM524341 KSI524341 LCE524341 LMA524341 LVW524341 MFS524341 MPO524341 MZK524341 NJG524341 NTC524341 OCY524341 OMU524341 OWQ524341 PGM524341 PQI524341 QAE524341 QKA524341 QTW524341 RDS524341 RNO524341 RXK524341 SHG524341 SRC524341 TAY524341 TKU524341 TUQ524341 UEM524341 UOI524341 UYE524341 VIA524341 VRW524341 WBS524341 WLO524341 WVK524341 C589877 IY589877 SU589877 ACQ589877 AMM589877 AWI589877 BGE589877 BQA589877 BZW589877 CJS589877 CTO589877 DDK589877 DNG589877 DXC589877 EGY589877 EQU589877 FAQ589877 FKM589877 FUI589877 GEE589877 GOA589877 GXW589877 HHS589877 HRO589877 IBK589877 ILG589877 IVC589877 JEY589877 JOU589877 JYQ589877 KIM589877 KSI589877 LCE589877 LMA589877 LVW589877 MFS589877 MPO589877 MZK589877 NJG589877 NTC589877 OCY589877 OMU589877 OWQ589877 PGM589877 PQI589877 QAE589877 QKA589877 QTW589877 RDS589877 RNO589877 RXK589877 SHG589877 SRC589877 TAY589877 TKU589877 TUQ589877 UEM589877 UOI589877 UYE589877 VIA589877 VRW589877 WBS589877 WLO589877 WVK589877 C655413 IY655413 SU655413 ACQ655413 AMM655413 AWI655413 BGE655413 BQA655413 BZW655413 CJS655413 CTO655413 DDK655413 DNG655413 DXC655413 EGY655413 EQU655413 FAQ655413 FKM655413 FUI655413 GEE655413 GOA655413 GXW655413 HHS655413 HRO655413 IBK655413 ILG655413 IVC655413 JEY655413 JOU655413 JYQ655413 KIM655413 KSI655413 LCE655413 LMA655413 LVW655413 MFS655413 MPO655413 MZK655413 NJG655413 NTC655413 OCY655413 OMU655413 OWQ655413 PGM655413 PQI655413 QAE655413 QKA655413 QTW655413 RDS655413 RNO655413 RXK655413 SHG655413 SRC655413 TAY655413 TKU655413 TUQ655413 UEM655413 UOI655413 UYE655413 VIA655413 VRW655413 WBS655413 WLO655413 WVK655413 C720949 IY720949 SU720949 ACQ720949 AMM720949 AWI720949 BGE720949 BQA720949 BZW720949 CJS720949 CTO720949 DDK720949 DNG720949 DXC720949 EGY720949 EQU720949 FAQ720949 FKM720949 FUI720949 GEE720949 GOA720949 GXW720949 HHS720949 HRO720949 IBK720949 ILG720949 IVC720949 JEY720949 JOU720949 JYQ720949 KIM720949 KSI720949 LCE720949 LMA720949 LVW720949 MFS720949 MPO720949 MZK720949 NJG720949 NTC720949 OCY720949 OMU720949 OWQ720949 PGM720949 PQI720949 QAE720949 QKA720949 QTW720949 RDS720949 RNO720949 RXK720949 SHG720949 SRC720949 TAY720949 TKU720949 TUQ720949 UEM720949 UOI720949 UYE720949 VIA720949 VRW720949 WBS720949 WLO720949 WVK720949 C786485 IY786485 SU786485 ACQ786485 AMM786485 AWI786485 BGE786485 BQA786485 BZW786485 CJS786485 CTO786485 DDK786485 DNG786485 DXC786485 EGY786485 EQU786485 FAQ786485 FKM786485 FUI786485 GEE786485 GOA786485 GXW786485 HHS786485 HRO786485 IBK786485 ILG786485 IVC786485 JEY786485 JOU786485 JYQ786485 KIM786485 KSI786485 LCE786485 LMA786485 LVW786485 MFS786485 MPO786485 MZK786485 NJG786485 NTC786485 OCY786485 OMU786485 OWQ786485 PGM786485 PQI786485 QAE786485 QKA786485 QTW786485 RDS786485 RNO786485 RXK786485 SHG786485 SRC786485 TAY786485 TKU786485 TUQ786485 UEM786485 UOI786485 UYE786485 VIA786485 VRW786485 WBS786485 WLO786485 WVK786485 C852021 IY852021 SU852021 ACQ852021 AMM852021 AWI852021 BGE852021 BQA852021 BZW852021 CJS852021 CTO852021 DDK852021 DNG852021 DXC852021 EGY852021 EQU852021 FAQ852021 FKM852021 FUI852021 GEE852021 GOA852021 GXW852021 HHS852021 HRO852021 IBK852021 ILG852021 IVC852021 JEY852021 JOU852021 JYQ852021 KIM852021 KSI852021 LCE852021 LMA852021 LVW852021 MFS852021 MPO852021 MZK852021 NJG852021 NTC852021 OCY852021 OMU852021 OWQ852021 PGM852021 PQI852021 QAE852021 QKA852021 QTW852021 RDS852021 RNO852021 RXK852021 SHG852021 SRC852021 TAY852021 TKU852021 TUQ852021 UEM852021 UOI852021 UYE852021 VIA852021 VRW852021 WBS852021 WLO852021 WVK852021 C917557 IY917557 SU917557 ACQ917557 AMM917557 AWI917557 BGE917557 BQA917557 BZW917557 CJS917557 CTO917557 DDK917557 DNG917557 DXC917557 EGY917557 EQU917557 FAQ917557 FKM917557 FUI917557 GEE917557 GOA917557 GXW917557 HHS917557 HRO917557 IBK917557 ILG917557 IVC917557 JEY917557 JOU917557 JYQ917557 KIM917557 KSI917557 LCE917557 LMA917557 LVW917557 MFS917557 MPO917557 MZK917557 NJG917557 NTC917557 OCY917557 OMU917557 OWQ917557 PGM917557 PQI917557 QAE917557 QKA917557 QTW917557 RDS917557 RNO917557 RXK917557 SHG917557 SRC917557 TAY917557 TKU917557 TUQ917557 UEM917557 UOI917557 UYE917557 VIA917557 VRW917557 WBS917557 WLO917557 WVK917557 C983093 IY983093 SU983093 ACQ983093 AMM983093 AWI983093 BGE983093 BQA983093 BZW983093 CJS983093 CTO983093 DDK983093 DNG983093 DXC983093 EGY983093 EQU983093 FAQ983093 FKM983093 FUI983093 GEE983093 GOA983093 GXW983093 HHS983093 HRO983093 IBK983093 ILG983093 IVC983093 JEY983093 JOU983093 JYQ983093 KIM983093 KSI983093 LCE983093 LMA983093 LVW983093 MFS983093 MPO983093 MZK983093 NJG983093 NTC983093 OCY983093 OMU983093 OWQ983093 PGM983093 PQI983093 QAE983093 QKA983093 QTW983093 RDS983093 RNO983093 RXK983093 SHG983093 SRC983093 TAY983093 TKU983093 TUQ983093 UEM983093 UOI983093 UYE983093 VIA983093 VRW983093 WBS983093 WLO983093 WVK983093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formula1>"Revenue Cap,Revenue Yield,Weighted Average Price Cap"</formula1>
    </dataValidation>
    <dataValidation type="list" operator="lessThanOrEqual" showInputMessage="1" showErrorMessage="1" sqref="C14:H14">
      <formula1>dms_TradingName_List</formula1>
    </dataValidation>
    <dataValidation type="list" allowBlank="1" showInputMessage="1" showErrorMessage="1" sqref="C46:E46">
      <formula1>dms_SourceList</formula1>
    </dataValidation>
    <dataValidation type="list" allowBlank="1" showInputMessage="1" showErrorMessage="1" sqref="C56:E56">
      <formula1>dms_FormControl_Choices</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autoPageBreaks="0"/>
  </sheetPr>
  <dimension ref="A1:BO349"/>
  <sheetViews>
    <sheetView showGridLines="0" topLeftCell="A22" zoomScale="85" zoomScaleNormal="85" workbookViewId="0">
      <selection activeCell="J8" sqref="J8"/>
    </sheetView>
  </sheetViews>
  <sheetFormatPr defaultColWidth="8.5703125" defaultRowHeight="12.75" outlineLevelRow="1"/>
  <cols>
    <col min="1" max="2" width="1" customWidth="1"/>
    <col min="3" max="3" width="1.140625" customWidth="1"/>
    <col min="4" max="4" width="1.42578125" customWidth="1"/>
    <col min="5" max="5" width="50.5703125" style="2" customWidth="1"/>
    <col min="6" max="6" width="17.5703125" customWidth="1"/>
    <col min="7" max="7" width="20.5703125" style="1" customWidth="1"/>
    <col min="8" max="8" width="14.7109375" style="3" customWidth="1"/>
    <col min="9" max="10" width="14.7109375" customWidth="1"/>
    <col min="11" max="11" width="16.5703125" customWidth="1"/>
    <col min="12" max="17" width="14.7109375" customWidth="1"/>
    <col min="18" max="18" width="15.85546875" customWidth="1"/>
    <col min="19" max="19" width="15.85546875" style="6" customWidth="1"/>
    <col min="20" max="41" width="13.5703125" customWidth="1"/>
    <col min="42" max="65" width="9.42578125" customWidth="1"/>
  </cols>
  <sheetData>
    <row r="1" spans="1:67">
      <c r="A1" s="21"/>
      <c r="B1" s="21"/>
      <c r="C1" s="21"/>
      <c r="D1" s="21"/>
      <c r="E1" s="21"/>
      <c r="F1" s="92"/>
      <c r="G1" s="92"/>
      <c r="H1" s="92"/>
      <c r="I1" s="92"/>
      <c r="J1" s="92"/>
      <c r="K1" s="92"/>
      <c r="L1" s="92"/>
      <c r="M1" s="92"/>
      <c r="N1" s="92"/>
      <c r="O1" s="92"/>
      <c r="P1" s="92"/>
      <c r="Q1" s="18"/>
      <c r="R1" s="18"/>
      <c r="S1" s="29"/>
      <c r="T1" s="18"/>
      <c r="U1" s="18"/>
      <c r="V1" s="18"/>
      <c r="W1" s="18"/>
      <c r="X1" s="18"/>
      <c r="Y1" s="18"/>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row>
    <row r="2" spans="1:67" ht="16.5" customHeight="1">
      <c r="A2" s="21"/>
      <c r="B2" s="21"/>
      <c r="C2" s="21"/>
      <c r="D2" s="21"/>
      <c r="E2" s="1612" t="str">
        <f>'DMS input'!$C$16&amp;" - PTRM input"&amp;" - DNSP PTRM - version "&amp;Intro!$L$4</f>
        <v>Aus Elec - PTRM input - DNSP PTRM - version 3</v>
      </c>
      <c r="F2" s="1612"/>
      <c r="G2" s="728"/>
      <c r="H2" s="614"/>
      <c r="I2" s="1606" t="s">
        <v>112</v>
      </c>
      <c r="J2" s="1607"/>
      <c r="K2" s="92"/>
      <c r="L2" s="92"/>
      <c r="M2" s="92"/>
      <c r="N2" s="92"/>
      <c r="O2" s="92"/>
      <c r="P2" s="92"/>
      <c r="Q2" s="18"/>
      <c r="R2" s="18"/>
      <c r="S2" s="29"/>
      <c r="T2" s="18"/>
      <c r="U2" s="18"/>
      <c r="V2" s="18"/>
      <c r="W2" s="18"/>
      <c r="X2" s="18"/>
      <c r="Y2" s="18"/>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74"/>
      <c r="BN2" s="74"/>
      <c r="BO2" s="74"/>
    </row>
    <row r="3" spans="1:67" s="90" customFormat="1">
      <c r="A3" s="174"/>
      <c r="B3" s="174"/>
      <c r="C3" s="174"/>
      <c r="D3" s="174"/>
      <c r="E3" s="613"/>
      <c r="F3" s="97"/>
      <c r="G3" s="96"/>
      <c r="H3" s="96"/>
      <c r="I3" s="96"/>
      <c r="J3" s="96"/>
      <c r="K3" s="96"/>
      <c r="L3" s="96"/>
      <c r="M3" s="96"/>
      <c r="N3" s="96"/>
      <c r="O3" s="96"/>
      <c r="P3" s="96"/>
      <c r="Q3" s="96"/>
      <c r="R3" s="96"/>
      <c r="S3" s="95"/>
      <c r="T3" s="87"/>
      <c r="U3" s="87"/>
      <c r="V3" s="87"/>
      <c r="W3" s="87"/>
      <c r="X3" s="87"/>
      <c r="Y3" s="87"/>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74"/>
      <c r="BN3" s="74"/>
      <c r="BO3" s="74"/>
    </row>
    <row r="4" spans="1:67" s="5" customFormat="1" ht="15.75">
      <c r="A4" s="112"/>
      <c r="B4" s="112"/>
      <c r="C4" s="112"/>
      <c r="D4" s="112"/>
      <c r="E4" s="112"/>
      <c r="F4" s="113"/>
      <c r="G4" s="114"/>
      <c r="H4" s="115"/>
      <c r="I4" s="113"/>
      <c r="J4" s="112"/>
      <c r="K4" s="112"/>
      <c r="L4" s="112"/>
      <c r="M4" s="112"/>
      <c r="N4" s="112"/>
      <c r="O4" s="112"/>
      <c r="P4" s="112"/>
      <c r="Q4" s="112"/>
      <c r="R4" s="112"/>
      <c r="S4" s="112"/>
      <c r="T4" s="112"/>
      <c r="U4" s="73"/>
      <c r="V4" s="73"/>
      <c r="W4" s="73"/>
      <c r="X4" s="73"/>
      <c r="Y4" s="73"/>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74"/>
      <c r="BN4" s="74"/>
      <c r="BO4" s="74"/>
    </row>
    <row r="5" spans="1:67" ht="15.75" customHeight="1">
      <c r="A5" s="116"/>
      <c r="B5" s="116"/>
      <c r="C5" s="116"/>
      <c r="D5" s="116"/>
      <c r="E5" s="1597" t="str">
        <f>"Opening Regulatory Asset Base and Opening Tax Asset Base for "&amp;Q7&amp;" ($m Nominal)"</f>
        <v>Opening Regulatory Asset Base and Opening Tax Asset Base for 2010-11 ($m Nominal)</v>
      </c>
      <c r="F5" s="1597"/>
      <c r="G5" s="1597"/>
      <c r="H5" s="191"/>
      <c r="I5" s="117"/>
      <c r="J5" s="118"/>
      <c r="K5" s="117"/>
      <c r="L5" s="118"/>
      <c r="M5" s="117"/>
      <c r="N5" s="118"/>
      <c r="O5" s="118"/>
      <c r="P5" s="117"/>
      <c r="Q5" s="116"/>
      <c r="R5" s="116"/>
      <c r="S5" s="116"/>
      <c r="T5" s="117"/>
      <c r="U5" s="18"/>
      <c r="V5" s="18"/>
      <c r="W5" s="18"/>
      <c r="X5" s="18"/>
      <c r="Y5" s="18"/>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74"/>
      <c r="BN5" s="74"/>
      <c r="BO5" s="74"/>
    </row>
    <row r="6" spans="1:67" ht="51">
      <c r="A6" s="174"/>
      <c r="B6" s="174"/>
      <c r="C6" s="174"/>
      <c r="D6" s="174"/>
      <c r="E6" s="60"/>
      <c r="F6" s="18"/>
      <c r="G6" s="1609" t="s">
        <v>119</v>
      </c>
      <c r="H6" s="1610"/>
      <c r="I6" s="1610"/>
      <c r="J6" s="20" t="s">
        <v>51</v>
      </c>
      <c r="K6" s="20" t="s">
        <v>95</v>
      </c>
      <c r="L6" s="19" t="s">
        <v>52</v>
      </c>
      <c r="M6" s="19" t="s">
        <v>53</v>
      </c>
      <c r="N6" s="19" t="s">
        <v>111</v>
      </c>
      <c r="O6" s="19" t="s">
        <v>75</v>
      </c>
      <c r="P6" s="19" t="s">
        <v>74</v>
      </c>
      <c r="Q6" s="19" t="s">
        <v>275</v>
      </c>
      <c r="R6" s="19" t="s">
        <v>207</v>
      </c>
      <c r="S6" s="17"/>
      <c r="T6" s="17"/>
      <c r="U6" s="17"/>
      <c r="V6" s="18"/>
      <c r="W6" s="18"/>
      <c r="X6" s="18"/>
      <c r="Y6" s="18"/>
      <c r="Z6" s="17"/>
      <c r="AA6" s="17"/>
      <c r="AB6" s="18"/>
      <c r="AC6" s="17"/>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74"/>
      <c r="BN6" s="74"/>
      <c r="BO6" s="74"/>
    </row>
    <row r="7" spans="1:67">
      <c r="A7" s="21"/>
      <c r="B7" s="21"/>
      <c r="C7" s="21"/>
      <c r="D7" s="21"/>
      <c r="E7" s="1592" t="s">
        <v>49</v>
      </c>
      <c r="F7" s="1593"/>
      <c r="G7" s="1587" t="s">
        <v>1272</v>
      </c>
      <c r="H7" s="1611"/>
      <c r="I7" s="1611"/>
      <c r="J7" s="1444">
        <f>'[2]PTRM IO'!$R$30</f>
        <v>11.177950969706064</v>
      </c>
      <c r="K7" s="196"/>
      <c r="L7" s="1463">
        <f>'[2]PTRM IO'!$R$32</f>
        <v>7</v>
      </c>
      <c r="M7" s="1449">
        <v>28</v>
      </c>
      <c r="N7" s="1470">
        <v>0</v>
      </c>
      <c r="O7" s="1470">
        <v>0</v>
      </c>
      <c r="P7" s="1470">
        <v>0</v>
      </c>
      <c r="Q7" s="1482" t="str">
        <f>'[2]PTRM IO'!$R$27</f>
        <v>2010-11</v>
      </c>
      <c r="R7" s="1404">
        <v>5</v>
      </c>
      <c r="S7" s="17"/>
      <c r="T7" s="17"/>
      <c r="U7" s="17"/>
      <c r="V7" s="18"/>
      <c r="W7" s="18"/>
      <c r="X7" s="18"/>
      <c r="Y7" s="18"/>
      <c r="Z7" s="17"/>
      <c r="AA7" s="17"/>
      <c r="AB7" s="18"/>
      <c r="AC7" s="17"/>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74"/>
      <c r="BN7" s="74"/>
      <c r="BO7" s="74"/>
    </row>
    <row r="8" spans="1:67">
      <c r="A8" s="21"/>
      <c r="B8" s="21"/>
      <c r="C8" s="21"/>
      <c r="D8" s="21"/>
      <c r="E8" s="1592" t="s">
        <v>50</v>
      </c>
      <c r="F8" s="1593"/>
      <c r="G8" s="1589" t="s">
        <v>1273</v>
      </c>
      <c r="H8" s="1599"/>
      <c r="I8" s="1599"/>
      <c r="J8" s="1444">
        <f>'[2]PTRM IO'!$R$38</f>
        <v>23.608575856424725</v>
      </c>
      <c r="K8" s="197"/>
      <c r="L8" s="1468">
        <f>'[2]PTRM IO'!$R$40</f>
        <v>23.001972629466412</v>
      </c>
      <c r="M8" s="1449">
        <f>'[2]PTRM IO'!$R$39</f>
        <v>28</v>
      </c>
      <c r="N8" s="1449">
        <f>'[2]PTRM IO'!$R$41</f>
        <v>15.957266666666666</v>
      </c>
      <c r="O8" s="1449">
        <f>'[2]PTRM IO'!$R$42</f>
        <v>11.072577174871219</v>
      </c>
      <c r="P8" s="1449">
        <f>'[2]PTRM IO'!$R$43</f>
        <v>15</v>
      </c>
      <c r="Q8" s="171"/>
      <c r="R8" s="17"/>
      <c r="S8" s="17"/>
      <c r="T8" s="17"/>
      <c r="U8" s="17"/>
      <c r="V8" s="18"/>
      <c r="W8" s="18"/>
      <c r="X8" s="18"/>
      <c r="Y8" s="18"/>
      <c r="Z8" s="17"/>
      <c r="AA8" s="17"/>
      <c r="AB8" s="18"/>
      <c r="AC8" s="17"/>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74"/>
      <c r="BN8" s="74"/>
      <c r="BO8" s="74"/>
    </row>
    <row r="9" spans="1:67">
      <c r="A9" s="174"/>
      <c r="B9" s="174"/>
      <c r="C9" s="174"/>
      <c r="D9" s="174"/>
      <c r="E9" s="1592" t="s">
        <v>56</v>
      </c>
      <c r="F9" s="1593"/>
      <c r="G9" s="1589" t="s">
        <v>1274</v>
      </c>
      <c r="H9" s="1599"/>
      <c r="I9" s="1599"/>
      <c r="J9" s="1444">
        <v>0</v>
      </c>
      <c r="K9" s="197"/>
      <c r="L9" s="548"/>
      <c r="M9" s="1449">
        <f>'[2]PTRM IO'!$R$48</f>
        <v>28</v>
      </c>
      <c r="N9" s="547"/>
      <c r="O9" s="548"/>
      <c r="P9" s="1449">
        <f>'[2]PTRM IO'!$R$49</f>
        <v>15</v>
      </c>
      <c r="Q9" s="17"/>
      <c r="R9" s="17"/>
      <c r="S9" s="17"/>
      <c r="T9" s="17"/>
      <c r="U9" s="17"/>
      <c r="V9" s="18"/>
      <c r="W9" s="18"/>
      <c r="X9" s="18"/>
      <c r="Y9" s="18"/>
      <c r="Z9" s="17"/>
      <c r="AA9" s="17"/>
      <c r="AB9" s="18"/>
      <c r="AC9" s="17"/>
      <c r="AD9" s="240"/>
      <c r="AE9" s="240"/>
      <c r="AF9" s="240"/>
      <c r="AG9" s="240"/>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74"/>
      <c r="BN9" s="74"/>
      <c r="BO9" s="74"/>
    </row>
    <row r="10" spans="1:67">
      <c r="A10" s="21"/>
      <c r="B10" s="21"/>
      <c r="C10" s="21"/>
      <c r="D10" s="21"/>
      <c r="E10" s="1592" t="s">
        <v>60</v>
      </c>
      <c r="F10" s="1593"/>
      <c r="G10" s="1598"/>
      <c r="H10" s="1599"/>
      <c r="I10" s="1599"/>
      <c r="J10" s="103"/>
      <c r="K10" s="197"/>
      <c r="L10" s="548"/>
      <c r="M10" s="548"/>
      <c r="N10" s="547"/>
      <c r="O10" s="548"/>
      <c r="P10" s="548"/>
      <c r="Q10" s="17"/>
      <c r="R10" s="17"/>
      <c r="S10" s="17"/>
      <c r="T10" s="17"/>
      <c r="U10" s="17"/>
      <c r="V10" s="18"/>
      <c r="W10" s="18"/>
      <c r="X10" s="18"/>
      <c r="Y10" s="18"/>
      <c r="Z10" s="17"/>
      <c r="AA10" s="17"/>
      <c r="AB10" s="18"/>
      <c r="AC10" s="17"/>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74"/>
      <c r="BN10" s="74"/>
      <c r="BO10" s="74"/>
    </row>
    <row r="11" spans="1:67">
      <c r="A11" s="21"/>
      <c r="B11" s="21"/>
      <c r="C11" s="21"/>
      <c r="D11" s="21"/>
      <c r="E11" s="1592" t="s">
        <v>61</v>
      </c>
      <c r="F11" s="1593"/>
      <c r="G11" s="1598"/>
      <c r="H11" s="1599"/>
      <c r="I11" s="1599"/>
      <c r="J11" s="103"/>
      <c r="K11" s="197"/>
      <c r="L11" s="548"/>
      <c r="M11" s="548"/>
      <c r="N11" s="547"/>
      <c r="O11" s="548"/>
      <c r="P11" s="548"/>
      <c r="Q11" s="17"/>
      <c r="R11" s="17"/>
      <c r="S11" s="17"/>
      <c r="T11" s="17"/>
      <c r="U11" s="17"/>
      <c r="V11" s="18"/>
      <c r="W11" s="18"/>
      <c r="X11" s="18"/>
      <c r="Y11" s="18"/>
      <c r="Z11" s="17"/>
      <c r="AA11" s="17"/>
      <c r="AB11" s="18"/>
      <c r="AC11" s="17"/>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74"/>
      <c r="BN11" s="74"/>
      <c r="BO11" s="74"/>
    </row>
    <row r="12" spans="1:67">
      <c r="A12" s="174"/>
      <c r="B12" s="174"/>
      <c r="C12" s="174"/>
      <c r="D12" s="174"/>
      <c r="E12" s="1592" t="s">
        <v>62</v>
      </c>
      <c r="F12" s="1593"/>
      <c r="G12" s="1598"/>
      <c r="H12" s="1599"/>
      <c r="I12" s="1599"/>
      <c r="J12" s="103"/>
      <c r="K12" s="197"/>
      <c r="L12" s="548"/>
      <c r="M12" s="548"/>
      <c r="N12" s="547"/>
      <c r="O12" s="548"/>
      <c r="P12" s="548"/>
      <c r="Q12" s="17"/>
      <c r="R12" s="17"/>
      <c r="S12" s="17"/>
      <c r="T12" s="17"/>
      <c r="U12" s="17"/>
      <c r="V12" s="18"/>
      <c r="W12" s="18"/>
      <c r="X12" s="18"/>
      <c r="Y12" s="18"/>
      <c r="Z12" s="17"/>
      <c r="AA12" s="17"/>
      <c r="AB12" s="18"/>
      <c r="AC12" s="17"/>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74"/>
      <c r="BN12" s="74"/>
      <c r="BO12" s="74"/>
    </row>
    <row r="13" spans="1:67">
      <c r="A13" s="21"/>
      <c r="B13" s="21"/>
      <c r="C13" s="21"/>
      <c r="D13" s="21"/>
      <c r="E13" s="1592" t="s">
        <v>63</v>
      </c>
      <c r="F13" s="1593"/>
      <c r="G13" s="1598"/>
      <c r="H13" s="1599"/>
      <c r="I13" s="1599"/>
      <c r="J13" s="103"/>
      <c r="K13" s="197"/>
      <c r="L13" s="548"/>
      <c r="M13" s="548"/>
      <c r="N13" s="547"/>
      <c r="O13" s="548"/>
      <c r="P13" s="548"/>
      <c r="Q13" s="17"/>
      <c r="R13" s="17"/>
      <c r="S13" s="17"/>
      <c r="T13" s="17"/>
      <c r="U13" s="17"/>
      <c r="V13" s="18"/>
      <c r="W13" s="18"/>
      <c r="X13" s="18"/>
      <c r="Y13" s="18"/>
      <c r="Z13" s="17"/>
      <c r="AA13" s="17"/>
      <c r="AB13" s="18"/>
      <c r="AC13" s="17"/>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74"/>
      <c r="BN13" s="74"/>
      <c r="BO13" s="74"/>
    </row>
    <row r="14" spans="1:67">
      <c r="A14" s="21"/>
      <c r="B14" s="21"/>
      <c r="C14" s="21"/>
      <c r="D14" s="21"/>
      <c r="E14" s="1592" t="s">
        <v>64</v>
      </c>
      <c r="F14" s="1593"/>
      <c r="G14" s="1598"/>
      <c r="H14" s="1599"/>
      <c r="I14" s="1599"/>
      <c r="J14" s="103"/>
      <c r="K14" s="197"/>
      <c r="L14" s="548"/>
      <c r="M14" s="548"/>
      <c r="N14" s="547"/>
      <c r="O14" s="548"/>
      <c r="P14" s="548"/>
      <c r="Q14" s="17"/>
      <c r="R14" s="17"/>
      <c r="S14" s="17"/>
      <c r="T14" s="17"/>
      <c r="U14" s="17"/>
      <c r="V14" s="18"/>
      <c r="W14" s="18"/>
      <c r="X14" s="18"/>
      <c r="Y14" s="18"/>
      <c r="Z14" s="17"/>
      <c r="AA14" s="17"/>
      <c r="AB14" s="18"/>
      <c r="AC14" s="17"/>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74"/>
      <c r="BN14" s="74"/>
      <c r="BO14" s="74"/>
    </row>
    <row r="15" spans="1:67">
      <c r="A15" s="174"/>
      <c r="B15" s="174"/>
      <c r="C15" s="174"/>
      <c r="D15" s="174"/>
      <c r="E15" s="1592" t="s">
        <v>65</v>
      </c>
      <c r="F15" s="1593"/>
      <c r="G15" s="1589"/>
      <c r="H15" s="1599"/>
      <c r="I15" s="1599"/>
      <c r="J15" s="103"/>
      <c r="K15" s="197"/>
      <c r="L15" s="548"/>
      <c r="M15" s="548"/>
      <c r="N15" s="547"/>
      <c r="O15" s="548"/>
      <c r="P15" s="548"/>
      <c r="Q15" s="17"/>
      <c r="R15" s="17"/>
      <c r="S15" s="17"/>
      <c r="T15" s="17"/>
      <c r="U15" s="17"/>
      <c r="V15" s="18"/>
      <c r="W15" s="18"/>
      <c r="X15" s="18"/>
      <c r="Y15" s="18"/>
      <c r="Z15" s="17"/>
      <c r="AA15" s="17"/>
      <c r="AB15" s="18"/>
      <c r="AC15" s="17"/>
      <c r="AD15" s="240"/>
      <c r="AE15" s="240"/>
      <c r="AF15" s="240"/>
      <c r="AG15" s="240"/>
      <c r="AH15" s="240"/>
      <c r="AI15" s="240"/>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74"/>
      <c r="BN15" s="74"/>
      <c r="BO15" s="74"/>
    </row>
    <row r="16" spans="1:67">
      <c r="A16" s="21"/>
      <c r="B16" s="21"/>
      <c r="C16" s="21"/>
      <c r="D16" s="21"/>
      <c r="E16" s="1592" t="s">
        <v>66</v>
      </c>
      <c r="F16" s="1593"/>
      <c r="G16" s="1608"/>
      <c r="H16" s="1599"/>
      <c r="I16" s="1599"/>
      <c r="J16" s="103"/>
      <c r="K16" s="197"/>
      <c r="L16" s="548"/>
      <c r="M16" s="548"/>
      <c r="N16" s="547"/>
      <c r="O16" s="548"/>
      <c r="P16" s="548"/>
      <c r="Q16" s="17"/>
      <c r="R16" s="17"/>
      <c r="S16" s="17"/>
      <c r="T16" s="17"/>
      <c r="U16" s="17"/>
      <c r="V16" s="18"/>
      <c r="W16" s="18"/>
      <c r="X16" s="18"/>
      <c r="Y16" s="18"/>
      <c r="Z16" s="17"/>
      <c r="AA16" s="17"/>
      <c r="AB16" s="18"/>
      <c r="AC16" s="17"/>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74"/>
      <c r="BN16" s="74"/>
      <c r="BO16" s="74"/>
    </row>
    <row r="17" spans="1:67">
      <c r="A17" s="21"/>
      <c r="B17" s="21"/>
      <c r="C17" s="21"/>
      <c r="D17" s="21"/>
      <c r="E17" s="1592" t="s">
        <v>67</v>
      </c>
      <c r="F17" s="1593"/>
      <c r="G17" s="1598"/>
      <c r="H17" s="1599"/>
      <c r="I17" s="1599"/>
      <c r="J17" s="103"/>
      <c r="K17" s="197"/>
      <c r="L17" s="548"/>
      <c r="M17" s="548"/>
      <c r="N17" s="547"/>
      <c r="O17" s="548"/>
      <c r="P17" s="548"/>
      <c r="Q17" s="17"/>
      <c r="R17" s="17"/>
      <c r="S17" s="17"/>
      <c r="T17" s="17"/>
      <c r="U17" s="17"/>
      <c r="V17" s="18"/>
      <c r="W17" s="18"/>
      <c r="X17" s="18"/>
      <c r="Y17" s="18"/>
      <c r="Z17" s="17"/>
      <c r="AA17" s="17"/>
      <c r="AB17" s="18"/>
      <c r="AC17" s="17"/>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74"/>
      <c r="BN17" s="74"/>
      <c r="BO17" s="74"/>
    </row>
    <row r="18" spans="1:67">
      <c r="A18" s="174"/>
      <c r="B18" s="174"/>
      <c r="C18" s="174"/>
      <c r="D18" s="174"/>
      <c r="E18" s="1592" t="s">
        <v>68</v>
      </c>
      <c r="F18" s="1593"/>
      <c r="G18" s="1598"/>
      <c r="H18" s="1599"/>
      <c r="I18" s="1599"/>
      <c r="J18" s="103"/>
      <c r="K18" s="197"/>
      <c r="L18" s="548"/>
      <c r="M18" s="548"/>
      <c r="N18" s="547"/>
      <c r="O18" s="548"/>
      <c r="P18" s="548"/>
      <c r="Q18" s="17"/>
      <c r="R18" s="17"/>
      <c r="S18" s="17"/>
      <c r="T18" s="17"/>
      <c r="U18" s="17"/>
      <c r="V18" s="18"/>
      <c r="W18" s="18"/>
      <c r="X18" s="18"/>
      <c r="Y18" s="18"/>
      <c r="Z18" s="17"/>
      <c r="AA18" s="17"/>
      <c r="AB18" s="18"/>
      <c r="AC18" s="17"/>
      <c r="AD18" s="240"/>
      <c r="AE18" s="240"/>
      <c r="AF18" s="240"/>
      <c r="AG18" s="240"/>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74"/>
      <c r="BN18" s="74"/>
      <c r="BO18" s="74"/>
    </row>
    <row r="19" spans="1:67">
      <c r="A19" s="21"/>
      <c r="B19" s="21"/>
      <c r="C19" s="21"/>
      <c r="D19" s="21"/>
      <c r="E19" s="1592" t="s">
        <v>69</v>
      </c>
      <c r="F19" s="1593"/>
      <c r="G19" s="1598"/>
      <c r="H19" s="1599"/>
      <c r="I19" s="1599"/>
      <c r="J19" s="103"/>
      <c r="K19" s="197"/>
      <c r="L19" s="548"/>
      <c r="M19" s="548"/>
      <c r="N19" s="547"/>
      <c r="O19" s="548"/>
      <c r="P19" s="548"/>
      <c r="Q19" s="17"/>
      <c r="R19" s="17"/>
      <c r="S19" s="17"/>
      <c r="T19" s="17"/>
      <c r="U19" s="17"/>
      <c r="V19" s="18"/>
      <c r="W19" s="18"/>
      <c r="X19" s="18"/>
      <c r="Y19" s="18"/>
      <c r="Z19" s="17"/>
      <c r="AA19" s="17"/>
      <c r="AB19" s="18"/>
      <c r="AC19" s="17"/>
      <c r="AD19" s="240"/>
      <c r="AE19" s="240"/>
      <c r="AF19" s="240"/>
      <c r="AG19" s="240"/>
      <c r="AH19" s="240"/>
      <c r="AI19" s="240"/>
      <c r="AJ19" s="240"/>
      <c r="AK19" s="240"/>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c r="BH19" s="240"/>
      <c r="BI19" s="240"/>
      <c r="BJ19" s="240"/>
      <c r="BK19" s="240"/>
      <c r="BL19" s="240"/>
      <c r="BM19" s="74"/>
      <c r="BN19" s="74"/>
      <c r="BO19" s="74"/>
    </row>
    <row r="20" spans="1:67">
      <c r="A20" s="21"/>
      <c r="B20" s="21"/>
      <c r="C20" s="21"/>
      <c r="D20" s="21"/>
      <c r="E20" s="1592" t="s">
        <v>70</v>
      </c>
      <c r="F20" s="1593"/>
      <c r="G20" s="1598"/>
      <c r="H20" s="1599"/>
      <c r="I20" s="1599"/>
      <c r="J20" s="103"/>
      <c r="K20" s="197"/>
      <c r="L20" s="548"/>
      <c r="M20" s="548"/>
      <c r="N20" s="547"/>
      <c r="O20" s="548"/>
      <c r="P20" s="548"/>
      <c r="Q20" s="17"/>
      <c r="R20" s="17"/>
      <c r="S20" s="17"/>
      <c r="T20" s="17"/>
      <c r="U20" s="17"/>
      <c r="V20" s="18"/>
      <c r="W20" s="18"/>
      <c r="X20" s="18"/>
      <c r="Y20" s="18"/>
      <c r="Z20" s="17"/>
      <c r="AA20" s="17"/>
      <c r="AB20" s="18"/>
      <c r="AC20" s="17"/>
      <c r="AD20" s="240"/>
      <c r="AE20" s="240"/>
      <c r="AF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74"/>
      <c r="BN20" s="74"/>
      <c r="BO20" s="74"/>
    </row>
    <row r="21" spans="1:67">
      <c r="A21" s="174"/>
      <c r="B21" s="174"/>
      <c r="C21" s="174"/>
      <c r="D21" s="174"/>
      <c r="E21" s="1592" t="s">
        <v>71</v>
      </c>
      <c r="F21" s="1593"/>
      <c r="G21" s="1598"/>
      <c r="H21" s="1599"/>
      <c r="I21" s="1599"/>
      <c r="J21" s="103"/>
      <c r="K21" s="197"/>
      <c r="L21" s="548"/>
      <c r="M21" s="548"/>
      <c r="N21" s="547"/>
      <c r="O21" s="548"/>
      <c r="P21" s="548"/>
      <c r="Q21" s="17"/>
      <c r="R21" s="17"/>
      <c r="S21" s="17"/>
      <c r="T21" s="17"/>
      <c r="U21" s="17"/>
      <c r="V21" s="18"/>
      <c r="W21" s="18"/>
      <c r="X21" s="18"/>
      <c r="Y21" s="18"/>
      <c r="Z21" s="17"/>
      <c r="AA21" s="17"/>
      <c r="AB21" s="18"/>
      <c r="AC21" s="17"/>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c r="BH21" s="240"/>
      <c r="BI21" s="240"/>
      <c r="BJ21" s="240"/>
      <c r="BK21" s="240"/>
      <c r="BL21" s="240"/>
      <c r="BM21" s="74"/>
      <c r="BN21" s="74"/>
      <c r="BO21" s="74"/>
    </row>
    <row r="22" spans="1:67">
      <c r="A22" s="21"/>
      <c r="B22" s="21"/>
      <c r="C22" s="21"/>
      <c r="D22" s="21"/>
      <c r="E22" s="1592" t="s">
        <v>72</v>
      </c>
      <c r="F22" s="1593"/>
      <c r="G22" s="1598"/>
      <c r="H22" s="1599"/>
      <c r="I22" s="1599"/>
      <c r="J22" s="103"/>
      <c r="K22" s="197"/>
      <c r="L22" s="548"/>
      <c r="M22" s="548"/>
      <c r="N22" s="547"/>
      <c r="O22" s="548"/>
      <c r="P22" s="548"/>
      <c r="Q22" s="17"/>
      <c r="R22" s="17"/>
      <c r="S22" s="17"/>
      <c r="T22" s="17"/>
      <c r="U22" s="17"/>
      <c r="V22" s="18"/>
      <c r="W22" s="18"/>
      <c r="X22" s="18"/>
      <c r="Y22" s="18"/>
      <c r="Z22" s="17"/>
      <c r="AA22" s="17"/>
      <c r="AB22" s="18"/>
      <c r="AC22" s="17"/>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c r="BH22" s="240"/>
      <c r="BI22" s="240"/>
      <c r="BJ22" s="240"/>
      <c r="BK22" s="240"/>
      <c r="BL22" s="240"/>
      <c r="BM22" s="74"/>
      <c r="BN22" s="74"/>
      <c r="BO22" s="74"/>
    </row>
    <row r="23" spans="1:67">
      <c r="A23" s="21"/>
      <c r="B23" s="21"/>
      <c r="C23" s="21"/>
      <c r="D23" s="21"/>
      <c r="E23" s="1592" t="s">
        <v>73</v>
      </c>
      <c r="F23" s="1593"/>
      <c r="G23" s="1598"/>
      <c r="H23" s="1599"/>
      <c r="I23" s="1599"/>
      <c r="J23" s="103"/>
      <c r="K23" s="197"/>
      <c r="L23" s="548"/>
      <c r="M23" s="548"/>
      <c r="N23" s="547"/>
      <c r="O23" s="548"/>
      <c r="P23" s="548"/>
      <c r="Q23" s="17"/>
      <c r="R23" s="17"/>
      <c r="S23" s="17"/>
      <c r="T23" s="17"/>
      <c r="U23" s="17"/>
      <c r="V23" s="18"/>
      <c r="W23" s="18"/>
      <c r="X23" s="18"/>
      <c r="Y23" s="18"/>
      <c r="Z23" s="17"/>
      <c r="AA23" s="17"/>
      <c r="AB23" s="18"/>
      <c r="AC23" s="17"/>
      <c r="AD23" s="240"/>
      <c r="AE23" s="240"/>
      <c r="AF23" s="240"/>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74"/>
      <c r="BN23" s="74"/>
      <c r="BO23" s="74"/>
    </row>
    <row r="24" spans="1:67">
      <c r="A24" s="174"/>
      <c r="B24" s="174"/>
      <c r="C24" s="174"/>
      <c r="D24" s="174"/>
      <c r="E24" s="1592" t="s">
        <v>96</v>
      </c>
      <c r="F24" s="1593"/>
      <c r="G24" s="1598"/>
      <c r="H24" s="1599"/>
      <c r="I24" s="1599"/>
      <c r="J24" s="103"/>
      <c r="K24" s="197"/>
      <c r="L24" s="548"/>
      <c r="M24" s="548"/>
      <c r="N24" s="547"/>
      <c r="O24" s="548"/>
      <c r="P24" s="548"/>
      <c r="Q24" s="17"/>
      <c r="R24" s="17"/>
      <c r="S24" s="17"/>
      <c r="T24" s="17"/>
      <c r="U24" s="17"/>
      <c r="V24" s="18"/>
      <c r="W24" s="18"/>
      <c r="X24" s="18"/>
      <c r="Y24" s="18"/>
      <c r="Z24" s="17"/>
      <c r="AA24" s="17"/>
      <c r="AB24" s="18"/>
      <c r="AC24" s="17"/>
      <c r="AD24" s="240"/>
      <c r="AE24" s="240"/>
      <c r="AF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74"/>
      <c r="BN24" s="74"/>
      <c r="BO24" s="74"/>
    </row>
    <row r="25" spans="1:67">
      <c r="A25" s="21"/>
      <c r="B25" s="21"/>
      <c r="C25" s="21"/>
      <c r="D25" s="21"/>
      <c r="E25" s="1592" t="s">
        <v>97</v>
      </c>
      <c r="F25" s="1593"/>
      <c r="G25" s="1598"/>
      <c r="H25" s="1599"/>
      <c r="I25" s="1599"/>
      <c r="J25" s="103"/>
      <c r="K25" s="197"/>
      <c r="L25" s="548"/>
      <c r="M25" s="548"/>
      <c r="N25" s="547"/>
      <c r="O25" s="548"/>
      <c r="P25" s="548"/>
      <c r="Q25" s="17"/>
      <c r="R25" s="17"/>
      <c r="S25" s="17"/>
      <c r="T25" s="17"/>
      <c r="U25" s="17"/>
      <c r="V25" s="18"/>
      <c r="W25" s="18"/>
      <c r="X25" s="18"/>
      <c r="Y25" s="18"/>
      <c r="Z25" s="17"/>
      <c r="AA25" s="17"/>
      <c r="AB25" s="18"/>
      <c r="AC25" s="17"/>
      <c r="AD25" s="240"/>
      <c r="AE25" s="240"/>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74"/>
      <c r="BN25" s="74"/>
      <c r="BO25" s="74"/>
    </row>
    <row r="26" spans="1:67">
      <c r="A26" s="21"/>
      <c r="B26" s="21"/>
      <c r="C26" s="21"/>
      <c r="D26" s="21"/>
      <c r="E26" s="1592" t="s">
        <v>98</v>
      </c>
      <c r="F26" s="1593"/>
      <c r="G26" s="1598"/>
      <c r="H26" s="1599"/>
      <c r="I26" s="1599"/>
      <c r="J26" s="103"/>
      <c r="K26" s="197"/>
      <c r="L26" s="548"/>
      <c r="M26" s="548"/>
      <c r="N26" s="547"/>
      <c r="O26" s="548"/>
      <c r="P26" s="548"/>
      <c r="Q26" s="17"/>
      <c r="R26" s="17"/>
      <c r="S26" s="17"/>
      <c r="T26" s="17"/>
      <c r="U26" s="17"/>
      <c r="V26" s="18"/>
      <c r="W26" s="18"/>
      <c r="X26" s="18"/>
      <c r="Y26" s="18"/>
      <c r="Z26" s="17"/>
      <c r="AA26" s="17"/>
      <c r="AB26" s="18"/>
      <c r="AC26" s="17"/>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0"/>
      <c r="BI26" s="240"/>
      <c r="BJ26" s="240"/>
      <c r="BK26" s="240"/>
      <c r="BL26" s="240"/>
      <c r="BM26" s="74"/>
      <c r="BN26" s="74"/>
      <c r="BO26" s="74"/>
    </row>
    <row r="27" spans="1:67">
      <c r="A27" s="21"/>
      <c r="B27" s="21"/>
      <c r="C27" s="21"/>
      <c r="D27" s="21"/>
      <c r="E27" s="1592" t="s">
        <v>195</v>
      </c>
      <c r="F27" s="1593"/>
      <c r="G27" s="1598"/>
      <c r="H27" s="1599"/>
      <c r="I27" s="1599"/>
      <c r="J27" s="103"/>
      <c r="K27" s="197"/>
      <c r="L27" s="548"/>
      <c r="M27" s="548"/>
      <c r="N27" s="547"/>
      <c r="O27" s="548"/>
      <c r="P27" s="548"/>
      <c r="Q27" s="17"/>
      <c r="R27" s="17"/>
      <c r="S27" s="17"/>
      <c r="T27" s="17"/>
      <c r="U27" s="17"/>
      <c r="V27" s="18"/>
      <c r="W27" s="18"/>
      <c r="X27" s="18"/>
      <c r="Y27" s="18"/>
      <c r="Z27" s="17"/>
      <c r="AA27" s="17"/>
      <c r="AB27" s="18"/>
      <c r="AC27" s="17"/>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74"/>
      <c r="BN27" s="74"/>
      <c r="BO27" s="74"/>
    </row>
    <row r="28" spans="1:67">
      <c r="A28" s="21"/>
      <c r="B28" s="21"/>
      <c r="C28" s="21"/>
      <c r="D28" s="21"/>
      <c r="E28" s="1592" t="s">
        <v>196</v>
      </c>
      <c r="F28" s="1593"/>
      <c r="G28" s="1598"/>
      <c r="H28" s="1599"/>
      <c r="I28" s="1599"/>
      <c r="J28" s="103"/>
      <c r="K28" s="197"/>
      <c r="L28" s="548"/>
      <c r="M28" s="548"/>
      <c r="N28" s="547"/>
      <c r="O28" s="548"/>
      <c r="P28" s="548"/>
      <c r="Q28" s="17"/>
      <c r="R28" s="17"/>
      <c r="S28" s="17"/>
      <c r="T28" s="17"/>
      <c r="U28" s="17"/>
      <c r="V28" s="18"/>
      <c r="W28" s="18"/>
      <c r="X28" s="18"/>
      <c r="Y28" s="18"/>
      <c r="Z28" s="17"/>
      <c r="AA28" s="17"/>
      <c r="AB28" s="18"/>
      <c r="AC28" s="17"/>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74"/>
      <c r="BN28" s="74"/>
      <c r="BO28" s="74"/>
    </row>
    <row r="29" spans="1:67">
      <c r="A29" s="21"/>
      <c r="B29" s="21"/>
      <c r="C29" s="21"/>
      <c r="D29" s="21"/>
      <c r="E29" s="1592" t="s">
        <v>197</v>
      </c>
      <c r="F29" s="1593"/>
      <c r="G29" s="1598"/>
      <c r="H29" s="1599"/>
      <c r="I29" s="1599"/>
      <c r="J29" s="103"/>
      <c r="K29" s="197"/>
      <c r="L29" s="548"/>
      <c r="M29" s="548"/>
      <c r="N29" s="547"/>
      <c r="O29" s="548"/>
      <c r="P29" s="548"/>
      <c r="Q29" s="17"/>
      <c r="R29" s="17"/>
      <c r="S29" s="17"/>
      <c r="T29" s="17"/>
      <c r="U29" s="17"/>
      <c r="V29" s="18"/>
      <c r="W29" s="18"/>
      <c r="X29" s="18"/>
      <c r="Y29" s="18"/>
      <c r="Z29" s="17"/>
      <c r="AA29" s="17"/>
      <c r="AB29" s="18"/>
      <c r="AC29" s="17"/>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74"/>
      <c r="BN29" s="74"/>
      <c r="BO29" s="74"/>
    </row>
    <row r="30" spans="1:67">
      <c r="A30" s="21"/>
      <c r="B30" s="21"/>
      <c r="C30" s="21"/>
      <c r="D30" s="21"/>
      <c r="E30" s="1592" t="s">
        <v>198</v>
      </c>
      <c r="F30" s="1593"/>
      <c r="G30" s="1598"/>
      <c r="H30" s="1599"/>
      <c r="I30" s="1599"/>
      <c r="J30" s="103"/>
      <c r="K30" s="197"/>
      <c r="L30" s="548"/>
      <c r="M30" s="548"/>
      <c r="N30" s="547"/>
      <c r="O30" s="548"/>
      <c r="P30" s="548"/>
      <c r="Q30" s="17"/>
      <c r="R30" s="17"/>
      <c r="S30" s="17"/>
      <c r="T30" s="17"/>
      <c r="U30" s="17"/>
      <c r="V30" s="18"/>
      <c r="W30" s="18"/>
      <c r="X30" s="18"/>
      <c r="Y30" s="18"/>
      <c r="Z30" s="17"/>
      <c r="AA30" s="17"/>
      <c r="AB30" s="18"/>
      <c r="AC30" s="17"/>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74"/>
      <c r="BN30" s="74"/>
      <c r="BO30" s="74"/>
    </row>
    <row r="31" spans="1:67">
      <c r="A31" s="21"/>
      <c r="B31" s="21"/>
      <c r="C31" s="21"/>
      <c r="D31" s="21"/>
      <c r="E31" s="1592" t="s">
        <v>199</v>
      </c>
      <c r="F31" s="1593"/>
      <c r="G31" s="1598"/>
      <c r="H31" s="1599"/>
      <c r="I31" s="1599"/>
      <c r="J31" s="103"/>
      <c r="K31" s="197"/>
      <c r="L31" s="548"/>
      <c r="M31" s="548"/>
      <c r="N31" s="547"/>
      <c r="O31" s="548"/>
      <c r="P31" s="548"/>
      <c r="Q31" s="17"/>
      <c r="R31" s="17"/>
      <c r="S31" s="17"/>
      <c r="T31" s="17"/>
      <c r="U31" s="17"/>
      <c r="V31" s="18"/>
      <c r="W31" s="18"/>
      <c r="X31" s="18"/>
      <c r="Y31" s="18"/>
      <c r="Z31" s="17"/>
      <c r="AA31" s="17"/>
      <c r="AB31" s="18"/>
      <c r="AC31" s="17"/>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74"/>
      <c r="BN31" s="74"/>
      <c r="BO31" s="74"/>
    </row>
    <row r="32" spans="1:67">
      <c r="A32" s="21"/>
      <c r="B32" s="21"/>
      <c r="C32" s="21"/>
      <c r="D32" s="21"/>
      <c r="E32" s="1592" t="s">
        <v>200</v>
      </c>
      <c r="F32" s="1593"/>
      <c r="G32" s="1598"/>
      <c r="H32" s="1599"/>
      <c r="I32" s="1599"/>
      <c r="J32" s="103"/>
      <c r="K32" s="197"/>
      <c r="L32" s="548"/>
      <c r="M32" s="548"/>
      <c r="N32" s="547"/>
      <c r="O32" s="548"/>
      <c r="P32" s="548"/>
      <c r="Q32" s="17"/>
      <c r="R32" s="17"/>
      <c r="S32" s="17"/>
      <c r="T32" s="17"/>
      <c r="U32" s="17"/>
      <c r="V32" s="18"/>
      <c r="W32" s="18"/>
      <c r="X32" s="18"/>
      <c r="Y32" s="18"/>
      <c r="Z32" s="17"/>
      <c r="AA32" s="17"/>
      <c r="AB32" s="18"/>
      <c r="AC32" s="17"/>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74"/>
      <c r="BN32" s="74"/>
      <c r="BO32" s="74"/>
    </row>
    <row r="33" spans="1:67">
      <c r="A33" s="21"/>
      <c r="B33" s="21"/>
      <c r="C33" s="21"/>
      <c r="D33" s="21"/>
      <c r="E33" s="1592" t="s">
        <v>201</v>
      </c>
      <c r="F33" s="1593"/>
      <c r="G33" s="1598"/>
      <c r="H33" s="1599"/>
      <c r="I33" s="1599"/>
      <c r="J33" s="103"/>
      <c r="K33" s="197"/>
      <c r="L33" s="548"/>
      <c r="M33" s="548"/>
      <c r="N33" s="547"/>
      <c r="O33" s="548"/>
      <c r="P33" s="548"/>
      <c r="Q33" s="17"/>
      <c r="R33" s="17"/>
      <c r="S33" s="17"/>
      <c r="T33" s="17"/>
      <c r="U33" s="17"/>
      <c r="V33" s="18"/>
      <c r="W33" s="18"/>
      <c r="X33" s="18"/>
      <c r="Y33" s="18"/>
      <c r="Z33" s="17"/>
      <c r="AA33" s="17"/>
      <c r="AB33" s="18"/>
      <c r="AC33" s="17"/>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74"/>
      <c r="BN33" s="74"/>
      <c r="BO33" s="74"/>
    </row>
    <row r="34" spans="1:67">
      <c r="A34" s="21"/>
      <c r="B34" s="21"/>
      <c r="C34" s="21"/>
      <c r="D34" s="21"/>
      <c r="E34" s="1592" t="s">
        <v>202</v>
      </c>
      <c r="F34" s="1593"/>
      <c r="G34" s="1598"/>
      <c r="H34" s="1599"/>
      <c r="I34" s="1599"/>
      <c r="J34" s="103"/>
      <c r="K34" s="197"/>
      <c r="L34" s="548"/>
      <c r="M34" s="548"/>
      <c r="N34" s="547"/>
      <c r="O34" s="548"/>
      <c r="P34" s="548"/>
      <c r="Q34" s="17"/>
      <c r="R34" s="17"/>
      <c r="S34" s="17"/>
      <c r="T34" s="17"/>
      <c r="U34" s="17"/>
      <c r="V34" s="18"/>
      <c r="W34" s="18"/>
      <c r="X34" s="18"/>
      <c r="Y34" s="18"/>
      <c r="Z34" s="17"/>
      <c r="AA34" s="17"/>
      <c r="AB34" s="18"/>
      <c r="AC34" s="17"/>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74"/>
      <c r="BN34" s="74"/>
      <c r="BO34" s="74"/>
    </row>
    <row r="35" spans="1:67">
      <c r="A35" s="21"/>
      <c r="B35" s="21"/>
      <c r="C35" s="21"/>
      <c r="D35" s="21"/>
      <c r="E35" s="1592" t="s">
        <v>203</v>
      </c>
      <c r="F35" s="1593"/>
      <c r="G35" s="1598"/>
      <c r="H35" s="1599"/>
      <c r="I35" s="1599"/>
      <c r="J35" s="103"/>
      <c r="K35" s="197"/>
      <c r="L35" s="548"/>
      <c r="M35" s="548"/>
      <c r="N35" s="547"/>
      <c r="O35" s="548"/>
      <c r="P35" s="548"/>
      <c r="Q35" s="17"/>
      <c r="R35" s="17"/>
      <c r="S35" s="17"/>
      <c r="T35" s="17"/>
      <c r="U35" s="17"/>
      <c r="V35" s="18"/>
      <c r="W35" s="18"/>
      <c r="X35" s="18"/>
      <c r="Y35" s="18"/>
      <c r="Z35" s="17"/>
      <c r="AA35" s="17"/>
      <c r="AB35" s="18"/>
      <c r="AC35" s="17"/>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74"/>
      <c r="BN35" s="74"/>
      <c r="BO35" s="74"/>
    </row>
    <row r="36" spans="1:67">
      <c r="A36" s="21"/>
      <c r="B36" s="21"/>
      <c r="C36" s="21"/>
      <c r="D36" s="21"/>
      <c r="E36" s="1592" t="s">
        <v>204</v>
      </c>
      <c r="F36" s="1593"/>
      <c r="G36" s="400" t="s">
        <v>263</v>
      </c>
      <c r="H36" s="415"/>
      <c r="I36" s="415"/>
      <c r="J36" s="103"/>
      <c r="K36" s="197"/>
      <c r="L36" s="548"/>
      <c r="M36" s="548"/>
      <c r="N36" s="547"/>
      <c r="O36" s="548"/>
      <c r="P36" s="548"/>
      <c r="Q36" s="17"/>
      <c r="R36" s="17"/>
      <c r="S36" s="17"/>
      <c r="T36" s="17"/>
      <c r="U36" s="17"/>
      <c r="V36" s="18"/>
      <c r="W36" s="18"/>
      <c r="X36" s="18"/>
      <c r="Y36" s="18"/>
      <c r="Z36" s="17"/>
      <c r="AA36" s="17"/>
      <c r="AB36" s="18"/>
      <c r="AC36" s="17"/>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74"/>
      <c r="BN36" s="74"/>
      <c r="BO36" s="74"/>
    </row>
    <row r="37" spans="1:67" s="4" customFormat="1">
      <c r="A37" s="189"/>
      <c r="B37" s="21"/>
      <c r="C37" s="21"/>
      <c r="D37" s="21"/>
      <c r="E37" s="1592" t="s">
        <v>83</v>
      </c>
      <c r="F37" s="1592"/>
      <c r="G37" s="17"/>
      <c r="H37" s="17"/>
      <c r="I37" s="17"/>
      <c r="J37" s="1396">
        <f>SUM(J7:J36)+K37</f>
        <v>34.786526826130789</v>
      </c>
      <c r="K37" s="232">
        <f>SUM(K7:K36)</f>
        <v>0</v>
      </c>
      <c r="L37" s="232"/>
      <c r="M37" s="232"/>
      <c r="N37" s="1396">
        <f>SUM(N7:N36)</f>
        <v>15.957266666666666</v>
      </c>
      <c r="O37" s="17"/>
      <c r="P37" s="17"/>
      <c r="Q37" s="17"/>
      <c r="R37" s="17"/>
      <c r="S37" s="17"/>
      <c r="T37" s="17"/>
      <c r="U37" s="17"/>
      <c r="V37" s="17"/>
      <c r="Z37" s="17"/>
      <c r="AA37" s="17"/>
      <c r="AB37" s="18"/>
      <c r="AC37" s="17"/>
      <c r="AD37" s="240"/>
      <c r="AE37" s="240"/>
      <c r="AF37" s="240"/>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c r="BK37" s="240"/>
      <c r="BL37" s="240"/>
      <c r="BM37" s="74"/>
      <c r="BN37" s="74"/>
      <c r="BO37" s="74"/>
    </row>
    <row r="38" spans="1:67" ht="21" customHeight="1">
      <c r="A38" s="21"/>
      <c r="B38" s="21"/>
      <c r="C38" s="21"/>
      <c r="D38" s="21"/>
      <c r="E38" s="92"/>
      <c r="G38" s="92"/>
      <c r="H38" s="92"/>
      <c r="I38" s="92"/>
      <c r="J38" s="92"/>
      <c r="K38" s="92"/>
      <c r="L38" s="92"/>
      <c r="M38" s="92"/>
      <c r="N38" s="92"/>
      <c r="O38" s="92"/>
      <c r="P38" s="92"/>
      <c r="Q38" s="17"/>
      <c r="R38" s="17"/>
      <c r="S38" s="17"/>
      <c r="T38" s="74"/>
      <c r="U38" s="18"/>
      <c r="V38" s="18"/>
      <c r="W38" s="18"/>
      <c r="X38" s="18"/>
      <c r="Y38" s="18"/>
      <c r="Z38" s="17"/>
      <c r="AA38" s="17"/>
      <c r="AB38" s="18"/>
      <c r="AC38" s="17"/>
      <c r="AD38" s="240"/>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240"/>
      <c r="BD38" s="240"/>
      <c r="BE38" s="240"/>
      <c r="BF38" s="240"/>
      <c r="BG38" s="240"/>
      <c r="BH38" s="240"/>
      <c r="BI38" s="240"/>
      <c r="BJ38" s="240"/>
      <c r="BK38" s="240"/>
      <c r="BL38" s="240"/>
      <c r="BM38" s="74"/>
      <c r="BN38" s="74"/>
      <c r="BO38" s="74"/>
    </row>
    <row r="39" spans="1:67" ht="15.2" customHeight="1">
      <c r="A39" s="116"/>
      <c r="B39" s="116"/>
      <c r="C39" s="116"/>
      <c r="D39" s="116"/>
      <c r="E39" s="1594" t="str">
        <f>"Forecast Capital Expenditure – As Incurred ($m Real "&amp;$F$241&amp;")"</f>
        <v>Forecast Capital Expenditure – As Incurred ($m Real 2009-10)</v>
      </c>
      <c r="F39" s="1594"/>
      <c r="G39" s="1594"/>
      <c r="H39" s="191"/>
      <c r="I39" s="191"/>
      <c r="J39" s="119"/>
      <c r="K39" s="119"/>
      <c r="L39" s="117"/>
      <c r="M39" s="117"/>
      <c r="N39" s="117"/>
      <c r="O39" s="117"/>
      <c r="P39" s="117"/>
      <c r="Q39" s="116"/>
      <c r="R39" s="117"/>
      <c r="S39" s="117"/>
      <c r="T39" s="117"/>
      <c r="U39" s="18"/>
      <c r="V39" s="18"/>
      <c r="W39" s="18"/>
      <c r="X39" s="18"/>
      <c r="Y39" s="18"/>
      <c r="Z39" s="240"/>
      <c r="AA39" s="240"/>
      <c r="AB39" s="240"/>
      <c r="AC39" s="240"/>
      <c r="AD39" s="240"/>
      <c r="AE39" s="240"/>
      <c r="AF39" s="240"/>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240"/>
      <c r="BD39" s="240"/>
      <c r="BE39" s="240"/>
      <c r="BF39" s="240"/>
      <c r="BG39" s="240"/>
      <c r="BH39" s="240"/>
      <c r="BI39" s="240"/>
      <c r="BJ39" s="240"/>
      <c r="BK39" s="240"/>
      <c r="BL39" s="240"/>
      <c r="BM39" s="74"/>
      <c r="BN39" s="74"/>
      <c r="BO39" s="74"/>
    </row>
    <row r="40" spans="1:67">
      <c r="A40" s="174"/>
      <c r="B40" s="174"/>
      <c r="C40" s="174"/>
      <c r="D40" s="174"/>
      <c r="E40" s="60" t="s">
        <v>54</v>
      </c>
      <c r="G40" s="1469" t="str">
        <f>Q7</f>
        <v>2010-11</v>
      </c>
      <c r="H40" s="206" t="str">
        <f>(LEFT(G40,4)+1&amp;IF(MID(G40,5,1)="","","-"&amp;TEXT(MOD(MID(G40,6,2)+1,100),"00")))</f>
        <v>2011-12</v>
      </c>
      <c r="I40" s="206" t="str">
        <f t="shared" ref="I40:P40" si="0">(LEFT(H40,4)+1&amp;IF(MID(H40,5,1)="","","-"&amp;TEXT(MOD(MID(H40,6,2)+1,100),"00")))</f>
        <v>2012-13</v>
      </c>
      <c r="J40" s="206" t="str">
        <f t="shared" si="0"/>
        <v>2013-14</v>
      </c>
      <c r="K40" s="206" t="str">
        <f t="shared" si="0"/>
        <v>2014-15</v>
      </c>
      <c r="L40" s="206" t="str">
        <f t="shared" si="0"/>
        <v>2015-16</v>
      </c>
      <c r="M40" s="206" t="str">
        <f t="shared" si="0"/>
        <v>2016-17</v>
      </c>
      <c r="N40" s="206" t="str">
        <f t="shared" si="0"/>
        <v>2017-18</v>
      </c>
      <c r="O40" s="206" t="str">
        <f t="shared" si="0"/>
        <v>2018-19</v>
      </c>
      <c r="P40" s="206" t="str">
        <f t="shared" si="0"/>
        <v>2019-20</v>
      </c>
      <c r="Q40" s="18"/>
      <c r="R40" s="17"/>
      <c r="S40" s="17"/>
      <c r="T40" s="74"/>
      <c r="U40" s="18"/>
      <c r="V40" s="18"/>
      <c r="W40" s="18"/>
      <c r="X40" s="18"/>
      <c r="Y40" s="18"/>
      <c r="Z40" s="240"/>
      <c r="AA40" s="240"/>
      <c r="AB40" s="240"/>
      <c r="AC40" s="240"/>
      <c r="AD40" s="240"/>
      <c r="AE40" s="240"/>
      <c r="AF40" s="240"/>
      <c r="AG40" s="240"/>
      <c r="AH40" s="240"/>
      <c r="AI40" s="240"/>
      <c r="AJ40" s="240"/>
      <c r="AK40" s="240"/>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74"/>
      <c r="BN40" s="74"/>
      <c r="BO40" s="74"/>
    </row>
    <row r="41" spans="1:67" hidden="1" outlineLevel="1">
      <c r="A41" s="21"/>
      <c r="B41" s="21"/>
      <c r="C41" s="21"/>
      <c r="D41" s="21"/>
      <c r="E41" s="1592" t="str">
        <f>Asset1</f>
        <v>Pre 1999 Assets</v>
      </c>
      <c r="F41" s="1593"/>
      <c r="G41" s="1445"/>
      <c r="H41" s="1445"/>
      <c r="I41" s="1445"/>
      <c r="J41" s="1445"/>
      <c r="K41" s="1445"/>
      <c r="L41" s="234"/>
      <c r="M41" s="234"/>
      <c r="N41" s="234"/>
      <c r="O41" s="234"/>
      <c r="P41" s="234"/>
      <c r="Q41" s="18"/>
      <c r="R41" s="17"/>
      <c r="S41" s="17"/>
      <c r="T41" s="74"/>
      <c r="U41" s="18"/>
      <c r="V41" s="18"/>
      <c r="W41" s="18"/>
      <c r="X41" s="18"/>
      <c r="Y41" s="18"/>
      <c r="Z41" s="240"/>
      <c r="AA41" s="240"/>
      <c r="AB41" s="240"/>
      <c r="AC41" s="240"/>
      <c r="AD41" s="240"/>
      <c r="AE41" s="240"/>
      <c r="AF41" s="240"/>
      <c r="AG41" s="240"/>
      <c r="AH41" s="240"/>
      <c r="AI41" s="240"/>
      <c r="AJ41" s="240"/>
      <c r="AK41" s="240"/>
      <c r="AL41" s="240"/>
      <c r="AM41" s="240"/>
      <c r="AN41" s="240"/>
      <c r="AO41" s="240"/>
      <c r="AP41" s="240"/>
      <c r="AQ41" s="240"/>
      <c r="AR41" s="240"/>
      <c r="AS41" s="240"/>
      <c r="AT41" s="240"/>
      <c r="AU41" s="240"/>
      <c r="AV41" s="240"/>
      <c r="AW41" s="240"/>
      <c r="AX41" s="240"/>
      <c r="AY41" s="240"/>
      <c r="AZ41" s="240"/>
      <c r="BA41" s="240"/>
      <c r="BB41" s="240"/>
      <c r="BC41" s="240"/>
      <c r="BD41" s="240"/>
      <c r="BE41" s="240"/>
      <c r="BF41" s="240"/>
      <c r="BG41" s="240"/>
      <c r="BH41" s="240"/>
      <c r="BI41" s="240"/>
      <c r="BJ41" s="240"/>
      <c r="BK41" s="240"/>
      <c r="BL41" s="240"/>
      <c r="BM41" s="74"/>
      <c r="BN41" s="74"/>
      <c r="BO41" s="74"/>
    </row>
    <row r="42" spans="1:67" hidden="1" outlineLevel="1">
      <c r="A42" s="21"/>
      <c r="B42" s="21"/>
      <c r="C42" s="21"/>
      <c r="D42" s="21"/>
      <c r="E42" s="1592" t="str">
        <f>Asset2</f>
        <v>Post 1999-2010 Assets</v>
      </c>
      <c r="F42" s="1593"/>
      <c r="G42" s="101"/>
      <c r="H42" s="102"/>
      <c r="I42" s="102"/>
      <c r="J42" s="102"/>
      <c r="K42" s="102"/>
      <c r="L42" s="102"/>
      <c r="M42" s="102"/>
      <c r="N42" s="102"/>
      <c r="O42" s="102"/>
      <c r="P42" s="102"/>
      <c r="Q42" s="18"/>
      <c r="R42" s="17"/>
      <c r="S42" s="17"/>
      <c r="T42" s="74"/>
      <c r="U42" s="18"/>
      <c r="V42" s="18"/>
      <c r="W42" s="18"/>
      <c r="X42" s="18"/>
      <c r="Y42" s="18"/>
      <c r="Z42" s="240"/>
      <c r="AA42" s="240"/>
      <c r="AB42" s="240"/>
      <c r="AC42" s="240"/>
      <c r="AD42" s="240"/>
      <c r="AE42" s="240"/>
      <c r="AF42" s="240"/>
      <c r="AG42" s="240"/>
      <c r="AH42" s="240"/>
      <c r="AI42" s="240"/>
      <c r="AJ42" s="240"/>
      <c r="AK42" s="240"/>
      <c r="AL42" s="240"/>
      <c r="AM42" s="240"/>
      <c r="AN42" s="240"/>
      <c r="AO42" s="240"/>
      <c r="AP42" s="240"/>
      <c r="AQ42" s="240"/>
      <c r="AR42" s="240"/>
      <c r="AS42" s="240"/>
      <c r="AT42" s="240"/>
      <c r="AU42" s="240"/>
      <c r="AV42" s="240"/>
      <c r="AW42" s="240"/>
      <c r="AX42" s="240"/>
      <c r="AY42" s="240"/>
      <c r="AZ42" s="240"/>
      <c r="BA42" s="240"/>
      <c r="BB42" s="240"/>
      <c r="BC42" s="240"/>
      <c r="BD42" s="240"/>
      <c r="BE42" s="240"/>
      <c r="BF42" s="240"/>
      <c r="BG42" s="240"/>
      <c r="BH42" s="240"/>
      <c r="BI42" s="240"/>
      <c r="BJ42" s="240"/>
      <c r="BK42" s="240"/>
      <c r="BL42" s="240"/>
      <c r="BM42" s="74"/>
      <c r="BN42" s="74"/>
      <c r="BO42" s="74"/>
    </row>
    <row r="43" spans="1:67" hidden="1" outlineLevel="1">
      <c r="A43" s="174"/>
      <c r="B43" s="174"/>
      <c r="C43" s="174"/>
      <c r="D43" s="174"/>
      <c r="E43" s="1592" t="str">
        <f>Asset3</f>
        <v>New Capex (Post 2010)</v>
      </c>
      <c r="F43" s="1593"/>
      <c r="G43" s="1445">
        <f>'[2]PTRM IO'!R50</f>
        <v>6.6669595854922283</v>
      </c>
      <c r="H43" s="1445">
        <f>'[2]PTRM IO'!S50</f>
        <v>6.533314629258518</v>
      </c>
      <c r="I43" s="1445">
        <f>'[2]PTRM IO'!T50</f>
        <v>5.5698546168958742</v>
      </c>
      <c r="J43" s="1445">
        <f>'[2]PTRM IO'!U50</f>
        <v>5.7623461538461545</v>
      </c>
      <c r="K43" s="1445">
        <f>'[2]PTRM IO'!V50</f>
        <v>4.8324736842105249</v>
      </c>
      <c r="L43" s="102"/>
      <c r="M43" s="102"/>
      <c r="N43" s="102"/>
      <c r="O43" s="102"/>
      <c r="P43" s="102"/>
      <c r="Q43" s="18"/>
      <c r="R43" s="17"/>
      <c r="S43" s="17"/>
      <c r="T43" s="74"/>
      <c r="U43" s="18"/>
      <c r="V43" s="18"/>
      <c r="W43" s="18"/>
      <c r="X43" s="18"/>
      <c r="Y43" s="18"/>
      <c r="Z43" s="240"/>
      <c r="AA43" s="240"/>
      <c r="AB43" s="240"/>
      <c r="AC43" s="240"/>
      <c r="AD43" s="240"/>
      <c r="AE43" s="240"/>
      <c r="AF43" s="240"/>
      <c r="AG43" s="240"/>
      <c r="AH43" s="240"/>
      <c r="AI43" s="240"/>
      <c r="AJ43" s="240"/>
      <c r="AK43" s="240"/>
      <c r="AL43" s="240"/>
      <c r="AM43" s="240"/>
      <c r="AN43" s="240"/>
      <c r="AO43" s="240"/>
      <c r="AP43" s="240"/>
      <c r="AQ43" s="240"/>
      <c r="AR43" s="240"/>
      <c r="AS43" s="240"/>
      <c r="AT43" s="240"/>
      <c r="AU43" s="240"/>
      <c r="AV43" s="240"/>
      <c r="AW43" s="240"/>
      <c r="AX43" s="240"/>
      <c r="AY43" s="240"/>
      <c r="AZ43" s="240"/>
      <c r="BA43" s="240"/>
      <c r="BB43" s="240"/>
      <c r="BC43" s="240"/>
      <c r="BD43" s="240"/>
      <c r="BE43" s="240"/>
      <c r="BF43" s="240"/>
      <c r="BG43" s="240"/>
      <c r="BH43" s="240"/>
      <c r="BI43" s="240"/>
      <c r="BJ43" s="240"/>
      <c r="BK43" s="240"/>
      <c r="BL43" s="240"/>
      <c r="BM43" s="74"/>
      <c r="BN43" s="74"/>
      <c r="BO43" s="74"/>
    </row>
    <row r="44" spans="1:67" hidden="1" outlineLevel="1">
      <c r="A44" s="21"/>
      <c r="B44" s="21"/>
      <c r="C44" s="21"/>
      <c r="D44" s="21"/>
      <c r="E44" s="1592">
        <f>Asset4</f>
        <v>0</v>
      </c>
      <c r="F44" s="1593"/>
      <c r="G44" s="101"/>
      <c r="H44" s="102"/>
      <c r="I44" s="102"/>
      <c r="J44" s="102"/>
      <c r="K44" s="102"/>
      <c r="L44" s="102"/>
      <c r="M44" s="102"/>
      <c r="N44" s="102"/>
      <c r="O44" s="102"/>
      <c r="P44" s="102"/>
      <c r="Q44" s="18"/>
      <c r="R44" s="17"/>
      <c r="S44" s="17"/>
      <c r="T44" s="74"/>
      <c r="U44" s="18"/>
      <c r="V44" s="18"/>
      <c r="W44" s="18"/>
      <c r="X44" s="18"/>
      <c r="Y44" s="18"/>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74"/>
      <c r="BN44" s="74"/>
      <c r="BO44" s="74"/>
    </row>
    <row r="45" spans="1:67" hidden="1" outlineLevel="1">
      <c r="A45" s="21"/>
      <c r="B45" s="21"/>
      <c r="C45" s="21"/>
      <c r="D45" s="21"/>
      <c r="E45" s="1592">
        <f>Asset5</f>
        <v>0</v>
      </c>
      <c r="F45" s="1593"/>
      <c r="G45" s="101"/>
      <c r="H45" s="102"/>
      <c r="I45" s="102"/>
      <c r="J45" s="102"/>
      <c r="K45" s="102"/>
      <c r="L45" s="102"/>
      <c r="M45" s="102"/>
      <c r="N45" s="102"/>
      <c r="O45" s="102"/>
      <c r="P45" s="102"/>
      <c r="Q45" s="18"/>
      <c r="R45" s="17"/>
      <c r="S45" s="17"/>
      <c r="T45" s="74"/>
      <c r="U45" s="18"/>
      <c r="V45" s="18"/>
      <c r="W45" s="18"/>
      <c r="X45" s="18"/>
      <c r="Y45" s="18"/>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74"/>
      <c r="BN45" s="74"/>
      <c r="BO45" s="74"/>
    </row>
    <row r="46" spans="1:67" hidden="1" outlineLevel="1">
      <c r="A46" s="174"/>
      <c r="B46" s="174"/>
      <c r="C46" s="174"/>
      <c r="D46" s="174"/>
      <c r="E46" s="1592">
        <f>Asset6</f>
        <v>0</v>
      </c>
      <c r="F46" s="1593"/>
      <c r="G46" s="101"/>
      <c r="H46" s="102"/>
      <c r="I46" s="102"/>
      <c r="J46" s="102"/>
      <c r="K46" s="102"/>
      <c r="L46" s="102"/>
      <c r="M46" s="102"/>
      <c r="N46" s="102"/>
      <c r="O46" s="102"/>
      <c r="P46" s="102"/>
      <c r="Q46" s="18"/>
      <c r="R46" s="17"/>
      <c r="S46" s="17"/>
      <c r="T46" s="74"/>
      <c r="U46" s="18"/>
      <c r="V46" s="18"/>
      <c r="W46" s="18"/>
      <c r="X46" s="18"/>
      <c r="Y46" s="18"/>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74"/>
      <c r="BN46" s="74"/>
      <c r="BO46" s="74"/>
    </row>
    <row r="47" spans="1:67" hidden="1" outlineLevel="1">
      <c r="A47" s="21"/>
      <c r="B47" s="21"/>
      <c r="C47" s="21"/>
      <c r="D47" s="21"/>
      <c r="E47" s="1592">
        <f>Asset7</f>
        <v>0</v>
      </c>
      <c r="F47" s="1593"/>
      <c r="G47" s="101"/>
      <c r="H47" s="102"/>
      <c r="I47" s="102"/>
      <c r="J47" s="102"/>
      <c r="K47" s="102"/>
      <c r="L47" s="102"/>
      <c r="M47" s="102"/>
      <c r="N47" s="102"/>
      <c r="O47" s="102"/>
      <c r="P47" s="102"/>
      <c r="Q47" s="18"/>
      <c r="R47" s="17"/>
      <c r="S47" s="17"/>
      <c r="T47" s="74"/>
      <c r="U47" s="18"/>
      <c r="V47" s="18"/>
      <c r="W47" s="18"/>
      <c r="X47" s="18"/>
      <c r="Y47" s="18"/>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c r="BA47" s="240"/>
      <c r="BB47" s="240"/>
      <c r="BC47" s="240"/>
      <c r="BD47" s="240"/>
      <c r="BE47" s="240"/>
      <c r="BF47" s="240"/>
      <c r="BG47" s="240"/>
      <c r="BH47" s="240"/>
      <c r="BI47" s="240"/>
      <c r="BJ47" s="240"/>
      <c r="BK47" s="240"/>
      <c r="BL47" s="240"/>
      <c r="BM47" s="74"/>
      <c r="BN47" s="74"/>
      <c r="BO47" s="74"/>
    </row>
    <row r="48" spans="1:67" hidden="1" outlineLevel="1">
      <c r="A48" s="21"/>
      <c r="B48" s="21"/>
      <c r="C48" s="21"/>
      <c r="D48" s="21"/>
      <c r="E48" s="1592">
        <f>Asset8</f>
        <v>0</v>
      </c>
      <c r="F48" s="1593"/>
      <c r="G48" s="101"/>
      <c r="H48" s="102"/>
      <c r="I48" s="102"/>
      <c r="J48" s="102"/>
      <c r="K48" s="102"/>
      <c r="L48" s="102"/>
      <c r="M48" s="102"/>
      <c r="N48" s="102"/>
      <c r="O48" s="102"/>
      <c r="P48" s="102"/>
      <c r="Q48" s="18"/>
      <c r="R48" s="17"/>
      <c r="S48" s="17"/>
      <c r="T48" s="74"/>
      <c r="U48" s="18"/>
      <c r="V48" s="18"/>
      <c r="W48" s="18"/>
      <c r="X48" s="18"/>
      <c r="Y48" s="18"/>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74"/>
      <c r="BN48" s="74"/>
      <c r="BO48" s="74"/>
    </row>
    <row r="49" spans="1:67" hidden="1" outlineLevel="1">
      <c r="A49" s="174"/>
      <c r="B49" s="174"/>
      <c r="C49" s="174"/>
      <c r="D49" s="174"/>
      <c r="E49" s="1592">
        <f>Asset9</f>
        <v>0</v>
      </c>
      <c r="F49" s="1593"/>
      <c r="G49" s="101"/>
      <c r="H49" s="102"/>
      <c r="I49" s="102"/>
      <c r="J49" s="102"/>
      <c r="K49" s="102"/>
      <c r="L49" s="102"/>
      <c r="M49" s="102"/>
      <c r="N49" s="102"/>
      <c r="O49" s="102"/>
      <c r="P49" s="102"/>
      <c r="Q49" s="18"/>
      <c r="R49" s="17"/>
      <c r="S49" s="17"/>
      <c r="T49" s="74"/>
      <c r="U49" s="18"/>
      <c r="V49" s="18"/>
      <c r="W49" s="18"/>
      <c r="X49" s="18"/>
      <c r="Y49" s="18"/>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74"/>
      <c r="BN49" s="74"/>
      <c r="BO49" s="74"/>
    </row>
    <row r="50" spans="1:67" hidden="1" outlineLevel="1">
      <c r="A50" s="174"/>
      <c r="B50" s="174"/>
      <c r="C50" s="174"/>
      <c r="D50" s="174"/>
      <c r="E50" s="1592">
        <f>Asset10</f>
        <v>0</v>
      </c>
      <c r="F50" s="1593"/>
      <c r="G50" s="101"/>
      <c r="H50" s="102"/>
      <c r="I50" s="102"/>
      <c r="J50" s="102"/>
      <c r="K50" s="102"/>
      <c r="L50" s="102"/>
      <c r="M50" s="102"/>
      <c r="N50" s="102"/>
      <c r="O50" s="102"/>
      <c r="P50" s="102"/>
      <c r="Q50" s="18"/>
      <c r="R50" s="17"/>
      <c r="S50" s="17"/>
      <c r="T50" s="74"/>
      <c r="U50" s="18"/>
      <c r="V50" s="18"/>
      <c r="W50" s="18"/>
      <c r="X50" s="18"/>
      <c r="Y50" s="18"/>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c r="BA50" s="240"/>
      <c r="BB50" s="240"/>
      <c r="BC50" s="240"/>
      <c r="BD50" s="240"/>
      <c r="BE50" s="240"/>
      <c r="BF50" s="240"/>
      <c r="BG50" s="240"/>
      <c r="BH50" s="240"/>
      <c r="BI50" s="240"/>
      <c r="BJ50" s="240"/>
      <c r="BK50" s="240"/>
      <c r="BL50" s="240"/>
      <c r="BM50" s="74"/>
      <c r="BN50" s="74"/>
      <c r="BO50" s="74"/>
    </row>
    <row r="51" spans="1:67" hidden="1" outlineLevel="1">
      <c r="A51" s="174"/>
      <c r="B51" s="174"/>
      <c r="C51" s="174"/>
      <c r="D51" s="174"/>
      <c r="E51" s="1592">
        <f>Asset11</f>
        <v>0</v>
      </c>
      <c r="F51" s="1593"/>
      <c r="G51" s="101"/>
      <c r="H51" s="102"/>
      <c r="I51" s="102"/>
      <c r="J51" s="102"/>
      <c r="K51" s="102"/>
      <c r="L51" s="102"/>
      <c r="M51" s="102"/>
      <c r="N51" s="102"/>
      <c r="O51" s="102"/>
      <c r="P51" s="102"/>
      <c r="Q51" s="18"/>
      <c r="R51" s="17"/>
      <c r="S51" s="17"/>
      <c r="T51" s="74"/>
      <c r="U51" s="18"/>
      <c r="V51" s="18"/>
      <c r="W51" s="18"/>
      <c r="X51" s="18"/>
      <c r="Y51" s="18"/>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c r="BA51" s="240"/>
      <c r="BB51" s="240"/>
      <c r="BC51" s="240"/>
      <c r="BD51" s="240"/>
      <c r="BE51" s="240"/>
      <c r="BF51" s="240"/>
      <c r="BG51" s="240"/>
      <c r="BH51" s="240"/>
      <c r="BI51" s="240"/>
      <c r="BJ51" s="240"/>
      <c r="BK51" s="240"/>
      <c r="BL51" s="240"/>
      <c r="BM51" s="74"/>
      <c r="BN51" s="74"/>
      <c r="BO51" s="74"/>
    </row>
    <row r="52" spans="1:67" hidden="1" outlineLevel="1">
      <c r="A52" s="174"/>
      <c r="B52" s="174"/>
      <c r="C52" s="174"/>
      <c r="D52" s="174"/>
      <c r="E52" s="1592">
        <f>Asset12</f>
        <v>0</v>
      </c>
      <c r="F52" s="1593"/>
      <c r="G52" s="101"/>
      <c r="H52" s="102"/>
      <c r="I52" s="102"/>
      <c r="J52" s="102"/>
      <c r="K52" s="102"/>
      <c r="L52" s="102"/>
      <c r="M52" s="102"/>
      <c r="N52" s="102"/>
      <c r="O52" s="102"/>
      <c r="P52" s="102"/>
      <c r="Q52" s="18"/>
      <c r="R52" s="17"/>
      <c r="S52" s="17"/>
      <c r="T52" s="74"/>
      <c r="U52" s="18"/>
      <c r="V52" s="18"/>
      <c r="W52" s="18"/>
      <c r="X52" s="18"/>
      <c r="Y52" s="18"/>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c r="BK52" s="240"/>
      <c r="BL52" s="240"/>
      <c r="BM52" s="74"/>
      <c r="BN52" s="74"/>
      <c r="BO52" s="74"/>
    </row>
    <row r="53" spans="1:67" hidden="1" outlineLevel="1">
      <c r="A53" s="174"/>
      <c r="B53" s="174"/>
      <c r="C53" s="174"/>
      <c r="D53" s="174"/>
      <c r="E53" s="1592">
        <f>Asset13</f>
        <v>0</v>
      </c>
      <c r="F53" s="1593"/>
      <c r="G53" s="101"/>
      <c r="H53" s="102"/>
      <c r="I53" s="102"/>
      <c r="J53" s="102"/>
      <c r="K53" s="102"/>
      <c r="L53" s="102"/>
      <c r="M53" s="102"/>
      <c r="N53" s="102"/>
      <c r="O53" s="102"/>
      <c r="P53" s="102"/>
      <c r="Q53" s="18"/>
      <c r="R53" s="17"/>
      <c r="S53" s="17"/>
      <c r="T53" s="74"/>
      <c r="U53" s="18"/>
      <c r="V53" s="18"/>
      <c r="W53" s="18"/>
      <c r="X53" s="18"/>
      <c r="Y53" s="18"/>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240"/>
      <c r="AV53" s="240"/>
      <c r="AW53" s="240"/>
      <c r="AX53" s="240"/>
      <c r="AY53" s="240"/>
      <c r="AZ53" s="240"/>
      <c r="BA53" s="240"/>
      <c r="BB53" s="240"/>
      <c r="BC53" s="240"/>
      <c r="BD53" s="240"/>
      <c r="BE53" s="240"/>
      <c r="BF53" s="240"/>
      <c r="BG53" s="240"/>
      <c r="BH53" s="240"/>
      <c r="BI53" s="240"/>
      <c r="BJ53" s="240"/>
      <c r="BK53" s="240"/>
      <c r="BL53" s="240"/>
      <c r="BM53" s="74"/>
      <c r="BN53" s="74"/>
      <c r="BO53" s="74"/>
    </row>
    <row r="54" spans="1:67" hidden="1" outlineLevel="1">
      <c r="A54" s="174"/>
      <c r="B54" s="174"/>
      <c r="C54" s="174"/>
      <c r="D54" s="174"/>
      <c r="E54" s="1592">
        <f>Asset14</f>
        <v>0</v>
      </c>
      <c r="F54" s="1593"/>
      <c r="G54" s="101"/>
      <c r="H54" s="102"/>
      <c r="I54" s="102"/>
      <c r="J54" s="102"/>
      <c r="K54" s="102"/>
      <c r="L54" s="102"/>
      <c r="M54" s="102"/>
      <c r="N54" s="102"/>
      <c r="O54" s="102"/>
      <c r="P54" s="102"/>
      <c r="Q54" s="18"/>
      <c r="R54" s="17"/>
      <c r="S54" s="17"/>
      <c r="T54" s="74"/>
      <c r="U54" s="18"/>
      <c r="V54" s="18"/>
      <c r="W54" s="18"/>
      <c r="X54" s="18"/>
      <c r="Y54" s="18"/>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0"/>
      <c r="BC54" s="240"/>
      <c r="BD54" s="240"/>
      <c r="BE54" s="240"/>
      <c r="BF54" s="240"/>
      <c r="BG54" s="240"/>
      <c r="BH54" s="240"/>
      <c r="BI54" s="240"/>
      <c r="BJ54" s="240"/>
      <c r="BK54" s="240"/>
      <c r="BL54" s="240"/>
      <c r="BM54" s="74"/>
      <c r="BN54" s="74"/>
      <c r="BO54" s="74"/>
    </row>
    <row r="55" spans="1:67" hidden="1" outlineLevel="1">
      <c r="A55" s="174"/>
      <c r="B55" s="174"/>
      <c r="C55" s="174"/>
      <c r="D55" s="174"/>
      <c r="E55" s="1592">
        <f>Asset15</f>
        <v>0</v>
      </c>
      <c r="F55" s="1593"/>
      <c r="G55" s="101"/>
      <c r="H55" s="102"/>
      <c r="I55" s="102"/>
      <c r="J55" s="102"/>
      <c r="K55" s="102"/>
      <c r="L55" s="102"/>
      <c r="M55" s="102"/>
      <c r="N55" s="102"/>
      <c r="O55" s="102"/>
      <c r="P55" s="102"/>
      <c r="Q55" s="18"/>
      <c r="R55" s="17"/>
      <c r="S55" s="17"/>
      <c r="T55" s="74"/>
      <c r="U55" s="18"/>
      <c r="V55" s="18"/>
      <c r="W55" s="18"/>
      <c r="X55" s="18"/>
      <c r="Y55" s="18"/>
      <c r="Z55" s="240"/>
      <c r="AA55" s="240"/>
      <c r="AB55" s="240"/>
      <c r="AC55" s="240"/>
      <c r="AD55" s="240"/>
      <c r="AE55" s="240"/>
      <c r="AF55" s="240"/>
      <c r="AG55" s="240"/>
      <c r="AH55" s="240"/>
      <c r="AI55" s="240"/>
      <c r="AJ55" s="240"/>
      <c r="AK55" s="240"/>
      <c r="AL55" s="240"/>
      <c r="AM55" s="240"/>
      <c r="AN55" s="240"/>
      <c r="AO55" s="240"/>
      <c r="AP55" s="240"/>
      <c r="AQ55" s="240"/>
      <c r="AR55" s="240"/>
      <c r="AS55" s="240"/>
      <c r="AT55" s="240"/>
      <c r="AU55" s="240"/>
      <c r="AV55" s="240"/>
      <c r="AW55" s="240"/>
      <c r="AX55" s="240"/>
      <c r="AY55" s="240"/>
      <c r="AZ55" s="240"/>
      <c r="BA55" s="240"/>
      <c r="BB55" s="240"/>
      <c r="BC55" s="240"/>
      <c r="BD55" s="240"/>
      <c r="BE55" s="240"/>
      <c r="BF55" s="240"/>
      <c r="BG55" s="240"/>
      <c r="BH55" s="240"/>
      <c r="BI55" s="240"/>
      <c r="BJ55" s="240"/>
      <c r="BK55" s="240"/>
      <c r="BL55" s="240"/>
      <c r="BM55" s="74"/>
      <c r="BN55" s="74"/>
      <c r="BO55" s="74"/>
    </row>
    <row r="56" spans="1:67" hidden="1" outlineLevel="1">
      <c r="A56" s="174"/>
      <c r="B56" s="174"/>
      <c r="C56" s="174"/>
      <c r="D56" s="174"/>
      <c r="E56" s="1592">
        <f>Asset16</f>
        <v>0</v>
      </c>
      <c r="F56" s="1593"/>
      <c r="G56" s="101"/>
      <c r="H56" s="102"/>
      <c r="I56" s="102"/>
      <c r="J56" s="102"/>
      <c r="K56" s="102"/>
      <c r="L56" s="102"/>
      <c r="M56" s="102"/>
      <c r="N56" s="102"/>
      <c r="O56" s="102"/>
      <c r="P56" s="102"/>
      <c r="Q56" s="18"/>
      <c r="R56" s="17"/>
      <c r="S56" s="17"/>
      <c r="T56" s="74"/>
      <c r="U56" s="18"/>
      <c r="V56" s="18"/>
      <c r="W56" s="18"/>
      <c r="X56" s="18"/>
      <c r="Y56" s="18"/>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c r="BM56" s="74"/>
      <c r="BN56" s="74"/>
      <c r="BO56" s="74"/>
    </row>
    <row r="57" spans="1:67" hidden="1" outlineLevel="1">
      <c r="A57" s="174"/>
      <c r="B57" s="174"/>
      <c r="C57" s="174"/>
      <c r="D57" s="174"/>
      <c r="E57" s="1592">
        <f>Asset17</f>
        <v>0</v>
      </c>
      <c r="F57" s="1593"/>
      <c r="G57" s="101"/>
      <c r="H57" s="102"/>
      <c r="I57" s="102"/>
      <c r="J57" s="102"/>
      <c r="K57" s="102"/>
      <c r="L57" s="102"/>
      <c r="M57" s="102"/>
      <c r="N57" s="102"/>
      <c r="O57" s="102"/>
      <c r="P57" s="102"/>
      <c r="Q57" s="18"/>
      <c r="R57" s="17"/>
      <c r="S57" s="17"/>
      <c r="T57" s="74"/>
      <c r="U57" s="18"/>
      <c r="V57" s="18"/>
      <c r="W57" s="18"/>
      <c r="X57" s="18"/>
      <c r="Y57" s="18"/>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74"/>
      <c r="BN57" s="74"/>
      <c r="BO57" s="74"/>
    </row>
    <row r="58" spans="1:67" hidden="1" outlineLevel="1">
      <c r="A58" s="174"/>
      <c r="B58" s="174"/>
      <c r="C58" s="174"/>
      <c r="D58" s="174"/>
      <c r="E58" s="1592">
        <f>Asset18</f>
        <v>0</v>
      </c>
      <c r="F58" s="1593"/>
      <c r="G58" s="101"/>
      <c r="H58" s="102"/>
      <c r="I58" s="102"/>
      <c r="J58" s="102"/>
      <c r="K58" s="102"/>
      <c r="L58" s="102"/>
      <c r="M58" s="102"/>
      <c r="N58" s="102"/>
      <c r="O58" s="102"/>
      <c r="P58" s="102"/>
      <c r="Q58" s="18"/>
      <c r="R58" s="17"/>
      <c r="S58" s="17"/>
      <c r="T58" s="74"/>
      <c r="U58" s="18"/>
      <c r="V58" s="18"/>
      <c r="W58" s="18"/>
      <c r="X58" s="18"/>
      <c r="Y58" s="18"/>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74"/>
      <c r="BN58" s="74"/>
      <c r="BO58" s="74"/>
    </row>
    <row r="59" spans="1:67" hidden="1" outlineLevel="1">
      <c r="A59" s="174"/>
      <c r="B59" s="174"/>
      <c r="C59" s="174"/>
      <c r="D59" s="174"/>
      <c r="E59" s="1592">
        <f>Asset19</f>
        <v>0</v>
      </c>
      <c r="F59" s="1593"/>
      <c r="G59" s="101"/>
      <c r="H59" s="102"/>
      <c r="I59" s="102"/>
      <c r="J59" s="102"/>
      <c r="K59" s="102"/>
      <c r="L59" s="102"/>
      <c r="M59" s="102"/>
      <c r="N59" s="102"/>
      <c r="O59" s="102"/>
      <c r="P59" s="102"/>
      <c r="Q59" s="18"/>
      <c r="R59" s="17"/>
      <c r="S59" s="17"/>
      <c r="T59" s="74"/>
      <c r="U59" s="18"/>
      <c r="V59" s="18"/>
      <c r="W59" s="18"/>
      <c r="X59" s="18"/>
      <c r="Y59" s="18"/>
      <c r="Z59" s="240"/>
      <c r="AA59" s="240"/>
      <c r="AB59" s="240"/>
      <c r="AC59" s="240"/>
      <c r="AD59" s="240"/>
      <c r="AE59" s="240"/>
      <c r="AF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74"/>
      <c r="BN59" s="74"/>
      <c r="BO59" s="74"/>
    </row>
    <row r="60" spans="1:67" hidden="1" outlineLevel="1">
      <c r="A60" s="21"/>
      <c r="B60" s="21"/>
      <c r="C60" s="21"/>
      <c r="D60" s="21"/>
      <c r="E60" s="1592">
        <f>Asset20</f>
        <v>0</v>
      </c>
      <c r="F60" s="1593"/>
      <c r="G60" s="101"/>
      <c r="H60" s="102"/>
      <c r="I60" s="102"/>
      <c r="J60" s="102"/>
      <c r="K60" s="102"/>
      <c r="L60" s="102"/>
      <c r="M60" s="102"/>
      <c r="N60" s="102"/>
      <c r="O60" s="102"/>
      <c r="P60" s="102"/>
      <c r="Q60" s="18"/>
      <c r="R60" s="17"/>
      <c r="S60" s="17"/>
      <c r="T60" s="74"/>
      <c r="U60" s="18"/>
      <c r="V60" s="18"/>
      <c r="W60" s="18"/>
      <c r="X60" s="18"/>
      <c r="Y60" s="18"/>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74"/>
      <c r="BN60" s="74"/>
      <c r="BO60" s="74"/>
    </row>
    <row r="61" spans="1:67" hidden="1" outlineLevel="1">
      <c r="A61" s="21"/>
      <c r="B61" s="21"/>
      <c r="C61" s="21"/>
      <c r="D61" s="21"/>
      <c r="E61" s="1592">
        <f>Asset21</f>
        <v>0</v>
      </c>
      <c r="F61" s="1593"/>
      <c r="G61" s="101"/>
      <c r="H61" s="102"/>
      <c r="I61" s="102"/>
      <c r="J61" s="102"/>
      <c r="K61" s="102"/>
      <c r="L61" s="102"/>
      <c r="M61" s="102"/>
      <c r="N61" s="102"/>
      <c r="O61" s="102"/>
      <c r="P61" s="102"/>
      <c r="Q61" s="18"/>
      <c r="R61" s="17"/>
      <c r="S61" s="17"/>
      <c r="T61" s="74"/>
      <c r="U61" s="18"/>
      <c r="V61" s="18"/>
      <c r="W61" s="18"/>
      <c r="X61" s="18"/>
      <c r="Y61" s="18"/>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c r="BA61" s="240"/>
      <c r="BB61" s="240"/>
      <c r="BC61" s="240"/>
      <c r="BD61" s="240"/>
      <c r="BE61" s="240"/>
      <c r="BF61" s="240"/>
      <c r="BG61" s="240"/>
      <c r="BH61" s="240"/>
      <c r="BI61" s="240"/>
      <c r="BJ61" s="240"/>
      <c r="BK61" s="240"/>
      <c r="BL61" s="240"/>
      <c r="BM61" s="74"/>
      <c r="BN61" s="74"/>
      <c r="BO61" s="74"/>
    </row>
    <row r="62" spans="1:67" hidden="1" outlineLevel="1">
      <c r="A62" s="174"/>
      <c r="B62" s="174"/>
      <c r="C62" s="174"/>
      <c r="D62" s="174"/>
      <c r="E62" s="1592">
        <f>Asset22</f>
        <v>0</v>
      </c>
      <c r="F62" s="1593"/>
      <c r="G62" s="101"/>
      <c r="H62" s="102"/>
      <c r="I62" s="102"/>
      <c r="J62" s="102"/>
      <c r="K62" s="102"/>
      <c r="L62" s="102"/>
      <c r="M62" s="102"/>
      <c r="N62" s="102"/>
      <c r="O62" s="102"/>
      <c r="P62" s="102"/>
      <c r="Q62" s="18"/>
      <c r="R62" s="17"/>
      <c r="S62" s="17"/>
      <c r="T62" s="74"/>
      <c r="U62" s="18"/>
      <c r="V62" s="18"/>
      <c r="W62" s="18"/>
      <c r="X62" s="18"/>
      <c r="Y62" s="18"/>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74"/>
      <c r="BN62" s="74"/>
      <c r="BO62" s="74"/>
    </row>
    <row r="63" spans="1:67" hidden="1" outlineLevel="1">
      <c r="A63" s="21"/>
      <c r="B63" s="21"/>
      <c r="C63" s="21"/>
      <c r="D63" s="21"/>
      <c r="E63" s="1592">
        <f>Asset23</f>
        <v>0</v>
      </c>
      <c r="F63" s="1593"/>
      <c r="G63" s="101"/>
      <c r="H63" s="102"/>
      <c r="I63" s="102"/>
      <c r="J63" s="102"/>
      <c r="K63" s="102"/>
      <c r="L63" s="102"/>
      <c r="M63" s="102"/>
      <c r="N63" s="102"/>
      <c r="O63" s="102"/>
      <c r="P63" s="102"/>
      <c r="Q63" s="18"/>
      <c r="R63" s="17"/>
      <c r="S63" s="17"/>
      <c r="T63" s="74"/>
      <c r="U63" s="18"/>
      <c r="V63" s="18"/>
      <c r="W63" s="18"/>
      <c r="X63" s="18"/>
      <c r="Y63" s="18"/>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74"/>
      <c r="BN63" s="74"/>
      <c r="BO63" s="74"/>
    </row>
    <row r="64" spans="1:67" hidden="1" outlineLevel="1">
      <c r="A64" s="21"/>
      <c r="B64" s="21"/>
      <c r="C64" s="21"/>
      <c r="D64" s="21"/>
      <c r="E64" s="1592">
        <f>Asset24</f>
        <v>0</v>
      </c>
      <c r="F64" s="1593"/>
      <c r="G64" s="101"/>
      <c r="H64" s="102"/>
      <c r="I64" s="102"/>
      <c r="J64" s="102"/>
      <c r="K64" s="102"/>
      <c r="L64" s="102"/>
      <c r="M64" s="102"/>
      <c r="N64" s="102"/>
      <c r="O64" s="102"/>
      <c r="P64" s="102"/>
      <c r="Q64" s="18"/>
      <c r="R64" s="17"/>
      <c r="S64" s="17"/>
      <c r="T64" s="74"/>
      <c r="U64" s="18"/>
      <c r="V64" s="18"/>
      <c r="W64" s="18"/>
      <c r="X64" s="18"/>
      <c r="Y64" s="18"/>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74"/>
      <c r="BN64" s="74"/>
      <c r="BO64" s="74"/>
    </row>
    <row r="65" spans="1:67" hidden="1" outlineLevel="1">
      <c r="A65" s="174"/>
      <c r="B65" s="174"/>
      <c r="C65" s="174"/>
      <c r="D65" s="174"/>
      <c r="E65" s="1592">
        <f>Asset25</f>
        <v>0</v>
      </c>
      <c r="F65" s="1593"/>
      <c r="G65" s="101"/>
      <c r="H65" s="102"/>
      <c r="I65" s="102"/>
      <c r="J65" s="102"/>
      <c r="K65" s="102"/>
      <c r="L65" s="102"/>
      <c r="M65" s="102"/>
      <c r="N65" s="102"/>
      <c r="O65" s="102"/>
      <c r="P65" s="102"/>
      <c r="Q65" s="18"/>
      <c r="R65" s="17"/>
      <c r="S65" s="17"/>
      <c r="T65" s="74"/>
      <c r="U65" s="18"/>
      <c r="V65" s="18"/>
      <c r="W65" s="18"/>
      <c r="X65" s="18"/>
      <c r="Y65" s="18"/>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74"/>
      <c r="BN65" s="74"/>
      <c r="BO65" s="74"/>
    </row>
    <row r="66" spans="1:67" hidden="1" outlineLevel="1">
      <c r="A66" s="21"/>
      <c r="B66" s="21"/>
      <c r="C66" s="21"/>
      <c r="D66" s="21"/>
      <c r="E66" s="1592">
        <f>Asset26</f>
        <v>0</v>
      </c>
      <c r="F66" s="1593"/>
      <c r="G66" s="101"/>
      <c r="H66" s="102"/>
      <c r="I66" s="102"/>
      <c r="J66" s="102"/>
      <c r="K66" s="102"/>
      <c r="L66" s="102"/>
      <c r="M66" s="102"/>
      <c r="N66" s="102"/>
      <c r="O66" s="102"/>
      <c r="P66" s="102"/>
      <c r="Q66" s="18"/>
      <c r="R66" s="17"/>
      <c r="S66" s="17"/>
      <c r="T66" s="74"/>
      <c r="U66" s="18"/>
      <c r="V66" s="18"/>
      <c r="W66" s="18"/>
      <c r="X66" s="18"/>
      <c r="Y66" s="18"/>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74"/>
      <c r="BN66" s="74"/>
      <c r="BO66" s="74"/>
    </row>
    <row r="67" spans="1:67" hidden="1" outlineLevel="1">
      <c r="A67" s="21"/>
      <c r="B67" s="21"/>
      <c r="C67" s="21"/>
      <c r="D67" s="21"/>
      <c r="E67" s="1592">
        <f>Asset27</f>
        <v>0</v>
      </c>
      <c r="F67" s="1593"/>
      <c r="G67" s="101"/>
      <c r="H67" s="102"/>
      <c r="I67" s="102"/>
      <c r="J67" s="102"/>
      <c r="K67" s="102"/>
      <c r="L67" s="102"/>
      <c r="M67" s="102"/>
      <c r="N67" s="102"/>
      <c r="O67" s="102"/>
      <c r="P67" s="102"/>
      <c r="Q67" s="18"/>
      <c r="R67" s="17"/>
      <c r="S67" s="17"/>
      <c r="T67" s="74"/>
      <c r="U67" s="18"/>
      <c r="V67" s="18"/>
      <c r="W67" s="18"/>
      <c r="X67" s="18"/>
      <c r="Y67" s="18"/>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74"/>
      <c r="BN67" s="74"/>
      <c r="BO67" s="74"/>
    </row>
    <row r="68" spans="1:67" hidden="1" outlineLevel="1">
      <c r="A68" s="174"/>
      <c r="B68" s="174"/>
      <c r="C68" s="174"/>
      <c r="D68" s="174"/>
      <c r="E68" s="1592">
        <f>Asset28</f>
        <v>0</v>
      </c>
      <c r="F68" s="1593"/>
      <c r="G68" s="101"/>
      <c r="H68" s="102"/>
      <c r="I68" s="102"/>
      <c r="J68" s="102"/>
      <c r="K68" s="102"/>
      <c r="L68" s="102"/>
      <c r="M68" s="102"/>
      <c r="N68" s="102"/>
      <c r="O68" s="102"/>
      <c r="P68" s="102"/>
      <c r="Q68" s="18"/>
      <c r="R68" s="17"/>
      <c r="S68" s="17"/>
      <c r="T68" s="74"/>
      <c r="U68" s="18"/>
      <c r="V68" s="18"/>
      <c r="W68" s="18"/>
      <c r="X68" s="18"/>
      <c r="Y68" s="18"/>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74"/>
      <c r="BN68" s="74"/>
      <c r="BO68" s="74"/>
    </row>
    <row r="69" spans="1:67" hidden="1" outlineLevel="1">
      <c r="A69" s="21"/>
      <c r="B69" s="21"/>
      <c r="C69" s="21"/>
      <c r="D69" s="21"/>
      <c r="E69" s="1592">
        <f>Asset29</f>
        <v>0</v>
      </c>
      <c r="F69" s="1593"/>
      <c r="G69" s="101"/>
      <c r="H69" s="102"/>
      <c r="I69" s="102"/>
      <c r="J69" s="102"/>
      <c r="K69" s="102"/>
      <c r="L69" s="102"/>
      <c r="M69" s="102"/>
      <c r="N69" s="102"/>
      <c r="O69" s="102"/>
      <c r="P69" s="102"/>
      <c r="Q69" s="18"/>
      <c r="R69" s="17"/>
      <c r="S69" s="17"/>
      <c r="T69" s="74"/>
      <c r="U69" s="18"/>
      <c r="V69" s="18"/>
      <c r="W69" s="18"/>
      <c r="X69" s="18"/>
      <c r="Y69" s="18"/>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74"/>
      <c r="BN69" s="74"/>
      <c r="BO69" s="74"/>
    </row>
    <row r="70" spans="1:67" hidden="1" outlineLevel="1">
      <c r="A70" s="21"/>
      <c r="B70" s="21"/>
      <c r="C70" s="21"/>
      <c r="D70" s="21"/>
      <c r="E70" s="1592" t="str">
        <f>Asset30</f>
        <v>Equity raising costs</v>
      </c>
      <c r="F70" s="1593"/>
      <c r="G70" s="101">
        <v>0</v>
      </c>
      <c r="H70" s="102"/>
      <c r="I70" s="102"/>
      <c r="J70" s="102"/>
      <c r="K70" s="102"/>
      <c r="L70" s="102"/>
      <c r="M70" s="102"/>
      <c r="N70" s="102"/>
      <c r="O70" s="102"/>
      <c r="P70" s="102"/>
      <c r="Q70" s="18"/>
      <c r="R70" s="17"/>
      <c r="S70" s="17"/>
      <c r="T70" s="74"/>
      <c r="U70" s="18"/>
      <c r="V70" s="18"/>
      <c r="W70" s="18"/>
      <c r="X70" s="18"/>
      <c r="Y70" s="18"/>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74"/>
      <c r="BN70" s="74"/>
      <c r="BO70" s="74"/>
    </row>
    <row r="71" spans="1:67" collapsed="1">
      <c r="A71" s="174"/>
      <c r="B71" s="174"/>
      <c r="C71" s="174"/>
      <c r="D71" s="174"/>
      <c r="E71" s="1592" t="s">
        <v>83</v>
      </c>
      <c r="F71" s="1592"/>
      <c r="G71" s="203">
        <f t="shared" ref="G71:P71" si="1">SUM(G41:G70)</f>
        <v>6.6669595854922283</v>
      </c>
      <c r="H71" s="203">
        <f t="shared" si="1"/>
        <v>6.533314629258518</v>
      </c>
      <c r="I71" s="203">
        <f t="shared" si="1"/>
        <v>5.5698546168958742</v>
      </c>
      <c r="J71" s="203">
        <f t="shared" si="1"/>
        <v>5.7623461538461545</v>
      </c>
      <c r="K71" s="203">
        <f t="shared" si="1"/>
        <v>4.8324736842105249</v>
      </c>
      <c r="L71" s="203">
        <f t="shared" si="1"/>
        <v>0</v>
      </c>
      <c r="M71" s="203">
        <f>SUM(M41:M70)</f>
        <v>0</v>
      </c>
      <c r="N71" s="203">
        <f t="shared" si="1"/>
        <v>0</v>
      </c>
      <c r="O71" s="203">
        <f t="shared" si="1"/>
        <v>0</v>
      </c>
      <c r="P71" s="203">
        <f t="shared" si="1"/>
        <v>0</v>
      </c>
      <c r="Q71" s="182"/>
      <c r="R71" s="17"/>
      <c r="S71" s="17"/>
      <c r="T71" s="74"/>
      <c r="U71" s="18"/>
      <c r="V71" s="18"/>
      <c r="W71" s="18"/>
      <c r="X71" s="18"/>
      <c r="Y71" s="18"/>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74"/>
      <c r="BN71" s="74"/>
      <c r="BO71" s="74"/>
    </row>
    <row r="72" spans="1:67" ht="21" customHeight="1">
      <c r="A72" s="21"/>
      <c r="B72" s="21"/>
      <c r="C72" s="21"/>
      <c r="D72" s="21"/>
      <c r="E72" s="92"/>
      <c r="F72" s="92"/>
      <c r="G72" s="92"/>
      <c r="H72" s="92"/>
      <c r="I72" s="92"/>
      <c r="J72" s="92"/>
      <c r="K72" s="92"/>
      <c r="L72" s="92"/>
      <c r="M72" s="92"/>
      <c r="N72" s="92"/>
      <c r="O72" s="92"/>
      <c r="P72" s="92"/>
      <c r="Q72" s="204">
        <f ca="1">SUM(OFFSET(G71,0,0,1,$R$7))</f>
        <v>29.364948669703303</v>
      </c>
      <c r="R72" s="17"/>
      <c r="S72" s="17"/>
      <c r="T72" s="74"/>
      <c r="U72" s="18"/>
      <c r="V72" s="18"/>
      <c r="W72" s="18"/>
      <c r="X72" s="18"/>
      <c r="Y72" s="18"/>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74"/>
      <c r="BN72" s="74"/>
      <c r="BO72" s="74"/>
    </row>
    <row r="73" spans="1:67" ht="15.2" customHeight="1">
      <c r="A73" s="116"/>
      <c r="B73" s="116"/>
      <c r="C73" s="116"/>
      <c r="D73" s="116"/>
      <c r="E73" s="1597" t="str">
        <f>"Forecast Asset Disposal – as incurred ($m Real "&amp;$F$241&amp;")"</f>
        <v>Forecast Asset Disposal – as incurred ($m Real 2009-10)</v>
      </c>
      <c r="F73" s="1597"/>
      <c r="G73" s="1597"/>
      <c r="H73" s="191"/>
      <c r="I73" s="191"/>
      <c r="J73" s="119"/>
      <c r="K73" s="119"/>
      <c r="L73" s="117"/>
      <c r="M73" s="117"/>
      <c r="N73" s="117"/>
      <c r="O73" s="117"/>
      <c r="P73" s="117"/>
      <c r="Q73" s="116"/>
      <c r="R73" s="117"/>
      <c r="S73" s="117"/>
      <c r="T73" s="117"/>
      <c r="U73" s="18"/>
      <c r="V73" s="18"/>
      <c r="W73" s="18"/>
      <c r="X73" s="18"/>
      <c r="Y73" s="18"/>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74"/>
      <c r="BN73" s="74"/>
      <c r="BO73" s="74"/>
    </row>
    <row r="74" spans="1:67">
      <c r="A74" s="174"/>
      <c r="B74" s="174"/>
      <c r="C74" s="174"/>
      <c r="D74" s="174"/>
      <c r="E74" s="60" t="str">
        <f>E40</f>
        <v>Year</v>
      </c>
      <c r="F74" s="18"/>
      <c r="G74" s="206" t="str">
        <f>G40</f>
        <v>2010-11</v>
      </c>
      <c r="H74" s="206" t="str">
        <f t="shared" ref="H74:P74" si="2">H40</f>
        <v>2011-12</v>
      </c>
      <c r="I74" s="206" t="str">
        <f t="shared" si="2"/>
        <v>2012-13</v>
      </c>
      <c r="J74" s="206" t="str">
        <f t="shared" si="2"/>
        <v>2013-14</v>
      </c>
      <c r="K74" s="206" t="str">
        <f t="shared" si="2"/>
        <v>2014-15</v>
      </c>
      <c r="L74" s="206" t="str">
        <f t="shared" si="2"/>
        <v>2015-16</v>
      </c>
      <c r="M74" s="206" t="str">
        <f t="shared" si="2"/>
        <v>2016-17</v>
      </c>
      <c r="N74" s="206" t="str">
        <f t="shared" si="2"/>
        <v>2017-18</v>
      </c>
      <c r="O74" s="206" t="str">
        <f t="shared" si="2"/>
        <v>2018-19</v>
      </c>
      <c r="P74" s="206" t="str">
        <f t="shared" si="2"/>
        <v>2019-20</v>
      </c>
      <c r="Q74" s="18"/>
      <c r="R74" s="17"/>
      <c r="S74" s="17"/>
      <c r="T74" s="74"/>
      <c r="U74" s="18"/>
      <c r="V74" s="18"/>
      <c r="W74" s="18"/>
      <c r="X74" s="18"/>
      <c r="Y74" s="18"/>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74"/>
      <c r="BN74" s="74"/>
      <c r="BO74" s="74"/>
    </row>
    <row r="75" spans="1:67" hidden="1" outlineLevel="1">
      <c r="A75" s="21"/>
      <c r="B75" s="21"/>
      <c r="C75" s="21"/>
      <c r="D75" s="21"/>
      <c r="E75" s="1592" t="str">
        <f>Asset1</f>
        <v>Pre 1999 Assets</v>
      </c>
      <c r="F75" s="1593"/>
      <c r="G75" s="233"/>
      <c r="H75" s="234"/>
      <c r="I75" s="234"/>
      <c r="J75" s="234"/>
      <c r="K75" s="234"/>
      <c r="L75" s="234"/>
      <c r="M75" s="234"/>
      <c r="N75" s="234"/>
      <c r="O75" s="234"/>
      <c r="P75" s="234"/>
      <c r="Q75" s="18"/>
      <c r="R75" s="17"/>
      <c r="S75" s="17"/>
      <c r="T75" s="74"/>
      <c r="U75" s="18"/>
      <c r="V75" s="18"/>
      <c r="W75" s="18"/>
      <c r="X75" s="18"/>
      <c r="Y75" s="18"/>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74"/>
      <c r="BN75" s="74"/>
      <c r="BO75" s="74"/>
    </row>
    <row r="76" spans="1:67" hidden="1" outlineLevel="1">
      <c r="A76" s="21"/>
      <c r="B76" s="21"/>
      <c r="C76" s="21"/>
      <c r="D76" s="21"/>
      <c r="E76" s="1592" t="str">
        <f>Asset2</f>
        <v>Post 1999-2010 Assets</v>
      </c>
      <c r="F76" s="1593"/>
      <c r="G76" s="101"/>
      <c r="H76" s="102"/>
      <c r="I76" s="102"/>
      <c r="J76" s="102"/>
      <c r="K76" s="102"/>
      <c r="L76" s="102"/>
      <c r="M76" s="102"/>
      <c r="N76" s="102"/>
      <c r="O76" s="102"/>
      <c r="P76" s="102"/>
      <c r="Q76" s="18"/>
      <c r="R76" s="17"/>
      <c r="S76" s="17"/>
      <c r="T76" s="74"/>
      <c r="U76" s="18"/>
      <c r="V76" s="18"/>
      <c r="W76" s="18"/>
      <c r="X76" s="18"/>
      <c r="Y76" s="18"/>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74"/>
      <c r="BN76" s="74"/>
      <c r="BO76" s="74"/>
    </row>
    <row r="77" spans="1:67" hidden="1" outlineLevel="1">
      <c r="A77" s="174"/>
      <c r="B77" s="174"/>
      <c r="C77" s="174"/>
      <c r="D77" s="174"/>
      <c r="E77" s="1592" t="str">
        <f>Asset3</f>
        <v>New Capex (Post 2010)</v>
      </c>
      <c r="F77" s="1593"/>
      <c r="G77" s="101"/>
      <c r="H77" s="102"/>
      <c r="I77" s="102"/>
      <c r="J77" s="102"/>
      <c r="K77" s="102"/>
      <c r="L77" s="102"/>
      <c r="M77" s="102"/>
      <c r="N77" s="102"/>
      <c r="O77" s="102"/>
      <c r="P77" s="102"/>
      <c r="Q77" s="18"/>
      <c r="R77" s="17"/>
      <c r="S77" s="17"/>
      <c r="T77" s="74"/>
      <c r="U77" s="18"/>
      <c r="V77" s="18"/>
      <c r="W77" s="18"/>
      <c r="X77" s="18"/>
      <c r="Y77" s="18"/>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74"/>
      <c r="BN77" s="74"/>
      <c r="BO77" s="74"/>
    </row>
    <row r="78" spans="1:67" hidden="1" outlineLevel="1">
      <c r="A78" s="21"/>
      <c r="B78" s="21"/>
      <c r="C78" s="21"/>
      <c r="D78" s="21"/>
      <c r="E78" s="1592">
        <f>Asset4</f>
        <v>0</v>
      </c>
      <c r="F78" s="1593"/>
      <c r="G78" s="101"/>
      <c r="H78" s="102"/>
      <c r="I78" s="102"/>
      <c r="J78" s="102"/>
      <c r="K78" s="102"/>
      <c r="L78" s="102"/>
      <c r="M78" s="102"/>
      <c r="N78" s="102"/>
      <c r="O78" s="102"/>
      <c r="P78" s="102"/>
      <c r="Q78" s="18"/>
      <c r="R78" s="17"/>
      <c r="S78" s="17"/>
      <c r="T78" s="74"/>
      <c r="U78" s="18"/>
      <c r="V78" s="18"/>
      <c r="W78" s="18"/>
      <c r="X78" s="18"/>
      <c r="Y78" s="18"/>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74"/>
      <c r="BN78" s="74"/>
      <c r="BO78" s="74"/>
    </row>
    <row r="79" spans="1:67" hidden="1" outlineLevel="1">
      <c r="A79" s="21"/>
      <c r="B79" s="21"/>
      <c r="C79" s="21"/>
      <c r="D79" s="21"/>
      <c r="E79" s="1592">
        <f>Asset5</f>
        <v>0</v>
      </c>
      <c r="F79" s="1593"/>
      <c r="G79" s="101"/>
      <c r="H79" s="102"/>
      <c r="I79" s="102"/>
      <c r="J79" s="102"/>
      <c r="K79" s="102"/>
      <c r="L79" s="102"/>
      <c r="M79" s="102"/>
      <c r="N79" s="102"/>
      <c r="O79" s="102"/>
      <c r="P79" s="102"/>
      <c r="Q79" s="18"/>
      <c r="R79" s="17"/>
      <c r="S79" s="17"/>
      <c r="T79" s="74"/>
      <c r="U79" s="18"/>
      <c r="V79" s="18"/>
      <c r="W79" s="18"/>
      <c r="X79" s="18"/>
      <c r="Y79" s="18"/>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74"/>
      <c r="BN79" s="74"/>
      <c r="BO79" s="74"/>
    </row>
    <row r="80" spans="1:67" hidden="1" outlineLevel="1">
      <c r="A80" s="174"/>
      <c r="B80" s="174"/>
      <c r="C80" s="174"/>
      <c r="D80" s="174"/>
      <c r="E80" s="1592">
        <f>Asset6</f>
        <v>0</v>
      </c>
      <c r="F80" s="1593"/>
      <c r="G80" s="101"/>
      <c r="H80" s="102"/>
      <c r="I80" s="102"/>
      <c r="J80" s="102"/>
      <c r="K80" s="102"/>
      <c r="L80" s="102"/>
      <c r="M80" s="102"/>
      <c r="N80" s="102"/>
      <c r="O80" s="102"/>
      <c r="P80" s="102"/>
      <c r="Q80" s="18"/>
      <c r="R80" s="17"/>
      <c r="S80" s="17"/>
      <c r="T80" s="74"/>
      <c r="U80" s="18"/>
      <c r="V80" s="18"/>
      <c r="W80" s="18"/>
      <c r="X80" s="18"/>
      <c r="Y80" s="18"/>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74"/>
      <c r="BN80" s="74"/>
      <c r="BO80" s="74"/>
    </row>
    <row r="81" spans="1:67" hidden="1" outlineLevel="1">
      <c r="A81" s="21"/>
      <c r="B81" s="21"/>
      <c r="C81" s="21"/>
      <c r="D81" s="21"/>
      <c r="E81" s="1592">
        <f>Asset7</f>
        <v>0</v>
      </c>
      <c r="F81" s="1593"/>
      <c r="G81" s="101"/>
      <c r="H81" s="102"/>
      <c r="I81" s="102"/>
      <c r="J81" s="102"/>
      <c r="K81" s="102"/>
      <c r="L81" s="102"/>
      <c r="M81" s="102"/>
      <c r="N81" s="102"/>
      <c r="O81" s="102"/>
      <c r="P81" s="102"/>
      <c r="Q81" s="18"/>
      <c r="R81" s="17"/>
      <c r="S81" s="17"/>
      <c r="T81" s="74"/>
      <c r="U81" s="18"/>
      <c r="V81" s="18"/>
      <c r="W81" s="18"/>
      <c r="X81" s="18"/>
      <c r="Y81" s="18"/>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74"/>
      <c r="BN81" s="74"/>
      <c r="BO81" s="74"/>
    </row>
    <row r="82" spans="1:67" hidden="1" outlineLevel="1">
      <c r="A82" s="21"/>
      <c r="B82" s="21"/>
      <c r="C82" s="21"/>
      <c r="D82" s="21"/>
      <c r="E82" s="1592">
        <f>Asset8</f>
        <v>0</v>
      </c>
      <c r="F82" s="1593"/>
      <c r="G82" s="101"/>
      <c r="H82" s="102"/>
      <c r="I82" s="102"/>
      <c r="J82" s="102"/>
      <c r="K82" s="102"/>
      <c r="L82" s="102"/>
      <c r="M82" s="102"/>
      <c r="N82" s="102"/>
      <c r="O82" s="102"/>
      <c r="P82" s="102"/>
      <c r="Q82" s="18"/>
      <c r="R82" s="17"/>
      <c r="S82" s="17"/>
      <c r="T82" s="74"/>
      <c r="U82" s="18"/>
      <c r="V82" s="18"/>
      <c r="W82" s="18"/>
      <c r="X82" s="18"/>
      <c r="Y82" s="18"/>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74"/>
      <c r="BN82" s="74"/>
      <c r="BO82" s="74"/>
    </row>
    <row r="83" spans="1:67" hidden="1" outlineLevel="1">
      <c r="A83" s="174"/>
      <c r="B83" s="174"/>
      <c r="C83" s="174"/>
      <c r="D83" s="174"/>
      <c r="E83" s="1592">
        <f>Asset9</f>
        <v>0</v>
      </c>
      <c r="F83" s="1593"/>
      <c r="G83" s="101"/>
      <c r="H83" s="102"/>
      <c r="I83" s="102"/>
      <c r="J83" s="102"/>
      <c r="K83" s="102"/>
      <c r="L83" s="102"/>
      <c r="M83" s="102"/>
      <c r="N83" s="102"/>
      <c r="O83" s="102"/>
      <c r="P83" s="102"/>
      <c r="Q83" s="18"/>
      <c r="R83" s="17"/>
      <c r="S83" s="17"/>
      <c r="T83" s="74"/>
      <c r="U83" s="18"/>
      <c r="V83" s="18"/>
      <c r="W83" s="18"/>
      <c r="X83" s="18"/>
      <c r="Y83" s="18"/>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74"/>
      <c r="BN83" s="74"/>
      <c r="BO83" s="74"/>
    </row>
    <row r="84" spans="1:67" hidden="1" outlineLevel="1">
      <c r="A84" s="174"/>
      <c r="B84" s="174"/>
      <c r="C84" s="174"/>
      <c r="D84" s="174"/>
      <c r="E84" s="1592">
        <f>Asset10</f>
        <v>0</v>
      </c>
      <c r="F84" s="1593"/>
      <c r="G84" s="101"/>
      <c r="H84" s="102"/>
      <c r="I84" s="102"/>
      <c r="J84" s="102"/>
      <c r="K84" s="102"/>
      <c r="L84" s="102"/>
      <c r="M84" s="102"/>
      <c r="N84" s="102"/>
      <c r="O84" s="102"/>
      <c r="P84" s="102"/>
      <c r="Q84" s="18"/>
      <c r="R84" s="17"/>
      <c r="S84" s="17"/>
      <c r="T84" s="74"/>
      <c r="U84" s="18"/>
      <c r="V84" s="18"/>
      <c r="W84" s="18"/>
      <c r="X84" s="18"/>
      <c r="Y84" s="18"/>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74"/>
      <c r="BN84" s="74"/>
      <c r="BO84" s="74"/>
    </row>
    <row r="85" spans="1:67" hidden="1" outlineLevel="1">
      <c r="A85" s="174"/>
      <c r="B85" s="174"/>
      <c r="C85" s="174"/>
      <c r="D85" s="174"/>
      <c r="E85" s="1592">
        <f>Asset11</f>
        <v>0</v>
      </c>
      <c r="F85" s="1593"/>
      <c r="G85" s="101"/>
      <c r="H85" s="102"/>
      <c r="I85" s="102"/>
      <c r="J85" s="102"/>
      <c r="K85" s="102"/>
      <c r="L85" s="102"/>
      <c r="M85" s="102"/>
      <c r="N85" s="102"/>
      <c r="O85" s="102"/>
      <c r="P85" s="102"/>
      <c r="Q85" s="18"/>
      <c r="R85" s="17"/>
      <c r="S85" s="17"/>
      <c r="T85" s="74"/>
      <c r="U85" s="18"/>
      <c r="V85" s="18"/>
      <c r="W85" s="18"/>
      <c r="X85" s="18"/>
      <c r="Y85" s="18"/>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74"/>
      <c r="BN85" s="74"/>
      <c r="BO85" s="74"/>
    </row>
    <row r="86" spans="1:67" hidden="1" outlineLevel="1">
      <c r="A86" s="174"/>
      <c r="B86" s="174"/>
      <c r="C86" s="174"/>
      <c r="D86" s="174"/>
      <c r="E86" s="1592">
        <f>Asset12</f>
        <v>0</v>
      </c>
      <c r="F86" s="1593"/>
      <c r="G86" s="101"/>
      <c r="H86" s="102"/>
      <c r="I86" s="102"/>
      <c r="J86" s="102"/>
      <c r="K86" s="102"/>
      <c r="L86" s="102"/>
      <c r="M86" s="102"/>
      <c r="N86" s="102"/>
      <c r="O86" s="102"/>
      <c r="P86" s="102"/>
      <c r="Q86" s="18"/>
      <c r="R86" s="17"/>
      <c r="S86" s="17"/>
      <c r="T86" s="74"/>
      <c r="U86" s="18"/>
      <c r="V86" s="18"/>
      <c r="W86" s="18"/>
      <c r="X86" s="18"/>
      <c r="Y86" s="18"/>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74"/>
      <c r="BN86" s="74"/>
      <c r="BO86" s="74"/>
    </row>
    <row r="87" spans="1:67" hidden="1" outlineLevel="1">
      <c r="A87" s="174"/>
      <c r="B87" s="174"/>
      <c r="C87" s="174"/>
      <c r="D87" s="174"/>
      <c r="E87" s="1592">
        <f>Asset13</f>
        <v>0</v>
      </c>
      <c r="F87" s="1593"/>
      <c r="G87" s="101"/>
      <c r="H87" s="102"/>
      <c r="I87" s="102"/>
      <c r="J87" s="102"/>
      <c r="K87" s="102"/>
      <c r="L87" s="102"/>
      <c r="M87" s="102"/>
      <c r="N87" s="102"/>
      <c r="O87" s="102"/>
      <c r="P87" s="102"/>
      <c r="Q87" s="18"/>
      <c r="R87" s="17"/>
      <c r="S87" s="17"/>
      <c r="T87" s="74"/>
      <c r="U87" s="18"/>
      <c r="V87" s="18"/>
      <c r="W87" s="18"/>
      <c r="X87" s="18"/>
      <c r="Y87" s="18"/>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74"/>
      <c r="BN87" s="74"/>
      <c r="BO87" s="74"/>
    </row>
    <row r="88" spans="1:67" hidden="1" outlineLevel="1">
      <c r="A88" s="174"/>
      <c r="B88" s="174"/>
      <c r="C88" s="174"/>
      <c r="D88" s="174"/>
      <c r="E88" s="1592">
        <f>Asset14</f>
        <v>0</v>
      </c>
      <c r="F88" s="1593"/>
      <c r="G88" s="101"/>
      <c r="H88" s="102"/>
      <c r="I88" s="102"/>
      <c r="J88" s="102"/>
      <c r="K88" s="102"/>
      <c r="L88" s="102"/>
      <c r="M88" s="102"/>
      <c r="N88" s="102"/>
      <c r="O88" s="102"/>
      <c r="P88" s="102"/>
      <c r="Q88" s="18"/>
      <c r="R88" s="17"/>
      <c r="S88" s="17"/>
      <c r="T88" s="74"/>
      <c r="U88" s="18"/>
      <c r="V88" s="18"/>
      <c r="W88" s="18"/>
      <c r="X88" s="18"/>
      <c r="Y88" s="18"/>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74"/>
      <c r="BN88" s="74"/>
      <c r="BO88" s="74"/>
    </row>
    <row r="89" spans="1:67" hidden="1" outlineLevel="1">
      <c r="A89" s="174"/>
      <c r="B89" s="174"/>
      <c r="C89" s="174"/>
      <c r="D89" s="174"/>
      <c r="E89" s="1592">
        <f>Asset15</f>
        <v>0</v>
      </c>
      <c r="F89" s="1593"/>
      <c r="G89" s="101"/>
      <c r="H89" s="102"/>
      <c r="I89" s="102"/>
      <c r="J89" s="102"/>
      <c r="K89" s="102"/>
      <c r="L89" s="102"/>
      <c r="M89" s="102"/>
      <c r="N89" s="102"/>
      <c r="O89" s="102"/>
      <c r="P89" s="102"/>
      <c r="Q89" s="18"/>
      <c r="R89" s="17"/>
      <c r="S89" s="17"/>
      <c r="T89" s="74"/>
      <c r="U89" s="18"/>
      <c r="V89" s="18"/>
      <c r="W89" s="18"/>
      <c r="X89" s="18"/>
      <c r="Y89" s="18"/>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74"/>
      <c r="BN89" s="74"/>
      <c r="BO89" s="74"/>
    </row>
    <row r="90" spans="1:67" hidden="1" outlineLevel="1">
      <c r="A90" s="174"/>
      <c r="B90" s="174"/>
      <c r="C90" s="174"/>
      <c r="D90" s="174"/>
      <c r="E90" s="1592">
        <f>Asset16</f>
        <v>0</v>
      </c>
      <c r="F90" s="1593"/>
      <c r="G90" s="101"/>
      <c r="H90" s="102"/>
      <c r="I90" s="102"/>
      <c r="J90" s="102"/>
      <c r="K90" s="102"/>
      <c r="L90" s="102"/>
      <c r="M90" s="102"/>
      <c r="N90" s="102"/>
      <c r="O90" s="102"/>
      <c r="P90" s="102"/>
      <c r="Q90" s="18"/>
      <c r="R90" s="17"/>
      <c r="S90" s="17"/>
      <c r="T90" s="74"/>
      <c r="U90" s="18"/>
      <c r="V90" s="18"/>
      <c r="W90" s="18"/>
      <c r="X90" s="18"/>
      <c r="Y90" s="18"/>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74"/>
      <c r="BN90" s="74"/>
      <c r="BO90" s="74"/>
    </row>
    <row r="91" spans="1:67" hidden="1" outlineLevel="1">
      <c r="A91" s="174"/>
      <c r="B91" s="174"/>
      <c r="C91" s="174"/>
      <c r="D91" s="174"/>
      <c r="E91" s="1592">
        <f>Asset17</f>
        <v>0</v>
      </c>
      <c r="F91" s="1593"/>
      <c r="G91" s="101"/>
      <c r="H91" s="102"/>
      <c r="I91" s="102"/>
      <c r="J91" s="102"/>
      <c r="K91" s="102"/>
      <c r="L91" s="102"/>
      <c r="M91" s="102"/>
      <c r="N91" s="102"/>
      <c r="O91" s="102"/>
      <c r="P91" s="102"/>
      <c r="Q91" s="18"/>
      <c r="R91" s="17"/>
      <c r="S91" s="17"/>
      <c r="T91" s="74"/>
      <c r="U91" s="18"/>
      <c r="V91" s="18"/>
      <c r="W91" s="18"/>
      <c r="X91" s="18"/>
      <c r="Y91" s="18"/>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74"/>
      <c r="BN91" s="74"/>
      <c r="BO91" s="74"/>
    </row>
    <row r="92" spans="1:67" hidden="1" outlineLevel="1">
      <c r="A92" s="174"/>
      <c r="B92" s="174"/>
      <c r="C92" s="174"/>
      <c r="D92" s="174"/>
      <c r="E92" s="1592">
        <f>Asset18</f>
        <v>0</v>
      </c>
      <c r="F92" s="1593"/>
      <c r="G92" s="101"/>
      <c r="H92" s="102"/>
      <c r="I92" s="102"/>
      <c r="J92" s="102"/>
      <c r="K92" s="102"/>
      <c r="L92" s="102"/>
      <c r="M92" s="102"/>
      <c r="N92" s="102"/>
      <c r="O92" s="102"/>
      <c r="P92" s="102"/>
      <c r="Q92" s="18"/>
      <c r="R92" s="17"/>
      <c r="S92" s="17"/>
      <c r="T92" s="74"/>
      <c r="U92" s="18"/>
      <c r="V92" s="18"/>
      <c r="W92" s="18"/>
      <c r="X92" s="18"/>
      <c r="Y92" s="18"/>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74"/>
      <c r="BN92" s="74"/>
      <c r="BO92" s="74"/>
    </row>
    <row r="93" spans="1:67" hidden="1" outlineLevel="1">
      <c r="A93" s="174"/>
      <c r="B93" s="174"/>
      <c r="C93" s="174"/>
      <c r="D93" s="174"/>
      <c r="E93" s="1592">
        <f>Asset19</f>
        <v>0</v>
      </c>
      <c r="F93" s="1593"/>
      <c r="G93" s="101"/>
      <c r="H93" s="102"/>
      <c r="I93" s="102"/>
      <c r="J93" s="102"/>
      <c r="K93" s="102"/>
      <c r="L93" s="102"/>
      <c r="M93" s="102"/>
      <c r="N93" s="102"/>
      <c r="O93" s="102"/>
      <c r="P93" s="102"/>
      <c r="Q93" s="18"/>
      <c r="R93" s="17"/>
      <c r="S93" s="17"/>
      <c r="T93" s="74"/>
      <c r="U93" s="18"/>
      <c r="V93" s="18"/>
      <c r="W93" s="18"/>
      <c r="X93" s="18"/>
      <c r="Y93" s="18"/>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74"/>
      <c r="BN93" s="74"/>
      <c r="BO93" s="74"/>
    </row>
    <row r="94" spans="1:67" hidden="1" outlineLevel="1">
      <c r="A94" s="21"/>
      <c r="B94" s="21"/>
      <c r="C94" s="21"/>
      <c r="D94" s="21"/>
      <c r="E94" s="1592">
        <f>Asset20</f>
        <v>0</v>
      </c>
      <c r="F94" s="1593"/>
      <c r="G94" s="101"/>
      <c r="H94" s="102"/>
      <c r="I94" s="102"/>
      <c r="J94" s="102"/>
      <c r="K94" s="102"/>
      <c r="L94" s="102"/>
      <c r="M94" s="102"/>
      <c r="N94" s="102"/>
      <c r="O94" s="102"/>
      <c r="P94" s="102"/>
      <c r="Q94" s="18"/>
      <c r="R94" s="17"/>
      <c r="S94" s="17"/>
      <c r="T94" s="74"/>
      <c r="U94" s="18"/>
      <c r="V94" s="18"/>
      <c r="W94" s="18"/>
      <c r="X94" s="18"/>
      <c r="Y94" s="18"/>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74"/>
      <c r="BN94" s="74"/>
      <c r="BO94" s="74"/>
    </row>
    <row r="95" spans="1:67" hidden="1" outlineLevel="1">
      <c r="A95" s="21"/>
      <c r="B95" s="21"/>
      <c r="C95" s="21"/>
      <c r="D95" s="21"/>
      <c r="E95" s="1592">
        <f>Asset21</f>
        <v>0</v>
      </c>
      <c r="F95" s="1593"/>
      <c r="G95" s="101"/>
      <c r="H95" s="102"/>
      <c r="I95" s="102"/>
      <c r="J95" s="102"/>
      <c r="K95" s="102"/>
      <c r="L95" s="102"/>
      <c r="M95" s="102"/>
      <c r="N95" s="102"/>
      <c r="O95" s="102"/>
      <c r="P95" s="102"/>
      <c r="Q95" s="18"/>
      <c r="R95" s="17"/>
      <c r="S95" s="17"/>
      <c r="T95" s="74"/>
      <c r="U95" s="18"/>
      <c r="V95" s="18"/>
      <c r="W95" s="18"/>
      <c r="X95" s="18"/>
      <c r="Y95" s="18"/>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74"/>
      <c r="BN95" s="74"/>
      <c r="BO95" s="74"/>
    </row>
    <row r="96" spans="1:67" hidden="1" outlineLevel="1">
      <c r="A96" s="174"/>
      <c r="B96" s="174"/>
      <c r="C96" s="174"/>
      <c r="D96" s="174"/>
      <c r="E96" s="1592">
        <f>Asset22</f>
        <v>0</v>
      </c>
      <c r="F96" s="1593"/>
      <c r="G96" s="101"/>
      <c r="H96" s="102"/>
      <c r="I96" s="102"/>
      <c r="J96" s="102"/>
      <c r="K96" s="102"/>
      <c r="L96" s="102"/>
      <c r="M96" s="102"/>
      <c r="N96" s="102"/>
      <c r="O96" s="102"/>
      <c r="P96" s="102"/>
      <c r="Q96" s="18"/>
      <c r="R96" s="17"/>
      <c r="S96" s="17"/>
      <c r="T96" s="74"/>
      <c r="U96" s="18"/>
      <c r="V96" s="18"/>
      <c r="W96" s="18"/>
      <c r="X96" s="18"/>
      <c r="Y96" s="18"/>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74"/>
      <c r="BN96" s="74"/>
      <c r="BO96" s="74"/>
    </row>
    <row r="97" spans="1:67" hidden="1" outlineLevel="1">
      <c r="A97" s="21"/>
      <c r="B97" s="21"/>
      <c r="C97" s="21"/>
      <c r="D97" s="21"/>
      <c r="E97" s="1592">
        <f>Asset23</f>
        <v>0</v>
      </c>
      <c r="F97" s="1593"/>
      <c r="G97" s="101"/>
      <c r="H97" s="102"/>
      <c r="I97" s="102"/>
      <c r="J97" s="102"/>
      <c r="K97" s="102"/>
      <c r="L97" s="102"/>
      <c r="M97" s="102"/>
      <c r="N97" s="102"/>
      <c r="O97" s="102"/>
      <c r="P97" s="102"/>
      <c r="Q97" s="18"/>
      <c r="R97" s="17"/>
      <c r="S97" s="17"/>
      <c r="T97" s="74"/>
      <c r="U97" s="18"/>
      <c r="V97" s="18"/>
      <c r="W97" s="18"/>
      <c r="X97" s="18"/>
      <c r="Y97" s="18"/>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74"/>
      <c r="BN97" s="74"/>
      <c r="BO97" s="74"/>
    </row>
    <row r="98" spans="1:67" hidden="1" outlineLevel="1">
      <c r="A98" s="21"/>
      <c r="B98" s="21"/>
      <c r="C98" s="21"/>
      <c r="D98" s="21"/>
      <c r="E98" s="1592">
        <f>Asset24</f>
        <v>0</v>
      </c>
      <c r="F98" s="1593"/>
      <c r="G98" s="101"/>
      <c r="H98" s="102"/>
      <c r="I98" s="102"/>
      <c r="J98" s="102"/>
      <c r="K98" s="102"/>
      <c r="L98" s="102"/>
      <c r="M98" s="102"/>
      <c r="N98" s="102"/>
      <c r="O98" s="102"/>
      <c r="P98" s="102"/>
      <c r="Q98" s="18"/>
      <c r="R98" s="17"/>
      <c r="S98" s="17"/>
      <c r="T98" s="74"/>
      <c r="U98" s="18"/>
      <c r="V98" s="18"/>
      <c r="W98" s="18"/>
      <c r="X98" s="18"/>
      <c r="Y98" s="18"/>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74"/>
      <c r="BN98" s="74"/>
      <c r="BO98" s="74"/>
    </row>
    <row r="99" spans="1:67" hidden="1" outlineLevel="1">
      <c r="A99" s="174"/>
      <c r="B99" s="174"/>
      <c r="C99" s="174"/>
      <c r="D99" s="174"/>
      <c r="E99" s="1592">
        <f>Asset25</f>
        <v>0</v>
      </c>
      <c r="F99" s="1593"/>
      <c r="G99" s="101"/>
      <c r="H99" s="102"/>
      <c r="I99" s="102"/>
      <c r="J99" s="102"/>
      <c r="K99" s="102"/>
      <c r="L99" s="102"/>
      <c r="M99" s="102"/>
      <c r="N99" s="102"/>
      <c r="O99" s="102"/>
      <c r="P99" s="102"/>
      <c r="Q99" s="18"/>
      <c r="R99" s="17"/>
      <c r="S99" s="17"/>
      <c r="T99" s="74"/>
      <c r="U99" s="18"/>
      <c r="V99" s="18"/>
      <c r="W99" s="18"/>
      <c r="X99" s="18"/>
      <c r="Y99" s="18"/>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74"/>
      <c r="BN99" s="74"/>
      <c r="BO99" s="74"/>
    </row>
    <row r="100" spans="1:67" hidden="1" outlineLevel="1">
      <c r="A100" s="21"/>
      <c r="B100" s="21"/>
      <c r="C100" s="21"/>
      <c r="D100" s="21"/>
      <c r="E100" s="1592">
        <f>Asset26</f>
        <v>0</v>
      </c>
      <c r="F100" s="1593"/>
      <c r="G100" s="101"/>
      <c r="H100" s="102"/>
      <c r="I100" s="102"/>
      <c r="J100" s="102"/>
      <c r="K100" s="102"/>
      <c r="L100" s="102"/>
      <c r="M100" s="102"/>
      <c r="N100" s="102"/>
      <c r="O100" s="102"/>
      <c r="P100" s="102"/>
      <c r="Q100" s="18"/>
      <c r="R100" s="17"/>
      <c r="S100" s="17"/>
      <c r="T100" s="74"/>
      <c r="U100" s="18"/>
      <c r="V100" s="18"/>
      <c r="W100" s="18"/>
      <c r="X100" s="18"/>
      <c r="Y100" s="18"/>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74"/>
      <c r="BN100" s="74"/>
      <c r="BO100" s="74"/>
    </row>
    <row r="101" spans="1:67" hidden="1" outlineLevel="1">
      <c r="A101" s="21"/>
      <c r="B101" s="21"/>
      <c r="C101" s="21"/>
      <c r="D101" s="21"/>
      <c r="E101" s="1592">
        <f>Asset27</f>
        <v>0</v>
      </c>
      <c r="F101" s="1593"/>
      <c r="G101" s="101"/>
      <c r="H101" s="102"/>
      <c r="I101" s="102"/>
      <c r="J101" s="102"/>
      <c r="K101" s="102"/>
      <c r="L101" s="102"/>
      <c r="M101" s="102"/>
      <c r="N101" s="102"/>
      <c r="O101" s="102"/>
      <c r="P101" s="102"/>
      <c r="Q101" s="18"/>
      <c r="R101" s="17"/>
      <c r="S101" s="17"/>
      <c r="T101" s="74"/>
      <c r="U101" s="18"/>
      <c r="V101" s="18"/>
      <c r="W101" s="18"/>
      <c r="X101" s="18"/>
      <c r="Y101" s="18"/>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74"/>
      <c r="BN101" s="74"/>
      <c r="BO101" s="74"/>
    </row>
    <row r="102" spans="1:67" hidden="1" outlineLevel="1">
      <c r="A102" s="174"/>
      <c r="B102" s="174"/>
      <c r="C102" s="174"/>
      <c r="D102" s="174"/>
      <c r="E102" s="1592">
        <f>Asset28</f>
        <v>0</v>
      </c>
      <c r="F102" s="1593"/>
      <c r="G102" s="101"/>
      <c r="H102" s="102"/>
      <c r="I102" s="102"/>
      <c r="J102" s="102"/>
      <c r="K102" s="102"/>
      <c r="L102" s="102"/>
      <c r="M102" s="102"/>
      <c r="N102" s="102"/>
      <c r="O102" s="102"/>
      <c r="P102" s="102"/>
      <c r="Q102" s="18"/>
      <c r="R102" s="17"/>
      <c r="S102" s="17"/>
      <c r="T102" s="74"/>
      <c r="U102" s="18"/>
      <c r="V102" s="18"/>
      <c r="W102" s="18"/>
      <c r="X102" s="18"/>
      <c r="Y102" s="18"/>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74"/>
      <c r="BN102" s="74"/>
      <c r="BO102" s="74"/>
    </row>
    <row r="103" spans="1:67" hidden="1" outlineLevel="1">
      <c r="A103" s="21"/>
      <c r="B103" s="21"/>
      <c r="C103" s="21"/>
      <c r="D103" s="21"/>
      <c r="E103" s="1592">
        <f>Asset29</f>
        <v>0</v>
      </c>
      <c r="F103" s="1593"/>
      <c r="G103" s="101"/>
      <c r="H103" s="102"/>
      <c r="I103" s="102"/>
      <c r="J103" s="102"/>
      <c r="K103" s="102"/>
      <c r="L103" s="102"/>
      <c r="M103" s="102"/>
      <c r="N103" s="102"/>
      <c r="O103" s="102"/>
      <c r="P103" s="102"/>
      <c r="Q103" s="18"/>
      <c r="R103" s="17"/>
      <c r="S103" s="17"/>
      <c r="T103" s="74"/>
      <c r="U103" s="18"/>
      <c r="V103" s="18"/>
      <c r="W103" s="18"/>
      <c r="X103" s="18"/>
      <c r="Y103" s="18"/>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74"/>
      <c r="BN103" s="74"/>
      <c r="BO103" s="74"/>
    </row>
    <row r="104" spans="1:67" hidden="1" outlineLevel="1">
      <c r="A104" s="21"/>
      <c r="B104" s="21"/>
      <c r="C104" s="21"/>
      <c r="D104" s="21"/>
      <c r="E104" s="1592" t="str">
        <f>Asset30</f>
        <v>Equity raising costs</v>
      </c>
      <c r="F104" s="1593"/>
      <c r="G104" s="101"/>
      <c r="H104" s="102"/>
      <c r="I104" s="102"/>
      <c r="J104" s="102"/>
      <c r="K104" s="102"/>
      <c r="L104" s="102"/>
      <c r="M104" s="102"/>
      <c r="N104" s="102"/>
      <c r="O104" s="102"/>
      <c r="P104" s="102"/>
      <c r="Q104" s="18"/>
      <c r="R104" s="17"/>
      <c r="S104" s="17"/>
      <c r="T104" s="74"/>
      <c r="U104" s="18"/>
      <c r="V104" s="18"/>
      <c r="W104" s="18"/>
      <c r="X104" s="18"/>
      <c r="Y104" s="18"/>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74"/>
      <c r="BN104" s="74"/>
      <c r="BO104" s="74"/>
    </row>
    <row r="105" spans="1:67" collapsed="1">
      <c r="A105" s="174"/>
      <c r="B105" s="174"/>
      <c r="C105" s="174"/>
      <c r="D105" s="174"/>
      <c r="E105" s="1592" t="s">
        <v>83</v>
      </c>
      <c r="F105" s="1592"/>
      <c r="G105" s="203">
        <f t="shared" ref="G105:P105" si="3">SUM(G75:G104)</f>
        <v>0</v>
      </c>
      <c r="H105" s="203">
        <f t="shared" si="3"/>
        <v>0</v>
      </c>
      <c r="I105" s="203">
        <f t="shared" si="3"/>
        <v>0</v>
      </c>
      <c r="J105" s="203">
        <f>SUM(J75:J104)</f>
        <v>0</v>
      </c>
      <c r="K105" s="203">
        <f t="shared" si="3"/>
        <v>0</v>
      </c>
      <c r="L105" s="203">
        <f t="shared" si="3"/>
        <v>0</v>
      </c>
      <c r="M105" s="203">
        <f t="shared" si="3"/>
        <v>0</v>
      </c>
      <c r="N105" s="203">
        <f t="shared" si="3"/>
        <v>0</v>
      </c>
      <c r="O105" s="203">
        <f t="shared" si="3"/>
        <v>0</v>
      </c>
      <c r="P105" s="203">
        <f t="shared" si="3"/>
        <v>0</v>
      </c>
      <c r="Q105" s="182"/>
      <c r="R105" s="17"/>
      <c r="S105" s="17"/>
      <c r="T105" s="74"/>
      <c r="U105" s="18"/>
      <c r="V105" s="18"/>
      <c r="W105" s="18"/>
      <c r="X105" s="18"/>
      <c r="Y105" s="18"/>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74"/>
      <c r="BN105" s="74"/>
      <c r="BO105" s="74"/>
    </row>
    <row r="106" spans="1:67" ht="21" customHeight="1">
      <c r="A106" s="21"/>
      <c r="B106" s="21"/>
      <c r="C106" s="21"/>
      <c r="D106" s="21"/>
      <c r="E106" s="21"/>
      <c r="F106" s="92"/>
      <c r="G106" s="92"/>
      <c r="H106" s="92"/>
      <c r="I106" s="92"/>
      <c r="J106" s="92"/>
      <c r="K106" s="92"/>
      <c r="L106" s="92"/>
      <c r="M106" s="92"/>
      <c r="N106" s="92"/>
      <c r="O106" s="92"/>
      <c r="P106" s="92"/>
      <c r="Q106" s="204">
        <f ca="1">SUM(OFFSET(G105,0,0,1,$R$7))</f>
        <v>0</v>
      </c>
      <c r="R106" s="17"/>
      <c r="S106" s="17"/>
      <c r="T106" s="74"/>
      <c r="U106" s="18"/>
      <c r="V106" s="18"/>
      <c r="W106" s="18"/>
      <c r="X106" s="18"/>
      <c r="Y106" s="18"/>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74"/>
      <c r="BN106" s="74"/>
      <c r="BO106" s="74"/>
    </row>
    <row r="107" spans="1:67" ht="15.2" customHeight="1">
      <c r="A107" s="116"/>
      <c r="B107" s="116"/>
      <c r="C107" s="116"/>
      <c r="D107" s="116"/>
      <c r="E107" s="1594" t="str">
        <f>"Forecast Customer Contributions – As Incurred ($m Real "&amp;$F$241&amp;")"</f>
        <v>Forecast Customer Contributions – As Incurred ($m Real 2009-10)</v>
      </c>
      <c r="F107" s="1594"/>
      <c r="G107" s="1594"/>
      <c r="H107" s="191"/>
      <c r="I107" s="191"/>
      <c r="J107" s="119"/>
      <c r="K107" s="119"/>
      <c r="L107" s="117"/>
      <c r="M107" s="117"/>
      <c r="N107" s="117"/>
      <c r="O107" s="117"/>
      <c r="P107" s="117"/>
      <c r="Q107" s="116"/>
      <c r="R107" s="117"/>
      <c r="S107" s="117"/>
      <c r="T107" s="117"/>
      <c r="U107" s="18"/>
      <c r="V107" s="18"/>
      <c r="W107" s="18"/>
      <c r="X107" s="18"/>
      <c r="Y107" s="18"/>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74"/>
      <c r="BN107" s="74"/>
      <c r="BO107" s="74"/>
    </row>
    <row r="108" spans="1:67">
      <c r="A108" s="174"/>
      <c r="B108" s="174"/>
      <c r="C108" s="174"/>
      <c r="D108" s="174"/>
      <c r="E108" s="60" t="str">
        <f>E40</f>
        <v>Year</v>
      </c>
      <c r="F108" s="18"/>
      <c r="G108" s="206" t="str">
        <f>G74</f>
        <v>2010-11</v>
      </c>
      <c r="H108" s="206" t="str">
        <f t="shared" ref="H108:P108" si="4">H74</f>
        <v>2011-12</v>
      </c>
      <c r="I108" s="206" t="str">
        <f t="shared" si="4"/>
        <v>2012-13</v>
      </c>
      <c r="J108" s="206" t="str">
        <f t="shared" si="4"/>
        <v>2013-14</v>
      </c>
      <c r="K108" s="206" t="str">
        <f t="shared" si="4"/>
        <v>2014-15</v>
      </c>
      <c r="L108" s="206" t="str">
        <f t="shared" si="4"/>
        <v>2015-16</v>
      </c>
      <c r="M108" s="206" t="str">
        <f t="shared" si="4"/>
        <v>2016-17</v>
      </c>
      <c r="N108" s="206" t="str">
        <f t="shared" si="4"/>
        <v>2017-18</v>
      </c>
      <c r="O108" s="206" t="str">
        <f t="shared" si="4"/>
        <v>2018-19</v>
      </c>
      <c r="P108" s="206" t="str">
        <f t="shared" si="4"/>
        <v>2019-20</v>
      </c>
      <c r="Q108" s="18"/>
      <c r="R108" s="17"/>
      <c r="S108" s="17"/>
      <c r="T108" s="74"/>
      <c r="U108" s="18"/>
      <c r="V108" s="18"/>
      <c r="W108" s="18"/>
      <c r="X108" s="18"/>
      <c r="Y108" s="18"/>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74"/>
      <c r="BN108" s="74"/>
      <c r="BO108" s="74"/>
    </row>
    <row r="109" spans="1:67" hidden="1" outlineLevel="1">
      <c r="A109" s="21"/>
      <c r="B109" s="21"/>
      <c r="C109" s="21"/>
      <c r="D109" s="21"/>
      <c r="E109" s="1592" t="str">
        <f>Asset1</f>
        <v>Pre 1999 Assets</v>
      </c>
      <c r="F109" s="1593"/>
      <c r="G109" s="1440"/>
      <c r="H109" s="234"/>
      <c r="I109" s="234"/>
      <c r="J109" s="234"/>
      <c r="K109" s="234"/>
      <c r="L109" s="234"/>
      <c r="M109" s="234"/>
      <c r="N109" s="234"/>
      <c r="O109" s="234"/>
      <c r="P109" s="234"/>
      <c r="Q109" s="18"/>
      <c r="R109" s="17"/>
      <c r="S109" s="371"/>
      <c r="T109" s="727"/>
      <c r="U109" s="240"/>
      <c r="V109" s="240"/>
      <c r="W109" s="240"/>
      <c r="X109" s="18"/>
      <c r="Y109" s="18"/>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74"/>
      <c r="BN109" s="74"/>
      <c r="BO109" s="74"/>
    </row>
    <row r="110" spans="1:67" hidden="1" outlineLevel="1">
      <c r="A110" s="21"/>
      <c r="B110" s="21"/>
      <c r="C110" s="21"/>
      <c r="D110" s="21"/>
      <c r="E110" s="1592" t="str">
        <f>Asset2</f>
        <v>Post 1999-2010 Assets</v>
      </c>
      <c r="F110" s="1593"/>
      <c r="G110" s="101"/>
      <c r="H110" s="102"/>
      <c r="I110" s="102"/>
      <c r="J110" s="102"/>
      <c r="K110" s="102"/>
      <c r="L110" s="102"/>
      <c r="M110" s="102"/>
      <c r="N110" s="102"/>
      <c r="O110" s="102"/>
      <c r="P110" s="102"/>
      <c r="Q110" s="18"/>
      <c r="R110" s="17"/>
      <c r="S110" s="371"/>
      <c r="T110" s="727"/>
      <c r="U110" s="240"/>
      <c r="V110" s="240"/>
      <c r="W110" s="240"/>
      <c r="X110" s="18"/>
      <c r="Y110" s="18"/>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74"/>
      <c r="BN110" s="74"/>
      <c r="BO110" s="74"/>
    </row>
    <row r="111" spans="1:67" hidden="1" outlineLevel="1">
      <c r="A111" s="174"/>
      <c r="B111" s="174"/>
      <c r="C111" s="174"/>
      <c r="D111" s="174"/>
      <c r="E111" s="1592" t="str">
        <f>Asset3</f>
        <v>New Capex (Post 2010)</v>
      </c>
      <c r="F111" s="1593"/>
      <c r="G111" s="1445">
        <f>'[2]PTRM IO'!R51</f>
        <v>4.2746279792746114</v>
      </c>
      <c r="H111" s="1445">
        <f>'[2]PTRM IO'!S51</f>
        <v>3.7955991983967943</v>
      </c>
      <c r="I111" s="1445">
        <f>'[2]PTRM IO'!T51</f>
        <v>2.826074656188605</v>
      </c>
      <c r="J111" s="1445">
        <f>'[2]PTRM IO'!U51</f>
        <v>3.5105000000000004</v>
      </c>
      <c r="K111" s="1445">
        <f>'[2]PTRM IO'!V51</f>
        <v>1.9111578947368419</v>
      </c>
      <c r="L111" s="102"/>
      <c r="M111" s="102"/>
      <c r="N111" s="102"/>
      <c r="O111" s="102"/>
      <c r="P111" s="102"/>
      <c r="Q111" s="18"/>
      <c r="R111" s="17"/>
      <c r="S111" s="371"/>
      <c r="T111" s="727"/>
      <c r="U111" s="240"/>
      <c r="V111" s="240"/>
      <c r="W111" s="240"/>
      <c r="X111" s="18"/>
      <c r="Y111" s="18"/>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74"/>
      <c r="BN111" s="74"/>
      <c r="BO111" s="74"/>
    </row>
    <row r="112" spans="1:67" hidden="1" outlineLevel="1">
      <c r="A112" s="21"/>
      <c r="B112" s="21"/>
      <c r="C112" s="21"/>
      <c r="D112" s="21"/>
      <c r="E112" s="1592">
        <f>Asset4</f>
        <v>0</v>
      </c>
      <c r="F112" s="1593"/>
      <c r="G112" s="101"/>
      <c r="H112" s="102"/>
      <c r="I112" s="102"/>
      <c r="J112" s="102"/>
      <c r="K112" s="102"/>
      <c r="L112" s="102"/>
      <c r="M112" s="102"/>
      <c r="N112" s="102"/>
      <c r="O112" s="102"/>
      <c r="P112" s="102"/>
      <c r="Q112" s="18"/>
      <c r="R112" s="17"/>
      <c r="S112" s="371"/>
      <c r="T112" s="727"/>
      <c r="U112" s="240"/>
      <c r="V112" s="240"/>
      <c r="W112" s="240"/>
      <c r="X112" s="18"/>
      <c r="Y112" s="18"/>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74"/>
      <c r="BN112" s="74"/>
      <c r="BO112" s="74"/>
    </row>
    <row r="113" spans="1:67" hidden="1" outlineLevel="1">
      <c r="A113" s="21"/>
      <c r="B113" s="21"/>
      <c r="C113" s="21"/>
      <c r="D113" s="21"/>
      <c r="E113" s="1592">
        <f>Asset5</f>
        <v>0</v>
      </c>
      <c r="F113" s="1593"/>
      <c r="G113" s="101"/>
      <c r="H113" s="102"/>
      <c r="I113" s="102"/>
      <c r="J113" s="102"/>
      <c r="K113" s="102"/>
      <c r="L113" s="102"/>
      <c r="M113" s="102"/>
      <c r="N113" s="102"/>
      <c r="O113" s="102"/>
      <c r="P113" s="102"/>
      <c r="Q113" s="18"/>
      <c r="R113" s="17"/>
      <c r="S113" s="371"/>
      <c r="T113" s="727"/>
      <c r="U113" s="240"/>
      <c r="V113" s="240"/>
      <c r="W113" s="240"/>
      <c r="X113" s="18"/>
      <c r="Y113" s="18"/>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74"/>
      <c r="BN113" s="74"/>
      <c r="BO113" s="74"/>
    </row>
    <row r="114" spans="1:67" hidden="1" outlineLevel="1">
      <c r="A114" s="174"/>
      <c r="B114" s="174"/>
      <c r="C114" s="174"/>
      <c r="D114" s="174"/>
      <c r="E114" s="1592">
        <f>Asset6</f>
        <v>0</v>
      </c>
      <c r="F114" s="1593"/>
      <c r="G114" s="101"/>
      <c r="H114" s="102"/>
      <c r="I114" s="102"/>
      <c r="J114" s="102"/>
      <c r="K114" s="102"/>
      <c r="L114" s="102"/>
      <c r="M114" s="102"/>
      <c r="N114" s="102"/>
      <c r="O114" s="102"/>
      <c r="P114" s="102"/>
      <c r="Q114" s="18"/>
      <c r="R114" s="17"/>
      <c r="S114" s="17"/>
      <c r="T114" s="74"/>
      <c r="U114" s="18"/>
      <c r="V114" s="18"/>
      <c r="W114" s="18"/>
      <c r="X114" s="18"/>
      <c r="Y114" s="18"/>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74"/>
      <c r="BN114" s="74"/>
      <c r="BO114" s="74"/>
    </row>
    <row r="115" spans="1:67" hidden="1" outlineLevel="1">
      <c r="A115" s="21"/>
      <c r="B115" s="21"/>
      <c r="C115" s="21"/>
      <c r="D115" s="21"/>
      <c r="E115" s="1592">
        <f>Asset7</f>
        <v>0</v>
      </c>
      <c r="F115" s="1593"/>
      <c r="G115" s="101"/>
      <c r="H115" s="102"/>
      <c r="I115" s="102"/>
      <c r="J115" s="102"/>
      <c r="K115" s="102"/>
      <c r="L115" s="102"/>
      <c r="M115" s="102"/>
      <c r="N115" s="102"/>
      <c r="O115" s="102"/>
      <c r="P115" s="102"/>
      <c r="Q115" s="18"/>
      <c r="R115" s="17"/>
      <c r="S115" s="17"/>
      <c r="T115" s="74"/>
      <c r="U115" s="18"/>
      <c r="V115" s="18"/>
      <c r="W115" s="18"/>
      <c r="X115" s="18"/>
      <c r="Y115" s="18"/>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74"/>
      <c r="BN115" s="74"/>
      <c r="BO115" s="74"/>
    </row>
    <row r="116" spans="1:67" hidden="1" outlineLevel="1">
      <c r="A116" s="21"/>
      <c r="B116" s="21"/>
      <c r="C116" s="21"/>
      <c r="D116" s="21"/>
      <c r="E116" s="1592">
        <f>Asset8</f>
        <v>0</v>
      </c>
      <c r="F116" s="1593"/>
      <c r="G116" s="101"/>
      <c r="H116" s="102"/>
      <c r="I116" s="102"/>
      <c r="J116" s="102"/>
      <c r="K116" s="102"/>
      <c r="L116" s="102"/>
      <c r="M116" s="102"/>
      <c r="N116" s="102"/>
      <c r="O116" s="102"/>
      <c r="P116" s="102"/>
      <c r="Q116" s="18"/>
      <c r="R116" s="17"/>
      <c r="S116" s="17"/>
      <c r="T116" s="74"/>
      <c r="U116" s="18"/>
      <c r="V116" s="18"/>
      <c r="W116" s="18"/>
      <c r="X116" s="18"/>
      <c r="Y116" s="18"/>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74"/>
      <c r="BN116" s="74"/>
      <c r="BO116" s="74"/>
    </row>
    <row r="117" spans="1:67" hidden="1" outlineLevel="1">
      <c r="A117" s="174"/>
      <c r="B117" s="174"/>
      <c r="C117" s="174"/>
      <c r="D117" s="174"/>
      <c r="E117" s="1592">
        <f>Asset9</f>
        <v>0</v>
      </c>
      <c r="F117" s="1593"/>
      <c r="G117" s="101"/>
      <c r="H117" s="102"/>
      <c r="I117" s="102"/>
      <c r="J117" s="102"/>
      <c r="K117" s="102"/>
      <c r="L117" s="102"/>
      <c r="M117" s="102"/>
      <c r="N117" s="102"/>
      <c r="O117" s="102"/>
      <c r="P117" s="102"/>
      <c r="Q117" s="18"/>
      <c r="R117" s="17"/>
      <c r="S117" s="17"/>
      <c r="T117" s="74"/>
      <c r="U117" s="18"/>
      <c r="V117" s="18"/>
      <c r="W117" s="18"/>
      <c r="X117" s="18"/>
      <c r="Y117" s="18"/>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74"/>
      <c r="BN117" s="74"/>
      <c r="BO117" s="74"/>
    </row>
    <row r="118" spans="1:67" hidden="1" outlineLevel="1">
      <c r="A118" s="21"/>
      <c r="B118" s="21"/>
      <c r="C118" s="21"/>
      <c r="D118" s="21"/>
      <c r="E118" s="1592">
        <f>Asset10</f>
        <v>0</v>
      </c>
      <c r="F118" s="1593"/>
      <c r="G118" s="101"/>
      <c r="H118" s="102"/>
      <c r="I118" s="102"/>
      <c r="J118" s="102"/>
      <c r="K118" s="102"/>
      <c r="L118" s="102"/>
      <c r="M118" s="102"/>
      <c r="N118" s="102"/>
      <c r="O118" s="102"/>
      <c r="P118" s="102"/>
      <c r="Q118" s="18"/>
      <c r="R118" s="17"/>
      <c r="S118" s="17"/>
      <c r="T118" s="74"/>
      <c r="U118" s="18"/>
      <c r="V118" s="18"/>
      <c r="W118" s="18"/>
      <c r="X118" s="18"/>
      <c r="Y118" s="18"/>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74"/>
      <c r="BN118" s="74"/>
      <c r="BO118" s="74"/>
    </row>
    <row r="119" spans="1:67" hidden="1" outlineLevel="1">
      <c r="A119" s="21"/>
      <c r="B119" s="21"/>
      <c r="C119" s="21"/>
      <c r="D119" s="21"/>
      <c r="E119" s="1592">
        <f>Asset11</f>
        <v>0</v>
      </c>
      <c r="F119" s="1593"/>
      <c r="G119" s="101"/>
      <c r="H119" s="102"/>
      <c r="I119" s="102"/>
      <c r="J119" s="102"/>
      <c r="K119" s="102"/>
      <c r="L119" s="102"/>
      <c r="M119" s="102"/>
      <c r="N119" s="102"/>
      <c r="O119" s="102"/>
      <c r="P119" s="102"/>
      <c r="Q119" s="18"/>
      <c r="R119" s="17"/>
      <c r="S119" s="17"/>
      <c r="T119" s="74"/>
      <c r="U119" s="18"/>
      <c r="V119" s="18"/>
      <c r="W119" s="18"/>
      <c r="X119" s="18"/>
      <c r="Y119" s="18"/>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74"/>
      <c r="BN119" s="74"/>
      <c r="BO119" s="74"/>
    </row>
    <row r="120" spans="1:67" hidden="1" outlineLevel="1">
      <c r="A120" s="21"/>
      <c r="B120" s="21"/>
      <c r="C120" s="21"/>
      <c r="D120" s="21"/>
      <c r="E120" s="1592">
        <f>Asset12</f>
        <v>0</v>
      </c>
      <c r="F120" s="1593"/>
      <c r="G120" s="101"/>
      <c r="H120" s="102"/>
      <c r="I120" s="102"/>
      <c r="J120" s="102"/>
      <c r="K120" s="102"/>
      <c r="L120" s="102"/>
      <c r="M120" s="102"/>
      <c r="N120" s="102"/>
      <c r="O120" s="102"/>
      <c r="P120" s="102"/>
      <c r="Q120" s="18"/>
      <c r="R120" s="17"/>
      <c r="S120" s="17"/>
      <c r="T120" s="74"/>
      <c r="U120" s="18"/>
      <c r="V120" s="18"/>
      <c r="W120" s="18"/>
      <c r="X120" s="18"/>
      <c r="Y120" s="18"/>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74"/>
      <c r="BN120" s="74"/>
      <c r="BO120" s="74"/>
    </row>
    <row r="121" spans="1:67" hidden="1" outlineLevel="1">
      <c r="A121" s="21"/>
      <c r="B121" s="21"/>
      <c r="C121" s="21"/>
      <c r="D121" s="21"/>
      <c r="E121" s="1592">
        <f>Asset13</f>
        <v>0</v>
      </c>
      <c r="F121" s="1593"/>
      <c r="G121" s="101"/>
      <c r="H121" s="102"/>
      <c r="I121" s="102"/>
      <c r="J121" s="102"/>
      <c r="K121" s="102"/>
      <c r="L121" s="102"/>
      <c r="M121" s="102"/>
      <c r="N121" s="102"/>
      <c r="O121" s="102"/>
      <c r="P121" s="102"/>
      <c r="Q121" s="18"/>
      <c r="R121" s="17"/>
      <c r="S121" s="17"/>
      <c r="T121" s="74"/>
      <c r="U121" s="18"/>
      <c r="V121" s="18"/>
      <c r="W121" s="18"/>
      <c r="X121" s="18"/>
      <c r="Y121" s="18"/>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74"/>
      <c r="BN121" s="74"/>
      <c r="BO121" s="74"/>
    </row>
    <row r="122" spans="1:67" hidden="1" outlineLevel="1">
      <c r="A122" s="21"/>
      <c r="B122" s="21"/>
      <c r="C122" s="21"/>
      <c r="D122" s="21"/>
      <c r="E122" s="1592">
        <f>Asset14</f>
        <v>0</v>
      </c>
      <c r="F122" s="1593"/>
      <c r="G122" s="101"/>
      <c r="H122" s="102"/>
      <c r="I122" s="102"/>
      <c r="J122" s="102"/>
      <c r="K122" s="102"/>
      <c r="L122" s="102"/>
      <c r="M122" s="102"/>
      <c r="N122" s="102"/>
      <c r="O122" s="102"/>
      <c r="P122" s="102"/>
      <c r="Q122" s="18"/>
      <c r="R122" s="17"/>
      <c r="S122" s="17"/>
      <c r="T122" s="74"/>
      <c r="U122" s="18"/>
      <c r="V122" s="18"/>
      <c r="W122" s="18"/>
      <c r="X122" s="18"/>
      <c r="Y122" s="18"/>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74"/>
      <c r="BN122" s="74"/>
      <c r="BO122" s="74"/>
    </row>
    <row r="123" spans="1:67" hidden="1" outlineLevel="1">
      <c r="A123" s="21"/>
      <c r="B123" s="21"/>
      <c r="C123" s="21"/>
      <c r="D123" s="21"/>
      <c r="E123" s="1592">
        <f>Asset15</f>
        <v>0</v>
      </c>
      <c r="F123" s="1593"/>
      <c r="G123" s="101"/>
      <c r="H123" s="102"/>
      <c r="I123" s="102"/>
      <c r="J123" s="102"/>
      <c r="K123" s="102"/>
      <c r="L123" s="102"/>
      <c r="M123" s="102"/>
      <c r="N123" s="102"/>
      <c r="O123" s="102"/>
      <c r="P123" s="102"/>
      <c r="Q123" s="18"/>
      <c r="R123" s="17"/>
      <c r="S123" s="17"/>
      <c r="T123" s="74"/>
      <c r="U123" s="18"/>
      <c r="V123" s="18"/>
      <c r="W123" s="18"/>
      <c r="X123" s="18"/>
      <c r="Y123" s="18"/>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74"/>
      <c r="BN123" s="74"/>
      <c r="BO123" s="74"/>
    </row>
    <row r="124" spans="1:67" hidden="1" outlineLevel="1">
      <c r="A124" s="21"/>
      <c r="B124" s="21"/>
      <c r="C124" s="21"/>
      <c r="D124" s="21"/>
      <c r="E124" s="1592">
        <f>Asset16</f>
        <v>0</v>
      </c>
      <c r="F124" s="1593"/>
      <c r="G124" s="101"/>
      <c r="H124" s="102"/>
      <c r="I124" s="102"/>
      <c r="J124" s="102"/>
      <c r="K124" s="102"/>
      <c r="L124" s="102"/>
      <c r="M124" s="102"/>
      <c r="N124" s="102"/>
      <c r="O124" s="102"/>
      <c r="P124" s="102"/>
      <c r="Q124" s="18"/>
      <c r="R124" s="17"/>
      <c r="S124" s="17"/>
      <c r="T124" s="74"/>
      <c r="U124" s="18"/>
      <c r="V124" s="18"/>
      <c r="W124" s="18"/>
      <c r="X124" s="18"/>
      <c r="Y124" s="18"/>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0"/>
      <c r="BI124" s="240"/>
      <c r="BJ124" s="240"/>
      <c r="BK124" s="240"/>
      <c r="BL124" s="240"/>
      <c r="BM124" s="74"/>
      <c r="BN124" s="74"/>
      <c r="BO124" s="74"/>
    </row>
    <row r="125" spans="1:67" hidden="1" outlineLevel="1">
      <c r="A125" s="21"/>
      <c r="B125" s="21"/>
      <c r="C125" s="21"/>
      <c r="D125" s="21"/>
      <c r="E125" s="1592">
        <f>Asset17</f>
        <v>0</v>
      </c>
      <c r="F125" s="1593"/>
      <c r="G125" s="101"/>
      <c r="H125" s="102"/>
      <c r="I125" s="102"/>
      <c r="J125" s="102"/>
      <c r="K125" s="102"/>
      <c r="L125" s="102"/>
      <c r="M125" s="102"/>
      <c r="N125" s="102"/>
      <c r="O125" s="102"/>
      <c r="P125" s="102"/>
      <c r="Q125" s="18"/>
      <c r="R125" s="17"/>
      <c r="S125" s="17"/>
      <c r="T125" s="74"/>
      <c r="U125" s="18"/>
      <c r="V125" s="18"/>
      <c r="W125" s="18"/>
      <c r="X125" s="18"/>
      <c r="Y125" s="18"/>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c r="BM125" s="74"/>
      <c r="BN125" s="74"/>
      <c r="BO125" s="74"/>
    </row>
    <row r="126" spans="1:67" hidden="1" outlineLevel="1">
      <c r="A126" s="21"/>
      <c r="B126" s="21"/>
      <c r="C126" s="21"/>
      <c r="D126" s="21"/>
      <c r="E126" s="1592">
        <f>Asset18</f>
        <v>0</v>
      </c>
      <c r="F126" s="1593"/>
      <c r="G126" s="101"/>
      <c r="H126" s="102"/>
      <c r="I126" s="102"/>
      <c r="J126" s="102"/>
      <c r="K126" s="102"/>
      <c r="L126" s="102"/>
      <c r="M126" s="102"/>
      <c r="N126" s="102"/>
      <c r="O126" s="102"/>
      <c r="P126" s="102"/>
      <c r="Q126" s="18"/>
      <c r="R126" s="17"/>
      <c r="S126" s="17"/>
      <c r="T126" s="74"/>
      <c r="U126" s="18"/>
      <c r="V126" s="18"/>
      <c r="W126" s="18"/>
      <c r="X126" s="18"/>
      <c r="Y126" s="18"/>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c r="BA126" s="240"/>
      <c r="BB126" s="240"/>
      <c r="BC126" s="240"/>
      <c r="BD126" s="240"/>
      <c r="BE126" s="240"/>
      <c r="BF126" s="240"/>
      <c r="BG126" s="240"/>
      <c r="BH126" s="240"/>
      <c r="BI126" s="240"/>
      <c r="BJ126" s="240"/>
      <c r="BK126" s="240"/>
      <c r="BL126" s="240"/>
      <c r="BM126" s="74"/>
      <c r="BN126" s="74"/>
      <c r="BO126" s="74"/>
    </row>
    <row r="127" spans="1:67" hidden="1" outlineLevel="1">
      <c r="A127" s="21"/>
      <c r="B127" s="21"/>
      <c r="C127" s="21"/>
      <c r="D127" s="21"/>
      <c r="E127" s="1592">
        <f>Asset19</f>
        <v>0</v>
      </c>
      <c r="F127" s="1593"/>
      <c r="G127" s="101"/>
      <c r="H127" s="102"/>
      <c r="I127" s="102"/>
      <c r="J127" s="102"/>
      <c r="K127" s="102"/>
      <c r="L127" s="102"/>
      <c r="M127" s="102"/>
      <c r="N127" s="102"/>
      <c r="O127" s="102"/>
      <c r="P127" s="102"/>
      <c r="Q127" s="18"/>
      <c r="R127" s="17"/>
      <c r="S127" s="17"/>
      <c r="T127" s="74"/>
      <c r="U127" s="18"/>
      <c r="V127" s="18"/>
      <c r="W127" s="18"/>
      <c r="X127" s="18"/>
      <c r="Y127" s="18"/>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240"/>
      <c r="BE127" s="240"/>
      <c r="BF127" s="240"/>
      <c r="BG127" s="240"/>
      <c r="BH127" s="240"/>
      <c r="BI127" s="240"/>
      <c r="BJ127" s="240"/>
      <c r="BK127" s="240"/>
      <c r="BL127" s="240"/>
      <c r="BM127" s="74"/>
      <c r="BN127" s="74"/>
      <c r="BO127" s="74"/>
    </row>
    <row r="128" spans="1:67" hidden="1" outlineLevel="1">
      <c r="A128" s="21"/>
      <c r="B128" s="21"/>
      <c r="C128" s="21"/>
      <c r="D128" s="21"/>
      <c r="E128" s="1592">
        <f>Asset20</f>
        <v>0</v>
      </c>
      <c r="F128" s="1593"/>
      <c r="G128" s="101"/>
      <c r="H128" s="102"/>
      <c r="I128" s="102"/>
      <c r="J128" s="102"/>
      <c r="K128" s="102"/>
      <c r="L128" s="102"/>
      <c r="M128" s="102"/>
      <c r="N128" s="102"/>
      <c r="O128" s="102"/>
      <c r="P128" s="102"/>
      <c r="Q128" s="18"/>
      <c r="R128" s="17"/>
      <c r="S128" s="17"/>
      <c r="T128" s="74"/>
      <c r="U128" s="18"/>
      <c r="V128" s="18"/>
      <c r="W128" s="18"/>
      <c r="X128" s="18"/>
      <c r="Y128" s="18"/>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240"/>
      <c r="BE128" s="240"/>
      <c r="BF128" s="240"/>
      <c r="BG128" s="240"/>
      <c r="BH128" s="240"/>
      <c r="BI128" s="240"/>
      <c r="BJ128" s="240"/>
      <c r="BK128" s="240"/>
      <c r="BL128" s="240"/>
      <c r="BM128" s="74"/>
      <c r="BN128" s="74"/>
      <c r="BO128" s="74"/>
    </row>
    <row r="129" spans="1:67" hidden="1" outlineLevel="1">
      <c r="A129" s="21"/>
      <c r="B129" s="21"/>
      <c r="C129" s="21"/>
      <c r="D129" s="21"/>
      <c r="E129" s="1592">
        <f>Asset21</f>
        <v>0</v>
      </c>
      <c r="F129" s="1593"/>
      <c r="G129" s="101"/>
      <c r="H129" s="102"/>
      <c r="I129" s="102"/>
      <c r="J129" s="102"/>
      <c r="K129" s="102"/>
      <c r="L129" s="102"/>
      <c r="M129" s="102"/>
      <c r="N129" s="102"/>
      <c r="O129" s="102"/>
      <c r="P129" s="102"/>
      <c r="Q129" s="18"/>
      <c r="R129" s="17"/>
      <c r="S129" s="17"/>
      <c r="T129" s="74"/>
      <c r="U129" s="18"/>
      <c r="V129" s="18"/>
      <c r="W129" s="18"/>
      <c r="X129" s="18"/>
      <c r="Y129" s="18"/>
      <c r="Z129" s="240"/>
      <c r="AA129" s="240"/>
      <c r="AB129" s="240"/>
      <c r="AC129" s="240"/>
      <c r="AD129" s="240"/>
      <c r="AE129" s="240"/>
      <c r="AF129" s="240"/>
      <c r="AG129" s="240"/>
      <c r="AH129" s="240"/>
      <c r="AI129" s="240"/>
      <c r="AJ129" s="240"/>
      <c r="AK129" s="240"/>
      <c r="AL129" s="240"/>
      <c r="AM129" s="240"/>
      <c r="AN129" s="240"/>
      <c r="AO129" s="240"/>
      <c r="AP129" s="240"/>
      <c r="AQ129" s="240"/>
      <c r="AR129" s="240"/>
      <c r="AS129" s="240"/>
      <c r="AT129" s="240"/>
      <c r="AU129" s="240"/>
      <c r="AV129" s="240"/>
      <c r="AW129" s="240"/>
      <c r="AX129" s="240"/>
      <c r="AY129" s="240"/>
      <c r="AZ129" s="240"/>
      <c r="BA129" s="240"/>
      <c r="BB129" s="240"/>
      <c r="BC129" s="240"/>
      <c r="BD129" s="240"/>
      <c r="BE129" s="240"/>
      <c r="BF129" s="240"/>
      <c r="BG129" s="240"/>
      <c r="BH129" s="240"/>
      <c r="BI129" s="240"/>
      <c r="BJ129" s="240"/>
      <c r="BK129" s="240"/>
      <c r="BL129" s="240"/>
      <c r="BM129" s="74"/>
      <c r="BN129" s="74"/>
      <c r="BO129" s="74"/>
    </row>
    <row r="130" spans="1:67" hidden="1" outlineLevel="1">
      <c r="A130" s="174"/>
      <c r="B130" s="174"/>
      <c r="C130" s="174"/>
      <c r="D130" s="174"/>
      <c r="E130" s="1592">
        <f>Asset22</f>
        <v>0</v>
      </c>
      <c r="F130" s="1593"/>
      <c r="G130" s="101"/>
      <c r="H130" s="102"/>
      <c r="I130" s="102"/>
      <c r="J130" s="102"/>
      <c r="K130" s="102"/>
      <c r="L130" s="102"/>
      <c r="M130" s="102"/>
      <c r="N130" s="102"/>
      <c r="O130" s="102"/>
      <c r="P130" s="102"/>
      <c r="Q130" s="18"/>
      <c r="R130" s="17"/>
      <c r="S130" s="17"/>
      <c r="T130" s="74"/>
      <c r="U130" s="18"/>
      <c r="V130" s="18"/>
      <c r="W130" s="18"/>
      <c r="X130" s="18"/>
      <c r="Y130" s="18"/>
      <c r="Z130" s="240"/>
      <c r="AA130" s="240"/>
      <c r="AB130" s="240"/>
      <c r="AC130" s="240"/>
      <c r="AD130" s="240"/>
      <c r="AE130" s="240"/>
      <c r="AF130" s="240"/>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0"/>
      <c r="BC130" s="240"/>
      <c r="BD130" s="240"/>
      <c r="BE130" s="240"/>
      <c r="BF130" s="240"/>
      <c r="BG130" s="240"/>
      <c r="BH130" s="240"/>
      <c r="BI130" s="240"/>
      <c r="BJ130" s="240"/>
      <c r="BK130" s="240"/>
      <c r="BL130" s="240"/>
      <c r="BM130" s="74"/>
      <c r="BN130" s="74"/>
      <c r="BO130" s="74"/>
    </row>
    <row r="131" spans="1:67" hidden="1" outlineLevel="1">
      <c r="A131" s="21"/>
      <c r="B131" s="21"/>
      <c r="C131" s="21"/>
      <c r="D131" s="21"/>
      <c r="E131" s="1592">
        <f>Asset23</f>
        <v>0</v>
      </c>
      <c r="F131" s="1593"/>
      <c r="G131" s="101"/>
      <c r="H131" s="102"/>
      <c r="I131" s="102"/>
      <c r="J131" s="102"/>
      <c r="K131" s="102"/>
      <c r="L131" s="102"/>
      <c r="M131" s="102"/>
      <c r="N131" s="102"/>
      <c r="O131" s="102"/>
      <c r="P131" s="102"/>
      <c r="Q131" s="18"/>
      <c r="R131" s="17"/>
      <c r="S131" s="17"/>
      <c r="T131" s="74"/>
      <c r="U131" s="18"/>
      <c r="V131" s="18"/>
      <c r="W131" s="18"/>
      <c r="X131" s="18"/>
      <c r="Y131" s="18"/>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c r="BA131" s="240"/>
      <c r="BB131" s="240"/>
      <c r="BC131" s="240"/>
      <c r="BD131" s="240"/>
      <c r="BE131" s="240"/>
      <c r="BF131" s="240"/>
      <c r="BG131" s="240"/>
      <c r="BH131" s="240"/>
      <c r="BI131" s="240"/>
      <c r="BJ131" s="240"/>
      <c r="BK131" s="240"/>
      <c r="BL131" s="240"/>
      <c r="BM131" s="74"/>
      <c r="BN131" s="74"/>
      <c r="BO131" s="74"/>
    </row>
    <row r="132" spans="1:67" hidden="1" outlineLevel="1">
      <c r="A132" s="21"/>
      <c r="B132" s="21"/>
      <c r="C132" s="21"/>
      <c r="D132" s="21"/>
      <c r="E132" s="1592">
        <f>Asset24</f>
        <v>0</v>
      </c>
      <c r="F132" s="1593"/>
      <c r="G132" s="101"/>
      <c r="H132" s="102"/>
      <c r="I132" s="102"/>
      <c r="J132" s="102"/>
      <c r="K132" s="102"/>
      <c r="L132" s="102"/>
      <c r="M132" s="102"/>
      <c r="N132" s="102"/>
      <c r="O132" s="102"/>
      <c r="P132" s="102"/>
      <c r="Q132" s="18"/>
      <c r="R132" s="17"/>
      <c r="S132" s="17"/>
      <c r="T132" s="74"/>
      <c r="U132" s="18"/>
      <c r="V132" s="18"/>
      <c r="W132" s="18"/>
      <c r="X132" s="18"/>
      <c r="Y132" s="18"/>
      <c r="Z132" s="240"/>
      <c r="AA132" s="240"/>
      <c r="AB132" s="240"/>
      <c r="AC132" s="240"/>
      <c r="AD132" s="240"/>
      <c r="AE132" s="240"/>
      <c r="AF132" s="240"/>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c r="BA132" s="240"/>
      <c r="BB132" s="240"/>
      <c r="BC132" s="240"/>
      <c r="BD132" s="240"/>
      <c r="BE132" s="240"/>
      <c r="BF132" s="240"/>
      <c r="BG132" s="240"/>
      <c r="BH132" s="240"/>
      <c r="BI132" s="240"/>
      <c r="BJ132" s="240"/>
      <c r="BK132" s="240"/>
      <c r="BL132" s="240"/>
      <c r="BM132" s="74"/>
      <c r="BN132" s="74"/>
      <c r="BO132" s="74"/>
    </row>
    <row r="133" spans="1:67" hidden="1" outlineLevel="1">
      <c r="A133" s="174"/>
      <c r="B133" s="174"/>
      <c r="C133" s="174"/>
      <c r="D133" s="174"/>
      <c r="E133" s="1592">
        <f>Asset25</f>
        <v>0</v>
      </c>
      <c r="F133" s="1593"/>
      <c r="G133" s="101"/>
      <c r="H133" s="102"/>
      <c r="I133" s="102"/>
      <c r="J133" s="102"/>
      <c r="K133" s="102"/>
      <c r="L133" s="102"/>
      <c r="M133" s="102"/>
      <c r="N133" s="102"/>
      <c r="O133" s="102"/>
      <c r="P133" s="102"/>
      <c r="Q133" s="18"/>
      <c r="R133" s="17"/>
      <c r="S133" s="17"/>
      <c r="T133" s="74"/>
      <c r="U133" s="18"/>
      <c r="V133" s="18"/>
      <c r="W133" s="18"/>
      <c r="X133" s="18"/>
      <c r="Y133" s="18"/>
      <c r="Z133" s="240"/>
      <c r="AA133" s="240"/>
      <c r="AB133" s="240"/>
      <c r="AC133" s="240"/>
      <c r="AD133" s="240"/>
      <c r="AE133" s="240"/>
      <c r="AF133" s="240"/>
      <c r="AG133" s="240"/>
      <c r="AH133" s="240"/>
      <c r="AI133" s="240"/>
      <c r="AJ133" s="240"/>
      <c r="AK133" s="240"/>
      <c r="AL133" s="240"/>
      <c r="AM133" s="240"/>
      <c r="AN133" s="240"/>
      <c r="AO133" s="240"/>
      <c r="AP133" s="240"/>
      <c r="AQ133" s="240"/>
      <c r="AR133" s="240"/>
      <c r="AS133" s="240"/>
      <c r="AT133" s="240"/>
      <c r="AU133" s="240"/>
      <c r="AV133" s="240"/>
      <c r="AW133" s="240"/>
      <c r="AX133" s="240"/>
      <c r="AY133" s="240"/>
      <c r="AZ133" s="240"/>
      <c r="BA133" s="240"/>
      <c r="BB133" s="240"/>
      <c r="BC133" s="240"/>
      <c r="BD133" s="240"/>
      <c r="BE133" s="240"/>
      <c r="BF133" s="240"/>
      <c r="BG133" s="240"/>
      <c r="BH133" s="240"/>
      <c r="BI133" s="240"/>
      <c r="BJ133" s="240"/>
      <c r="BK133" s="240"/>
      <c r="BL133" s="240"/>
      <c r="BM133" s="74"/>
      <c r="BN133" s="74"/>
      <c r="BO133" s="74"/>
    </row>
    <row r="134" spans="1:67" hidden="1" outlineLevel="1">
      <c r="A134" s="21"/>
      <c r="B134" s="21"/>
      <c r="C134" s="21"/>
      <c r="D134" s="21"/>
      <c r="E134" s="1592">
        <f>Asset26</f>
        <v>0</v>
      </c>
      <c r="F134" s="1593"/>
      <c r="G134" s="101"/>
      <c r="H134" s="102"/>
      <c r="I134" s="102"/>
      <c r="J134" s="102"/>
      <c r="K134" s="102"/>
      <c r="L134" s="102"/>
      <c r="M134" s="102"/>
      <c r="N134" s="102"/>
      <c r="O134" s="102"/>
      <c r="P134" s="102"/>
      <c r="Q134" s="18"/>
      <c r="R134" s="17"/>
      <c r="S134" s="17"/>
      <c r="T134" s="74"/>
      <c r="U134" s="18"/>
      <c r="V134" s="18"/>
      <c r="W134" s="18"/>
      <c r="X134" s="18"/>
      <c r="Y134" s="18"/>
      <c r="Z134" s="240"/>
      <c r="AA134" s="240"/>
      <c r="AB134" s="240"/>
      <c r="AC134" s="240"/>
      <c r="AD134" s="240"/>
      <c r="AE134" s="240"/>
      <c r="AF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240"/>
      <c r="BE134" s="240"/>
      <c r="BF134" s="240"/>
      <c r="BG134" s="240"/>
      <c r="BH134" s="240"/>
      <c r="BI134" s="240"/>
      <c r="BJ134" s="240"/>
      <c r="BK134" s="240"/>
      <c r="BL134" s="240"/>
      <c r="BM134" s="74"/>
      <c r="BN134" s="74"/>
      <c r="BO134" s="74"/>
    </row>
    <row r="135" spans="1:67" hidden="1" outlineLevel="1">
      <c r="A135" s="21"/>
      <c r="B135" s="21"/>
      <c r="C135" s="21"/>
      <c r="D135" s="21"/>
      <c r="E135" s="1592">
        <f>Asset27</f>
        <v>0</v>
      </c>
      <c r="F135" s="1593"/>
      <c r="G135" s="101"/>
      <c r="H135" s="102"/>
      <c r="I135" s="102"/>
      <c r="J135" s="102"/>
      <c r="K135" s="102"/>
      <c r="L135" s="102"/>
      <c r="M135" s="102"/>
      <c r="N135" s="102"/>
      <c r="O135" s="102"/>
      <c r="P135" s="102"/>
      <c r="Q135" s="18"/>
      <c r="R135" s="17"/>
      <c r="S135" s="17"/>
      <c r="T135" s="74"/>
      <c r="U135" s="18"/>
      <c r="V135" s="18"/>
      <c r="W135" s="18"/>
      <c r="X135" s="18"/>
      <c r="Y135" s="18"/>
      <c r="Z135" s="240"/>
      <c r="AA135" s="240"/>
      <c r="AB135" s="240"/>
      <c r="AC135" s="240"/>
      <c r="AD135" s="240"/>
      <c r="AE135" s="240"/>
      <c r="AF135" s="240"/>
      <c r="AG135" s="240"/>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0"/>
      <c r="BI135" s="240"/>
      <c r="BJ135" s="240"/>
      <c r="BK135" s="240"/>
      <c r="BL135" s="240"/>
      <c r="BM135" s="74"/>
      <c r="BN135" s="74"/>
      <c r="BO135" s="74"/>
    </row>
    <row r="136" spans="1:67" hidden="1" outlineLevel="1">
      <c r="A136" s="174"/>
      <c r="B136" s="174"/>
      <c r="C136" s="174"/>
      <c r="D136" s="174"/>
      <c r="E136" s="1592">
        <f>Asset28</f>
        <v>0</v>
      </c>
      <c r="F136" s="1593"/>
      <c r="G136" s="101"/>
      <c r="H136" s="102"/>
      <c r="I136" s="102"/>
      <c r="J136" s="102"/>
      <c r="K136" s="102"/>
      <c r="L136" s="102"/>
      <c r="M136" s="102"/>
      <c r="N136" s="102"/>
      <c r="O136" s="102"/>
      <c r="P136" s="102"/>
      <c r="Q136" s="18"/>
      <c r="R136" s="17"/>
      <c r="S136" s="17"/>
      <c r="T136" s="74"/>
      <c r="U136" s="18"/>
      <c r="V136" s="18"/>
      <c r="W136" s="18"/>
      <c r="X136" s="18"/>
      <c r="Y136" s="18"/>
      <c r="Z136" s="240"/>
      <c r="AA136" s="240"/>
      <c r="AB136" s="240"/>
      <c r="AC136" s="240"/>
      <c r="AD136" s="240"/>
      <c r="AE136" s="240"/>
      <c r="AF136" s="240"/>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c r="BA136" s="240"/>
      <c r="BB136" s="240"/>
      <c r="BC136" s="240"/>
      <c r="BD136" s="240"/>
      <c r="BE136" s="240"/>
      <c r="BF136" s="240"/>
      <c r="BG136" s="240"/>
      <c r="BH136" s="240"/>
      <c r="BI136" s="240"/>
      <c r="BJ136" s="240"/>
      <c r="BK136" s="240"/>
      <c r="BL136" s="240"/>
      <c r="BM136" s="74"/>
      <c r="BN136" s="74"/>
      <c r="BO136" s="74"/>
    </row>
    <row r="137" spans="1:67" hidden="1" outlineLevel="1">
      <c r="A137" s="21"/>
      <c r="B137" s="21"/>
      <c r="C137" s="21"/>
      <c r="D137" s="21"/>
      <c r="E137" s="1592">
        <f>Asset29</f>
        <v>0</v>
      </c>
      <c r="F137" s="1593"/>
      <c r="G137" s="101"/>
      <c r="H137" s="102"/>
      <c r="I137" s="102"/>
      <c r="J137" s="102"/>
      <c r="K137" s="102"/>
      <c r="L137" s="102"/>
      <c r="M137" s="102"/>
      <c r="N137" s="102"/>
      <c r="O137" s="102"/>
      <c r="P137" s="102"/>
      <c r="Q137" s="18"/>
      <c r="R137" s="17"/>
      <c r="S137" s="17"/>
      <c r="T137" s="74"/>
      <c r="U137" s="18"/>
      <c r="V137" s="18"/>
      <c r="W137" s="18"/>
      <c r="X137" s="18"/>
      <c r="Y137" s="18"/>
      <c r="Z137" s="240"/>
      <c r="AA137" s="240"/>
      <c r="AB137" s="240"/>
      <c r="AC137" s="240"/>
      <c r="AD137" s="240"/>
      <c r="AE137" s="240"/>
      <c r="AF137" s="240"/>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c r="BA137" s="240"/>
      <c r="BB137" s="240"/>
      <c r="BC137" s="240"/>
      <c r="BD137" s="240"/>
      <c r="BE137" s="240"/>
      <c r="BF137" s="240"/>
      <c r="BG137" s="240"/>
      <c r="BH137" s="240"/>
      <c r="BI137" s="240"/>
      <c r="BJ137" s="240"/>
      <c r="BK137" s="240"/>
      <c r="BL137" s="240"/>
      <c r="BM137" s="74"/>
      <c r="BN137" s="74"/>
      <c r="BO137" s="74"/>
    </row>
    <row r="138" spans="1:67" hidden="1" outlineLevel="1">
      <c r="A138" s="21"/>
      <c r="B138" s="21"/>
      <c r="C138" s="21"/>
      <c r="D138" s="21"/>
      <c r="E138" s="1592" t="str">
        <f>Asset30</f>
        <v>Equity raising costs</v>
      </c>
      <c r="F138" s="1593"/>
      <c r="G138" s="101"/>
      <c r="H138" s="102"/>
      <c r="I138" s="102"/>
      <c r="J138" s="102"/>
      <c r="K138" s="102"/>
      <c r="L138" s="102"/>
      <c r="M138" s="102"/>
      <c r="N138" s="102"/>
      <c r="O138" s="102"/>
      <c r="P138" s="102"/>
      <c r="Q138" s="18"/>
      <c r="R138" s="17"/>
      <c r="S138" s="17"/>
      <c r="T138" s="74"/>
      <c r="U138" s="18"/>
      <c r="V138" s="18"/>
      <c r="W138" s="18"/>
      <c r="X138" s="18"/>
      <c r="Y138" s="18"/>
      <c r="Z138" s="240"/>
      <c r="AA138" s="240"/>
      <c r="AB138" s="240"/>
      <c r="AC138" s="240"/>
      <c r="AD138" s="240"/>
      <c r="AE138" s="240"/>
      <c r="AF138" s="240"/>
      <c r="AG138" s="240"/>
      <c r="AH138" s="240"/>
      <c r="AI138" s="240"/>
      <c r="AJ138" s="240"/>
      <c r="AK138" s="240"/>
      <c r="AL138" s="240"/>
      <c r="AM138" s="240"/>
      <c r="AN138" s="240"/>
      <c r="AO138" s="240"/>
      <c r="AP138" s="240"/>
      <c r="AQ138" s="240"/>
      <c r="AR138" s="240"/>
      <c r="AS138" s="240"/>
      <c r="AT138" s="240"/>
      <c r="AU138" s="240"/>
      <c r="AV138" s="240"/>
      <c r="AW138" s="240"/>
      <c r="AX138" s="240"/>
      <c r="AY138" s="240"/>
      <c r="AZ138" s="240"/>
      <c r="BA138" s="240"/>
      <c r="BB138" s="240"/>
      <c r="BC138" s="240"/>
      <c r="BD138" s="240"/>
      <c r="BE138" s="240"/>
      <c r="BF138" s="240"/>
      <c r="BG138" s="240"/>
      <c r="BH138" s="240"/>
      <c r="BI138" s="240"/>
      <c r="BJ138" s="240"/>
      <c r="BK138" s="240"/>
      <c r="BL138" s="240"/>
      <c r="BM138" s="74"/>
      <c r="BN138" s="74"/>
      <c r="BO138" s="74"/>
    </row>
    <row r="139" spans="1:67" collapsed="1">
      <c r="A139" s="174"/>
      <c r="B139" s="174"/>
      <c r="C139" s="174"/>
      <c r="D139" s="174"/>
      <c r="E139" s="1592" t="s">
        <v>83</v>
      </c>
      <c r="F139" s="1592"/>
      <c r="G139" s="1400">
        <f t="shared" ref="G139:P139" si="5">SUM(G109:G138)</f>
        <v>4.2746279792746114</v>
      </c>
      <c r="H139" s="203">
        <f t="shared" si="5"/>
        <v>3.7955991983967943</v>
      </c>
      <c r="I139" s="203">
        <f t="shared" si="5"/>
        <v>2.826074656188605</v>
      </c>
      <c r="J139" s="203">
        <f t="shared" si="5"/>
        <v>3.5105000000000004</v>
      </c>
      <c r="K139" s="203">
        <f t="shared" si="5"/>
        <v>1.9111578947368419</v>
      </c>
      <c r="L139" s="203">
        <f t="shared" si="5"/>
        <v>0</v>
      </c>
      <c r="M139" s="203">
        <f t="shared" si="5"/>
        <v>0</v>
      </c>
      <c r="N139" s="203">
        <f t="shared" si="5"/>
        <v>0</v>
      </c>
      <c r="O139" s="203">
        <f t="shared" si="5"/>
        <v>0</v>
      </c>
      <c r="P139" s="203">
        <f t="shared" si="5"/>
        <v>0</v>
      </c>
      <c r="Q139" s="182"/>
      <c r="R139" s="17"/>
      <c r="S139" s="17"/>
      <c r="T139" s="74"/>
      <c r="U139" s="18"/>
      <c r="V139" s="18"/>
      <c r="W139" s="18"/>
      <c r="X139" s="18"/>
      <c r="Y139" s="18"/>
      <c r="Z139" s="240"/>
      <c r="AA139" s="240"/>
      <c r="AB139" s="240"/>
      <c r="AC139" s="240"/>
      <c r="AD139" s="240"/>
      <c r="AE139" s="240"/>
      <c r="AF139" s="240"/>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c r="BA139" s="240"/>
      <c r="BB139" s="240"/>
      <c r="BC139" s="240"/>
      <c r="BD139" s="240"/>
      <c r="BE139" s="240"/>
      <c r="BF139" s="240"/>
      <c r="BG139" s="240"/>
      <c r="BH139" s="240"/>
      <c r="BI139" s="240"/>
      <c r="BJ139" s="240"/>
      <c r="BK139" s="240"/>
      <c r="BL139" s="240"/>
      <c r="BM139" s="74"/>
      <c r="BN139" s="74"/>
      <c r="BO139" s="74"/>
    </row>
    <row r="140" spans="1:67" ht="21" customHeight="1">
      <c r="A140" s="21"/>
      <c r="B140" s="21"/>
      <c r="C140" s="21"/>
      <c r="D140" s="21"/>
      <c r="E140" s="21"/>
      <c r="F140" s="92"/>
      <c r="G140" s="92"/>
      <c r="H140" s="92"/>
      <c r="I140" s="92"/>
      <c r="J140" s="92"/>
      <c r="K140" s="92"/>
      <c r="L140" s="92"/>
      <c r="M140" s="92"/>
      <c r="N140" s="92"/>
      <c r="O140" s="92"/>
      <c r="P140" s="92"/>
      <c r="Q140" s="204">
        <f ca="1">SUM(OFFSET(G139,0,0,1,$R$7))</f>
        <v>16.317959728596854</v>
      </c>
      <c r="R140" s="17"/>
      <c r="S140" s="17"/>
      <c r="T140" s="74"/>
      <c r="U140" s="18"/>
      <c r="V140" s="18"/>
      <c r="W140" s="18"/>
      <c r="X140" s="18"/>
      <c r="Y140" s="18"/>
      <c r="Z140" s="240"/>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240"/>
      <c r="BE140" s="240"/>
      <c r="BF140" s="240"/>
      <c r="BG140" s="240"/>
      <c r="BH140" s="240"/>
      <c r="BI140" s="240"/>
      <c r="BJ140" s="240"/>
      <c r="BK140" s="240"/>
      <c r="BL140" s="240"/>
      <c r="BM140" s="74"/>
      <c r="BN140" s="74"/>
      <c r="BO140" s="74"/>
    </row>
    <row r="141" spans="1:67" ht="15.2" customHeight="1">
      <c r="A141" s="116"/>
      <c r="B141" s="116"/>
      <c r="C141" s="116"/>
      <c r="D141" s="116"/>
      <c r="E141" s="1594" t="str">
        <f>"Forecast Net Capital Expenditure – As Incurred ($m Real "&amp;$F$241&amp;")"</f>
        <v>Forecast Net Capital Expenditure – As Incurred ($m Real 2009-10)</v>
      </c>
      <c r="F141" s="1594"/>
      <c r="G141" s="1594"/>
      <c r="H141" s="191"/>
      <c r="I141" s="191"/>
      <c r="J141" s="119"/>
      <c r="K141" s="119"/>
      <c r="L141" s="117"/>
      <c r="M141" s="117"/>
      <c r="N141" s="117"/>
      <c r="O141" s="117"/>
      <c r="P141" s="117"/>
      <c r="Q141" s="116"/>
      <c r="R141" s="117"/>
      <c r="S141" s="117"/>
      <c r="T141" s="117"/>
      <c r="U141" s="18"/>
      <c r="V141" s="18"/>
      <c r="W141" s="18"/>
      <c r="X141" s="18"/>
      <c r="Y141" s="18"/>
      <c r="Z141" s="240"/>
      <c r="AA141" s="240"/>
      <c r="AB141" s="240"/>
      <c r="AC141" s="240"/>
      <c r="AD141" s="240"/>
      <c r="AE141" s="240"/>
      <c r="AF141" s="240"/>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c r="BA141" s="240"/>
      <c r="BB141" s="240"/>
      <c r="BC141" s="240"/>
      <c r="BD141" s="240"/>
      <c r="BE141" s="240"/>
      <c r="BF141" s="240"/>
      <c r="BG141" s="240"/>
      <c r="BH141" s="240"/>
      <c r="BI141" s="240"/>
      <c r="BJ141" s="240"/>
      <c r="BK141" s="240"/>
      <c r="BL141" s="240"/>
      <c r="BM141" s="74"/>
      <c r="BN141" s="74"/>
      <c r="BO141" s="74"/>
    </row>
    <row r="142" spans="1:67">
      <c r="A142" s="174"/>
      <c r="B142" s="174"/>
      <c r="C142" s="174"/>
      <c r="D142" s="174"/>
      <c r="E142" s="60" t="str">
        <f>E40</f>
        <v>Year</v>
      </c>
      <c r="F142" s="18"/>
      <c r="G142" s="206" t="str">
        <f>G40</f>
        <v>2010-11</v>
      </c>
      <c r="H142" s="206" t="str">
        <f t="shared" ref="H142:P142" si="6">H40</f>
        <v>2011-12</v>
      </c>
      <c r="I142" s="206" t="str">
        <f t="shared" si="6"/>
        <v>2012-13</v>
      </c>
      <c r="J142" s="206" t="str">
        <f t="shared" si="6"/>
        <v>2013-14</v>
      </c>
      <c r="K142" s="206" t="str">
        <f t="shared" si="6"/>
        <v>2014-15</v>
      </c>
      <c r="L142" s="206" t="str">
        <f t="shared" si="6"/>
        <v>2015-16</v>
      </c>
      <c r="M142" s="206" t="str">
        <f t="shared" si="6"/>
        <v>2016-17</v>
      </c>
      <c r="N142" s="206" t="str">
        <f t="shared" si="6"/>
        <v>2017-18</v>
      </c>
      <c r="O142" s="206" t="str">
        <f t="shared" si="6"/>
        <v>2018-19</v>
      </c>
      <c r="P142" s="206" t="str">
        <f t="shared" si="6"/>
        <v>2019-20</v>
      </c>
      <c r="Q142" s="18"/>
      <c r="R142" s="17"/>
      <c r="S142" s="17"/>
      <c r="T142" s="74"/>
      <c r="U142" s="18"/>
      <c r="V142" s="18"/>
      <c r="W142" s="18"/>
      <c r="X142" s="18"/>
      <c r="Y142" s="18"/>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0"/>
      <c r="BC142" s="240"/>
      <c r="BD142" s="240"/>
      <c r="BE142" s="240"/>
      <c r="BF142" s="240"/>
      <c r="BG142" s="240"/>
      <c r="BH142" s="240"/>
      <c r="BI142" s="240"/>
      <c r="BJ142" s="240"/>
      <c r="BK142" s="240"/>
      <c r="BL142" s="240"/>
      <c r="BM142" s="74"/>
      <c r="BN142" s="74"/>
      <c r="BO142" s="74"/>
    </row>
    <row r="143" spans="1:67" ht="12.75" hidden="1" customHeight="1" outlineLevel="1">
      <c r="A143" s="21"/>
      <c r="B143" s="21"/>
      <c r="C143" s="21"/>
      <c r="D143" s="21"/>
      <c r="E143" s="1592" t="str">
        <f>Asset1</f>
        <v>Pre 1999 Assets</v>
      </c>
      <c r="F143" s="1593"/>
      <c r="G143" s="1420">
        <f>G41-G75-G109</f>
        <v>0</v>
      </c>
      <c r="H143" s="1466">
        <f t="shared" ref="H143:P143" si="7">H41-H75-H109</f>
        <v>0</v>
      </c>
      <c r="I143" s="180">
        <f t="shared" si="7"/>
        <v>0</v>
      </c>
      <c r="J143" s="180">
        <f t="shared" si="7"/>
        <v>0</v>
      </c>
      <c r="K143" s="180">
        <f t="shared" si="7"/>
        <v>0</v>
      </c>
      <c r="L143" s="180">
        <f t="shared" si="7"/>
        <v>0</v>
      </c>
      <c r="M143" s="180">
        <f t="shared" si="7"/>
        <v>0</v>
      </c>
      <c r="N143" s="180">
        <f t="shared" si="7"/>
        <v>0</v>
      </c>
      <c r="O143" s="180">
        <f t="shared" si="7"/>
        <v>0</v>
      </c>
      <c r="P143" s="180">
        <f t="shared" si="7"/>
        <v>0</v>
      </c>
      <c r="Q143" s="18"/>
      <c r="R143" s="17"/>
      <c r="S143" s="17"/>
      <c r="T143" s="74"/>
      <c r="U143" s="18"/>
      <c r="V143" s="18"/>
      <c r="W143" s="18"/>
      <c r="X143" s="18"/>
      <c r="Y143" s="18"/>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74"/>
      <c r="BN143" s="74"/>
      <c r="BO143" s="74"/>
    </row>
    <row r="144" spans="1:67" ht="12.75" hidden="1" customHeight="1" outlineLevel="1">
      <c r="A144" s="21"/>
      <c r="B144" s="21"/>
      <c r="C144" s="21"/>
      <c r="D144" s="21"/>
      <c r="E144" s="1592" t="str">
        <f>Asset2</f>
        <v>Post 1999-2010 Assets</v>
      </c>
      <c r="F144" s="1593"/>
      <c r="G144" s="1472">
        <f t="shared" ref="G144:P144" si="8">G42-G76-G110</f>
        <v>0</v>
      </c>
      <c r="H144" s="181">
        <f t="shared" si="8"/>
        <v>0</v>
      </c>
      <c r="I144" s="181">
        <f t="shared" si="8"/>
        <v>0</v>
      </c>
      <c r="J144" s="181">
        <f t="shared" si="8"/>
        <v>0</v>
      </c>
      <c r="K144" s="181">
        <f t="shared" si="8"/>
        <v>0</v>
      </c>
      <c r="L144" s="181">
        <f t="shared" si="8"/>
        <v>0</v>
      </c>
      <c r="M144" s="181">
        <f t="shared" si="8"/>
        <v>0</v>
      </c>
      <c r="N144" s="181">
        <f t="shared" si="8"/>
        <v>0</v>
      </c>
      <c r="O144" s="181">
        <f t="shared" si="8"/>
        <v>0</v>
      </c>
      <c r="P144" s="181">
        <f t="shared" si="8"/>
        <v>0</v>
      </c>
      <c r="Q144" s="18"/>
      <c r="R144" s="17"/>
      <c r="S144" s="17"/>
      <c r="T144" s="74"/>
      <c r="U144" s="18"/>
      <c r="V144" s="18"/>
      <c r="W144" s="18"/>
      <c r="X144" s="18"/>
      <c r="Y144" s="18"/>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74"/>
      <c r="BN144" s="74"/>
      <c r="BO144" s="74"/>
    </row>
    <row r="145" spans="1:67" ht="12.75" hidden="1" customHeight="1" outlineLevel="1">
      <c r="A145" s="174"/>
      <c r="B145" s="174"/>
      <c r="C145" s="174"/>
      <c r="D145" s="174"/>
      <c r="E145" s="1592" t="str">
        <f>Asset3</f>
        <v>New Capex (Post 2010)</v>
      </c>
      <c r="F145" s="1593"/>
      <c r="G145" s="1480">
        <f t="shared" ref="G145:P145" si="9">G43-G77-G111</f>
        <v>2.392331606217617</v>
      </c>
      <c r="H145" s="181">
        <f t="shared" si="9"/>
        <v>2.7377154308617238</v>
      </c>
      <c r="I145" s="181">
        <f t="shared" si="9"/>
        <v>2.7437799607072693</v>
      </c>
      <c r="J145" s="181">
        <f t="shared" si="9"/>
        <v>2.2518461538461541</v>
      </c>
      <c r="K145" s="181">
        <f t="shared" si="9"/>
        <v>2.9213157894736828</v>
      </c>
      <c r="L145" s="181">
        <f t="shared" si="9"/>
        <v>0</v>
      </c>
      <c r="M145" s="181">
        <f t="shared" si="9"/>
        <v>0</v>
      </c>
      <c r="N145" s="181">
        <f t="shared" si="9"/>
        <v>0</v>
      </c>
      <c r="O145" s="181">
        <f t="shared" si="9"/>
        <v>0</v>
      </c>
      <c r="P145" s="181">
        <f t="shared" si="9"/>
        <v>0</v>
      </c>
      <c r="Q145" s="18"/>
      <c r="R145" s="17"/>
      <c r="S145" s="17"/>
      <c r="T145" s="74"/>
      <c r="U145" s="18"/>
      <c r="V145" s="18"/>
      <c r="W145" s="18"/>
      <c r="X145" s="18"/>
      <c r="Y145" s="18"/>
      <c r="Z145" s="240"/>
      <c r="AA145" s="240"/>
      <c r="AB145" s="240"/>
      <c r="AC145" s="240"/>
      <c r="AD145" s="240"/>
      <c r="AE145" s="240"/>
      <c r="AF145" s="240"/>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c r="BA145" s="240"/>
      <c r="BB145" s="240"/>
      <c r="BC145" s="240"/>
      <c r="BD145" s="240"/>
      <c r="BE145" s="240"/>
      <c r="BF145" s="240"/>
      <c r="BG145" s="240"/>
      <c r="BH145" s="240"/>
      <c r="BI145" s="240"/>
      <c r="BJ145" s="240"/>
      <c r="BK145" s="240"/>
      <c r="BL145" s="240"/>
      <c r="BM145" s="74"/>
      <c r="BN145" s="74"/>
      <c r="BO145" s="74"/>
    </row>
    <row r="146" spans="1:67" ht="12.75" hidden="1" customHeight="1" outlineLevel="1">
      <c r="A146" s="21"/>
      <c r="B146" s="21"/>
      <c r="C146" s="21"/>
      <c r="D146" s="21"/>
      <c r="E146" s="1592">
        <f>Asset4</f>
        <v>0</v>
      </c>
      <c r="F146" s="1593"/>
      <c r="G146" s="1472">
        <f t="shared" ref="G146:P146" si="10">G44-G78-G112</f>
        <v>0</v>
      </c>
      <c r="H146" s="181">
        <f t="shared" si="10"/>
        <v>0</v>
      </c>
      <c r="I146" s="181">
        <f t="shared" si="10"/>
        <v>0</v>
      </c>
      <c r="J146" s="181">
        <f t="shared" si="10"/>
        <v>0</v>
      </c>
      <c r="K146" s="181">
        <f t="shared" si="10"/>
        <v>0</v>
      </c>
      <c r="L146" s="181">
        <f t="shared" si="10"/>
        <v>0</v>
      </c>
      <c r="M146" s="181">
        <f t="shared" si="10"/>
        <v>0</v>
      </c>
      <c r="N146" s="181">
        <f t="shared" si="10"/>
        <v>0</v>
      </c>
      <c r="O146" s="181">
        <f t="shared" si="10"/>
        <v>0</v>
      </c>
      <c r="P146" s="181">
        <f t="shared" si="10"/>
        <v>0</v>
      </c>
      <c r="Q146" s="18"/>
      <c r="R146" s="17"/>
      <c r="S146" s="17"/>
      <c r="T146" s="74"/>
      <c r="U146" s="18"/>
      <c r="V146" s="18"/>
      <c r="W146" s="18"/>
      <c r="X146" s="18"/>
      <c r="Y146" s="18"/>
      <c r="Z146" s="240"/>
      <c r="AA146" s="240"/>
      <c r="AB146" s="240"/>
      <c r="AC146" s="240"/>
      <c r="AD146" s="240"/>
      <c r="AE146" s="240"/>
      <c r="AF146" s="240"/>
      <c r="AG146" s="240"/>
      <c r="AH146" s="240"/>
      <c r="AI146" s="240"/>
      <c r="AJ146" s="240"/>
      <c r="AK146" s="240"/>
      <c r="AL146" s="240"/>
      <c r="AM146" s="240"/>
      <c r="AN146" s="240"/>
      <c r="AO146" s="240"/>
      <c r="AP146" s="240"/>
      <c r="AQ146" s="240"/>
      <c r="AR146" s="240"/>
      <c r="AS146" s="240"/>
      <c r="AT146" s="240"/>
      <c r="AU146" s="240"/>
      <c r="AV146" s="240"/>
      <c r="AW146" s="240"/>
      <c r="AX146" s="240"/>
      <c r="AY146" s="240"/>
      <c r="AZ146" s="240"/>
      <c r="BA146" s="240"/>
      <c r="BB146" s="240"/>
      <c r="BC146" s="240"/>
      <c r="BD146" s="240"/>
      <c r="BE146" s="240"/>
      <c r="BF146" s="240"/>
      <c r="BG146" s="240"/>
      <c r="BH146" s="240"/>
      <c r="BI146" s="240"/>
      <c r="BJ146" s="240"/>
      <c r="BK146" s="240"/>
      <c r="BL146" s="240"/>
      <c r="BM146" s="74"/>
      <c r="BN146" s="74"/>
      <c r="BO146" s="74"/>
    </row>
    <row r="147" spans="1:67" ht="12.75" hidden="1" customHeight="1" outlineLevel="1">
      <c r="A147" s="21"/>
      <c r="B147" s="21"/>
      <c r="C147" s="21"/>
      <c r="D147" s="21"/>
      <c r="E147" s="1592">
        <f>Asset5</f>
        <v>0</v>
      </c>
      <c r="F147" s="1593"/>
      <c r="G147" s="1472">
        <f t="shared" ref="G147:P147" si="11">G45-G79-G113</f>
        <v>0</v>
      </c>
      <c r="H147" s="181">
        <f t="shared" si="11"/>
        <v>0</v>
      </c>
      <c r="I147" s="181">
        <f t="shared" si="11"/>
        <v>0</v>
      </c>
      <c r="J147" s="181">
        <f t="shared" si="11"/>
        <v>0</v>
      </c>
      <c r="K147" s="181">
        <f t="shared" si="11"/>
        <v>0</v>
      </c>
      <c r="L147" s="181">
        <f t="shared" si="11"/>
        <v>0</v>
      </c>
      <c r="M147" s="181">
        <f t="shared" si="11"/>
        <v>0</v>
      </c>
      <c r="N147" s="181">
        <f t="shared" si="11"/>
        <v>0</v>
      </c>
      <c r="O147" s="181">
        <f t="shared" si="11"/>
        <v>0</v>
      </c>
      <c r="P147" s="181">
        <f t="shared" si="11"/>
        <v>0</v>
      </c>
      <c r="Q147" s="18"/>
      <c r="R147" s="17"/>
      <c r="S147" s="17"/>
      <c r="T147" s="74"/>
      <c r="U147" s="18"/>
      <c r="V147" s="18"/>
      <c r="W147" s="18"/>
      <c r="X147" s="18"/>
      <c r="Y147" s="18"/>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240"/>
      <c r="BE147" s="240"/>
      <c r="BF147" s="240"/>
      <c r="BG147" s="240"/>
      <c r="BH147" s="240"/>
      <c r="BI147" s="240"/>
      <c r="BJ147" s="240"/>
      <c r="BK147" s="240"/>
      <c r="BL147" s="240"/>
      <c r="BM147" s="74"/>
      <c r="BN147" s="74"/>
      <c r="BO147" s="74"/>
    </row>
    <row r="148" spans="1:67" ht="12.75" hidden="1" customHeight="1" outlineLevel="1">
      <c r="A148" s="174"/>
      <c r="B148" s="174"/>
      <c r="C148" s="174"/>
      <c r="D148" s="174"/>
      <c r="E148" s="1592">
        <f>Asset6</f>
        <v>0</v>
      </c>
      <c r="F148" s="1593"/>
      <c r="G148" s="1472">
        <f t="shared" ref="G148:P148" si="12">G46-G80-G114</f>
        <v>0</v>
      </c>
      <c r="H148" s="181">
        <f t="shared" si="12"/>
        <v>0</v>
      </c>
      <c r="I148" s="181">
        <f t="shared" si="12"/>
        <v>0</v>
      </c>
      <c r="J148" s="181">
        <f>J46-J80-J114</f>
        <v>0</v>
      </c>
      <c r="K148" s="181">
        <f t="shared" si="12"/>
        <v>0</v>
      </c>
      <c r="L148" s="181">
        <f t="shared" si="12"/>
        <v>0</v>
      </c>
      <c r="M148" s="181">
        <f t="shared" si="12"/>
        <v>0</v>
      </c>
      <c r="N148" s="181">
        <f t="shared" si="12"/>
        <v>0</v>
      </c>
      <c r="O148" s="181">
        <f t="shared" si="12"/>
        <v>0</v>
      </c>
      <c r="P148" s="181">
        <f t="shared" si="12"/>
        <v>0</v>
      </c>
      <c r="Q148" s="18"/>
      <c r="R148" s="17"/>
      <c r="S148" s="17"/>
      <c r="T148" s="74"/>
      <c r="U148" s="18"/>
      <c r="V148" s="18"/>
      <c r="W148" s="18"/>
      <c r="X148" s="18"/>
      <c r="Y148" s="18"/>
      <c r="Z148" s="240"/>
      <c r="AA148" s="240"/>
      <c r="AB148" s="240"/>
      <c r="AC148" s="240"/>
      <c r="AD148" s="240"/>
      <c r="AE148" s="240"/>
      <c r="AF148" s="240"/>
      <c r="AG148" s="240"/>
      <c r="AH148" s="240"/>
      <c r="AI148" s="240"/>
      <c r="AJ148" s="240"/>
      <c r="AK148" s="240"/>
      <c r="AL148" s="240"/>
      <c r="AM148" s="240"/>
      <c r="AN148" s="240"/>
      <c r="AO148" s="240"/>
      <c r="AP148" s="240"/>
      <c r="AQ148" s="240"/>
      <c r="AR148" s="240"/>
      <c r="AS148" s="240"/>
      <c r="AT148" s="240"/>
      <c r="AU148" s="240"/>
      <c r="AV148" s="240"/>
      <c r="AW148" s="240"/>
      <c r="AX148" s="240"/>
      <c r="AY148" s="240"/>
      <c r="AZ148" s="240"/>
      <c r="BA148" s="240"/>
      <c r="BB148" s="240"/>
      <c r="BC148" s="240"/>
      <c r="BD148" s="240"/>
      <c r="BE148" s="240"/>
      <c r="BF148" s="240"/>
      <c r="BG148" s="240"/>
      <c r="BH148" s="240"/>
      <c r="BI148" s="240"/>
      <c r="BJ148" s="240"/>
      <c r="BK148" s="240"/>
      <c r="BL148" s="240"/>
      <c r="BM148" s="74"/>
      <c r="BN148" s="74"/>
      <c r="BO148" s="74"/>
    </row>
    <row r="149" spans="1:67" hidden="1" outlineLevel="1">
      <c r="A149" s="21"/>
      <c r="B149" s="21"/>
      <c r="C149" s="21"/>
      <c r="D149" s="21"/>
      <c r="E149" s="1592">
        <f>Asset7</f>
        <v>0</v>
      </c>
      <c r="F149" s="1593"/>
      <c r="G149" s="1472">
        <f t="shared" ref="G149:P149" si="13">G47-G81-G115</f>
        <v>0</v>
      </c>
      <c r="H149" s="181">
        <f t="shared" si="13"/>
        <v>0</v>
      </c>
      <c r="I149" s="181">
        <f t="shared" si="13"/>
        <v>0</v>
      </c>
      <c r="J149" s="181">
        <f t="shared" si="13"/>
        <v>0</v>
      </c>
      <c r="K149" s="181">
        <f t="shared" si="13"/>
        <v>0</v>
      </c>
      <c r="L149" s="181">
        <f t="shared" si="13"/>
        <v>0</v>
      </c>
      <c r="M149" s="181">
        <f t="shared" si="13"/>
        <v>0</v>
      </c>
      <c r="N149" s="181">
        <f t="shared" si="13"/>
        <v>0</v>
      </c>
      <c r="O149" s="181">
        <f t="shared" si="13"/>
        <v>0</v>
      </c>
      <c r="P149" s="181">
        <f t="shared" si="13"/>
        <v>0</v>
      </c>
      <c r="Q149" s="18"/>
      <c r="R149" s="17"/>
      <c r="S149" s="17"/>
      <c r="T149" s="74"/>
      <c r="U149" s="18"/>
      <c r="V149" s="18"/>
      <c r="W149" s="18"/>
      <c r="X149" s="18"/>
      <c r="Y149" s="18"/>
      <c r="Z149" s="240"/>
      <c r="AA149" s="240"/>
      <c r="AB149" s="240"/>
      <c r="AC149" s="240"/>
      <c r="AD149" s="240"/>
      <c r="AE149" s="240"/>
      <c r="AF149" s="240"/>
      <c r="AG149" s="240"/>
      <c r="AH149" s="240"/>
      <c r="AI149" s="240"/>
      <c r="AJ149" s="240"/>
      <c r="AK149" s="240"/>
      <c r="AL149" s="240"/>
      <c r="AM149" s="240"/>
      <c r="AN149" s="240"/>
      <c r="AO149" s="240"/>
      <c r="AP149" s="240"/>
      <c r="AQ149" s="240"/>
      <c r="AR149" s="240"/>
      <c r="AS149" s="240"/>
      <c r="AT149" s="240"/>
      <c r="AU149" s="240"/>
      <c r="AV149" s="240"/>
      <c r="AW149" s="240"/>
      <c r="AX149" s="240"/>
      <c r="AY149" s="240"/>
      <c r="AZ149" s="240"/>
      <c r="BA149" s="240"/>
      <c r="BB149" s="240"/>
      <c r="BC149" s="240"/>
      <c r="BD149" s="240"/>
      <c r="BE149" s="240"/>
      <c r="BF149" s="240"/>
      <c r="BG149" s="240"/>
      <c r="BH149" s="240"/>
      <c r="BI149" s="240"/>
      <c r="BJ149" s="240"/>
      <c r="BK149" s="240"/>
      <c r="BL149" s="240"/>
      <c r="BM149" s="74"/>
      <c r="BN149" s="74"/>
      <c r="BO149" s="74"/>
    </row>
    <row r="150" spans="1:67" hidden="1" outlineLevel="1">
      <c r="A150" s="21"/>
      <c r="B150" s="21"/>
      <c r="C150" s="21"/>
      <c r="D150" s="21"/>
      <c r="E150" s="1592">
        <f>Asset8</f>
        <v>0</v>
      </c>
      <c r="F150" s="1593"/>
      <c r="G150" s="1472">
        <f t="shared" ref="G150:P150" si="14">G48-G82-G116</f>
        <v>0</v>
      </c>
      <c r="H150" s="181">
        <f t="shared" si="14"/>
        <v>0</v>
      </c>
      <c r="I150" s="181">
        <f t="shared" si="14"/>
        <v>0</v>
      </c>
      <c r="J150" s="181">
        <f t="shared" si="14"/>
        <v>0</v>
      </c>
      <c r="K150" s="181">
        <f t="shared" si="14"/>
        <v>0</v>
      </c>
      <c r="L150" s="181">
        <f t="shared" si="14"/>
        <v>0</v>
      </c>
      <c r="M150" s="181">
        <f t="shared" si="14"/>
        <v>0</v>
      </c>
      <c r="N150" s="181">
        <f t="shared" si="14"/>
        <v>0</v>
      </c>
      <c r="O150" s="181">
        <f t="shared" si="14"/>
        <v>0</v>
      </c>
      <c r="P150" s="181">
        <f t="shared" si="14"/>
        <v>0</v>
      </c>
      <c r="Q150" s="18"/>
      <c r="R150" s="17"/>
      <c r="S150" s="17"/>
      <c r="T150" s="74"/>
      <c r="U150" s="18"/>
      <c r="V150" s="18"/>
      <c r="W150" s="18"/>
      <c r="X150" s="18"/>
      <c r="Y150" s="18"/>
      <c r="Z150" s="240"/>
      <c r="AA150" s="240"/>
      <c r="AB150" s="240"/>
      <c r="AC150" s="240"/>
      <c r="AD150" s="240"/>
      <c r="AE150" s="240"/>
      <c r="AF150" s="240"/>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c r="BA150" s="240"/>
      <c r="BB150" s="240"/>
      <c r="BC150" s="240"/>
      <c r="BD150" s="240"/>
      <c r="BE150" s="240"/>
      <c r="BF150" s="240"/>
      <c r="BG150" s="240"/>
      <c r="BH150" s="240"/>
      <c r="BI150" s="240"/>
      <c r="BJ150" s="240"/>
      <c r="BK150" s="240"/>
      <c r="BL150" s="240"/>
      <c r="BM150" s="74"/>
      <c r="BN150" s="74"/>
      <c r="BO150" s="74"/>
    </row>
    <row r="151" spans="1:67" hidden="1" outlineLevel="1">
      <c r="A151" s="21"/>
      <c r="B151" s="21"/>
      <c r="C151" s="21"/>
      <c r="D151" s="21"/>
      <c r="E151" s="1592">
        <f>Asset9</f>
        <v>0</v>
      </c>
      <c r="F151" s="1593"/>
      <c r="G151" s="1472">
        <f t="shared" ref="G151:P151" si="15">G49-G83-G117</f>
        <v>0</v>
      </c>
      <c r="H151" s="181">
        <f t="shared" si="15"/>
        <v>0</v>
      </c>
      <c r="I151" s="181">
        <f t="shared" si="15"/>
        <v>0</v>
      </c>
      <c r="J151" s="181">
        <f t="shared" si="15"/>
        <v>0</v>
      </c>
      <c r="K151" s="181">
        <f t="shared" si="15"/>
        <v>0</v>
      </c>
      <c r="L151" s="181">
        <f t="shared" si="15"/>
        <v>0</v>
      </c>
      <c r="M151" s="181">
        <f t="shared" si="15"/>
        <v>0</v>
      </c>
      <c r="N151" s="181">
        <f t="shared" si="15"/>
        <v>0</v>
      </c>
      <c r="O151" s="181">
        <f t="shared" si="15"/>
        <v>0</v>
      </c>
      <c r="P151" s="181">
        <f t="shared" si="15"/>
        <v>0</v>
      </c>
      <c r="Q151" s="18"/>
      <c r="R151" s="17"/>
      <c r="S151" s="17"/>
      <c r="T151" s="74"/>
      <c r="U151" s="18"/>
      <c r="V151" s="18"/>
      <c r="W151" s="18"/>
      <c r="X151" s="18"/>
      <c r="Y151" s="18"/>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c r="BA151" s="240"/>
      <c r="BB151" s="240"/>
      <c r="BC151" s="240"/>
      <c r="BD151" s="240"/>
      <c r="BE151" s="240"/>
      <c r="BF151" s="240"/>
      <c r="BG151" s="240"/>
      <c r="BH151" s="240"/>
      <c r="BI151" s="240"/>
      <c r="BJ151" s="240"/>
      <c r="BK151" s="240"/>
      <c r="BL151" s="240"/>
      <c r="BM151" s="74"/>
      <c r="BN151" s="74"/>
      <c r="BO151" s="74"/>
    </row>
    <row r="152" spans="1:67" hidden="1" outlineLevel="1">
      <c r="A152" s="21"/>
      <c r="B152" s="21"/>
      <c r="C152" s="21"/>
      <c r="D152" s="21"/>
      <c r="E152" s="1592">
        <f>Asset10</f>
        <v>0</v>
      </c>
      <c r="F152" s="1593"/>
      <c r="G152" s="1472">
        <f t="shared" ref="G152:P152" si="16">G50-G84-G118</f>
        <v>0</v>
      </c>
      <c r="H152" s="181">
        <f t="shared" si="16"/>
        <v>0</v>
      </c>
      <c r="I152" s="181">
        <f t="shared" si="16"/>
        <v>0</v>
      </c>
      <c r="J152" s="181">
        <f t="shared" si="16"/>
        <v>0</v>
      </c>
      <c r="K152" s="181">
        <f t="shared" si="16"/>
        <v>0</v>
      </c>
      <c r="L152" s="181">
        <f t="shared" si="16"/>
        <v>0</v>
      </c>
      <c r="M152" s="181">
        <f t="shared" si="16"/>
        <v>0</v>
      </c>
      <c r="N152" s="181">
        <f t="shared" si="16"/>
        <v>0</v>
      </c>
      <c r="O152" s="181">
        <f t="shared" si="16"/>
        <v>0</v>
      </c>
      <c r="P152" s="181">
        <f t="shared" si="16"/>
        <v>0</v>
      </c>
      <c r="Q152" s="18"/>
      <c r="R152" s="17"/>
      <c r="S152" s="17"/>
      <c r="T152" s="74"/>
      <c r="U152" s="18"/>
      <c r="V152" s="18"/>
      <c r="W152" s="18"/>
      <c r="X152" s="18"/>
      <c r="Y152" s="18"/>
      <c r="Z152" s="240"/>
      <c r="AA152" s="240"/>
      <c r="AB152" s="240"/>
      <c r="AC152" s="240"/>
      <c r="AD152" s="240"/>
      <c r="AE152" s="240"/>
      <c r="AF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c r="BA152" s="240"/>
      <c r="BB152" s="240"/>
      <c r="BC152" s="240"/>
      <c r="BD152" s="240"/>
      <c r="BE152" s="240"/>
      <c r="BF152" s="240"/>
      <c r="BG152" s="240"/>
      <c r="BH152" s="240"/>
      <c r="BI152" s="240"/>
      <c r="BJ152" s="240"/>
      <c r="BK152" s="240"/>
      <c r="BL152" s="240"/>
      <c r="BM152" s="74"/>
      <c r="BN152" s="74"/>
      <c r="BO152" s="74"/>
    </row>
    <row r="153" spans="1:67" hidden="1" outlineLevel="1">
      <c r="A153" s="21"/>
      <c r="B153" s="21"/>
      <c r="C153" s="21"/>
      <c r="D153" s="21"/>
      <c r="E153" s="1592">
        <f>Asset11</f>
        <v>0</v>
      </c>
      <c r="F153" s="1593"/>
      <c r="G153" s="1472">
        <f t="shared" ref="G153:P153" si="17">G51-G85-G119</f>
        <v>0</v>
      </c>
      <c r="H153" s="181">
        <f t="shared" si="17"/>
        <v>0</v>
      </c>
      <c r="I153" s="181">
        <f t="shared" si="17"/>
        <v>0</v>
      </c>
      <c r="J153" s="181">
        <f t="shared" si="17"/>
        <v>0</v>
      </c>
      <c r="K153" s="181">
        <f t="shared" si="17"/>
        <v>0</v>
      </c>
      <c r="L153" s="181">
        <f t="shared" si="17"/>
        <v>0</v>
      </c>
      <c r="M153" s="181">
        <f t="shared" si="17"/>
        <v>0</v>
      </c>
      <c r="N153" s="181">
        <f t="shared" si="17"/>
        <v>0</v>
      </c>
      <c r="O153" s="181">
        <f t="shared" si="17"/>
        <v>0</v>
      </c>
      <c r="P153" s="181">
        <f t="shared" si="17"/>
        <v>0</v>
      </c>
      <c r="Q153" s="18"/>
      <c r="R153" s="17"/>
      <c r="S153" s="17"/>
      <c r="T153" s="74"/>
      <c r="U153" s="18"/>
      <c r="V153" s="18"/>
      <c r="W153" s="18"/>
      <c r="X153" s="18"/>
      <c r="Y153" s="18"/>
      <c r="Z153" s="240"/>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240"/>
      <c r="BE153" s="240"/>
      <c r="BF153" s="240"/>
      <c r="BG153" s="240"/>
      <c r="BH153" s="240"/>
      <c r="BI153" s="240"/>
      <c r="BJ153" s="240"/>
      <c r="BK153" s="240"/>
      <c r="BL153" s="240"/>
      <c r="BM153" s="74"/>
      <c r="BN153" s="74"/>
      <c r="BO153" s="74"/>
    </row>
    <row r="154" spans="1:67" hidden="1" outlineLevel="1">
      <c r="A154" s="21"/>
      <c r="B154" s="21"/>
      <c r="C154" s="21"/>
      <c r="D154" s="21"/>
      <c r="E154" s="1592">
        <f>Asset12</f>
        <v>0</v>
      </c>
      <c r="F154" s="1593"/>
      <c r="G154" s="1472">
        <f t="shared" ref="G154:P154" si="18">G52-G86-G120</f>
        <v>0</v>
      </c>
      <c r="H154" s="181">
        <f t="shared" si="18"/>
        <v>0</v>
      </c>
      <c r="I154" s="181">
        <f t="shared" si="18"/>
        <v>0</v>
      </c>
      <c r="J154" s="181">
        <f t="shared" si="18"/>
        <v>0</v>
      </c>
      <c r="K154" s="181">
        <f t="shared" si="18"/>
        <v>0</v>
      </c>
      <c r="L154" s="181">
        <f t="shared" si="18"/>
        <v>0</v>
      </c>
      <c r="M154" s="181">
        <f t="shared" si="18"/>
        <v>0</v>
      </c>
      <c r="N154" s="181">
        <f t="shared" si="18"/>
        <v>0</v>
      </c>
      <c r="O154" s="181">
        <f t="shared" si="18"/>
        <v>0</v>
      </c>
      <c r="P154" s="181">
        <f t="shared" si="18"/>
        <v>0</v>
      </c>
      <c r="Q154" s="18"/>
      <c r="R154" s="17"/>
      <c r="S154" s="17"/>
      <c r="T154" s="74"/>
      <c r="U154" s="18"/>
      <c r="V154" s="18"/>
      <c r="W154" s="18"/>
      <c r="X154" s="18"/>
      <c r="Y154" s="18"/>
      <c r="Z154" s="240"/>
      <c r="AA154" s="240"/>
      <c r="AB154" s="240"/>
      <c r="AC154" s="240"/>
      <c r="AD154" s="240"/>
      <c r="AE154" s="240"/>
      <c r="AF154" s="240"/>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c r="BA154" s="240"/>
      <c r="BB154" s="240"/>
      <c r="BC154" s="240"/>
      <c r="BD154" s="240"/>
      <c r="BE154" s="240"/>
      <c r="BF154" s="240"/>
      <c r="BG154" s="240"/>
      <c r="BH154" s="240"/>
      <c r="BI154" s="240"/>
      <c r="BJ154" s="240"/>
      <c r="BK154" s="240"/>
      <c r="BL154" s="240"/>
      <c r="BM154" s="74"/>
      <c r="BN154" s="74"/>
      <c r="BO154" s="74"/>
    </row>
    <row r="155" spans="1:67" hidden="1" outlineLevel="1">
      <c r="A155" s="21"/>
      <c r="B155" s="21"/>
      <c r="C155" s="21"/>
      <c r="D155" s="21"/>
      <c r="E155" s="1592">
        <f>Asset13</f>
        <v>0</v>
      </c>
      <c r="F155" s="1593"/>
      <c r="G155" s="1472">
        <f t="shared" ref="G155:P155" si="19">G53-G87-G121</f>
        <v>0</v>
      </c>
      <c r="H155" s="181">
        <f t="shared" si="19"/>
        <v>0</v>
      </c>
      <c r="I155" s="181">
        <f t="shared" si="19"/>
        <v>0</v>
      </c>
      <c r="J155" s="181">
        <f t="shared" si="19"/>
        <v>0</v>
      </c>
      <c r="K155" s="181">
        <f t="shared" si="19"/>
        <v>0</v>
      </c>
      <c r="L155" s="181">
        <f t="shared" si="19"/>
        <v>0</v>
      </c>
      <c r="M155" s="181">
        <f t="shared" si="19"/>
        <v>0</v>
      </c>
      <c r="N155" s="181">
        <f t="shared" si="19"/>
        <v>0</v>
      </c>
      <c r="O155" s="181">
        <f t="shared" si="19"/>
        <v>0</v>
      </c>
      <c r="P155" s="181">
        <f t="shared" si="19"/>
        <v>0</v>
      </c>
      <c r="Q155" s="18"/>
      <c r="R155" s="17"/>
      <c r="S155" s="17"/>
      <c r="T155" s="74"/>
      <c r="U155" s="18"/>
      <c r="V155" s="18"/>
      <c r="W155" s="18"/>
      <c r="X155" s="18"/>
      <c r="Y155" s="18"/>
      <c r="Z155" s="240"/>
      <c r="AA155" s="240"/>
      <c r="AB155" s="240"/>
      <c r="AC155" s="240"/>
      <c r="AD155" s="240"/>
      <c r="AE155" s="240"/>
      <c r="AF155" s="240"/>
      <c r="AG155" s="240"/>
      <c r="AH155" s="240"/>
      <c r="AI155" s="240"/>
      <c r="AJ155" s="240"/>
      <c r="AK155" s="240"/>
      <c r="AL155" s="240"/>
      <c r="AM155" s="240"/>
      <c r="AN155" s="240"/>
      <c r="AO155" s="240"/>
      <c r="AP155" s="240"/>
      <c r="AQ155" s="240"/>
      <c r="AR155" s="240"/>
      <c r="AS155" s="240"/>
      <c r="AT155" s="240"/>
      <c r="AU155" s="240"/>
      <c r="AV155" s="240"/>
      <c r="AW155" s="240"/>
      <c r="AX155" s="240"/>
      <c r="AY155" s="240"/>
      <c r="AZ155" s="240"/>
      <c r="BA155" s="240"/>
      <c r="BB155" s="240"/>
      <c r="BC155" s="240"/>
      <c r="BD155" s="240"/>
      <c r="BE155" s="240"/>
      <c r="BF155" s="240"/>
      <c r="BG155" s="240"/>
      <c r="BH155" s="240"/>
      <c r="BI155" s="240"/>
      <c r="BJ155" s="240"/>
      <c r="BK155" s="240"/>
      <c r="BL155" s="240"/>
      <c r="BM155" s="74"/>
      <c r="BN155" s="74"/>
      <c r="BO155" s="74"/>
    </row>
    <row r="156" spans="1:67" hidden="1" outlineLevel="1">
      <c r="A156" s="21"/>
      <c r="B156" s="21"/>
      <c r="C156" s="21"/>
      <c r="D156" s="21"/>
      <c r="E156" s="1592">
        <f>Asset14</f>
        <v>0</v>
      </c>
      <c r="F156" s="1593"/>
      <c r="G156" s="1472">
        <f t="shared" ref="G156:P156" si="20">G54-G88-G122</f>
        <v>0</v>
      </c>
      <c r="H156" s="181">
        <f t="shared" si="20"/>
        <v>0</v>
      </c>
      <c r="I156" s="181">
        <f t="shared" si="20"/>
        <v>0</v>
      </c>
      <c r="J156" s="181">
        <f t="shared" si="20"/>
        <v>0</v>
      </c>
      <c r="K156" s="181">
        <f t="shared" si="20"/>
        <v>0</v>
      </c>
      <c r="L156" s="181">
        <f t="shared" si="20"/>
        <v>0</v>
      </c>
      <c r="M156" s="181">
        <f t="shared" si="20"/>
        <v>0</v>
      </c>
      <c r="N156" s="181">
        <f t="shared" si="20"/>
        <v>0</v>
      </c>
      <c r="O156" s="181">
        <f t="shared" si="20"/>
        <v>0</v>
      </c>
      <c r="P156" s="181">
        <f t="shared" si="20"/>
        <v>0</v>
      </c>
      <c r="Q156" s="18"/>
      <c r="R156" s="17"/>
      <c r="S156" s="17"/>
      <c r="T156" s="74"/>
      <c r="U156" s="18"/>
      <c r="V156" s="18"/>
      <c r="W156" s="18"/>
      <c r="X156" s="18"/>
      <c r="Y156" s="18"/>
      <c r="Z156" s="240"/>
      <c r="AA156" s="240"/>
      <c r="AB156" s="240"/>
      <c r="AC156" s="240"/>
      <c r="AD156" s="240"/>
      <c r="AE156" s="240"/>
      <c r="AF156" s="240"/>
      <c r="AG156" s="240"/>
      <c r="AH156" s="240"/>
      <c r="AI156" s="240"/>
      <c r="AJ156" s="240"/>
      <c r="AK156" s="240"/>
      <c r="AL156" s="240"/>
      <c r="AM156" s="240"/>
      <c r="AN156" s="240"/>
      <c r="AO156" s="240"/>
      <c r="AP156" s="240"/>
      <c r="AQ156" s="240"/>
      <c r="AR156" s="240"/>
      <c r="AS156" s="240"/>
      <c r="AT156" s="240"/>
      <c r="AU156" s="240"/>
      <c r="AV156" s="240"/>
      <c r="AW156" s="240"/>
      <c r="AX156" s="240"/>
      <c r="AY156" s="240"/>
      <c r="AZ156" s="240"/>
      <c r="BA156" s="240"/>
      <c r="BB156" s="240"/>
      <c r="BC156" s="240"/>
      <c r="BD156" s="240"/>
      <c r="BE156" s="240"/>
      <c r="BF156" s="240"/>
      <c r="BG156" s="240"/>
      <c r="BH156" s="240"/>
      <c r="BI156" s="240"/>
      <c r="BJ156" s="240"/>
      <c r="BK156" s="240"/>
      <c r="BL156" s="240"/>
      <c r="BM156" s="74"/>
      <c r="BN156" s="74"/>
      <c r="BO156" s="74"/>
    </row>
    <row r="157" spans="1:67" hidden="1" outlineLevel="1">
      <c r="A157" s="21"/>
      <c r="B157" s="21"/>
      <c r="C157" s="21"/>
      <c r="D157" s="21"/>
      <c r="E157" s="1592">
        <f>Asset15</f>
        <v>0</v>
      </c>
      <c r="F157" s="1593"/>
      <c r="G157" s="1472">
        <f t="shared" ref="G157:P157" si="21">G55-G89-G123</f>
        <v>0</v>
      </c>
      <c r="H157" s="181">
        <f t="shared" si="21"/>
        <v>0</v>
      </c>
      <c r="I157" s="181">
        <f t="shared" si="21"/>
        <v>0</v>
      </c>
      <c r="J157" s="181">
        <f t="shared" si="21"/>
        <v>0</v>
      </c>
      <c r="K157" s="181">
        <f t="shared" si="21"/>
        <v>0</v>
      </c>
      <c r="L157" s="181">
        <f t="shared" si="21"/>
        <v>0</v>
      </c>
      <c r="M157" s="181">
        <f t="shared" si="21"/>
        <v>0</v>
      </c>
      <c r="N157" s="181">
        <f t="shared" si="21"/>
        <v>0</v>
      </c>
      <c r="O157" s="181">
        <f t="shared" si="21"/>
        <v>0</v>
      </c>
      <c r="P157" s="181">
        <f t="shared" si="21"/>
        <v>0</v>
      </c>
      <c r="Q157" s="18"/>
      <c r="R157" s="17"/>
      <c r="S157" s="17"/>
      <c r="T157" s="74"/>
      <c r="U157" s="18"/>
      <c r="V157" s="18"/>
      <c r="W157" s="18"/>
      <c r="X157" s="18"/>
      <c r="Y157" s="18"/>
      <c r="Z157" s="240"/>
      <c r="AA157" s="240"/>
      <c r="AB157" s="240"/>
      <c r="AC157" s="240"/>
      <c r="AD157" s="240"/>
      <c r="AE157" s="240"/>
      <c r="AF157" s="240"/>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c r="BA157" s="240"/>
      <c r="BB157" s="240"/>
      <c r="BC157" s="240"/>
      <c r="BD157" s="240"/>
      <c r="BE157" s="240"/>
      <c r="BF157" s="240"/>
      <c r="BG157" s="240"/>
      <c r="BH157" s="240"/>
      <c r="BI157" s="240"/>
      <c r="BJ157" s="240"/>
      <c r="BK157" s="240"/>
      <c r="BL157" s="240"/>
      <c r="BM157" s="74"/>
      <c r="BN157" s="74"/>
      <c r="BO157" s="74"/>
    </row>
    <row r="158" spans="1:67" hidden="1" outlineLevel="1">
      <c r="A158" s="21"/>
      <c r="B158" s="21"/>
      <c r="C158" s="21"/>
      <c r="D158" s="21"/>
      <c r="E158" s="1592">
        <f>Asset16</f>
        <v>0</v>
      </c>
      <c r="F158" s="1593"/>
      <c r="G158" s="1472">
        <f t="shared" ref="G158:P158" si="22">G56-G90-G124</f>
        <v>0</v>
      </c>
      <c r="H158" s="181">
        <f t="shared" si="22"/>
        <v>0</v>
      </c>
      <c r="I158" s="181">
        <f t="shared" si="22"/>
        <v>0</v>
      </c>
      <c r="J158" s="181">
        <f t="shared" si="22"/>
        <v>0</v>
      </c>
      <c r="K158" s="181">
        <f t="shared" si="22"/>
        <v>0</v>
      </c>
      <c r="L158" s="181">
        <f t="shared" si="22"/>
        <v>0</v>
      </c>
      <c r="M158" s="181">
        <f t="shared" si="22"/>
        <v>0</v>
      </c>
      <c r="N158" s="181">
        <f t="shared" si="22"/>
        <v>0</v>
      </c>
      <c r="O158" s="181">
        <f t="shared" si="22"/>
        <v>0</v>
      </c>
      <c r="P158" s="181">
        <f t="shared" si="22"/>
        <v>0</v>
      </c>
      <c r="Q158" s="18"/>
      <c r="R158" s="17"/>
      <c r="S158" s="17"/>
      <c r="T158" s="74"/>
      <c r="U158" s="18"/>
      <c r="V158" s="18"/>
      <c r="W158" s="18"/>
      <c r="X158" s="18"/>
      <c r="Y158" s="18"/>
      <c r="Z158" s="240"/>
      <c r="AA158" s="240"/>
      <c r="AB158" s="240"/>
      <c r="AC158" s="240"/>
      <c r="AD158" s="240"/>
      <c r="AE158" s="240"/>
      <c r="AF158" s="240"/>
      <c r="AG158" s="240"/>
      <c r="AH158" s="240"/>
      <c r="AI158" s="240"/>
      <c r="AJ158" s="240"/>
      <c r="AK158" s="240"/>
      <c r="AL158" s="240"/>
      <c r="AM158" s="240"/>
      <c r="AN158" s="240"/>
      <c r="AO158" s="240"/>
      <c r="AP158" s="240"/>
      <c r="AQ158" s="240"/>
      <c r="AR158" s="240"/>
      <c r="AS158" s="240"/>
      <c r="AT158" s="240"/>
      <c r="AU158" s="240"/>
      <c r="AV158" s="240"/>
      <c r="AW158" s="240"/>
      <c r="AX158" s="240"/>
      <c r="AY158" s="240"/>
      <c r="AZ158" s="240"/>
      <c r="BA158" s="240"/>
      <c r="BB158" s="240"/>
      <c r="BC158" s="240"/>
      <c r="BD158" s="240"/>
      <c r="BE158" s="240"/>
      <c r="BF158" s="240"/>
      <c r="BG158" s="240"/>
      <c r="BH158" s="240"/>
      <c r="BI158" s="240"/>
      <c r="BJ158" s="240"/>
      <c r="BK158" s="240"/>
      <c r="BL158" s="240"/>
      <c r="BM158" s="74"/>
      <c r="BN158" s="74"/>
      <c r="BO158" s="74"/>
    </row>
    <row r="159" spans="1:67" hidden="1" outlineLevel="1">
      <c r="A159" s="21"/>
      <c r="B159" s="21"/>
      <c r="C159" s="21"/>
      <c r="D159" s="21"/>
      <c r="E159" s="1592">
        <f>Asset17</f>
        <v>0</v>
      </c>
      <c r="F159" s="1593"/>
      <c r="G159" s="1472">
        <f t="shared" ref="G159:P159" si="23">G57-G91-G125</f>
        <v>0</v>
      </c>
      <c r="H159" s="181">
        <f t="shared" si="23"/>
        <v>0</v>
      </c>
      <c r="I159" s="181">
        <f t="shared" si="23"/>
        <v>0</v>
      </c>
      <c r="J159" s="181">
        <f t="shared" si="23"/>
        <v>0</v>
      </c>
      <c r="K159" s="181">
        <f t="shared" si="23"/>
        <v>0</v>
      </c>
      <c r="L159" s="181">
        <f t="shared" si="23"/>
        <v>0</v>
      </c>
      <c r="M159" s="181">
        <f t="shared" si="23"/>
        <v>0</v>
      </c>
      <c r="N159" s="181">
        <f t="shared" si="23"/>
        <v>0</v>
      </c>
      <c r="O159" s="181">
        <f t="shared" si="23"/>
        <v>0</v>
      </c>
      <c r="P159" s="181">
        <f t="shared" si="23"/>
        <v>0</v>
      </c>
      <c r="Q159" s="18"/>
      <c r="R159" s="17"/>
      <c r="S159" s="17"/>
      <c r="T159" s="74"/>
      <c r="U159" s="18"/>
      <c r="V159" s="18"/>
      <c r="W159" s="18"/>
      <c r="X159" s="18"/>
      <c r="Y159" s="18"/>
      <c r="Z159" s="240"/>
      <c r="AA159" s="240"/>
      <c r="AB159" s="240"/>
      <c r="AC159" s="240"/>
      <c r="AD159" s="240"/>
      <c r="AE159" s="240"/>
      <c r="AF159" s="240"/>
      <c r="AG159" s="240"/>
      <c r="AH159" s="240"/>
      <c r="AI159" s="240"/>
      <c r="AJ159" s="240"/>
      <c r="AK159" s="240"/>
      <c r="AL159" s="240"/>
      <c r="AM159" s="240"/>
      <c r="AN159" s="240"/>
      <c r="AO159" s="240"/>
      <c r="AP159" s="240"/>
      <c r="AQ159" s="240"/>
      <c r="AR159" s="240"/>
      <c r="AS159" s="240"/>
      <c r="AT159" s="240"/>
      <c r="AU159" s="240"/>
      <c r="AV159" s="240"/>
      <c r="AW159" s="240"/>
      <c r="AX159" s="240"/>
      <c r="AY159" s="240"/>
      <c r="AZ159" s="240"/>
      <c r="BA159" s="240"/>
      <c r="BB159" s="240"/>
      <c r="BC159" s="240"/>
      <c r="BD159" s="240"/>
      <c r="BE159" s="240"/>
      <c r="BF159" s="240"/>
      <c r="BG159" s="240"/>
      <c r="BH159" s="240"/>
      <c r="BI159" s="240"/>
      <c r="BJ159" s="240"/>
      <c r="BK159" s="240"/>
      <c r="BL159" s="240"/>
      <c r="BM159" s="74"/>
      <c r="BN159" s="74"/>
      <c r="BO159" s="74"/>
    </row>
    <row r="160" spans="1:67" hidden="1" outlineLevel="1">
      <c r="A160" s="21"/>
      <c r="B160" s="21"/>
      <c r="C160" s="21"/>
      <c r="D160" s="21"/>
      <c r="E160" s="1592">
        <f>Asset18</f>
        <v>0</v>
      </c>
      <c r="F160" s="1593"/>
      <c r="G160" s="1472">
        <f t="shared" ref="G160:P160" si="24">G58-G92-G126</f>
        <v>0</v>
      </c>
      <c r="H160" s="181">
        <f t="shared" si="24"/>
        <v>0</v>
      </c>
      <c r="I160" s="181">
        <f t="shared" si="24"/>
        <v>0</v>
      </c>
      <c r="J160" s="181">
        <f t="shared" si="24"/>
        <v>0</v>
      </c>
      <c r="K160" s="181">
        <f t="shared" si="24"/>
        <v>0</v>
      </c>
      <c r="L160" s="181">
        <f t="shared" si="24"/>
        <v>0</v>
      </c>
      <c r="M160" s="181">
        <f t="shared" si="24"/>
        <v>0</v>
      </c>
      <c r="N160" s="181">
        <f t="shared" si="24"/>
        <v>0</v>
      </c>
      <c r="O160" s="181">
        <f t="shared" si="24"/>
        <v>0</v>
      </c>
      <c r="P160" s="181">
        <f t="shared" si="24"/>
        <v>0</v>
      </c>
      <c r="Q160" s="18"/>
      <c r="R160" s="17"/>
      <c r="S160" s="17"/>
      <c r="T160" s="74"/>
      <c r="U160" s="18"/>
      <c r="V160" s="18"/>
      <c r="W160" s="18"/>
      <c r="X160" s="18"/>
      <c r="Y160" s="18"/>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74"/>
      <c r="BN160" s="74"/>
      <c r="BO160" s="74"/>
    </row>
    <row r="161" spans="1:67" hidden="1" outlineLevel="1">
      <c r="A161" s="174"/>
      <c r="B161" s="174"/>
      <c r="C161" s="174"/>
      <c r="D161" s="174"/>
      <c r="E161" s="1592">
        <f>Asset19</f>
        <v>0</v>
      </c>
      <c r="F161" s="1593"/>
      <c r="G161" s="1472">
        <f t="shared" ref="G161:P161" si="25">G59-G93-G127</f>
        <v>0</v>
      </c>
      <c r="H161" s="181">
        <f t="shared" si="25"/>
        <v>0</v>
      </c>
      <c r="I161" s="181">
        <f t="shared" si="25"/>
        <v>0</v>
      </c>
      <c r="J161" s="181">
        <f t="shared" si="25"/>
        <v>0</v>
      </c>
      <c r="K161" s="181">
        <f t="shared" si="25"/>
        <v>0</v>
      </c>
      <c r="L161" s="181">
        <f t="shared" si="25"/>
        <v>0</v>
      </c>
      <c r="M161" s="181">
        <f t="shared" si="25"/>
        <v>0</v>
      </c>
      <c r="N161" s="181">
        <f t="shared" si="25"/>
        <v>0</v>
      </c>
      <c r="O161" s="181">
        <f t="shared" si="25"/>
        <v>0</v>
      </c>
      <c r="P161" s="181">
        <f t="shared" si="25"/>
        <v>0</v>
      </c>
      <c r="Q161" s="18"/>
      <c r="R161" s="17"/>
      <c r="S161" s="17"/>
      <c r="T161" s="74"/>
      <c r="U161" s="18"/>
      <c r="V161" s="18"/>
      <c r="W161" s="18"/>
      <c r="X161" s="18"/>
      <c r="Y161" s="18"/>
      <c r="Z161" s="240"/>
      <c r="AA161" s="240"/>
      <c r="AB161" s="240"/>
      <c r="AC161" s="240"/>
      <c r="AD161" s="240"/>
      <c r="AE161" s="240"/>
      <c r="AF161" s="240"/>
      <c r="AG161" s="240"/>
      <c r="AH161" s="240"/>
      <c r="AI161" s="240"/>
      <c r="AJ161" s="240"/>
      <c r="AK161" s="240"/>
      <c r="AL161" s="240"/>
      <c r="AM161" s="240"/>
      <c r="AN161" s="240"/>
      <c r="AO161" s="240"/>
      <c r="AP161" s="240"/>
      <c r="AQ161" s="240"/>
      <c r="AR161" s="240"/>
      <c r="AS161" s="240"/>
      <c r="AT161" s="240"/>
      <c r="AU161" s="240"/>
      <c r="AV161" s="240"/>
      <c r="AW161" s="240"/>
      <c r="AX161" s="240"/>
      <c r="AY161" s="240"/>
      <c r="AZ161" s="240"/>
      <c r="BA161" s="240"/>
      <c r="BB161" s="240"/>
      <c r="BC161" s="240"/>
      <c r="BD161" s="240"/>
      <c r="BE161" s="240"/>
      <c r="BF161" s="240"/>
      <c r="BG161" s="240"/>
      <c r="BH161" s="240"/>
      <c r="BI161" s="240"/>
      <c r="BJ161" s="240"/>
      <c r="BK161" s="240"/>
      <c r="BL161" s="240"/>
      <c r="BM161" s="74"/>
      <c r="BN161" s="74"/>
      <c r="BO161" s="74"/>
    </row>
    <row r="162" spans="1:67" hidden="1" outlineLevel="1">
      <c r="A162" s="21"/>
      <c r="B162" s="21"/>
      <c r="C162" s="21"/>
      <c r="D162" s="21"/>
      <c r="E162" s="1592">
        <f>Asset20</f>
        <v>0</v>
      </c>
      <c r="F162" s="1593"/>
      <c r="G162" s="1472">
        <f t="shared" ref="G162:P162" si="26">G60-G94-G128</f>
        <v>0</v>
      </c>
      <c r="H162" s="181">
        <f t="shared" si="26"/>
        <v>0</v>
      </c>
      <c r="I162" s="181">
        <f t="shared" si="26"/>
        <v>0</v>
      </c>
      <c r="J162" s="181">
        <f t="shared" si="26"/>
        <v>0</v>
      </c>
      <c r="K162" s="181">
        <f t="shared" si="26"/>
        <v>0</v>
      </c>
      <c r="L162" s="181">
        <f t="shared" si="26"/>
        <v>0</v>
      </c>
      <c r="M162" s="181">
        <f t="shared" si="26"/>
        <v>0</v>
      </c>
      <c r="N162" s="181">
        <f t="shared" si="26"/>
        <v>0</v>
      </c>
      <c r="O162" s="181">
        <f t="shared" si="26"/>
        <v>0</v>
      </c>
      <c r="P162" s="181">
        <f t="shared" si="26"/>
        <v>0</v>
      </c>
      <c r="Q162" s="18"/>
      <c r="R162" s="17"/>
      <c r="S162" s="17"/>
      <c r="T162" s="74"/>
      <c r="U162" s="18"/>
      <c r="V162" s="18"/>
      <c r="W162" s="18"/>
      <c r="X162" s="18"/>
      <c r="Y162" s="18"/>
      <c r="Z162" s="240"/>
      <c r="AA162" s="240"/>
      <c r="AB162" s="240"/>
      <c r="AC162" s="240"/>
      <c r="AD162" s="240"/>
      <c r="AE162" s="240"/>
      <c r="AF162" s="240"/>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c r="BA162" s="240"/>
      <c r="BB162" s="240"/>
      <c r="BC162" s="240"/>
      <c r="BD162" s="240"/>
      <c r="BE162" s="240"/>
      <c r="BF162" s="240"/>
      <c r="BG162" s="240"/>
      <c r="BH162" s="240"/>
      <c r="BI162" s="240"/>
      <c r="BJ162" s="240"/>
      <c r="BK162" s="240"/>
      <c r="BL162" s="240"/>
      <c r="BM162" s="74"/>
      <c r="BN162" s="74"/>
      <c r="BO162" s="74"/>
    </row>
    <row r="163" spans="1:67" hidden="1" outlineLevel="1">
      <c r="A163" s="21"/>
      <c r="B163" s="21"/>
      <c r="C163" s="21"/>
      <c r="D163" s="21"/>
      <c r="E163" s="1592">
        <f>Asset21</f>
        <v>0</v>
      </c>
      <c r="F163" s="1593"/>
      <c r="G163" s="1472">
        <f t="shared" ref="G163:P163" si="27">G61-G95-G129</f>
        <v>0</v>
      </c>
      <c r="H163" s="181">
        <f t="shared" si="27"/>
        <v>0</v>
      </c>
      <c r="I163" s="181">
        <f t="shared" si="27"/>
        <v>0</v>
      </c>
      <c r="J163" s="181">
        <f t="shared" si="27"/>
        <v>0</v>
      </c>
      <c r="K163" s="181">
        <f t="shared" si="27"/>
        <v>0</v>
      </c>
      <c r="L163" s="181">
        <f t="shared" si="27"/>
        <v>0</v>
      </c>
      <c r="M163" s="181">
        <f t="shared" si="27"/>
        <v>0</v>
      </c>
      <c r="N163" s="181">
        <f t="shared" si="27"/>
        <v>0</v>
      </c>
      <c r="O163" s="181">
        <f t="shared" si="27"/>
        <v>0</v>
      </c>
      <c r="P163" s="181">
        <f t="shared" si="27"/>
        <v>0</v>
      </c>
      <c r="Q163" s="18"/>
      <c r="R163" s="17"/>
      <c r="S163" s="17"/>
      <c r="T163" s="74"/>
      <c r="U163" s="18"/>
      <c r="V163" s="18"/>
      <c r="W163" s="18"/>
      <c r="X163" s="18"/>
      <c r="Y163" s="18"/>
      <c r="Z163" s="240"/>
      <c r="AA163" s="240"/>
      <c r="AB163" s="240"/>
      <c r="AC163" s="240"/>
      <c r="AD163" s="240"/>
      <c r="AE163" s="240"/>
      <c r="AF163" s="240"/>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c r="BA163" s="240"/>
      <c r="BB163" s="240"/>
      <c r="BC163" s="240"/>
      <c r="BD163" s="240"/>
      <c r="BE163" s="240"/>
      <c r="BF163" s="240"/>
      <c r="BG163" s="240"/>
      <c r="BH163" s="240"/>
      <c r="BI163" s="240"/>
      <c r="BJ163" s="240"/>
      <c r="BK163" s="240"/>
      <c r="BL163" s="240"/>
      <c r="BM163" s="74"/>
      <c r="BN163" s="74"/>
      <c r="BO163" s="74"/>
    </row>
    <row r="164" spans="1:67" hidden="1" outlineLevel="1">
      <c r="A164" s="174"/>
      <c r="B164" s="174"/>
      <c r="C164" s="174"/>
      <c r="D164" s="174"/>
      <c r="E164" s="1592">
        <f>Asset22</f>
        <v>0</v>
      </c>
      <c r="F164" s="1593"/>
      <c r="G164" s="1472">
        <f t="shared" ref="G164:P164" si="28">G62-G96-G130</f>
        <v>0</v>
      </c>
      <c r="H164" s="181">
        <f t="shared" si="28"/>
        <v>0</v>
      </c>
      <c r="I164" s="181">
        <f t="shared" si="28"/>
        <v>0</v>
      </c>
      <c r="J164" s="181">
        <f t="shared" si="28"/>
        <v>0</v>
      </c>
      <c r="K164" s="181">
        <f t="shared" si="28"/>
        <v>0</v>
      </c>
      <c r="L164" s="181">
        <f t="shared" si="28"/>
        <v>0</v>
      </c>
      <c r="M164" s="181">
        <f t="shared" si="28"/>
        <v>0</v>
      </c>
      <c r="N164" s="181">
        <f t="shared" si="28"/>
        <v>0</v>
      </c>
      <c r="O164" s="181">
        <f t="shared" si="28"/>
        <v>0</v>
      </c>
      <c r="P164" s="181">
        <f t="shared" si="28"/>
        <v>0</v>
      </c>
      <c r="Q164" s="18"/>
      <c r="R164" s="17"/>
      <c r="S164" s="17"/>
      <c r="T164" s="74"/>
      <c r="U164" s="18"/>
      <c r="V164" s="18"/>
      <c r="W164" s="18"/>
      <c r="X164" s="18"/>
      <c r="Y164" s="18"/>
      <c r="Z164" s="240"/>
      <c r="AA164" s="240"/>
      <c r="AB164" s="240"/>
      <c r="AC164" s="240"/>
      <c r="AD164" s="240"/>
      <c r="AE164" s="240"/>
      <c r="AF164" s="240"/>
      <c r="AG164" s="240"/>
      <c r="AH164" s="240"/>
      <c r="AI164" s="240"/>
      <c r="AJ164" s="240"/>
      <c r="AK164" s="240"/>
      <c r="AL164" s="240"/>
      <c r="AM164" s="240"/>
      <c r="AN164" s="240"/>
      <c r="AO164" s="240"/>
      <c r="AP164" s="240"/>
      <c r="AQ164" s="240"/>
      <c r="AR164" s="240"/>
      <c r="AS164" s="240"/>
      <c r="AT164" s="240"/>
      <c r="AU164" s="240"/>
      <c r="AV164" s="240"/>
      <c r="AW164" s="240"/>
      <c r="AX164" s="240"/>
      <c r="AY164" s="240"/>
      <c r="AZ164" s="240"/>
      <c r="BA164" s="240"/>
      <c r="BB164" s="240"/>
      <c r="BC164" s="240"/>
      <c r="BD164" s="240"/>
      <c r="BE164" s="240"/>
      <c r="BF164" s="240"/>
      <c r="BG164" s="240"/>
      <c r="BH164" s="240"/>
      <c r="BI164" s="240"/>
      <c r="BJ164" s="240"/>
      <c r="BK164" s="240"/>
      <c r="BL164" s="240"/>
      <c r="BM164" s="74"/>
      <c r="BN164" s="74"/>
      <c r="BO164" s="74"/>
    </row>
    <row r="165" spans="1:67" hidden="1" outlineLevel="1">
      <c r="A165" s="21"/>
      <c r="B165" s="21"/>
      <c r="C165" s="21"/>
      <c r="D165" s="21"/>
      <c r="E165" s="1592">
        <f>Asset23</f>
        <v>0</v>
      </c>
      <c r="F165" s="1593"/>
      <c r="G165" s="1472">
        <f t="shared" ref="G165:P165" si="29">G63-G97-G131</f>
        <v>0</v>
      </c>
      <c r="H165" s="181">
        <f t="shared" si="29"/>
        <v>0</v>
      </c>
      <c r="I165" s="181">
        <f t="shared" si="29"/>
        <v>0</v>
      </c>
      <c r="J165" s="181">
        <f t="shared" si="29"/>
        <v>0</v>
      </c>
      <c r="K165" s="181">
        <f t="shared" si="29"/>
        <v>0</v>
      </c>
      <c r="L165" s="181">
        <f t="shared" si="29"/>
        <v>0</v>
      </c>
      <c r="M165" s="181">
        <f t="shared" si="29"/>
        <v>0</v>
      </c>
      <c r="N165" s="181">
        <f t="shared" si="29"/>
        <v>0</v>
      </c>
      <c r="O165" s="181">
        <f t="shared" si="29"/>
        <v>0</v>
      </c>
      <c r="P165" s="181">
        <f t="shared" si="29"/>
        <v>0</v>
      </c>
      <c r="Q165" s="18"/>
      <c r="R165" s="17"/>
      <c r="S165" s="17"/>
      <c r="T165" s="74"/>
      <c r="U165" s="18"/>
      <c r="V165" s="18"/>
      <c r="W165" s="18"/>
      <c r="X165" s="18"/>
      <c r="Y165" s="18"/>
      <c r="Z165" s="240"/>
      <c r="AA165" s="240"/>
      <c r="AB165" s="240"/>
      <c r="AC165" s="240"/>
      <c r="AD165" s="240"/>
      <c r="AE165" s="240"/>
      <c r="AF165" s="240"/>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c r="BA165" s="240"/>
      <c r="BB165" s="240"/>
      <c r="BC165" s="240"/>
      <c r="BD165" s="240"/>
      <c r="BE165" s="240"/>
      <c r="BF165" s="240"/>
      <c r="BG165" s="240"/>
      <c r="BH165" s="240"/>
      <c r="BI165" s="240"/>
      <c r="BJ165" s="240"/>
      <c r="BK165" s="240"/>
      <c r="BL165" s="240"/>
      <c r="BM165" s="74"/>
      <c r="BN165" s="74"/>
      <c r="BO165" s="74"/>
    </row>
    <row r="166" spans="1:67" hidden="1" outlineLevel="1">
      <c r="A166" s="21"/>
      <c r="B166" s="21"/>
      <c r="C166" s="21"/>
      <c r="D166" s="21"/>
      <c r="E166" s="1592">
        <f>Asset24</f>
        <v>0</v>
      </c>
      <c r="F166" s="1593"/>
      <c r="G166" s="1472">
        <f t="shared" ref="G166:P166" si="30">G64-G98-G132</f>
        <v>0</v>
      </c>
      <c r="H166" s="181">
        <f t="shared" si="30"/>
        <v>0</v>
      </c>
      <c r="I166" s="181">
        <f t="shared" si="30"/>
        <v>0</v>
      </c>
      <c r="J166" s="181">
        <f t="shared" si="30"/>
        <v>0</v>
      </c>
      <c r="K166" s="181">
        <f t="shared" si="30"/>
        <v>0</v>
      </c>
      <c r="L166" s="181">
        <f t="shared" si="30"/>
        <v>0</v>
      </c>
      <c r="M166" s="181">
        <f t="shared" si="30"/>
        <v>0</v>
      </c>
      <c r="N166" s="181">
        <f t="shared" si="30"/>
        <v>0</v>
      </c>
      <c r="O166" s="181">
        <f t="shared" si="30"/>
        <v>0</v>
      </c>
      <c r="P166" s="181">
        <f t="shared" si="30"/>
        <v>0</v>
      </c>
      <c r="Q166" s="18"/>
      <c r="R166" s="17"/>
      <c r="S166" s="17"/>
      <c r="T166" s="74"/>
      <c r="U166" s="18"/>
      <c r="V166" s="18"/>
      <c r="W166" s="18"/>
      <c r="X166" s="18"/>
      <c r="Y166" s="18"/>
      <c r="Z166" s="240"/>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240"/>
      <c r="BE166" s="240"/>
      <c r="BF166" s="240"/>
      <c r="BG166" s="240"/>
      <c r="BH166" s="240"/>
      <c r="BI166" s="240"/>
      <c r="BJ166" s="240"/>
      <c r="BK166" s="240"/>
      <c r="BL166" s="240"/>
      <c r="BM166" s="74"/>
      <c r="BN166" s="74"/>
      <c r="BO166" s="74"/>
    </row>
    <row r="167" spans="1:67" hidden="1" outlineLevel="1">
      <c r="A167" s="174"/>
      <c r="B167" s="174"/>
      <c r="C167" s="174"/>
      <c r="D167" s="174"/>
      <c r="E167" s="1592">
        <f>Asset25</f>
        <v>0</v>
      </c>
      <c r="F167" s="1593"/>
      <c r="G167" s="1472">
        <f t="shared" ref="G167:P167" si="31">G65-G99-G133</f>
        <v>0</v>
      </c>
      <c r="H167" s="181">
        <f t="shared" si="31"/>
        <v>0</v>
      </c>
      <c r="I167" s="181">
        <f t="shared" si="31"/>
        <v>0</v>
      </c>
      <c r="J167" s="181">
        <f t="shared" si="31"/>
        <v>0</v>
      </c>
      <c r="K167" s="181">
        <f t="shared" si="31"/>
        <v>0</v>
      </c>
      <c r="L167" s="181">
        <f t="shared" si="31"/>
        <v>0</v>
      </c>
      <c r="M167" s="181">
        <f t="shared" si="31"/>
        <v>0</v>
      </c>
      <c r="N167" s="181">
        <f t="shared" si="31"/>
        <v>0</v>
      </c>
      <c r="O167" s="181">
        <f t="shared" si="31"/>
        <v>0</v>
      </c>
      <c r="P167" s="181">
        <f t="shared" si="31"/>
        <v>0</v>
      </c>
      <c r="Q167" s="18"/>
      <c r="R167" s="17"/>
      <c r="S167" s="17"/>
      <c r="T167" s="74"/>
      <c r="U167" s="18"/>
      <c r="V167" s="18"/>
      <c r="W167" s="18"/>
      <c r="X167" s="18"/>
      <c r="Y167" s="18"/>
      <c r="Z167" s="240"/>
      <c r="AA167" s="240"/>
      <c r="AB167" s="240"/>
      <c r="AC167" s="240"/>
      <c r="AD167" s="240"/>
      <c r="AE167" s="240"/>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c r="BC167" s="240"/>
      <c r="BD167" s="240"/>
      <c r="BE167" s="240"/>
      <c r="BF167" s="240"/>
      <c r="BG167" s="240"/>
      <c r="BH167" s="240"/>
      <c r="BI167" s="240"/>
      <c r="BJ167" s="240"/>
      <c r="BK167" s="240"/>
      <c r="BL167" s="240"/>
      <c r="BM167" s="74"/>
      <c r="BN167" s="74"/>
      <c r="BO167" s="74"/>
    </row>
    <row r="168" spans="1:67" hidden="1" outlineLevel="1">
      <c r="A168" s="21"/>
      <c r="B168" s="21"/>
      <c r="C168" s="21"/>
      <c r="D168" s="21"/>
      <c r="E168" s="1592">
        <f>Asset26</f>
        <v>0</v>
      </c>
      <c r="F168" s="1593"/>
      <c r="G168" s="1472">
        <f t="shared" ref="G168:P168" si="32">G66-G100-G134</f>
        <v>0</v>
      </c>
      <c r="H168" s="181">
        <f t="shared" si="32"/>
        <v>0</v>
      </c>
      <c r="I168" s="181">
        <f t="shared" si="32"/>
        <v>0</v>
      </c>
      <c r="J168" s="181">
        <f t="shared" si="32"/>
        <v>0</v>
      </c>
      <c r="K168" s="181">
        <f t="shared" si="32"/>
        <v>0</v>
      </c>
      <c r="L168" s="181">
        <f t="shared" si="32"/>
        <v>0</v>
      </c>
      <c r="M168" s="181">
        <f t="shared" si="32"/>
        <v>0</v>
      </c>
      <c r="N168" s="181">
        <f t="shared" si="32"/>
        <v>0</v>
      </c>
      <c r="O168" s="181">
        <f t="shared" si="32"/>
        <v>0</v>
      </c>
      <c r="P168" s="181">
        <f t="shared" si="32"/>
        <v>0</v>
      </c>
      <c r="Q168" s="18"/>
      <c r="R168" s="17"/>
      <c r="S168" s="17"/>
      <c r="T168" s="74"/>
      <c r="U168" s="18"/>
      <c r="V168" s="18"/>
      <c r="W168" s="18"/>
      <c r="X168" s="18"/>
      <c r="Y168" s="18"/>
      <c r="Z168" s="240"/>
      <c r="AA168" s="240"/>
      <c r="AB168" s="240"/>
      <c r="AC168" s="240"/>
      <c r="AD168" s="240"/>
      <c r="AE168" s="240"/>
      <c r="AF168" s="240"/>
      <c r="AG168" s="240"/>
      <c r="AH168" s="240"/>
      <c r="AI168" s="240"/>
      <c r="AJ168" s="240"/>
      <c r="AK168" s="240"/>
      <c r="AL168" s="240"/>
      <c r="AM168" s="240"/>
      <c r="AN168" s="240"/>
      <c r="AO168" s="240"/>
      <c r="AP168" s="240"/>
      <c r="AQ168" s="240"/>
      <c r="AR168" s="240"/>
      <c r="AS168" s="240"/>
      <c r="AT168" s="240"/>
      <c r="AU168" s="240"/>
      <c r="AV168" s="240"/>
      <c r="AW168" s="240"/>
      <c r="AX168" s="240"/>
      <c r="AY168" s="240"/>
      <c r="AZ168" s="240"/>
      <c r="BA168" s="240"/>
      <c r="BB168" s="240"/>
      <c r="BC168" s="240"/>
      <c r="BD168" s="240"/>
      <c r="BE168" s="240"/>
      <c r="BF168" s="240"/>
      <c r="BG168" s="240"/>
      <c r="BH168" s="240"/>
      <c r="BI168" s="240"/>
      <c r="BJ168" s="240"/>
      <c r="BK168" s="240"/>
      <c r="BL168" s="240"/>
      <c r="BM168" s="74"/>
      <c r="BN168" s="74"/>
      <c r="BO168" s="74"/>
    </row>
    <row r="169" spans="1:67" hidden="1" outlineLevel="1">
      <c r="A169" s="21"/>
      <c r="B169" s="21"/>
      <c r="C169" s="21"/>
      <c r="D169" s="21"/>
      <c r="E169" s="1592">
        <f>Asset27</f>
        <v>0</v>
      </c>
      <c r="F169" s="1593"/>
      <c r="G169" s="1472">
        <f t="shared" ref="G169:P169" si="33">G67-G101-G135</f>
        <v>0</v>
      </c>
      <c r="H169" s="181">
        <f t="shared" si="33"/>
        <v>0</v>
      </c>
      <c r="I169" s="181">
        <f t="shared" si="33"/>
        <v>0</v>
      </c>
      <c r="J169" s="181">
        <f t="shared" si="33"/>
        <v>0</v>
      </c>
      <c r="K169" s="181">
        <f t="shared" si="33"/>
        <v>0</v>
      </c>
      <c r="L169" s="181">
        <f t="shared" si="33"/>
        <v>0</v>
      </c>
      <c r="M169" s="181">
        <f t="shared" si="33"/>
        <v>0</v>
      </c>
      <c r="N169" s="181">
        <f t="shared" si="33"/>
        <v>0</v>
      </c>
      <c r="O169" s="181">
        <f t="shared" si="33"/>
        <v>0</v>
      </c>
      <c r="P169" s="181">
        <f t="shared" si="33"/>
        <v>0</v>
      </c>
      <c r="Q169" s="18"/>
      <c r="R169" s="17"/>
      <c r="S169" s="17"/>
      <c r="T169" s="74"/>
      <c r="U169" s="18"/>
      <c r="V169" s="18"/>
      <c r="W169" s="18"/>
      <c r="X169" s="18"/>
      <c r="Y169" s="18"/>
      <c r="Z169" s="240"/>
      <c r="AA169" s="240"/>
      <c r="AB169" s="240"/>
      <c r="AC169" s="240"/>
      <c r="AD169" s="240"/>
      <c r="AE169" s="240"/>
      <c r="AF169" s="240"/>
      <c r="AG169" s="240"/>
      <c r="AH169" s="240"/>
      <c r="AI169" s="240"/>
      <c r="AJ169" s="240"/>
      <c r="AK169" s="240"/>
      <c r="AL169" s="240"/>
      <c r="AM169" s="240"/>
      <c r="AN169" s="240"/>
      <c r="AO169" s="240"/>
      <c r="AP169" s="240"/>
      <c r="AQ169" s="240"/>
      <c r="AR169" s="240"/>
      <c r="AS169" s="240"/>
      <c r="AT169" s="240"/>
      <c r="AU169" s="240"/>
      <c r="AV169" s="240"/>
      <c r="AW169" s="240"/>
      <c r="AX169" s="240"/>
      <c r="AY169" s="240"/>
      <c r="AZ169" s="240"/>
      <c r="BA169" s="240"/>
      <c r="BB169" s="240"/>
      <c r="BC169" s="240"/>
      <c r="BD169" s="240"/>
      <c r="BE169" s="240"/>
      <c r="BF169" s="240"/>
      <c r="BG169" s="240"/>
      <c r="BH169" s="240"/>
      <c r="BI169" s="240"/>
      <c r="BJ169" s="240"/>
      <c r="BK169" s="240"/>
      <c r="BL169" s="240"/>
      <c r="BM169" s="74"/>
      <c r="BN169" s="74"/>
      <c r="BO169" s="74"/>
    </row>
    <row r="170" spans="1:67" hidden="1" outlineLevel="1">
      <c r="A170" s="174"/>
      <c r="B170" s="174"/>
      <c r="C170" s="174"/>
      <c r="D170" s="174"/>
      <c r="E170" s="1592">
        <f>Asset28</f>
        <v>0</v>
      </c>
      <c r="F170" s="1593"/>
      <c r="G170" s="1472">
        <f t="shared" ref="G170:P170" si="34">G68-G102-G136</f>
        <v>0</v>
      </c>
      <c r="H170" s="181">
        <f t="shared" si="34"/>
        <v>0</v>
      </c>
      <c r="I170" s="181">
        <f t="shared" si="34"/>
        <v>0</v>
      </c>
      <c r="J170" s="181">
        <f t="shared" si="34"/>
        <v>0</v>
      </c>
      <c r="K170" s="181">
        <f t="shared" si="34"/>
        <v>0</v>
      </c>
      <c r="L170" s="181">
        <f t="shared" si="34"/>
        <v>0</v>
      </c>
      <c r="M170" s="181">
        <f t="shared" si="34"/>
        <v>0</v>
      </c>
      <c r="N170" s="181">
        <f t="shared" si="34"/>
        <v>0</v>
      </c>
      <c r="O170" s="181">
        <f t="shared" si="34"/>
        <v>0</v>
      </c>
      <c r="P170" s="181">
        <f t="shared" si="34"/>
        <v>0</v>
      </c>
      <c r="Q170" s="18"/>
      <c r="R170" s="17"/>
      <c r="S170" s="17"/>
      <c r="T170" s="74"/>
      <c r="U170" s="18"/>
      <c r="V170" s="18"/>
      <c r="W170" s="18"/>
      <c r="X170" s="18"/>
      <c r="Y170" s="18"/>
      <c r="Z170" s="240"/>
      <c r="AA170" s="240"/>
      <c r="AB170" s="240"/>
      <c r="AC170" s="240"/>
      <c r="AD170" s="240"/>
      <c r="AE170" s="240"/>
      <c r="AF170" s="240"/>
      <c r="AG170" s="240"/>
      <c r="AH170" s="240"/>
      <c r="AI170" s="240"/>
      <c r="AJ170" s="240"/>
      <c r="AK170" s="240"/>
      <c r="AL170" s="240"/>
      <c r="AM170" s="240"/>
      <c r="AN170" s="240"/>
      <c r="AO170" s="240"/>
      <c r="AP170" s="240"/>
      <c r="AQ170" s="240"/>
      <c r="AR170" s="240"/>
      <c r="AS170" s="240"/>
      <c r="AT170" s="240"/>
      <c r="AU170" s="240"/>
      <c r="AV170" s="240"/>
      <c r="AW170" s="240"/>
      <c r="AX170" s="240"/>
      <c r="AY170" s="240"/>
      <c r="AZ170" s="240"/>
      <c r="BA170" s="240"/>
      <c r="BB170" s="240"/>
      <c r="BC170" s="240"/>
      <c r="BD170" s="240"/>
      <c r="BE170" s="240"/>
      <c r="BF170" s="240"/>
      <c r="BG170" s="240"/>
      <c r="BH170" s="240"/>
      <c r="BI170" s="240"/>
      <c r="BJ170" s="240"/>
      <c r="BK170" s="240"/>
      <c r="BL170" s="240"/>
      <c r="BM170" s="74"/>
      <c r="BN170" s="74"/>
      <c r="BO170" s="74"/>
    </row>
    <row r="171" spans="1:67" hidden="1" outlineLevel="1">
      <c r="A171" s="21"/>
      <c r="B171" s="21"/>
      <c r="C171" s="21"/>
      <c r="D171" s="21"/>
      <c r="E171" s="1592">
        <f>Asset29</f>
        <v>0</v>
      </c>
      <c r="F171" s="1593"/>
      <c r="G171" s="1472">
        <f t="shared" ref="G171:P171" si="35">G69-G103-G137</f>
        <v>0</v>
      </c>
      <c r="H171" s="181">
        <f t="shared" si="35"/>
        <v>0</v>
      </c>
      <c r="I171" s="181">
        <f t="shared" si="35"/>
        <v>0</v>
      </c>
      <c r="J171" s="181">
        <f t="shared" si="35"/>
        <v>0</v>
      </c>
      <c r="K171" s="181">
        <f t="shared" si="35"/>
        <v>0</v>
      </c>
      <c r="L171" s="181">
        <f t="shared" si="35"/>
        <v>0</v>
      </c>
      <c r="M171" s="181">
        <f t="shared" si="35"/>
        <v>0</v>
      </c>
      <c r="N171" s="181">
        <f t="shared" si="35"/>
        <v>0</v>
      </c>
      <c r="O171" s="181">
        <f t="shared" si="35"/>
        <v>0</v>
      </c>
      <c r="P171" s="181">
        <f t="shared" si="35"/>
        <v>0</v>
      </c>
      <c r="Q171" s="18"/>
      <c r="R171" s="17"/>
      <c r="S171" s="17"/>
      <c r="T171" s="74"/>
      <c r="U171" s="18"/>
      <c r="V171" s="18"/>
      <c r="W171" s="18"/>
      <c r="X171" s="18"/>
      <c r="Y171" s="18"/>
      <c r="Z171" s="240"/>
      <c r="AA171" s="240"/>
      <c r="AB171" s="240"/>
      <c r="AC171" s="240"/>
      <c r="AD171" s="240"/>
      <c r="AE171" s="240"/>
      <c r="AF171" s="240"/>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c r="BA171" s="240"/>
      <c r="BB171" s="240"/>
      <c r="BC171" s="240"/>
      <c r="BD171" s="240"/>
      <c r="BE171" s="240"/>
      <c r="BF171" s="240"/>
      <c r="BG171" s="240"/>
      <c r="BH171" s="240"/>
      <c r="BI171" s="240"/>
      <c r="BJ171" s="240"/>
      <c r="BK171" s="240"/>
      <c r="BL171" s="240"/>
      <c r="BM171" s="74"/>
      <c r="BN171" s="74"/>
      <c r="BO171" s="74"/>
    </row>
    <row r="172" spans="1:67" hidden="1" outlineLevel="1">
      <c r="A172" s="21"/>
      <c r="B172" s="21"/>
      <c r="C172" s="21"/>
      <c r="D172" s="21"/>
      <c r="E172" s="1592" t="str">
        <f>Asset30</f>
        <v>Equity raising costs</v>
      </c>
      <c r="F172" s="1593"/>
      <c r="G172" s="1472">
        <f t="shared" ref="G172:P172" si="36">G70-G104-G138</f>
        <v>0</v>
      </c>
      <c r="H172" s="181">
        <f t="shared" si="36"/>
        <v>0</v>
      </c>
      <c r="I172" s="181">
        <f t="shared" si="36"/>
        <v>0</v>
      </c>
      <c r="J172" s="181">
        <f t="shared" si="36"/>
        <v>0</v>
      </c>
      <c r="K172" s="181">
        <f t="shared" si="36"/>
        <v>0</v>
      </c>
      <c r="L172" s="181">
        <f t="shared" si="36"/>
        <v>0</v>
      </c>
      <c r="M172" s="181">
        <f t="shared" si="36"/>
        <v>0</v>
      </c>
      <c r="N172" s="181">
        <f t="shared" si="36"/>
        <v>0</v>
      </c>
      <c r="O172" s="181">
        <f t="shared" si="36"/>
        <v>0</v>
      </c>
      <c r="P172" s="181">
        <f t="shared" si="36"/>
        <v>0</v>
      </c>
      <c r="Q172" s="18"/>
      <c r="R172" s="17"/>
      <c r="S172" s="17"/>
      <c r="T172" s="74"/>
      <c r="U172" s="18"/>
      <c r="V172" s="18"/>
      <c r="W172" s="18"/>
      <c r="X172" s="18"/>
      <c r="Y172" s="18"/>
      <c r="Z172" s="240"/>
      <c r="AA172" s="240"/>
      <c r="AB172" s="240"/>
      <c r="AC172" s="240"/>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240"/>
      <c r="AZ172" s="240"/>
      <c r="BA172" s="240"/>
      <c r="BB172" s="240"/>
      <c r="BC172" s="240"/>
      <c r="BD172" s="240"/>
      <c r="BE172" s="240"/>
      <c r="BF172" s="240"/>
      <c r="BG172" s="240"/>
      <c r="BH172" s="240"/>
      <c r="BI172" s="240"/>
      <c r="BJ172" s="240"/>
      <c r="BK172" s="240"/>
      <c r="BL172" s="240"/>
      <c r="BM172" s="74"/>
      <c r="BN172" s="74"/>
      <c r="BO172" s="74"/>
    </row>
    <row r="173" spans="1:67" collapsed="1">
      <c r="A173" s="174"/>
      <c r="B173" s="174"/>
      <c r="C173" s="174"/>
      <c r="D173" s="174"/>
      <c r="E173" s="1592" t="s">
        <v>83</v>
      </c>
      <c r="F173" s="1592"/>
      <c r="G173" s="1400">
        <f t="shared" ref="G173:P173" si="37">SUM(G143:G172)</f>
        <v>2.392331606217617</v>
      </c>
      <c r="H173" s="1400">
        <f t="shared" si="37"/>
        <v>2.7377154308617238</v>
      </c>
      <c r="I173" s="203">
        <f>SUM(I143:I172)</f>
        <v>2.7437799607072693</v>
      </c>
      <c r="J173" s="203">
        <f t="shared" si="37"/>
        <v>2.2518461538461541</v>
      </c>
      <c r="K173" s="203">
        <f t="shared" si="37"/>
        <v>2.9213157894736828</v>
      </c>
      <c r="L173" s="203">
        <f t="shared" si="37"/>
        <v>0</v>
      </c>
      <c r="M173" s="203">
        <f t="shared" si="37"/>
        <v>0</v>
      </c>
      <c r="N173" s="203">
        <f t="shared" si="37"/>
        <v>0</v>
      </c>
      <c r="O173" s="203">
        <f t="shared" si="37"/>
        <v>0</v>
      </c>
      <c r="P173" s="203">
        <f t="shared" si="37"/>
        <v>0</v>
      </c>
      <c r="Q173" s="182"/>
      <c r="R173" s="17"/>
      <c r="S173" s="17"/>
      <c r="T173" s="74"/>
      <c r="U173" s="18"/>
      <c r="V173" s="18"/>
      <c r="W173" s="18"/>
      <c r="X173" s="18"/>
      <c r="Y173" s="18"/>
      <c r="Z173" s="240"/>
      <c r="AA173" s="240"/>
      <c r="AB173" s="240"/>
      <c r="AC173" s="240"/>
      <c r="AD173" s="240"/>
      <c r="AE173" s="240"/>
      <c r="AF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c r="BA173" s="240"/>
      <c r="BB173" s="240"/>
      <c r="BC173" s="240"/>
      <c r="BD173" s="240"/>
      <c r="BE173" s="240"/>
      <c r="BF173" s="240"/>
      <c r="BG173" s="240"/>
      <c r="BH173" s="240"/>
      <c r="BI173" s="240"/>
      <c r="BJ173" s="240"/>
      <c r="BK173" s="240"/>
      <c r="BL173" s="240"/>
      <c r="BM173" s="74"/>
      <c r="BN173" s="74"/>
      <c r="BO173" s="74"/>
    </row>
    <row r="174" spans="1:67" ht="21" customHeight="1">
      <c r="A174" s="21"/>
      <c r="B174" s="21"/>
      <c r="C174" s="21"/>
      <c r="D174" s="21"/>
      <c r="E174" s="21"/>
      <c r="F174" s="92"/>
      <c r="G174" s="92"/>
      <c r="H174" s="92"/>
      <c r="I174" s="92"/>
      <c r="J174" s="92"/>
      <c r="K174" s="92"/>
      <c r="L174" s="92"/>
      <c r="M174" s="92"/>
      <c r="N174" s="92"/>
      <c r="O174" s="92"/>
      <c r="P174" s="92"/>
      <c r="Q174" s="204">
        <f ca="1">SUM(OFFSET(G173,0,0,1,$R$7))</f>
        <v>13.046988941106447</v>
      </c>
      <c r="R174" s="17"/>
      <c r="S174" s="17"/>
      <c r="T174" s="74"/>
      <c r="U174" s="18"/>
      <c r="V174" s="18"/>
      <c r="W174" s="18"/>
      <c r="X174" s="18"/>
      <c r="Y174" s="18"/>
      <c r="Z174" s="240"/>
      <c r="AA174" s="240"/>
      <c r="AB174" s="240"/>
      <c r="AC174" s="240"/>
      <c r="AD174" s="240"/>
      <c r="AE174" s="240"/>
      <c r="AF174" s="240"/>
      <c r="AG174" s="240"/>
      <c r="AH174" s="240"/>
      <c r="AI174" s="240"/>
      <c r="AJ174" s="240"/>
      <c r="AK174" s="240"/>
      <c r="AL174" s="240"/>
      <c r="AM174" s="240"/>
      <c r="AN174" s="240"/>
      <c r="AO174" s="240"/>
      <c r="AP174" s="240"/>
      <c r="AQ174" s="240"/>
      <c r="AR174" s="240"/>
      <c r="AS174" s="240"/>
      <c r="AT174" s="240"/>
      <c r="AU174" s="240"/>
      <c r="AV174" s="240"/>
      <c r="AW174" s="240"/>
      <c r="AX174" s="240"/>
      <c r="AY174" s="240"/>
      <c r="AZ174" s="240"/>
      <c r="BA174" s="240"/>
      <c r="BB174" s="240"/>
      <c r="BC174" s="240"/>
      <c r="BD174" s="240"/>
      <c r="BE174" s="240"/>
      <c r="BF174" s="240"/>
      <c r="BG174" s="240"/>
      <c r="BH174" s="240"/>
      <c r="BI174" s="240"/>
      <c r="BJ174" s="240"/>
      <c r="BK174" s="240"/>
      <c r="BL174" s="240"/>
      <c r="BM174" s="74"/>
      <c r="BN174" s="74"/>
      <c r="BO174" s="74"/>
    </row>
    <row r="175" spans="1:67" ht="15.2" customHeight="1">
      <c r="A175" s="116"/>
      <c r="B175" s="116"/>
      <c r="C175" s="116"/>
      <c r="D175" s="116"/>
      <c r="E175" s="1594" t="str">
        <f>"Forecast Operating and Maintenance Expenditure ($m Real "&amp;$F$241&amp;")"</f>
        <v>Forecast Operating and Maintenance Expenditure ($m Real 2009-10)</v>
      </c>
      <c r="F175" s="1594"/>
      <c r="G175" s="1594"/>
      <c r="H175" s="191"/>
      <c r="I175" s="191"/>
      <c r="J175" s="119"/>
      <c r="K175" s="116"/>
      <c r="L175" s="116"/>
      <c r="M175" s="116"/>
      <c r="N175" s="116"/>
      <c r="O175" s="116"/>
      <c r="P175" s="116"/>
      <c r="Q175" s="116"/>
      <c r="R175" s="116"/>
      <c r="S175" s="116"/>
      <c r="T175" s="116"/>
      <c r="U175" s="18"/>
      <c r="V175" s="18"/>
      <c r="W175" s="18"/>
      <c r="X175" s="18"/>
      <c r="Y175" s="18"/>
      <c r="Z175" s="240"/>
      <c r="AA175" s="240"/>
      <c r="AB175" s="240"/>
      <c r="AC175" s="240"/>
      <c r="AD175" s="240"/>
      <c r="AE175" s="240"/>
      <c r="AF175" s="240"/>
      <c r="AG175" s="240"/>
      <c r="AH175" s="240"/>
      <c r="AI175" s="240"/>
      <c r="AJ175" s="240"/>
      <c r="AK175" s="240"/>
      <c r="AL175" s="240"/>
      <c r="AM175" s="240"/>
      <c r="AN175" s="240"/>
      <c r="AO175" s="240"/>
      <c r="AP175" s="240"/>
      <c r="AQ175" s="240"/>
      <c r="AR175" s="240"/>
      <c r="AS175" s="240"/>
      <c r="AT175" s="240"/>
      <c r="AU175" s="240"/>
      <c r="AV175" s="240"/>
      <c r="AW175" s="240"/>
      <c r="AX175" s="240"/>
      <c r="AY175" s="240"/>
      <c r="AZ175" s="240"/>
      <c r="BA175" s="240"/>
      <c r="BB175" s="240"/>
      <c r="BC175" s="240"/>
      <c r="BD175" s="240"/>
      <c r="BE175" s="240"/>
      <c r="BF175" s="240"/>
      <c r="BG175" s="240"/>
      <c r="BH175" s="240"/>
      <c r="BI175" s="240"/>
      <c r="BJ175" s="240"/>
      <c r="BK175" s="240"/>
      <c r="BL175" s="240"/>
      <c r="BM175" s="74"/>
      <c r="BN175" s="74"/>
      <c r="BO175" s="74"/>
    </row>
    <row r="176" spans="1:67">
      <c r="A176" s="174"/>
      <c r="B176" s="174"/>
      <c r="C176" s="174"/>
      <c r="D176" s="174"/>
      <c r="E176" s="60" t="str">
        <f>E40</f>
        <v>Year</v>
      </c>
      <c r="F176" s="18"/>
      <c r="G176" s="192" t="str">
        <f>G40</f>
        <v>2010-11</v>
      </c>
      <c r="H176" s="192" t="str">
        <f t="shared" ref="H176:P176" si="38">H40</f>
        <v>2011-12</v>
      </c>
      <c r="I176" s="192" t="str">
        <f t="shared" si="38"/>
        <v>2012-13</v>
      </c>
      <c r="J176" s="192" t="str">
        <f t="shared" si="38"/>
        <v>2013-14</v>
      </c>
      <c r="K176" s="192" t="str">
        <f t="shared" si="38"/>
        <v>2014-15</v>
      </c>
      <c r="L176" s="192" t="str">
        <f t="shared" si="38"/>
        <v>2015-16</v>
      </c>
      <c r="M176" s="192" t="str">
        <f t="shared" si="38"/>
        <v>2016-17</v>
      </c>
      <c r="N176" s="192" t="str">
        <f t="shared" si="38"/>
        <v>2017-18</v>
      </c>
      <c r="O176" s="192" t="str">
        <f t="shared" si="38"/>
        <v>2018-19</v>
      </c>
      <c r="P176" s="192" t="str">
        <f t="shared" si="38"/>
        <v>2019-20</v>
      </c>
      <c r="Q176" s="18"/>
      <c r="R176" s="21"/>
      <c r="S176" s="17"/>
      <c r="T176" s="74"/>
      <c r="U176" s="18"/>
      <c r="V176" s="18"/>
      <c r="W176" s="18"/>
      <c r="X176" s="18"/>
      <c r="Y176" s="18"/>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74"/>
      <c r="BN176" s="74"/>
      <c r="BO176" s="74"/>
    </row>
    <row r="177" spans="1:67" ht="15" customHeight="1">
      <c r="A177" s="21"/>
      <c r="B177" s="21"/>
      <c r="C177" s="21"/>
      <c r="D177" s="21"/>
      <c r="E177" s="1486" t="s">
        <v>1275</v>
      </c>
      <c r="F177" s="1487"/>
      <c r="G177" s="1489">
        <f>'[2]PTRM IO'!R56</f>
        <v>5.3183751295336794</v>
      </c>
      <c r="H177" s="1489">
        <f>'[2]PTRM IO'!S56</f>
        <v>5.7282164328657323</v>
      </c>
      <c r="I177" s="1489">
        <f>'[2]PTRM IO'!T56</f>
        <v>6.3179882121807474</v>
      </c>
      <c r="J177" s="1489">
        <f>'[2]PTRM IO'!U56</f>
        <v>6.8919307692307701</v>
      </c>
      <c r="K177" s="1489">
        <f>'[2]PTRM IO'!V56</f>
        <v>6.8885789473684209</v>
      </c>
      <c r="L177" s="199"/>
      <c r="M177" s="199"/>
      <c r="N177" s="199"/>
      <c r="O177" s="199"/>
      <c r="P177" s="199"/>
      <c r="Q177" s="18"/>
      <c r="R177" s="21"/>
      <c r="S177" s="17"/>
      <c r="T177" s="74"/>
      <c r="U177" s="18"/>
      <c r="V177" s="18"/>
      <c r="W177" s="18"/>
      <c r="X177" s="18"/>
      <c r="Y177" s="18"/>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c r="BA177" s="240"/>
      <c r="BB177" s="240"/>
      <c r="BC177" s="240"/>
      <c r="BD177" s="240"/>
      <c r="BE177" s="240"/>
      <c r="BF177" s="240"/>
      <c r="BG177" s="240"/>
      <c r="BH177" s="240"/>
      <c r="BI177" s="240"/>
      <c r="BJ177" s="240"/>
      <c r="BK177" s="240"/>
      <c r="BL177" s="240"/>
      <c r="BM177" s="74"/>
      <c r="BN177" s="74"/>
      <c r="BO177" s="74"/>
    </row>
    <row r="178" spans="1:67" ht="15" customHeight="1">
      <c r="A178" s="21"/>
      <c r="B178" s="21"/>
      <c r="C178" s="21"/>
      <c r="D178" s="21"/>
      <c r="E178" s="1483" t="s">
        <v>1276</v>
      </c>
      <c r="F178" s="1484"/>
      <c r="G178" s="1491">
        <f>'[2]PTRM IO'!R57</f>
        <v>7.4438507772020726E-2</v>
      </c>
      <c r="H178" s="1491">
        <f>'[2]PTRM IO'!S57</f>
        <v>4.290200400801604E-2</v>
      </c>
      <c r="I178" s="1491">
        <f>'[2]PTRM IO'!T57</f>
        <v>7.0563025540275048E-2</v>
      </c>
      <c r="J178" s="1491">
        <f>'[2]PTRM IO'!U57</f>
        <v>6.66171153846154E-2</v>
      </c>
      <c r="K178" s="1491">
        <f>'[2]PTRM IO'!V57</f>
        <v>0.22992499999999999</v>
      </c>
      <c r="L178" s="201"/>
      <c r="M178" s="201"/>
      <c r="N178" s="201"/>
      <c r="O178" s="201"/>
      <c r="P178" s="201"/>
      <c r="Q178" s="18"/>
      <c r="R178" s="21"/>
      <c r="S178" s="17"/>
      <c r="T178" s="74"/>
      <c r="U178" s="18"/>
      <c r="V178" s="18"/>
      <c r="W178" s="18"/>
      <c r="X178" s="18"/>
      <c r="Y178" s="18"/>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74"/>
      <c r="BN178" s="74"/>
      <c r="BO178" s="74"/>
    </row>
    <row r="179" spans="1:67" ht="15" customHeight="1">
      <c r="A179" s="602"/>
      <c r="B179" s="602"/>
      <c r="C179" s="602"/>
      <c r="D179" s="602"/>
      <c r="E179" s="1485" t="s">
        <v>1277</v>
      </c>
      <c r="F179" s="1488"/>
      <c r="G179" s="1491">
        <f>'[2]PTRM IO'!R58</f>
        <v>0</v>
      </c>
      <c r="H179" s="1491">
        <f>'[2]PTRM IO'!S58</f>
        <v>0</v>
      </c>
      <c r="I179" s="1491">
        <f>'[2]PTRM IO'!T58</f>
        <v>0</v>
      </c>
      <c r="J179" s="1491">
        <f>'[2]PTRM IO'!U58</f>
        <v>0</v>
      </c>
      <c r="K179" s="1491">
        <f>'[2]PTRM IO'!V58</f>
        <v>0</v>
      </c>
      <c r="L179" s="201"/>
      <c r="M179" s="201"/>
      <c r="N179" s="201"/>
      <c r="O179" s="201"/>
      <c r="P179" s="201"/>
      <c r="Q179" s="18"/>
      <c r="R179" s="602"/>
      <c r="S179" s="17"/>
      <c r="T179" s="74"/>
      <c r="U179" s="18"/>
      <c r="V179" s="18"/>
      <c r="W179" s="18"/>
      <c r="X179" s="18"/>
      <c r="Y179" s="18"/>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74"/>
      <c r="BN179" s="74"/>
      <c r="BO179" s="74"/>
    </row>
    <row r="180" spans="1:67" ht="15" customHeight="1">
      <c r="A180" s="602"/>
      <c r="B180" s="602"/>
      <c r="C180" s="602"/>
      <c r="D180" s="602"/>
      <c r="E180" s="1483"/>
      <c r="F180" s="1484"/>
      <c r="G180" s="1492"/>
      <c r="H180" s="201"/>
      <c r="I180" s="201"/>
      <c r="J180" s="201"/>
      <c r="K180" s="201"/>
      <c r="L180" s="201"/>
      <c r="M180" s="201"/>
      <c r="N180" s="201"/>
      <c r="O180" s="201"/>
      <c r="P180" s="201"/>
      <c r="Q180" s="18"/>
      <c r="R180" s="602"/>
      <c r="S180" s="17"/>
      <c r="T180" s="74"/>
      <c r="U180" s="18"/>
      <c r="V180" s="18"/>
      <c r="W180" s="18"/>
      <c r="X180" s="18"/>
      <c r="Y180" s="18"/>
      <c r="Z180" s="240"/>
      <c r="AA180" s="240"/>
      <c r="AB180" s="240"/>
      <c r="AC180" s="240"/>
      <c r="AD180" s="240"/>
      <c r="AE180" s="240"/>
      <c r="AF180" s="240"/>
      <c r="AG180" s="240"/>
      <c r="AH180" s="240"/>
      <c r="AI180" s="240"/>
      <c r="AJ180" s="240"/>
      <c r="AK180" s="240"/>
      <c r="AL180" s="240"/>
      <c r="AM180" s="240"/>
      <c r="AN180" s="240"/>
      <c r="AO180" s="240"/>
      <c r="AP180" s="240"/>
      <c r="AQ180" s="240"/>
      <c r="AR180" s="240"/>
      <c r="AS180" s="240"/>
      <c r="AT180" s="240"/>
      <c r="AU180" s="240"/>
      <c r="AV180" s="240"/>
      <c r="AW180" s="240"/>
      <c r="AX180" s="240"/>
      <c r="AY180" s="240"/>
      <c r="AZ180" s="240"/>
      <c r="BA180" s="240"/>
      <c r="BB180" s="240"/>
      <c r="BC180" s="240"/>
      <c r="BD180" s="240"/>
      <c r="BE180" s="240"/>
      <c r="BF180" s="240"/>
      <c r="BG180" s="240"/>
      <c r="BH180" s="240"/>
      <c r="BI180" s="240"/>
      <c r="BJ180" s="240"/>
      <c r="BK180" s="240"/>
      <c r="BL180" s="240"/>
      <c r="BM180" s="74"/>
      <c r="BN180" s="74"/>
      <c r="BO180" s="74"/>
    </row>
    <row r="181" spans="1:67" ht="15" customHeight="1">
      <c r="A181" s="602"/>
      <c r="B181" s="602"/>
      <c r="C181" s="602"/>
      <c r="D181" s="602"/>
      <c r="E181" s="1483"/>
      <c r="F181" s="1484"/>
      <c r="G181" s="200"/>
      <c r="H181" s="201"/>
      <c r="I181" s="201"/>
      <c r="J181" s="201"/>
      <c r="K181" s="201"/>
      <c r="L181" s="201"/>
      <c r="M181" s="201"/>
      <c r="N181" s="201"/>
      <c r="O181" s="201"/>
      <c r="P181" s="201"/>
      <c r="Q181" s="18"/>
      <c r="R181" s="602"/>
      <c r="S181" s="17"/>
      <c r="T181" s="74"/>
      <c r="U181" s="18"/>
      <c r="V181" s="18"/>
      <c r="W181" s="18"/>
      <c r="X181" s="18"/>
      <c r="Y181" s="18"/>
      <c r="Z181" s="240"/>
      <c r="AA181" s="240"/>
      <c r="AB181" s="240"/>
      <c r="AC181" s="240"/>
      <c r="AD181" s="240"/>
      <c r="AE181" s="240"/>
      <c r="AF181" s="240"/>
      <c r="AG181" s="240"/>
      <c r="AH181" s="240"/>
      <c r="AI181" s="240"/>
      <c r="AJ181" s="240"/>
      <c r="AK181" s="240"/>
      <c r="AL181" s="240"/>
      <c r="AM181" s="240"/>
      <c r="AN181" s="240"/>
      <c r="AO181" s="240"/>
      <c r="AP181" s="240"/>
      <c r="AQ181" s="240"/>
      <c r="AR181" s="240"/>
      <c r="AS181" s="240"/>
      <c r="AT181" s="240"/>
      <c r="AU181" s="240"/>
      <c r="AV181" s="240"/>
      <c r="AW181" s="240"/>
      <c r="AX181" s="240"/>
      <c r="AY181" s="240"/>
      <c r="AZ181" s="240"/>
      <c r="BA181" s="240"/>
      <c r="BB181" s="240"/>
      <c r="BC181" s="240"/>
      <c r="BD181" s="240"/>
      <c r="BE181" s="240"/>
      <c r="BF181" s="240"/>
      <c r="BG181" s="240"/>
      <c r="BH181" s="240"/>
      <c r="BI181" s="240"/>
      <c r="BJ181" s="240"/>
      <c r="BK181" s="240"/>
      <c r="BL181" s="240"/>
      <c r="BM181" s="74"/>
      <c r="BN181" s="74"/>
      <c r="BO181" s="74"/>
    </row>
    <row r="182" spans="1:67" ht="15" customHeight="1">
      <c r="A182" s="21"/>
      <c r="B182" s="21"/>
      <c r="C182" s="21"/>
      <c r="D182" s="21"/>
      <c r="E182" s="1483"/>
      <c r="F182" s="1484"/>
      <c r="G182" s="202"/>
      <c r="H182" s="202"/>
      <c r="I182" s="202"/>
      <c r="J182" s="202"/>
      <c r="K182" s="202"/>
      <c r="L182" s="202"/>
      <c r="M182" s="202"/>
      <c r="N182" s="202"/>
      <c r="O182" s="202"/>
      <c r="P182" s="202"/>
      <c r="Q182" s="18"/>
      <c r="R182" s="21"/>
      <c r="S182" s="17"/>
      <c r="T182" s="74"/>
      <c r="U182" s="18"/>
      <c r="V182" s="18"/>
      <c r="W182" s="18"/>
      <c r="X182" s="18"/>
      <c r="Y182" s="18"/>
      <c r="Z182" s="240"/>
      <c r="AA182" s="240"/>
      <c r="AB182" s="240"/>
      <c r="AC182" s="240"/>
      <c r="AD182" s="240"/>
      <c r="AE182" s="240"/>
      <c r="AF182" s="240"/>
      <c r="AG182" s="240"/>
      <c r="AH182" s="240"/>
      <c r="AI182" s="240"/>
      <c r="AJ182" s="240"/>
      <c r="AK182" s="240"/>
      <c r="AL182" s="240"/>
      <c r="AM182" s="240"/>
      <c r="AN182" s="240"/>
      <c r="AO182" s="240"/>
      <c r="AP182" s="240"/>
      <c r="AQ182" s="240"/>
      <c r="AR182" s="240"/>
      <c r="AS182" s="240"/>
      <c r="AT182" s="240"/>
      <c r="AU182" s="240"/>
      <c r="AV182" s="240"/>
      <c r="AW182" s="240"/>
      <c r="AX182" s="240"/>
      <c r="AY182" s="240"/>
      <c r="AZ182" s="240"/>
      <c r="BA182" s="240"/>
      <c r="BB182" s="240"/>
      <c r="BC182" s="240"/>
      <c r="BD182" s="240"/>
      <c r="BE182" s="240"/>
      <c r="BF182" s="240"/>
      <c r="BG182" s="240"/>
      <c r="BH182" s="240"/>
      <c r="BI182" s="240"/>
      <c r="BJ182" s="240"/>
      <c r="BK182" s="240"/>
      <c r="BL182" s="240"/>
      <c r="BM182" s="74"/>
      <c r="BN182" s="74"/>
      <c r="BO182" s="74"/>
    </row>
    <row r="183" spans="1:67" ht="15" customHeight="1">
      <c r="A183" s="602"/>
      <c r="B183" s="602"/>
      <c r="C183" s="602"/>
      <c r="D183" s="602"/>
      <c r="E183" s="1483"/>
      <c r="F183" s="1484"/>
      <c r="G183" s="202"/>
      <c r="H183" s="202"/>
      <c r="I183" s="202"/>
      <c r="J183" s="202"/>
      <c r="K183" s="202"/>
      <c r="L183" s="202"/>
      <c r="M183" s="202"/>
      <c r="N183" s="202"/>
      <c r="O183" s="202"/>
      <c r="P183" s="202"/>
      <c r="Q183" s="18"/>
      <c r="R183" s="602"/>
      <c r="S183" s="17"/>
      <c r="T183" s="74"/>
      <c r="U183" s="18"/>
      <c r="V183" s="18"/>
      <c r="W183" s="18"/>
      <c r="X183" s="18"/>
      <c r="Y183" s="18"/>
      <c r="Z183" s="240"/>
      <c r="AA183" s="240"/>
      <c r="AB183" s="240"/>
      <c r="AC183" s="240"/>
      <c r="AD183" s="240"/>
      <c r="AE183" s="240"/>
      <c r="AF183" s="240"/>
      <c r="AG183" s="240"/>
      <c r="AH183" s="240"/>
      <c r="AI183" s="240"/>
      <c r="AJ183" s="240"/>
      <c r="AK183" s="240"/>
      <c r="AL183" s="240"/>
      <c r="AM183" s="240"/>
      <c r="AN183" s="240"/>
      <c r="AO183" s="240"/>
      <c r="AP183" s="240"/>
      <c r="AQ183" s="240"/>
      <c r="AR183" s="240"/>
      <c r="AS183" s="240"/>
      <c r="AT183" s="240"/>
      <c r="AU183" s="240"/>
      <c r="AV183" s="240"/>
      <c r="AW183" s="240"/>
      <c r="AX183" s="240"/>
      <c r="AY183" s="240"/>
      <c r="AZ183" s="240"/>
      <c r="BA183" s="240"/>
      <c r="BB183" s="240"/>
      <c r="BC183" s="240"/>
      <c r="BD183" s="240"/>
      <c r="BE183" s="240"/>
      <c r="BF183" s="240"/>
      <c r="BG183" s="240"/>
      <c r="BH183" s="240"/>
      <c r="BI183" s="240"/>
      <c r="BJ183" s="240"/>
      <c r="BK183" s="240"/>
      <c r="BL183" s="240"/>
      <c r="BM183" s="74"/>
      <c r="BN183" s="74"/>
      <c r="BO183" s="74"/>
    </row>
    <row r="184" spans="1:67" ht="15" customHeight="1">
      <c r="A184" s="602"/>
      <c r="B184" s="602"/>
      <c r="C184" s="602"/>
      <c r="D184" s="602"/>
      <c r="E184" s="1598"/>
      <c r="F184" s="1599"/>
      <c r="G184" s="643"/>
      <c r="H184" s="643"/>
      <c r="I184" s="643"/>
      <c r="J184" s="643"/>
      <c r="K184" s="643"/>
      <c r="L184" s="643"/>
      <c r="M184" s="643"/>
      <c r="N184" s="643"/>
      <c r="O184" s="643"/>
      <c r="P184" s="643"/>
      <c r="Q184" s="18"/>
      <c r="R184" s="602"/>
      <c r="S184" s="17"/>
      <c r="T184" s="74"/>
      <c r="U184" s="18"/>
      <c r="V184" s="18"/>
      <c r="W184" s="18"/>
      <c r="X184" s="18"/>
      <c r="Y184" s="18"/>
      <c r="Z184" s="240"/>
      <c r="AA184" s="240"/>
      <c r="AB184" s="240"/>
      <c r="AC184" s="240"/>
      <c r="AD184" s="240"/>
      <c r="AE184" s="240"/>
      <c r="AF184" s="240"/>
      <c r="AG184" s="240"/>
      <c r="AH184" s="240"/>
      <c r="AI184" s="240"/>
      <c r="AJ184" s="240"/>
      <c r="AK184" s="240"/>
      <c r="AL184" s="240"/>
      <c r="AM184" s="240"/>
      <c r="AN184" s="240"/>
      <c r="AO184" s="240"/>
      <c r="AP184" s="240"/>
      <c r="AQ184" s="240"/>
      <c r="AR184" s="240"/>
      <c r="AS184" s="240"/>
      <c r="AT184" s="240"/>
      <c r="AU184" s="240"/>
      <c r="AV184" s="240"/>
      <c r="AW184" s="240"/>
      <c r="AX184" s="240"/>
      <c r="AY184" s="240"/>
      <c r="AZ184" s="240"/>
      <c r="BA184" s="240"/>
      <c r="BB184" s="240"/>
      <c r="BC184" s="240"/>
      <c r="BD184" s="240"/>
      <c r="BE184" s="240"/>
      <c r="BF184" s="240"/>
      <c r="BG184" s="240"/>
      <c r="BH184" s="240"/>
      <c r="BI184" s="240"/>
      <c r="BJ184" s="240"/>
      <c r="BK184" s="240"/>
      <c r="BL184" s="240"/>
      <c r="BM184" s="74"/>
      <c r="BN184" s="74"/>
      <c r="BO184" s="74"/>
    </row>
    <row r="185" spans="1:67" ht="15" customHeight="1">
      <c r="A185" s="21"/>
      <c r="B185" s="21"/>
      <c r="C185" s="21"/>
      <c r="D185" s="21"/>
      <c r="E185" s="1595"/>
      <c r="F185" s="1596"/>
      <c r="G185" s="643"/>
      <c r="H185" s="643"/>
      <c r="I185" s="643"/>
      <c r="J185" s="643"/>
      <c r="K185" s="643"/>
      <c r="L185" s="644"/>
      <c r="M185" s="644"/>
      <c r="N185" s="644"/>
      <c r="O185" s="644"/>
      <c r="P185" s="644"/>
      <c r="Q185" s="18"/>
      <c r="R185" s="21"/>
      <c r="S185" s="17"/>
      <c r="T185" s="74"/>
      <c r="U185" s="18"/>
      <c r="V185" s="18"/>
      <c r="W185" s="18"/>
      <c r="X185" s="18"/>
      <c r="Y185" s="18"/>
      <c r="Z185" s="240"/>
      <c r="AA185" s="240"/>
      <c r="AB185" s="240"/>
      <c r="AC185" s="240"/>
      <c r="AD185" s="240"/>
      <c r="AE185" s="240"/>
      <c r="AF185" s="240"/>
      <c r="AG185" s="240"/>
      <c r="AH185" s="240"/>
      <c r="AI185" s="240"/>
      <c r="AJ185" s="240"/>
      <c r="AK185" s="240"/>
      <c r="AL185" s="240"/>
      <c r="AM185" s="240"/>
      <c r="AN185" s="240"/>
      <c r="AO185" s="240"/>
      <c r="AP185" s="240"/>
      <c r="AQ185" s="240"/>
      <c r="AR185" s="240"/>
      <c r="AS185" s="240"/>
      <c r="AT185" s="240"/>
      <c r="AU185" s="240"/>
      <c r="AV185" s="240"/>
      <c r="AW185" s="240"/>
      <c r="AX185" s="240"/>
      <c r="AY185" s="240"/>
      <c r="AZ185" s="240"/>
      <c r="BA185" s="240"/>
      <c r="BB185" s="240"/>
      <c r="BC185" s="240"/>
      <c r="BD185" s="240"/>
      <c r="BE185" s="240"/>
      <c r="BF185" s="240"/>
      <c r="BG185" s="240"/>
      <c r="BH185" s="240"/>
      <c r="BI185" s="240"/>
      <c r="BJ185" s="240"/>
      <c r="BK185" s="240"/>
      <c r="BL185" s="240"/>
      <c r="BM185" s="74"/>
      <c r="BN185" s="74"/>
      <c r="BO185" s="74"/>
    </row>
    <row r="186" spans="1:67" ht="15" customHeight="1">
      <c r="A186" s="21"/>
      <c r="B186" s="21"/>
      <c r="C186" s="21"/>
      <c r="D186" s="21"/>
      <c r="E186" s="1603" t="s">
        <v>99</v>
      </c>
      <c r="F186" s="1604"/>
      <c r="G186" s="1403">
        <f>(Drc*Dv*Assets!G475)/Assets!G7</f>
        <v>1.8993443647067409E-2</v>
      </c>
      <c r="H186" s="1403">
        <f>IF(COUNT($G186:G186)&gt;='PTRM input'!$R$7,0,(Drc*Dv*Assets!H475)/Assets!H7)</f>
        <v>1.8912725710857701E-2</v>
      </c>
      <c r="I186" s="1403">
        <f>IF(COUNT($G186:H186)&gt;='PTRM input'!$R$7,0,(Drc*Dv*Assets!I475)/Assets!I7)</f>
        <v>1.8978864270711247E-2</v>
      </c>
      <c r="J186" s="1403">
        <f>IF(COUNT($G186:I186)&gt;='PTRM input'!$R$7,0,(Drc*Dv*Assets!J475)/Assets!J7)</f>
        <v>1.8993190171705424E-2</v>
      </c>
      <c r="K186" s="1403">
        <f>IF(COUNT($G186:J186)&gt;='PTRM input'!$R$7,0,(Drc*Dv*Assets!K475)/Assets!K7)</f>
        <v>1.8674234080050155E-2</v>
      </c>
      <c r="L186" s="1403">
        <f>IF(COUNT($G186:K186)&gt;='PTRM input'!$R$7,0,(Drc*Dv*Assets!L475)/Assets!L7)</f>
        <v>0</v>
      </c>
      <c r="M186" s="1403">
        <f>IF(COUNT($G186:L186)&gt;='PTRM input'!$R$7,0,(Drc*Dv*Assets!M475)/Assets!M7)</f>
        <v>0</v>
      </c>
      <c r="N186" s="1403">
        <f>IF(COUNT($G186:M186)&gt;='PTRM input'!$R$7,0,(Drc*Dv*Assets!N475)/Assets!N7)</f>
        <v>0</v>
      </c>
      <c r="O186" s="1403">
        <f>IF(COUNT($G186:N186)&gt;='PTRM input'!$R$7,0,(Drc*Dv*Assets!O475)/Assets!O7)</f>
        <v>0</v>
      </c>
      <c r="P186" s="1403">
        <f>IF(COUNT($G186:O186)&gt;='PTRM input'!$R$7,0,(Drc*Dv*Assets!P475)/Assets!P7)</f>
        <v>0</v>
      </c>
      <c r="Q186" s="18"/>
      <c r="R186" s="21"/>
      <c r="S186" s="17"/>
      <c r="T186" s="74"/>
      <c r="U186" s="18"/>
      <c r="V186" s="18"/>
      <c r="W186" s="18"/>
      <c r="X186" s="18"/>
      <c r="Y186" s="18"/>
      <c r="Z186" s="240"/>
      <c r="AA186" s="240"/>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c r="BA186" s="240"/>
      <c r="BB186" s="240"/>
      <c r="BC186" s="240"/>
      <c r="BD186" s="240"/>
      <c r="BE186" s="240"/>
      <c r="BF186" s="240"/>
      <c r="BG186" s="240"/>
      <c r="BH186" s="240"/>
      <c r="BI186" s="240"/>
      <c r="BJ186" s="240"/>
      <c r="BK186" s="240"/>
      <c r="BL186" s="240"/>
      <c r="BM186" s="74"/>
      <c r="BN186" s="74"/>
      <c r="BO186" s="74"/>
    </row>
    <row r="187" spans="1:67" ht="15" customHeight="1">
      <c r="A187" s="174"/>
      <c r="B187" s="174"/>
      <c r="C187" s="174"/>
      <c r="D187" s="174"/>
      <c r="E187" s="1592" t="s">
        <v>83</v>
      </c>
      <c r="F187" s="1592"/>
      <c r="G187" s="1400">
        <f t="shared" ref="G187:P187" si="39">SUM(G177:G186)</f>
        <v>5.4118070809527676</v>
      </c>
      <c r="H187" s="1400">
        <f t="shared" si="39"/>
        <v>5.7900311625846062</v>
      </c>
      <c r="I187" s="203">
        <f t="shared" si="39"/>
        <v>6.4075301019917337</v>
      </c>
      <c r="J187" s="203">
        <f t="shared" si="39"/>
        <v>6.9775410747870907</v>
      </c>
      <c r="K187" s="203">
        <f t="shared" si="39"/>
        <v>7.1371781814484709</v>
      </c>
      <c r="L187" s="203">
        <f t="shared" si="39"/>
        <v>0</v>
      </c>
      <c r="M187" s="203">
        <f t="shared" si="39"/>
        <v>0</v>
      </c>
      <c r="N187" s="203">
        <f t="shared" si="39"/>
        <v>0</v>
      </c>
      <c r="O187" s="203">
        <f t="shared" si="39"/>
        <v>0</v>
      </c>
      <c r="P187" s="203">
        <f t="shared" si="39"/>
        <v>0</v>
      </c>
      <c r="Q187" s="18"/>
      <c r="R187" s="21"/>
      <c r="S187" s="17"/>
      <c r="T187" s="74"/>
      <c r="U187" s="18"/>
      <c r="V187" s="18"/>
      <c r="W187" s="18"/>
      <c r="X187" s="18"/>
      <c r="Y187" s="18"/>
      <c r="Z187" s="240"/>
      <c r="AA187" s="240"/>
      <c r="AB187" s="240"/>
      <c r="AC187" s="240"/>
      <c r="AD187" s="240"/>
      <c r="AE187" s="240"/>
      <c r="AF187" s="240"/>
      <c r="AG187" s="240"/>
      <c r="AH187" s="240"/>
      <c r="AI187" s="240"/>
      <c r="AJ187" s="240"/>
      <c r="AK187" s="240"/>
      <c r="AL187" s="240"/>
      <c r="AM187" s="240"/>
      <c r="AN187" s="240"/>
      <c r="AO187" s="240"/>
      <c r="AP187" s="240"/>
      <c r="AQ187" s="240"/>
      <c r="AR187" s="240"/>
      <c r="AS187" s="240"/>
      <c r="AT187" s="240"/>
      <c r="AU187" s="240"/>
      <c r="AV187" s="240"/>
      <c r="AW187" s="240"/>
      <c r="AX187" s="240"/>
      <c r="AY187" s="240"/>
      <c r="AZ187" s="240"/>
      <c r="BA187" s="240"/>
      <c r="BB187" s="240"/>
      <c r="BC187" s="240"/>
      <c r="BD187" s="240"/>
      <c r="BE187" s="240"/>
      <c r="BF187" s="240"/>
      <c r="BG187" s="240"/>
      <c r="BH187" s="240"/>
      <c r="BI187" s="240"/>
      <c r="BJ187" s="240"/>
      <c r="BK187" s="240"/>
      <c r="BL187" s="240"/>
      <c r="BM187" s="74"/>
      <c r="BN187" s="74"/>
      <c r="BO187" s="74"/>
    </row>
    <row r="188" spans="1:67" s="87" customFormat="1" ht="21" customHeight="1">
      <c r="A188" s="21"/>
      <c r="B188" s="21"/>
      <c r="C188" s="21"/>
      <c r="D188" s="21"/>
      <c r="E188" s="174"/>
      <c r="F188" s="24"/>
      <c r="G188" s="175"/>
      <c r="H188" s="175"/>
      <c r="I188" s="175"/>
      <c r="J188" s="175"/>
      <c r="K188" s="175"/>
      <c r="L188" s="175"/>
      <c r="M188" s="175"/>
      <c r="N188" s="175"/>
      <c r="O188" s="175"/>
      <c r="P188" s="175"/>
      <c r="Q188" s="204">
        <f ca="1">SUM(OFFSET(G187,0,0,1,$R$7))</f>
        <v>31.724087601764666</v>
      </c>
      <c r="R188" s="174"/>
      <c r="S188" s="22"/>
      <c r="T188" s="176"/>
      <c r="Z188" s="356"/>
      <c r="AA188" s="356"/>
      <c r="AB188" s="356"/>
      <c r="AC188" s="356"/>
      <c r="AD188" s="356"/>
      <c r="AE188" s="356"/>
      <c r="AF188" s="356"/>
      <c r="AG188" s="356"/>
      <c r="AH188" s="356"/>
      <c r="AI188" s="356"/>
      <c r="AJ188" s="356"/>
      <c r="AK188" s="356"/>
      <c r="AL188" s="356"/>
      <c r="AM188" s="356"/>
      <c r="AN188" s="356"/>
      <c r="AO188" s="356"/>
      <c r="AP188" s="356"/>
      <c r="AQ188" s="356"/>
      <c r="AR188" s="356"/>
      <c r="AS188" s="356"/>
      <c r="AT188" s="356"/>
      <c r="AU188" s="356"/>
      <c r="AV188" s="356"/>
      <c r="AW188" s="356"/>
      <c r="AX188" s="356"/>
      <c r="AY188" s="356"/>
      <c r="AZ188" s="356"/>
      <c r="BA188" s="356"/>
      <c r="BB188" s="356"/>
      <c r="BC188" s="356"/>
      <c r="BD188" s="356"/>
      <c r="BE188" s="356"/>
      <c r="BF188" s="356"/>
      <c r="BG188" s="356"/>
      <c r="BH188" s="356"/>
      <c r="BI188" s="356"/>
      <c r="BJ188" s="356"/>
      <c r="BK188" s="356"/>
      <c r="BL188" s="356"/>
      <c r="BM188" s="74"/>
      <c r="BN188" s="74"/>
      <c r="BO188" s="74"/>
    </row>
    <row r="189" spans="1:67" ht="15.2" customHeight="1">
      <c r="A189" s="116"/>
      <c r="B189" s="116"/>
      <c r="C189" s="116"/>
      <c r="D189" s="116"/>
      <c r="E189" s="1597" t="str">
        <f>"Revenue Adjustments ($m Real "&amp;$F$241&amp;")"</f>
        <v>Revenue Adjustments ($m Real 2009-10)</v>
      </c>
      <c r="F189" s="1597"/>
      <c r="G189" s="1597"/>
      <c r="H189" s="650"/>
      <c r="I189" s="411"/>
      <c r="J189" s="119"/>
      <c r="K189" s="116"/>
      <c r="L189" s="116"/>
      <c r="M189" s="116"/>
      <c r="N189" s="116"/>
      <c r="O189" s="116"/>
      <c r="P189" s="116"/>
      <c r="Q189" s="116"/>
      <c r="R189" s="116"/>
      <c r="S189" s="116"/>
      <c r="T189" s="116"/>
      <c r="U189" s="18"/>
      <c r="V189" s="18"/>
      <c r="W189" s="18"/>
      <c r="X189" s="18"/>
      <c r="Y189" s="18"/>
      <c r="Z189" s="240"/>
      <c r="AA189" s="240"/>
      <c r="AB189" s="240"/>
      <c r="AC189" s="240"/>
      <c r="AD189" s="240"/>
      <c r="AE189" s="240"/>
      <c r="AF189" s="240"/>
      <c r="AG189" s="240"/>
      <c r="AH189" s="240"/>
      <c r="AI189" s="240"/>
      <c r="AJ189" s="240"/>
      <c r="AK189" s="240"/>
      <c r="AL189" s="240"/>
      <c r="AM189" s="240"/>
      <c r="AN189" s="240"/>
      <c r="AO189" s="240"/>
      <c r="AP189" s="240"/>
      <c r="AQ189" s="240"/>
      <c r="AR189" s="240"/>
      <c r="AS189" s="240"/>
      <c r="AT189" s="240"/>
      <c r="AU189" s="240"/>
      <c r="AV189" s="240"/>
      <c r="AW189" s="240"/>
      <c r="AX189" s="240"/>
      <c r="AY189" s="240"/>
      <c r="AZ189" s="240"/>
      <c r="BA189" s="240"/>
      <c r="BB189" s="240"/>
      <c r="BC189" s="240"/>
      <c r="BD189" s="240"/>
      <c r="BE189" s="240"/>
      <c r="BF189" s="240"/>
      <c r="BG189" s="240"/>
      <c r="BH189" s="240"/>
      <c r="BI189" s="240"/>
      <c r="BJ189" s="240"/>
      <c r="BK189" s="240"/>
      <c r="BL189" s="240"/>
      <c r="BM189" s="74"/>
      <c r="BN189" s="74"/>
      <c r="BO189" s="74"/>
    </row>
    <row r="190" spans="1:67">
      <c r="A190" s="174"/>
      <c r="B190" s="174"/>
      <c r="C190" s="174"/>
      <c r="D190" s="174"/>
      <c r="E190" s="60" t="str">
        <f>E40</f>
        <v>Year</v>
      </c>
      <c r="F190" s="18"/>
      <c r="G190" s="192" t="str">
        <f t="shared" ref="G190:P190" si="40">G40</f>
        <v>2010-11</v>
      </c>
      <c r="H190" s="192" t="str">
        <f t="shared" si="40"/>
        <v>2011-12</v>
      </c>
      <c r="I190" s="192" t="str">
        <f t="shared" si="40"/>
        <v>2012-13</v>
      </c>
      <c r="J190" s="192" t="str">
        <f t="shared" si="40"/>
        <v>2013-14</v>
      </c>
      <c r="K190" s="192" t="str">
        <f t="shared" si="40"/>
        <v>2014-15</v>
      </c>
      <c r="L190" s="192" t="str">
        <f t="shared" si="40"/>
        <v>2015-16</v>
      </c>
      <c r="M190" s="192" t="str">
        <f t="shared" si="40"/>
        <v>2016-17</v>
      </c>
      <c r="N190" s="192" t="str">
        <f t="shared" si="40"/>
        <v>2017-18</v>
      </c>
      <c r="O190" s="192" t="str">
        <f t="shared" si="40"/>
        <v>2018-19</v>
      </c>
      <c r="P190" s="192" t="str">
        <f t="shared" si="40"/>
        <v>2019-20</v>
      </c>
      <c r="Q190" s="18"/>
      <c r="R190" s="27" t="s">
        <v>393</v>
      </c>
      <c r="S190" s="617" t="s">
        <v>394</v>
      </c>
      <c r="T190" s="74"/>
      <c r="U190" s="18"/>
      <c r="V190" s="18"/>
      <c r="W190" s="18"/>
      <c r="X190" s="18"/>
      <c r="Y190" s="18"/>
      <c r="Z190" s="240"/>
      <c r="AA190" s="240"/>
      <c r="AB190" s="240"/>
      <c r="AC190" s="240"/>
      <c r="AD190" s="240"/>
      <c r="AE190" s="240"/>
      <c r="AF190" s="240"/>
      <c r="AG190" s="240"/>
      <c r="AH190" s="240"/>
      <c r="AI190" s="240"/>
      <c r="AJ190" s="240"/>
      <c r="AK190" s="240"/>
      <c r="AL190" s="240"/>
      <c r="AM190" s="240"/>
      <c r="AN190" s="240"/>
      <c r="AO190" s="240"/>
      <c r="AP190" s="240"/>
      <c r="AQ190" s="240"/>
      <c r="AR190" s="240"/>
      <c r="AS190" s="240"/>
      <c r="AT190" s="240"/>
      <c r="AU190" s="240"/>
      <c r="AV190" s="240"/>
      <c r="AW190" s="240"/>
      <c r="AX190" s="240"/>
      <c r="AY190" s="240"/>
      <c r="AZ190" s="240"/>
      <c r="BA190" s="240"/>
      <c r="BB190" s="240"/>
      <c r="BC190" s="240"/>
      <c r="BD190" s="240"/>
      <c r="BE190" s="240"/>
      <c r="BF190" s="240"/>
      <c r="BG190" s="240"/>
      <c r="BH190" s="240"/>
      <c r="BI190" s="240"/>
      <c r="BJ190" s="240"/>
      <c r="BK190" s="240"/>
      <c r="BL190" s="240"/>
      <c r="BM190" s="74"/>
      <c r="BN190" s="74"/>
      <c r="BO190" s="74"/>
    </row>
    <row r="191" spans="1:67" ht="15" customHeight="1">
      <c r="A191" s="410"/>
      <c r="B191" s="410"/>
      <c r="C191" s="410"/>
      <c r="D191" s="410"/>
      <c r="E191" s="1587" t="s">
        <v>474</v>
      </c>
      <c r="F191" s="1588"/>
      <c r="G191" s="198"/>
      <c r="H191" s="199"/>
      <c r="I191" s="199"/>
      <c r="J191" s="199"/>
      <c r="K191" s="199"/>
      <c r="L191" s="199"/>
      <c r="M191" s="199"/>
      <c r="N191" s="199"/>
      <c r="O191" s="199"/>
      <c r="P191" s="199"/>
      <c r="Q191" s="18"/>
      <c r="R191" s="99" t="s">
        <v>395</v>
      </c>
      <c r="S191" s="618" t="s">
        <v>395</v>
      </c>
      <c r="T191" s="633" t="str">
        <f>IF(AND(R191="No",S191="Yes"),"Caution - there appears to be an error, if an adjustment is not included as tax income, it should not be a tax expense.","")</f>
        <v/>
      </c>
      <c r="U191" s="18"/>
      <c r="V191" s="240"/>
      <c r="W191" s="240"/>
      <c r="X191" s="240"/>
      <c r="Y191" s="240"/>
      <c r="Z191" s="240"/>
      <c r="AA191" s="240"/>
      <c r="AB191" s="240"/>
      <c r="AC191" s="240"/>
      <c r="AD191" s="240"/>
      <c r="AE191" s="240"/>
      <c r="AF191" s="240"/>
      <c r="AG191" s="240"/>
      <c r="AH191" s="240"/>
      <c r="AI191" s="240"/>
      <c r="AJ191" s="240"/>
      <c r="AK191" s="240"/>
      <c r="AL191" s="240"/>
      <c r="AM191" s="240"/>
      <c r="AN191" s="240"/>
      <c r="AO191" s="240"/>
      <c r="AP191" s="240"/>
      <c r="AQ191" s="240"/>
      <c r="AR191" s="240"/>
      <c r="AS191" s="240"/>
      <c r="AT191" s="240"/>
      <c r="AU191" s="240"/>
      <c r="AV191" s="240"/>
      <c r="AW191" s="240"/>
      <c r="AX191" s="240"/>
      <c r="AY191" s="240"/>
      <c r="AZ191" s="240"/>
      <c r="BA191" s="240"/>
      <c r="BB191" s="240"/>
      <c r="BC191" s="240"/>
      <c r="BD191" s="240"/>
      <c r="BE191" s="240"/>
      <c r="BF191" s="240"/>
      <c r="BG191" s="240"/>
      <c r="BH191" s="240"/>
      <c r="BI191" s="240"/>
      <c r="BJ191" s="240"/>
      <c r="BK191" s="240"/>
      <c r="BL191" s="240"/>
      <c r="BM191" s="74"/>
      <c r="BN191" s="74"/>
      <c r="BO191" s="74"/>
    </row>
    <row r="192" spans="1:67" ht="15" customHeight="1">
      <c r="A192" s="410"/>
      <c r="B192" s="410"/>
      <c r="C192" s="410"/>
      <c r="D192" s="410"/>
      <c r="E192" s="1589" t="s">
        <v>475</v>
      </c>
      <c r="F192" s="1590"/>
      <c r="G192" s="200"/>
      <c r="H192" s="201"/>
      <c r="I192" s="201"/>
      <c r="J192" s="201"/>
      <c r="K192" s="201"/>
      <c r="L192" s="201"/>
      <c r="M192" s="201"/>
      <c r="N192" s="201"/>
      <c r="O192" s="201"/>
      <c r="P192" s="201"/>
      <c r="Q192" s="18"/>
      <c r="R192" s="100" t="s">
        <v>395</v>
      </c>
      <c r="S192" s="619" t="s">
        <v>396</v>
      </c>
      <c r="T192" s="633" t="str">
        <f t="shared" ref="T192:T200" si="41">IF(AND(R192="No",S192="Yes"),"Caution - there appears to be an error, if an adjustment is not included as tax income, it should not be a tax expense.","")</f>
        <v/>
      </c>
      <c r="U192" s="18"/>
      <c r="V192" s="240"/>
      <c r="W192" s="240"/>
      <c r="X192" s="240"/>
      <c r="Y192" s="240"/>
      <c r="Z192" s="240"/>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240"/>
      <c r="BE192" s="240"/>
      <c r="BF192" s="240"/>
      <c r="BG192" s="240"/>
      <c r="BH192" s="240"/>
      <c r="BI192" s="240"/>
      <c r="BJ192" s="240"/>
      <c r="BK192" s="240"/>
      <c r="BL192" s="240"/>
      <c r="BM192" s="74"/>
      <c r="BN192" s="74"/>
      <c r="BO192" s="74"/>
    </row>
    <row r="193" spans="1:67" ht="15" customHeight="1">
      <c r="A193" s="602"/>
      <c r="B193" s="602"/>
      <c r="C193" s="602"/>
      <c r="D193" s="602"/>
      <c r="E193" s="1589" t="s">
        <v>421</v>
      </c>
      <c r="F193" s="1590"/>
      <c r="G193" s="200"/>
      <c r="H193" s="201"/>
      <c r="I193" s="201"/>
      <c r="J193" s="201"/>
      <c r="K193" s="201"/>
      <c r="L193" s="201"/>
      <c r="M193" s="201"/>
      <c r="N193" s="201"/>
      <c r="O193" s="201"/>
      <c r="P193" s="201"/>
      <c r="Q193" s="18"/>
      <c r="R193" s="100" t="s">
        <v>396</v>
      </c>
      <c r="S193" s="619" t="s">
        <v>396</v>
      </c>
      <c r="T193" s="633" t="str">
        <f t="shared" si="41"/>
        <v/>
      </c>
      <c r="U193" s="18"/>
      <c r="V193" s="240"/>
      <c r="W193" s="240"/>
      <c r="X193" s="240"/>
      <c r="Y193" s="240"/>
      <c r="Z193" s="240"/>
      <c r="AA193" s="240"/>
      <c r="AB193" s="240"/>
      <c r="AC193" s="240"/>
      <c r="AD193" s="240"/>
      <c r="AE193" s="240"/>
      <c r="AF193" s="240"/>
      <c r="AG193" s="240"/>
      <c r="AH193" s="240"/>
      <c r="AI193" s="240"/>
      <c r="AJ193" s="240"/>
      <c r="AK193" s="240"/>
      <c r="AL193" s="240"/>
      <c r="AM193" s="240"/>
      <c r="AN193" s="240"/>
      <c r="AO193" s="240"/>
      <c r="AP193" s="240"/>
      <c r="AQ193" s="240"/>
      <c r="AR193" s="240"/>
      <c r="AS193" s="240"/>
      <c r="AT193" s="240"/>
      <c r="AU193" s="240"/>
      <c r="AV193" s="240"/>
      <c r="AW193" s="240"/>
      <c r="AX193" s="240"/>
      <c r="AY193" s="240"/>
      <c r="AZ193" s="240"/>
      <c r="BA193" s="240"/>
      <c r="BB193" s="240"/>
      <c r="BC193" s="240"/>
      <c r="BD193" s="240"/>
      <c r="BE193" s="240"/>
      <c r="BF193" s="240"/>
      <c r="BG193" s="240"/>
      <c r="BH193" s="240"/>
      <c r="BI193" s="240"/>
      <c r="BJ193" s="240"/>
      <c r="BK193" s="240"/>
      <c r="BL193" s="240"/>
      <c r="BM193" s="74"/>
      <c r="BN193" s="74"/>
      <c r="BO193" s="74"/>
    </row>
    <row r="194" spans="1:67" ht="15" customHeight="1">
      <c r="A194" s="602"/>
      <c r="B194" s="602"/>
      <c r="C194" s="602"/>
      <c r="D194" s="602"/>
      <c r="E194" s="1589" t="s">
        <v>420</v>
      </c>
      <c r="F194" s="1590"/>
      <c r="G194" s="200"/>
      <c r="H194" s="201"/>
      <c r="I194" s="201"/>
      <c r="J194" s="201"/>
      <c r="K194" s="201"/>
      <c r="L194" s="201"/>
      <c r="M194" s="201"/>
      <c r="N194" s="201"/>
      <c r="O194" s="201"/>
      <c r="P194" s="201"/>
      <c r="Q194" s="18"/>
      <c r="R194" s="100" t="s">
        <v>395</v>
      </c>
      <c r="S194" s="619" t="s">
        <v>395</v>
      </c>
      <c r="T194" s="633" t="str">
        <f t="shared" si="41"/>
        <v/>
      </c>
      <c r="U194" s="18"/>
      <c r="V194" s="240"/>
      <c r="W194" s="240"/>
      <c r="X194" s="240"/>
      <c r="Y194" s="240"/>
      <c r="Z194" s="240"/>
      <c r="AA194" s="240"/>
      <c r="AB194" s="240"/>
      <c r="AC194" s="240"/>
      <c r="AD194" s="240"/>
      <c r="AE194" s="240"/>
      <c r="AF194" s="240"/>
      <c r="AG194" s="240"/>
      <c r="AH194" s="240"/>
      <c r="AI194" s="240"/>
      <c r="AJ194" s="240"/>
      <c r="AK194" s="240"/>
      <c r="AL194" s="240"/>
      <c r="AM194" s="240"/>
      <c r="AN194" s="240"/>
      <c r="AO194" s="240"/>
      <c r="AP194" s="240"/>
      <c r="AQ194" s="240"/>
      <c r="AR194" s="240"/>
      <c r="AS194" s="240"/>
      <c r="AT194" s="240"/>
      <c r="AU194" s="240"/>
      <c r="AV194" s="240"/>
      <c r="AW194" s="240"/>
      <c r="AX194" s="240"/>
      <c r="AY194" s="240"/>
      <c r="AZ194" s="240"/>
      <c r="BA194" s="240"/>
      <c r="BB194" s="240"/>
      <c r="BC194" s="240"/>
      <c r="BD194" s="240"/>
      <c r="BE194" s="240"/>
      <c r="BF194" s="240"/>
      <c r="BG194" s="240"/>
      <c r="BH194" s="240"/>
      <c r="BI194" s="240"/>
      <c r="BJ194" s="240"/>
      <c r="BK194" s="240"/>
      <c r="BL194" s="240"/>
      <c r="BM194" s="74"/>
      <c r="BN194" s="74"/>
      <c r="BO194" s="74"/>
    </row>
    <row r="195" spans="1:67" ht="15" customHeight="1">
      <c r="A195" s="602"/>
      <c r="B195" s="602"/>
      <c r="C195" s="602"/>
      <c r="D195" s="602"/>
      <c r="E195" s="1589"/>
      <c r="F195" s="1590"/>
      <c r="G195" s="200"/>
      <c r="H195" s="201"/>
      <c r="I195" s="201"/>
      <c r="J195" s="201"/>
      <c r="K195" s="201"/>
      <c r="L195" s="201"/>
      <c r="M195" s="201"/>
      <c r="N195" s="201"/>
      <c r="O195" s="201"/>
      <c r="P195" s="201"/>
      <c r="Q195" s="18"/>
      <c r="R195" s="100"/>
      <c r="S195" s="619"/>
      <c r="T195" s="633" t="str">
        <f t="shared" si="41"/>
        <v/>
      </c>
      <c r="U195" s="18"/>
      <c r="V195" s="18"/>
      <c r="W195" s="18"/>
      <c r="X195" s="18"/>
      <c r="Y195" s="18"/>
      <c r="Z195" s="240"/>
      <c r="AA195" s="240"/>
      <c r="AB195" s="240"/>
      <c r="AC195" s="240"/>
      <c r="AD195" s="240"/>
      <c r="AE195" s="240"/>
      <c r="AF195" s="240"/>
      <c r="AG195" s="240"/>
      <c r="AH195" s="240"/>
      <c r="AI195" s="240"/>
      <c r="AJ195" s="240"/>
      <c r="AK195" s="240"/>
      <c r="AL195" s="240"/>
      <c r="AM195" s="240"/>
      <c r="AN195" s="240"/>
      <c r="AO195" s="240"/>
      <c r="AP195" s="240"/>
      <c r="AQ195" s="240"/>
      <c r="AR195" s="240"/>
      <c r="AS195" s="240"/>
      <c r="AT195" s="240"/>
      <c r="AU195" s="240"/>
      <c r="AV195" s="240"/>
      <c r="AW195" s="240"/>
      <c r="AX195" s="240"/>
      <c r="AY195" s="240"/>
      <c r="AZ195" s="240"/>
      <c r="BA195" s="240"/>
      <c r="BB195" s="240"/>
      <c r="BC195" s="240"/>
      <c r="BD195" s="240"/>
      <c r="BE195" s="240"/>
      <c r="BF195" s="240"/>
      <c r="BG195" s="240"/>
      <c r="BH195" s="240"/>
      <c r="BI195" s="240"/>
      <c r="BJ195" s="240"/>
      <c r="BK195" s="240"/>
      <c r="BL195" s="240"/>
      <c r="BM195" s="74"/>
      <c r="BN195" s="74"/>
      <c r="BO195" s="74"/>
    </row>
    <row r="196" spans="1:67" ht="15" customHeight="1">
      <c r="A196" s="602"/>
      <c r="B196" s="602"/>
      <c r="C196" s="602"/>
      <c r="D196" s="602"/>
      <c r="E196" s="1589"/>
      <c r="F196" s="1590"/>
      <c r="G196" s="200"/>
      <c r="H196" s="201"/>
      <c r="I196" s="201"/>
      <c r="J196" s="201"/>
      <c r="K196" s="201"/>
      <c r="L196" s="201"/>
      <c r="M196" s="201"/>
      <c r="N196" s="201"/>
      <c r="O196" s="201"/>
      <c r="P196" s="201"/>
      <c r="Q196" s="18"/>
      <c r="R196" s="100"/>
      <c r="S196" s="619"/>
      <c r="T196" s="633" t="str">
        <f t="shared" si="41"/>
        <v/>
      </c>
      <c r="U196" s="18"/>
      <c r="V196" s="18"/>
      <c r="W196" s="18"/>
      <c r="X196" s="18"/>
      <c r="Y196" s="18"/>
      <c r="Z196" s="240"/>
      <c r="AA196" s="240"/>
      <c r="AB196" s="240"/>
      <c r="AC196" s="240"/>
      <c r="AD196" s="240"/>
      <c r="AE196" s="240"/>
      <c r="AF196" s="240"/>
      <c r="AG196" s="240"/>
      <c r="AH196" s="240"/>
      <c r="AI196" s="240"/>
      <c r="AJ196" s="240"/>
      <c r="AK196" s="240"/>
      <c r="AL196" s="240"/>
      <c r="AM196" s="240"/>
      <c r="AN196" s="240"/>
      <c r="AO196" s="240"/>
      <c r="AP196" s="240"/>
      <c r="AQ196" s="240"/>
      <c r="AR196" s="240"/>
      <c r="AS196" s="240"/>
      <c r="AT196" s="240"/>
      <c r="AU196" s="240"/>
      <c r="AV196" s="240"/>
      <c r="AW196" s="240"/>
      <c r="AX196" s="240"/>
      <c r="AY196" s="240"/>
      <c r="AZ196" s="240"/>
      <c r="BA196" s="240"/>
      <c r="BB196" s="240"/>
      <c r="BC196" s="240"/>
      <c r="BD196" s="240"/>
      <c r="BE196" s="240"/>
      <c r="BF196" s="240"/>
      <c r="BG196" s="240"/>
      <c r="BH196" s="240"/>
      <c r="BI196" s="240"/>
      <c r="BJ196" s="240"/>
      <c r="BK196" s="240"/>
      <c r="BL196" s="240"/>
      <c r="BM196" s="74"/>
      <c r="BN196" s="74"/>
      <c r="BO196" s="74"/>
    </row>
    <row r="197" spans="1:67" ht="15" customHeight="1">
      <c r="A197" s="602"/>
      <c r="B197" s="602"/>
      <c r="C197" s="602"/>
      <c r="D197" s="602"/>
      <c r="E197" s="1589"/>
      <c r="F197" s="1590"/>
      <c r="G197" s="200"/>
      <c r="H197" s="201"/>
      <c r="I197" s="201"/>
      <c r="J197" s="201"/>
      <c r="K197" s="201"/>
      <c r="L197" s="201"/>
      <c r="M197" s="201"/>
      <c r="N197" s="201"/>
      <c r="O197" s="201"/>
      <c r="P197" s="201"/>
      <c r="Q197" s="18"/>
      <c r="R197" s="100"/>
      <c r="S197" s="619"/>
      <c r="T197" s="633" t="str">
        <f t="shared" si="41"/>
        <v/>
      </c>
      <c r="U197" s="18"/>
      <c r="V197" s="18"/>
      <c r="W197" s="18"/>
      <c r="X197" s="18"/>
      <c r="Y197" s="18"/>
      <c r="Z197" s="240"/>
      <c r="AA197" s="240"/>
      <c r="AB197" s="240"/>
      <c r="AC197" s="240"/>
      <c r="AD197" s="240"/>
      <c r="AE197" s="240"/>
      <c r="AF197" s="240"/>
      <c r="AG197" s="240"/>
      <c r="AH197" s="240"/>
      <c r="AI197" s="240"/>
      <c r="AJ197" s="240"/>
      <c r="AK197" s="240"/>
      <c r="AL197" s="240"/>
      <c r="AM197" s="240"/>
      <c r="AN197" s="240"/>
      <c r="AO197" s="240"/>
      <c r="AP197" s="240"/>
      <c r="AQ197" s="240"/>
      <c r="AR197" s="240"/>
      <c r="AS197" s="240"/>
      <c r="AT197" s="240"/>
      <c r="AU197" s="240"/>
      <c r="AV197" s="240"/>
      <c r="AW197" s="240"/>
      <c r="AX197" s="240"/>
      <c r="AY197" s="240"/>
      <c r="AZ197" s="240"/>
      <c r="BA197" s="240"/>
      <c r="BB197" s="240"/>
      <c r="BC197" s="240"/>
      <c r="BD197" s="240"/>
      <c r="BE197" s="240"/>
      <c r="BF197" s="240"/>
      <c r="BG197" s="240"/>
      <c r="BH197" s="240"/>
      <c r="BI197" s="240"/>
      <c r="BJ197" s="240"/>
      <c r="BK197" s="240"/>
      <c r="BL197" s="240"/>
      <c r="BM197" s="74"/>
      <c r="BN197" s="74"/>
      <c r="BO197" s="74"/>
    </row>
    <row r="198" spans="1:67" ht="15" customHeight="1">
      <c r="A198" s="602"/>
      <c r="B198" s="602"/>
      <c r="C198" s="602"/>
      <c r="D198" s="602"/>
      <c r="E198" s="1589"/>
      <c r="F198" s="1590"/>
      <c r="G198" s="200"/>
      <c r="H198" s="201"/>
      <c r="I198" s="201"/>
      <c r="J198" s="201"/>
      <c r="K198" s="201"/>
      <c r="L198" s="201"/>
      <c r="M198" s="201"/>
      <c r="N198" s="201"/>
      <c r="O198" s="201"/>
      <c r="P198" s="201"/>
      <c r="Q198" s="18"/>
      <c r="R198" s="100"/>
      <c r="S198" s="619"/>
      <c r="T198" s="633" t="str">
        <f t="shared" si="41"/>
        <v/>
      </c>
      <c r="U198" s="18"/>
      <c r="V198" s="18"/>
      <c r="W198" s="18"/>
      <c r="X198" s="18"/>
      <c r="Y198" s="18"/>
      <c r="Z198" s="240"/>
      <c r="AA198" s="240"/>
      <c r="AB198" s="240"/>
      <c r="AC198" s="240"/>
      <c r="AD198" s="240"/>
      <c r="AE198" s="240"/>
      <c r="AF198" s="240"/>
      <c r="AG198" s="240"/>
      <c r="AH198" s="240"/>
      <c r="AI198" s="240"/>
      <c r="AJ198" s="240"/>
      <c r="AK198" s="240"/>
      <c r="AL198" s="240"/>
      <c r="AM198" s="240"/>
      <c r="AN198" s="240"/>
      <c r="AO198" s="240"/>
      <c r="AP198" s="240"/>
      <c r="AQ198" s="240"/>
      <c r="AR198" s="240"/>
      <c r="AS198" s="240"/>
      <c r="AT198" s="240"/>
      <c r="AU198" s="240"/>
      <c r="AV198" s="240"/>
      <c r="AW198" s="240"/>
      <c r="AX198" s="240"/>
      <c r="AY198" s="240"/>
      <c r="AZ198" s="240"/>
      <c r="BA198" s="240"/>
      <c r="BB198" s="240"/>
      <c r="BC198" s="240"/>
      <c r="BD198" s="240"/>
      <c r="BE198" s="240"/>
      <c r="BF198" s="240"/>
      <c r="BG198" s="240"/>
      <c r="BH198" s="240"/>
      <c r="BI198" s="240"/>
      <c r="BJ198" s="240"/>
      <c r="BK198" s="240"/>
      <c r="BL198" s="240"/>
      <c r="BM198" s="74"/>
      <c r="BN198" s="74"/>
      <c r="BO198" s="74"/>
    </row>
    <row r="199" spans="1:67" ht="15" customHeight="1">
      <c r="A199" s="602"/>
      <c r="B199" s="602"/>
      <c r="C199" s="602"/>
      <c r="D199" s="602"/>
      <c r="E199" s="1589"/>
      <c r="F199" s="1590"/>
      <c r="G199" s="200"/>
      <c r="H199" s="201"/>
      <c r="I199" s="201"/>
      <c r="J199" s="201"/>
      <c r="K199" s="201"/>
      <c r="L199" s="201"/>
      <c r="M199" s="201"/>
      <c r="N199" s="201"/>
      <c r="O199" s="201"/>
      <c r="P199" s="201"/>
      <c r="Q199" s="18"/>
      <c r="R199" s="100"/>
      <c r="S199" s="619"/>
      <c r="T199" s="633" t="str">
        <f t="shared" si="41"/>
        <v/>
      </c>
      <c r="U199" s="18"/>
      <c r="V199" s="18"/>
      <c r="W199" s="18"/>
      <c r="X199" s="18"/>
      <c r="Y199" s="18"/>
      <c r="Z199" s="240"/>
      <c r="AA199" s="240"/>
      <c r="AB199" s="240"/>
      <c r="AC199" s="240"/>
      <c r="AD199" s="240"/>
      <c r="AE199" s="240"/>
      <c r="AF199" s="240"/>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c r="BA199" s="240"/>
      <c r="BB199" s="240"/>
      <c r="BC199" s="240"/>
      <c r="BD199" s="240"/>
      <c r="BE199" s="240"/>
      <c r="BF199" s="240"/>
      <c r="BG199" s="240"/>
      <c r="BH199" s="240"/>
      <c r="BI199" s="240"/>
      <c r="BJ199" s="240"/>
      <c r="BK199" s="240"/>
      <c r="BL199" s="240"/>
      <c r="BM199" s="74"/>
      <c r="BN199" s="74"/>
      <c r="BO199" s="74"/>
    </row>
    <row r="200" spans="1:67" ht="15" customHeight="1">
      <c r="A200" s="410"/>
      <c r="B200" s="410"/>
      <c r="C200" s="410"/>
      <c r="D200" s="410"/>
      <c r="E200" s="1589"/>
      <c r="F200" s="1590"/>
      <c r="G200" s="202"/>
      <c r="H200" s="202"/>
      <c r="I200" s="202"/>
      <c r="J200" s="202"/>
      <c r="K200" s="202"/>
      <c r="L200" s="201"/>
      <c r="M200" s="201"/>
      <c r="N200" s="201"/>
      <c r="O200" s="201"/>
      <c r="P200" s="201"/>
      <c r="Q200" s="18"/>
      <c r="R200" s="100"/>
      <c r="S200" s="619"/>
      <c r="T200" s="633" t="str">
        <f t="shared" si="41"/>
        <v/>
      </c>
      <c r="U200" s="18"/>
      <c r="V200" s="18"/>
      <c r="W200" s="18"/>
      <c r="X200" s="18"/>
      <c r="Y200" s="18"/>
      <c r="Z200" s="240"/>
      <c r="AA200" s="240"/>
      <c r="AB200" s="240"/>
      <c r="AC200" s="240"/>
      <c r="AD200" s="240"/>
      <c r="AE200" s="240"/>
      <c r="AF200" s="240"/>
      <c r="AG200" s="240"/>
      <c r="AH200" s="240"/>
      <c r="AI200" s="240"/>
      <c r="AJ200" s="240"/>
      <c r="AK200" s="240"/>
      <c r="AL200" s="240"/>
      <c r="AM200" s="240"/>
      <c r="AN200" s="240"/>
      <c r="AO200" s="240"/>
      <c r="AP200" s="240"/>
      <c r="AQ200" s="240"/>
      <c r="AR200" s="240"/>
      <c r="AS200" s="240"/>
      <c r="AT200" s="240"/>
      <c r="AU200" s="240"/>
      <c r="AV200" s="240"/>
      <c r="AW200" s="240"/>
      <c r="AX200" s="240"/>
      <c r="AY200" s="240"/>
      <c r="AZ200" s="240"/>
      <c r="BA200" s="240"/>
      <c r="BB200" s="240"/>
      <c r="BC200" s="240"/>
      <c r="BD200" s="240"/>
      <c r="BE200" s="240"/>
      <c r="BF200" s="240"/>
      <c r="BG200" s="240"/>
      <c r="BH200" s="240"/>
      <c r="BI200" s="240"/>
      <c r="BJ200" s="240"/>
      <c r="BK200" s="240"/>
      <c r="BL200" s="240"/>
      <c r="BM200" s="74"/>
      <c r="BN200" s="74"/>
      <c r="BO200" s="74"/>
    </row>
    <row r="201" spans="1:67" ht="15" customHeight="1">
      <c r="A201" s="174"/>
      <c r="B201" s="174"/>
      <c r="C201" s="174"/>
      <c r="D201" s="174"/>
      <c r="E201" s="1591" t="s">
        <v>508</v>
      </c>
      <c r="F201" s="1592"/>
      <c r="G201" s="203">
        <f>SUMIF($R$191:$R$200,"Yes",G191:G200)</f>
        <v>0</v>
      </c>
      <c r="H201" s="203">
        <f t="shared" ref="H201:P201" si="42">SUMIF($R$191:$R$200,"Yes",H191:H200)</f>
        <v>0</v>
      </c>
      <c r="I201" s="203">
        <f t="shared" si="42"/>
        <v>0</v>
      </c>
      <c r="J201" s="203">
        <f t="shared" si="42"/>
        <v>0</v>
      </c>
      <c r="K201" s="203">
        <f t="shared" si="42"/>
        <v>0</v>
      </c>
      <c r="L201" s="203">
        <f t="shared" si="42"/>
        <v>0</v>
      </c>
      <c r="M201" s="203">
        <f t="shared" si="42"/>
        <v>0</v>
      </c>
      <c r="N201" s="203">
        <f t="shared" si="42"/>
        <v>0</v>
      </c>
      <c r="O201" s="203">
        <f t="shared" si="42"/>
        <v>0</v>
      </c>
      <c r="P201" s="203">
        <f t="shared" si="42"/>
        <v>0</v>
      </c>
      <c r="Q201" s="18"/>
      <c r="R201" s="602"/>
      <c r="S201" s="17"/>
      <c r="T201" s="74"/>
      <c r="U201" s="18"/>
      <c r="V201" s="18"/>
      <c r="W201" s="18"/>
      <c r="X201" s="18"/>
      <c r="Y201" s="18"/>
      <c r="Z201" s="240"/>
      <c r="AA201" s="240"/>
      <c r="AB201" s="240"/>
      <c r="AC201" s="240"/>
      <c r="AD201" s="240"/>
      <c r="AE201" s="240"/>
      <c r="AF201" s="240"/>
      <c r="AG201" s="240"/>
      <c r="AH201" s="240"/>
      <c r="AI201" s="240"/>
      <c r="AJ201" s="240"/>
      <c r="AK201" s="240"/>
      <c r="AL201" s="240"/>
      <c r="AM201" s="240"/>
      <c r="AN201" s="240"/>
      <c r="AO201" s="240"/>
      <c r="AP201" s="240"/>
      <c r="AQ201" s="240"/>
      <c r="AR201" s="240"/>
      <c r="AS201" s="240"/>
      <c r="AT201" s="240"/>
      <c r="AU201" s="240"/>
      <c r="AV201" s="240"/>
      <c r="AW201" s="240"/>
      <c r="AX201" s="240"/>
      <c r="AY201" s="240"/>
      <c r="AZ201" s="240"/>
      <c r="BA201" s="240"/>
      <c r="BB201" s="240"/>
      <c r="BC201" s="240"/>
      <c r="BD201" s="240"/>
      <c r="BE201" s="240"/>
      <c r="BF201" s="240"/>
      <c r="BG201" s="240"/>
      <c r="BH201" s="240"/>
      <c r="BI201" s="240"/>
      <c r="BJ201" s="240"/>
      <c r="BK201" s="240"/>
      <c r="BL201" s="240"/>
      <c r="BM201" s="74"/>
      <c r="BN201" s="74"/>
      <c r="BO201" s="74"/>
    </row>
    <row r="202" spans="1:67" ht="15" customHeight="1">
      <c r="A202" s="174"/>
      <c r="B202" s="174"/>
      <c r="C202" s="174"/>
      <c r="D202" s="174"/>
      <c r="E202" s="315" t="s">
        <v>509</v>
      </c>
      <c r="F202" s="601"/>
      <c r="G202" s="203">
        <f>SUMIF($R$191:$R$200,"No",G191:G200)</f>
        <v>0</v>
      </c>
      <c r="H202" s="203">
        <f t="shared" ref="H202:P202" si="43">SUMIF($R$191:$R$200,"No",H191:H200)</f>
        <v>0</v>
      </c>
      <c r="I202" s="203">
        <f t="shared" si="43"/>
        <v>0</v>
      </c>
      <c r="J202" s="203">
        <f t="shared" si="43"/>
        <v>0</v>
      </c>
      <c r="K202" s="203">
        <f t="shared" si="43"/>
        <v>0</v>
      </c>
      <c r="L202" s="203">
        <f t="shared" si="43"/>
        <v>0</v>
      </c>
      <c r="M202" s="203">
        <f t="shared" si="43"/>
        <v>0</v>
      </c>
      <c r="N202" s="203">
        <f t="shared" si="43"/>
        <v>0</v>
      </c>
      <c r="O202" s="203">
        <f t="shared" si="43"/>
        <v>0</v>
      </c>
      <c r="P202" s="203">
        <f t="shared" si="43"/>
        <v>0</v>
      </c>
      <c r="Q202" s="18"/>
      <c r="R202" s="602"/>
      <c r="S202" s="17"/>
      <c r="T202" s="74"/>
      <c r="U202" s="18"/>
      <c r="V202" s="18"/>
      <c r="W202" s="18"/>
      <c r="X202" s="18"/>
      <c r="Y202" s="18"/>
      <c r="Z202" s="240"/>
      <c r="AA202" s="240"/>
      <c r="AB202" s="240"/>
      <c r="AC202" s="240"/>
      <c r="AD202" s="240"/>
      <c r="AE202" s="240"/>
      <c r="AF202" s="240"/>
      <c r="AG202" s="240"/>
      <c r="AH202" s="240"/>
      <c r="AI202" s="240"/>
      <c r="AJ202" s="240"/>
      <c r="AK202" s="240"/>
      <c r="AL202" s="240"/>
      <c r="AM202" s="240"/>
      <c r="AN202" s="240"/>
      <c r="AO202" s="240"/>
      <c r="AP202" s="240"/>
      <c r="AQ202" s="240"/>
      <c r="AR202" s="240"/>
      <c r="AS202" s="240"/>
      <c r="AT202" s="240"/>
      <c r="AU202" s="240"/>
      <c r="AV202" s="240"/>
      <c r="AW202" s="240"/>
      <c r="AX202" s="240"/>
      <c r="AY202" s="240"/>
      <c r="AZ202" s="240"/>
      <c r="BA202" s="240"/>
      <c r="BB202" s="240"/>
      <c r="BC202" s="240"/>
      <c r="BD202" s="240"/>
      <c r="BE202" s="240"/>
      <c r="BF202" s="240"/>
      <c r="BG202" s="240"/>
      <c r="BH202" s="240"/>
      <c r="BI202" s="240"/>
      <c r="BJ202" s="240"/>
      <c r="BK202" s="240"/>
      <c r="BL202" s="240"/>
      <c r="BM202" s="74"/>
      <c r="BN202" s="74"/>
      <c r="BO202" s="74"/>
    </row>
    <row r="203" spans="1:67" ht="15" customHeight="1">
      <c r="A203" s="174"/>
      <c r="B203" s="174"/>
      <c r="C203" s="174"/>
      <c r="D203" s="174"/>
      <c r="E203" s="1591" t="s">
        <v>510</v>
      </c>
      <c r="F203" s="1592"/>
      <c r="G203" s="203">
        <f>SUMIF($S$191:$S$200,"Yes",G191:G200)</f>
        <v>0</v>
      </c>
      <c r="H203" s="203">
        <f t="shared" ref="H203:P203" si="44">SUMIF($S$191:$S$200,"Yes",H191:H200)</f>
        <v>0</v>
      </c>
      <c r="I203" s="203">
        <f t="shared" si="44"/>
        <v>0</v>
      </c>
      <c r="J203" s="203">
        <f t="shared" si="44"/>
        <v>0</v>
      </c>
      <c r="K203" s="203">
        <f t="shared" si="44"/>
        <v>0</v>
      </c>
      <c r="L203" s="203">
        <f t="shared" si="44"/>
        <v>0</v>
      </c>
      <c r="M203" s="203">
        <f t="shared" si="44"/>
        <v>0</v>
      </c>
      <c r="N203" s="203">
        <f t="shared" si="44"/>
        <v>0</v>
      </c>
      <c r="O203" s="203">
        <f t="shared" si="44"/>
        <v>0</v>
      </c>
      <c r="P203" s="203">
        <f t="shared" si="44"/>
        <v>0</v>
      </c>
      <c r="Q203" s="18"/>
      <c r="R203" s="602"/>
      <c r="S203" s="17"/>
      <c r="T203" s="74"/>
      <c r="U203" s="18"/>
      <c r="V203" s="18"/>
      <c r="W203" s="18"/>
      <c r="X203" s="18"/>
      <c r="Y203" s="18"/>
      <c r="Z203" s="240"/>
      <c r="AA203" s="240"/>
      <c r="AB203" s="240"/>
      <c r="AC203" s="240"/>
      <c r="AD203" s="240"/>
      <c r="AE203" s="240"/>
      <c r="AF203" s="240"/>
      <c r="AG203" s="240"/>
      <c r="AH203" s="240"/>
      <c r="AI203" s="240"/>
      <c r="AJ203" s="240"/>
      <c r="AK203" s="240"/>
      <c r="AL203" s="240"/>
      <c r="AM203" s="240"/>
      <c r="AN203" s="240"/>
      <c r="AO203" s="240"/>
      <c r="AP203" s="240"/>
      <c r="AQ203" s="240"/>
      <c r="AR203" s="240"/>
      <c r="AS203" s="240"/>
      <c r="AT203" s="240"/>
      <c r="AU203" s="240"/>
      <c r="AV203" s="240"/>
      <c r="AW203" s="240"/>
      <c r="AX203" s="240"/>
      <c r="AY203" s="240"/>
      <c r="AZ203" s="240"/>
      <c r="BA203" s="240"/>
      <c r="BB203" s="240"/>
      <c r="BC203" s="240"/>
      <c r="BD203" s="240"/>
      <c r="BE203" s="240"/>
      <c r="BF203" s="240"/>
      <c r="BG203" s="240"/>
      <c r="BH203" s="240"/>
      <c r="BI203" s="240"/>
      <c r="BJ203" s="240"/>
      <c r="BK203" s="240"/>
      <c r="BL203" s="240"/>
      <c r="BM203" s="74"/>
      <c r="BN203" s="74"/>
      <c r="BO203" s="74"/>
    </row>
    <row r="204" spans="1:67" ht="15" customHeight="1">
      <c r="A204" s="174"/>
      <c r="B204" s="174"/>
      <c r="C204" s="174"/>
      <c r="D204" s="174"/>
      <c r="E204" s="315" t="s">
        <v>511</v>
      </c>
      <c r="F204" s="601"/>
      <c r="G204" s="203">
        <f>SUMIF($S$191:$S$200,"No",G191:G200)</f>
        <v>0</v>
      </c>
      <c r="H204" s="203">
        <f t="shared" ref="H204:P204" si="45">SUMIF($S$191:$S$200,"No",H191:H200)</f>
        <v>0</v>
      </c>
      <c r="I204" s="203">
        <f t="shared" si="45"/>
        <v>0</v>
      </c>
      <c r="J204" s="203">
        <f t="shared" si="45"/>
        <v>0</v>
      </c>
      <c r="K204" s="203">
        <f t="shared" si="45"/>
        <v>0</v>
      </c>
      <c r="L204" s="203">
        <f t="shared" si="45"/>
        <v>0</v>
      </c>
      <c r="M204" s="203">
        <f t="shared" si="45"/>
        <v>0</v>
      </c>
      <c r="N204" s="203">
        <f t="shared" si="45"/>
        <v>0</v>
      </c>
      <c r="O204" s="203">
        <f t="shared" si="45"/>
        <v>0</v>
      </c>
      <c r="P204" s="203">
        <f t="shared" si="45"/>
        <v>0</v>
      </c>
      <c r="Q204" s="18"/>
      <c r="R204" s="602"/>
      <c r="S204" s="17"/>
      <c r="T204" s="74"/>
      <c r="U204" s="18"/>
      <c r="V204" s="18"/>
      <c r="W204" s="18"/>
      <c r="X204" s="18"/>
      <c r="Y204" s="18"/>
      <c r="Z204" s="240"/>
      <c r="AA204" s="240"/>
      <c r="AB204" s="240"/>
      <c r="AC204" s="240"/>
      <c r="AD204" s="240"/>
      <c r="AE204" s="240"/>
      <c r="AF204" s="240"/>
      <c r="AG204" s="240"/>
      <c r="AH204" s="240"/>
      <c r="AI204" s="240"/>
      <c r="AJ204" s="240"/>
      <c r="AK204" s="240"/>
      <c r="AL204" s="240"/>
      <c r="AM204" s="240"/>
      <c r="AN204" s="240"/>
      <c r="AO204" s="240"/>
      <c r="AP204" s="240"/>
      <c r="AQ204" s="240"/>
      <c r="AR204" s="240"/>
      <c r="AS204" s="240"/>
      <c r="AT204" s="240"/>
      <c r="AU204" s="240"/>
      <c r="AV204" s="240"/>
      <c r="AW204" s="240"/>
      <c r="AX204" s="240"/>
      <c r="AY204" s="240"/>
      <c r="AZ204" s="240"/>
      <c r="BA204" s="240"/>
      <c r="BB204" s="240"/>
      <c r="BC204" s="240"/>
      <c r="BD204" s="240"/>
      <c r="BE204" s="240"/>
      <c r="BF204" s="240"/>
      <c r="BG204" s="240"/>
      <c r="BH204" s="240"/>
      <c r="BI204" s="240"/>
      <c r="BJ204" s="240"/>
      <c r="BK204" s="240"/>
      <c r="BL204" s="240"/>
      <c r="BM204" s="74"/>
      <c r="BN204" s="74"/>
      <c r="BO204" s="74"/>
    </row>
    <row r="205" spans="1:67" ht="15" customHeight="1">
      <c r="A205" s="174"/>
      <c r="B205" s="174"/>
      <c r="C205" s="174"/>
      <c r="D205" s="174"/>
      <c r="E205" s="1591" t="s">
        <v>392</v>
      </c>
      <c r="F205" s="1592"/>
      <c r="G205" s="203">
        <f t="shared" ref="G205:P205" si="46">SUM(G191:G200)</f>
        <v>0</v>
      </c>
      <c r="H205" s="203">
        <f t="shared" si="46"/>
        <v>0</v>
      </c>
      <c r="I205" s="203">
        <f t="shared" si="46"/>
        <v>0</v>
      </c>
      <c r="J205" s="203">
        <f t="shared" si="46"/>
        <v>0</v>
      </c>
      <c r="K205" s="203">
        <f t="shared" si="46"/>
        <v>0</v>
      </c>
      <c r="L205" s="203">
        <f t="shared" si="46"/>
        <v>0</v>
      </c>
      <c r="M205" s="203">
        <f t="shared" si="46"/>
        <v>0</v>
      </c>
      <c r="N205" s="203">
        <f t="shared" si="46"/>
        <v>0</v>
      </c>
      <c r="O205" s="203">
        <f t="shared" si="46"/>
        <v>0</v>
      </c>
      <c r="P205" s="203">
        <f t="shared" si="46"/>
        <v>0</v>
      </c>
      <c r="Q205" s="18"/>
      <c r="R205" s="410"/>
      <c r="S205" s="17"/>
      <c r="T205" s="74"/>
      <c r="U205" s="18"/>
      <c r="V205" s="18"/>
      <c r="W205" s="18"/>
      <c r="X205" s="18"/>
      <c r="Y205" s="18"/>
      <c r="Z205" s="240"/>
      <c r="AA205" s="240"/>
      <c r="AB205" s="240"/>
      <c r="AC205" s="240"/>
      <c r="AD205" s="240"/>
      <c r="AE205" s="240"/>
      <c r="AF205" s="240"/>
      <c r="AG205" s="240"/>
      <c r="AH205" s="240"/>
      <c r="AI205" s="240"/>
      <c r="AJ205" s="240"/>
      <c r="AK205" s="240"/>
      <c r="AL205" s="240"/>
      <c r="AM205" s="240"/>
      <c r="AN205" s="240"/>
      <c r="AO205" s="240"/>
      <c r="AP205" s="240"/>
      <c r="AQ205" s="240"/>
      <c r="AR205" s="240"/>
      <c r="AS205" s="240"/>
      <c r="AT205" s="240"/>
      <c r="AU205" s="240"/>
      <c r="AV205" s="240"/>
      <c r="AW205" s="240"/>
      <c r="AX205" s="240"/>
      <c r="AY205" s="240"/>
      <c r="AZ205" s="240"/>
      <c r="BA205" s="240"/>
      <c r="BB205" s="240"/>
      <c r="BC205" s="240"/>
      <c r="BD205" s="240"/>
      <c r="BE205" s="240"/>
      <c r="BF205" s="240"/>
      <c r="BG205" s="240"/>
      <c r="BH205" s="240"/>
      <c r="BI205" s="240"/>
      <c r="BJ205" s="240"/>
      <c r="BK205" s="240"/>
      <c r="BL205" s="240"/>
      <c r="BM205" s="74"/>
      <c r="BN205" s="74"/>
      <c r="BO205" s="74"/>
    </row>
    <row r="206" spans="1:67" s="87" customFormat="1" ht="21" customHeight="1">
      <c r="A206" s="410"/>
      <c r="B206" s="410"/>
      <c r="C206" s="410"/>
      <c r="D206" s="410"/>
      <c r="E206" s="174"/>
      <c r="F206" s="409"/>
      <c r="G206" s="175"/>
      <c r="H206" s="175"/>
      <c r="I206" s="175"/>
      <c r="J206" s="175"/>
      <c r="K206" s="175"/>
      <c r="L206" s="175"/>
      <c r="M206" s="175"/>
      <c r="N206" s="175"/>
      <c r="O206" s="175"/>
      <c r="P206" s="175"/>
      <c r="Q206" s="204">
        <f ca="1">SUM(OFFSET(G205,0,0,1,$R$7))</f>
        <v>0</v>
      </c>
      <c r="R206" s="174"/>
      <c r="S206" s="22"/>
      <c r="T206" s="176"/>
      <c r="Z206" s="356"/>
      <c r="AA206" s="356"/>
      <c r="AB206" s="356"/>
      <c r="AC206" s="356"/>
      <c r="AD206" s="356"/>
      <c r="AE206" s="356"/>
      <c r="AF206" s="356"/>
      <c r="AG206" s="356"/>
      <c r="AH206" s="356"/>
      <c r="AI206" s="356"/>
      <c r="AJ206" s="356"/>
      <c r="AK206" s="356"/>
      <c r="AL206" s="356"/>
      <c r="AM206" s="356"/>
      <c r="AN206" s="356"/>
      <c r="AO206" s="356"/>
      <c r="AP206" s="356"/>
      <c r="AQ206" s="356"/>
      <c r="AR206" s="356"/>
      <c r="AS206" s="356"/>
      <c r="AT206" s="356"/>
      <c r="AU206" s="356"/>
      <c r="AV206" s="356"/>
      <c r="AW206" s="356"/>
      <c r="AX206" s="356"/>
      <c r="AY206" s="356"/>
      <c r="AZ206" s="356"/>
      <c r="BA206" s="356"/>
      <c r="BB206" s="356"/>
      <c r="BC206" s="356"/>
      <c r="BD206" s="356"/>
      <c r="BE206" s="356"/>
      <c r="BF206" s="356"/>
      <c r="BG206" s="356"/>
      <c r="BH206" s="356"/>
      <c r="BI206" s="356"/>
      <c r="BJ206" s="356"/>
      <c r="BK206" s="356"/>
      <c r="BL206" s="356"/>
      <c r="BM206" s="74"/>
      <c r="BN206" s="74"/>
      <c r="BO206" s="74"/>
    </row>
    <row r="207" spans="1:67" ht="15.2" customHeight="1">
      <c r="A207" s="120"/>
      <c r="B207" s="120"/>
      <c r="C207" s="120"/>
      <c r="D207" s="120"/>
      <c r="E207" s="191" t="s">
        <v>422</v>
      </c>
      <c r="F207" s="194"/>
      <c r="G207" s="194"/>
      <c r="H207" s="194"/>
      <c r="I207" s="121"/>
      <c r="J207" s="122"/>
      <c r="K207" s="122"/>
      <c r="L207" s="122"/>
      <c r="M207" s="122"/>
      <c r="N207" s="122"/>
      <c r="O207" s="122"/>
      <c r="P207" s="122"/>
      <c r="Q207" s="122"/>
      <c r="R207" s="122"/>
      <c r="S207" s="122"/>
      <c r="T207" s="122"/>
      <c r="U207" s="18"/>
      <c r="V207" s="18"/>
      <c r="W207" s="18"/>
      <c r="X207" s="18"/>
      <c r="Y207" s="18"/>
      <c r="Z207" s="240"/>
      <c r="AA207" s="240"/>
      <c r="AB207" s="240"/>
      <c r="AC207" s="240"/>
      <c r="AD207" s="240"/>
      <c r="AE207" s="240"/>
      <c r="AF207" s="240"/>
      <c r="AG207" s="240"/>
      <c r="AH207" s="240"/>
      <c r="AI207" s="240"/>
      <c r="AJ207" s="240"/>
      <c r="AK207" s="240"/>
      <c r="AL207" s="240"/>
      <c r="AM207" s="240"/>
      <c r="AN207" s="240"/>
      <c r="AO207" s="240"/>
      <c r="AP207" s="240"/>
      <c r="AQ207" s="240"/>
      <c r="AR207" s="240"/>
      <c r="AS207" s="240"/>
      <c r="AT207" s="240"/>
      <c r="AU207" s="240"/>
      <c r="AV207" s="240"/>
      <c r="AW207" s="240"/>
      <c r="AX207" s="240"/>
      <c r="AY207" s="240"/>
      <c r="AZ207" s="240"/>
      <c r="BA207" s="240"/>
      <c r="BB207" s="240"/>
      <c r="BC207" s="240"/>
      <c r="BD207" s="240"/>
      <c r="BE207" s="240"/>
      <c r="BF207" s="240"/>
      <c r="BG207" s="240"/>
      <c r="BH207" s="240"/>
      <c r="BI207" s="240"/>
      <c r="BJ207" s="240"/>
      <c r="BK207" s="240"/>
      <c r="BL207" s="240"/>
      <c r="BM207" s="74"/>
      <c r="BN207" s="74"/>
      <c r="BO207" s="74"/>
    </row>
    <row r="208" spans="1:67">
      <c r="A208" s="174"/>
      <c r="B208" s="174"/>
      <c r="C208" s="174"/>
      <c r="D208" s="174"/>
      <c r="E208" s="447" t="str">
        <f>E40</f>
        <v>Year</v>
      </c>
      <c r="F208" s="236"/>
      <c r="G208" s="352" t="str">
        <f t="shared" ref="G208:P208" si="47">G40</f>
        <v>2010-11</v>
      </c>
      <c r="H208" s="352" t="str">
        <f t="shared" si="47"/>
        <v>2011-12</v>
      </c>
      <c r="I208" s="352" t="str">
        <f t="shared" si="47"/>
        <v>2012-13</v>
      </c>
      <c r="J208" s="352" t="str">
        <f t="shared" si="47"/>
        <v>2013-14</v>
      </c>
      <c r="K208" s="352" t="str">
        <f t="shared" si="47"/>
        <v>2014-15</v>
      </c>
      <c r="L208" s="352" t="str">
        <f t="shared" si="47"/>
        <v>2015-16</v>
      </c>
      <c r="M208" s="352" t="str">
        <f t="shared" si="47"/>
        <v>2016-17</v>
      </c>
      <c r="N208" s="352" t="str">
        <f t="shared" si="47"/>
        <v>2017-18</v>
      </c>
      <c r="O208" s="352" t="str">
        <f t="shared" si="47"/>
        <v>2018-19</v>
      </c>
      <c r="P208" s="352" t="str">
        <f t="shared" si="47"/>
        <v>2019-20</v>
      </c>
      <c r="Q208" s="22"/>
      <c r="R208" s="22"/>
      <c r="S208" s="75"/>
      <c r="T208" s="18"/>
      <c r="U208" s="18"/>
      <c r="V208" s="18"/>
      <c r="W208" s="18"/>
      <c r="X208" s="18"/>
      <c r="Y208" s="18"/>
      <c r="Z208" s="240"/>
      <c r="AA208" s="240"/>
      <c r="AB208" s="240"/>
      <c r="AC208" s="240"/>
      <c r="AD208" s="240"/>
      <c r="AE208" s="240"/>
      <c r="AF208" s="240"/>
      <c r="AG208" s="240"/>
      <c r="AH208" s="240"/>
      <c r="AI208" s="240"/>
      <c r="AJ208" s="240"/>
      <c r="AK208" s="240"/>
      <c r="AL208" s="240"/>
      <c r="AM208" s="240"/>
      <c r="AN208" s="240"/>
      <c r="AO208" s="240"/>
      <c r="AP208" s="240"/>
      <c r="AQ208" s="240"/>
      <c r="AR208" s="240"/>
      <c r="AS208" s="240"/>
      <c r="AT208" s="240"/>
      <c r="AU208" s="240"/>
      <c r="AV208" s="240"/>
      <c r="AW208" s="240"/>
      <c r="AX208" s="240"/>
      <c r="AY208" s="240"/>
      <c r="AZ208" s="240"/>
      <c r="BA208" s="240"/>
      <c r="BB208" s="240"/>
      <c r="BC208" s="240"/>
      <c r="BD208" s="240"/>
      <c r="BE208" s="240"/>
      <c r="BF208" s="240"/>
      <c r="BG208" s="240"/>
      <c r="BH208" s="240"/>
      <c r="BI208" s="240"/>
      <c r="BJ208" s="240"/>
      <c r="BK208" s="240"/>
      <c r="BL208" s="240"/>
      <c r="BM208" s="74"/>
      <c r="BN208" s="74"/>
      <c r="BO208" s="74"/>
    </row>
    <row r="209" spans="1:67">
      <c r="A209" s="174"/>
      <c r="B209" s="174"/>
      <c r="C209" s="174"/>
      <c r="D209" s="174"/>
      <c r="E209" s="313" t="s">
        <v>439</v>
      </c>
      <c r="F209" s="317"/>
      <c r="G209" s="238">
        <v>0.3</v>
      </c>
      <c r="H209" s="239"/>
      <c r="I209" s="239"/>
      <c r="J209" s="239"/>
      <c r="K209" s="239"/>
      <c r="L209" s="239"/>
      <c r="M209" s="239"/>
      <c r="N209" s="239"/>
      <c r="O209" s="239"/>
      <c r="P209" s="239"/>
      <c r="Q209" s="22"/>
      <c r="R209" s="22"/>
      <c r="S209" s="75"/>
      <c r="T209" s="18"/>
      <c r="U209" s="18"/>
      <c r="V209" s="18"/>
      <c r="W209" s="18"/>
      <c r="X209" s="18"/>
      <c r="Y209" s="18"/>
      <c r="Z209" s="240"/>
      <c r="AA209" s="240"/>
      <c r="AB209" s="240"/>
      <c r="AC209" s="240"/>
      <c r="AD209" s="240"/>
      <c r="AE209" s="240"/>
      <c r="AF209" s="240"/>
      <c r="AG209" s="240"/>
      <c r="AH209" s="240"/>
      <c r="AI209" s="240"/>
      <c r="AJ209" s="240"/>
      <c r="AK209" s="240"/>
      <c r="AL209" s="240"/>
      <c r="AM209" s="240"/>
      <c r="AN209" s="240"/>
      <c r="AO209" s="240"/>
      <c r="AP209" s="240"/>
      <c r="AQ209" s="240"/>
      <c r="AR209" s="240"/>
      <c r="AS209" s="240"/>
      <c r="AT209" s="240"/>
      <c r="AU209" s="240"/>
      <c r="AV209" s="240"/>
      <c r="AW209" s="240"/>
      <c r="AX209" s="240"/>
      <c r="AY209" s="240"/>
      <c r="AZ209" s="240"/>
      <c r="BA209" s="240"/>
      <c r="BB209" s="240"/>
      <c r="BC209" s="240"/>
      <c r="BD209" s="240"/>
      <c r="BE209" s="240"/>
      <c r="BF209" s="240"/>
      <c r="BG209" s="240"/>
      <c r="BH209" s="240"/>
      <c r="BI209" s="240"/>
      <c r="BJ209" s="240"/>
      <c r="BK209" s="240"/>
      <c r="BL209" s="240"/>
      <c r="BM209" s="74"/>
      <c r="BN209" s="74"/>
      <c r="BO209" s="74"/>
    </row>
    <row r="210" spans="1:67">
      <c r="A210" s="632"/>
      <c r="B210" s="632"/>
      <c r="C210" s="237"/>
      <c r="D210" s="237"/>
      <c r="E210" s="634"/>
      <c r="F210" s="635"/>
      <c r="G210" s="374"/>
      <c r="H210" s="636"/>
      <c r="I210" s="636"/>
      <c r="J210" s="636"/>
      <c r="K210" s="636"/>
      <c r="L210" s="637"/>
      <c r="M210" s="637"/>
      <c r="N210" s="637"/>
      <c r="O210" s="637"/>
      <c r="P210" s="637"/>
      <c r="Q210" s="240"/>
      <c r="R210" s="237"/>
      <c r="S210" s="75"/>
      <c r="T210" s="18"/>
      <c r="U210" s="18"/>
      <c r="V210" s="18"/>
      <c r="W210" s="18"/>
      <c r="X210" s="18"/>
      <c r="Y210" s="18"/>
      <c r="Z210" s="240"/>
      <c r="AA210" s="240"/>
      <c r="AB210" s="240"/>
      <c r="AC210" s="240"/>
      <c r="AD210" s="240"/>
      <c r="AE210" s="240"/>
      <c r="AF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74"/>
      <c r="BN210" s="74"/>
      <c r="BO210" s="74"/>
    </row>
    <row r="211" spans="1:67">
      <c r="A211" s="632"/>
      <c r="B211" s="632"/>
      <c r="C211" s="237"/>
      <c r="D211" s="237"/>
      <c r="E211" s="60" t="s">
        <v>54</v>
      </c>
      <c r="F211" s="193" t="str">
        <f>F241</f>
        <v>2009-10</v>
      </c>
      <c r="G211" s="374"/>
      <c r="H211" s="636"/>
      <c r="I211" s="636"/>
      <c r="J211" s="636"/>
      <c r="K211" s="636"/>
      <c r="L211" s="637"/>
      <c r="M211" s="637"/>
      <c r="N211" s="637"/>
      <c r="O211" s="637"/>
      <c r="P211" s="637"/>
      <c r="Q211" s="240"/>
      <c r="R211" s="237"/>
      <c r="S211" s="75"/>
      <c r="T211" s="18"/>
      <c r="U211" s="18"/>
      <c r="V211" s="18"/>
      <c r="W211" s="18"/>
      <c r="X211" s="18"/>
      <c r="Y211" s="18"/>
      <c r="Z211" s="240"/>
      <c r="AA211" s="240"/>
      <c r="AB211" s="240"/>
      <c r="AC211" s="240"/>
      <c r="AD211" s="240"/>
      <c r="AE211" s="240"/>
      <c r="AF211" s="240"/>
      <c r="AG211" s="240"/>
      <c r="AH211" s="240"/>
      <c r="AI211" s="240"/>
      <c r="AJ211" s="240"/>
      <c r="AK211" s="240"/>
      <c r="AL211" s="240"/>
      <c r="AM211" s="240"/>
      <c r="AN211" s="240"/>
      <c r="AO211" s="240"/>
      <c r="AP211" s="240"/>
      <c r="AQ211" s="240"/>
      <c r="AR211" s="240"/>
      <c r="AS211" s="240"/>
      <c r="AT211" s="240"/>
      <c r="AU211" s="240"/>
      <c r="AV211" s="240"/>
      <c r="AW211" s="240"/>
      <c r="AX211" s="240"/>
      <c r="AY211" s="240"/>
      <c r="AZ211" s="240"/>
      <c r="BA211" s="240"/>
      <c r="BB211" s="240"/>
      <c r="BC211" s="240"/>
      <c r="BD211" s="240"/>
      <c r="BE211" s="240"/>
      <c r="BF211" s="240"/>
      <c r="BG211" s="240"/>
      <c r="BH211" s="240"/>
      <c r="BI211" s="240"/>
      <c r="BJ211" s="240"/>
      <c r="BK211" s="240"/>
      <c r="BL211" s="240"/>
      <c r="BM211" s="74"/>
      <c r="BN211" s="74"/>
      <c r="BO211" s="74"/>
    </row>
    <row r="212" spans="1:67">
      <c r="A212" s="632"/>
      <c r="B212" s="632"/>
      <c r="C212" s="237"/>
      <c r="D212" s="237"/>
      <c r="E212" s="634" t="s">
        <v>423</v>
      </c>
      <c r="F212" s="638"/>
      <c r="G212" s="642" t="str">
        <f>IF(F212&gt;0,"Caution - The tax loss carried forward should be a negative number.","")</f>
        <v/>
      </c>
      <c r="H212" s="636"/>
      <c r="I212" s="636"/>
      <c r="J212" s="636"/>
      <c r="K212" s="636"/>
      <c r="L212" s="637"/>
      <c r="M212" s="637"/>
      <c r="N212" s="637"/>
      <c r="O212" s="637"/>
      <c r="P212" s="637"/>
      <c r="Q212" s="240"/>
      <c r="R212" s="237"/>
      <c r="S212" s="75"/>
      <c r="T212" s="18"/>
      <c r="U212" s="18"/>
      <c r="V212" s="18"/>
      <c r="W212" s="18"/>
      <c r="X212" s="18"/>
      <c r="Y212" s="18"/>
      <c r="Z212" s="240"/>
      <c r="AA212" s="240"/>
      <c r="AB212" s="240"/>
      <c r="AC212" s="240"/>
      <c r="AD212" s="240"/>
      <c r="AE212" s="240"/>
      <c r="AF212" s="240"/>
      <c r="AG212" s="240"/>
      <c r="AH212" s="240"/>
      <c r="AI212" s="240"/>
      <c r="AJ212" s="240"/>
      <c r="AK212" s="240"/>
      <c r="AL212" s="240"/>
      <c r="AM212" s="240"/>
      <c r="AN212" s="240"/>
      <c r="AO212" s="240"/>
      <c r="AP212" s="240"/>
      <c r="AQ212" s="240"/>
      <c r="AR212" s="240"/>
      <c r="AS212" s="240"/>
      <c r="AT212" s="240"/>
      <c r="AU212" s="240"/>
      <c r="AV212" s="240"/>
      <c r="AW212" s="240"/>
      <c r="AX212" s="240"/>
      <c r="AY212" s="240"/>
      <c r="AZ212" s="240"/>
      <c r="BA212" s="240"/>
      <c r="BB212" s="240"/>
      <c r="BC212" s="240"/>
      <c r="BD212" s="240"/>
      <c r="BE212" s="240"/>
      <c r="BF212" s="240"/>
      <c r="BG212" s="240"/>
      <c r="BH212" s="240"/>
      <c r="BI212" s="240"/>
      <c r="BJ212" s="240"/>
      <c r="BK212" s="240"/>
      <c r="BL212" s="240"/>
      <c r="BM212" s="74"/>
      <c r="BN212" s="74"/>
      <c r="BO212" s="74"/>
    </row>
    <row r="213" spans="1:67" ht="21.75" customHeight="1">
      <c r="A213" s="237"/>
      <c r="B213" s="237"/>
      <c r="C213" s="237"/>
      <c r="D213" s="237"/>
      <c r="E213" s="359"/>
      <c r="F213" s="639"/>
      <c r="G213" s="640"/>
      <c r="H213" s="640"/>
      <c r="I213" s="640"/>
      <c r="J213" s="640"/>
      <c r="K213" s="640"/>
      <c r="L213" s="640"/>
      <c r="M213" s="640"/>
      <c r="N213" s="640"/>
      <c r="O213" s="640"/>
      <c r="P213" s="640"/>
      <c r="Q213" s="641"/>
      <c r="R213" s="359"/>
      <c r="S213" s="17"/>
      <c r="T213" s="18"/>
      <c r="U213" s="18"/>
      <c r="V213" s="18"/>
      <c r="W213" s="18"/>
      <c r="X213" s="18"/>
      <c r="Y213" s="18"/>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74"/>
      <c r="BN213" s="74"/>
      <c r="BO213" s="74"/>
    </row>
    <row r="214" spans="1:67" ht="15.2" customHeight="1">
      <c r="A214" s="120"/>
      <c r="B214" s="120"/>
      <c r="C214" s="120"/>
      <c r="D214" s="120"/>
      <c r="E214" s="540" t="s">
        <v>55</v>
      </c>
      <c r="F214" s="194"/>
      <c r="G214" s="194"/>
      <c r="H214" s="194"/>
      <c r="I214" s="121"/>
      <c r="J214" s="122"/>
      <c r="K214" s="122"/>
      <c r="L214" s="122"/>
      <c r="M214" s="122"/>
      <c r="N214" s="122"/>
      <c r="O214" s="122"/>
      <c r="P214" s="122"/>
      <c r="Q214" s="122"/>
      <c r="R214" s="122"/>
      <c r="S214" s="122"/>
      <c r="T214" s="122"/>
      <c r="U214" s="18"/>
      <c r="V214" s="18"/>
      <c r="W214" s="18"/>
      <c r="X214" s="18"/>
      <c r="Y214" s="18"/>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74"/>
      <c r="BN214" s="74"/>
      <c r="BO214" s="74"/>
    </row>
    <row r="215" spans="1:67">
      <c r="A215" s="174"/>
      <c r="B215" s="174"/>
      <c r="C215" s="174"/>
      <c r="D215" s="174"/>
      <c r="E215" s="448" t="str">
        <f>E40</f>
        <v>Year</v>
      </c>
      <c r="F215" s="18"/>
      <c r="G215" s="416" t="str">
        <f ca="1">CONCATENATE(LEFT(G40,4),"-",RIGHT(OFFSET(G40,0,R7-1,1,1),2))</f>
        <v>2010-15</v>
      </c>
      <c r="H215" s="30"/>
      <c r="I215" s="27"/>
      <c r="J215" s="22"/>
      <c r="K215" s="22"/>
      <c r="L215" s="22"/>
      <c r="M215" s="22"/>
      <c r="N215" s="22"/>
      <c r="O215" s="22"/>
      <c r="P215" s="22"/>
      <c r="Q215" s="22"/>
      <c r="R215" s="22"/>
      <c r="S215" s="75"/>
      <c r="T215" s="18"/>
      <c r="U215" s="18"/>
      <c r="V215" s="18"/>
      <c r="W215" s="18"/>
      <c r="X215" s="18"/>
      <c r="Y215" s="18"/>
      <c r="Z215" s="240"/>
      <c r="AA215" s="240"/>
      <c r="AB215" s="240"/>
      <c r="AC215" s="240"/>
      <c r="AD215" s="240"/>
      <c r="AE215" s="240"/>
      <c r="AF215" s="240"/>
      <c r="AG215" s="240"/>
      <c r="AH215" s="240"/>
      <c r="AI215" s="240"/>
      <c r="AJ215" s="240"/>
      <c r="AK215" s="240"/>
      <c r="AL215" s="240"/>
      <c r="AM215" s="240"/>
      <c r="AN215" s="240"/>
      <c r="AO215" s="240"/>
      <c r="AP215" s="240"/>
      <c r="AQ215" s="240"/>
      <c r="AR215" s="240"/>
      <c r="AS215" s="240"/>
      <c r="AT215" s="240"/>
      <c r="AU215" s="240"/>
      <c r="AV215" s="240"/>
      <c r="AW215" s="240"/>
      <c r="AX215" s="240"/>
      <c r="AY215" s="240"/>
      <c r="AZ215" s="240"/>
      <c r="BA215" s="240"/>
      <c r="BB215" s="240"/>
      <c r="BC215" s="240"/>
      <c r="BD215" s="240"/>
      <c r="BE215" s="240"/>
      <c r="BF215" s="240"/>
      <c r="BG215" s="240"/>
      <c r="BH215" s="240"/>
      <c r="BI215" s="240"/>
      <c r="BJ215" s="240"/>
      <c r="BK215" s="240"/>
      <c r="BL215" s="240"/>
      <c r="BM215" s="74"/>
      <c r="BN215" s="74"/>
      <c r="BO215" s="74"/>
    </row>
    <row r="216" spans="1:67">
      <c r="A216" s="21"/>
      <c r="B216" s="21"/>
      <c r="C216" s="21"/>
      <c r="D216" s="21"/>
      <c r="E216" s="314" t="s">
        <v>0</v>
      </c>
      <c r="F216" s="316" t="s">
        <v>1</v>
      </c>
      <c r="G216" s="1451">
        <f>'[2]PTRM IO'!$R$62</f>
        <v>2.52E-2</v>
      </c>
      <c r="H216" s="30"/>
      <c r="I216" s="23"/>
      <c r="J216" s="23"/>
      <c r="K216" s="22"/>
      <c r="L216" s="23"/>
      <c r="M216" s="23"/>
      <c r="N216" s="23"/>
      <c r="O216" s="23"/>
      <c r="P216" s="23"/>
      <c r="Q216" s="23"/>
      <c r="R216" s="23"/>
      <c r="S216" s="17"/>
      <c r="T216" s="18"/>
      <c r="U216" s="18"/>
      <c r="V216" s="18"/>
      <c r="W216" s="18"/>
      <c r="X216" s="18"/>
      <c r="Y216" s="18"/>
      <c r="Z216" s="240"/>
      <c r="AA216" s="240"/>
      <c r="AB216" s="240"/>
      <c r="AC216" s="240"/>
      <c r="AD216" s="240"/>
      <c r="AE216" s="240"/>
      <c r="AF216" s="240"/>
      <c r="AG216" s="240"/>
      <c r="AH216" s="240"/>
      <c r="AI216" s="240"/>
      <c r="AJ216" s="240"/>
      <c r="AK216" s="240"/>
      <c r="AL216" s="240"/>
      <c r="AM216" s="240"/>
      <c r="AN216" s="240"/>
      <c r="AO216" s="240"/>
      <c r="AP216" s="240"/>
      <c r="AQ216" s="240"/>
      <c r="AR216" s="240"/>
      <c r="AS216" s="240"/>
      <c r="AT216" s="240"/>
      <c r="AU216" s="240"/>
      <c r="AV216" s="240"/>
      <c r="AW216" s="240"/>
      <c r="AX216" s="240"/>
      <c r="AY216" s="240"/>
      <c r="AZ216" s="240"/>
      <c r="BA216" s="240"/>
      <c r="BB216" s="240"/>
      <c r="BC216" s="240"/>
      <c r="BD216" s="240"/>
      <c r="BE216" s="240"/>
      <c r="BF216" s="240"/>
      <c r="BG216" s="240"/>
      <c r="BH216" s="240"/>
      <c r="BI216" s="240"/>
      <c r="BJ216" s="240"/>
      <c r="BK216" s="240"/>
      <c r="BL216" s="240"/>
      <c r="BM216" s="74"/>
      <c r="BN216" s="74"/>
      <c r="BO216" s="74"/>
    </row>
    <row r="217" spans="1:67">
      <c r="A217" s="21"/>
      <c r="B217" s="21"/>
      <c r="C217" s="21"/>
      <c r="D217" s="21"/>
      <c r="E217" s="315" t="s">
        <v>31</v>
      </c>
      <c r="F217" s="316" t="s">
        <v>210</v>
      </c>
      <c r="G217" s="1496">
        <f>ROUND('[2]PTRM IO'!$R$63,3)</f>
        <v>0.111</v>
      </c>
      <c r="H217" s="242" t="str">
        <f>IF(ROUND(G217,3)=G217,"","Caution - This Re appears to depart from the AER's Guideline, which states that Re is rounded to one decimal place (as a percentage). The PTRM will not automatically round the figure you have entered.")</f>
        <v/>
      </c>
      <c r="I217" s="23"/>
      <c r="J217" s="23"/>
      <c r="K217" s="22"/>
      <c r="L217" s="23"/>
      <c r="M217" s="23"/>
      <c r="N217" s="23"/>
      <c r="O217" s="23"/>
      <c r="P217" s="23"/>
      <c r="Q217" s="23"/>
      <c r="R217" s="23"/>
      <c r="S217" s="17"/>
      <c r="T217" s="18"/>
      <c r="U217" s="18"/>
      <c r="V217" s="18"/>
      <c r="W217" s="18"/>
      <c r="X217" s="18"/>
      <c r="Y217" s="18"/>
      <c r="Z217" s="240"/>
      <c r="AA217" s="240"/>
      <c r="AB217" s="240"/>
      <c r="AC217" s="240"/>
      <c r="AD217" s="240"/>
      <c r="AE217" s="240"/>
      <c r="AF217" s="240"/>
      <c r="AG217" s="240"/>
      <c r="AH217" s="240"/>
      <c r="AI217" s="240"/>
      <c r="AJ217" s="240"/>
      <c r="AK217" s="240"/>
      <c r="AL217" s="240"/>
      <c r="AM217" s="240"/>
      <c r="AN217" s="240"/>
      <c r="AO217" s="240"/>
      <c r="AP217" s="240"/>
      <c r="AQ217" s="240"/>
      <c r="AR217" s="240"/>
      <c r="AS217" s="240"/>
      <c r="AT217" s="240"/>
      <c r="AU217" s="240"/>
      <c r="AV217" s="240"/>
      <c r="AW217" s="240"/>
      <c r="AX217" s="240"/>
      <c r="AY217" s="240"/>
      <c r="AZ217" s="240"/>
      <c r="BA217" s="240"/>
      <c r="BB217" s="240"/>
      <c r="BC217" s="240"/>
      <c r="BD217" s="240"/>
      <c r="BE217" s="240"/>
      <c r="BF217" s="240"/>
      <c r="BG217" s="240"/>
      <c r="BH217" s="240"/>
      <c r="BI217" s="240"/>
      <c r="BJ217" s="240"/>
      <c r="BK217" s="240"/>
      <c r="BL217" s="240"/>
      <c r="BM217" s="74"/>
      <c r="BN217" s="74"/>
      <c r="BO217" s="74"/>
    </row>
    <row r="218" spans="1:67">
      <c r="A218" s="21"/>
      <c r="B218" s="21"/>
      <c r="C218" s="21"/>
      <c r="D218" s="21"/>
      <c r="E218" s="314" t="s">
        <v>306</v>
      </c>
      <c r="F218" s="316" t="s">
        <v>282</v>
      </c>
      <c r="G218" s="1452">
        <f>'[2]PTRM IO'!$R$65</f>
        <v>0.25</v>
      </c>
      <c r="H218" s="30"/>
      <c r="I218" s="23"/>
      <c r="J218" s="23"/>
      <c r="K218" s="23"/>
      <c r="L218" s="23"/>
      <c r="M218" s="23"/>
      <c r="N218" s="23"/>
      <c r="O218" s="23"/>
      <c r="P218" s="23"/>
      <c r="Q218" s="23"/>
      <c r="R218" s="23"/>
      <c r="S218" s="17"/>
      <c r="T218" s="18"/>
      <c r="U218" s="18"/>
      <c r="V218" s="18"/>
      <c r="W218" s="18"/>
      <c r="X218" s="18"/>
      <c r="Y218" s="18"/>
      <c r="Z218" s="240"/>
      <c r="AA218" s="240"/>
      <c r="AB218" s="240"/>
      <c r="AC218" s="240"/>
      <c r="AD218" s="240"/>
      <c r="AE218" s="240"/>
      <c r="AF218" s="240"/>
      <c r="AG218" s="240"/>
      <c r="AH218" s="240"/>
      <c r="AI218" s="240"/>
      <c r="AJ218" s="240"/>
      <c r="AK218" s="240"/>
      <c r="AL218" s="240"/>
      <c r="AM218" s="240"/>
      <c r="AN218" s="240"/>
      <c r="AO218" s="240"/>
      <c r="AP218" s="240"/>
      <c r="AQ218" s="240"/>
      <c r="AR218" s="240"/>
      <c r="AS218" s="240"/>
      <c r="AT218" s="240"/>
      <c r="AU218" s="240"/>
      <c r="AV218" s="240"/>
      <c r="AW218" s="240"/>
      <c r="AX218" s="240"/>
      <c r="AY218" s="240"/>
      <c r="AZ218" s="240"/>
      <c r="BA218" s="240"/>
      <c r="BB218" s="240"/>
      <c r="BC218" s="240"/>
      <c r="BD218" s="240"/>
      <c r="BE218" s="240"/>
      <c r="BF218" s="240"/>
      <c r="BG218" s="240"/>
      <c r="BH218" s="240"/>
      <c r="BI218" s="240"/>
      <c r="BJ218" s="240"/>
      <c r="BK218" s="240"/>
      <c r="BL218" s="240"/>
      <c r="BM218" s="74"/>
      <c r="BN218" s="74"/>
      <c r="BO218" s="74"/>
    </row>
    <row r="219" spans="1:67" ht="14.25" customHeight="1">
      <c r="A219" s="174"/>
      <c r="B219" s="174"/>
      <c r="C219" s="174"/>
      <c r="D219" s="174"/>
      <c r="E219" s="314" t="s">
        <v>85</v>
      </c>
      <c r="F219" s="316" t="s">
        <v>7</v>
      </c>
      <c r="G219" s="1452">
        <f>'[2]PTRM IO'!$R$66</f>
        <v>0.6</v>
      </c>
      <c r="H219" s="30"/>
      <c r="I219" s="23"/>
      <c r="J219" s="23"/>
      <c r="K219" s="23"/>
      <c r="L219" s="23"/>
      <c r="M219" s="23"/>
      <c r="N219" s="23"/>
      <c r="O219" s="231"/>
      <c r="P219" s="23"/>
      <c r="Q219" s="23"/>
      <c r="R219" s="23"/>
      <c r="S219" s="17"/>
      <c r="T219" s="18"/>
      <c r="U219" s="18"/>
      <c r="V219" s="18"/>
      <c r="W219" s="18"/>
      <c r="X219" s="18"/>
      <c r="Y219" s="18"/>
      <c r="Z219" s="240"/>
      <c r="AA219" s="240"/>
      <c r="AB219" s="240"/>
      <c r="AC219" s="240"/>
      <c r="AD219" s="240"/>
      <c r="AE219" s="240"/>
      <c r="AF219" s="240"/>
      <c r="AG219" s="240"/>
      <c r="AH219" s="240"/>
      <c r="AI219" s="240"/>
      <c r="AJ219" s="240"/>
      <c r="AK219" s="240"/>
      <c r="AL219" s="240"/>
      <c r="AM219" s="240"/>
      <c r="AN219" s="240"/>
      <c r="AO219" s="240"/>
      <c r="AP219" s="240"/>
      <c r="AQ219" s="240"/>
      <c r="AR219" s="240"/>
      <c r="AS219" s="240"/>
      <c r="AT219" s="240"/>
      <c r="AU219" s="240"/>
      <c r="AV219" s="240"/>
      <c r="AW219" s="240"/>
      <c r="AX219" s="240"/>
      <c r="AY219" s="240"/>
      <c r="AZ219" s="240"/>
      <c r="BA219" s="240"/>
      <c r="BB219" s="240"/>
      <c r="BC219" s="240"/>
      <c r="BD219" s="240"/>
      <c r="BE219" s="240"/>
      <c r="BF219" s="240"/>
      <c r="BG219" s="240"/>
      <c r="BH219" s="240"/>
      <c r="BI219" s="240"/>
      <c r="BJ219" s="240"/>
      <c r="BK219" s="240"/>
      <c r="BL219" s="240"/>
      <c r="BM219" s="74"/>
      <c r="BN219" s="74"/>
      <c r="BO219" s="74"/>
    </row>
    <row r="220" spans="1:67" ht="14.25" customHeight="1">
      <c r="A220" s="174"/>
      <c r="B220" s="174"/>
      <c r="C220" s="174"/>
      <c r="D220" s="174"/>
      <c r="E220" s="24"/>
      <c r="F220" s="23"/>
      <c r="G220" s="23"/>
      <c r="H220" s="30"/>
      <c r="I220" s="23"/>
      <c r="J220" s="23"/>
      <c r="K220" s="23"/>
      <c r="L220" s="23"/>
      <c r="M220" s="23"/>
      <c r="N220" s="23"/>
      <c r="O220" s="231"/>
      <c r="P220" s="23"/>
      <c r="Q220" s="23"/>
      <c r="R220" s="23"/>
      <c r="S220" s="17"/>
      <c r="T220" s="18"/>
      <c r="U220" s="18"/>
      <c r="V220" s="18"/>
      <c r="W220" s="18"/>
      <c r="X220" s="18"/>
      <c r="Y220" s="18"/>
      <c r="Z220" s="240"/>
      <c r="AA220" s="240"/>
      <c r="AB220" s="240"/>
      <c r="AC220" s="240"/>
      <c r="AD220" s="240"/>
      <c r="AE220" s="240"/>
      <c r="AF220" s="240"/>
      <c r="AG220" s="240"/>
      <c r="AH220" s="240"/>
      <c r="AI220" s="240"/>
      <c r="AJ220" s="240"/>
      <c r="AK220" s="240"/>
      <c r="AL220" s="240"/>
      <c r="AM220" s="240"/>
      <c r="AN220" s="240"/>
      <c r="AO220" s="240"/>
      <c r="AP220" s="240"/>
      <c r="AQ220" s="240"/>
      <c r="AR220" s="240"/>
      <c r="AS220" s="240"/>
      <c r="AT220" s="240"/>
      <c r="AU220" s="240"/>
      <c r="AV220" s="240"/>
      <c r="AW220" s="240"/>
      <c r="AX220" s="240"/>
      <c r="AY220" s="240"/>
      <c r="AZ220" s="240"/>
      <c r="BA220" s="240"/>
      <c r="BB220" s="240"/>
      <c r="BC220" s="240"/>
      <c r="BD220" s="240"/>
      <c r="BE220" s="240"/>
      <c r="BF220" s="240"/>
      <c r="BG220" s="240"/>
      <c r="BH220" s="240"/>
      <c r="BI220" s="240"/>
      <c r="BJ220" s="240"/>
      <c r="BK220" s="240"/>
      <c r="BL220" s="240"/>
      <c r="BM220" s="74"/>
      <c r="BN220" s="74"/>
      <c r="BO220" s="74"/>
    </row>
    <row r="221" spans="1:67">
      <c r="A221" s="21"/>
      <c r="B221" s="21"/>
      <c r="C221" s="21"/>
      <c r="D221" s="21"/>
      <c r="E221" s="235"/>
      <c r="F221" s="236"/>
      <c r="G221" s="352" t="str">
        <f t="shared" ref="G221:P221" si="48">G40</f>
        <v>2010-11</v>
      </c>
      <c r="H221" s="1497" t="str">
        <f t="shared" si="48"/>
        <v>2011-12</v>
      </c>
      <c r="I221" s="352" t="str">
        <f t="shared" si="48"/>
        <v>2012-13</v>
      </c>
      <c r="J221" s="352" t="str">
        <f t="shared" si="48"/>
        <v>2013-14</v>
      </c>
      <c r="K221" s="352" t="str">
        <f t="shared" si="48"/>
        <v>2014-15</v>
      </c>
      <c r="L221" s="352" t="str">
        <f t="shared" si="48"/>
        <v>2015-16</v>
      </c>
      <c r="M221" s="352" t="str">
        <f t="shared" si="48"/>
        <v>2016-17</v>
      </c>
      <c r="N221" s="352" t="str">
        <f t="shared" si="48"/>
        <v>2017-18</v>
      </c>
      <c r="O221" s="352" t="str">
        <f t="shared" si="48"/>
        <v>2018-19</v>
      </c>
      <c r="P221" s="352" t="str">
        <f t="shared" si="48"/>
        <v>2019-20</v>
      </c>
      <c r="Q221" s="23"/>
      <c r="R221" s="23"/>
      <c r="S221" s="17"/>
      <c r="T221" s="237"/>
      <c r="U221" s="18"/>
      <c r="V221" s="18"/>
      <c r="W221" s="18"/>
      <c r="X221" s="18"/>
      <c r="Y221" s="18"/>
      <c r="Z221" s="240"/>
      <c r="AA221" s="240"/>
      <c r="AB221" s="240"/>
      <c r="AC221" s="240"/>
      <c r="AD221" s="240"/>
      <c r="AE221" s="240"/>
      <c r="AF221" s="240"/>
      <c r="AG221" s="240"/>
      <c r="AH221" s="240"/>
      <c r="AI221" s="240"/>
      <c r="AJ221" s="240"/>
      <c r="AK221" s="240"/>
      <c r="AL221" s="240"/>
      <c r="AM221" s="240"/>
      <c r="AN221" s="240"/>
      <c r="AO221" s="240"/>
      <c r="AP221" s="240"/>
      <c r="AQ221" s="240"/>
      <c r="AR221" s="240"/>
      <c r="AS221" s="240"/>
      <c r="AT221" s="240"/>
      <c r="AU221" s="240"/>
      <c r="AV221" s="240"/>
      <c r="AW221" s="240"/>
      <c r="AX221" s="240"/>
      <c r="AY221" s="240"/>
      <c r="AZ221" s="240"/>
      <c r="BA221" s="240"/>
      <c r="BB221" s="240"/>
      <c r="BC221" s="240"/>
      <c r="BD221" s="240"/>
      <c r="BE221" s="240"/>
      <c r="BF221" s="240"/>
      <c r="BG221" s="240"/>
      <c r="BH221" s="240"/>
      <c r="BI221" s="240"/>
      <c r="BJ221" s="240"/>
      <c r="BK221" s="240"/>
      <c r="BL221" s="240"/>
      <c r="BM221" s="74"/>
      <c r="BN221" s="74"/>
      <c r="BO221" s="74"/>
    </row>
    <row r="222" spans="1:67">
      <c r="A222" s="21"/>
      <c r="B222" s="21"/>
      <c r="C222" s="21"/>
      <c r="D222" s="21"/>
      <c r="E222" s="314" t="s">
        <v>279</v>
      </c>
      <c r="F222" s="236"/>
      <c r="G222" s="1453">
        <f>'[2]PTRM IO'!$R$64</f>
        <v>8.8700000000000001E-2</v>
      </c>
      <c r="H222" s="1453"/>
      <c r="I222" s="1453"/>
      <c r="J222" s="1453"/>
      <c r="K222" s="1453"/>
      <c r="L222" s="239"/>
      <c r="M222" s="239"/>
      <c r="N222" s="239"/>
      <c r="O222" s="239"/>
      <c r="P222" s="239"/>
      <c r="Q222" s="240"/>
      <c r="R222" s="240"/>
      <c r="T222" s="237"/>
      <c r="U222" s="241"/>
      <c r="V222" s="23"/>
      <c r="W222" s="23"/>
      <c r="X222" s="23"/>
      <c r="Y222" s="23"/>
      <c r="Z222" s="370"/>
      <c r="AA222" s="371"/>
      <c r="AB222" s="237"/>
      <c r="AC222" s="240"/>
      <c r="AD222" s="240"/>
      <c r="AE222" s="240"/>
      <c r="AF222" s="240"/>
      <c r="AG222" s="240"/>
      <c r="AH222" s="240"/>
      <c r="AI222" s="240"/>
      <c r="AJ222" s="240"/>
      <c r="AK222" s="240"/>
      <c r="AL222" s="240"/>
      <c r="AM222" s="240"/>
      <c r="AN222" s="240"/>
      <c r="AO222" s="240"/>
      <c r="AP222" s="240"/>
      <c r="AQ222" s="240"/>
      <c r="AR222" s="240"/>
      <c r="AS222" s="240"/>
      <c r="AT222" s="240"/>
      <c r="AU222" s="240"/>
      <c r="AV222" s="240"/>
      <c r="AW222" s="240"/>
      <c r="AX222" s="240"/>
      <c r="AY222" s="240"/>
      <c r="AZ222" s="240"/>
      <c r="BA222" s="240"/>
      <c r="BB222" s="240"/>
      <c r="BC222" s="240"/>
      <c r="BD222" s="240"/>
      <c r="BE222" s="240"/>
      <c r="BF222" s="240"/>
      <c r="BG222" s="240"/>
      <c r="BH222" s="240"/>
      <c r="BI222" s="240"/>
      <c r="BJ222" s="240"/>
      <c r="BK222" s="240"/>
      <c r="BL222" s="240"/>
      <c r="BM222" s="74"/>
      <c r="BN222" s="74"/>
      <c r="BO222" s="74"/>
    </row>
    <row r="223" spans="1:67">
      <c r="A223" s="21"/>
      <c r="B223" s="21"/>
      <c r="C223" s="21"/>
      <c r="D223" s="21"/>
      <c r="E223" s="235"/>
      <c r="F223" s="236"/>
      <c r="G223" s="242" t="str">
        <f>IF(AND(G221&lt;'X factors'!$F$21,ISBLANK(G222)),"Value expected",IF(G221='X factors'!$F$21,IF(ISBLANK(G222),"Value expected",""),""))</f>
        <v/>
      </c>
      <c r="H223" s="1499" t="str">
        <f>IF(AND(H221&lt;'X factors'!$F$21,ISBLANK(H222)),"Value expected",IF(H221='X factors'!$F$21,IF(ISBLANK(H222),"Value expected","Year of Update"),""))</f>
        <v/>
      </c>
      <c r="I223" s="242" t="str">
        <f>IF(AND(I221&lt;'X factors'!$F$21,ISBLANK(I222)),"Value expected",IF(I221='X factors'!$F$21,IF(ISBLANK(I222),"Value expected","Year of Update"),""))</f>
        <v/>
      </c>
      <c r="J223" s="242" t="str">
        <f>IF(AND(J221&lt;'X factors'!$F$21,ISBLANK(J222)),"Value expected",IF(J221='X factors'!$F$21,IF(ISBLANK(J222),"Value expected","Year of Update"),""))</f>
        <v/>
      </c>
      <c r="K223" s="242" t="str">
        <f>IF(AND(K221&lt;'X factors'!$F$21,ISBLANK(K222)),"Value expected",IF(K221='X factors'!$F$21,IF(ISBLANK(K222),"Value expected","Year of Update"),""))</f>
        <v/>
      </c>
      <c r="L223" s="242" t="str">
        <f>IF(AND(L221&lt;'X factors'!$F$21,ISBLANK(L222)),"Value expected",IF(L221='X factors'!$F$21,IF(ISBLANK(L222),"Value expected","Year of Update"),""))</f>
        <v/>
      </c>
      <c r="M223" s="242" t="str">
        <f>IF(AND(M221&lt;'X factors'!$F$21,ISBLANK(M222)),"Value expected",IF(M221='X factors'!$F$21,IF(ISBLANK(M222),"Value expected","Year of Update"),""))</f>
        <v/>
      </c>
      <c r="N223" s="242" t="str">
        <f>IF(AND(N221&lt;'X factors'!$F$21,ISBLANK(N222)),"Value expected",IF(N221='X factors'!$F$21,IF(ISBLANK(N222),"Value expected","Year of Update"),""))</f>
        <v/>
      </c>
      <c r="O223" s="242" t="str">
        <f>IF(AND(O221&lt;'X factors'!$F$21,ISBLANK(O222)),"Value expected",IF(O221='X factors'!$F$21,IF(ISBLANK(O222),"Value expected","Year of Update"),""))</f>
        <v/>
      </c>
      <c r="P223" s="242" t="str">
        <f>IF(AND(P221&lt;'X factors'!$F$21,ISBLANK(P222)),"Value expected",IF(P221='X factors'!$F$21,IF(ISBLANK(P222),"Value expected","Year of Update"),""))</f>
        <v/>
      </c>
      <c r="Q223" s="23"/>
      <c r="R223" s="23"/>
      <c r="S223" s="17"/>
      <c r="T223" s="237"/>
      <c r="U223" s="18"/>
      <c r="V223" s="18"/>
      <c r="W223" s="18"/>
      <c r="X223" s="18"/>
      <c r="Y223" s="18"/>
      <c r="Z223" s="240"/>
      <c r="AA223" s="240"/>
      <c r="AB223" s="240"/>
      <c r="AC223" s="240"/>
      <c r="AD223" s="240"/>
      <c r="AE223" s="240"/>
      <c r="AF223" s="240"/>
      <c r="AG223" s="240"/>
      <c r="AH223" s="240"/>
      <c r="AI223" s="240"/>
      <c r="AJ223" s="240"/>
      <c r="AK223" s="240"/>
      <c r="AL223" s="240"/>
      <c r="AM223" s="240"/>
      <c r="AN223" s="240"/>
      <c r="AO223" s="240"/>
      <c r="AP223" s="240"/>
      <c r="AQ223" s="240"/>
      <c r="AR223" s="240"/>
      <c r="AS223" s="240"/>
      <c r="AT223" s="240"/>
      <c r="AU223" s="240"/>
      <c r="AV223" s="240"/>
      <c r="AW223" s="240"/>
      <c r="AX223" s="240"/>
      <c r="AY223" s="240"/>
      <c r="AZ223" s="240"/>
      <c r="BA223" s="240"/>
      <c r="BB223" s="240"/>
      <c r="BC223" s="240"/>
      <c r="BD223" s="240"/>
      <c r="BE223" s="240"/>
      <c r="BF223" s="240"/>
      <c r="BG223" s="240"/>
      <c r="BH223" s="240"/>
      <c r="BI223" s="240"/>
      <c r="BJ223" s="240"/>
      <c r="BK223" s="240"/>
      <c r="BL223" s="240"/>
      <c r="BM223" s="74"/>
      <c r="BN223" s="74"/>
      <c r="BO223" s="74"/>
    </row>
    <row r="224" spans="1:67">
      <c r="A224" s="21"/>
      <c r="B224" s="21"/>
      <c r="C224" s="21"/>
      <c r="D224" s="21"/>
      <c r="E224" s="235"/>
      <c r="F224" s="236"/>
      <c r="G224" s="243" t="str">
        <f>IF(ISERROR(HLOOKUP("Value expected",G223:P223,1,FALSE)),IF(ISERROR(HLOOKUP("Year of update",G223:P223,1,FALSE)),"","On the X factors tab (cell F21) you have indicated that you are updating debt costs within the regulatory control period"),"CAUTION - return on debt inputs are expected above because the X factors tab (cell F21) indicates that you are updating debt costs within the regulatory control period.")</f>
        <v/>
      </c>
      <c r="H224" s="242"/>
      <c r="I224" s="242"/>
      <c r="J224" s="242"/>
      <c r="K224" s="242"/>
      <c r="L224" s="242"/>
      <c r="M224" s="242"/>
      <c r="N224" s="242"/>
      <c r="O224" s="242"/>
      <c r="P224" s="242"/>
      <c r="Q224" s="23"/>
      <c r="R224" s="23"/>
      <c r="S224" s="17"/>
      <c r="T224" s="237"/>
      <c r="U224" s="18"/>
      <c r="V224" s="18"/>
      <c r="W224" s="18"/>
      <c r="X224" s="18"/>
      <c r="Y224" s="18"/>
      <c r="Z224" s="240"/>
      <c r="AA224" s="240"/>
      <c r="AB224" s="240"/>
      <c r="AC224" s="240"/>
      <c r="AD224" s="240"/>
      <c r="AE224" s="240"/>
      <c r="AF224" s="240"/>
      <c r="AG224" s="240"/>
      <c r="AH224" s="240"/>
      <c r="AI224" s="240"/>
      <c r="AJ224" s="240"/>
      <c r="AK224" s="240"/>
      <c r="AL224" s="240"/>
      <c r="AM224" s="240"/>
      <c r="AN224" s="240"/>
      <c r="AO224" s="240"/>
      <c r="AP224" s="240"/>
      <c r="AQ224" s="240"/>
      <c r="AR224" s="240"/>
      <c r="AS224" s="240"/>
      <c r="AT224" s="240"/>
      <c r="AU224" s="240"/>
      <c r="AV224" s="240"/>
      <c r="AW224" s="240"/>
      <c r="AX224" s="240"/>
      <c r="AY224" s="240"/>
      <c r="AZ224" s="240"/>
      <c r="BA224" s="240"/>
      <c r="BB224" s="240"/>
      <c r="BC224" s="240"/>
      <c r="BD224" s="240"/>
      <c r="BE224" s="240"/>
      <c r="BF224" s="240"/>
      <c r="BG224" s="240"/>
      <c r="BH224" s="240"/>
      <c r="BI224" s="240"/>
      <c r="BJ224" s="240"/>
      <c r="BK224" s="240"/>
      <c r="BL224" s="240"/>
      <c r="BM224" s="74"/>
      <c r="BN224" s="74"/>
      <c r="BO224" s="74"/>
    </row>
    <row r="225" spans="1:67">
      <c r="A225" s="312"/>
      <c r="B225" s="312"/>
      <c r="C225" s="312"/>
      <c r="D225" s="312"/>
      <c r="E225" s="313"/>
      <c r="F225" s="320"/>
      <c r="G225" s="321" t="s">
        <v>351</v>
      </c>
      <c r="H225" s="242"/>
      <c r="I225" s="242"/>
      <c r="J225" s="242"/>
      <c r="K225" s="242"/>
      <c r="L225" s="242"/>
      <c r="M225" s="242"/>
      <c r="N225" s="242"/>
      <c r="O225" s="242"/>
      <c r="P225" s="242"/>
      <c r="Q225" s="23"/>
      <c r="R225" s="23"/>
      <c r="S225" s="17"/>
      <c r="T225" s="237"/>
      <c r="U225" s="18"/>
      <c r="V225" s="18"/>
      <c r="W225" s="18"/>
      <c r="X225" s="18"/>
      <c r="Y225" s="18"/>
      <c r="Z225" s="240"/>
      <c r="AA225" s="240"/>
      <c r="AB225" s="240"/>
      <c r="AC225" s="240"/>
      <c r="AD225" s="240"/>
      <c r="AE225" s="240"/>
      <c r="AF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240"/>
      <c r="BE225" s="240"/>
      <c r="BF225" s="240"/>
      <c r="BG225" s="240"/>
      <c r="BH225" s="240"/>
      <c r="BI225" s="240"/>
      <c r="BJ225" s="240"/>
      <c r="BK225" s="240"/>
      <c r="BL225" s="240"/>
      <c r="BM225" s="74"/>
      <c r="BN225" s="74"/>
      <c r="BO225" s="74"/>
    </row>
    <row r="226" spans="1:67" ht="21.75" customHeight="1">
      <c r="A226" s="174"/>
      <c r="B226" s="174"/>
      <c r="C226" s="174"/>
      <c r="D226" s="174"/>
      <c r="E226" s="24"/>
      <c r="F226" s="2"/>
      <c r="G226" s="23"/>
      <c r="H226" s="30"/>
      <c r="I226" s="23"/>
      <c r="J226" s="23"/>
      <c r="K226" s="23"/>
      <c r="L226" s="23"/>
      <c r="M226" s="23"/>
      <c r="N226" s="23"/>
      <c r="O226" s="231"/>
      <c r="P226" s="23"/>
      <c r="Q226" s="23"/>
      <c r="R226" s="23"/>
      <c r="S226" s="17"/>
      <c r="T226" s="18"/>
      <c r="U226" s="18"/>
      <c r="V226" s="18"/>
      <c r="W226" s="18"/>
      <c r="X226" s="18"/>
      <c r="Y226" s="18"/>
      <c r="Z226" s="240"/>
      <c r="AA226" s="240"/>
      <c r="AB226" s="240"/>
      <c r="AC226" s="240"/>
      <c r="AD226" s="240"/>
      <c r="AE226" s="240"/>
      <c r="AF226" s="240"/>
      <c r="AG226" s="240"/>
      <c r="AH226" s="240"/>
      <c r="AI226" s="240"/>
      <c r="AJ226" s="240"/>
      <c r="AK226" s="240"/>
      <c r="AL226" s="240"/>
      <c r="AM226" s="240"/>
      <c r="AN226" s="240"/>
      <c r="AO226" s="240"/>
      <c r="AP226" s="240"/>
      <c r="AQ226" s="240"/>
      <c r="AR226" s="240"/>
      <c r="AS226" s="240"/>
      <c r="AT226" s="240"/>
      <c r="AU226" s="240"/>
      <c r="AV226" s="240"/>
      <c r="AW226" s="240"/>
      <c r="AX226" s="240"/>
      <c r="AY226" s="240"/>
      <c r="AZ226" s="240"/>
      <c r="BA226" s="240"/>
      <c r="BB226" s="240"/>
      <c r="BC226" s="240"/>
      <c r="BD226" s="240"/>
      <c r="BE226" s="240"/>
      <c r="BF226" s="240"/>
      <c r="BG226" s="240"/>
      <c r="BH226" s="240"/>
      <c r="BI226" s="240"/>
      <c r="BJ226" s="240"/>
      <c r="BK226" s="240"/>
      <c r="BL226" s="240"/>
      <c r="BM226" s="74"/>
      <c r="BN226" s="74"/>
      <c r="BO226" s="74"/>
    </row>
    <row r="227" spans="1:67" ht="15.2" customHeight="1">
      <c r="A227" s="120"/>
      <c r="B227" s="120"/>
      <c r="C227" s="120"/>
      <c r="D227" s="120"/>
      <c r="E227" s="283" t="s">
        <v>325</v>
      </c>
      <c r="F227" s="194"/>
      <c r="G227" s="194"/>
      <c r="H227" s="194"/>
      <c r="I227" s="121"/>
      <c r="J227" s="122"/>
      <c r="K227" s="122"/>
      <c r="L227" s="122"/>
      <c r="M227" s="122"/>
      <c r="N227" s="122"/>
      <c r="O227" s="122"/>
      <c r="P227" s="122"/>
      <c r="Q227" s="122"/>
      <c r="R227" s="122"/>
      <c r="S227" s="122"/>
      <c r="T227" s="122"/>
      <c r="U227" s="18"/>
      <c r="V227" s="18"/>
      <c r="W227" s="18"/>
      <c r="X227" s="18"/>
      <c r="Y227" s="18"/>
      <c r="Z227" s="240"/>
      <c r="AA227" s="240"/>
      <c r="AB227" s="240"/>
      <c r="AC227" s="240"/>
      <c r="AD227" s="240"/>
      <c r="AE227" s="240"/>
      <c r="AF227" s="240"/>
      <c r="AG227" s="240"/>
      <c r="AH227" s="240"/>
      <c r="AI227" s="240"/>
      <c r="AJ227" s="240"/>
      <c r="AK227" s="240"/>
      <c r="AL227" s="240"/>
      <c r="AM227" s="240"/>
      <c r="AN227" s="240"/>
      <c r="AO227" s="240"/>
      <c r="AP227" s="240"/>
      <c r="AQ227" s="240"/>
      <c r="AR227" s="240"/>
      <c r="AS227" s="240"/>
      <c r="AT227" s="240"/>
      <c r="AU227" s="240"/>
      <c r="AV227" s="240"/>
      <c r="AW227" s="240"/>
      <c r="AX227" s="240"/>
      <c r="AY227" s="240"/>
      <c r="AZ227" s="240"/>
      <c r="BA227" s="240"/>
      <c r="BB227" s="240"/>
      <c r="BC227" s="240"/>
      <c r="BD227" s="240"/>
      <c r="BE227" s="240"/>
      <c r="BF227" s="240"/>
      <c r="BG227" s="240"/>
      <c r="BH227" s="240"/>
      <c r="BI227" s="240"/>
      <c r="BJ227" s="240"/>
      <c r="BK227" s="240"/>
      <c r="BL227" s="240"/>
      <c r="BM227" s="74"/>
      <c r="BN227" s="74"/>
      <c r="BO227" s="74"/>
    </row>
    <row r="228" spans="1:67" ht="14.25" customHeight="1">
      <c r="A228" s="174"/>
      <c r="B228" s="174"/>
      <c r="C228" s="174"/>
      <c r="D228" s="174"/>
      <c r="E228" s="282"/>
      <c r="F228" s="237"/>
      <c r="G228" s="26" t="s">
        <v>40</v>
      </c>
      <c r="H228" s="30"/>
      <c r="I228" s="23"/>
      <c r="J228" s="23"/>
      <c r="K228" s="23"/>
      <c r="L228" s="23"/>
      <c r="M228" s="23"/>
      <c r="N228" s="23"/>
      <c r="O228" s="231"/>
      <c r="P228" s="23"/>
      <c r="Q228" s="23"/>
      <c r="R228" s="23"/>
      <c r="S228" s="17"/>
      <c r="T228" s="18"/>
      <c r="U228" s="18"/>
      <c r="V228" s="18"/>
      <c r="W228" s="18"/>
      <c r="X228" s="18"/>
      <c r="Y228" s="18"/>
      <c r="Z228" s="240"/>
      <c r="AA228" s="240"/>
      <c r="AB228" s="240"/>
      <c r="AC228" s="240"/>
      <c r="AD228" s="240"/>
      <c r="AE228" s="240"/>
      <c r="AF228" s="240"/>
      <c r="AG228" s="240"/>
      <c r="AH228" s="240"/>
      <c r="AI228" s="240"/>
      <c r="AJ228" s="240"/>
      <c r="AK228" s="240"/>
      <c r="AL228" s="240"/>
      <c r="AM228" s="240"/>
      <c r="AN228" s="240"/>
      <c r="AO228" s="240"/>
      <c r="AP228" s="240"/>
      <c r="AQ228" s="240"/>
      <c r="AR228" s="240"/>
      <c r="AS228" s="240"/>
      <c r="AT228" s="240"/>
      <c r="AU228" s="240"/>
      <c r="AV228" s="240"/>
      <c r="AW228" s="240"/>
      <c r="AX228" s="240"/>
      <c r="AY228" s="240"/>
      <c r="AZ228" s="240"/>
      <c r="BA228" s="240"/>
      <c r="BB228" s="240"/>
      <c r="BC228" s="240"/>
      <c r="BD228" s="240"/>
      <c r="BE228" s="240"/>
      <c r="BF228" s="240"/>
      <c r="BG228" s="240"/>
      <c r="BH228" s="240"/>
      <c r="BI228" s="240"/>
      <c r="BJ228" s="240"/>
      <c r="BK228" s="240"/>
      <c r="BL228" s="240"/>
      <c r="BM228" s="74"/>
      <c r="BN228" s="74"/>
      <c r="BO228" s="74"/>
    </row>
    <row r="229" spans="1:67" ht="14.25" customHeight="1">
      <c r="A229" s="174"/>
      <c r="B229" s="174"/>
      <c r="C229" s="174"/>
      <c r="D229" s="174"/>
      <c r="E229" s="313" t="s">
        <v>264</v>
      </c>
      <c r="F229" s="645" t="s">
        <v>424</v>
      </c>
      <c r="G229" s="309">
        <v>0.7</v>
      </c>
      <c r="H229" s="30"/>
      <c r="I229" s="23"/>
      <c r="J229" s="23"/>
      <c r="K229" s="23"/>
      <c r="L229" s="23"/>
      <c r="M229" s="23"/>
      <c r="N229" s="23"/>
      <c r="O229" s="231"/>
      <c r="P229" s="23"/>
      <c r="Q229" s="23"/>
      <c r="R229" s="23"/>
      <c r="S229" s="17"/>
      <c r="T229" s="18"/>
      <c r="U229" s="18"/>
      <c r="V229" s="18"/>
      <c r="W229" s="18"/>
      <c r="X229" s="18"/>
      <c r="Y229" s="18"/>
      <c r="Z229" s="240"/>
      <c r="AA229" s="240"/>
      <c r="AB229" s="240"/>
      <c r="AC229" s="240"/>
      <c r="AD229" s="240"/>
      <c r="AE229" s="240"/>
      <c r="AF229" s="240"/>
      <c r="AG229" s="240"/>
      <c r="AH229" s="240"/>
      <c r="AI229" s="240"/>
      <c r="AJ229" s="240"/>
      <c r="AK229" s="240"/>
      <c r="AL229" s="240"/>
      <c r="AM229" s="240"/>
      <c r="AN229" s="240"/>
      <c r="AO229" s="240"/>
      <c r="AP229" s="240"/>
      <c r="AQ229" s="240"/>
      <c r="AR229" s="240"/>
      <c r="AS229" s="240"/>
      <c r="AT229" s="240"/>
      <c r="AU229" s="240"/>
      <c r="AV229" s="240"/>
      <c r="AW229" s="240"/>
      <c r="AX229" s="240"/>
      <c r="AY229" s="240"/>
      <c r="AZ229" s="240"/>
      <c r="BA229" s="240"/>
      <c r="BB229" s="240"/>
      <c r="BC229" s="240"/>
      <c r="BD229" s="240"/>
      <c r="BE229" s="240"/>
      <c r="BF229" s="240"/>
      <c r="BG229" s="240"/>
      <c r="BH229" s="240"/>
      <c r="BI229" s="240"/>
      <c r="BJ229" s="240"/>
      <c r="BK229" s="240"/>
      <c r="BL229" s="240"/>
      <c r="BM229" s="74"/>
      <c r="BN229" s="74"/>
      <c r="BO229" s="74"/>
    </row>
    <row r="230" spans="1:67" ht="14.25" customHeight="1">
      <c r="A230" s="174"/>
      <c r="B230" s="174"/>
      <c r="C230" s="174"/>
      <c r="D230" s="174"/>
      <c r="E230" s="313" t="s">
        <v>478</v>
      </c>
      <c r="F230" s="414" t="s">
        <v>256</v>
      </c>
      <c r="G230" s="310">
        <v>0.03</v>
      </c>
      <c r="H230" s="30"/>
      <c r="I230" s="23"/>
      <c r="J230" s="23"/>
      <c r="K230" s="23"/>
      <c r="L230" s="23"/>
      <c r="M230" s="23"/>
      <c r="N230" s="23"/>
      <c r="O230" s="231"/>
      <c r="P230" s="23"/>
      <c r="Q230" s="23"/>
      <c r="R230" s="23"/>
      <c r="S230" s="17"/>
      <c r="T230" s="18"/>
      <c r="U230" s="18"/>
      <c r="V230" s="18"/>
      <c r="W230" s="18"/>
      <c r="X230" s="18"/>
      <c r="Y230" s="18"/>
      <c r="Z230" s="240"/>
      <c r="AA230" s="240"/>
      <c r="AB230" s="240"/>
      <c r="AC230" s="240"/>
      <c r="AD230" s="240"/>
      <c r="AE230" s="240"/>
      <c r="AF230" s="240"/>
      <c r="AG230" s="240"/>
      <c r="AH230" s="240"/>
      <c r="AI230" s="240"/>
      <c r="AJ230" s="240"/>
      <c r="AK230" s="240"/>
      <c r="AL230" s="240"/>
      <c r="AM230" s="240"/>
      <c r="AN230" s="240"/>
      <c r="AO230" s="240"/>
      <c r="AP230" s="240"/>
      <c r="AQ230" s="240"/>
      <c r="AR230" s="240"/>
      <c r="AS230" s="240"/>
      <c r="AT230" s="240"/>
      <c r="AU230" s="240"/>
      <c r="AV230" s="240"/>
      <c r="AW230" s="240"/>
      <c r="AX230" s="240"/>
      <c r="AY230" s="240"/>
      <c r="AZ230" s="240"/>
      <c r="BA230" s="240"/>
      <c r="BB230" s="240"/>
      <c r="BC230" s="240"/>
      <c r="BD230" s="240"/>
      <c r="BE230" s="240"/>
      <c r="BF230" s="240"/>
      <c r="BG230" s="240"/>
      <c r="BH230" s="240"/>
      <c r="BI230" s="240"/>
      <c r="BJ230" s="240"/>
      <c r="BK230" s="240"/>
      <c r="BL230" s="240"/>
      <c r="BM230" s="74"/>
      <c r="BN230" s="74"/>
      <c r="BO230" s="74"/>
    </row>
    <row r="231" spans="1:67" ht="14.25" customHeight="1">
      <c r="A231" s="174"/>
      <c r="B231" s="174"/>
      <c r="C231" s="174"/>
      <c r="D231" s="174"/>
      <c r="E231" s="313" t="s">
        <v>479</v>
      </c>
      <c r="F231" s="414" t="s">
        <v>257</v>
      </c>
      <c r="G231" s="310">
        <v>0.01</v>
      </c>
      <c r="H231" s="30"/>
      <c r="I231" s="23"/>
      <c r="J231" s="23"/>
      <c r="K231" s="23"/>
      <c r="L231" s="23"/>
      <c r="M231" s="23"/>
      <c r="N231" s="23"/>
      <c r="O231" s="231"/>
      <c r="P231" s="23"/>
      <c r="Q231" s="23"/>
      <c r="R231" s="23"/>
      <c r="S231" s="17"/>
      <c r="T231" s="18"/>
      <c r="U231" s="18"/>
      <c r="V231" s="18"/>
      <c r="W231" s="18"/>
      <c r="X231" s="18"/>
      <c r="Y231" s="18"/>
      <c r="Z231" s="240"/>
      <c r="AA231" s="240"/>
      <c r="AB231" s="240"/>
      <c r="AC231" s="240"/>
      <c r="AD231" s="240"/>
      <c r="AE231" s="240"/>
      <c r="AF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240"/>
      <c r="BE231" s="240"/>
      <c r="BF231" s="240"/>
      <c r="BG231" s="240"/>
      <c r="BH231" s="240"/>
      <c r="BI231" s="240"/>
      <c r="BJ231" s="240"/>
      <c r="BK231" s="240"/>
      <c r="BL231" s="240"/>
      <c r="BM231" s="74"/>
      <c r="BN231" s="74"/>
      <c r="BO231" s="74"/>
    </row>
    <row r="232" spans="1:67" ht="14.25" customHeight="1">
      <c r="A232" s="174"/>
      <c r="B232" s="174"/>
      <c r="C232" s="174"/>
      <c r="D232" s="174"/>
      <c r="E232" s="235" t="s">
        <v>258</v>
      </c>
      <c r="F232" s="414" t="s">
        <v>259</v>
      </c>
      <c r="G232" s="310">
        <v>0.3</v>
      </c>
      <c r="H232" s="30"/>
      <c r="I232" s="23"/>
      <c r="J232" s="23"/>
      <c r="K232" s="23"/>
      <c r="L232" s="23"/>
      <c r="M232" s="23"/>
      <c r="N232" s="23"/>
      <c r="O232" s="231"/>
      <c r="P232" s="23"/>
      <c r="Q232" s="23"/>
      <c r="R232" s="23"/>
      <c r="S232" s="17"/>
      <c r="T232" s="18"/>
      <c r="U232" s="18"/>
      <c r="V232" s="18"/>
      <c r="W232" s="18"/>
      <c r="X232" s="18"/>
      <c r="Y232" s="18"/>
      <c r="Z232" s="240"/>
      <c r="AA232" s="240"/>
      <c r="AB232" s="240"/>
      <c r="AC232" s="240"/>
      <c r="AD232" s="240"/>
      <c r="AE232" s="240"/>
      <c r="AF232" s="240"/>
      <c r="AG232" s="240"/>
      <c r="AH232" s="240"/>
      <c r="AI232" s="240"/>
      <c r="AJ232" s="240"/>
      <c r="AK232" s="240"/>
      <c r="AL232" s="240"/>
      <c r="AM232" s="240"/>
      <c r="AN232" s="240"/>
      <c r="AO232" s="240"/>
      <c r="AP232" s="240"/>
      <c r="AQ232" s="240"/>
      <c r="AR232" s="240"/>
      <c r="AS232" s="240"/>
      <c r="AT232" s="240"/>
      <c r="AU232" s="240"/>
      <c r="AV232" s="240"/>
      <c r="AW232" s="240"/>
      <c r="AX232" s="240"/>
      <c r="AY232" s="240"/>
      <c r="AZ232" s="240"/>
      <c r="BA232" s="240"/>
      <c r="BB232" s="240"/>
      <c r="BC232" s="240"/>
      <c r="BD232" s="240"/>
      <c r="BE232" s="240"/>
      <c r="BF232" s="240"/>
      <c r="BG232" s="240"/>
      <c r="BH232" s="240"/>
      <c r="BI232" s="240"/>
      <c r="BJ232" s="240"/>
      <c r="BK232" s="240"/>
      <c r="BL232" s="240"/>
      <c r="BM232" s="74"/>
      <c r="BN232" s="74"/>
      <c r="BO232" s="74"/>
    </row>
    <row r="233" spans="1:67" ht="14.25" customHeight="1">
      <c r="A233" s="21"/>
      <c r="B233" s="21"/>
      <c r="C233" s="21"/>
      <c r="D233" s="21"/>
      <c r="E233" s="412" t="s">
        <v>477</v>
      </c>
      <c r="F233" s="413" t="s">
        <v>260</v>
      </c>
      <c r="G233" s="1490">
        <f>'[2]PTRM IO'!$R$67</f>
        <v>9.1E-4</v>
      </c>
      <c r="H233" s="30"/>
      <c r="I233" s="23"/>
      <c r="J233" s="23"/>
      <c r="K233" s="23"/>
      <c r="L233" s="23"/>
      <c r="M233" s="23"/>
      <c r="N233" s="23"/>
      <c r="O233" s="23"/>
      <c r="P233" s="23"/>
      <c r="Q233" s="23"/>
      <c r="R233" s="23"/>
      <c r="S233" s="17"/>
      <c r="T233" s="18"/>
      <c r="U233" s="18"/>
      <c r="V233" s="18"/>
      <c r="W233" s="18"/>
      <c r="X233" s="18"/>
      <c r="Y233" s="18"/>
      <c r="Z233" s="240"/>
      <c r="AA233" s="240"/>
      <c r="AB233" s="240"/>
      <c r="AC233" s="240"/>
      <c r="AD233" s="240"/>
      <c r="AE233" s="240"/>
      <c r="AF233" s="240"/>
      <c r="AG233" s="240"/>
      <c r="AH233" s="240"/>
      <c r="AI233" s="240"/>
      <c r="AJ233" s="240"/>
      <c r="AK233" s="240"/>
      <c r="AL233" s="240"/>
      <c r="AM233" s="240"/>
      <c r="AN233" s="240"/>
      <c r="AO233" s="240"/>
      <c r="AP233" s="240"/>
      <c r="AQ233" s="240"/>
      <c r="AR233" s="240"/>
      <c r="AS233" s="240"/>
      <c r="AT233" s="240"/>
      <c r="AU233" s="240"/>
      <c r="AV233" s="240"/>
      <c r="AW233" s="240"/>
      <c r="AX233" s="240"/>
      <c r="AY233" s="240"/>
      <c r="AZ233" s="240"/>
      <c r="BA233" s="240"/>
      <c r="BB233" s="240"/>
      <c r="BC233" s="240"/>
      <c r="BD233" s="240"/>
      <c r="BE233" s="240"/>
      <c r="BF233" s="240"/>
      <c r="BG233" s="240"/>
      <c r="BH233" s="240"/>
      <c r="BI233" s="240"/>
      <c r="BJ233" s="240"/>
      <c r="BK233" s="240"/>
      <c r="BL233" s="240"/>
      <c r="BM233" s="74"/>
      <c r="BN233" s="74"/>
      <c r="BO233" s="74"/>
    </row>
    <row r="234" spans="1:67" ht="21.75" customHeight="1">
      <c r="A234" s="174"/>
      <c r="B234" s="174"/>
      <c r="C234" s="174"/>
      <c r="D234" s="174"/>
      <c r="E234" s="21"/>
      <c r="F234" s="18"/>
      <c r="G234" s="28"/>
      <c r="H234" s="29"/>
      <c r="I234" s="23"/>
      <c r="J234" s="23"/>
      <c r="K234" s="23"/>
      <c r="L234" s="23"/>
      <c r="M234" s="23"/>
      <c r="N234" s="23"/>
      <c r="O234" s="23"/>
      <c r="P234" s="23"/>
      <c r="Q234" s="23"/>
      <c r="R234" s="23"/>
      <c r="S234" s="29"/>
      <c r="T234" s="18"/>
      <c r="U234" s="18"/>
      <c r="V234" s="18"/>
      <c r="W234" s="18"/>
      <c r="X234" s="18"/>
      <c r="Y234" s="18"/>
      <c r="Z234" s="240"/>
      <c r="AA234" s="240"/>
      <c r="AB234" s="240"/>
      <c r="AC234" s="240"/>
      <c r="AD234" s="240"/>
      <c r="AE234" s="240"/>
      <c r="AF234" s="240"/>
      <c r="AG234" s="240"/>
      <c r="AH234" s="240"/>
      <c r="AI234" s="240"/>
      <c r="AJ234" s="240"/>
      <c r="AK234" s="240"/>
      <c r="AL234" s="240"/>
      <c r="AM234" s="240"/>
      <c r="AN234" s="240"/>
      <c r="AO234" s="240"/>
      <c r="AP234" s="240"/>
      <c r="AQ234" s="240"/>
      <c r="AR234" s="240"/>
      <c r="AS234" s="240"/>
      <c r="AT234" s="240"/>
      <c r="AU234" s="240"/>
      <c r="AV234" s="240"/>
      <c r="AW234" s="240"/>
      <c r="AX234" s="240"/>
      <c r="AY234" s="240"/>
      <c r="AZ234" s="240"/>
      <c r="BA234" s="240"/>
      <c r="BB234" s="240"/>
      <c r="BC234" s="240"/>
      <c r="BD234" s="240"/>
      <c r="BE234" s="240"/>
      <c r="BF234" s="240"/>
      <c r="BG234" s="240"/>
      <c r="BH234" s="240"/>
      <c r="BI234" s="240"/>
      <c r="BJ234" s="240"/>
      <c r="BK234" s="240"/>
      <c r="BL234" s="240"/>
      <c r="BM234" s="74"/>
      <c r="BN234" s="74"/>
      <c r="BO234" s="74"/>
    </row>
    <row r="235" spans="1:67" ht="15.2" customHeight="1">
      <c r="A235" s="116"/>
      <c r="B235" s="116"/>
      <c r="C235" s="116"/>
      <c r="D235" s="116"/>
      <c r="E235" s="195" t="str">
        <f>"Price/Revenue Constraint for "&amp;$F$241&amp; " ($ Nominal)"</f>
        <v>Price/Revenue Constraint for 2009-10 ($ Nominal)</v>
      </c>
      <c r="F235" s="195"/>
      <c r="G235" s="195"/>
      <c r="H235" s="195"/>
      <c r="I235" s="124"/>
      <c r="J235" s="124"/>
      <c r="K235" s="124"/>
      <c r="L235" s="124"/>
      <c r="M235" s="124"/>
      <c r="N235" s="124"/>
      <c r="O235" s="124"/>
      <c r="P235" s="124"/>
      <c r="Q235" s="124"/>
      <c r="R235" s="124"/>
      <c r="S235" s="122"/>
      <c r="T235" s="122"/>
      <c r="U235" s="18"/>
      <c r="V235" s="18"/>
      <c r="W235" s="18"/>
      <c r="X235" s="18"/>
      <c r="Y235" s="18"/>
      <c r="Z235" s="240"/>
      <c r="AA235" s="240"/>
      <c r="AB235" s="240"/>
      <c r="AC235" s="240"/>
      <c r="AD235" s="240"/>
      <c r="AE235" s="240"/>
      <c r="AF235" s="240"/>
      <c r="AG235" s="240"/>
      <c r="AH235" s="240"/>
      <c r="AI235" s="240"/>
      <c r="AJ235" s="240"/>
      <c r="AK235" s="240"/>
      <c r="AL235" s="240"/>
      <c r="AM235" s="240"/>
      <c r="AN235" s="240"/>
      <c r="AO235" s="240"/>
      <c r="AP235" s="240"/>
      <c r="AQ235" s="240"/>
      <c r="AR235" s="240"/>
      <c r="AS235" s="240"/>
      <c r="AT235" s="240"/>
      <c r="AU235" s="240"/>
      <c r="AV235" s="240"/>
      <c r="AW235" s="240"/>
      <c r="AX235" s="240"/>
      <c r="AY235" s="240"/>
      <c r="AZ235" s="240"/>
      <c r="BA235" s="240"/>
      <c r="BB235" s="240"/>
      <c r="BC235" s="240"/>
      <c r="BD235" s="240"/>
      <c r="BE235" s="240"/>
      <c r="BF235" s="240"/>
      <c r="BG235" s="240"/>
      <c r="BH235" s="240"/>
      <c r="BI235" s="240"/>
      <c r="BJ235" s="240"/>
      <c r="BK235" s="240"/>
      <c r="BL235" s="240"/>
      <c r="BM235" s="74"/>
      <c r="BN235" s="74"/>
      <c r="BO235" s="74"/>
    </row>
    <row r="236" spans="1:67" ht="13.5" customHeight="1">
      <c r="A236" s="21"/>
      <c r="B236" s="21"/>
      <c r="C236" s="21"/>
      <c r="D236" s="21"/>
      <c r="E236" s="72"/>
      <c r="F236" s="18"/>
      <c r="G236" s="65" t="s">
        <v>40</v>
      </c>
      <c r="H236" s="29"/>
      <c r="I236" s="23"/>
      <c r="J236" s="23"/>
      <c r="K236" s="23"/>
      <c r="L236" s="23"/>
      <c r="M236" s="23"/>
      <c r="N236" s="23"/>
      <c r="O236" s="23"/>
      <c r="P236" s="23"/>
      <c r="Q236" s="23"/>
      <c r="R236" s="23"/>
      <c r="S236" s="29"/>
      <c r="T236" s="18"/>
      <c r="U236" s="18"/>
      <c r="V236" s="18"/>
      <c r="W236" s="18"/>
      <c r="X236" s="18"/>
      <c r="Y236" s="18"/>
      <c r="Z236" s="240"/>
      <c r="AA236" s="240"/>
      <c r="AB236" s="240"/>
      <c r="AC236" s="240"/>
      <c r="AD236" s="240"/>
      <c r="AE236" s="240"/>
      <c r="AF236" s="240"/>
      <c r="AG236" s="240"/>
      <c r="AH236" s="240"/>
      <c r="AI236" s="240"/>
      <c r="AJ236" s="240"/>
      <c r="AK236" s="240"/>
      <c r="AL236" s="240"/>
      <c r="AM236" s="240"/>
      <c r="AN236" s="240"/>
      <c r="AO236" s="240"/>
      <c r="AP236" s="240"/>
      <c r="AQ236" s="240"/>
      <c r="AR236" s="240"/>
      <c r="AS236" s="240"/>
      <c r="AT236" s="240"/>
      <c r="AU236" s="240"/>
      <c r="AV236" s="240"/>
      <c r="AW236" s="240"/>
      <c r="AX236" s="240"/>
      <c r="AY236" s="240"/>
      <c r="AZ236" s="240"/>
      <c r="BA236" s="240"/>
      <c r="BB236" s="240"/>
      <c r="BC236" s="240"/>
      <c r="BD236" s="240"/>
      <c r="BE236" s="240"/>
      <c r="BF236" s="240"/>
      <c r="BG236" s="240"/>
      <c r="BH236" s="240"/>
      <c r="BI236" s="240"/>
      <c r="BJ236" s="240"/>
      <c r="BK236" s="240"/>
      <c r="BL236" s="240"/>
      <c r="BM236" s="74"/>
      <c r="BN236" s="74"/>
      <c r="BO236" s="74"/>
    </row>
    <row r="237" spans="1:67" ht="12" customHeight="1">
      <c r="A237" s="21"/>
      <c r="B237" s="21"/>
      <c r="C237" s="21"/>
      <c r="D237" s="21"/>
      <c r="E237" s="337" t="s">
        <v>441</v>
      </c>
      <c r="F237" s="651" t="s">
        <v>437</v>
      </c>
      <c r="G237" s="208">
        <v>10</v>
      </c>
      <c r="H237" s="29"/>
      <c r="I237" s="23"/>
      <c r="J237" s="23"/>
      <c r="K237" s="23"/>
      <c r="L237" s="23"/>
      <c r="M237" s="23"/>
      <c r="N237" s="23"/>
      <c r="O237" s="23"/>
      <c r="P237" s="23"/>
      <c r="Q237" s="23"/>
      <c r="R237" s="23"/>
      <c r="S237" s="29"/>
      <c r="T237" s="18"/>
      <c r="U237" s="18"/>
      <c r="V237" s="18"/>
      <c r="W237" s="18"/>
      <c r="X237" s="18"/>
      <c r="Y237" s="18"/>
      <c r="Z237" s="240"/>
      <c r="AA237" s="240"/>
      <c r="AB237" s="240"/>
      <c r="AC237" s="240"/>
      <c r="AD237" s="240"/>
      <c r="AE237" s="240"/>
      <c r="AF237" s="240"/>
      <c r="AG237" s="240"/>
      <c r="AH237" s="240"/>
      <c r="AI237" s="240"/>
      <c r="AJ237" s="240"/>
      <c r="AK237" s="240"/>
      <c r="AL237" s="240"/>
      <c r="AM237" s="240"/>
      <c r="AN237" s="240"/>
      <c r="AO237" s="240"/>
      <c r="AP237" s="240"/>
      <c r="AQ237" s="240"/>
      <c r="AR237" s="240"/>
      <c r="AS237" s="240"/>
      <c r="AT237" s="240"/>
      <c r="AU237" s="240"/>
      <c r="AV237" s="240"/>
      <c r="AW237" s="240"/>
      <c r="AX237" s="240"/>
      <c r="AY237" s="240"/>
      <c r="AZ237" s="240"/>
      <c r="BA237" s="240"/>
      <c r="BB237" s="240"/>
      <c r="BC237" s="240"/>
      <c r="BD237" s="240"/>
      <c r="BE237" s="240"/>
      <c r="BF237" s="240"/>
      <c r="BG237" s="240"/>
      <c r="BH237" s="240"/>
      <c r="BI237" s="240"/>
      <c r="BJ237" s="240"/>
      <c r="BK237" s="240"/>
      <c r="BL237" s="240"/>
      <c r="BM237" s="74"/>
      <c r="BN237" s="74"/>
      <c r="BO237" s="74"/>
    </row>
    <row r="238" spans="1:67" ht="12" customHeight="1">
      <c r="A238" s="21"/>
      <c r="B238" s="21"/>
      <c r="C238" s="21"/>
      <c r="D238" s="21"/>
      <c r="E238" s="337" t="s">
        <v>440</v>
      </c>
      <c r="F238" s="651" t="s">
        <v>432</v>
      </c>
      <c r="G238" s="417">
        <f>G237*1000000/F242</f>
        <v>9.3283582089552244</v>
      </c>
      <c r="H238" s="29"/>
      <c r="I238" s="23"/>
      <c r="J238" s="439"/>
      <c r="K238" s="23"/>
      <c r="L238" s="23"/>
      <c r="M238" s="23"/>
      <c r="N238" s="23"/>
      <c r="O238" s="23"/>
      <c r="P238" s="23"/>
      <c r="Q238" s="23"/>
      <c r="R238" s="23"/>
      <c r="S238" s="29"/>
      <c r="T238" s="18"/>
      <c r="U238" s="18"/>
      <c r="V238" s="18"/>
      <c r="W238" s="18"/>
      <c r="X238" s="18"/>
      <c r="Y238" s="18"/>
      <c r="Z238" s="240"/>
      <c r="AA238" s="240"/>
      <c r="AB238" s="240"/>
      <c r="AC238" s="240"/>
      <c r="AD238" s="240"/>
      <c r="AE238" s="240"/>
      <c r="AF238" s="240"/>
      <c r="AG238" s="240"/>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240"/>
      <c r="BE238" s="240"/>
      <c r="BF238" s="240"/>
      <c r="BG238" s="240"/>
      <c r="BH238" s="240"/>
      <c r="BI238" s="240"/>
      <c r="BJ238" s="240"/>
      <c r="BK238" s="240"/>
      <c r="BL238" s="240"/>
      <c r="BM238" s="74"/>
      <c r="BN238" s="74"/>
      <c r="BO238" s="74"/>
    </row>
    <row r="239" spans="1:67" ht="21.75" customHeight="1">
      <c r="A239" s="21"/>
      <c r="B239" s="21"/>
      <c r="C239" s="21"/>
      <c r="D239" s="21"/>
      <c r="E239" s="21"/>
      <c r="F239" s="18"/>
      <c r="G239" s="28"/>
      <c r="H239" s="30"/>
      <c r="I239" s="18"/>
      <c r="J239" s="18"/>
      <c r="K239" s="18"/>
      <c r="L239" s="18"/>
      <c r="M239" s="18"/>
      <c r="N239" s="18"/>
      <c r="O239" s="18"/>
      <c r="P239" s="18"/>
      <c r="Q239" s="18"/>
      <c r="R239" s="18"/>
      <c r="S239" s="29"/>
      <c r="T239" s="18"/>
      <c r="U239" s="18"/>
      <c r="V239" s="18"/>
      <c r="W239" s="18"/>
      <c r="X239" s="18"/>
      <c r="Y239" s="18"/>
      <c r="Z239" s="240"/>
      <c r="AA239" s="240"/>
      <c r="AB239" s="240"/>
      <c r="AC239" s="240"/>
      <c r="AD239" s="240"/>
      <c r="AE239" s="240"/>
      <c r="AF239" s="240"/>
      <c r="AG239" s="240"/>
      <c r="AH239" s="240"/>
      <c r="AI239" s="240"/>
      <c r="AJ239" s="240"/>
      <c r="AK239" s="240"/>
      <c r="AL239" s="240"/>
      <c r="AM239" s="240"/>
      <c r="AN239" s="240"/>
      <c r="AO239" s="240"/>
      <c r="AP239" s="240"/>
      <c r="AQ239" s="240"/>
      <c r="AR239" s="240"/>
      <c r="AS239" s="240"/>
      <c r="AT239" s="240"/>
      <c r="AU239" s="240"/>
      <c r="AV239" s="240"/>
      <c r="AW239" s="240"/>
      <c r="AX239" s="240"/>
      <c r="AY239" s="240"/>
      <c r="AZ239" s="240"/>
      <c r="BA239" s="240"/>
      <c r="BB239" s="240"/>
      <c r="BC239" s="240"/>
      <c r="BD239" s="240"/>
      <c r="BE239" s="240"/>
      <c r="BF239" s="240"/>
      <c r="BG239" s="240"/>
      <c r="BH239" s="240"/>
      <c r="BI239" s="240"/>
      <c r="BJ239" s="240"/>
      <c r="BK239" s="240"/>
      <c r="BL239" s="240"/>
      <c r="BM239" s="74"/>
      <c r="BN239" s="74"/>
      <c r="BO239" s="74"/>
    </row>
    <row r="240" spans="1:67" ht="15.2" customHeight="1">
      <c r="A240" s="116"/>
      <c r="B240" s="116"/>
      <c r="C240" s="116"/>
      <c r="D240" s="116"/>
      <c r="E240" s="401" t="s">
        <v>80</v>
      </c>
      <c r="F240" s="401"/>
      <c r="G240" s="191"/>
      <c r="H240" s="191"/>
      <c r="I240" s="123"/>
      <c r="J240" s="116"/>
      <c r="K240" s="116"/>
      <c r="L240" s="116"/>
      <c r="M240" s="116"/>
      <c r="N240" s="116"/>
      <c r="O240" s="116"/>
      <c r="P240" s="116"/>
      <c r="Q240" s="116"/>
      <c r="R240" s="116"/>
      <c r="S240" s="122"/>
      <c r="T240" s="122"/>
      <c r="U240" s="18"/>
      <c r="V240" s="18"/>
      <c r="W240" s="18"/>
      <c r="X240" s="18"/>
      <c r="Y240" s="18"/>
      <c r="Z240" s="240"/>
      <c r="AA240" s="240"/>
      <c r="AB240" s="240"/>
      <c r="AC240" s="240"/>
      <c r="AD240" s="240"/>
      <c r="AE240" s="240"/>
      <c r="AF240" s="240"/>
      <c r="AG240" s="240"/>
      <c r="AH240" s="240"/>
      <c r="AI240" s="240"/>
      <c r="AJ240" s="240"/>
      <c r="AK240" s="240"/>
      <c r="AL240" s="240"/>
      <c r="AM240" s="240"/>
      <c r="AN240" s="240"/>
      <c r="AO240" s="240"/>
      <c r="AP240" s="240"/>
      <c r="AQ240" s="240"/>
      <c r="AR240" s="240"/>
      <c r="AS240" s="240"/>
      <c r="AT240" s="240"/>
      <c r="AU240" s="240"/>
      <c r="AV240" s="240"/>
      <c r="AW240" s="240"/>
      <c r="AX240" s="240"/>
      <c r="AY240" s="240"/>
      <c r="AZ240" s="240"/>
      <c r="BA240" s="240"/>
      <c r="BB240" s="240"/>
      <c r="BC240" s="240"/>
      <c r="BD240" s="240"/>
      <c r="BE240" s="240"/>
      <c r="BF240" s="240"/>
      <c r="BG240" s="240"/>
      <c r="BH240" s="240"/>
      <c r="BI240" s="240"/>
      <c r="BJ240" s="240"/>
      <c r="BK240" s="240"/>
      <c r="BL240" s="240"/>
      <c r="BM240" s="74"/>
      <c r="BN240" s="74"/>
      <c r="BO240" s="74"/>
    </row>
    <row r="241" spans="1:67">
      <c r="A241" s="21"/>
      <c r="B241" s="21"/>
      <c r="C241" s="21"/>
      <c r="D241" s="21"/>
      <c r="E241" s="60" t="s">
        <v>54</v>
      </c>
      <c r="F241" s="193" t="str">
        <f>(LEFT(G241,4)-1&amp;IF(MID(G241,5,1)="","","-"&amp;TEXT(MOD(MID(G241,6,2)-1,100),"00")))</f>
        <v>2009-10</v>
      </c>
      <c r="G241" s="193" t="str">
        <f t="shared" ref="G241:P241" si="49">G40</f>
        <v>2010-11</v>
      </c>
      <c r="H241" s="193" t="str">
        <f t="shared" si="49"/>
        <v>2011-12</v>
      </c>
      <c r="I241" s="193" t="str">
        <f t="shared" si="49"/>
        <v>2012-13</v>
      </c>
      <c r="J241" s="193" t="str">
        <f t="shared" si="49"/>
        <v>2013-14</v>
      </c>
      <c r="K241" s="193" t="str">
        <f t="shared" si="49"/>
        <v>2014-15</v>
      </c>
      <c r="L241" s="193" t="str">
        <f t="shared" si="49"/>
        <v>2015-16</v>
      </c>
      <c r="M241" s="193" t="str">
        <f t="shared" si="49"/>
        <v>2016-17</v>
      </c>
      <c r="N241" s="193" t="str">
        <f t="shared" si="49"/>
        <v>2017-18</v>
      </c>
      <c r="O241" s="193" t="str">
        <f t="shared" si="49"/>
        <v>2018-19</v>
      </c>
      <c r="P241" s="193" t="str">
        <f t="shared" si="49"/>
        <v>2019-20</v>
      </c>
      <c r="Q241" s="172"/>
      <c r="R241" s="18"/>
      <c r="S241" s="29"/>
      <c r="T241" s="18"/>
      <c r="U241" s="18"/>
      <c r="V241" s="18"/>
      <c r="W241" s="18"/>
      <c r="X241" s="18"/>
      <c r="Y241" s="18"/>
      <c r="Z241" s="240"/>
      <c r="AA241" s="240"/>
      <c r="AB241" s="240"/>
      <c r="AC241" s="240"/>
      <c r="AD241" s="240"/>
      <c r="AE241" s="240"/>
      <c r="AF241" s="240"/>
      <c r="AG241" s="240"/>
      <c r="AH241" s="240"/>
      <c r="AI241" s="240"/>
      <c r="AJ241" s="240"/>
      <c r="AK241" s="240"/>
      <c r="AL241" s="240"/>
      <c r="AM241" s="240"/>
      <c r="AN241" s="240"/>
      <c r="AO241" s="240"/>
      <c r="AP241" s="240"/>
      <c r="AQ241" s="240"/>
      <c r="AR241" s="240"/>
      <c r="AS241" s="240"/>
      <c r="AT241" s="240"/>
      <c r="AU241" s="240"/>
      <c r="AV241" s="240"/>
      <c r="AW241" s="240"/>
      <c r="AX241" s="240"/>
      <c r="AY241" s="240"/>
      <c r="AZ241" s="240"/>
      <c r="BA241" s="240"/>
      <c r="BB241" s="240"/>
      <c r="BC241" s="240"/>
      <c r="BD241" s="240"/>
      <c r="BE241" s="240"/>
      <c r="BF241" s="240"/>
      <c r="BG241" s="240"/>
      <c r="BH241" s="240"/>
      <c r="BI241" s="240"/>
      <c r="BJ241" s="240"/>
      <c r="BK241" s="240"/>
      <c r="BL241" s="240"/>
      <c r="BM241" s="74"/>
      <c r="BN241" s="74"/>
      <c r="BO241" s="74"/>
    </row>
    <row r="242" spans="1:67">
      <c r="A242" s="174"/>
      <c r="B242" s="174"/>
      <c r="C242" s="174"/>
      <c r="D242" s="174"/>
      <c r="E242" s="15" t="s">
        <v>59</v>
      </c>
      <c r="F242" s="1495">
        <f>SUM(L305,R305,X305,AD305,AJ305)/1000</f>
        <v>1072000</v>
      </c>
      <c r="G242" s="91">
        <f>SUM(M305,S305,Y305,AE305,AK305)/1000</f>
        <v>1069062</v>
      </c>
      <c r="H242" s="91">
        <f t="shared" ref="H242:K242" si="50">SUM(N305,T305,Z305,AF305,AL305)/1000</f>
        <v>1066161.6359999999</v>
      </c>
      <c r="I242" s="91">
        <f t="shared" si="50"/>
        <v>1063299.275928</v>
      </c>
      <c r="J242" s="91">
        <f t="shared" si="50"/>
        <v>1060475.296608144</v>
      </c>
      <c r="K242" s="91">
        <f t="shared" si="50"/>
        <v>1057690.0839324959</v>
      </c>
      <c r="L242" s="91">
        <f>SUM(M339,S339,Y339,AE339,AK339)/1000</f>
        <v>1054944.0330362744</v>
      </c>
      <c r="M242" s="91">
        <f>SUM(N339,T339,Z339,AF339,AL339)/1000</f>
        <v>1052237.5484766196</v>
      </c>
      <c r="N242" s="91">
        <f>SUM(O339,U339,AA339,AG339,AM339)/1000</f>
        <v>1049571.0444149568</v>
      </c>
      <c r="O242" s="91">
        <f>SUM(P339,V339,AB339,AH339,AN339)/1000</f>
        <v>1046944.9448030322</v>
      </c>
      <c r="P242" s="91">
        <f>SUM(Q339,W339,AC339,AI339,AO339)/1000</f>
        <v>1044359.6835726947</v>
      </c>
      <c r="Q242" s="173"/>
      <c r="R242" s="18"/>
      <c r="S242" s="29"/>
      <c r="T242" s="18"/>
      <c r="U242" s="18"/>
      <c r="V242" s="18"/>
      <c r="W242" s="18"/>
      <c r="X242" s="18"/>
      <c r="Y242" s="18"/>
      <c r="Z242" s="240"/>
      <c r="AA242" s="240"/>
      <c r="AB242" s="240"/>
      <c r="AC242" s="240"/>
      <c r="AD242" s="240"/>
      <c r="AE242" s="240"/>
      <c r="AF242" s="240"/>
      <c r="AG242" s="240"/>
      <c r="AH242" s="240"/>
      <c r="AI242" s="240"/>
      <c r="AJ242" s="240"/>
      <c r="AK242" s="240"/>
      <c r="AL242" s="240"/>
      <c r="AM242" s="240"/>
      <c r="AN242" s="240"/>
      <c r="AO242" s="240"/>
      <c r="AP242" s="240"/>
      <c r="AQ242" s="240"/>
      <c r="AR242" s="240"/>
      <c r="AS242" s="240"/>
      <c r="AT242" s="240"/>
      <c r="AU242" s="240"/>
      <c r="AV242" s="240"/>
      <c r="AW242" s="240"/>
      <c r="AX242" s="240"/>
      <c r="AY242" s="240"/>
      <c r="AZ242" s="240"/>
      <c r="BA242" s="240"/>
      <c r="BB242" s="240"/>
      <c r="BC242" s="240"/>
      <c r="BD242" s="240"/>
      <c r="BE242" s="240"/>
      <c r="BF242" s="240"/>
      <c r="BG242" s="240"/>
      <c r="BH242" s="240"/>
      <c r="BI242" s="240"/>
      <c r="BJ242" s="240"/>
      <c r="BK242" s="240"/>
      <c r="BL242" s="240"/>
      <c r="BM242" s="74"/>
      <c r="BN242" s="74"/>
      <c r="BO242" s="74"/>
    </row>
    <row r="243" spans="1:67" ht="14.25" customHeight="1">
      <c r="A243" s="21"/>
      <c r="B243" s="21"/>
      <c r="C243" s="21"/>
      <c r="D243" s="21"/>
      <c r="E243" s="21"/>
      <c r="F243" s="18"/>
      <c r="G243" s="28"/>
      <c r="H243" s="545"/>
      <c r="I243" s="544"/>
      <c r="J243" s="23"/>
      <c r="K243" s="23"/>
      <c r="L243" s="23"/>
      <c r="M243" s="23"/>
      <c r="N243" s="23"/>
      <c r="O243" s="23"/>
      <c r="P243" s="23"/>
      <c r="Q243" s="367"/>
      <c r="R243" s="23"/>
      <c r="S243" s="29"/>
      <c r="T243" s="18"/>
      <c r="U243" s="18"/>
      <c r="V243" s="18"/>
      <c r="W243" s="18"/>
      <c r="X243" s="18"/>
      <c r="Y243" s="18"/>
      <c r="Z243" s="240"/>
      <c r="AA243" s="240"/>
      <c r="AB243" s="240"/>
      <c r="AC243" s="240"/>
      <c r="AD243" s="240"/>
      <c r="AE243" s="240"/>
      <c r="AF243" s="240"/>
      <c r="AG243" s="240"/>
      <c r="AH243" s="240"/>
      <c r="AI243" s="240"/>
      <c r="AJ243" s="24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0"/>
      <c r="BH243" s="240"/>
      <c r="BI243" s="240"/>
      <c r="BJ243" s="240"/>
      <c r="BK243" s="240"/>
      <c r="BL243" s="240"/>
      <c r="BM243" s="74"/>
      <c r="BN243" s="74"/>
      <c r="BO243" s="74"/>
    </row>
    <row r="244" spans="1:67" s="187" customFormat="1" ht="15.2" customHeight="1">
      <c r="A244" s="207"/>
      <c r="B244" s="207"/>
      <c r="C244" s="207"/>
      <c r="D244" s="207"/>
      <c r="E244" s="1594" t="str">
        <f>"Base Year Prices per Tariff Component for "&amp;$F$241</f>
        <v>Base Year Prices per Tariff Component for 2009-10</v>
      </c>
      <c r="F244" s="1594"/>
      <c r="G244" s="1594"/>
      <c r="H244" s="207"/>
      <c r="I244" s="209"/>
      <c r="J244" s="209"/>
      <c r="K244" s="209"/>
      <c r="L244" s="209"/>
      <c r="M244" s="209"/>
      <c r="N244" s="209"/>
      <c r="O244" s="209"/>
      <c r="P244" s="209"/>
      <c r="Q244" s="209"/>
      <c r="R244" s="209"/>
      <c r="S244" s="122"/>
      <c r="T244" s="122"/>
      <c r="U244" s="23"/>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row>
    <row r="245" spans="1:67">
      <c r="A245" s="23"/>
      <c r="B245" s="23"/>
      <c r="C245" s="23"/>
      <c r="D245" s="23"/>
      <c r="E245" s="29"/>
      <c r="F245" s="28"/>
      <c r="G245" s="221"/>
      <c r="H245" s="29"/>
      <c r="I245" s="29"/>
      <c r="J245" s="29"/>
      <c r="K245" s="29"/>
      <c r="L245" s="18"/>
      <c r="M245" s="18"/>
      <c r="N245" s="18"/>
      <c r="O245" s="18"/>
      <c r="P245" s="18"/>
      <c r="Q245" s="18"/>
      <c r="R245" s="23"/>
      <c r="S245" s="23"/>
      <c r="T245" s="23"/>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row>
    <row r="246" spans="1:67" s="210" customFormat="1" ht="63.75" customHeight="1">
      <c r="A246" s="23"/>
      <c r="B246" s="23"/>
      <c r="C246" s="23"/>
      <c r="D246" s="23"/>
      <c r="E246" s="435"/>
      <c r="F246" s="421" t="s">
        <v>143</v>
      </c>
      <c r="G246" s="421" t="s">
        <v>144</v>
      </c>
      <c r="H246" s="421" t="s">
        <v>145</v>
      </c>
      <c r="I246" s="421" t="s">
        <v>146</v>
      </c>
      <c r="J246" s="421" t="s">
        <v>147</v>
      </c>
      <c r="K246" s="421" t="s">
        <v>148</v>
      </c>
      <c r="L246" s="421" t="s">
        <v>149</v>
      </c>
      <c r="M246" s="421" t="s">
        <v>150</v>
      </c>
      <c r="N246" s="421" t="s">
        <v>151</v>
      </c>
      <c r="O246" s="421" t="s">
        <v>152</v>
      </c>
      <c r="P246" s="23"/>
      <c r="Q246" s="23"/>
      <c r="R246" s="23"/>
      <c r="S246" s="23"/>
      <c r="T246" s="23"/>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row>
    <row r="247" spans="1:67" s="90" customFormat="1">
      <c r="A247" s="23"/>
      <c r="B247" s="23"/>
      <c r="C247" s="23"/>
      <c r="D247" s="23"/>
      <c r="E247" s="436"/>
      <c r="F247" s="422" t="str">
        <f>(LEFT(G241,4)-1&amp;IF(MID(G241,5,1)="","","-"&amp;TEXT(MID(G241,6,2)-1,"00")))</f>
        <v>2009-10</v>
      </c>
      <c r="G247" s="422" t="str">
        <f>F247</f>
        <v>2009-10</v>
      </c>
      <c r="H247" s="422" t="str">
        <f t="shared" ref="H247:O247" si="51">G247</f>
        <v>2009-10</v>
      </c>
      <c r="I247" s="422" t="str">
        <f t="shared" si="51"/>
        <v>2009-10</v>
      </c>
      <c r="J247" s="422" t="str">
        <f t="shared" si="51"/>
        <v>2009-10</v>
      </c>
      <c r="K247" s="422" t="str">
        <f t="shared" si="51"/>
        <v>2009-10</v>
      </c>
      <c r="L247" s="422" t="str">
        <f t="shared" si="51"/>
        <v>2009-10</v>
      </c>
      <c r="M247" s="422" t="str">
        <f t="shared" si="51"/>
        <v>2009-10</v>
      </c>
      <c r="N247" s="422" t="str">
        <f t="shared" si="51"/>
        <v>2009-10</v>
      </c>
      <c r="O247" s="422" t="str">
        <f t="shared" si="51"/>
        <v>2009-10</v>
      </c>
      <c r="P247" s="23"/>
      <c r="Q247" s="23"/>
      <c r="R247" s="23"/>
      <c r="S247" s="23"/>
      <c r="T247" s="23"/>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row>
    <row r="248" spans="1:67" s="211" customFormat="1">
      <c r="A248" s="23"/>
      <c r="B248" s="23"/>
      <c r="C248" s="23"/>
      <c r="D248" s="23"/>
      <c r="E248" s="419" t="s">
        <v>153</v>
      </c>
      <c r="F248" s="418">
        <v>250</v>
      </c>
      <c r="G248" s="418">
        <v>10</v>
      </c>
      <c r="H248" s="418"/>
      <c r="I248" s="418"/>
      <c r="J248" s="418"/>
      <c r="K248" s="418"/>
      <c r="L248" s="418"/>
      <c r="M248" s="418"/>
      <c r="N248" s="418"/>
      <c r="O248" s="418"/>
      <c r="P248" s="23"/>
      <c r="Q248" s="23"/>
      <c r="R248" s="23"/>
      <c r="S248" s="23"/>
      <c r="T248" s="23"/>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row>
    <row r="249" spans="1:67" s="212" customFormat="1">
      <c r="A249" s="23"/>
      <c r="B249" s="23"/>
      <c r="C249" s="23"/>
      <c r="D249" s="23"/>
      <c r="E249" s="419" t="s">
        <v>154</v>
      </c>
      <c r="F249" s="420">
        <v>250</v>
      </c>
      <c r="G249" s="420"/>
      <c r="H249" s="420">
        <v>20</v>
      </c>
      <c r="I249" s="420">
        <v>10</v>
      </c>
      <c r="J249" s="420">
        <v>15</v>
      </c>
      <c r="K249" s="420">
        <v>10</v>
      </c>
      <c r="L249" s="420">
        <v>15</v>
      </c>
      <c r="M249" s="420">
        <v>10</v>
      </c>
      <c r="N249" s="420">
        <v>10</v>
      </c>
      <c r="O249" s="420">
        <v>5</v>
      </c>
      <c r="P249" s="23"/>
      <c r="Q249" s="23"/>
      <c r="R249" s="23"/>
      <c r="S249" s="23"/>
      <c r="T249" s="23"/>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row>
    <row r="250" spans="1:67" s="213" customFormat="1">
      <c r="A250" s="23"/>
      <c r="B250" s="23"/>
      <c r="C250" s="23"/>
      <c r="D250" s="23"/>
      <c r="E250" s="419" t="s">
        <v>155</v>
      </c>
      <c r="F250" s="420">
        <v>250</v>
      </c>
      <c r="G250" s="420"/>
      <c r="H250" s="1418">
        <v>20</v>
      </c>
      <c r="I250" s="420">
        <v>10</v>
      </c>
      <c r="J250" s="420">
        <v>15</v>
      </c>
      <c r="K250" s="420">
        <v>10</v>
      </c>
      <c r="L250" s="420">
        <v>15</v>
      </c>
      <c r="M250" s="420">
        <v>10</v>
      </c>
      <c r="N250" s="420">
        <v>10</v>
      </c>
      <c r="O250" s="420">
        <v>5</v>
      </c>
      <c r="P250" s="23"/>
      <c r="Q250" s="23"/>
      <c r="R250" s="23"/>
      <c r="S250" s="23"/>
      <c r="T250" s="23"/>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row>
    <row r="251" spans="1:67" s="213" customFormat="1">
      <c r="A251" s="23"/>
      <c r="B251" s="23"/>
      <c r="C251" s="23"/>
      <c r="D251" s="23"/>
      <c r="E251" s="419" t="s">
        <v>156</v>
      </c>
      <c r="F251" s="420">
        <v>500</v>
      </c>
      <c r="G251" s="420"/>
      <c r="H251" s="420">
        <v>30</v>
      </c>
      <c r="I251" s="420">
        <v>10</v>
      </c>
      <c r="J251" s="420">
        <v>15</v>
      </c>
      <c r="K251" s="420">
        <v>10</v>
      </c>
      <c r="L251" s="420">
        <v>15</v>
      </c>
      <c r="M251" s="420">
        <v>20</v>
      </c>
      <c r="N251" s="420">
        <v>10</v>
      </c>
      <c r="O251" s="420">
        <v>5</v>
      </c>
      <c r="P251" s="23"/>
      <c r="Q251" s="23"/>
      <c r="R251" s="23"/>
      <c r="S251" s="23"/>
      <c r="T251" s="23"/>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row>
    <row r="252" spans="1:67" s="213" customFormat="1">
      <c r="A252" s="23"/>
      <c r="B252" s="23"/>
      <c r="C252" s="23"/>
      <c r="D252" s="23"/>
      <c r="E252" s="419" t="s">
        <v>157</v>
      </c>
      <c r="F252" s="420">
        <v>500</v>
      </c>
      <c r="G252" s="420"/>
      <c r="H252" s="420">
        <v>30</v>
      </c>
      <c r="I252" s="420">
        <v>10</v>
      </c>
      <c r="J252" s="420">
        <v>15</v>
      </c>
      <c r="K252" s="420">
        <v>10</v>
      </c>
      <c r="L252" s="420">
        <v>15</v>
      </c>
      <c r="M252" s="420">
        <v>20</v>
      </c>
      <c r="N252" s="420">
        <v>10</v>
      </c>
      <c r="O252" s="420">
        <v>5</v>
      </c>
      <c r="P252" s="23"/>
      <c r="Q252" s="23"/>
      <c r="R252" s="23"/>
      <c r="S252" s="23"/>
      <c r="T252" s="23"/>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row>
    <row r="253" spans="1:67" s="213" customFormat="1">
      <c r="A253" s="23"/>
      <c r="B253" s="23"/>
      <c r="C253" s="23"/>
      <c r="D253" s="23"/>
      <c r="E253" s="419" t="s">
        <v>158</v>
      </c>
      <c r="F253" s="420">
        <v>500</v>
      </c>
      <c r="G253" s="420"/>
      <c r="H253" s="420">
        <v>30</v>
      </c>
      <c r="I253" s="420">
        <v>10</v>
      </c>
      <c r="J253" s="420">
        <v>15</v>
      </c>
      <c r="K253" s="420">
        <v>10</v>
      </c>
      <c r="L253" s="420">
        <v>15</v>
      </c>
      <c r="M253" s="420">
        <v>20</v>
      </c>
      <c r="N253" s="420">
        <v>10</v>
      </c>
      <c r="O253" s="420">
        <v>5</v>
      </c>
      <c r="P253" s="23"/>
      <c r="Q253" s="23"/>
      <c r="R253" s="23"/>
      <c r="S253" s="23"/>
      <c r="T253" s="23"/>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row>
    <row r="254" spans="1:67" s="214" customFormat="1">
      <c r="A254" s="23"/>
      <c r="B254" s="23"/>
      <c r="C254" s="23"/>
      <c r="D254" s="23"/>
      <c r="E254" s="419" t="s">
        <v>159</v>
      </c>
      <c r="F254" s="420">
        <v>1000</v>
      </c>
      <c r="G254" s="420"/>
      <c r="H254" s="420">
        <v>50</v>
      </c>
      <c r="I254" s="420">
        <v>10</v>
      </c>
      <c r="J254" s="420">
        <v>15</v>
      </c>
      <c r="K254" s="420">
        <v>10</v>
      </c>
      <c r="L254" s="420">
        <v>15</v>
      </c>
      <c r="M254" s="420">
        <v>30</v>
      </c>
      <c r="N254" s="420">
        <v>10</v>
      </c>
      <c r="O254" s="420">
        <v>5</v>
      </c>
      <c r="P254" s="23"/>
      <c r="Q254" s="23"/>
      <c r="R254" s="23"/>
      <c r="S254" s="23"/>
      <c r="T254" s="23"/>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row>
    <row r="255" spans="1:67" s="214" customFormat="1">
      <c r="A255" s="23"/>
      <c r="B255" s="23"/>
      <c r="C255" s="23"/>
      <c r="D255" s="23"/>
      <c r="E255" s="419" t="s">
        <v>160</v>
      </c>
      <c r="F255" s="420">
        <v>1000</v>
      </c>
      <c r="G255" s="420"/>
      <c r="H255" s="420">
        <v>50</v>
      </c>
      <c r="I255" s="420">
        <v>10</v>
      </c>
      <c r="J255" s="420">
        <v>15</v>
      </c>
      <c r="K255" s="420">
        <v>10</v>
      </c>
      <c r="L255" s="420">
        <v>15</v>
      </c>
      <c r="M255" s="420">
        <v>30</v>
      </c>
      <c r="N255" s="420">
        <v>10</v>
      </c>
      <c r="O255" s="420">
        <v>5</v>
      </c>
      <c r="P255" s="23"/>
      <c r="Q255" s="23"/>
      <c r="R255" s="23"/>
      <c r="S255" s="23"/>
      <c r="T255" s="23"/>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row>
    <row r="256" spans="1:67" s="214" customFormat="1">
      <c r="A256" s="23"/>
      <c r="B256" s="23"/>
      <c r="C256" s="23"/>
      <c r="D256" s="23"/>
      <c r="E256" s="419" t="s">
        <v>161</v>
      </c>
      <c r="F256" s="420">
        <v>1000</v>
      </c>
      <c r="G256" s="420"/>
      <c r="H256" s="420">
        <v>50</v>
      </c>
      <c r="I256" s="420">
        <v>10</v>
      </c>
      <c r="J256" s="420">
        <v>15</v>
      </c>
      <c r="K256" s="420">
        <v>10</v>
      </c>
      <c r="L256" s="420">
        <v>15</v>
      </c>
      <c r="M256" s="420">
        <v>30</v>
      </c>
      <c r="N256" s="420">
        <v>10</v>
      </c>
      <c r="O256" s="420">
        <v>5</v>
      </c>
      <c r="P256" s="23"/>
      <c r="Q256" s="23"/>
      <c r="R256" s="23"/>
      <c r="S256" s="23"/>
      <c r="T256" s="23"/>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row>
    <row r="257" spans="1:67" s="214" customFormat="1">
      <c r="A257" s="23"/>
      <c r="B257" s="23"/>
      <c r="C257" s="23"/>
      <c r="D257" s="23"/>
      <c r="E257" s="419"/>
      <c r="F257" s="420"/>
      <c r="G257" s="420"/>
      <c r="H257" s="420"/>
      <c r="I257" s="420"/>
      <c r="J257" s="420"/>
      <c r="K257" s="420"/>
      <c r="L257" s="420"/>
      <c r="M257" s="420"/>
      <c r="N257" s="420"/>
      <c r="O257" s="420"/>
      <c r="P257" s="23"/>
      <c r="Q257" s="23"/>
      <c r="R257" s="23"/>
      <c r="S257" s="23"/>
      <c r="T257" s="23"/>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row>
    <row r="258" spans="1:67" s="214" customFormat="1">
      <c r="A258" s="23"/>
      <c r="B258" s="23"/>
      <c r="C258" s="23"/>
      <c r="D258" s="23"/>
      <c r="E258" s="419"/>
      <c r="F258" s="420"/>
      <c r="G258" s="420"/>
      <c r="H258" s="420"/>
      <c r="I258" s="420"/>
      <c r="J258" s="420"/>
      <c r="K258" s="420"/>
      <c r="L258" s="420"/>
      <c r="M258" s="420"/>
      <c r="N258" s="420"/>
      <c r="O258" s="420"/>
      <c r="P258" s="23"/>
      <c r="Q258" s="23"/>
      <c r="R258" s="23"/>
      <c r="S258" s="23"/>
      <c r="T258" s="23"/>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row>
    <row r="259" spans="1:67" s="4" customFormat="1">
      <c r="A259" s="23"/>
      <c r="B259" s="23"/>
      <c r="C259" s="23"/>
      <c r="D259" s="23"/>
      <c r="E259" s="419"/>
      <c r="F259" s="420"/>
      <c r="G259" s="420"/>
      <c r="H259" s="420"/>
      <c r="I259" s="420"/>
      <c r="J259" s="420"/>
      <c r="K259" s="420"/>
      <c r="L259" s="420"/>
      <c r="M259" s="420"/>
      <c r="N259" s="420"/>
      <c r="O259" s="420"/>
      <c r="P259" s="23"/>
      <c r="Q259" s="23"/>
      <c r="R259" s="23"/>
      <c r="S259" s="23"/>
      <c r="T259" s="23"/>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row>
    <row r="260" spans="1:67" s="4" customFormat="1">
      <c r="A260" s="23"/>
      <c r="B260" s="23"/>
      <c r="C260" s="23"/>
      <c r="D260" s="23"/>
      <c r="E260" s="419"/>
      <c r="F260" s="420"/>
      <c r="G260" s="420"/>
      <c r="H260" s="420"/>
      <c r="I260" s="420"/>
      <c r="J260" s="420"/>
      <c r="K260" s="420"/>
      <c r="L260" s="420"/>
      <c r="M260" s="420"/>
      <c r="N260" s="420"/>
      <c r="O260" s="420"/>
      <c r="P260" s="23"/>
      <c r="Q260" s="23"/>
      <c r="R260" s="23"/>
      <c r="S260" s="23"/>
      <c r="T260" s="23"/>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row>
    <row r="261" spans="1:67" s="4" customFormat="1">
      <c r="A261" s="23"/>
      <c r="B261" s="23"/>
      <c r="C261" s="23"/>
      <c r="D261" s="23"/>
      <c r="E261" s="419"/>
      <c r="F261" s="420"/>
      <c r="G261" s="420"/>
      <c r="H261" s="420"/>
      <c r="I261" s="420"/>
      <c r="J261" s="420"/>
      <c r="K261" s="420"/>
      <c r="L261" s="420"/>
      <c r="M261" s="420"/>
      <c r="N261" s="420"/>
      <c r="O261" s="420"/>
      <c r="P261" s="23"/>
      <c r="Q261" s="23"/>
      <c r="R261" s="23"/>
      <c r="S261" s="23"/>
      <c r="T261" s="23"/>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row>
    <row r="262" spans="1:67" s="4" customFormat="1">
      <c r="A262" s="23"/>
      <c r="B262" s="23"/>
      <c r="C262" s="23"/>
      <c r="D262" s="23"/>
      <c r="E262" s="419"/>
      <c r="F262" s="420"/>
      <c r="G262" s="420"/>
      <c r="H262" s="420"/>
      <c r="I262" s="420"/>
      <c r="J262" s="420"/>
      <c r="K262" s="420"/>
      <c r="L262" s="420"/>
      <c r="M262" s="420"/>
      <c r="N262" s="420"/>
      <c r="O262" s="420"/>
      <c r="P262" s="23"/>
      <c r="Q262" s="23"/>
      <c r="R262" s="23"/>
      <c r="S262" s="23"/>
      <c r="T262" s="23"/>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row>
    <row r="263" spans="1:67" s="4" customFormat="1">
      <c r="A263" s="23"/>
      <c r="B263" s="23"/>
      <c r="C263" s="23"/>
      <c r="D263" s="23"/>
      <c r="E263" s="419"/>
      <c r="F263" s="420"/>
      <c r="G263" s="420"/>
      <c r="H263" s="420"/>
      <c r="I263" s="420"/>
      <c r="J263" s="420"/>
      <c r="K263" s="420"/>
      <c r="L263" s="420"/>
      <c r="M263" s="420"/>
      <c r="N263" s="420"/>
      <c r="O263" s="420"/>
      <c r="P263" s="23"/>
      <c r="Q263" s="23"/>
      <c r="R263" s="23"/>
      <c r="S263" s="23"/>
      <c r="T263" s="23"/>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row>
    <row r="264" spans="1:67" s="4" customFormat="1">
      <c r="A264" s="23"/>
      <c r="B264" s="23"/>
      <c r="C264" s="23"/>
      <c r="D264" s="23"/>
      <c r="E264" s="419"/>
      <c r="F264" s="420"/>
      <c r="G264" s="420"/>
      <c r="H264" s="420"/>
      <c r="I264" s="420"/>
      <c r="J264" s="420"/>
      <c r="K264" s="420"/>
      <c r="L264" s="420"/>
      <c r="M264" s="420"/>
      <c r="N264" s="420"/>
      <c r="O264" s="420"/>
      <c r="P264" s="23"/>
      <c r="Q264" s="23"/>
      <c r="R264" s="23"/>
      <c r="S264" s="23"/>
      <c r="T264" s="23"/>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row>
    <row r="265" spans="1:67" s="4" customFormat="1">
      <c r="A265" s="23"/>
      <c r="B265" s="23"/>
      <c r="C265" s="23"/>
      <c r="D265" s="23"/>
      <c r="E265" s="419"/>
      <c r="F265" s="420"/>
      <c r="G265" s="420"/>
      <c r="H265" s="420"/>
      <c r="I265" s="420"/>
      <c r="J265" s="420"/>
      <c r="K265" s="420"/>
      <c r="L265" s="420"/>
      <c r="M265" s="420"/>
      <c r="N265" s="420"/>
      <c r="O265" s="420"/>
      <c r="P265" s="23"/>
      <c r="Q265" s="23"/>
      <c r="R265" s="23"/>
      <c r="S265" s="23"/>
      <c r="T265" s="23"/>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row>
    <row r="266" spans="1:67" s="4" customFormat="1">
      <c r="A266" s="23"/>
      <c r="B266" s="23"/>
      <c r="C266" s="23"/>
      <c r="D266" s="23"/>
      <c r="E266" s="419"/>
      <c r="F266" s="420"/>
      <c r="G266" s="420"/>
      <c r="H266" s="420"/>
      <c r="I266" s="420"/>
      <c r="J266" s="420"/>
      <c r="K266" s="420"/>
      <c r="L266" s="420"/>
      <c r="M266" s="420"/>
      <c r="N266" s="420"/>
      <c r="O266" s="420"/>
      <c r="P266" s="23"/>
      <c r="Q266" s="23"/>
      <c r="R266" s="23"/>
      <c r="S266" s="23"/>
      <c r="T266" s="23"/>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row>
    <row r="267" spans="1:67" s="4" customFormat="1">
      <c r="A267" s="23"/>
      <c r="B267" s="23"/>
      <c r="C267" s="23"/>
      <c r="D267" s="23"/>
      <c r="E267" s="419"/>
      <c r="F267" s="420"/>
      <c r="G267" s="420"/>
      <c r="H267" s="420"/>
      <c r="I267" s="420"/>
      <c r="J267" s="420"/>
      <c r="K267" s="420"/>
      <c r="L267" s="420"/>
      <c r="M267" s="420"/>
      <c r="N267" s="420"/>
      <c r="O267" s="420"/>
      <c r="P267" s="23"/>
      <c r="Q267" s="23"/>
      <c r="R267" s="23"/>
      <c r="S267" s="23"/>
      <c r="T267" s="23"/>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row>
    <row r="268" spans="1:67" s="4" customFormat="1">
      <c r="A268" s="23"/>
      <c r="B268" s="23"/>
      <c r="C268" s="23"/>
      <c r="D268" s="23"/>
      <c r="E268" s="419"/>
      <c r="F268" s="420"/>
      <c r="G268" s="420"/>
      <c r="H268" s="420"/>
      <c r="I268" s="420"/>
      <c r="J268" s="420"/>
      <c r="K268" s="420"/>
      <c r="L268" s="420"/>
      <c r="M268" s="420"/>
      <c r="N268" s="420"/>
      <c r="O268" s="420"/>
      <c r="P268" s="23"/>
      <c r="Q268" s="23"/>
      <c r="R268" s="23"/>
      <c r="S268" s="23"/>
      <c r="T268" s="23"/>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row>
    <row r="269" spans="1:67" s="4" customFormat="1">
      <c r="A269" s="23"/>
      <c r="B269" s="23"/>
      <c r="C269" s="23"/>
      <c r="D269" s="23"/>
      <c r="E269" s="419"/>
      <c r="F269" s="420"/>
      <c r="G269" s="420"/>
      <c r="H269" s="420"/>
      <c r="I269" s="420"/>
      <c r="J269" s="420"/>
      <c r="K269" s="420"/>
      <c r="L269" s="420"/>
      <c r="M269" s="420"/>
      <c r="N269" s="420"/>
      <c r="O269" s="420"/>
      <c r="P269" s="23"/>
      <c r="Q269" s="23"/>
      <c r="R269" s="23"/>
      <c r="S269" s="23"/>
      <c r="T269" s="23"/>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row>
    <row r="270" spans="1:67" s="4" customFormat="1">
      <c r="A270" s="23"/>
      <c r="B270" s="23"/>
      <c r="C270" s="23"/>
      <c r="D270" s="23"/>
      <c r="E270" s="419"/>
      <c r="F270" s="420"/>
      <c r="G270" s="420"/>
      <c r="H270" s="420"/>
      <c r="I270" s="420"/>
      <c r="J270" s="420"/>
      <c r="K270" s="420"/>
      <c r="L270" s="420"/>
      <c r="M270" s="420"/>
      <c r="N270" s="420"/>
      <c r="O270" s="420"/>
      <c r="P270" s="23"/>
      <c r="Q270" s="23"/>
      <c r="R270" s="23"/>
      <c r="S270" s="23"/>
      <c r="T270" s="23"/>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row>
    <row r="271" spans="1:67" s="4" customFormat="1">
      <c r="A271" s="23"/>
      <c r="B271" s="23"/>
      <c r="C271" s="23"/>
      <c r="D271" s="23"/>
      <c r="E271" s="419"/>
      <c r="F271" s="420"/>
      <c r="G271" s="420"/>
      <c r="H271" s="420"/>
      <c r="I271" s="420"/>
      <c r="J271" s="420"/>
      <c r="K271" s="420"/>
      <c r="L271" s="420"/>
      <c r="M271" s="420"/>
      <c r="N271" s="420"/>
      <c r="O271" s="420"/>
      <c r="P271" s="23"/>
      <c r="Q271" s="23"/>
      <c r="R271" s="23"/>
      <c r="S271" s="23"/>
      <c r="T271" s="23"/>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row>
    <row r="272" spans="1:67" s="4" customFormat="1">
      <c r="A272" s="23"/>
      <c r="B272" s="23"/>
      <c r="C272" s="23"/>
      <c r="D272" s="23"/>
      <c r="E272" s="419"/>
      <c r="F272" s="420"/>
      <c r="G272" s="420"/>
      <c r="H272" s="420"/>
      <c r="I272" s="420"/>
      <c r="J272" s="420"/>
      <c r="K272" s="420"/>
      <c r="L272" s="420"/>
      <c r="M272" s="420"/>
      <c r="N272" s="420"/>
      <c r="O272" s="420"/>
      <c r="P272" s="23"/>
      <c r="Q272" s="23"/>
      <c r="R272" s="23"/>
      <c r="S272" s="23"/>
      <c r="T272" s="23"/>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row>
    <row r="273" spans="1:67" s="4" customFormat="1">
      <c r="A273" s="23"/>
      <c r="B273" s="23"/>
      <c r="C273" s="23"/>
      <c r="D273" s="23"/>
      <c r="E273" s="419"/>
      <c r="F273" s="420"/>
      <c r="G273" s="420"/>
      <c r="H273" s="420"/>
      <c r="I273" s="420"/>
      <c r="J273" s="420"/>
      <c r="K273" s="420"/>
      <c r="L273" s="420"/>
      <c r="M273" s="420"/>
      <c r="N273" s="420"/>
      <c r="O273" s="420"/>
      <c r="P273" s="23"/>
      <c r="Q273" s="23"/>
      <c r="R273" s="23"/>
      <c r="S273" s="23"/>
      <c r="T273" s="23"/>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row>
    <row r="274" spans="1:67" ht="23.25" customHeight="1">
      <c r="A274" s="23"/>
      <c r="B274" s="23"/>
      <c r="C274" s="23"/>
      <c r="D274" s="23"/>
      <c r="E274" s="28"/>
      <c r="F274" s="28"/>
      <c r="G274" s="221"/>
      <c r="H274" s="29"/>
      <c r="I274" s="29"/>
      <c r="J274" s="29"/>
      <c r="K274" s="29"/>
      <c r="L274" s="18"/>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row>
    <row r="275" spans="1:67" ht="15.2" customHeight="1">
      <c r="A275" s="207"/>
      <c r="B275" s="207"/>
      <c r="C275" s="207"/>
      <c r="D275" s="207"/>
      <c r="E275" s="1597" t="s">
        <v>307</v>
      </c>
      <c r="F275" s="1597"/>
      <c r="G275" s="1597"/>
      <c r="H275" s="650"/>
      <c r="I275" s="650"/>
      <c r="J275" s="650"/>
      <c r="K275" s="222"/>
      <c r="L275" s="117"/>
      <c r="M275" s="117"/>
      <c r="N275" s="117"/>
      <c r="O275" s="117"/>
      <c r="P275" s="209"/>
      <c r="Q275" s="209"/>
      <c r="R275" s="209"/>
      <c r="S275" s="209"/>
      <c r="T275" s="20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s="209"/>
      <c r="AP275" s="209"/>
      <c r="AQ275" s="209"/>
      <c r="AR275" s="209"/>
      <c r="AS275" s="209"/>
      <c r="AT275" s="209"/>
      <c r="AU275" s="209"/>
      <c r="AV275" s="209"/>
      <c r="AW275" s="209"/>
      <c r="AX275" s="209"/>
      <c r="AY275" s="209"/>
      <c r="AZ275" s="209"/>
      <c r="BA275" s="209"/>
      <c r="BB275" s="209"/>
      <c r="BC275" s="209"/>
      <c r="BD275" s="209"/>
      <c r="BE275" s="209"/>
      <c r="BF275" s="209"/>
      <c r="BG275" s="209"/>
      <c r="BH275" s="209"/>
      <c r="BI275" s="209"/>
      <c r="BJ275" s="209"/>
      <c r="BK275" s="209"/>
      <c r="BL275" s="209"/>
      <c r="BM275" s="209"/>
      <c r="BN275" s="209"/>
      <c r="BO275" s="209"/>
    </row>
    <row r="276" spans="1:67">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row>
    <row r="277" spans="1:67" s="90" customFormat="1">
      <c r="A277" s="23"/>
      <c r="B277" s="23"/>
      <c r="C277" s="23"/>
      <c r="D277" s="23"/>
      <c r="E277" s="423" t="s">
        <v>321</v>
      </c>
      <c r="F277" s="1602" t="s">
        <v>162</v>
      </c>
      <c r="G277" s="1600"/>
      <c r="H277" s="1600"/>
      <c r="I277" s="1600"/>
      <c r="J277" s="1600"/>
      <c r="K277" s="1601"/>
      <c r="L277" s="1602" t="s">
        <v>163</v>
      </c>
      <c r="M277" s="1600"/>
      <c r="N277" s="1600"/>
      <c r="O277" s="1600"/>
      <c r="P277" s="1600"/>
      <c r="Q277" s="1601"/>
      <c r="R277" s="1602" t="s">
        <v>164</v>
      </c>
      <c r="S277" s="1600"/>
      <c r="T277" s="1600"/>
      <c r="U277" s="1600"/>
      <c r="V277" s="1600"/>
      <c r="W277" s="1601"/>
      <c r="X277" s="1602" t="s">
        <v>165</v>
      </c>
      <c r="Y277" s="1600"/>
      <c r="Z277" s="1600"/>
      <c r="AA277" s="1600"/>
      <c r="AB277" s="1600"/>
      <c r="AC277" s="1601"/>
      <c r="AD277" s="1602" t="s">
        <v>166</v>
      </c>
      <c r="AE277" s="1600"/>
      <c r="AF277" s="1600"/>
      <c r="AG277" s="1600"/>
      <c r="AH277" s="1600"/>
      <c r="AI277" s="1601"/>
      <c r="AJ277" s="1602" t="s">
        <v>167</v>
      </c>
      <c r="AK277" s="1600"/>
      <c r="AL277" s="1600"/>
      <c r="AM277" s="1600"/>
      <c r="AN277" s="1600"/>
      <c r="AO277" s="1601"/>
      <c r="AP277" s="1602" t="s">
        <v>168</v>
      </c>
      <c r="AQ277" s="1600"/>
      <c r="AR277" s="1600"/>
      <c r="AS277" s="1600"/>
      <c r="AT277" s="1600"/>
      <c r="AU277" s="1601"/>
      <c r="AV277" s="1602" t="s">
        <v>169</v>
      </c>
      <c r="AW277" s="1600"/>
      <c r="AX277" s="1600"/>
      <c r="AY277" s="1600"/>
      <c r="AZ277" s="1600"/>
      <c r="BA277" s="1601"/>
      <c r="BB277" s="1602" t="s">
        <v>170</v>
      </c>
      <c r="BC277" s="1600"/>
      <c r="BD277" s="1600"/>
      <c r="BE277" s="1600"/>
      <c r="BF277" s="1600"/>
      <c r="BG277" s="1601"/>
      <c r="BH277" s="1600" t="s">
        <v>171</v>
      </c>
      <c r="BI277" s="1600"/>
      <c r="BJ277" s="1600"/>
      <c r="BK277" s="1600"/>
      <c r="BL277" s="1600"/>
      <c r="BM277" s="1601"/>
      <c r="BN277" s="23"/>
      <c r="BO277" s="23"/>
    </row>
    <row r="278" spans="1:67" s="90" customFormat="1">
      <c r="A278" s="23"/>
      <c r="B278" s="23"/>
      <c r="C278" s="23"/>
      <c r="D278" s="23"/>
      <c r="E278" s="60" t="s">
        <v>54</v>
      </c>
      <c r="F278" s="422" t="str">
        <f>F247</f>
        <v>2009-10</v>
      </c>
      <c r="G278" s="425" t="str">
        <f>G241</f>
        <v>2010-11</v>
      </c>
      <c r="H278" s="425" t="str">
        <f>H241</f>
        <v>2011-12</v>
      </c>
      <c r="I278" s="425" t="str">
        <f>I241</f>
        <v>2012-13</v>
      </c>
      <c r="J278" s="425" t="str">
        <f>J241</f>
        <v>2013-14</v>
      </c>
      <c r="K278" s="426" t="str">
        <f>K241</f>
        <v>2014-15</v>
      </c>
      <c r="L278" s="422" t="str">
        <f t="shared" ref="L278:Q278" si="52">F278</f>
        <v>2009-10</v>
      </c>
      <c r="M278" s="425" t="str">
        <f t="shared" si="52"/>
        <v>2010-11</v>
      </c>
      <c r="N278" s="425" t="str">
        <f t="shared" si="52"/>
        <v>2011-12</v>
      </c>
      <c r="O278" s="425" t="str">
        <f t="shared" si="52"/>
        <v>2012-13</v>
      </c>
      <c r="P278" s="425" t="str">
        <f t="shared" si="52"/>
        <v>2013-14</v>
      </c>
      <c r="Q278" s="426" t="str">
        <f t="shared" si="52"/>
        <v>2014-15</v>
      </c>
      <c r="R278" s="422" t="str">
        <f t="shared" ref="R278:W278" si="53">L278</f>
        <v>2009-10</v>
      </c>
      <c r="S278" s="425" t="str">
        <f t="shared" si="53"/>
        <v>2010-11</v>
      </c>
      <c r="T278" s="425" t="str">
        <f t="shared" si="53"/>
        <v>2011-12</v>
      </c>
      <c r="U278" s="425" t="str">
        <f t="shared" si="53"/>
        <v>2012-13</v>
      </c>
      <c r="V278" s="425" t="str">
        <f t="shared" si="53"/>
        <v>2013-14</v>
      </c>
      <c r="W278" s="426" t="str">
        <f t="shared" si="53"/>
        <v>2014-15</v>
      </c>
      <c r="X278" s="422" t="str">
        <f t="shared" ref="X278:AC278" si="54">R278</f>
        <v>2009-10</v>
      </c>
      <c r="Y278" s="425" t="str">
        <f t="shared" si="54"/>
        <v>2010-11</v>
      </c>
      <c r="Z278" s="425" t="str">
        <f t="shared" si="54"/>
        <v>2011-12</v>
      </c>
      <c r="AA278" s="425" t="str">
        <f t="shared" si="54"/>
        <v>2012-13</v>
      </c>
      <c r="AB278" s="425" t="str">
        <f t="shared" si="54"/>
        <v>2013-14</v>
      </c>
      <c r="AC278" s="426" t="str">
        <f t="shared" si="54"/>
        <v>2014-15</v>
      </c>
      <c r="AD278" s="422" t="str">
        <f t="shared" ref="AD278:AI278" si="55">X278</f>
        <v>2009-10</v>
      </c>
      <c r="AE278" s="425" t="str">
        <f t="shared" si="55"/>
        <v>2010-11</v>
      </c>
      <c r="AF278" s="425" t="str">
        <f t="shared" si="55"/>
        <v>2011-12</v>
      </c>
      <c r="AG278" s="425" t="str">
        <f t="shared" si="55"/>
        <v>2012-13</v>
      </c>
      <c r="AH278" s="425" t="str">
        <f t="shared" si="55"/>
        <v>2013-14</v>
      </c>
      <c r="AI278" s="426" t="str">
        <f t="shared" si="55"/>
        <v>2014-15</v>
      </c>
      <c r="AJ278" s="422" t="str">
        <f t="shared" ref="AJ278:AO278" si="56">AD278</f>
        <v>2009-10</v>
      </c>
      <c r="AK278" s="425" t="str">
        <f t="shared" si="56"/>
        <v>2010-11</v>
      </c>
      <c r="AL278" s="425" t="str">
        <f t="shared" si="56"/>
        <v>2011-12</v>
      </c>
      <c r="AM278" s="425" t="str">
        <f t="shared" si="56"/>
        <v>2012-13</v>
      </c>
      <c r="AN278" s="425" t="str">
        <f t="shared" si="56"/>
        <v>2013-14</v>
      </c>
      <c r="AO278" s="426" t="str">
        <f t="shared" si="56"/>
        <v>2014-15</v>
      </c>
      <c r="AP278" s="422" t="str">
        <f t="shared" ref="AP278:AU278" si="57">AJ278</f>
        <v>2009-10</v>
      </c>
      <c r="AQ278" s="425" t="str">
        <f t="shared" si="57"/>
        <v>2010-11</v>
      </c>
      <c r="AR278" s="425" t="str">
        <f t="shared" si="57"/>
        <v>2011-12</v>
      </c>
      <c r="AS278" s="425" t="str">
        <f t="shared" si="57"/>
        <v>2012-13</v>
      </c>
      <c r="AT278" s="425" t="str">
        <f t="shared" si="57"/>
        <v>2013-14</v>
      </c>
      <c r="AU278" s="426" t="str">
        <f t="shared" si="57"/>
        <v>2014-15</v>
      </c>
      <c r="AV278" s="422" t="str">
        <f t="shared" ref="AV278:BA278" si="58">AP278</f>
        <v>2009-10</v>
      </c>
      <c r="AW278" s="425" t="str">
        <f t="shared" si="58"/>
        <v>2010-11</v>
      </c>
      <c r="AX278" s="425" t="str">
        <f t="shared" si="58"/>
        <v>2011-12</v>
      </c>
      <c r="AY278" s="425" t="str">
        <f t="shared" si="58"/>
        <v>2012-13</v>
      </c>
      <c r="AZ278" s="425" t="str">
        <f t="shared" si="58"/>
        <v>2013-14</v>
      </c>
      <c r="BA278" s="426" t="str">
        <f t="shared" si="58"/>
        <v>2014-15</v>
      </c>
      <c r="BB278" s="422" t="str">
        <f t="shared" ref="BB278:BG278" si="59">AV278</f>
        <v>2009-10</v>
      </c>
      <c r="BC278" s="425" t="str">
        <f t="shared" si="59"/>
        <v>2010-11</v>
      </c>
      <c r="BD278" s="425" t="str">
        <f t="shared" si="59"/>
        <v>2011-12</v>
      </c>
      <c r="BE278" s="425" t="str">
        <f t="shared" si="59"/>
        <v>2012-13</v>
      </c>
      <c r="BF278" s="425" t="str">
        <f t="shared" si="59"/>
        <v>2013-14</v>
      </c>
      <c r="BG278" s="426" t="str">
        <f t="shared" si="59"/>
        <v>2014-15</v>
      </c>
      <c r="BH278" s="422" t="str">
        <f t="shared" ref="BH278:BM278" si="60">BB278</f>
        <v>2009-10</v>
      </c>
      <c r="BI278" s="425" t="str">
        <f t="shared" si="60"/>
        <v>2010-11</v>
      </c>
      <c r="BJ278" s="425" t="str">
        <f t="shared" si="60"/>
        <v>2011-12</v>
      </c>
      <c r="BK278" s="425" t="str">
        <f t="shared" si="60"/>
        <v>2012-13</v>
      </c>
      <c r="BL278" s="425" t="str">
        <f t="shared" si="60"/>
        <v>2013-14</v>
      </c>
      <c r="BM278" s="426" t="str">
        <f t="shared" si="60"/>
        <v>2014-15</v>
      </c>
      <c r="BN278" s="23"/>
      <c r="BO278" s="23"/>
    </row>
    <row r="279" spans="1:67" s="216" customFormat="1">
      <c r="A279" s="23"/>
      <c r="B279" s="23"/>
      <c r="C279" s="23"/>
      <c r="D279" s="23"/>
      <c r="E279" s="75" t="str">
        <f t="shared" ref="E279:E304" si="61">E248</f>
        <v>Residential A</v>
      </c>
      <c r="F279" s="437">
        <v>400000</v>
      </c>
      <c r="G279" s="427">
        <v>408000</v>
      </c>
      <c r="H279" s="427">
        <v>416160</v>
      </c>
      <c r="I279" s="427">
        <v>424483.2</v>
      </c>
      <c r="J279" s="427">
        <v>432972.864</v>
      </c>
      <c r="K279" s="428">
        <v>441632.32128000003</v>
      </c>
      <c r="L279" s="438">
        <v>1000000000</v>
      </c>
      <c r="M279" s="429">
        <v>996000000</v>
      </c>
      <c r="N279" s="429">
        <v>992016000</v>
      </c>
      <c r="O279" s="429">
        <v>988047936</v>
      </c>
      <c r="P279" s="429">
        <v>984095744.25600004</v>
      </c>
      <c r="Q279" s="430">
        <v>980159361.27897608</v>
      </c>
      <c r="R279" s="438"/>
      <c r="S279" s="429">
        <v>0</v>
      </c>
      <c r="T279" s="429">
        <v>0</v>
      </c>
      <c r="U279" s="429">
        <v>0</v>
      </c>
      <c r="V279" s="429">
        <v>0</v>
      </c>
      <c r="W279" s="430">
        <v>0</v>
      </c>
      <c r="X279" s="438"/>
      <c r="Y279" s="429">
        <v>0</v>
      </c>
      <c r="Z279" s="429">
        <v>0</v>
      </c>
      <c r="AA279" s="429">
        <v>0</v>
      </c>
      <c r="AB279" s="429">
        <v>0</v>
      </c>
      <c r="AC279" s="430">
        <v>0</v>
      </c>
      <c r="AD279" s="438"/>
      <c r="AE279" s="429">
        <v>0</v>
      </c>
      <c r="AF279" s="429">
        <v>0</v>
      </c>
      <c r="AG279" s="429">
        <v>0</v>
      </c>
      <c r="AH279" s="429">
        <v>0</v>
      </c>
      <c r="AI279" s="430">
        <v>0</v>
      </c>
      <c r="AJ279" s="438"/>
      <c r="AK279" s="429">
        <v>0</v>
      </c>
      <c r="AL279" s="429">
        <v>0</v>
      </c>
      <c r="AM279" s="429">
        <v>0</v>
      </c>
      <c r="AN279" s="429">
        <v>0</v>
      </c>
      <c r="AO279" s="430">
        <v>0</v>
      </c>
      <c r="AP279" s="438"/>
      <c r="AQ279" s="429">
        <v>0</v>
      </c>
      <c r="AR279" s="429">
        <v>0</v>
      </c>
      <c r="AS279" s="429">
        <v>0</v>
      </c>
      <c r="AT279" s="429">
        <v>0</v>
      </c>
      <c r="AU279" s="430">
        <v>0</v>
      </c>
      <c r="AV279" s="438"/>
      <c r="AW279" s="429">
        <v>0</v>
      </c>
      <c r="AX279" s="429">
        <v>0</v>
      </c>
      <c r="AY279" s="429">
        <v>0</v>
      </c>
      <c r="AZ279" s="429">
        <v>0</v>
      </c>
      <c r="BA279" s="430">
        <v>0</v>
      </c>
      <c r="BB279" s="438"/>
      <c r="BC279" s="429">
        <v>0</v>
      </c>
      <c r="BD279" s="429">
        <v>0</v>
      </c>
      <c r="BE279" s="429">
        <v>0</v>
      </c>
      <c r="BF279" s="429">
        <v>0</v>
      </c>
      <c r="BG279" s="430">
        <v>0</v>
      </c>
      <c r="BH279" s="438"/>
      <c r="BI279" s="429">
        <v>0</v>
      </c>
      <c r="BJ279" s="429">
        <v>0</v>
      </c>
      <c r="BK279" s="429">
        <v>0</v>
      </c>
      <c r="BL279" s="429">
        <v>0</v>
      </c>
      <c r="BM279" s="430">
        <v>0</v>
      </c>
      <c r="BN279" s="215"/>
      <c r="BO279" s="215"/>
    </row>
    <row r="280" spans="1:67" s="217" customFormat="1">
      <c r="A280" s="23"/>
      <c r="B280" s="23"/>
      <c r="C280" s="23"/>
      <c r="D280" s="23"/>
      <c r="E280" s="75" t="str">
        <f t="shared" si="61"/>
        <v>Residential B</v>
      </c>
      <c r="F280" s="438">
        <v>100000</v>
      </c>
      <c r="G280" s="429">
        <v>102000</v>
      </c>
      <c r="H280" s="429">
        <v>104040</v>
      </c>
      <c r="I280" s="429">
        <v>106120.8</v>
      </c>
      <c r="J280" s="429">
        <v>108243.216</v>
      </c>
      <c r="K280" s="430">
        <v>110408.08032000001</v>
      </c>
      <c r="L280" s="438"/>
      <c r="M280" s="429">
        <v>0</v>
      </c>
      <c r="N280" s="429">
        <v>0</v>
      </c>
      <c r="O280" s="429">
        <v>0</v>
      </c>
      <c r="P280" s="429">
        <v>0</v>
      </c>
      <c r="Q280" s="430">
        <v>0</v>
      </c>
      <c r="R280" s="438">
        <v>5000000</v>
      </c>
      <c r="S280" s="429">
        <v>4990000</v>
      </c>
      <c r="T280" s="429">
        <v>4980020</v>
      </c>
      <c r="U280" s="429">
        <v>4970059.96</v>
      </c>
      <c r="V280" s="429">
        <v>4960119.8400799995</v>
      </c>
      <c r="W280" s="430">
        <v>4950199.6003998397</v>
      </c>
      <c r="X280" s="438">
        <v>2500000</v>
      </c>
      <c r="Y280" s="429">
        <f>X280*0.998</f>
        <v>2495000</v>
      </c>
      <c r="Z280" s="429">
        <f>Y280*0.998</f>
        <v>2490010</v>
      </c>
      <c r="AA280" s="429">
        <f>Z280*0.998</f>
        <v>2485029.98</v>
      </c>
      <c r="AB280" s="429">
        <f>AA280*0.998</f>
        <v>2480059.9200399998</v>
      </c>
      <c r="AC280" s="430">
        <f>AB280*0.998</f>
        <v>2475099.8001999198</v>
      </c>
      <c r="AD280" s="438">
        <v>1000000</v>
      </c>
      <c r="AE280" s="429">
        <v>998000</v>
      </c>
      <c r="AF280" s="429">
        <v>996004</v>
      </c>
      <c r="AG280" s="429">
        <v>994011.99199999997</v>
      </c>
      <c r="AH280" s="429">
        <v>992023.968016</v>
      </c>
      <c r="AI280" s="430">
        <v>990039.92007996805</v>
      </c>
      <c r="AJ280" s="438">
        <v>500000</v>
      </c>
      <c r="AK280" s="429">
        <v>499000</v>
      </c>
      <c r="AL280" s="429">
        <v>498002</v>
      </c>
      <c r="AM280" s="429">
        <v>497005.99599999998</v>
      </c>
      <c r="AN280" s="429">
        <v>496011.984008</v>
      </c>
      <c r="AO280" s="430">
        <v>495019.96003998403</v>
      </c>
      <c r="AP280" s="438">
        <v>10000</v>
      </c>
      <c r="AQ280" s="429">
        <v>10200</v>
      </c>
      <c r="AR280" s="429">
        <v>10404</v>
      </c>
      <c r="AS280" s="429">
        <v>10612.08</v>
      </c>
      <c r="AT280" s="429">
        <v>10824.321599999999</v>
      </c>
      <c r="AU280" s="430">
        <v>11040.808031999999</v>
      </c>
      <c r="AV280" s="438">
        <v>2000</v>
      </c>
      <c r="AW280" s="429">
        <v>2040</v>
      </c>
      <c r="AX280" s="429">
        <v>2080.8000000000002</v>
      </c>
      <c r="AY280" s="429">
        <v>2122.4160000000002</v>
      </c>
      <c r="AZ280" s="429">
        <v>2164.8643200000001</v>
      </c>
      <c r="BA280" s="430">
        <v>2208.1616064</v>
      </c>
      <c r="BB280" s="438">
        <v>5000</v>
      </c>
      <c r="BC280" s="429">
        <v>5100</v>
      </c>
      <c r="BD280" s="429">
        <v>5202</v>
      </c>
      <c r="BE280" s="429">
        <v>5306.04</v>
      </c>
      <c r="BF280" s="429">
        <v>5412.1607999999997</v>
      </c>
      <c r="BG280" s="430">
        <v>5520.4040159999995</v>
      </c>
      <c r="BH280" s="438">
        <v>200</v>
      </c>
      <c r="BI280" s="429">
        <v>204</v>
      </c>
      <c r="BJ280" s="429">
        <v>208.08</v>
      </c>
      <c r="BK280" s="429">
        <v>212.24160000000001</v>
      </c>
      <c r="BL280" s="429">
        <v>216.48643200000001</v>
      </c>
      <c r="BM280" s="430">
        <v>220.81616064000002</v>
      </c>
      <c r="BN280" s="215"/>
      <c r="BO280" s="215"/>
    </row>
    <row r="281" spans="1:67" s="218" customFormat="1">
      <c r="A281" s="23"/>
      <c r="B281" s="23"/>
      <c r="C281" s="23"/>
      <c r="D281" s="23"/>
      <c r="E281" s="75" t="str">
        <f t="shared" si="61"/>
        <v>Residential C</v>
      </c>
      <c r="F281" s="438">
        <v>100000</v>
      </c>
      <c r="G281" s="429">
        <v>102000</v>
      </c>
      <c r="H281" s="429">
        <v>104040</v>
      </c>
      <c r="I281" s="429">
        <v>106120.8</v>
      </c>
      <c r="J281" s="429">
        <v>108243.216</v>
      </c>
      <c r="K281" s="430">
        <v>110408.08032000001</v>
      </c>
      <c r="L281" s="438"/>
      <c r="M281" s="429">
        <v>0</v>
      </c>
      <c r="N281" s="429">
        <v>0</v>
      </c>
      <c r="O281" s="429">
        <v>0</v>
      </c>
      <c r="P281" s="429">
        <v>0</v>
      </c>
      <c r="Q281" s="430">
        <v>0</v>
      </c>
      <c r="R281" s="438">
        <v>5000000</v>
      </c>
      <c r="S281" s="429">
        <v>5000000</v>
      </c>
      <c r="T281" s="429">
        <v>5000000</v>
      </c>
      <c r="U281" s="429">
        <v>5000000</v>
      </c>
      <c r="V281" s="429">
        <v>5000000</v>
      </c>
      <c r="W281" s="430">
        <v>5000000</v>
      </c>
      <c r="X281" s="438">
        <v>2500000</v>
      </c>
      <c r="Y281" s="429">
        <f>X281</f>
        <v>2500000</v>
      </c>
      <c r="Z281" s="429">
        <f>Y281</f>
        <v>2500000</v>
      </c>
      <c r="AA281" s="429">
        <f>Z281</f>
        <v>2500000</v>
      </c>
      <c r="AB281" s="429">
        <f>AA281</f>
        <v>2500000</v>
      </c>
      <c r="AC281" s="430">
        <f>AB281</f>
        <v>2500000</v>
      </c>
      <c r="AD281" s="438">
        <v>1000000</v>
      </c>
      <c r="AE281" s="429">
        <v>1000000</v>
      </c>
      <c r="AF281" s="429">
        <v>1000000</v>
      </c>
      <c r="AG281" s="429">
        <v>1000000</v>
      </c>
      <c r="AH281" s="429">
        <v>1000000</v>
      </c>
      <c r="AI281" s="430">
        <v>1000000</v>
      </c>
      <c r="AJ281" s="438">
        <v>500000</v>
      </c>
      <c r="AK281" s="429">
        <v>500000</v>
      </c>
      <c r="AL281" s="429">
        <v>500000</v>
      </c>
      <c r="AM281" s="429">
        <v>500000</v>
      </c>
      <c r="AN281" s="429">
        <v>500000</v>
      </c>
      <c r="AO281" s="430">
        <v>500000</v>
      </c>
      <c r="AP281" s="438">
        <v>10000</v>
      </c>
      <c r="AQ281" s="429">
        <v>10200</v>
      </c>
      <c r="AR281" s="429">
        <v>10404</v>
      </c>
      <c r="AS281" s="429">
        <v>10612.08</v>
      </c>
      <c r="AT281" s="429">
        <v>10824.321599999999</v>
      </c>
      <c r="AU281" s="430">
        <v>11040.808031999999</v>
      </c>
      <c r="AV281" s="438">
        <v>2000</v>
      </c>
      <c r="AW281" s="429">
        <v>2040</v>
      </c>
      <c r="AX281" s="429">
        <v>2080.8000000000002</v>
      </c>
      <c r="AY281" s="429">
        <v>2122.4160000000002</v>
      </c>
      <c r="AZ281" s="429">
        <v>2164.8643200000001</v>
      </c>
      <c r="BA281" s="430">
        <v>2208.1616064</v>
      </c>
      <c r="BB281" s="438">
        <v>5000</v>
      </c>
      <c r="BC281" s="429">
        <v>5100</v>
      </c>
      <c r="BD281" s="429">
        <v>5202</v>
      </c>
      <c r="BE281" s="429">
        <v>5306.04</v>
      </c>
      <c r="BF281" s="429">
        <v>5412.1607999999997</v>
      </c>
      <c r="BG281" s="430">
        <v>5520.4040159999995</v>
      </c>
      <c r="BH281" s="438">
        <v>200</v>
      </c>
      <c r="BI281" s="429">
        <v>204</v>
      </c>
      <c r="BJ281" s="429">
        <v>208.08</v>
      </c>
      <c r="BK281" s="429">
        <v>212.24160000000001</v>
      </c>
      <c r="BL281" s="429">
        <v>216.48643200000001</v>
      </c>
      <c r="BM281" s="430">
        <v>220.81616064000002</v>
      </c>
      <c r="BN281" s="215"/>
      <c r="BO281" s="215"/>
    </row>
    <row r="282" spans="1:67" s="218" customFormat="1">
      <c r="A282" s="23"/>
      <c r="B282" s="23"/>
      <c r="C282" s="23"/>
      <c r="D282" s="23"/>
      <c r="E282" s="75" t="str">
        <f t="shared" si="61"/>
        <v>Small Business A</v>
      </c>
      <c r="F282" s="438">
        <v>20000</v>
      </c>
      <c r="G282" s="429">
        <v>20400</v>
      </c>
      <c r="H282" s="429">
        <v>20808</v>
      </c>
      <c r="I282" s="429">
        <v>21224.16</v>
      </c>
      <c r="J282" s="429">
        <v>21648.643199999999</v>
      </c>
      <c r="K282" s="430">
        <v>22081.616063999998</v>
      </c>
      <c r="L282" s="438"/>
      <c r="M282" s="429">
        <v>0</v>
      </c>
      <c r="N282" s="429">
        <v>0</v>
      </c>
      <c r="O282" s="429">
        <v>0</v>
      </c>
      <c r="P282" s="429">
        <v>0</v>
      </c>
      <c r="Q282" s="430">
        <v>0</v>
      </c>
      <c r="R282" s="438">
        <v>5000000</v>
      </c>
      <c r="S282" s="429">
        <v>5100000</v>
      </c>
      <c r="T282" s="429">
        <v>5202000</v>
      </c>
      <c r="U282" s="429">
        <v>5306040</v>
      </c>
      <c r="V282" s="429">
        <v>5412160.7999999998</v>
      </c>
      <c r="W282" s="430">
        <v>5520404.0159999998</v>
      </c>
      <c r="X282" s="438">
        <v>2500000</v>
      </c>
      <c r="Y282" s="429">
        <v>2550000</v>
      </c>
      <c r="Z282" s="429">
        <v>2601000</v>
      </c>
      <c r="AA282" s="429">
        <v>2653020</v>
      </c>
      <c r="AB282" s="429">
        <v>2706080.4</v>
      </c>
      <c r="AC282" s="430">
        <v>2760202.0079999999</v>
      </c>
      <c r="AD282" s="438">
        <v>1000000</v>
      </c>
      <c r="AE282" s="429">
        <v>1020000</v>
      </c>
      <c r="AF282" s="429">
        <v>1040400</v>
      </c>
      <c r="AG282" s="429">
        <v>1061208</v>
      </c>
      <c r="AH282" s="429">
        <v>1082432.1599999999</v>
      </c>
      <c r="AI282" s="430">
        <v>1104080.8032</v>
      </c>
      <c r="AJ282" s="438">
        <v>500000</v>
      </c>
      <c r="AK282" s="429">
        <v>510000</v>
      </c>
      <c r="AL282" s="429">
        <v>520200</v>
      </c>
      <c r="AM282" s="429">
        <v>530604</v>
      </c>
      <c r="AN282" s="429">
        <v>541216.07999999996</v>
      </c>
      <c r="AO282" s="430">
        <v>552040.40159999998</v>
      </c>
      <c r="AP282" s="438">
        <v>10000</v>
      </c>
      <c r="AQ282" s="429">
        <v>10200</v>
      </c>
      <c r="AR282" s="429">
        <v>10404</v>
      </c>
      <c r="AS282" s="429">
        <v>10612.08</v>
      </c>
      <c r="AT282" s="429">
        <v>10824.321599999999</v>
      </c>
      <c r="AU282" s="430">
        <v>11040.808031999999</v>
      </c>
      <c r="AV282" s="438">
        <v>2000</v>
      </c>
      <c r="AW282" s="429">
        <v>2040</v>
      </c>
      <c r="AX282" s="429">
        <v>2080.8000000000002</v>
      </c>
      <c r="AY282" s="429">
        <v>2122.4160000000002</v>
      </c>
      <c r="AZ282" s="429">
        <v>2164.8643200000001</v>
      </c>
      <c r="BA282" s="430">
        <v>2208.1616064</v>
      </c>
      <c r="BB282" s="438">
        <v>5000</v>
      </c>
      <c r="BC282" s="429">
        <v>5100</v>
      </c>
      <c r="BD282" s="429">
        <v>5202</v>
      </c>
      <c r="BE282" s="429">
        <v>5306.04</v>
      </c>
      <c r="BF282" s="429">
        <v>5412.1607999999997</v>
      </c>
      <c r="BG282" s="430">
        <v>5520.4040159999995</v>
      </c>
      <c r="BH282" s="438">
        <v>200</v>
      </c>
      <c r="BI282" s="429">
        <v>204</v>
      </c>
      <c r="BJ282" s="429">
        <v>208.08</v>
      </c>
      <c r="BK282" s="429">
        <v>212.24160000000001</v>
      </c>
      <c r="BL282" s="429">
        <v>216.48643200000001</v>
      </c>
      <c r="BM282" s="430">
        <v>220.81616064000002</v>
      </c>
      <c r="BN282" s="215"/>
      <c r="BO282" s="215"/>
    </row>
    <row r="283" spans="1:67" s="218" customFormat="1">
      <c r="A283" s="23"/>
      <c r="B283" s="23"/>
      <c r="C283" s="23"/>
      <c r="D283" s="23"/>
      <c r="E283" s="75" t="str">
        <f t="shared" si="61"/>
        <v>Small Business B</v>
      </c>
      <c r="F283" s="438">
        <v>20000</v>
      </c>
      <c r="G283" s="429">
        <v>20400</v>
      </c>
      <c r="H283" s="429">
        <v>20808</v>
      </c>
      <c r="I283" s="429">
        <v>21224.16</v>
      </c>
      <c r="J283" s="429">
        <v>21648.643199999999</v>
      </c>
      <c r="K283" s="430">
        <v>22081.616063999998</v>
      </c>
      <c r="L283" s="438"/>
      <c r="M283" s="429">
        <v>0</v>
      </c>
      <c r="N283" s="429">
        <v>0</v>
      </c>
      <c r="O283" s="429">
        <v>0</v>
      </c>
      <c r="P283" s="429">
        <v>0</v>
      </c>
      <c r="Q283" s="430">
        <v>0</v>
      </c>
      <c r="R283" s="438">
        <v>5000000</v>
      </c>
      <c r="S283" s="429">
        <v>5100000</v>
      </c>
      <c r="T283" s="429">
        <v>5202000</v>
      </c>
      <c r="U283" s="429">
        <v>5306040</v>
      </c>
      <c r="V283" s="429">
        <v>5412160.7999999998</v>
      </c>
      <c r="W283" s="430">
        <v>5520404.0159999998</v>
      </c>
      <c r="X283" s="438">
        <v>2500000</v>
      </c>
      <c r="Y283" s="429">
        <v>2550000</v>
      </c>
      <c r="Z283" s="429">
        <v>2601000</v>
      </c>
      <c r="AA283" s="429">
        <v>2653020</v>
      </c>
      <c r="AB283" s="429">
        <v>2706080.4</v>
      </c>
      <c r="AC283" s="430">
        <v>2760202.0079999999</v>
      </c>
      <c r="AD283" s="438">
        <v>1000000</v>
      </c>
      <c r="AE283" s="429">
        <v>1020000</v>
      </c>
      <c r="AF283" s="429">
        <v>1040400</v>
      </c>
      <c r="AG283" s="429">
        <v>1061208</v>
      </c>
      <c r="AH283" s="429">
        <v>1082432.1599999999</v>
      </c>
      <c r="AI283" s="430">
        <v>1104080.8032</v>
      </c>
      <c r="AJ283" s="438">
        <v>500000</v>
      </c>
      <c r="AK283" s="429">
        <v>510000</v>
      </c>
      <c r="AL283" s="429">
        <v>520200</v>
      </c>
      <c r="AM283" s="429">
        <v>530604</v>
      </c>
      <c r="AN283" s="429">
        <v>541216.07999999996</v>
      </c>
      <c r="AO283" s="430">
        <v>552040.40159999998</v>
      </c>
      <c r="AP283" s="438">
        <v>10000</v>
      </c>
      <c r="AQ283" s="429">
        <v>10200</v>
      </c>
      <c r="AR283" s="429">
        <v>10404</v>
      </c>
      <c r="AS283" s="429">
        <v>10612.08</v>
      </c>
      <c r="AT283" s="429">
        <v>10824.321599999999</v>
      </c>
      <c r="AU283" s="430">
        <v>11040.808031999999</v>
      </c>
      <c r="AV283" s="438">
        <v>2000</v>
      </c>
      <c r="AW283" s="429">
        <v>2040</v>
      </c>
      <c r="AX283" s="429">
        <v>2080.8000000000002</v>
      </c>
      <c r="AY283" s="429">
        <v>2122.4160000000002</v>
      </c>
      <c r="AZ283" s="429">
        <v>2164.8643200000001</v>
      </c>
      <c r="BA283" s="430">
        <v>2208.1616064</v>
      </c>
      <c r="BB283" s="438">
        <v>5000</v>
      </c>
      <c r="BC283" s="429">
        <v>5100</v>
      </c>
      <c r="BD283" s="429">
        <v>5202</v>
      </c>
      <c r="BE283" s="429">
        <v>5306.04</v>
      </c>
      <c r="BF283" s="429">
        <v>5412.1607999999997</v>
      </c>
      <c r="BG283" s="430">
        <v>5520.4040159999995</v>
      </c>
      <c r="BH283" s="438">
        <v>200</v>
      </c>
      <c r="BI283" s="429">
        <v>204</v>
      </c>
      <c r="BJ283" s="429">
        <v>208.08</v>
      </c>
      <c r="BK283" s="429">
        <v>212.24160000000001</v>
      </c>
      <c r="BL283" s="429">
        <v>216.48643200000001</v>
      </c>
      <c r="BM283" s="430">
        <v>220.81616064000002</v>
      </c>
      <c r="BN283" s="215"/>
      <c r="BO283" s="215"/>
    </row>
    <row r="284" spans="1:67" s="218" customFormat="1">
      <c r="A284" s="23"/>
      <c r="B284" s="23"/>
      <c r="C284" s="23"/>
      <c r="D284" s="23"/>
      <c r="E284" s="75" t="str">
        <f t="shared" si="61"/>
        <v>Small Business C</v>
      </c>
      <c r="F284" s="438">
        <v>20000</v>
      </c>
      <c r="G284" s="429">
        <v>20400</v>
      </c>
      <c r="H284" s="429">
        <v>20808</v>
      </c>
      <c r="I284" s="429">
        <v>21224.16</v>
      </c>
      <c r="J284" s="429">
        <v>21648.643199999999</v>
      </c>
      <c r="K284" s="430">
        <v>22081.616063999998</v>
      </c>
      <c r="L284" s="438"/>
      <c r="M284" s="429">
        <v>0</v>
      </c>
      <c r="N284" s="429">
        <v>0</v>
      </c>
      <c r="O284" s="429">
        <v>0</v>
      </c>
      <c r="P284" s="429">
        <v>0</v>
      </c>
      <c r="Q284" s="430">
        <v>0</v>
      </c>
      <c r="R284" s="438">
        <v>5000000</v>
      </c>
      <c r="S284" s="429">
        <v>5100000</v>
      </c>
      <c r="T284" s="429">
        <v>5202000</v>
      </c>
      <c r="U284" s="429">
        <v>5306040</v>
      </c>
      <c r="V284" s="429">
        <v>5412160.7999999998</v>
      </c>
      <c r="W284" s="430">
        <v>5520404.0159999998</v>
      </c>
      <c r="X284" s="438">
        <v>2500000</v>
      </c>
      <c r="Y284" s="429">
        <v>2550000</v>
      </c>
      <c r="Z284" s="429">
        <v>2601000</v>
      </c>
      <c r="AA284" s="429">
        <v>2653020</v>
      </c>
      <c r="AB284" s="429">
        <v>2706080.4</v>
      </c>
      <c r="AC284" s="430">
        <v>2760202.0079999999</v>
      </c>
      <c r="AD284" s="438">
        <v>1000000</v>
      </c>
      <c r="AE284" s="429">
        <v>1020000</v>
      </c>
      <c r="AF284" s="429">
        <v>1040400</v>
      </c>
      <c r="AG284" s="429">
        <v>1061208</v>
      </c>
      <c r="AH284" s="429">
        <v>1082432.1599999999</v>
      </c>
      <c r="AI284" s="430">
        <v>1104080.8032</v>
      </c>
      <c r="AJ284" s="438">
        <v>500000</v>
      </c>
      <c r="AK284" s="429">
        <v>510000</v>
      </c>
      <c r="AL284" s="429">
        <v>520200</v>
      </c>
      <c r="AM284" s="429">
        <v>530604</v>
      </c>
      <c r="AN284" s="429">
        <v>541216.07999999996</v>
      </c>
      <c r="AO284" s="430">
        <v>552040.40159999998</v>
      </c>
      <c r="AP284" s="438">
        <v>10000</v>
      </c>
      <c r="AQ284" s="429">
        <v>10200</v>
      </c>
      <c r="AR284" s="429">
        <v>10404</v>
      </c>
      <c r="AS284" s="429">
        <v>10612.08</v>
      </c>
      <c r="AT284" s="429">
        <v>10824.321599999999</v>
      </c>
      <c r="AU284" s="430">
        <v>11040.808031999999</v>
      </c>
      <c r="AV284" s="438">
        <v>2000</v>
      </c>
      <c r="AW284" s="429">
        <v>2040</v>
      </c>
      <c r="AX284" s="429">
        <v>2080.8000000000002</v>
      </c>
      <c r="AY284" s="429">
        <v>2122.4160000000002</v>
      </c>
      <c r="AZ284" s="429">
        <v>2164.8643200000001</v>
      </c>
      <c r="BA284" s="430">
        <v>2208.1616064</v>
      </c>
      <c r="BB284" s="438">
        <v>5000</v>
      </c>
      <c r="BC284" s="429">
        <v>5100</v>
      </c>
      <c r="BD284" s="429">
        <v>5202</v>
      </c>
      <c r="BE284" s="429">
        <v>5306.04</v>
      </c>
      <c r="BF284" s="429">
        <v>5412.1607999999997</v>
      </c>
      <c r="BG284" s="430">
        <v>5520.4040159999995</v>
      </c>
      <c r="BH284" s="438">
        <v>200</v>
      </c>
      <c r="BI284" s="429">
        <v>204</v>
      </c>
      <c r="BJ284" s="429">
        <v>208.08</v>
      </c>
      <c r="BK284" s="429">
        <v>212.24160000000001</v>
      </c>
      <c r="BL284" s="429">
        <v>216.48643200000001</v>
      </c>
      <c r="BM284" s="430">
        <v>220.81616064000002</v>
      </c>
      <c r="BN284" s="215"/>
      <c r="BO284" s="215"/>
    </row>
    <row r="285" spans="1:67" s="219" customFormat="1">
      <c r="A285" s="23"/>
      <c r="B285" s="23"/>
      <c r="C285" s="23"/>
      <c r="D285" s="23"/>
      <c r="E285" s="75" t="str">
        <f t="shared" si="61"/>
        <v>Large Business A</v>
      </c>
      <c r="F285" s="438">
        <v>10000</v>
      </c>
      <c r="G285" s="429">
        <v>10200</v>
      </c>
      <c r="H285" s="429">
        <v>10404</v>
      </c>
      <c r="I285" s="429">
        <v>10612.08</v>
      </c>
      <c r="J285" s="429">
        <v>10824.321599999999</v>
      </c>
      <c r="K285" s="430">
        <v>11040.808031999999</v>
      </c>
      <c r="L285" s="438"/>
      <c r="M285" s="429">
        <v>0</v>
      </c>
      <c r="N285" s="429">
        <v>0</v>
      </c>
      <c r="O285" s="429">
        <v>0</v>
      </c>
      <c r="P285" s="429">
        <v>0</v>
      </c>
      <c r="Q285" s="430">
        <v>0</v>
      </c>
      <c r="R285" s="438">
        <v>5000000</v>
      </c>
      <c r="S285" s="429">
        <v>5100000</v>
      </c>
      <c r="T285" s="429">
        <v>5202000</v>
      </c>
      <c r="U285" s="429">
        <v>5306040</v>
      </c>
      <c r="V285" s="429">
        <v>5412160.7999999998</v>
      </c>
      <c r="W285" s="430">
        <v>5520404.0159999998</v>
      </c>
      <c r="X285" s="438">
        <v>2500000</v>
      </c>
      <c r="Y285" s="429">
        <v>2550000</v>
      </c>
      <c r="Z285" s="429">
        <v>2601000</v>
      </c>
      <c r="AA285" s="429">
        <v>2653020</v>
      </c>
      <c r="AB285" s="429">
        <v>2706080.4</v>
      </c>
      <c r="AC285" s="430">
        <v>2760202.0079999999</v>
      </c>
      <c r="AD285" s="438">
        <v>1000000</v>
      </c>
      <c r="AE285" s="429">
        <v>1020000</v>
      </c>
      <c r="AF285" s="429">
        <v>1040400</v>
      </c>
      <c r="AG285" s="429">
        <v>1061208</v>
      </c>
      <c r="AH285" s="429">
        <v>1082432.1599999999</v>
      </c>
      <c r="AI285" s="430">
        <v>1104080.8032</v>
      </c>
      <c r="AJ285" s="438">
        <v>500000</v>
      </c>
      <c r="AK285" s="429">
        <v>510000</v>
      </c>
      <c r="AL285" s="429">
        <v>520200</v>
      </c>
      <c r="AM285" s="429">
        <v>530604</v>
      </c>
      <c r="AN285" s="429">
        <v>541216.07999999996</v>
      </c>
      <c r="AO285" s="430">
        <v>552040.40159999998</v>
      </c>
      <c r="AP285" s="438">
        <v>10000</v>
      </c>
      <c r="AQ285" s="429">
        <v>10200</v>
      </c>
      <c r="AR285" s="429">
        <v>10404</v>
      </c>
      <c r="AS285" s="429">
        <v>10612.08</v>
      </c>
      <c r="AT285" s="429">
        <v>10824.321599999999</v>
      </c>
      <c r="AU285" s="430">
        <v>11040.808031999999</v>
      </c>
      <c r="AV285" s="438">
        <v>2000</v>
      </c>
      <c r="AW285" s="429">
        <v>2040</v>
      </c>
      <c r="AX285" s="429">
        <v>2080.8000000000002</v>
      </c>
      <c r="AY285" s="429">
        <v>2122.4160000000002</v>
      </c>
      <c r="AZ285" s="429">
        <v>2164.8643200000001</v>
      </c>
      <c r="BA285" s="430">
        <v>2208.1616064</v>
      </c>
      <c r="BB285" s="438">
        <v>5000</v>
      </c>
      <c r="BC285" s="429">
        <v>5100</v>
      </c>
      <c r="BD285" s="429">
        <v>5202</v>
      </c>
      <c r="BE285" s="429">
        <v>5306.04</v>
      </c>
      <c r="BF285" s="429">
        <v>5412.1607999999997</v>
      </c>
      <c r="BG285" s="430">
        <v>5520.4040159999995</v>
      </c>
      <c r="BH285" s="438">
        <v>200</v>
      </c>
      <c r="BI285" s="429">
        <v>204</v>
      </c>
      <c r="BJ285" s="429">
        <v>208.08</v>
      </c>
      <c r="BK285" s="429">
        <v>212.24160000000001</v>
      </c>
      <c r="BL285" s="429">
        <v>216.48643200000001</v>
      </c>
      <c r="BM285" s="430">
        <v>220.81616064000002</v>
      </c>
      <c r="BN285" s="215"/>
      <c r="BO285" s="215"/>
    </row>
    <row r="286" spans="1:67" s="219" customFormat="1">
      <c r="A286" s="23"/>
      <c r="B286" s="23"/>
      <c r="C286" s="23"/>
      <c r="D286" s="23"/>
      <c r="E286" s="75" t="str">
        <f t="shared" si="61"/>
        <v>Large Business B</v>
      </c>
      <c r="F286" s="438">
        <v>10000</v>
      </c>
      <c r="G286" s="429">
        <v>10200</v>
      </c>
      <c r="H286" s="429">
        <v>10404</v>
      </c>
      <c r="I286" s="429">
        <v>10612.08</v>
      </c>
      <c r="J286" s="429">
        <v>10824.321599999999</v>
      </c>
      <c r="K286" s="430">
        <v>11040.808031999999</v>
      </c>
      <c r="L286" s="438"/>
      <c r="M286" s="429">
        <v>0</v>
      </c>
      <c r="N286" s="429">
        <v>0</v>
      </c>
      <c r="O286" s="429">
        <v>0</v>
      </c>
      <c r="P286" s="429">
        <v>0</v>
      </c>
      <c r="Q286" s="430">
        <v>0</v>
      </c>
      <c r="R286" s="438">
        <v>5000000</v>
      </c>
      <c r="S286" s="429">
        <v>5100000</v>
      </c>
      <c r="T286" s="429">
        <v>5202000</v>
      </c>
      <c r="U286" s="429">
        <v>5306040</v>
      </c>
      <c r="V286" s="429">
        <v>5412160.7999999998</v>
      </c>
      <c r="W286" s="430">
        <v>5520404.0159999998</v>
      </c>
      <c r="X286" s="438">
        <v>2500000</v>
      </c>
      <c r="Y286" s="429">
        <v>2550000</v>
      </c>
      <c r="Z286" s="429">
        <v>2601000</v>
      </c>
      <c r="AA286" s="429">
        <v>2653020</v>
      </c>
      <c r="AB286" s="429">
        <v>2706080.4</v>
      </c>
      <c r="AC286" s="430">
        <v>2760202.0079999999</v>
      </c>
      <c r="AD286" s="438">
        <v>1000000</v>
      </c>
      <c r="AE286" s="429">
        <v>1020000</v>
      </c>
      <c r="AF286" s="429">
        <v>1040400</v>
      </c>
      <c r="AG286" s="429">
        <v>1061208</v>
      </c>
      <c r="AH286" s="429">
        <v>1082432.1599999999</v>
      </c>
      <c r="AI286" s="430">
        <v>1104080.8032</v>
      </c>
      <c r="AJ286" s="438">
        <v>500000</v>
      </c>
      <c r="AK286" s="429">
        <v>510000</v>
      </c>
      <c r="AL286" s="429">
        <v>520200</v>
      </c>
      <c r="AM286" s="429">
        <v>530604</v>
      </c>
      <c r="AN286" s="429">
        <v>541216.07999999996</v>
      </c>
      <c r="AO286" s="430">
        <v>552040.40159999998</v>
      </c>
      <c r="AP286" s="438">
        <v>10000</v>
      </c>
      <c r="AQ286" s="429">
        <v>10200</v>
      </c>
      <c r="AR286" s="429">
        <v>10404</v>
      </c>
      <c r="AS286" s="429">
        <v>10612.08</v>
      </c>
      <c r="AT286" s="429">
        <v>10824.321599999999</v>
      </c>
      <c r="AU286" s="430">
        <v>11040.808031999999</v>
      </c>
      <c r="AV286" s="438">
        <v>2000</v>
      </c>
      <c r="AW286" s="429">
        <v>2040</v>
      </c>
      <c r="AX286" s="429">
        <v>2080.8000000000002</v>
      </c>
      <c r="AY286" s="429">
        <v>2122.4160000000002</v>
      </c>
      <c r="AZ286" s="429">
        <v>2164.8643200000001</v>
      </c>
      <c r="BA286" s="430">
        <v>2208.1616064</v>
      </c>
      <c r="BB286" s="438">
        <v>5000</v>
      </c>
      <c r="BC286" s="429">
        <v>5100</v>
      </c>
      <c r="BD286" s="429">
        <v>5202</v>
      </c>
      <c r="BE286" s="429">
        <v>5306.04</v>
      </c>
      <c r="BF286" s="429">
        <v>5412.1607999999997</v>
      </c>
      <c r="BG286" s="430">
        <v>5520.4040159999995</v>
      </c>
      <c r="BH286" s="438">
        <v>200</v>
      </c>
      <c r="BI286" s="429">
        <v>204</v>
      </c>
      <c r="BJ286" s="429">
        <v>208.08</v>
      </c>
      <c r="BK286" s="429">
        <v>212.24160000000001</v>
      </c>
      <c r="BL286" s="429">
        <v>216.48643200000001</v>
      </c>
      <c r="BM286" s="430">
        <v>220.81616064000002</v>
      </c>
      <c r="BN286" s="215"/>
      <c r="BO286" s="215"/>
    </row>
    <row r="287" spans="1:67" s="219" customFormat="1">
      <c r="A287" s="23"/>
      <c r="B287" s="23"/>
      <c r="C287" s="23"/>
      <c r="D287" s="23"/>
      <c r="E287" s="75" t="str">
        <f t="shared" si="61"/>
        <v>Large Business C</v>
      </c>
      <c r="F287" s="438">
        <v>10000</v>
      </c>
      <c r="G287" s="429">
        <v>10200</v>
      </c>
      <c r="H287" s="429">
        <v>10404</v>
      </c>
      <c r="I287" s="429">
        <v>10612.08</v>
      </c>
      <c r="J287" s="429">
        <v>10824.321599999999</v>
      </c>
      <c r="K287" s="430">
        <v>11040.808031999999</v>
      </c>
      <c r="L287" s="438"/>
      <c r="M287" s="429">
        <v>0</v>
      </c>
      <c r="N287" s="429">
        <v>0</v>
      </c>
      <c r="O287" s="429">
        <v>0</v>
      </c>
      <c r="P287" s="429">
        <v>0</v>
      </c>
      <c r="Q287" s="430">
        <v>0</v>
      </c>
      <c r="R287" s="438">
        <v>5000000</v>
      </c>
      <c r="S287" s="429">
        <v>5100000</v>
      </c>
      <c r="T287" s="429">
        <v>5202000</v>
      </c>
      <c r="U287" s="429">
        <v>5306040</v>
      </c>
      <c r="V287" s="429">
        <v>5412160.7999999998</v>
      </c>
      <c r="W287" s="430">
        <v>5520404.0159999998</v>
      </c>
      <c r="X287" s="438">
        <v>2500000</v>
      </c>
      <c r="Y287" s="429">
        <v>2550000</v>
      </c>
      <c r="Z287" s="429">
        <v>2601000</v>
      </c>
      <c r="AA287" s="429">
        <v>2653020</v>
      </c>
      <c r="AB287" s="429">
        <v>2706080.4</v>
      </c>
      <c r="AC287" s="430">
        <v>2760202.0079999999</v>
      </c>
      <c r="AD287" s="438">
        <v>1000000</v>
      </c>
      <c r="AE287" s="429">
        <v>1020000</v>
      </c>
      <c r="AF287" s="429">
        <v>1040400</v>
      </c>
      <c r="AG287" s="429">
        <v>1061208</v>
      </c>
      <c r="AH287" s="429">
        <v>1082432.1599999999</v>
      </c>
      <c r="AI287" s="430">
        <v>1104080.8032</v>
      </c>
      <c r="AJ287" s="438">
        <v>500000</v>
      </c>
      <c r="AK287" s="429">
        <v>510000</v>
      </c>
      <c r="AL287" s="429">
        <v>520200</v>
      </c>
      <c r="AM287" s="429">
        <v>530604</v>
      </c>
      <c r="AN287" s="429">
        <v>541216.07999999996</v>
      </c>
      <c r="AO287" s="430">
        <v>552040.40159999998</v>
      </c>
      <c r="AP287" s="438">
        <v>10000</v>
      </c>
      <c r="AQ287" s="429">
        <v>10200</v>
      </c>
      <c r="AR287" s="429">
        <v>10404</v>
      </c>
      <c r="AS287" s="429">
        <v>10612.08</v>
      </c>
      <c r="AT287" s="429">
        <v>10824.321599999999</v>
      </c>
      <c r="AU287" s="430">
        <v>11040.808031999999</v>
      </c>
      <c r="AV287" s="438">
        <v>2000</v>
      </c>
      <c r="AW287" s="429">
        <v>2040</v>
      </c>
      <c r="AX287" s="429">
        <v>2080.8000000000002</v>
      </c>
      <c r="AY287" s="429">
        <v>2122.4160000000002</v>
      </c>
      <c r="AZ287" s="429">
        <v>2164.8643200000001</v>
      </c>
      <c r="BA287" s="430">
        <v>2208.1616064</v>
      </c>
      <c r="BB287" s="438">
        <v>5000</v>
      </c>
      <c r="BC287" s="429">
        <v>5100</v>
      </c>
      <c r="BD287" s="429">
        <v>5202</v>
      </c>
      <c r="BE287" s="429">
        <v>5306.04</v>
      </c>
      <c r="BF287" s="429">
        <v>5412.1607999999997</v>
      </c>
      <c r="BG287" s="430">
        <v>5520.4040159999995</v>
      </c>
      <c r="BH287" s="438">
        <v>200</v>
      </c>
      <c r="BI287" s="429">
        <v>204</v>
      </c>
      <c r="BJ287" s="429">
        <v>208.08</v>
      </c>
      <c r="BK287" s="429">
        <v>212.24160000000001</v>
      </c>
      <c r="BL287" s="429">
        <v>216.48643200000001</v>
      </c>
      <c r="BM287" s="430">
        <v>220.81616064000002</v>
      </c>
      <c r="BN287" s="215"/>
      <c r="BO287" s="215"/>
    </row>
    <row r="288" spans="1:67" s="219" customFormat="1">
      <c r="A288" s="23"/>
      <c r="B288" s="23"/>
      <c r="C288" s="23"/>
      <c r="D288" s="23"/>
      <c r="E288" s="75">
        <f t="shared" si="61"/>
        <v>0</v>
      </c>
      <c r="F288" s="438"/>
      <c r="G288" s="429"/>
      <c r="H288" s="429"/>
      <c r="I288" s="429"/>
      <c r="J288" s="429"/>
      <c r="K288" s="430"/>
      <c r="L288" s="438"/>
      <c r="M288" s="429"/>
      <c r="N288" s="429"/>
      <c r="O288" s="429"/>
      <c r="P288" s="429"/>
      <c r="Q288" s="430"/>
      <c r="R288" s="438"/>
      <c r="S288" s="429"/>
      <c r="T288" s="429"/>
      <c r="U288" s="429"/>
      <c r="V288" s="429"/>
      <c r="W288" s="430"/>
      <c r="X288" s="438"/>
      <c r="Y288" s="429"/>
      <c r="Z288" s="429"/>
      <c r="AA288" s="429"/>
      <c r="AB288" s="429"/>
      <c r="AC288" s="430"/>
      <c r="AD288" s="438"/>
      <c r="AE288" s="429"/>
      <c r="AF288" s="429"/>
      <c r="AG288" s="429"/>
      <c r="AH288" s="429"/>
      <c r="AI288" s="430"/>
      <c r="AJ288" s="438"/>
      <c r="AK288" s="429"/>
      <c r="AL288" s="429"/>
      <c r="AM288" s="429"/>
      <c r="AN288" s="429"/>
      <c r="AO288" s="430"/>
      <c r="AP288" s="438"/>
      <c r="AQ288" s="429"/>
      <c r="AR288" s="429"/>
      <c r="AS288" s="429"/>
      <c r="AT288" s="429"/>
      <c r="AU288" s="430"/>
      <c r="AV288" s="438"/>
      <c r="AW288" s="429"/>
      <c r="AX288" s="429"/>
      <c r="AY288" s="429"/>
      <c r="AZ288" s="429"/>
      <c r="BA288" s="430"/>
      <c r="BB288" s="438"/>
      <c r="BC288" s="429"/>
      <c r="BD288" s="429"/>
      <c r="BE288" s="429"/>
      <c r="BF288" s="429"/>
      <c r="BG288" s="430"/>
      <c r="BH288" s="438"/>
      <c r="BI288" s="429"/>
      <c r="BJ288" s="429"/>
      <c r="BK288" s="429"/>
      <c r="BL288" s="429"/>
      <c r="BM288" s="430"/>
      <c r="BN288" s="215"/>
      <c r="BO288" s="215"/>
    </row>
    <row r="289" spans="1:67" s="219" customFormat="1">
      <c r="A289" s="23"/>
      <c r="B289" s="23"/>
      <c r="C289" s="23"/>
      <c r="D289" s="23"/>
      <c r="E289" s="75">
        <f t="shared" si="61"/>
        <v>0</v>
      </c>
      <c r="F289" s="438"/>
      <c r="G289" s="429"/>
      <c r="H289" s="429"/>
      <c r="I289" s="429"/>
      <c r="J289" s="429"/>
      <c r="K289" s="430"/>
      <c r="L289" s="438"/>
      <c r="M289" s="429"/>
      <c r="N289" s="429"/>
      <c r="O289" s="429"/>
      <c r="P289" s="429"/>
      <c r="Q289" s="430"/>
      <c r="R289" s="438"/>
      <c r="S289" s="429"/>
      <c r="T289" s="429"/>
      <c r="U289" s="429"/>
      <c r="V289" s="429"/>
      <c r="W289" s="430"/>
      <c r="X289" s="438"/>
      <c r="Y289" s="429"/>
      <c r="Z289" s="429"/>
      <c r="AA289" s="429"/>
      <c r="AB289" s="429"/>
      <c r="AC289" s="430"/>
      <c r="AD289" s="438"/>
      <c r="AE289" s="429"/>
      <c r="AF289" s="429"/>
      <c r="AG289" s="429"/>
      <c r="AH289" s="429"/>
      <c r="AI289" s="430"/>
      <c r="AJ289" s="438"/>
      <c r="AK289" s="429"/>
      <c r="AL289" s="429"/>
      <c r="AM289" s="429"/>
      <c r="AN289" s="429"/>
      <c r="AO289" s="430"/>
      <c r="AP289" s="438"/>
      <c r="AQ289" s="429"/>
      <c r="AR289" s="429"/>
      <c r="AS289" s="429"/>
      <c r="AT289" s="429"/>
      <c r="AU289" s="430"/>
      <c r="AV289" s="438"/>
      <c r="AW289" s="429"/>
      <c r="AX289" s="429"/>
      <c r="AY289" s="429"/>
      <c r="AZ289" s="429"/>
      <c r="BA289" s="430"/>
      <c r="BB289" s="438"/>
      <c r="BC289" s="429"/>
      <c r="BD289" s="429"/>
      <c r="BE289" s="429"/>
      <c r="BF289" s="429"/>
      <c r="BG289" s="430"/>
      <c r="BH289" s="438"/>
      <c r="BI289" s="429"/>
      <c r="BJ289" s="429"/>
      <c r="BK289" s="429"/>
      <c r="BL289" s="429"/>
      <c r="BM289" s="430"/>
      <c r="BN289" s="215"/>
      <c r="BO289" s="215"/>
    </row>
    <row r="290" spans="1:67" s="220" customFormat="1">
      <c r="A290" s="23"/>
      <c r="B290" s="23"/>
      <c r="C290" s="23"/>
      <c r="D290" s="23"/>
      <c r="E290" s="75">
        <f t="shared" si="61"/>
        <v>0</v>
      </c>
      <c r="F290" s="438"/>
      <c r="G290" s="429"/>
      <c r="H290" s="429"/>
      <c r="I290" s="429"/>
      <c r="J290" s="429"/>
      <c r="K290" s="430"/>
      <c r="L290" s="438"/>
      <c r="M290" s="429"/>
      <c r="N290" s="429"/>
      <c r="O290" s="429"/>
      <c r="P290" s="429"/>
      <c r="Q290" s="430"/>
      <c r="R290" s="438"/>
      <c r="S290" s="429"/>
      <c r="T290" s="429"/>
      <c r="U290" s="429"/>
      <c r="V290" s="429"/>
      <c r="W290" s="430"/>
      <c r="X290" s="438"/>
      <c r="Y290" s="429"/>
      <c r="Z290" s="429"/>
      <c r="AA290" s="429"/>
      <c r="AB290" s="429"/>
      <c r="AC290" s="430"/>
      <c r="AD290" s="438"/>
      <c r="AE290" s="429"/>
      <c r="AF290" s="429"/>
      <c r="AG290" s="429"/>
      <c r="AH290" s="429"/>
      <c r="AI290" s="430"/>
      <c r="AJ290" s="438"/>
      <c r="AK290" s="429"/>
      <c r="AL290" s="429"/>
      <c r="AM290" s="429"/>
      <c r="AN290" s="429"/>
      <c r="AO290" s="430"/>
      <c r="AP290" s="438"/>
      <c r="AQ290" s="429"/>
      <c r="AR290" s="429"/>
      <c r="AS290" s="429"/>
      <c r="AT290" s="429"/>
      <c r="AU290" s="430"/>
      <c r="AV290" s="438"/>
      <c r="AW290" s="429"/>
      <c r="AX290" s="429"/>
      <c r="AY290" s="429"/>
      <c r="AZ290" s="429"/>
      <c r="BA290" s="430"/>
      <c r="BB290" s="438"/>
      <c r="BC290" s="429"/>
      <c r="BD290" s="429"/>
      <c r="BE290" s="429"/>
      <c r="BF290" s="429"/>
      <c r="BG290" s="430"/>
      <c r="BH290" s="438"/>
      <c r="BI290" s="429"/>
      <c r="BJ290" s="429"/>
      <c r="BK290" s="429"/>
      <c r="BL290" s="429"/>
      <c r="BM290" s="430"/>
      <c r="BN290" s="215"/>
      <c r="BO290" s="215"/>
    </row>
    <row r="291" spans="1:67" s="220" customFormat="1">
      <c r="A291" s="23"/>
      <c r="B291" s="23"/>
      <c r="C291" s="23"/>
      <c r="D291" s="23"/>
      <c r="E291" s="75">
        <f t="shared" si="61"/>
        <v>0</v>
      </c>
      <c r="F291" s="438"/>
      <c r="G291" s="429"/>
      <c r="H291" s="429"/>
      <c r="I291" s="429"/>
      <c r="J291" s="429"/>
      <c r="K291" s="430"/>
      <c r="L291" s="438"/>
      <c r="M291" s="429"/>
      <c r="N291" s="429"/>
      <c r="O291" s="429"/>
      <c r="P291" s="429"/>
      <c r="Q291" s="430"/>
      <c r="R291" s="438"/>
      <c r="S291" s="429"/>
      <c r="T291" s="429"/>
      <c r="U291" s="429"/>
      <c r="V291" s="429"/>
      <c r="W291" s="430"/>
      <c r="X291" s="438"/>
      <c r="Y291" s="429"/>
      <c r="Z291" s="429"/>
      <c r="AA291" s="429"/>
      <c r="AB291" s="429"/>
      <c r="AC291" s="430"/>
      <c r="AD291" s="438"/>
      <c r="AE291" s="429"/>
      <c r="AF291" s="429"/>
      <c r="AG291" s="429"/>
      <c r="AH291" s="429"/>
      <c r="AI291" s="430"/>
      <c r="AJ291" s="438"/>
      <c r="AK291" s="429"/>
      <c r="AL291" s="429"/>
      <c r="AM291" s="429"/>
      <c r="AN291" s="429"/>
      <c r="AO291" s="430"/>
      <c r="AP291" s="438"/>
      <c r="AQ291" s="429"/>
      <c r="AR291" s="429"/>
      <c r="AS291" s="429"/>
      <c r="AT291" s="429"/>
      <c r="AU291" s="430"/>
      <c r="AV291" s="438"/>
      <c r="AW291" s="429"/>
      <c r="AX291" s="429"/>
      <c r="AY291" s="429"/>
      <c r="AZ291" s="429"/>
      <c r="BA291" s="430"/>
      <c r="BB291" s="438"/>
      <c r="BC291" s="429"/>
      <c r="BD291" s="429"/>
      <c r="BE291" s="429"/>
      <c r="BF291" s="429"/>
      <c r="BG291" s="430"/>
      <c r="BH291" s="438"/>
      <c r="BI291" s="429"/>
      <c r="BJ291" s="429"/>
      <c r="BK291" s="429"/>
      <c r="BL291" s="429"/>
      <c r="BM291" s="430"/>
      <c r="BN291" s="215"/>
      <c r="BO291" s="215"/>
    </row>
    <row r="292" spans="1:67" s="220" customFormat="1">
      <c r="A292" s="23"/>
      <c r="B292" s="23"/>
      <c r="C292" s="23"/>
      <c r="D292" s="23"/>
      <c r="E292" s="75">
        <f t="shared" si="61"/>
        <v>0</v>
      </c>
      <c r="F292" s="438"/>
      <c r="G292" s="429"/>
      <c r="H292" s="429"/>
      <c r="I292" s="429"/>
      <c r="J292" s="429"/>
      <c r="K292" s="430"/>
      <c r="L292" s="438"/>
      <c r="M292" s="429"/>
      <c r="N292" s="429"/>
      <c r="O292" s="429"/>
      <c r="P292" s="429"/>
      <c r="Q292" s="430"/>
      <c r="R292" s="438"/>
      <c r="S292" s="429"/>
      <c r="T292" s="429"/>
      <c r="U292" s="429"/>
      <c r="V292" s="429"/>
      <c r="W292" s="430"/>
      <c r="X292" s="438"/>
      <c r="Y292" s="429"/>
      <c r="Z292" s="429"/>
      <c r="AA292" s="429"/>
      <c r="AB292" s="429"/>
      <c r="AC292" s="430"/>
      <c r="AD292" s="438"/>
      <c r="AE292" s="429"/>
      <c r="AF292" s="429"/>
      <c r="AG292" s="429"/>
      <c r="AH292" s="429"/>
      <c r="AI292" s="430"/>
      <c r="AJ292" s="438"/>
      <c r="AK292" s="429"/>
      <c r="AL292" s="429"/>
      <c r="AM292" s="429"/>
      <c r="AN292" s="429"/>
      <c r="AO292" s="430"/>
      <c r="AP292" s="438"/>
      <c r="AQ292" s="429"/>
      <c r="AR292" s="429"/>
      <c r="AS292" s="429"/>
      <c r="AT292" s="429"/>
      <c r="AU292" s="430"/>
      <c r="AV292" s="438"/>
      <c r="AW292" s="429"/>
      <c r="AX292" s="429"/>
      <c r="AY292" s="429"/>
      <c r="AZ292" s="429"/>
      <c r="BA292" s="430"/>
      <c r="BB292" s="438"/>
      <c r="BC292" s="429"/>
      <c r="BD292" s="429"/>
      <c r="BE292" s="429"/>
      <c r="BF292" s="429"/>
      <c r="BG292" s="430"/>
      <c r="BH292" s="438"/>
      <c r="BI292" s="429"/>
      <c r="BJ292" s="429"/>
      <c r="BK292" s="429"/>
      <c r="BL292" s="429"/>
      <c r="BM292" s="430"/>
      <c r="BN292" s="215"/>
      <c r="BO292" s="215"/>
    </row>
    <row r="293" spans="1:67" s="220" customFormat="1">
      <c r="A293" s="23"/>
      <c r="B293" s="23"/>
      <c r="C293" s="23"/>
      <c r="D293" s="23"/>
      <c r="E293" s="75">
        <f t="shared" si="61"/>
        <v>0</v>
      </c>
      <c r="F293" s="438"/>
      <c r="G293" s="429"/>
      <c r="H293" s="429"/>
      <c r="I293" s="429"/>
      <c r="J293" s="429"/>
      <c r="K293" s="430"/>
      <c r="L293" s="438"/>
      <c r="M293" s="429"/>
      <c r="N293" s="429"/>
      <c r="O293" s="429"/>
      <c r="P293" s="429"/>
      <c r="Q293" s="430"/>
      <c r="R293" s="438"/>
      <c r="S293" s="429"/>
      <c r="T293" s="429"/>
      <c r="U293" s="429"/>
      <c r="V293" s="429"/>
      <c r="W293" s="430"/>
      <c r="X293" s="438"/>
      <c r="Y293" s="429"/>
      <c r="Z293" s="429"/>
      <c r="AA293" s="429"/>
      <c r="AB293" s="429"/>
      <c r="AC293" s="430"/>
      <c r="AD293" s="438"/>
      <c r="AE293" s="429"/>
      <c r="AF293" s="429"/>
      <c r="AG293" s="429"/>
      <c r="AH293" s="429"/>
      <c r="AI293" s="430"/>
      <c r="AJ293" s="438"/>
      <c r="AK293" s="429"/>
      <c r="AL293" s="429"/>
      <c r="AM293" s="429"/>
      <c r="AN293" s="429"/>
      <c r="AO293" s="430"/>
      <c r="AP293" s="438"/>
      <c r="AQ293" s="429"/>
      <c r="AR293" s="429"/>
      <c r="AS293" s="429"/>
      <c r="AT293" s="429"/>
      <c r="AU293" s="430"/>
      <c r="AV293" s="438"/>
      <c r="AW293" s="429"/>
      <c r="AX293" s="429"/>
      <c r="AY293" s="429"/>
      <c r="AZ293" s="429"/>
      <c r="BA293" s="430"/>
      <c r="BB293" s="438"/>
      <c r="BC293" s="429"/>
      <c r="BD293" s="429"/>
      <c r="BE293" s="429"/>
      <c r="BF293" s="429"/>
      <c r="BG293" s="430"/>
      <c r="BH293" s="438"/>
      <c r="BI293" s="429"/>
      <c r="BJ293" s="429"/>
      <c r="BK293" s="429"/>
      <c r="BL293" s="429"/>
      <c r="BM293" s="430"/>
      <c r="BN293" s="215"/>
      <c r="BO293" s="215"/>
    </row>
    <row r="294" spans="1:67" s="220" customFormat="1">
      <c r="A294" s="23"/>
      <c r="B294" s="23"/>
      <c r="C294" s="23"/>
      <c r="D294" s="23"/>
      <c r="E294" s="75">
        <f t="shared" si="61"/>
        <v>0</v>
      </c>
      <c r="F294" s="438"/>
      <c r="G294" s="429"/>
      <c r="H294" s="429"/>
      <c r="I294" s="429"/>
      <c r="J294" s="429"/>
      <c r="K294" s="430"/>
      <c r="L294" s="438"/>
      <c r="M294" s="429"/>
      <c r="N294" s="429"/>
      <c r="O294" s="429"/>
      <c r="P294" s="429"/>
      <c r="Q294" s="430"/>
      <c r="R294" s="438"/>
      <c r="S294" s="429"/>
      <c r="T294" s="429"/>
      <c r="U294" s="429"/>
      <c r="V294" s="429"/>
      <c r="W294" s="430"/>
      <c r="X294" s="438"/>
      <c r="Y294" s="429"/>
      <c r="Z294" s="429"/>
      <c r="AA294" s="429"/>
      <c r="AB294" s="429"/>
      <c r="AC294" s="430"/>
      <c r="AD294" s="438"/>
      <c r="AE294" s="429"/>
      <c r="AF294" s="429"/>
      <c r="AG294" s="429"/>
      <c r="AH294" s="429"/>
      <c r="AI294" s="430"/>
      <c r="AJ294" s="438"/>
      <c r="AK294" s="429"/>
      <c r="AL294" s="429"/>
      <c r="AM294" s="429"/>
      <c r="AN294" s="429"/>
      <c r="AO294" s="430"/>
      <c r="AP294" s="438"/>
      <c r="AQ294" s="429"/>
      <c r="AR294" s="429"/>
      <c r="AS294" s="429"/>
      <c r="AT294" s="429"/>
      <c r="AU294" s="430"/>
      <c r="AV294" s="438"/>
      <c r="AW294" s="429"/>
      <c r="AX294" s="429"/>
      <c r="AY294" s="429"/>
      <c r="AZ294" s="429"/>
      <c r="BA294" s="430"/>
      <c r="BB294" s="438"/>
      <c r="BC294" s="429"/>
      <c r="BD294" s="429"/>
      <c r="BE294" s="429"/>
      <c r="BF294" s="429"/>
      <c r="BG294" s="430"/>
      <c r="BH294" s="438"/>
      <c r="BI294" s="429"/>
      <c r="BJ294" s="429"/>
      <c r="BK294" s="429"/>
      <c r="BL294" s="429"/>
      <c r="BM294" s="430"/>
      <c r="BN294" s="215"/>
      <c r="BO294" s="215"/>
    </row>
    <row r="295" spans="1:67" s="220" customFormat="1">
      <c r="A295" s="23"/>
      <c r="B295" s="23"/>
      <c r="C295" s="23"/>
      <c r="D295" s="23"/>
      <c r="E295" s="75">
        <f t="shared" si="61"/>
        <v>0</v>
      </c>
      <c r="F295" s="438"/>
      <c r="G295" s="429"/>
      <c r="H295" s="429"/>
      <c r="I295" s="429"/>
      <c r="J295" s="429"/>
      <c r="K295" s="430"/>
      <c r="L295" s="438"/>
      <c r="M295" s="429"/>
      <c r="N295" s="429"/>
      <c r="O295" s="429"/>
      <c r="P295" s="429"/>
      <c r="Q295" s="430"/>
      <c r="R295" s="438"/>
      <c r="S295" s="429"/>
      <c r="T295" s="429"/>
      <c r="U295" s="429"/>
      <c r="V295" s="429"/>
      <c r="W295" s="430"/>
      <c r="X295" s="438"/>
      <c r="Y295" s="429"/>
      <c r="Z295" s="429"/>
      <c r="AA295" s="429"/>
      <c r="AB295" s="429"/>
      <c r="AC295" s="430"/>
      <c r="AD295" s="438"/>
      <c r="AE295" s="429"/>
      <c r="AF295" s="429"/>
      <c r="AG295" s="429"/>
      <c r="AH295" s="429"/>
      <c r="AI295" s="430"/>
      <c r="AJ295" s="438"/>
      <c r="AK295" s="429"/>
      <c r="AL295" s="429"/>
      <c r="AM295" s="429"/>
      <c r="AN295" s="429"/>
      <c r="AO295" s="430"/>
      <c r="AP295" s="438"/>
      <c r="AQ295" s="429"/>
      <c r="AR295" s="429"/>
      <c r="AS295" s="429"/>
      <c r="AT295" s="429"/>
      <c r="AU295" s="430"/>
      <c r="AV295" s="438"/>
      <c r="AW295" s="429"/>
      <c r="AX295" s="429"/>
      <c r="AY295" s="429"/>
      <c r="AZ295" s="429"/>
      <c r="BA295" s="430"/>
      <c r="BB295" s="438"/>
      <c r="BC295" s="429"/>
      <c r="BD295" s="429"/>
      <c r="BE295" s="429"/>
      <c r="BF295" s="429"/>
      <c r="BG295" s="430"/>
      <c r="BH295" s="438"/>
      <c r="BI295" s="429"/>
      <c r="BJ295" s="429"/>
      <c r="BK295" s="429"/>
      <c r="BL295" s="429"/>
      <c r="BM295" s="430"/>
      <c r="BN295" s="215"/>
      <c r="BO295" s="215"/>
    </row>
    <row r="296" spans="1:67" s="220" customFormat="1">
      <c r="A296" s="23"/>
      <c r="B296" s="23"/>
      <c r="C296" s="23"/>
      <c r="D296" s="23"/>
      <c r="E296" s="75">
        <f t="shared" si="61"/>
        <v>0</v>
      </c>
      <c r="F296" s="438"/>
      <c r="G296" s="429"/>
      <c r="H296" s="429"/>
      <c r="I296" s="429"/>
      <c r="J296" s="429"/>
      <c r="K296" s="430"/>
      <c r="L296" s="438"/>
      <c r="M296" s="429"/>
      <c r="N296" s="429"/>
      <c r="O296" s="429"/>
      <c r="P296" s="429"/>
      <c r="Q296" s="430"/>
      <c r="R296" s="438"/>
      <c r="S296" s="429"/>
      <c r="T296" s="429"/>
      <c r="U296" s="429"/>
      <c r="V296" s="429"/>
      <c r="W296" s="430"/>
      <c r="X296" s="438"/>
      <c r="Y296" s="429"/>
      <c r="Z296" s="429"/>
      <c r="AA296" s="429"/>
      <c r="AB296" s="429"/>
      <c r="AC296" s="430"/>
      <c r="AD296" s="438"/>
      <c r="AE296" s="429"/>
      <c r="AF296" s="429"/>
      <c r="AG296" s="429"/>
      <c r="AH296" s="429"/>
      <c r="AI296" s="430"/>
      <c r="AJ296" s="438"/>
      <c r="AK296" s="429"/>
      <c r="AL296" s="429"/>
      <c r="AM296" s="429"/>
      <c r="AN296" s="429"/>
      <c r="AO296" s="430"/>
      <c r="AP296" s="438"/>
      <c r="AQ296" s="429"/>
      <c r="AR296" s="429"/>
      <c r="AS296" s="429"/>
      <c r="AT296" s="429"/>
      <c r="AU296" s="430"/>
      <c r="AV296" s="438"/>
      <c r="AW296" s="429"/>
      <c r="AX296" s="429"/>
      <c r="AY296" s="429"/>
      <c r="AZ296" s="429"/>
      <c r="BA296" s="430"/>
      <c r="BB296" s="438"/>
      <c r="BC296" s="429"/>
      <c r="BD296" s="429"/>
      <c r="BE296" s="429"/>
      <c r="BF296" s="429"/>
      <c r="BG296" s="430"/>
      <c r="BH296" s="438"/>
      <c r="BI296" s="429"/>
      <c r="BJ296" s="429"/>
      <c r="BK296" s="429"/>
      <c r="BL296" s="429"/>
      <c r="BM296" s="430"/>
      <c r="BN296" s="215"/>
      <c r="BO296" s="215"/>
    </row>
    <row r="297" spans="1:67" s="220" customFormat="1">
      <c r="A297" s="23"/>
      <c r="B297" s="23"/>
      <c r="C297" s="23"/>
      <c r="D297" s="23"/>
      <c r="E297" s="75">
        <f t="shared" si="61"/>
        <v>0</v>
      </c>
      <c r="F297" s="438"/>
      <c r="G297" s="429"/>
      <c r="H297" s="429"/>
      <c r="I297" s="429"/>
      <c r="J297" s="429"/>
      <c r="K297" s="430"/>
      <c r="L297" s="438"/>
      <c r="M297" s="429"/>
      <c r="N297" s="429"/>
      <c r="O297" s="429"/>
      <c r="P297" s="429"/>
      <c r="Q297" s="430"/>
      <c r="R297" s="438"/>
      <c r="S297" s="429"/>
      <c r="T297" s="429"/>
      <c r="U297" s="429"/>
      <c r="V297" s="429"/>
      <c r="W297" s="430"/>
      <c r="X297" s="438"/>
      <c r="Y297" s="429"/>
      <c r="Z297" s="429"/>
      <c r="AA297" s="429"/>
      <c r="AB297" s="429"/>
      <c r="AC297" s="430"/>
      <c r="AD297" s="438"/>
      <c r="AE297" s="429"/>
      <c r="AF297" s="429"/>
      <c r="AG297" s="429"/>
      <c r="AH297" s="429"/>
      <c r="AI297" s="430"/>
      <c r="AJ297" s="438"/>
      <c r="AK297" s="429"/>
      <c r="AL297" s="429"/>
      <c r="AM297" s="429"/>
      <c r="AN297" s="429"/>
      <c r="AO297" s="430"/>
      <c r="AP297" s="438"/>
      <c r="AQ297" s="429"/>
      <c r="AR297" s="429"/>
      <c r="AS297" s="429"/>
      <c r="AT297" s="429"/>
      <c r="AU297" s="430"/>
      <c r="AV297" s="438"/>
      <c r="AW297" s="429"/>
      <c r="AX297" s="429"/>
      <c r="AY297" s="429"/>
      <c r="AZ297" s="429"/>
      <c r="BA297" s="430"/>
      <c r="BB297" s="438"/>
      <c r="BC297" s="429"/>
      <c r="BD297" s="429"/>
      <c r="BE297" s="429"/>
      <c r="BF297" s="429"/>
      <c r="BG297" s="430"/>
      <c r="BH297" s="438"/>
      <c r="BI297" s="429"/>
      <c r="BJ297" s="429"/>
      <c r="BK297" s="429"/>
      <c r="BL297" s="429"/>
      <c r="BM297" s="430"/>
      <c r="BN297" s="215"/>
      <c r="BO297" s="215"/>
    </row>
    <row r="298" spans="1:67" s="220" customFormat="1">
      <c r="A298" s="23"/>
      <c r="B298" s="23"/>
      <c r="C298" s="23"/>
      <c r="D298" s="23"/>
      <c r="E298" s="75">
        <f t="shared" si="61"/>
        <v>0</v>
      </c>
      <c r="F298" s="438"/>
      <c r="G298" s="429"/>
      <c r="H298" s="429"/>
      <c r="I298" s="429"/>
      <c r="J298" s="429"/>
      <c r="K298" s="430"/>
      <c r="L298" s="438"/>
      <c r="M298" s="429"/>
      <c r="N298" s="429"/>
      <c r="O298" s="429"/>
      <c r="P298" s="429"/>
      <c r="Q298" s="430"/>
      <c r="R298" s="438"/>
      <c r="S298" s="429"/>
      <c r="T298" s="429"/>
      <c r="U298" s="429"/>
      <c r="V298" s="429"/>
      <c r="W298" s="430"/>
      <c r="X298" s="438"/>
      <c r="Y298" s="429"/>
      <c r="Z298" s="429"/>
      <c r="AA298" s="429"/>
      <c r="AB298" s="429"/>
      <c r="AC298" s="430"/>
      <c r="AD298" s="438"/>
      <c r="AE298" s="429"/>
      <c r="AF298" s="429"/>
      <c r="AG298" s="429"/>
      <c r="AH298" s="429"/>
      <c r="AI298" s="430"/>
      <c r="AJ298" s="438"/>
      <c r="AK298" s="429"/>
      <c r="AL298" s="429"/>
      <c r="AM298" s="429"/>
      <c r="AN298" s="429"/>
      <c r="AO298" s="430"/>
      <c r="AP298" s="438"/>
      <c r="AQ298" s="429"/>
      <c r="AR298" s="429"/>
      <c r="AS298" s="429"/>
      <c r="AT298" s="429"/>
      <c r="AU298" s="430"/>
      <c r="AV298" s="438"/>
      <c r="AW298" s="429"/>
      <c r="AX298" s="429"/>
      <c r="AY298" s="429"/>
      <c r="AZ298" s="429"/>
      <c r="BA298" s="430"/>
      <c r="BB298" s="438"/>
      <c r="BC298" s="429"/>
      <c r="BD298" s="429"/>
      <c r="BE298" s="429"/>
      <c r="BF298" s="429"/>
      <c r="BG298" s="430"/>
      <c r="BH298" s="438"/>
      <c r="BI298" s="429"/>
      <c r="BJ298" s="429"/>
      <c r="BK298" s="429"/>
      <c r="BL298" s="429"/>
      <c r="BM298" s="430"/>
      <c r="BN298" s="215"/>
      <c r="BO298" s="215"/>
    </row>
    <row r="299" spans="1:67" s="220" customFormat="1">
      <c r="A299" s="23"/>
      <c r="B299" s="23"/>
      <c r="C299" s="23"/>
      <c r="D299" s="23"/>
      <c r="E299" s="75">
        <f t="shared" si="61"/>
        <v>0</v>
      </c>
      <c r="F299" s="438"/>
      <c r="G299" s="429"/>
      <c r="H299" s="429"/>
      <c r="I299" s="429"/>
      <c r="J299" s="429"/>
      <c r="K299" s="430"/>
      <c r="L299" s="438"/>
      <c r="M299" s="429"/>
      <c r="N299" s="429"/>
      <c r="O299" s="429"/>
      <c r="P299" s="429"/>
      <c r="Q299" s="430"/>
      <c r="R299" s="438"/>
      <c r="S299" s="429"/>
      <c r="T299" s="429"/>
      <c r="U299" s="429"/>
      <c r="V299" s="429"/>
      <c r="W299" s="430"/>
      <c r="X299" s="438"/>
      <c r="Y299" s="429"/>
      <c r="Z299" s="429"/>
      <c r="AA299" s="429"/>
      <c r="AB299" s="429"/>
      <c r="AC299" s="430"/>
      <c r="AD299" s="438"/>
      <c r="AE299" s="429"/>
      <c r="AF299" s="429"/>
      <c r="AG299" s="429"/>
      <c r="AH299" s="429"/>
      <c r="AI299" s="430"/>
      <c r="AJ299" s="438"/>
      <c r="AK299" s="429"/>
      <c r="AL299" s="429"/>
      <c r="AM299" s="429"/>
      <c r="AN299" s="429"/>
      <c r="AO299" s="430"/>
      <c r="AP299" s="438"/>
      <c r="AQ299" s="429"/>
      <c r="AR299" s="429"/>
      <c r="AS299" s="429"/>
      <c r="AT299" s="429"/>
      <c r="AU299" s="430"/>
      <c r="AV299" s="438"/>
      <c r="AW299" s="429"/>
      <c r="AX299" s="429"/>
      <c r="AY299" s="429"/>
      <c r="AZ299" s="429"/>
      <c r="BA299" s="430"/>
      <c r="BB299" s="438"/>
      <c r="BC299" s="429"/>
      <c r="BD299" s="429"/>
      <c r="BE299" s="429"/>
      <c r="BF299" s="429"/>
      <c r="BG299" s="430"/>
      <c r="BH299" s="438"/>
      <c r="BI299" s="429"/>
      <c r="BJ299" s="429"/>
      <c r="BK299" s="429"/>
      <c r="BL299" s="429"/>
      <c r="BM299" s="430"/>
      <c r="BN299" s="215"/>
      <c r="BO299" s="215"/>
    </row>
    <row r="300" spans="1:67" s="220" customFormat="1">
      <c r="A300" s="23"/>
      <c r="B300" s="23"/>
      <c r="C300" s="23"/>
      <c r="D300" s="23"/>
      <c r="E300" s="75">
        <f t="shared" si="61"/>
        <v>0</v>
      </c>
      <c r="F300" s="438"/>
      <c r="G300" s="429"/>
      <c r="H300" s="429"/>
      <c r="I300" s="429"/>
      <c r="J300" s="429"/>
      <c r="K300" s="430"/>
      <c r="L300" s="438"/>
      <c r="M300" s="429"/>
      <c r="N300" s="429"/>
      <c r="O300" s="429"/>
      <c r="P300" s="429"/>
      <c r="Q300" s="430"/>
      <c r="R300" s="438"/>
      <c r="S300" s="429"/>
      <c r="T300" s="429"/>
      <c r="U300" s="429"/>
      <c r="V300" s="429"/>
      <c r="W300" s="430"/>
      <c r="X300" s="438"/>
      <c r="Y300" s="429"/>
      <c r="Z300" s="429"/>
      <c r="AA300" s="429"/>
      <c r="AB300" s="429"/>
      <c r="AC300" s="430"/>
      <c r="AD300" s="438"/>
      <c r="AE300" s="429"/>
      <c r="AF300" s="429"/>
      <c r="AG300" s="429"/>
      <c r="AH300" s="429"/>
      <c r="AI300" s="430"/>
      <c r="AJ300" s="438"/>
      <c r="AK300" s="429"/>
      <c r="AL300" s="429"/>
      <c r="AM300" s="429"/>
      <c r="AN300" s="429"/>
      <c r="AO300" s="430"/>
      <c r="AP300" s="438"/>
      <c r="AQ300" s="429"/>
      <c r="AR300" s="429"/>
      <c r="AS300" s="429"/>
      <c r="AT300" s="429"/>
      <c r="AU300" s="430"/>
      <c r="AV300" s="438"/>
      <c r="AW300" s="429"/>
      <c r="AX300" s="429"/>
      <c r="AY300" s="429"/>
      <c r="AZ300" s="429"/>
      <c r="BA300" s="430"/>
      <c r="BB300" s="438"/>
      <c r="BC300" s="429"/>
      <c r="BD300" s="429"/>
      <c r="BE300" s="429"/>
      <c r="BF300" s="429"/>
      <c r="BG300" s="430"/>
      <c r="BH300" s="438"/>
      <c r="BI300" s="429"/>
      <c r="BJ300" s="429"/>
      <c r="BK300" s="429"/>
      <c r="BL300" s="429"/>
      <c r="BM300" s="430"/>
      <c r="BN300" s="215"/>
      <c r="BO300" s="215"/>
    </row>
    <row r="301" spans="1:67" s="220" customFormat="1">
      <c r="A301" s="23"/>
      <c r="B301" s="23"/>
      <c r="C301" s="23"/>
      <c r="D301" s="23"/>
      <c r="E301" s="75">
        <f t="shared" si="61"/>
        <v>0</v>
      </c>
      <c r="F301" s="438"/>
      <c r="G301" s="429"/>
      <c r="H301" s="429"/>
      <c r="I301" s="429"/>
      <c r="J301" s="429"/>
      <c r="K301" s="430"/>
      <c r="L301" s="438"/>
      <c r="M301" s="429"/>
      <c r="N301" s="429"/>
      <c r="O301" s="429"/>
      <c r="P301" s="429"/>
      <c r="Q301" s="430"/>
      <c r="R301" s="438"/>
      <c r="S301" s="429"/>
      <c r="T301" s="429"/>
      <c r="U301" s="429"/>
      <c r="V301" s="429"/>
      <c r="W301" s="430"/>
      <c r="X301" s="438"/>
      <c r="Y301" s="429"/>
      <c r="Z301" s="429"/>
      <c r="AA301" s="429"/>
      <c r="AB301" s="429"/>
      <c r="AC301" s="430"/>
      <c r="AD301" s="438"/>
      <c r="AE301" s="429"/>
      <c r="AF301" s="429"/>
      <c r="AG301" s="429"/>
      <c r="AH301" s="429"/>
      <c r="AI301" s="430"/>
      <c r="AJ301" s="438"/>
      <c r="AK301" s="429"/>
      <c r="AL301" s="429"/>
      <c r="AM301" s="429"/>
      <c r="AN301" s="429"/>
      <c r="AO301" s="430"/>
      <c r="AP301" s="438"/>
      <c r="AQ301" s="429"/>
      <c r="AR301" s="429"/>
      <c r="AS301" s="429"/>
      <c r="AT301" s="429"/>
      <c r="AU301" s="430"/>
      <c r="AV301" s="438"/>
      <c r="AW301" s="429"/>
      <c r="AX301" s="429"/>
      <c r="AY301" s="429"/>
      <c r="AZ301" s="429"/>
      <c r="BA301" s="430"/>
      <c r="BB301" s="438"/>
      <c r="BC301" s="429"/>
      <c r="BD301" s="429"/>
      <c r="BE301" s="429"/>
      <c r="BF301" s="429"/>
      <c r="BG301" s="430"/>
      <c r="BH301" s="438"/>
      <c r="BI301" s="429"/>
      <c r="BJ301" s="429"/>
      <c r="BK301" s="429"/>
      <c r="BL301" s="429"/>
      <c r="BM301" s="430"/>
      <c r="BN301" s="215"/>
      <c r="BO301" s="215"/>
    </row>
    <row r="302" spans="1:67" s="220" customFormat="1">
      <c r="A302" s="23"/>
      <c r="B302" s="23"/>
      <c r="C302" s="23"/>
      <c r="D302" s="23"/>
      <c r="E302" s="75">
        <f t="shared" si="61"/>
        <v>0</v>
      </c>
      <c r="F302" s="438"/>
      <c r="G302" s="429"/>
      <c r="H302" s="429"/>
      <c r="I302" s="429"/>
      <c r="J302" s="429"/>
      <c r="K302" s="430"/>
      <c r="L302" s="438"/>
      <c r="M302" s="429"/>
      <c r="N302" s="429"/>
      <c r="O302" s="429"/>
      <c r="P302" s="429"/>
      <c r="Q302" s="430"/>
      <c r="R302" s="438"/>
      <c r="S302" s="429"/>
      <c r="T302" s="429"/>
      <c r="U302" s="429"/>
      <c r="V302" s="429"/>
      <c r="W302" s="430"/>
      <c r="X302" s="438"/>
      <c r="Y302" s="429"/>
      <c r="Z302" s="429"/>
      <c r="AA302" s="429"/>
      <c r="AB302" s="429"/>
      <c r="AC302" s="430"/>
      <c r="AD302" s="438"/>
      <c r="AE302" s="429"/>
      <c r="AF302" s="429"/>
      <c r="AG302" s="429"/>
      <c r="AH302" s="429"/>
      <c r="AI302" s="430"/>
      <c r="AJ302" s="438"/>
      <c r="AK302" s="429"/>
      <c r="AL302" s="429"/>
      <c r="AM302" s="429"/>
      <c r="AN302" s="429"/>
      <c r="AO302" s="430"/>
      <c r="AP302" s="438"/>
      <c r="AQ302" s="429"/>
      <c r="AR302" s="429"/>
      <c r="AS302" s="429"/>
      <c r="AT302" s="429"/>
      <c r="AU302" s="430"/>
      <c r="AV302" s="438"/>
      <c r="AW302" s="429"/>
      <c r="AX302" s="429"/>
      <c r="AY302" s="429"/>
      <c r="AZ302" s="429"/>
      <c r="BA302" s="430"/>
      <c r="BB302" s="438"/>
      <c r="BC302" s="429"/>
      <c r="BD302" s="429"/>
      <c r="BE302" s="429"/>
      <c r="BF302" s="429"/>
      <c r="BG302" s="430"/>
      <c r="BH302" s="438"/>
      <c r="BI302" s="429"/>
      <c r="BJ302" s="429"/>
      <c r="BK302" s="429"/>
      <c r="BL302" s="429"/>
      <c r="BM302" s="430"/>
      <c r="BN302" s="215"/>
      <c r="BO302" s="215"/>
    </row>
    <row r="303" spans="1:67" s="220" customFormat="1">
      <c r="A303" s="23"/>
      <c r="B303" s="23"/>
      <c r="C303" s="23"/>
      <c r="D303" s="23"/>
      <c r="E303" s="75">
        <f t="shared" si="61"/>
        <v>0</v>
      </c>
      <c r="F303" s="438"/>
      <c r="G303" s="429"/>
      <c r="H303" s="429"/>
      <c r="I303" s="429"/>
      <c r="J303" s="429"/>
      <c r="K303" s="430"/>
      <c r="L303" s="438"/>
      <c r="M303" s="429"/>
      <c r="N303" s="429"/>
      <c r="O303" s="429"/>
      <c r="P303" s="429"/>
      <c r="Q303" s="430"/>
      <c r="R303" s="438"/>
      <c r="S303" s="429"/>
      <c r="T303" s="429"/>
      <c r="U303" s="429"/>
      <c r="V303" s="429"/>
      <c r="W303" s="430"/>
      <c r="X303" s="438"/>
      <c r="Y303" s="429"/>
      <c r="Z303" s="429"/>
      <c r="AA303" s="429"/>
      <c r="AB303" s="429"/>
      <c r="AC303" s="430"/>
      <c r="AD303" s="438"/>
      <c r="AE303" s="429"/>
      <c r="AF303" s="429"/>
      <c r="AG303" s="429"/>
      <c r="AH303" s="429"/>
      <c r="AI303" s="430"/>
      <c r="AJ303" s="438"/>
      <c r="AK303" s="429"/>
      <c r="AL303" s="429"/>
      <c r="AM303" s="429"/>
      <c r="AN303" s="429"/>
      <c r="AO303" s="430"/>
      <c r="AP303" s="438"/>
      <c r="AQ303" s="429"/>
      <c r="AR303" s="429"/>
      <c r="AS303" s="429"/>
      <c r="AT303" s="429"/>
      <c r="AU303" s="430"/>
      <c r="AV303" s="438"/>
      <c r="AW303" s="429"/>
      <c r="AX303" s="429"/>
      <c r="AY303" s="429"/>
      <c r="AZ303" s="429"/>
      <c r="BA303" s="430"/>
      <c r="BB303" s="438"/>
      <c r="BC303" s="429"/>
      <c r="BD303" s="429"/>
      <c r="BE303" s="429"/>
      <c r="BF303" s="429"/>
      <c r="BG303" s="430"/>
      <c r="BH303" s="438"/>
      <c r="BI303" s="429"/>
      <c r="BJ303" s="429"/>
      <c r="BK303" s="429"/>
      <c r="BL303" s="429"/>
      <c r="BM303" s="430"/>
      <c r="BN303" s="215"/>
      <c r="BO303" s="215"/>
    </row>
    <row r="304" spans="1:67" s="220" customFormat="1">
      <c r="A304" s="23"/>
      <c r="B304" s="23"/>
      <c r="C304" s="23"/>
      <c r="D304" s="23"/>
      <c r="E304" s="75">
        <f t="shared" si="61"/>
        <v>0</v>
      </c>
      <c r="F304" s="438"/>
      <c r="G304" s="429"/>
      <c r="H304" s="429"/>
      <c r="I304" s="429"/>
      <c r="J304" s="429"/>
      <c r="K304" s="430"/>
      <c r="L304" s="438"/>
      <c r="M304" s="429"/>
      <c r="N304" s="429"/>
      <c r="O304" s="429"/>
      <c r="P304" s="429"/>
      <c r="Q304" s="430"/>
      <c r="R304" s="438"/>
      <c r="S304" s="429"/>
      <c r="T304" s="429"/>
      <c r="U304" s="429"/>
      <c r="V304" s="429"/>
      <c r="W304" s="430"/>
      <c r="X304" s="438"/>
      <c r="Y304" s="429"/>
      <c r="Z304" s="429"/>
      <c r="AA304" s="429"/>
      <c r="AB304" s="429"/>
      <c r="AC304" s="430"/>
      <c r="AD304" s="438"/>
      <c r="AE304" s="429"/>
      <c r="AF304" s="429"/>
      <c r="AG304" s="429"/>
      <c r="AH304" s="429"/>
      <c r="AI304" s="430"/>
      <c r="AJ304" s="438"/>
      <c r="AK304" s="429"/>
      <c r="AL304" s="429"/>
      <c r="AM304" s="429"/>
      <c r="AN304" s="429"/>
      <c r="AO304" s="430"/>
      <c r="AP304" s="438"/>
      <c r="AQ304" s="429"/>
      <c r="AR304" s="429"/>
      <c r="AS304" s="429"/>
      <c r="AT304" s="429"/>
      <c r="AU304" s="430"/>
      <c r="AV304" s="438"/>
      <c r="AW304" s="429"/>
      <c r="AX304" s="429"/>
      <c r="AY304" s="429"/>
      <c r="AZ304" s="429"/>
      <c r="BA304" s="430"/>
      <c r="BB304" s="438"/>
      <c r="BC304" s="429"/>
      <c r="BD304" s="429"/>
      <c r="BE304" s="429"/>
      <c r="BF304" s="429"/>
      <c r="BG304" s="430"/>
      <c r="BH304" s="438"/>
      <c r="BI304" s="429"/>
      <c r="BJ304" s="429"/>
      <c r="BK304" s="429"/>
      <c r="BL304" s="429"/>
      <c r="BM304" s="430"/>
      <c r="BN304" s="215"/>
      <c r="BO304" s="215"/>
    </row>
    <row r="305" spans="1:67" s="220" customFormat="1">
      <c r="A305" s="23"/>
      <c r="B305" s="23"/>
      <c r="C305" s="23"/>
      <c r="D305" s="23"/>
      <c r="E305" s="389" t="s">
        <v>83</v>
      </c>
      <c r="F305" s="433">
        <f>SUM(F279:F304)</f>
        <v>690000</v>
      </c>
      <c r="G305" s="434">
        <f t="shared" ref="G305:BA305" si="62">SUM(G279:G304)</f>
        <v>703800</v>
      </c>
      <c r="H305" s="434">
        <f>SUM(H279:H304)</f>
        <v>717876</v>
      </c>
      <c r="I305" s="434">
        <f t="shared" si="62"/>
        <v>732233.52</v>
      </c>
      <c r="J305" s="434">
        <f t="shared" si="62"/>
        <v>746878.1904000002</v>
      </c>
      <c r="K305" s="465">
        <f t="shared" si="62"/>
        <v>761815.75420799968</v>
      </c>
      <c r="L305" s="433">
        <f>SUM(L279:L304)</f>
        <v>1000000000</v>
      </c>
      <c r="M305" s="434">
        <f t="shared" si="62"/>
        <v>996000000</v>
      </c>
      <c r="N305" s="434">
        <f>SUM(N279:N304)</f>
        <v>992016000</v>
      </c>
      <c r="O305" s="434">
        <f t="shared" si="62"/>
        <v>988047936</v>
      </c>
      <c r="P305" s="434">
        <f t="shared" si="62"/>
        <v>984095744.25600004</v>
      </c>
      <c r="Q305" s="465">
        <f t="shared" si="62"/>
        <v>980159361.27897608</v>
      </c>
      <c r="R305" s="1494">
        <f t="shared" si="62"/>
        <v>40000000</v>
      </c>
      <c r="S305" s="434">
        <f t="shared" si="62"/>
        <v>40590000</v>
      </c>
      <c r="T305" s="434">
        <f t="shared" si="62"/>
        <v>41192020</v>
      </c>
      <c r="U305" s="434">
        <f t="shared" si="62"/>
        <v>41806299.960000001</v>
      </c>
      <c r="V305" s="434">
        <f t="shared" si="62"/>
        <v>42433084.640079997</v>
      </c>
      <c r="W305" s="465">
        <f t="shared" si="62"/>
        <v>43072623.696399838</v>
      </c>
      <c r="X305" s="433">
        <f t="shared" si="62"/>
        <v>20000000</v>
      </c>
      <c r="Y305" s="434">
        <f t="shared" si="62"/>
        <v>20295000</v>
      </c>
      <c r="Z305" s="434">
        <f t="shared" si="62"/>
        <v>20596010</v>
      </c>
      <c r="AA305" s="434">
        <f t="shared" si="62"/>
        <v>20903149.98</v>
      </c>
      <c r="AB305" s="434">
        <f t="shared" si="62"/>
        <v>21216542.320039999</v>
      </c>
      <c r="AC305" s="465">
        <f t="shared" si="62"/>
        <v>21536311.848199919</v>
      </c>
      <c r="AD305" s="1494">
        <f t="shared" si="62"/>
        <v>8000000</v>
      </c>
      <c r="AE305" s="434">
        <f t="shared" si="62"/>
        <v>8118000</v>
      </c>
      <c r="AF305" s="434">
        <f t="shared" si="62"/>
        <v>8238404</v>
      </c>
      <c r="AG305" s="434">
        <f t="shared" si="62"/>
        <v>8361259.9920000006</v>
      </c>
      <c r="AH305" s="434">
        <f t="shared" si="62"/>
        <v>8486616.9280159995</v>
      </c>
      <c r="AI305" s="465">
        <f t="shared" si="62"/>
        <v>8614524.7392799668</v>
      </c>
      <c r="AJ305" s="433">
        <f t="shared" ref="AJ305:AO305" si="63">SUM(AJ279:AJ304)</f>
        <v>4000000</v>
      </c>
      <c r="AK305" s="434">
        <f t="shared" si="63"/>
        <v>4059000</v>
      </c>
      <c r="AL305" s="434">
        <f t="shared" si="63"/>
        <v>4119202</v>
      </c>
      <c r="AM305" s="434">
        <f t="shared" si="63"/>
        <v>4180629.9960000003</v>
      </c>
      <c r="AN305" s="434">
        <f t="shared" si="63"/>
        <v>4243308.4640079997</v>
      </c>
      <c r="AO305" s="465">
        <f t="shared" si="63"/>
        <v>4307262.3696399834</v>
      </c>
      <c r="AP305" s="433">
        <f t="shared" si="62"/>
        <v>80000</v>
      </c>
      <c r="AQ305" s="434">
        <f t="shared" si="62"/>
        <v>81600</v>
      </c>
      <c r="AR305" s="434">
        <f t="shared" si="62"/>
        <v>83232</v>
      </c>
      <c r="AS305" s="434">
        <f t="shared" si="62"/>
        <v>84896.639999999999</v>
      </c>
      <c r="AT305" s="434">
        <f t="shared" si="62"/>
        <v>86594.57279999998</v>
      </c>
      <c r="AU305" s="465">
        <f t="shared" si="62"/>
        <v>88326.464255999992</v>
      </c>
      <c r="AV305" s="433">
        <f t="shared" si="62"/>
        <v>16000</v>
      </c>
      <c r="AW305" s="434">
        <f t="shared" si="62"/>
        <v>16320</v>
      </c>
      <c r="AX305" s="434">
        <f t="shared" si="62"/>
        <v>16646.399999999998</v>
      </c>
      <c r="AY305" s="434">
        <f t="shared" si="62"/>
        <v>16979.328000000005</v>
      </c>
      <c r="AZ305" s="434">
        <f t="shared" si="62"/>
        <v>17318.914560000001</v>
      </c>
      <c r="BA305" s="465">
        <f t="shared" si="62"/>
        <v>17665.292851200003</v>
      </c>
      <c r="BB305" s="433">
        <f t="shared" ref="BB305:BG305" si="64">SUM(BB279:BB304)</f>
        <v>40000</v>
      </c>
      <c r="BC305" s="434">
        <f t="shared" si="64"/>
        <v>40800</v>
      </c>
      <c r="BD305" s="434">
        <f t="shared" si="64"/>
        <v>41616</v>
      </c>
      <c r="BE305" s="434">
        <f t="shared" si="64"/>
        <v>42448.32</v>
      </c>
      <c r="BF305" s="434">
        <f t="shared" si="64"/>
        <v>43297.28639999999</v>
      </c>
      <c r="BG305" s="465">
        <f t="shared" si="64"/>
        <v>44163.232127999996</v>
      </c>
      <c r="BH305" s="433">
        <f t="shared" ref="BH305:BM305" si="65">SUM(BH279:BH304)</f>
        <v>1600</v>
      </c>
      <c r="BI305" s="434">
        <f t="shared" si="65"/>
        <v>1632</v>
      </c>
      <c r="BJ305" s="434">
        <f t="shared" si="65"/>
        <v>1664.6399999999999</v>
      </c>
      <c r="BK305" s="434">
        <f t="shared" si="65"/>
        <v>1697.9328000000003</v>
      </c>
      <c r="BL305" s="434">
        <f t="shared" si="65"/>
        <v>1731.8914559999998</v>
      </c>
      <c r="BM305" s="465">
        <f t="shared" si="65"/>
        <v>1766.5292851199997</v>
      </c>
      <c r="BN305" s="215"/>
      <c r="BO305" s="215"/>
    </row>
    <row r="306" spans="1:67" s="4" customFormat="1" ht="20.2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row>
    <row r="307" spans="1:67" ht="15.2" customHeight="1">
      <c r="A307" s="207"/>
      <c r="B307" s="207"/>
      <c r="C307" s="207"/>
      <c r="D307" s="207"/>
      <c r="E307" s="207" t="s">
        <v>308</v>
      </c>
      <c r="F307" s="207"/>
      <c r="G307" s="207"/>
      <c r="H307" s="123"/>
      <c r="I307" s="222"/>
      <c r="J307" s="222"/>
      <c r="K307" s="222"/>
      <c r="L307" s="117"/>
      <c r="M307" s="117"/>
      <c r="N307" s="117"/>
      <c r="O307" s="117"/>
      <c r="P307" s="209"/>
      <c r="Q307" s="209"/>
      <c r="R307" s="209"/>
      <c r="S307" s="209"/>
      <c r="T307" s="20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c r="BI307" s="209"/>
      <c r="BJ307" s="209"/>
      <c r="BK307" s="209"/>
      <c r="BL307" s="209"/>
      <c r="BM307" s="209"/>
      <c r="BN307" s="209"/>
      <c r="BO307" s="209"/>
    </row>
    <row r="308" spans="1:67">
      <c r="A308" s="23"/>
      <c r="B308" s="23"/>
      <c r="C308" s="23"/>
      <c r="D308" s="23"/>
      <c r="E308" s="284" t="s">
        <v>234</v>
      </c>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row>
    <row r="309" spans="1:67">
      <c r="A309" s="23"/>
      <c r="B309" s="23"/>
      <c r="C309" s="23"/>
      <c r="D309" s="23"/>
      <c r="E309" s="241" t="str">
        <f>IF(SUM(G339:K339,M339:Q339,S339:W339,Y339:AC339,AE339:AI339,AK339:AO339,AQ339:AU339,AW339:BA339,BC339:BG339,BI339:BM339)&gt;0,IF($R$7&lt;6,"Caution - there appears to be data entered below for years 6 to 10, when the regulatory control period is only "&amp;$R$7&amp;" years.",""),"")</f>
        <v>Caution - there appears to be data entered below for years 6 to 10, when the regulatory control period is only 5 years.</v>
      </c>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row>
    <row r="310" spans="1:67" hidden="1" outlineLevel="1">
      <c r="A310" s="23"/>
      <c r="B310" s="23"/>
      <c r="C310" s="23"/>
      <c r="D310" s="23"/>
      <c r="E310" s="314" t="s">
        <v>224</v>
      </c>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row>
    <row r="311" spans="1:67" s="90" customFormat="1" hidden="1" outlineLevel="1">
      <c r="A311" s="23"/>
      <c r="B311" s="23"/>
      <c r="C311" s="23"/>
      <c r="D311" s="23"/>
      <c r="E311" s="423" t="s">
        <v>321</v>
      </c>
      <c r="F311" s="1605" t="str">
        <f>F277&amp;" [years 6-10]"</f>
        <v>Customer Numbers [years 6-10]</v>
      </c>
      <c r="G311" s="1605"/>
      <c r="H311" s="1605"/>
      <c r="I311" s="1605"/>
      <c r="J311" s="1605"/>
      <c r="K311" s="1605"/>
      <c r="L311" s="1605" t="str">
        <f>L277&amp;" [years 6-10]"</f>
        <v>Non TOU Energy (kWh) [years 6-10]</v>
      </c>
      <c r="M311" s="1605"/>
      <c r="N311" s="1605"/>
      <c r="O311" s="1605"/>
      <c r="P311" s="1605"/>
      <c r="Q311" s="1605"/>
      <c r="R311" s="1605" t="str">
        <f>R277&amp;" [years 6-10]"</f>
        <v>Peak Energy (KWh) BLK 1 [years 6-10]</v>
      </c>
      <c r="S311" s="1605"/>
      <c r="T311" s="1605"/>
      <c r="U311" s="1605"/>
      <c r="V311" s="1605"/>
      <c r="W311" s="1605"/>
      <c r="X311" s="1605" t="str">
        <f>X277&amp;" [years 6-10]"</f>
        <v>Peak Energy (KWh) BLK 2 [years 6-10]</v>
      </c>
      <c r="Y311" s="1605"/>
      <c r="Z311" s="1605"/>
      <c r="AA311" s="1605"/>
      <c r="AB311" s="1605"/>
      <c r="AC311" s="1605"/>
      <c r="AD311" s="1605" t="str">
        <f>AD277&amp;" [years 6-10]"</f>
        <v>Off Peak Energy (KWh) BLK 1 [years 6-10]</v>
      </c>
      <c r="AE311" s="1605"/>
      <c r="AF311" s="1605"/>
      <c r="AG311" s="1605"/>
      <c r="AH311" s="1605"/>
      <c r="AI311" s="1605"/>
      <c r="AJ311" s="1605" t="str">
        <f>AJ277&amp;" [years 6-10]"</f>
        <v>Off Peak Energy (KWh) BLK 2 [years 6-10]</v>
      </c>
      <c r="AK311" s="1605"/>
      <c r="AL311" s="1605"/>
      <c r="AM311" s="1605"/>
      <c r="AN311" s="1605"/>
      <c r="AO311" s="1605"/>
      <c r="AP311" s="1605" t="str">
        <f>AP277&amp;" [years 6-10]"</f>
        <v>Peak Demand (kVa) BLK 1 [years 6-10]</v>
      </c>
      <c r="AQ311" s="1605"/>
      <c r="AR311" s="1605"/>
      <c r="AS311" s="1605"/>
      <c r="AT311" s="1605"/>
      <c r="AU311" s="1605"/>
      <c r="AV311" s="1605" t="str">
        <f>AV277&amp;" [years 6-10]"</f>
        <v>Peak Demand (kVa) BLK 2 [years 6-10]</v>
      </c>
      <c r="AW311" s="1605"/>
      <c r="AX311" s="1605"/>
      <c r="AY311" s="1605"/>
      <c r="AZ311" s="1605"/>
      <c r="BA311" s="1605"/>
      <c r="BB311" s="1605" t="str">
        <f>BB277&amp;" [years 6-10]"</f>
        <v>Off Peak Demand (kVa) BLK 1 [years 6-10]</v>
      </c>
      <c r="BC311" s="1605"/>
      <c r="BD311" s="1605"/>
      <c r="BE311" s="1605"/>
      <c r="BF311" s="1605"/>
      <c r="BG311" s="1605"/>
      <c r="BH311" s="1605" t="str">
        <f>BH277&amp;" [years 6-10]"</f>
        <v>Off Peak Demand (kVa) BLK 2 [years 6-10]</v>
      </c>
      <c r="BI311" s="1605"/>
      <c r="BJ311" s="1605"/>
      <c r="BK311" s="1605"/>
      <c r="BL311" s="1605"/>
      <c r="BM311" s="1605"/>
      <c r="BN311" s="23"/>
      <c r="BO311" s="23"/>
    </row>
    <row r="312" spans="1:67" s="90" customFormat="1" hidden="1" outlineLevel="1">
      <c r="A312" s="23"/>
      <c r="B312" s="23"/>
      <c r="C312" s="23"/>
      <c r="D312" s="23"/>
      <c r="E312" s="60" t="s">
        <v>54</v>
      </c>
      <c r="F312" s="431" t="str">
        <f>K278</f>
        <v>2014-15</v>
      </c>
      <c r="G312" s="424" t="str">
        <f>L241</f>
        <v>2015-16</v>
      </c>
      <c r="H312" s="425" t="str">
        <f>M241</f>
        <v>2016-17</v>
      </c>
      <c r="I312" s="425" t="str">
        <f>N241</f>
        <v>2017-18</v>
      </c>
      <c r="J312" s="425" t="str">
        <f>O241</f>
        <v>2018-19</v>
      </c>
      <c r="K312" s="426" t="str">
        <f>P241</f>
        <v>2019-20</v>
      </c>
      <c r="L312" s="422" t="str">
        <f t="shared" ref="L312:AQ312" si="66">F312</f>
        <v>2014-15</v>
      </c>
      <c r="M312" s="424" t="str">
        <f t="shared" si="66"/>
        <v>2015-16</v>
      </c>
      <c r="N312" s="425" t="str">
        <f t="shared" si="66"/>
        <v>2016-17</v>
      </c>
      <c r="O312" s="425" t="str">
        <f t="shared" si="66"/>
        <v>2017-18</v>
      </c>
      <c r="P312" s="425" t="str">
        <f t="shared" si="66"/>
        <v>2018-19</v>
      </c>
      <c r="Q312" s="426" t="str">
        <f t="shared" si="66"/>
        <v>2019-20</v>
      </c>
      <c r="R312" s="422" t="str">
        <f t="shared" si="66"/>
        <v>2014-15</v>
      </c>
      <c r="S312" s="424" t="str">
        <f t="shared" si="66"/>
        <v>2015-16</v>
      </c>
      <c r="T312" s="425" t="str">
        <f t="shared" si="66"/>
        <v>2016-17</v>
      </c>
      <c r="U312" s="425" t="str">
        <f t="shared" si="66"/>
        <v>2017-18</v>
      </c>
      <c r="V312" s="425" t="str">
        <f t="shared" si="66"/>
        <v>2018-19</v>
      </c>
      <c r="W312" s="426" t="str">
        <f t="shared" si="66"/>
        <v>2019-20</v>
      </c>
      <c r="X312" s="422" t="str">
        <f t="shared" si="66"/>
        <v>2014-15</v>
      </c>
      <c r="Y312" s="424" t="str">
        <f t="shared" si="66"/>
        <v>2015-16</v>
      </c>
      <c r="Z312" s="425" t="str">
        <f t="shared" si="66"/>
        <v>2016-17</v>
      </c>
      <c r="AA312" s="425" t="str">
        <f t="shared" si="66"/>
        <v>2017-18</v>
      </c>
      <c r="AB312" s="425" t="str">
        <f t="shared" si="66"/>
        <v>2018-19</v>
      </c>
      <c r="AC312" s="426" t="str">
        <f t="shared" si="66"/>
        <v>2019-20</v>
      </c>
      <c r="AD312" s="431" t="str">
        <f t="shared" si="66"/>
        <v>2014-15</v>
      </c>
      <c r="AE312" s="424" t="str">
        <f t="shared" si="66"/>
        <v>2015-16</v>
      </c>
      <c r="AF312" s="425" t="str">
        <f t="shared" si="66"/>
        <v>2016-17</v>
      </c>
      <c r="AG312" s="425" t="str">
        <f t="shared" si="66"/>
        <v>2017-18</v>
      </c>
      <c r="AH312" s="425" t="str">
        <f t="shared" si="66"/>
        <v>2018-19</v>
      </c>
      <c r="AI312" s="426" t="str">
        <f t="shared" si="66"/>
        <v>2019-20</v>
      </c>
      <c r="AJ312" s="431" t="str">
        <f t="shared" si="66"/>
        <v>2014-15</v>
      </c>
      <c r="AK312" s="424" t="str">
        <f t="shared" si="66"/>
        <v>2015-16</v>
      </c>
      <c r="AL312" s="425" t="str">
        <f t="shared" si="66"/>
        <v>2016-17</v>
      </c>
      <c r="AM312" s="425" t="str">
        <f t="shared" si="66"/>
        <v>2017-18</v>
      </c>
      <c r="AN312" s="425" t="str">
        <f t="shared" si="66"/>
        <v>2018-19</v>
      </c>
      <c r="AO312" s="426" t="str">
        <f t="shared" si="66"/>
        <v>2019-20</v>
      </c>
      <c r="AP312" s="431" t="str">
        <f t="shared" si="66"/>
        <v>2014-15</v>
      </c>
      <c r="AQ312" s="424" t="str">
        <f t="shared" si="66"/>
        <v>2015-16</v>
      </c>
      <c r="AR312" s="425" t="str">
        <f t="shared" ref="AR312:BM312" si="67">AL312</f>
        <v>2016-17</v>
      </c>
      <c r="AS312" s="425" t="str">
        <f t="shared" si="67"/>
        <v>2017-18</v>
      </c>
      <c r="AT312" s="425" t="str">
        <f t="shared" si="67"/>
        <v>2018-19</v>
      </c>
      <c r="AU312" s="426" t="str">
        <f t="shared" si="67"/>
        <v>2019-20</v>
      </c>
      <c r="AV312" s="422" t="str">
        <f t="shared" si="67"/>
        <v>2014-15</v>
      </c>
      <c r="AW312" s="424" t="str">
        <f t="shared" si="67"/>
        <v>2015-16</v>
      </c>
      <c r="AX312" s="425" t="str">
        <f t="shared" si="67"/>
        <v>2016-17</v>
      </c>
      <c r="AY312" s="425" t="str">
        <f t="shared" si="67"/>
        <v>2017-18</v>
      </c>
      <c r="AZ312" s="425" t="str">
        <f t="shared" si="67"/>
        <v>2018-19</v>
      </c>
      <c r="BA312" s="426" t="str">
        <f t="shared" si="67"/>
        <v>2019-20</v>
      </c>
      <c r="BB312" s="422" t="str">
        <f t="shared" si="67"/>
        <v>2014-15</v>
      </c>
      <c r="BC312" s="424" t="str">
        <f t="shared" si="67"/>
        <v>2015-16</v>
      </c>
      <c r="BD312" s="425" t="str">
        <f t="shared" si="67"/>
        <v>2016-17</v>
      </c>
      <c r="BE312" s="425" t="str">
        <f t="shared" si="67"/>
        <v>2017-18</v>
      </c>
      <c r="BF312" s="425" t="str">
        <f t="shared" si="67"/>
        <v>2018-19</v>
      </c>
      <c r="BG312" s="426" t="str">
        <f t="shared" si="67"/>
        <v>2019-20</v>
      </c>
      <c r="BH312" s="422" t="str">
        <f t="shared" si="67"/>
        <v>2014-15</v>
      </c>
      <c r="BI312" s="424" t="str">
        <f t="shared" si="67"/>
        <v>2015-16</v>
      </c>
      <c r="BJ312" s="425" t="str">
        <f t="shared" si="67"/>
        <v>2016-17</v>
      </c>
      <c r="BK312" s="425" t="str">
        <f t="shared" si="67"/>
        <v>2017-18</v>
      </c>
      <c r="BL312" s="425" t="str">
        <f t="shared" si="67"/>
        <v>2018-19</v>
      </c>
      <c r="BM312" s="426" t="str">
        <f t="shared" si="67"/>
        <v>2019-20</v>
      </c>
      <c r="BN312" s="23"/>
      <c r="BO312" s="23"/>
    </row>
    <row r="313" spans="1:67" s="216" customFormat="1" hidden="1" outlineLevel="1">
      <c r="A313" s="23"/>
      <c r="B313" s="23"/>
      <c r="C313" s="23"/>
      <c r="D313" s="23"/>
      <c r="E313" s="75" t="str">
        <f t="shared" ref="E313:E338" si="68">E279</f>
        <v>Residential A</v>
      </c>
      <c r="F313" s="432">
        <f>K279</f>
        <v>441632.32128000003</v>
      </c>
      <c r="G313" s="429">
        <v>450464.96770560002</v>
      </c>
      <c r="H313" s="429">
        <v>459474.26705971203</v>
      </c>
      <c r="I313" s="429">
        <v>468663.75240090629</v>
      </c>
      <c r="J313" s="429">
        <v>478037.02744892443</v>
      </c>
      <c r="K313" s="430">
        <v>487597.76799790293</v>
      </c>
      <c r="L313" s="432">
        <f>Q279</f>
        <v>980159361.27897608</v>
      </c>
      <c r="M313" s="429">
        <v>976238723.83386016</v>
      </c>
      <c r="N313" s="429">
        <v>972333768.93852472</v>
      </c>
      <c r="O313" s="429">
        <v>968444433.86277068</v>
      </c>
      <c r="P313" s="429">
        <v>964570656.12731957</v>
      </c>
      <c r="Q313" s="429">
        <v>960712373.50281024</v>
      </c>
      <c r="R313" s="432">
        <f>W279</f>
        <v>0</v>
      </c>
      <c r="S313" s="429">
        <v>0</v>
      </c>
      <c r="T313" s="429">
        <v>0</v>
      </c>
      <c r="U313" s="429">
        <v>0</v>
      </c>
      <c r="V313" s="429">
        <v>0</v>
      </c>
      <c r="W313" s="429">
        <v>0</v>
      </c>
      <c r="X313" s="432">
        <f>AC279</f>
        <v>0</v>
      </c>
      <c r="Y313" s="429">
        <v>0</v>
      </c>
      <c r="Z313" s="429">
        <v>0</v>
      </c>
      <c r="AA313" s="429">
        <v>0</v>
      </c>
      <c r="AB313" s="429">
        <v>0</v>
      </c>
      <c r="AC313" s="429">
        <v>0</v>
      </c>
      <c r="AD313" s="432">
        <f>AI279</f>
        <v>0</v>
      </c>
      <c r="AE313" s="429">
        <v>0</v>
      </c>
      <c r="AF313" s="429">
        <v>0</v>
      </c>
      <c r="AG313" s="429">
        <v>0</v>
      </c>
      <c r="AH313" s="429">
        <v>0</v>
      </c>
      <c r="AI313" s="429">
        <v>0</v>
      </c>
      <c r="AJ313" s="434">
        <f>AO279</f>
        <v>0</v>
      </c>
      <c r="AK313" s="429">
        <v>0</v>
      </c>
      <c r="AL313" s="429">
        <v>0</v>
      </c>
      <c r="AM313" s="429">
        <v>0</v>
      </c>
      <c r="AN313" s="429">
        <v>0</v>
      </c>
      <c r="AO313" s="429">
        <v>0</v>
      </c>
      <c r="AP313" s="432">
        <f>AU279</f>
        <v>0</v>
      </c>
      <c r="AQ313" s="429">
        <v>0</v>
      </c>
      <c r="AR313" s="429">
        <v>0</v>
      </c>
      <c r="AS313" s="429">
        <v>0</v>
      </c>
      <c r="AT313" s="429">
        <v>0</v>
      </c>
      <c r="AU313" s="429">
        <v>0</v>
      </c>
      <c r="AV313" s="432">
        <f>BA279</f>
        <v>0</v>
      </c>
      <c r="AW313" s="429">
        <v>0</v>
      </c>
      <c r="AX313" s="429">
        <v>0</v>
      </c>
      <c r="AY313" s="429">
        <v>0</v>
      </c>
      <c r="AZ313" s="429">
        <v>0</v>
      </c>
      <c r="BA313" s="429">
        <v>0</v>
      </c>
      <c r="BB313" s="432">
        <f>BG279</f>
        <v>0</v>
      </c>
      <c r="BC313" s="429">
        <v>0</v>
      </c>
      <c r="BD313" s="429">
        <v>0</v>
      </c>
      <c r="BE313" s="429">
        <v>0</v>
      </c>
      <c r="BF313" s="429">
        <v>0</v>
      </c>
      <c r="BG313" s="429">
        <v>0</v>
      </c>
      <c r="BH313" s="432">
        <f>BM279</f>
        <v>0</v>
      </c>
      <c r="BI313" s="429">
        <v>0</v>
      </c>
      <c r="BJ313" s="429">
        <v>0</v>
      </c>
      <c r="BK313" s="429">
        <v>0</v>
      </c>
      <c r="BL313" s="429">
        <v>0</v>
      </c>
      <c r="BM313" s="428">
        <v>0</v>
      </c>
      <c r="BN313" s="215"/>
      <c r="BO313" s="215"/>
    </row>
    <row r="314" spans="1:67" s="217" customFormat="1" hidden="1" outlineLevel="1">
      <c r="A314" s="23"/>
      <c r="B314" s="23"/>
      <c r="C314" s="23"/>
      <c r="D314" s="23"/>
      <c r="E314" s="75" t="str">
        <f t="shared" si="68"/>
        <v>Residential B</v>
      </c>
      <c r="F314" s="433">
        <f t="shared" ref="F314:F338" si="69">K280</f>
        <v>110408.08032000001</v>
      </c>
      <c r="G314" s="429">
        <v>112616.24192640001</v>
      </c>
      <c r="H314" s="429">
        <v>114868.56676492801</v>
      </c>
      <c r="I314" s="429">
        <v>117165.93810022657</v>
      </c>
      <c r="J314" s="429">
        <v>119509.25686223111</v>
      </c>
      <c r="K314" s="430">
        <v>121899.44199947573</v>
      </c>
      <c r="L314" s="433">
        <f t="shared" ref="L314:L338" si="70">Q280</f>
        <v>0</v>
      </c>
      <c r="M314" s="429">
        <v>0</v>
      </c>
      <c r="N314" s="429">
        <v>0</v>
      </c>
      <c r="O314" s="429">
        <v>0</v>
      </c>
      <c r="P314" s="429">
        <v>0</v>
      </c>
      <c r="Q314" s="429">
        <v>0</v>
      </c>
      <c r="R314" s="433">
        <f t="shared" ref="R314:R338" si="71">W280</f>
        <v>4950199.6003998397</v>
      </c>
      <c r="S314" s="429">
        <v>4940299.2011990398</v>
      </c>
      <c r="T314" s="429">
        <v>4930418.6027966421</v>
      </c>
      <c r="U314" s="429">
        <v>4920557.7655910486</v>
      </c>
      <c r="V314" s="429">
        <v>4910716.6500598667</v>
      </c>
      <c r="W314" s="429">
        <v>4900895.2167597469</v>
      </c>
      <c r="X314" s="433">
        <f t="shared" ref="X314:X338" si="72">AC280</f>
        <v>2475099.8001999198</v>
      </c>
      <c r="Y314" s="429">
        <v>2470149.6005995199</v>
      </c>
      <c r="Z314" s="429">
        <v>2465209.3013983211</v>
      </c>
      <c r="AA314" s="429">
        <v>2460278.8827955243</v>
      </c>
      <c r="AB314" s="429">
        <v>2455358.3250299334</v>
      </c>
      <c r="AC314" s="429">
        <v>2450447.6083798734</v>
      </c>
      <c r="AD314" s="433">
        <f t="shared" ref="AD314:AD338" si="73">AI280</f>
        <v>990039.92007996805</v>
      </c>
      <c r="AE314" s="429">
        <v>988059.84023980808</v>
      </c>
      <c r="AF314" s="429">
        <v>986083.72055932845</v>
      </c>
      <c r="AG314" s="429">
        <v>984111.55311820982</v>
      </c>
      <c r="AH314" s="429">
        <v>982143.33001197339</v>
      </c>
      <c r="AI314" s="429">
        <v>980179.04335194943</v>
      </c>
      <c r="AJ314" s="434">
        <f t="shared" ref="AJ314:AJ338" si="74">AO280</f>
        <v>495019.96003998403</v>
      </c>
      <c r="AK314" s="429">
        <v>494029.92011990404</v>
      </c>
      <c r="AL314" s="429">
        <v>493041.86027966422</v>
      </c>
      <c r="AM314" s="429">
        <v>492055.77655910491</v>
      </c>
      <c r="AN314" s="429">
        <v>491071.6650059867</v>
      </c>
      <c r="AO314" s="429">
        <v>490089.52167597471</v>
      </c>
      <c r="AP314" s="433">
        <f t="shared" ref="AP314:AP338" si="75">AU280</f>
        <v>11040.808031999999</v>
      </c>
      <c r="AQ314" s="429">
        <v>11261.62419264</v>
      </c>
      <c r="AR314" s="429">
        <v>11486.8566764928</v>
      </c>
      <c r="AS314" s="429">
        <v>11716.593810022656</v>
      </c>
      <c r="AT314" s="429">
        <v>11950.925686223109</v>
      </c>
      <c r="AU314" s="429">
        <v>12189.944199947571</v>
      </c>
      <c r="AV314" s="433">
        <f t="shared" ref="AV314:AV338" si="76">BA280</f>
        <v>2208.1616064</v>
      </c>
      <c r="AW314" s="429">
        <v>2252.3248385279999</v>
      </c>
      <c r="AX314" s="429">
        <v>2297.3713352985601</v>
      </c>
      <c r="AY314" s="429">
        <v>2343.3187620045314</v>
      </c>
      <c r="AZ314" s="429">
        <v>2390.1851372446222</v>
      </c>
      <c r="BA314" s="429">
        <v>2437.9888399895149</v>
      </c>
      <c r="BB314" s="433">
        <f t="shared" ref="BB314:BB338" si="77">BG280</f>
        <v>5520.4040159999995</v>
      </c>
      <c r="BC314" s="429">
        <v>5630.8120963199999</v>
      </c>
      <c r="BD314" s="429">
        <v>5743.4283382464</v>
      </c>
      <c r="BE314" s="429">
        <v>5858.2969050113279</v>
      </c>
      <c r="BF314" s="429">
        <v>5975.4628431115543</v>
      </c>
      <c r="BG314" s="429">
        <v>6094.9720999737856</v>
      </c>
      <c r="BH314" s="433">
        <f t="shared" ref="BH314:BH338" si="78">BM280</f>
        <v>220.81616064000002</v>
      </c>
      <c r="BI314" s="429">
        <v>225.23248385280002</v>
      </c>
      <c r="BJ314" s="429">
        <v>229.73713352985601</v>
      </c>
      <c r="BK314" s="429">
        <v>234.33187620045314</v>
      </c>
      <c r="BL314" s="429">
        <v>239.0185137244622</v>
      </c>
      <c r="BM314" s="430">
        <v>243.79888399895145</v>
      </c>
      <c r="BN314" s="215"/>
      <c r="BO314" s="215"/>
    </row>
    <row r="315" spans="1:67" s="218" customFormat="1" hidden="1" outlineLevel="1">
      <c r="A315" s="23"/>
      <c r="B315" s="23"/>
      <c r="C315" s="23"/>
      <c r="D315" s="23"/>
      <c r="E315" s="75" t="str">
        <f t="shared" si="68"/>
        <v>Residential C</v>
      </c>
      <c r="F315" s="433">
        <f t="shared" si="69"/>
        <v>110408.08032000001</v>
      </c>
      <c r="G315" s="429">
        <v>112616.24192640001</v>
      </c>
      <c r="H315" s="429">
        <v>114868.56676492801</v>
      </c>
      <c r="I315" s="429">
        <v>117165.93810022657</v>
      </c>
      <c r="J315" s="429">
        <v>119509.25686223111</v>
      </c>
      <c r="K315" s="430">
        <v>121899.44199947573</v>
      </c>
      <c r="L315" s="433">
        <f t="shared" si="70"/>
        <v>0</v>
      </c>
      <c r="M315" s="429">
        <v>0</v>
      </c>
      <c r="N315" s="429">
        <v>0</v>
      </c>
      <c r="O315" s="429">
        <v>0</v>
      </c>
      <c r="P315" s="429">
        <v>0</v>
      </c>
      <c r="Q315" s="429">
        <v>0</v>
      </c>
      <c r="R315" s="433">
        <f t="shared" si="71"/>
        <v>5000000</v>
      </c>
      <c r="S315" s="429">
        <v>5000000</v>
      </c>
      <c r="T315" s="429">
        <v>5000000</v>
      </c>
      <c r="U315" s="429">
        <v>5000000</v>
      </c>
      <c r="V315" s="429">
        <v>5000000</v>
      </c>
      <c r="W315" s="429">
        <v>5000000</v>
      </c>
      <c r="X315" s="433">
        <f t="shared" si="72"/>
        <v>2500000</v>
      </c>
      <c r="Y315" s="429">
        <v>2500000</v>
      </c>
      <c r="Z315" s="429">
        <v>2500000</v>
      </c>
      <c r="AA315" s="429">
        <v>2500000</v>
      </c>
      <c r="AB315" s="429">
        <v>2500000</v>
      </c>
      <c r="AC315" s="429">
        <v>2500000</v>
      </c>
      <c r="AD315" s="433">
        <f t="shared" si="73"/>
        <v>1000000</v>
      </c>
      <c r="AE315" s="429">
        <v>1000000</v>
      </c>
      <c r="AF315" s="429">
        <v>1000000</v>
      </c>
      <c r="AG315" s="429">
        <v>1000000</v>
      </c>
      <c r="AH315" s="429">
        <v>1000000</v>
      </c>
      <c r="AI315" s="429">
        <v>1000000</v>
      </c>
      <c r="AJ315" s="434">
        <f t="shared" si="74"/>
        <v>500000</v>
      </c>
      <c r="AK315" s="429">
        <v>500000</v>
      </c>
      <c r="AL315" s="429">
        <v>500000</v>
      </c>
      <c r="AM315" s="429">
        <v>500000</v>
      </c>
      <c r="AN315" s="429">
        <v>500000</v>
      </c>
      <c r="AO315" s="429">
        <v>500000</v>
      </c>
      <c r="AP315" s="433">
        <f t="shared" si="75"/>
        <v>11040.808031999999</v>
      </c>
      <c r="AQ315" s="429">
        <v>11261.62419264</v>
      </c>
      <c r="AR315" s="429">
        <v>11486.8566764928</v>
      </c>
      <c r="AS315" s="429">
        <v>11716.593810022656</v>
      </c>
      <c r="AT315" s="429">
        <v>11950.925686223109</v>
      </c>
      <c r="AU315" s="429">
        <v>12189.944199947571</v>
      </c>
      <c r="AV315" s="433">
        <f t="shared" si="76"/>
        <v>2208.1616064</v>
      </c>
      <c r="AW315" s="429">
        <v>2252.3248385279999</v>
      </c>
      <c r="AX315" s="429">
        <v>2297.3713352985601</v>
      </c>
      <c r="AY315" s="429">
        <v>2343.3187620045314</v>
      </c>
      <c r="AZ315" s="429">
        <v>2390.1851372446222</v>
      </c>
      <c r="BA315" s="429">
        <v>2437.9888399895149</v>
      </c>
      <c r="BB315" s="433">
        <f t="shared" si="77"/>
        <v>5520.4040159999995</v>
      </c>
      <c r="BC315" s="429">
        <v>5630.8120963199999</v>
      </c>
      <c r="BD315" s="429">
        <v>5743.4283382464</v>
      </c>
      <c r="BE315" s="429">
        <v>5858.2969050113279</v>
      </c>
      <c r="BF315" s="429">
        <v>5975.4628431115543</v>
      </c>
      <c r="BG315" s="429">
        <v>6094.9720999737856</v>
      </c>
      <c r="BH315" s="433">
        <f t="shared" si="78"/>
        <v>220.81616064000002</v>
      </c>
      <c r="BI315" s="429">
        <v>225.23248385280002</v>
      </c>
      <c r="BJ315" s="429">
        <v>229.73713352985601</v>
      </c>
      <c r="BK315" s="429">
        <v>234.33187620045314</v>
      </c>
      <c r="BL315" s="429">
        <v>239.0185137244622</v>
      </c>
      <c r="BM315" s="430">
        <v>243.79888399895145</v>
      </c>
      <c r="BN315" s="215"/>
      <c r="BO315" s="215"/>
    </row>
    <row r="316" spans="1:67" s="218" customFormat="1" hidden="1" outlineLevel="1">
      <c r="A316" s="23"/>
      <c r="B316" s="23"/>
      <c r="C316" s="23"/>
      <c r="D316" s="23"/>
      <c r="E316" s="75" t="str">
        <f t="shared" si="68"/>
        <v>Small Business A</v>
      </c>
      <c r="F316" s="433">
        <f t="shared" si="69"/>
        <v>22081.616063999998</v>
      </c>
      <c r="G316" s="429">
        <v>22523.24838528</v>
      </c>
      <c r="H316" s="429">
        <v>22973.7133529856</v>
      </c>
      <c r="I316" s="429">
        <v>23433.187620045312</v>
      </c>
      <c r="J316" s="429">
        <v>23901.851372446217</v>
      </c>
      <c r="K316" s="430">
        <v>24379.888399895142</v>
      </c>
      <c r="L316" s="433">
        <f t="shared" si="70"/>
        <v>0</v>
      </c>
      <c r="M316" s="429">
        <v>0</v>
      </c>
      <c r="N316" s="429">
        <v>0</v>
      </c>
      <c r="O316" s="429">
        <v>0</v>
      </c>
      <c r="P316" s="429">
        <v>0</v>
      </c>
      <c r="Q316" s="429">
        <v>0</v>
      </c>
      <c r="R316" s="433">
        <f t="shared" si="71"/>
        <v>5520404.0159999998</v>
      </c>
      <c r="S316" s="429">
        <v>5630812.0963199995</v>
      </c>
      <c r="T316" s="429">
        <v>5743428.3382463995</v>
      </c>
      <c r="U316" s="429">
        <v>5858296.9050113279</v>
      </c>
      <c r="V316" s="429">
        <v>5975462.8431115542</v>
      </c>
      <c r="W316" s="429">
        <v>6094972.0999737857</v>
      </c>
      <c r="X316" s="433">
        <f t="shared" si="72"/>
        <v>2760202.0079999999</v>
      </c>
      <c r="Y316" s="429">
        <v>2815406.0481599998</v>
      </c>
      <c r="Z316" s="429">
        <v>2871714.1691231998</v>
      </c>
      <c r="AA316" s="429">
        <v>2929148.452505664</v>
      </c>
      <c r="AB316" s="429">
        <v>2987731.4215557771</v>
      </c>
      <c r="AC316" s="429">
        <v>3047486.0499868928</v>
      </c>
      <c r="AD316" s="433">
        <f t="shared" si="73"/>
        <v>1104080.8032</v>
      </c>
      <c r="AE316" s="429">
        <v>1126162.4192639999</v>
      </c>
      <c r="AF316" s="429">
        <v>1148685.6676492798</v>
      </c>
      <c r="AG316" s="429">
        <v>1171659.3810022655</v>
      </c>
      <c r="AH316" s="429">
        <v>1195092.5686223109</v>
      </c>
      <c r="AI316" s="429">
        <v>1218994.419994757</v>
      </c>
      <c r="AJ316" s="434">
        <f t="shared" si="74"/>
        <v>552040.40159999998</v>
      </c>
      <c r="AK316" s="429">
        <v>563081.20963199995</v>
      </c>
      <c r="AL316" s="429">
        <v>574342.83382463991</v>
      </c>
      <c r="AM316" s="429">
        <v>585829.69050113275</v>
      </c>
      <c r="AN316" s="429">
        <v>597546.28431115544</v>
      </c>
      <c r="AO316" s="429">
        <v>609497.20999737852</v>
      </c>
      <c r="AP316" s="433">
        <f t="shared" si="75"/>
        <v>11040.808031999999</v>
      </c>
      <c r="AQ316" s="429">
        <v>11261.62419264</v>
      </c>
      <c r="AR316" s="429">
        <v>11486.8566764928</v>
      </c>
      <c r="AS316" s="429">
        <v>11716.593810022656</v>
      </c>
      <c r="AT316" s="429">
        <v>11950.925686223109</v>
      </c>
      <c r="AU316" s="429">
        <v>12189.944199947571</v>
      </c>
      <c r="AV316" s="433">
        <f t="shared" si="76"/>
        <v>2208.1616064</v>
      </c>
      <c r="AW316" s="429">
        <v>2252.3248385279999</v>
      </c>
      <c r="AX316" s="429">
        <v>2297.3713352985601</v>
      </c>
      <c r="AY316" s="429">
        <v>2343.3187620045314</v>
      </c>
      <c r="AZ316" s="429">
        <v>2390.1851372446222</v>
      </c>
      <c r="BA316" s="429">
        <v>2437.9888399895149</v>
      </c>
      <c r="BB316" s="433">
        <f t="shared" si="77"/>
        <v>5520.4040159999995</v>
      </c>
      <c r="BC316" s="429">
        <v>5630.8120963199999</v>
      </c>
      <c r="BD316" s="429">
        <v>5743.4283382464</v>
      </c>
      <c r="BE316" s="429">
        <v>5858.2969050113279</v>
      </c>
      <c r="BF316" s="429">
        <v>5975.4628431115543</v>
      </c>
      <c r="BG316" s="429">
        <v>6094.9720999737856</v>
      </c>
      <c r="BH316" s="433">
        <f t="shared" si="78"/>
        <v>220.81616064000002</v>
      </c>
      <c r="BI316" s="429">
        <v>225.23248385280002</v>
      </c>
      <c r="BJ316" s="429">
        <v>229.73713352985601</v>
      </c>
      <c r="BK316" s="429">
        <v>234.33187620045314</v>
      </c>
      <c r="BL316" s="429">
        <v>239.0185137244622</v>
      </c>
      <c r="BM316" s="430">
        <v>243.79888399895145</v>
      </c>
      <c r="BN316" s="215"/>
      <c r="BO316" s="215"/>
    </row>
    <row r="317" spans="1:67" s="218" customFormat="1" hidden="1" outlineLevel="1">
      <c r="A317" s="23"/>
      <c r="B317" s="23"/>
      <c r="C317" s="23"/>
      <c r="D317" s="23"/>
      <c r="E317" s="75" t="str">
        <f t="shared" si="68"/>
        <v>Small Business B</v>
      </c>
      <c r="F317" s="433">
        <f t="shared" si="69"/>
        <v>22081.616063999998</v>
      </c>
      <c r="G317" s="429">
        <v>22523.24838528</v>
      </c>
      <c r="H317" s="429">
        <v>22973.7133529856</v>
      </c>
      <c r="I317" s="429">
        <v>23433.187620045312</v>
      </c>
      <c r="J317" s="429">
        <v>23901.851372446217</v>
      </c>
      <c r="K317" s="430">
        <v>24379.888399895142</v>
      </c>
      <c r="L317" s="433">
        <f t="shared" si="70"/>
        <v>0</v>
      </c>
      <c r="M317" s="429">
        <v>0</v>
      </c>
      <c r="N317" s="429">
        <v>0</v>
      </c>
      <c r="O317" s="429">
        <v>0</v>
      </c>
      <c r="P317" s="429">
        <v>0</v>
      </c>
      <c r="Q317" s="429">
        <v>0</v>
      </c>
      <c r="R317" s="433">
        <f t="shared" si="71"/>
        <v>5520404.0159999998</v>
      </c>
      <c r="S317" s="429">
        <v>5630812.0963199995</v>
      </c>
      <c r="T317" s="429">
        <v>5743428.3382463995</v>
      </c>
      <c r="U317" s="429">
        <v>5858296.9050113279</v>
      </c>
      <c r="V317" s="429">
        <v>5975462.8431115542</v>
      </c>
      <c r="W317" s="429">
        <v>6094972.0999737857</v>
      </c>
      <c r="X317" s="433">
        <f t="shared" si="72"/>
        <v>2760202.0079999999</v>
      </c>
      <c r="Y317" s="429">
        <v>2815406.0481599998</v>
      </c>
      <c r="Z317" s="429">
        <v>2871714.1691231998</v>
      </c>
      <c r="AA317" s="429">
        <v>2929148.452505664</v>
      </c>
      <c r="AB317" s="429">
        <v>2987731.4215557771</v>
      </c>
      <c r="AC317" s="429">
        <v>3047486.0499868928</v>
      </c>
      <c r="AD317" s="433">
        <f t="shared" si="73"/>
        <v>1104080.8032</v>
      </c>
      <c r="AE317" s="429">
        <v>1126162.4192639999</v>
      </c>
      <c r="AF317" s="429">
        <v>1148685.6676492798</v>
      </c>
      <c r="AG317" s="429">
        <v>1171659.3810022655</v>
      </c>
      <c r="AH317" s="429">
        <v>1195092.5686223109</v>
      </c>
      <c r="AI317" s="429">
        <v>1218994.419994757</v>
      </c>
      <c r="AJ317" s="434">
        <f t="shared" si="74"/>
        <v>552040.40159999998</v>
      </c>
      <c r="AK317" s="429">
        <v>563081.20963199995</v>
      </c>
      <c r="AL317" s="429">
        <v>574342.83382463991</v>
      </c>
      <c r="AM317" s="429">
        <v>585829.69050113275</v>
      </c>
      <c r="AN317" s="429">
        <v>597546.28431115544</v>
      </c>
      <c r="AO317" s="429">
        <v>609497.20999737852</v>
      </c>
      <c r="AP317" s="433">
        <f t="shared" si="75"/>
        <v>11040.808031999999</v>
      </c>
      <c r="AQ317" s="429">
        <v>11261.62419264</v>
      </c>
      <c r="AR317" s="429">
        <v>11486.8566764928</v>
      </c>
      <c r="AS317" s="429">
        <v>11716.593810022656</v>
      </c>
      <c r="AT317" s="429">
        <v>11950.925686223109</v>
      </c>
      <c r="AU317" s="429">
        <v>12189.944199947571</v>
      </c>
      <c r="AV317" s="433">
        <f t="shared" si="76"/>
        <v>2208.1616064</v>
      </c>
      <c r="AW317" s="429">
        <v>2252.3248385279999</v>
      </c>
      <c r="AX317" s="429">
        <v>2297.3713352985601</v>
      </c>
      <c r="AY317" s="429">
        <v>2343.3187620045314</v>
      </c>
      <c r="AZ317" s="429">
        <v>2390.1851372446222</v>
      </c>
      <c r="BA317" s="429">
        <v>2437.9888399895149</v>
      </c>
      <c r="BB317" s="433">
        <f t="shared" si="77"/>
        <v>5520.4040159999995</v>
      </c>
      <c r="BC317" s="429">
        <v>5630.8120963199999</v>
      </c>
      <c r="BD317" s="429">
        <v>5743.4283382464</v>
      </c>
      <c r="BE317" s="429">
        <v>5858.2969050113279</v>
      </c>
      <c r="BF317" s="429">
        <v>5975.4628431115543</v>
      </c>
      <c r="BG317" s="429">
        <v>6094.9720999737856</v>
      </c>
      <c r="BH317" s="433">
        <f t="shared" si="78"/>
        <v>220.81616064000002</v>
      </c>
      <c r="BI317" s="429">
        <v>225.23248385280002</v>
      </c>
      <c r="BJ317" s="429">
        <v>229.73713352985601</v>
      </c>
      <c r="BK317" s="429">
        <v>234.33187620045314</v>
      </c>
      <c r="BL317" s="429">
        <v>239.0185137244622</v>
      </c>
      <c r="BM317" s="430">
        <v>243.79888399895145</v>
      </c>
      <c r="BN317" s="215"/>
      <c r="BO317" s="215"/>
    </row>
    <row r="318" spans="1:67" s="218" customFormat="1" hidden="1" outlineLevel="1">
      <c r="A318" s="23"/>
      <c r="B318" s="23"/>
      <c r="C318" s="23"/>
      <c r="D318" s="23"/>
      <c r="E318" s="75" t="str">
        <f t="shared" si="68"/>
        <v>Small Business C</v>
      </c>
      <c r="F318" s="433">
        <f t="shared" si="69"/>
        <v>22081.616063999998</v>
      </c>
      <c r="G318" s="429">
        <v>22523.24838528</v>
      </c>
      <c r="H318" s="429">
        <v>22973.7133529856</v>
      </c>
      <c r="I318" s="429">
        <v>23433.187620045312</v>
      </c>
      <c r="J318" s="429">
        <v>23901.851372446217</v>
      </c>
      <c r="K318" s="430">
        <v>24379.888399895142</v>
      </c>
      <c r="L318" s="433">
        <f t="shared" si="70"/>
        <v>0</v>
      </c>
      <c r="M318" s="429">
        <v>0</v>
      </c>
      <c r="N318" s="429">
        <v>0</v>
      </c>
      <c r="O318" s="429">
        <v>0</v>
      </c>
      <c r="P318" s="429">
        <v>0</v>
      </c>
      <c r="Q318" s="429">
        <v>0</v>
      </c>
      <c r="R318" s="433">
        <f t="shared" si="71"/>
        <v>5520404.0159999998</v>
      </c>
      <c r="S318" s="429">
        <v>5630812.0963199995</v>
      </c>
      <c r="T318" s="429">
        <v>5743428.3382463995</v>
      </c>
      <c r="U318" s="429">
        <v>5858296.9050113279</v>
      </c>
      <c r="V318" s="429">
        <v>5975462.8431115542</v>
      </c>
      <c r="W318" s="429">
        <v>6094972.0999737857</v>
      </c>
      <c r="X318" s="433">
        <f t="shared" si="72"/>
        <v>2760202.0079999999</v>
      </c>
      <c r="Y318" s="429">
        <v>2815406.0481599998</v>
      </c>
      <c r="Z318" s="429">
        <v>2871714.1691231998</v>
      </c>
      <c r="AA318" s="429">
        <v>2929148.452505664</v>
      </c>
      <c r="AB318" s="429">
        <v>2987731.4215557771</v>
      </c>
      <c r="AC318" s="429">
        <v>3047486.0499868928</v>
      </c>
      <c r="AD318" s="433">
        <f t="shared" si="73"/>
        <v>1104080.8032</v>
      </c>
      <c r="AE318" s="429">
        <v>1126162.4192639999</v>
      </c>
      <c r="AF318" s="429">
        <v>1148685.6676492798</v>
      </c>
      <c r="AG318" s="429">
        <v>1171659.3810022655</v>
      </c>
      <c r="AH318" s="429">
        <v>1195092.5686223109</v>
      </c>
      <c r="AI318" s="429">
        <v>1218994.419994757</v>
      </c>
      <c r="AJ318" s="434">
        <f t="shared" si="74"/>
        <v>552040.40159999998</v>
      </c>
      <c r="AK318" s="429">
        <v>563081.20963199995</v>
      </c>
      <c r="AL318" s="429">
        <v>574342.83382463991</v>
      </c>
      <c r="AM318" s="429">
        <v>585829.69050113275</v>
      </c>
      <c r="AN318" s="429">
        <v>597546.28431115544</v>
      </c>
      <c r="AO318" s="429">
        <v>609497.20999737852</v>
      </c>
      <c r="AP318" s="433">
        <f t="shared" si="75"/>
        <v>11040.808031999999</v>
      </c>
      <c r="AQ318" s="429">
        <v>11261.62419264</v>
      </c>
      <c r="AR318" s="429">
        <v>11486.8566764928</v>
      </c>
      <c r="AS318" s="429">
        <v>11716.593810022656</v>
      </c>
      <c r="AT318" s="429">
        <v>11950.925686223109</v>
      </c>
      <c r="AU318" s="429">
        <v>12189.944199947571</v>
      </c>
      <c r="AV318" s="433">
        <f t="shared" si="76"/>
        <v>2208.1616064</v>
      </c>
      <c r="AW318" s="429">
        <v>2252.3248385279999</v>
      </c>
      <c r="AX318" s="429">
        <v>2297.3713352985601</v>
      </c>
      <c r="AY318" s="429">
        <v>2343.3187620045314</v>
      </c>
      <c r="AZ318" s="429">
        <v>2390.1851372446222</v>
      </c>
      <c r="BA318" s="429">
        <v>2437.9888399895149</v>
      </c>
      <c r="BB318" s="433">
        <f t="shared" si="77"/>
        <v>5520.4040159999995</v>
      </c>
      <c r="BC318" s="429">
        <v>5630.8120963199999</v>
      </c>
      <c r="BD318" s="429">
        <v>5743.4283382464</v>
      </c>
      <c r="BE318" s="429">
        <v>5858.2969050113279</v>
      </c>
      <c r="BF318" s="429">
        <v>5975.4628431115543</v>
      </c>
      <c r="BG318" s="429">
        <v>6094.9720999737856</v>
      </c>
      <c r="BH318" s="433">
        <f t="shared" si="78"/>
        <v>220.81616064000002</v>
      </c>
      <c r="BI318" s="429">
        <v>225.23248385280002</v>
      </c>
      <c r="BJ318" s="429">
        <v>229.73713352985601</v>
      </c>
      <c r="BK318" s="429">
        <v>234.33187620045314</v>
      </c>
      <c r="BL318" s="429">
        <v>239.0185137244622</v>
      </c>
      <c r="BM318" s="430">
        <v>243.79888399895145</v>
      </c>
      <c r="BN318" s="215"/>
      <c r="BO318" s="215"/>
    </row>
    <row r="319" spans="1:67" s="219" customFormat="1" hidden="1" outlineLevel="1">
      <c r="A319" s="23"/>
      <c r="B319" s="23"/>
      <c r="C319" s="23"/>
      <c r="D319" s="23"/>
      <c r="E319" s="75" t="str">
        <f t="shared" si="68"/>
        <v>Large Business A</v>
      </c>
      <c r="F319" s="433">
        <f t="shared" si="69"/>
        <v>11040.808031999999</v>
      </c>
      <c r="G319" s="429">
        <v>11261.62419264</v>
      </c>
      <c r="H319" s="429">
        <v>11486.8566764928</v>
      </c>
      <c r="I319" s="429">
        <v>11716.593810022656</v>
      </c>
      <c r="J319" s="429">
        <v>11950.925686223109</v>
      </c>
      <c r="K319" s="430">
        <v>12189.944199947571</v>
      </c>
      <c r="L319" s="433">
        <f t="shared" si="70"/>
        <v>0</v>
      </c>
      <c r="M319" s="429">
        <v>0</v>
      </c>
      <c r="N319" s="429">
        <v>0</v>
      </c>
      <c r="O319" s="429">
        <v>0</v>
      </c>
      <c r="P319" s="429">
        <v>0</v>
      </c>
      <c r="Q319" s="429">
        <v>0</v>
      </c>
      <c r="R319" s="433">
        <f t="shared" si="71"/>
        <v>5520404.0159999998</v>
      </c>
      <c r="S319" s="429">
        <v>5630812.0963199995</v>
      </c>
      <c r="T319" s="429">
        <v>5743428.3382463995</v>
      </c>
      <c r="U319" s="429">
        <v>5858296.9050113279</v>
      </c>
      <c r="V319" s="429">
        <v>5975462.8431115542</v>
      </c>
      <c r="W319" s="429">
        <v>6094972.0999737857</v>
      </c>
      <c r="X319" s="433">
        <f t="shared" si="72"/>
        <v>2760202.0079999999</v>
      </c>
      <c r="Y319" s="429">
        <v>2815406.0481599998</v>
      </c>
      <c r="Z319" s="429">
        <v>2871714.1691231998</v>
      </c>
      <c r="AA319" s="429">
        <v>2929148.452505664</v>
      </c>
      <c r="AB319" s="429">
        <v>2987731.4215557771</v>
      </c>
      <c r="AC319" s="429">
        <v>3047486.0499868928</v>
      </c>
      <c r="AD319" s="433">
        <f t="shared" si="73"/>
        <v>1104080.8032</v>
      </c>
      <c r="AE319" s="429">
        <v>1126162.4192639999</v>
      </c>
      <c r="AF319" s="429">
        <v>1148685.6676492798</v>
      </c>
      <c r="AG319" s="429">
        <v>1171659.3810022655</v>
      </c>
      <c r="AH319" s="429">
        <v>1195092.5686223109</v>
      </c>
      <c r="AI319" s="429">
        <v>1218994.419994757</v>
      </c>
      <c r="AJ319" s="434">
        <f t="shared" si="74"/>
        <v>552040.40159999998</v>
      </c>
      <c r="AK319" s="429">
        <v>563081.20963199995</v>
      </c>
      <c r="AL319" s="429">
        <v>574342.83382463991</v>
      </c>
      <c r="AM319" s="429">
        <v>585829.69050113275</v>
      </c>
      <c r="AN319" s="429">
        <v>597546.28431115544</v>
      </c>
      <c r="AO319" s="429">
        <v>609497.20999737852</v>
      </c>
      <c r="AP319" s="433">
        <f t="shared" si="75"/>
        <v>11040.808031999999</v>
      </c>
      <c r="AQ319" s="429">
        <v>11261.62419264</v>
      </c>
      <c r="AR319" s="429">
        <v>11486.8566764928</v>
      </c>
      <c r="AS319" s="429">
        <v>11716.593810022656</v>
      </c>
      <c r="AT319" s="429">
        <v>11950.925686223109</v>
      </c>
      <c r="AU319" s="429">
        <v>12189.944199947571</v>
      </c>
      <c r="AV319" s="433">
        <f t="shared" si="76"/>
        <v>2208.1616064</v>
      </c>
      <c r="AW319" s="429">
        <v>2252.3248385279999</v>
      </c>
      <c r="AX319" s="429">
        <v>2297.3713352985601</v>
      </c>
      <c r="AY319" s="429">
        <v>2343.3187620045314</v>
      </c>
      <c r="AZ319" s="429">
        <v>2390.1851372446222</v>
      </c>
      <c r="BA319" s="429">
        <v>2437.9888399895149</v>
      </c>
      <c r="BB319" s="433">
        <f t="shared" si="77"/>
        <v>5520.4040159999995</v>
      </c>
      <c r="BC319" s="429">
        <v>5630.8120963199999</v>
      </c>
      <c r="BD319" s="429">
        <v>5743.4283382464</v>
      </c>
      <c r="BE319" s="429">
        <v>5858.2969050113279</v>
      </c>
      <c r="BF319" s="429">
        <v>5975.4628431115543</v>
      </c>
      <c r="BG319" s="429">
        <v>6094.9720999737856</v>
      </c>
      <c r="BH319" s="433">
        <f t="shared" si="78"/>
        <v>220.81616064000002</v>
      </c>
      <c r="BI319" s="429">
        <v>225.23248385280002</v>
      </c>
      <c r="BJ319" s="429">
        <v>229.73713352985601</v>
      </c>
      <c r="BK319" s="429">
        <v>234.33187620045314</v>
      </c>
      <c r="BL319" s="429">
        <v>239.0185137244622</v>
      </c>
      <c r="BM319" s="430">
        <v>243.79888399895145</v>
      </c>
      <c r="BN319" s="215"/>
      <c r="BO319" s="215"/>
    </row>
    <row r="320" spans="1:67" s="219" customFormat="1" hidden="1" outlineLevel="1">
      <c r="A320" s="23"/>
      <c r="B320" s="23"/>
      <c r="C320" s="23"/>
      <c r="D320" s="23"/>
      <c r="E320" s="75" t="str">
        <f t="shared" si="68"/>
        <v>Large Business B</v>
      </c>
      <c r="F320" s="433">
        <f t="shared" si="69"/>
        <v>11040.808031999999</v>
      </c>
      <c r="G320" s="429">
        <v>11261.62419264</v>
      </c>
      <c r="H320" s="429">
        <v>11486.8566764928</v>
      </c>
      <c r="I320" s="429">
        <v>11716.593810022656</v>
      </c>
      <c r="J320" s="429">
        <v>11950.925686223109</v>
      </c>
      <c r="K320" s="430">
        <v>12189.944199947571</v>
      </c>
      <c r="L320" s="433">
        <f t="shared" si="70"/>
        <v>0</v>
      </c>
      <c r="M320" s="429">
        <v>0</v>
      </c>
      <c r="N320" s="429">
        <v>0</v>
      </c>
      <c r="O320" s="429">
        <v>0</v>
      </c>
      <c r="P320" s="429">
        <v>0</v>
      </c>
      <c r="Q320" s="429">
        <v>0</v>
      </c>
      <c r="R320" s="433">
        <f t="shared" si="71"/>
        <v>5520404.0159999998</v>
      </c>
      <c r="S320" s="429">
        <v>5630812.0963199995</v>
      </c>
      <c r="T320" s="429">
        <v>5743428.3382463995</v>
      </c>
      <c r="U320" s="429">
        <v>5858296.9050113279</v>
      </c>
      <c r="V320" s="429">
        <v>5975462.8431115542</v>
      </c>
      <c r="W320" s="429">
        <v>6094972.0999737857</v>
      </c>
      <c r="X320" s="433">
        <f t="shared" si="72"/>
        <v>2760202.0079999999</v>
      </c>
      <c r="Y320" s="429">
        <v>2815406.0481599998</v>
      </c>
      <c r="Z320" s="429">
        <v>2871714.1691231998</v>
      </c>
      <c r="AA320" s="429">
        <v>2929148.452505664</v>
      </c>
      <c r="AB320" s="429">
        <v>2987731.4215557771</v>
      </c>
      <c r="AC320" s="429">
        <v>3047486.0499868928</v>
      </c>
      <c r="AD320" s="433">
        <f t="shared" si="73"/>
        <v>1104080.8032</v>
      </c>
      <c r="AE320" s="429">
        <v>1126162.4192639999</v>
      </c>
      <c r="AF320" s="429">
        <v>1148685.6676492798</v>
      </c>
      <c r="AG320" s="429">
        <v>1171659.3810022655</v>
      </c>
      <c r="AH320" s="429">
        <v>1195092.5686223109</v>
      </c>
      <c r="AI320" s="429">
        <v>1218994.419994757</v>
      </c>
      <c r="AJ320" s="434">
        <f t="shared" si="74"/>
        <v>552040.40159999998</v>
      </c>
      <c r="AK320" s="429">
        <v>563081.20963199995</v>
      </c>
      <c r="AL320" s="429">
        <v>574342.83382463991</v>
      </c>
      <c r="AM320" s="429">
        <v>585829.69050113275</v>
      </c>
      <c r="AN320" s="429">
        <v>597546.28431115544</v>
      </c>
      <c r="AO320" s="429">
        <v>609497.20999737852</v>
      </c>
      <c r="AP320" s="433">
        <f t="shared" si="75"/>
        <v>11040.808031999999</v>
      </c>
      <c r="AQ320" s="429">
        <v>11261.62419264</v>
      </c>
      <c r="AR320" s="429">
        <v>11486.8566764928</v>
      </c>
      <c r="AS320" s="429">
        <v>11716.593810022656</v>
      </c>
      <c r="AT320" s="429">
        <v>11950.925686223109</v>
      </c>
      <c r="AU320" s="429">
        <v>12189.944199947571</v>
      </c>
      <c r="AV320" s="433">
        <f t="shared" si="76"/>
        <v>2208.1616064</v>
      </c>
      <c r="AW320" s="429">
        <v>2252.3248385279999</v>
      </c>
      <c r="AX320" s="429">
        <v>2297.3713352985601</v>
      </c>
      <c r="AY320" s="429">
        <v>2343.3187620045314</v>
      </c>
      <c r="AZ320" s="429">
        <v>2390.1851372446222</v>
      </c>
      <c r="BA320" s="429">
        <v>2437.9888399895149</v>
      </c>
      <c r="BB320" s="433">
        <f t="shared" si="77"/>
        <v>5520.4040159999995</v>
      </c>
      <c r="BC320" s="429">
        <v>5630.8120963199999</v>
      </c>
      <c r="BD320" s="429">
        <v>5743.4283382464</v>
      </c>
      <c r="BE320" s="429">
        <v>5858.2969050113279</v>
      </c>
      <c r="BF320" s="429">
        <v>5975.4628431115543</v>
      </c>
      <c r="BG320" s="429">
        <v>6094.9720999737856</v>
      </c>
      <c r="BH320" s="433">
        <f t="shared" si="78"/>
        <v>220.81616064000002</v>
      </c>
      <c r="BI320" s="429">
        <v>225.23248385280002</v>
      </c>
      <c r="BJ320" s="429">
        <v>229.73713352985601</v>
      </c>
      <c r="BK320" s="429">
        <v>234.33187620045314</v>
      </c>
      <c r="BL320" s="429">
        <v>239.0185137244622</v>
      </c>
      <c r="BM320" s="430">
        <v>243.79888399895145</v>
      </c>
      <c r="BN320" s="215"/>
      <c r="BO320" s="215"/>
    </row>
    <row r="321" spans="1:67" s="219" customFormat="1" hidden="1" outlineLevel="1">
      <c r="A321" s="23"/>
      <c r="B321" s="23"/>
      <c r="C321" s="23"/>
      <c r="D321" s="23"/>
      <c r="E321" s="75" t="str">
        <f t="shared" si="68"/>
        <v>Large Business C</v>
      </c>
      <c r="F321" s="433">
        <f t="shared" si="69"/>
        <v>11040.808031999999</v>
      </c>
      <c r="G321" s="429">
        <v>11261.62419264</v>
      </c>
      <c r="H321" s="429">
        <v>11486.8566764928</v>
      </c>
      <c r="I321" s="429">
        <v>11716.593810022656</v>
      </c>
      <c r="J321" s="429">
        <v>11950.925686223109</v>
      </c>
      <c r="K321" s="430">
        <v>12189.944199947571</v>
      </c>
      <c r="L321" s="433">
        <f t="shared" si="70"/>
        <v>0</v>
      </c>
      <c r="M321" s="429">
        <v>0</v>
      </c>
      <c r="N321" s="429">
        <v>0</v>
      </c>
      <c r="O321" s="429">
        <v>0</v>
      </c>
      <c r="P321" s="429">
        <v>0</v>
      </c>
      <c r="Q321" s="429">
        <v>0</v>
      </c>
      <c r="R321" s="433">
        <f t="shared" si="71"/>
        <v>5520404.0159999998</v>
      </c>
      <c r="S321" s="429">
        <v>5630812.0963199995</v>
      </c>
      <c r="T321" s="429">
        <v>5743428.3382463995</v>
      </c>
      <c r="U321" s="429">
        <v>5858296.9050113279</v>
      </c>
      <c r="V321" s="429">
        <v>5975462.8431115542</v>
      </c>
      <c r="W321" s="429">
        <v>6094972.0999737857</v>
      </c>
      <c r="X321" s="433">
        <f t="shared" si="72"/>
        <v>2760202.0079999999</v>
      </c>
      <c r="Y321" s="429">
        <v>2815406.0481599998</v>
      </c>
      <c r="Z321" s="429">
        <v>2871714.1691231998</v>
      </c>
      <c r="AA321" s="429">
        <v>2929148.452505664</v>
      </c>
      <c r="AB321" s="429">
        <v>2987731.4215557771</v>
      </c>
      <c r="AC321" s="429">
        <v>3047486.0499868928</v>
      </c>
      <c r="AD321" s="433">
        <f t="shared" si="73"/>
        <v>1104080.8032</v>
      </c>
      <c r="AE321" s="429">
        <v>1126162.4192639999</v>
      </c>
      <c r="AF321" s="429">
        <v>1148685.6676492798</v>
      </c>
      <c r="AG321" s="429">
        <v>1171659.3810022655</v>
      </c>
      <c r="AH321" s="429">
        <v>1195092.5686223109</v>
      </c>
      <c r="AI321" s="429">
        <v>1218994.419994757</v>
      </c>
      <c r="AJ321" s="434">
        <f t="shared" si="74"/>
        <v>552040.40159999998</v>
      </c>
      <c r="AK321" s="429">
        <v>563081.20963199995</v>
      </c>
      <c r="AL321" s="429">
        <v>574342.83382463991</v>
      </c>
      <c r="AM321" s="429">
        <v>585829.69050113275</v>
      </c>
      <c r="AN321" s="429">
        <v>597546.28431115544</v>
      </c>
      <c r="AO321" s="429">
        <v>609497.20999737852</v>
      </c>
      <c r="AP321" s="433">
        <f t="shared" si="75"/>
        <v>11040.808031999999</v>
      </c>
      <c r="AQ321" s="429">
        <v>11261.62419264</v>
      </c>
      <c r="AR321" s="429">
        <v>11486.8566764928</v>
      </c>
      <c r="AS321" s="429">
        <v>11716.593810022656</v>
      </c>
      <c r="AT321" s="429">
        <v>11950.925686223109</v>
      </c>
      <c r="AU321" s="429">
        <v>12189.944199947571</v>
      </c>
      <c r="AV321" s="433">
        <f t="shared" si="76"/>
        <v>2208.1616064</v>
      </c>
      <c r="AW321" s="429">
        <v>2252.3248385279999</v>
      </c>
      <c r="AX321" s="429">
        <v>2297.3713352985601</v>
      </c>
      <c r="AY321" s="429">
        <v>2343.3187620045314</v>
      </c>
      <c r="AZ321" s="429">
        <v>2390.1851372446222</v>
      </c>
      <c r="BA321" s="429">
        <v>2437.9888399895149</v>
      </c>
      <c r="BB321" s="433">
        <f t="shared" si="77"/>
        <v>5520.4040159999995</v>
      </c>
      <c r="BC321" s="429">
        <v>5630.8120963199999</v>
      </c>
      <c r="BD321" s="429">
        <v>5743.4283382464</v>
      </c>
      <c r="BE321" s="429">
        <v>5858.2969050113279</v>
      </c>
      <c r="BF321" s="429">
        <v>5975.4628431115543</v>
      </c>
      <c r="BG321" s="429">
        <v>6094.9720999737856</v>
      </c>
      <c r="BH321" s="433">
        <f t="shared" si="78"/>
        <v>220.81616064000002</v>
      </c>
      <c r="BI321" s="429">
        <v>225.23248385280002</v>
      </c>
      <c r="BJ321" s="429">
        <v>229.73713352985601</v>
      </c>
      <c r="BK321" s="429">
        <v>234.33187620045314</v>
      </c>
      <c r="BL321" s="429">
        <v>239.0185137244622</v>
      </c>
      <c r="BM321" s="430">
        <v>243.79888399895145</v>
      </c>
      <c r="BN321" s="215"/>
      <c r="BO321" s="215"/>
    </row>
    <row r="322" spans="1:67" s="219" customFormat="1" hidden="1" outlineLevel="1">
      <c r="A322" s="23"/>
      <c r="B322" s="23"/>
      <c r="C322" s="23"/>
      <c r="D322" s="23"/>
      <c r="E322" s="75">
        <f t="shared" si="68"/>
        <v>0</v>
      </c>
      <c r="F322" s="433">
        <f t="shared" si="69"/>
        <v>0</v>
      </c>
      <c r="G322" s="429"/>
      <c r="H322" s="429"/>
      <c r="I322" s="429"/>
      <c r="J322" s="429"/>
      <c r="K322" s="430"/>
      <c r="L322" s="433">
        <f t="shared" si="70"/>
        <v>0</v>
      </c>
      <c r="M322" s="429"/>
      <c r="N322" s="429"/>
      <c r="O322" s="429"/>
      <c r="P322" s="429"/>
      <c r="Q322" s="429"/>
      <c r="R322" s="433">
        <f t="shared" si="71"/>
        <v>0</v>
      </c>
      <c r="S322" s="429"/>
      <c r="T322" s="429"/>
      <c r="U322" s="429"/>
      <c r="V322" s="429"/>
      <c r="W322" s="429"/>
      <c r="X322" s="433">
        <f t="shared" si="72"/>
        <v>0</v>
      </c>
      <c r="Y322" s="429"/>
      <c r="Z322" s="429"/>
      <c r="AA322" s="429"/>
      <c r="AB322" s="429"/>
      <c r="AC322" s="429"/>
      <c r="AD322" s="433">
        <f t="shared" si="73"/>
        <v>0</v>
      </c>
      <c r="AE322" s="429"/>
      <c r="AF322" s="429"/>
      <c r="AG322" s="429"/>
      <c r="AH322" s="429"/>
      <c r="AI322" s="429"/>
      <c r="AJ322" s="434">
        <f t="shared" si="74"/>
        <v>0</v>
      </c>
      <c r="AK322" s="429"/>
      <c r="AL322" s="429"/>
      <c r="AM322" s="429"/>
      <c r="AN322" s="429"/>
      <c r="AO322" s="429"/>
      <c r="AP322" s="433">
        <f t="shared" si="75"/>
        <v>0</v>
      </c>
      <c r="AQ322" s="429"/>
      <c r="AR322" s="429"/>
      <c r="AS322" s="429"/>
      <c r="AT322" s="429"/>
      <c r="AU322" s="429"/>
      <c r="AV322" s="433">
        <f t="shared" si="76"/>
        <v>0</v>
      </c>
      <c r="AW322" s="429"/>
      <c r="AX322" s="429"/>
      <c r="AY322" s="429"/>
      <c r="AZ322" s="429"/>
      <c r="BA322" s="429"/>
      <c r="BB322" s="433">
        <f t="shared" si="77"/>
        <v>0</v>
      </c>
      <c r="BC322" s="429"/>
      <c r="BD322" s="429"/>
      <c r="BE322" s="429"/>
      <c r="BF322" s="429"/>
      <c r="BG322" s="429"/>
      <c r="BH322" s="433">
        <f t="shared" si="78"/>
        <v>0</v>
      </c>
      <c r="BI322" s="429"/>
      <c r="BJ322" s="429"/>
      <c r="BK322" s="429"/>
      <c r="BL322" s="429"/>
      <c r="BM322" s="430"/>
      <c r="BN322" s="215"/>
      <c r="BO322" s="215"/>
    </row>
    <row r="323" spans="1:67" s="219" customFormat="1" hidden="1" outlineLevel="1">
      <c r="A323" s="23"/>
      <c r="B323" s="23"/>
      <c r="C323" s="23"/>
      <c r="D323" s="23"/>
      <c r="E323" s="75">
        <f t="shared" si="68"/>
        <v>0</v>
      </c>
      <c r="F323" s="433">
        <f t="shared" si="69"/>
        <v>0</v>
      </c>
      <c r="G323" s="429"/>
      <c r="H323" s="429"/>
      <c r="I323" s="429"/>
      <c r="J323" s="429"/>
      <c r="K323" s="430"/>
      <c r="L323" s="433">
        <f t="shared" si="70"/>
        <v>0</v>
      </c>
      <c r="M323" s="429"/>
      <c r="N323" s="429"/>
      <c r="O323" s="429"/>
      <c r="P323" s="429"/>
      <c r="Q323" s="429"/>
      <c r="R323" s="433">
        <f t="shared" si="71"/>
        <v>0</v>
      </c>
      <c r="S323" s="429"/>
      <c r="T323" s="429"/>
      <c r="U323" s="429"/>
      <c r="V323" s="429"/>
      <c r="W323" s="429"/>
      <c r="X323" s="433">
        <f t="shared" si="72"/>
        <v>0</v>
      </c>
      <c r="Y323" s="429"/>
      <c r="Z323" s="429"/>
      <c r="AA323" s="429"/>
      <c r="AB323" s="429"/>
      <c r="AC323" s="429"/>
      <c r="AD323" s="433">
        <f t="shared" si="73"/>
        <v>0</v>
      </c>
      <c r="AE323" s="429"/>
      <c r="AF323" s="429"/>
      <c r="AG323" s="429"/>
      <c r="AH323" s="429"/>
      <c r="AI323" s="429"/>
      <c r="AJ323" s="434">
        <f t="shared" si="74"/>
        <v>0</v>
      </c>
      <c r="AK323" s="429"/>
      <c r="AL323" s="429"/>
      <c r="AM323" s="429"/>
      <c r="AN323" s="429"/>
      <c r="AO323" s="429"/>
      <c r="AP323" s="433">
        <f t="shared" si="75"/>
        <v>0</v>
      </c>
      <c r="AQ323" s="429"/>
      <c r="AR323" s="429"/>
      <c r="AS323" s="429"/>
      <c r="AT323" s="429"/>
      <c r="AU323" s="429"/>
      <c r="AV323" s="433">
        <f t="shared" si="76"/>
        <v>0</v>
      </c>
      <c r="AW323" s="429"/>
      <c r="AX323" s="429"/>
      <c r="AY323" s="429"/>
      <c r="AZ323" s="429"/>
      <c r="BA323" s="429"/>
      <c r="BB323" s="433">
        <f t="shared" si="77"/>
        <v>0</v>
      </c>
      <c r="BC323" s="429"/>
      <c r="BD323" s="429"/>
      <c r="BE323" s="429"/>
      <c r="BF323" s="429"/>
      <c r="BG323" s="429"/>
      <c r="BH323" s="433">
        <f t="shared" si="78"/>
        <v>0</v>
      </c>
      <c r="BI323" s="429"/>
      <c r="BJ323" s="429"/>
      <c r="BK323" s="429"/>
      <c r="BL323" s="429"/>
      <c r="BM323" s="430"/>
      <c r="BN323" s="215"/>
      <c r="BO323" s="215"/>
    </row>
    <row r="324" spans="1:67" s="220" customFormat="1" hidden="1" outlineLevel="1">
      <c r="A324" s="23"/>
      <c r="B324" s="23"/>
      <c r="C324" s="23"/>
      <c r="D324" s="23"/>
      <c r="E324" s="75">
        <f t="shared" si="68"/>
        <v>0</v>
      </c>
      <c r="F324" s="433">
        <f t="shared" si="69"/>
        <v>0</v>
      </c>
      <c r="G324" s="429"/>
      <c r="H324" s="429"/>
      <c r="I324" s="429"/>
      <c r="J324" s="429"/>
      <c r="K324" s="430"/>
      <c r="L324" s="433">
        <f t="shared" si="70"/>
        <v>0</v>
      </c>
      <c r="M324" s="429"/>
      <c r="N324" s="429"/>
      <c r="O324" s="429"/>
      <c r="P324" s="429"/>
      <c r="Q324" s="429"/>
      <c r="R324" s="433">
        <f t="shared" si="71"/>
        <v>0</v>
      </c>
      <c r="S324" s="429"/>
      <c r="T324" s="429"/>
      <c r="U324" s="429"/>
      <c r="V324" s="429"/>
      <c r="W324" s="429"/>
      <c r="X324" s="433">
        <f t="shared" si="72"/>
        <v>0</v>
      </c>
      <c r="Y324" s="429"/>
      <c r="Z324" s="429"/>
      <c r="AA324" s="429"/>
      <c r="AB324" s="429"/>
      <c r="AC324" s="429"/>
      <c r="AD324" s="433">
        <f t="shared" si="73"/>
        <v>0</v>
      </c>
      <c r="AE324" s="429"/>
      <c r="AF324" s="429"/>
      <c r="AG324" s="429"/>
      <c r="AH324" s="429"/>
      <c r="AI324" s="429"/>
      <c r="AJ324" s="434">
        <f t="shared" si="74"/>
        <v>0</v>
      </c>
      <c r="AK324" s="429"/>
      <c r="AL324" s="429"/>
      <c r="AM324" s="429"/>
      <c r="AN324" s="429"/>
      <c r="AO324" s="429"/>
      <c r="AP324" s="433">
        <f t="shared" si="75"/>
        <v>0</v>
      </c>
      <c r="AQ324" s="429"/>
      <c r="AR324" s="429"/>
      <c r="AS324" s="429"/>
      <c r="AT324" s="429"/>
      <c r="AU324" s="429"/>
      <c r="AV324" s="433">
        <f t="shared" si="76"/>
        <v>0</v>
      </c>
      <c r="AW324" s="429"/>
      <c r="AX324" s="429"/>
      <c r="AY324" s="429"/>
      <c r="AZ324" s="429"/>
      <c r="BA324" s="429"/>
      <c r="BB324" s="433">
        <f t="shared" si="77"/>
        <v>0</v>
      </c>
      <c r="BC324" s="429"/>
      <c r="BD324" s="429"/>
      <c r="BE324" s="429"/>
      <c r="BF324" s="429"/>
      <c r="BG324" s="429"/>
      <c r="BH324" s="433">
        <f t="shared" si="78"/>
        <v>0</v>
      </c>
      <c r="BI324" s="429"/>
      <c r="BJ324" s="429"/>
      <c r="BK324" s="429"/>
      <c r="BL324" s="429"/>
      <c r="BM324" s="430"/>
      <c r="BN324" s="215"/>
      <c r="BO324" s="215"/>
    </row>
    <row r="325" spans="1:67" s="220" customFormat="1" hidden="1" outlineLevel="1">
      <c r="A325" s="23"/>
      <c r="B325" s="23"/>
      <c r="C325" s="23"/>
      <c r="D325" s="23"/>
      <c r="E325" s="75">
        <f t="shared" si="68"/>
        <v>0</v>
      </c>
      <c r="F325" s="433">
        <f t="shared" si="69"/>
        <v>0</v>
      </c>
      <c r="G325" s="429"/>
      <c r="H325" s="429"/>
      <c r="I325" s="429"/>
      <c r="J325" s="429"/>
      <c r="K325" s="430"/>
      <c r="L325" s="433">
        <f t="shared" si="70"/>
        <v>0</v>
      </c>
      <c r="M325" s="429"/>
      <c r="N325" s="429"/>
      <c r="O325" s="429"/>
      <c r="P325" s="429"/>
      <c r="Q325" s="429"/>
      <c r="R325" s="433">
        <f t="shared" si="71"/>
        <v>0</v>
      </c>
      <c r="S325" s="429"/>
      <c r="T325" s="429"/>
      <c r="U325" s="429"/>
      <c r="V325" s="429"/>
      <c r="W325" s="429"/>
      <c r="X325" s="433">
        <f t="shared" si="72"/>
        <v>0</v>
      </c>
      <c r="Y325" s="429"/>
      <c r="Z325" s="429"/>
      <c r="AA325" s="429"/>
      <c r="AB325" s="429"/>
      <c r="AC325" s="429"/>
      <c r="AD325" s="433">
        <f t="shared" si="73"/>
        <v>0</v>
      </c>
      <c r="AE325" s="429"/>
      <c r="AF325" s="429"/>
      <c r="AG325" s="429"/>
      <c r="AH325" s="429"/>
      <c r="AI325" s="429"/>
      <c r="AJ325" s="434">
        <f t="shared" si="74"/>
        <v>0</v>
      </c>
      <c r="AK325" s="429"/>
      <c r="AL325" s="429"/>
      <c r="AM325" s="429"/>
      <c r="AN325" s="429"/>
      <c r="AO325" s="429"/>
      <c r="AP325" s="433">
        <f t="shared" si="75"/>
        <v>0</v>
      </c>
      <c r="AQ325" s="429"/>
      <c r="AR325" s="429"/>
      <c r="AS325" s="429"/>
      <c r="AT325" s="429"/>
      <c r="AU325" s="429"/>
      <c r="AV325" s="433">
        <f t="shared" si="76"/>
        <v>0</v>
      </c>
      <c r="AW325" s="429"/>
      <c r="AX325" s="429"/>
      <c r="AY325" s="429"/>
      <c r="AZ325" s="429"/>
      <c r="BA325" s="429"/>
      <c r="BB325" s="433">
        <f t="shared" si="77"/>
        <v>0</v>
      </c>
      <c r="BC325" s="429"/>
      <c r="BD325" s="429"/>
      <c r="BE325" s="429"/>
      <c r="BF325" s="429"/>
      <c r="BG325" s="429"/>
      <c r="BH325" s="433">
        <f t="shared" si="78"/>
        <v>0</v>
      </c>
      <c r="BI325" s="429"/>
      <c r="BJ325" s="429"/>
      <c r="BK325" s="429"/>
      <c r="BL325" s="429"/>
      <c r="BM325" s="430"/>
      <c r="BN325" s="215"/>
      <c r="BO325" s="215"/>
    </row>
    <row r="326" spans="1:67" s="220" customFormat="1" hidden="1" outlineLevel="1">
      <c r="A326" s="23"/>
      <c r="B326" s="23"/>
      <c r="C326" s="23"/>
      <c r="D326" s="23"/>
      <c r="E326" s="75">
        <f t="shared" si="68"/>
        <v>0</v>
      </c>
      <c r="F326" s="433">
        <f t="shared" si="69"/>
        <v>0</v>
      </c>
      <c r="G326" s="429"/>
      <c r="H326" s="429"/>
      <c r="I326" s="429"/>
      <c r="J326" s="429"/>
      <c r="K326" s="430"/>
      <c r="L326" s="433">
        <f t="shared" si="70"/>
        <v>0</v>
      </c>
      <c r="M326" s="429"/>
      <c r="N326" s="429"/>
      <c r="O326" s="429"/>
      <c r="P326" s="429"/>
      <c r="Q326" s="429"/>
      <c r="R326" s="433">
        <f t="shared" si="71"/>
        <v>0</v>
      </c>
      <c r="S326" s="429"/>
      <c r="T326" s="429"/>
      <c r="U326" s="429"/>
      <c r="V326" s="429"/>
      <c r="W326" s="429"/>
      <c r="X326" s="433">
        <f t="shared" si="72"/>
        <v>0</v>
      </c>
      <c r="Y326" s="429"/>
      <c r="Z326" s="429"/>
      <c r="AA326" s="429"/>
      <c r="AB326" s="429"/>
      <c r="AC326" s="429"/>
      <c r="AD326" s="433">
        <f t="shared" si="73"/>
        <v>0</v>
      </c>
      <c r="AE326" s="429"/>
      <c r="AF326" s="429"/>
      <c r="AG326" s="429"/>
      <c r="AH326" s="429"/>
      <c r="AI326" s="429"/>
      <c r="AJ326" s="434">
        <f t="shared" si="74"/>
        <v>0</v>
      </c>
      <c r="AK326" s="429"/>
      <c r="AL326" s="429"/>
      <c r="AM326" s="429"/>
      <c r="AN326" s="429"/>
      <c r="AO326" s="429"/>
      <c r="AP326" s="433">
        <f t="shared" si="75"/>
        <v>0</v>
      </c>
      <c r="AQ326" s="429"/>
      <c r="AR326" s="429"/>
      <c r="AS326" s="429"/>
      <c r="AT326" s="429"/>
      <c r="AU326" s="429"/>
      <c r="AV326" s="433">
        <f t="shared" si="76"/>
        <v>0</v>
      </c>
      <c r="AW326" s="429"/>
      <c r="AX326" s="429"/>
      <c r="AY326" s="429"/>
      <c r="AZ326" s="429"/>
      <c r="BA326" s="429"/>
      <c r="BB326" s="433">
        <f t="shared" si="77"/>
        <v>0</v>
      </c>
      <c r="BC326" s="429"/>
      <c r="BD326" s="429"/>
      <c r="BE326" s="429"/>
      <c r="BF326" s="429"/>
      <c r="BG326" s="429"/>
      <c r="BH326" s="433">
        <f t="shared" si="78"/>
        <v>0</v>
      </c>
      <c r="BI326" s="429"/>
      <c r="BJ326" s="429"/>
      <c r="BK326" s="429"/>
      <c r="BL326" s="429"/>
      <c r="BM326" s="430"/>
      <c r="BN326" s="215"/>
      <c r="BO326" s="215"/>
    </row>
    <row r="327" spans="1:67" s="220" customFormat="1" hidden="1" outlineLevel="1">
      <c r="A327" s="23"/>
      <c r="B327" s="23"/>
      <c r="C327" s="23"/>
      <c r="D327" s="23"/>
      <c r="E327" s="75">
        <f t="shared" si="68"/>
        <v>0</v>
      </c>
      <c r="F327" s="433">
        <f t="shared" si="69"/>
        <v>0</v>
      </c>
      <c r="G327" s="429"/>
      <c r="H327" s="429"/>
      <c r="I327" s="429"/>
      <c r="J327" s="429"/>
      <c r="K327" s="430"/>
      <c r="L327" s="433">
        <f t="shared" si="70"/>
        <v>0</v>
      </c>
      <c r="M327" s="429"/>
      <c r="N327" s="429"/>
      <c r="O327" s="429"/>
      <c r="P327" s="429"/>
      <c r="Q327" s="429"/>
      <c r="R327" s="433">
        <f t="shared" si="71"/>
        <v>0</v>
      </c>
      <c r="S327" s="429"/>
      <c r="T327" s="429"/>
      <c r="U327" s="429"/>
      <c r="V327" s="429"/>
      <c r="W327" s="429"/>
      <c r="X327" s="433">
        <f t="shared" si="72"/>
        <v>0</v>
      </c>
      <c r="Y327" s="429"/>
      <c r="Z327" s="429"/>
      <c r="AA327" s="429"/>
      <c r="AB327" s="429"/>
      <c r="AC327" s="429"/>
      <c r="AD327" s="433">
        <f t="shared" si="73"/>
        <v>0</v>
      </c>
      <c r="AE327" s="429"/>
      <c r="AF327" s="429"/>
      <c r="AG327" s="429"/>
      <c r="AH327" s="429"/>
      <c r="AI327" s="429"/>
      <c r="AJ327" s="434">
        <f t="shared" si="74"/>
        <v>0</v>
      </c>
      <c r="AK327" s="429"/>
      <c r="AL327" s="429"/>
      <c r="AM327" s="429"/>
      <c r="AN327" s="429"/>
      <c r="AO327" s="429"/>
      <c r="AP327" s="433">
        <f t="shared" si="75"/>
        <v>0</v>
      </c>
      <c r="AQ327" s="429"/>
      <c r="AR327" s="429"/>
      <c r="AS327" s="429"/>
      <c r="AT327" s="429"/>
      <c r="AU327" s="429"/>
      <c r="AV327" s="433">
        <f t="shared" si="76"/>
        <v>0</v>
      </c>
      <c r="AW327" s="429"/>
      <c r="AX327" s="429"/>
      <c r="AY327" s="429"/>
      <c r="AZ327" s="429"/>
      <c r="BA327" s="429"/>
      <c r="BB327" s="433">
        <f t="shared" si="77"/>
        <v>0</v>
      </c>
      <c r="BC327" s="429"/>
      <c r="BD327" s="429"/>
      <c r="BE327" s="429"/>
      <c r="BF327" s="429"/>
      <c r="BG327" s="429"/>
      <c r="BH327" s="433">
        <f t="shared" si="78"/>
        <v>0</v>
      </c>
      <c r="BI327" s="429"/>
      <c r="BJ327" s="429"/>
      <c r="BK327" s="429"/>
      <c r="BL327" s="429"/>
      <c r="BM327" s="430"/>
      <c r="BN327" s="215"/>
      <c r="BO327" s="215"/>
    </row>
    <row r="328" spans="1:67" s="220" customFormat="1" hidden="1" outlineLevel="1">
      <c r="A328" s="23"/>
      <c r="B328" s="23"/>
      <c r="C328" s="23"/>
      <c r="D328" s="23"/>
      <c r="E328" s="75">
        <f t="shared" si="68"/>
        <v>0</v>
      </c>
      <c r="F328" s="433">
        <f t="shared" si="69"/>
        <v>0</v>
      </c>
      <c r="G328" s="429"/>
      <c r="H328" s="429"/>
      <c r="I328" s="429"/>
      <c r="J328" s="429"/>
      <c r="K328" s="430"/>
      <c r="L328" s="433">
        <f t="shared" si="70"/>
        <v>0</v>
      </c>
      <c r="M328" s="429"/>
      <c r="N328" s="429"/>
      <c r="O328" s="429"/>
      <c r="P328" s="429"/>
      <c r="Q328" s="429"/>
      <c r="R328" s="433">
        <f t="shared" si="71"/>
        <v>0</v>
      </c>
      <c r="S328" s="429"/>
      <c r="T328" s="429"/>
      <c r="U328" s="429"/>
      <c r="V328" s="429"/>
      <c r="W328" s="429"/>
      <c r="X328" s="433">
        <f t="shared" si="72"/>
        <v>0</v>
      </c>
      <c r="Y328" s="429"/>
      <c r="Z328" s="429"/>
      <c r="AA328" s="429"/>
      <c r="AB328" s="429"/>
      <c r="AC328" s="429"/>
      <c r="AD328" s="433">
        <f t="shared" si="73"/>
        <v>0</v>
      </c>
      <c r="AE328" s="429"/>
      <c r="AF328" s="429"/>
      <c r="AG328" s="429"/>
      <c r="AH328" s="429"/>
      <c r="AI328" s="429"/>
      <c r="AJ328" s="434">
        <f t="shared" si="74"/>
        <v>0</v>
      </c>
      <c r="AK328" s="429"/>
      <c r="AL328" s="429"/>
      <c r="AM328" s="429"/>
      <c r="AN328" s="429"/>
      <c r="AO328" s="429"/>
      <c r="AP328" s="433">
        <f t="shared" si="75"/>
        <v>0</v>
      </c>
      <c r="AQ328" s="429"/>
      <c r="AR328" s="429"/>
      <c r="AS328" s="429"/>
      <c r="AT328" s="429"/>
      <c r="AU328" s="429"/>
      <c r="AV328" s="433">
        <f t="shared" si="76"/>
        <v>0</v>
      </c>
      <c r="AW328" s="429"/>
      <c r="AX328" s="429"/>
      <c r="AY328" s="429"/>
      <c r="AZ328" s="429"/>
      <c r="BA328" s="429"/>
      <c r="BB328" s="433">
        <f t="shared" si="77"/>
        <v>0</v>
      </c>
      <c r="BC328" s="429"/>
      <c r="BD328" s="429"/>
      <c r="BE328" s="429"/>
      <c r="BF328" s="429"/>
      <c r="BG328" s="429"/>
      <c r="BH328" s="433">
        <f t="shared" si="78"/>
        <v>0</v>
      </c>
      <c r="BI328" s="429"/>
      <c r="BJ328" s="429"/>
      <c r="BK328" s="429"/>
      <c r="BL328" s="429"/>
      <c r="BM328" s="430"/>
      <c r="BN328" s="215"/>
      <c r="BO328" s="215"/>
    </row>
    <row r="329" spans="1:67" s="220" customFormat="1" hidden="1" outlineLevel="1">
      <c r="A329" s="23"/>
      <c r="B329" s="23"/>
      <c r="C329" s="23"/>
      <c r="D329" s="23"/>
      <c r="E329" s="75">
        <f t="shared" si="68"/>
        <v>0</v>
      </c>
      <c r="F329" s="433">
        <f t="shared" si="69"/>
        <v>0</v>
      </c>
      <c r="G329" s="429"/>
      <c r="H329" s="429"/>
      <c r="I329" s="429"/>
      <c r="J329" s="429"/>
      <c r="K329" s="430"/>
      <c r="L329" s="433">
        <f t="shared" si="70"/>
        <v>0</v>
      </c>
      <c r="M329" s="429"/>
      <c r="N329" s="429"/>
      <c r="O329" s="429"/>
      <c r="P329" s="429"/>
      <c r="Q329" s="429"/>
      <c r="R329" s="433">
        <f t="shared" si="71"/>
        <v>0</v>
      </c>
      <c r="S329" s="429"/>
      <c r="T329" s="429"/>
      <c r="U329" s="429"/>
      <c r="V329" s="429"/>
      <c r="W329" s="429"/>
      <c r="X329" s="433">
        <f t="shared" si="72"/>
        <v>0</v>
      </c>
      <c r="Y329" s="429"/>
      <c r="Z329" s="429"/>
      <c r="AA329" s="429"/>
      <c r="AB329" s="429"/>
      <c r="AC329" s="429"/>
      <c r="AD329" s="433">
        <f t="shared" si="73"/>
        <v>0</v>
      </c>
      <c r="AE329" s="429"/>
      <c r="AF329" s="429"/>
      <c r="AG329" s="429"/>
      <c r="AH329" s="429"/>
      <c r="AI329" s="429"/>
      <c r="AJ329" s="434">
        <f t="shared" si="74"/>
        <v>0</v>
      </c>
      <c r="AK329" s="429"/>
      <c r="AL329" s="429"/>
      <c r="AM329" s="429"/>
      <c r="AN329" s="429"/>
      <c r="AO329" s="429"/>
      <c r="AP329" s="433">
        <f t="shared" si="75"/>
        <v>0</v>
      </c>
      <c r="AQ329" s="429"/>
      <c r="AR329" s="429"/>
      <c r="AS329" s="429"/>
      <c r="AT329" s="429"/>
      <c r="AU329" s="429"/>
      <c r="AV329" s="433">
        <f t="shared" si="76"/>
        <v>0</v>
      </c>
      <c r="AW329" s="429"/>
      <c r="AX329" s="429"/>
      <c r="AY329" s="429"/>
      <c r="AZ329" s="429"/>
      <c r="BA329" s="429"/>
      <c r="BB329" s="433">
        <f t="shared" si="77"/>
        <v>0</v>
      </c>
      <c r="BC329" s="429"/>
      <c r="BD329" s="429"/>
      <c r="BE329" s="429"/>
      <c r="BF329" s="429"/>
      <c r="BG329" s="429"/>
      <c r="BH329" s="433">
        <f t="shared" si="78"/>
        <v>0</v>
      </c>
      <c r="BI329" s="429"/>
      <c r="BJ329" s="429"/>
      <c r="BK329" s="429"/>
      <c r="BL329" s="429"/>
      <c r="BM329" s="430"/>
      <c r="BN329" s="215"/>
      <c r="BO329" s="215"/>
    </row>
    <row r="330" spans="1:67" s="220" customFormat="1" hidden="1" outlineLevel="1">
      <c r="A330" s="23"/>
      <c r="B330" s="23"/>
      <c r="C330" s="23"/>
      <c r="D330" s="23"/>
      <c r="E330" s="75">
        <f t="shared" si="68"/>
        <v>0</v>
      </c>
      <c r="F330" s="433">
        <f t="shared" si="69"/>
        <v>0</v>
      </c>
      <c r="G330" s="429"/>
      <c r="H330" s="429"/>
      <c r="I330" s="429"/>
      <c r="J330" s="429"/>
      <c r="K330" s="430"/>
      <c r="L330" s="433">
        <f t="shared" si="70"/>
        <v>0</v>
      </c>
      <c r="M330" s="429"/>
      <c r="N330" s="429"/>
      <c r="O330" s="429"/>
      <c r="P330" s="429"/>
      <c r="Q330" s="429"/>
      <c r="R330" s="433">
        <f t="shared" si="71"/>
        <v>0</v>
      </c>
      <c r="S330" s="429"/>
      <c r="T330" s="429"/>
      <c r="U330" s="429"/>
      <c r="V330" s="429"/>
      <c r="W330" s="429"/>
      <c r="X330" s="433">
        <f t="shared" si="72"/>
        <v>0</v>
      </c>
      <c r="Y330" s="429"/>
      <c r="Z330" s="429"/>
      <c r="AA330" s="429"/>
      <c r="AB330" s="429"/>
      <c r="AC330" s="429"/>
      <c r="AD330" s="433">
        <f t="shared" si="73"/>
        <v>0</v>
      </c>
      <c r="AE330" s="429"/>
      <c r="AF330" s="429"/>
      <c r="AG330" s="429"/>
      <c r="AH330" s="429"/>
      <c r="AI330" s="429"/>
      <c r="AJ330" s="434">
        <f t="shared" si="74"/>
        <v>0</v>
      </c>
      <c r="AK330" s="429"/>
      <c r="AL330" s="429"/>
      <c r="AM330" s="429"/>
      <c r="AN330" s="429"/>
      <c r="AO330" s="429"/>
      <c r="AP330" s="433">
        <f t="shared" si="75"/>
        <v>0</v>
      </c>
      <c r="AQ330" s="429"/>
      <c r="AR330" s="429"/>
      <c r="AS330" s="429"/>
      <c r="AT330" s="429"/>
      <c r="AU330" s="429"/>
      <c r="AV330" s="433">
        <f t="shared" si="76"/>
        <v>0</v>
      </c>
      <c r="AW330" s="429"/>
      <c r="AX330" s="429"/>
      <c r="AY330" s="429"/>
      <c r="AZ330" s="429"/>
      <c r="BA330" s="429"/>
      <c r="BB330" s="433">
        <f t="shared" si="77"/>
        <v>0</v>
      </c>
      <c r="BC330" s="429"/>
      <c r="BD330" s="429"/>
      <c r="BE330" s="429"/>
      <c r="BF330" s="429"/>
      <c r="BG330" s="429"/>
      <c r="BH330" s="433">
        <f t="shared" si="78"/>
        <v>0</v>
      </c>
      <c r="BI330" s="429"/>
      <c r="BJ330" s="429"/>
      <c r="BK330" s="429"/>
      <c r="BL330" s="429"/>
      <c r="BM330" s="430"/>
      <c r="BN330" s="215"/>
      <c r="BO330" s="215"/>
    </row>
    <row r="331" spans="1:67" s="220" customFormat="1" hidden="1" outlineLevel="1">
      <c r="A331" s="23"/>
      <c r="B331" s="23"/>
      <c r="C331" s="23"/>
      <c r="D331" s="23"/>
      <c r="E331" s="75">
        <f t="shared" si="68"/>
        <v>0</v>
      </c>
      <c r="F331" s="433">
        <f t="shared" si="69"/>
        <v>0</v>
      </c>
      <c r="G331" s="429"/>
      <c r="H331" s="429"/>
      <c r="I331" s="429"/>
      <c r="J331" s="429"/>
      <c r="K331" s="430"/>
      <c r="L331" s="433">
        <f t="shared" si="70"/>
        <v>0</v>
      </c>
      <c r="M331" s="429"/>
      <c r="N331" s="429"/>
      <c r="O331" s="429"/>
      <c r="P331" s="429"/>
      <c r="Q331" s="429"/>
      <c r="R331" s="433">
        <f t="shared" si="71"/>
        <v>0</v>
      </c>
      <c r="S331" s="429"/>
      <c r="T331" s="429"/>
      <c r="U331" s="429"/>
      <c r="V331" s="429"/>
      <c r="W331" s="429"/>
      <c r="X331" s="433">
        <f t="shared" si="72"/>
        <v>0</v>
      </c>
      <c r="Y331" s="429"/>
      <c r="Z331" s="429"/>
      <c r="AA331" s="429"/>
      <c r="AB331" s="429"/>
      <c r="AC331" s="429"/>
      <c r="AD331" s="433">
        <f t="shared" si="73"/>
        <v>0</v>
      </c>
      <c r="AE331" s="429"/>
      <c r="AF331" s="429"/>
      <c r="AG331" s="429"/>
      <c r="AH331" s="429"/>
      <c r="AI331" s="429"/>
      <c r="AJ331" s="434">
        <f t="shared" si="74"/>
        <v>0</v>
      </c>
      <c r="AK331" s="429"/>
      <c r="AL331" s="429"/>
      <c r="AM331" s="429"/>
      <c r="AN331" s="429"/>
      <c r="AO331" s="429"/>
      <c r="AP331" s="433">
        <f t="shared" si="75"/>
        <v>0</v>
      </c>
      <c r="AQ331" s="429"/>
      <c r="AR331" s="429"/>
      <c r="AS331" s="429"/>
      <c r="AT331" s="429"/>
      <c r="AU331" s="429"/>
      <c r="AV331" s="433">
        <f t="shared" si="76"/>
        <v>0</v>
      </c>
      <c r="AW331" s="429"/>
      <c r="AX331" s="429"/>
      <c r="AY331" s="429"/>
      <c r="AZ331" s="429"/>
      <c r="BA331" s="429"/>
      <c r="BB331" s="433">
        <f t="shared" si="77"/>
        <v>0</v>
      </c>
      <c r="BC331" s="429"/>
      <c r="BD331" s="429"/>
      <c r="BE331" s="429"/>
      <c r="BF331" s="429"/>
      <c r="BG331" s="429"/>
      <c r="BH331" s="433">
        <f t="shared" si="78"/>
        <v>0</v>
      </c>
      <c r="BI331" s="429"/>
      <c r="BJ331" s="429"/>
      <c r="BK331" s="429"/>
      <c r="BL331" s="429"/>
      <c r="BM331" s="430"/>
      <c r="BN331" s="215"/>
      <c r="BO331" s="215"/>
    </row>
    <row r="332" spans="1:67" s="220" customFormat="1" hidden="1" outlineLevel="1">
      <c r="A332" s="23"/>
      <c r="B332" s="23"/>
      <c r="C332" s="23"/>
      <c r="D332" s="23"/>
      <c r="E332" s="75">
        <f t="shared" si="68"/>
        <v>0</v>
      </c>
      <c r="F332" s="433">
        <f t="shared" si="69"/>
        <v>0</v>
      </c>
      <c r="G332" s="429"/>
      <c r="H332" s="429"/>
      <c r="I332" s="429"/>
      <c r="J332" s="429"/>
      <c r="K332" s="430"/>
      <c r="L332" s="433">
        <f t="shared" si="70"/>
        <v>0</v>
      </c>
      <c r="M332" s="429"/>
      <c r="N332" s="429"/>
      <c r="O332" s="429"/>
      <c r="P332" s="429"/>
      <c r="Q332" s="429"/>
      <c r="R332" s="433">
        <f t="shared" si="71"/>
        <v>0</v>
      </c>
      <c r="S332" s="429"/>
      <c r="T332" s="429"/>
      <c r="U332" s="429"/>
      <c r="V332" s="429"/>
      <c r="W332" s="429"/>
      <c r="X332" s="433">
        <f t="shared" si="72"/>
        <v>0</v>
      </c>
      <c r="Y332" s="429"/>
      <c r="Z332" s="429"/>
      <c r="AA332" s="429"/>
      <c r="AB332" s="429"/>
      <c r="AC332" s="429"/>
      <c r="AD332" s="433">
        <f t="shared" si="73"/>
        <v>0</v>
      </c>
      <c r="AE332" s="429"/>
      <c r="AF332" s="429"/>
      <c r="AG332" s="429"/>
      <c r="AH332" s="429"/>
      <c r="AI332" s="429"/>
      <c r="AJ332" s="434">
        <f t="shared" si="74"/>
        <v>0</v>
      </c>
      <c r="AK332" s="429"/>
      <c r="AL332" s="429"/>
      <c r="AM332" s="429"/>
      <c r="AN332" s="429"/>
      <c r="AO332" s="429"/>
      <c r="AP332" s="433">
        <f t="shared" si="75"/>
        <v>0</v>
      </c>
      <c r="AQ332" s="429"/>
      <c r="AR332" s="429"/>
      <c r="AS332" s="429"/>
      <c r="AT332" s="429"/>
      <c r="AU332" s="429"/>
      <c r="AV332" s="433">
        <f t="shared" si="76"/>
        <v>0</v>
      </c>
      <c r="AW332" s="429"/>
      <c r="AX332" s="429"/>
      <c r="AY332" s="429"/>
      <c r="AZ332" s="429"/>
      <c r="BA332" s="429"/>
      <c r="BB332" s="433">
        <f t="shared" si="77"/>
        <v>0</v>
      </c>
      <c r="BC332" s="429"/>
      <c r="BD332" s="429"/>
      <c r="BE332" s="429"/>
      <c r="BF332" s="429"/>
      <c r="BG332" s="429"/>
      <c r="BH332" s="433">
        <f t="shared" si="78"/>
        <v>0</v>
      </c>
      <c r="BI332" s="429"/>
      <c r="BJ332" s="429"/>
      <c r="BK332" s="429"/>
      <c r="BL332" s="429"/>
      <c r="BM332" s="430"/>
      <c r="BN332" s="215"/>
      <c r="BO332" s="215"/>
    </row>
    <row r="333" spans="1:67" s="220" customFormat="1" hidden="1" outlineLevel="1">
      <c r="A333" s="23"/>
      <c r="B333" s="23"/>
      <c r="C333" s="23"/>
      <c r="D333" s="23"/>
      <c r="E333" s="75">
        <f t="shared" si="68"/>
        <v>0</v>
      </c>
      <c r="F333" s="433">
        <f t="shared" si="69"/>
        <v>0</v>
      </c>
      <c r="G333" s="429"/>
      <c r="H333" s="429"/>
      <c r="I333" s="429"/>
      <c r="J333" s="429"/>
      <c r="K333" s="430"/>
      <c r="L333" s="433">
        <f t="shared" si="70"/>
        <v>0</v>
      </c>
      <c r="M333" s="429"/>
      <c r="N333" s="429"/>
      <c r="O333" s="429"/>
      <c r="P333" s="429"/>
      <c r="Q333" s="429"/>
      <c r="R333" s="433">
        <f t="shared" si="71"/>
        <v>0</v>
      </c>
      <c r="S333" s="429"/>
      <c r="T333" s="429"/>
      <c r="U333" s="429"/>
      <c r="V333" s="429"/>
      <c r="W333" s="429"/>
      <c r="X333" s="433">
        <f t="shared" si="72"/>
        <v>0</v>
      </c>
      <c r="Y333" s="429"/>
      <c r="Z333" s="429"/>
      <c r="AA333" s="429"/>
      <c r="AB333" s="429"/>
      <c r="AC333" s="429"/>
      <c r="AD333" s="433">
        <f t="shared" si="73"/>
        <v>0</v>
      </c>
      <c r="AE333" s="429"/>
      <c r="AF333" s="429"/>
      <c r="AG333" s="429"/>
      <c r="AH333" s="429"/>
      <c r="AI333" s="429"/>
      <c r="AJ333" s="434">
        <f t="shared" si="74"/>
        <v>0</v>
      </c>
      <c r="AK333" s="429"/>
      <c r="AL333" s="429"/>
      <c r="AM333" s="429"/>
      <c r="AN333" s="429"/>
      <c r="AO333" s="429"/>
      <c r="AP333" s="433">
        <f t="shared" si="75"/>
        <v>0</v>
      </c>
      <c r="AQ333" s="429"/>
      <c r="AR333" s="429"/>
      <c r="AS333" s="429"/>
      <c r="AT333" s="429"/>
      <c r="AU333" s="429"/>
      <c r="AV333" s="433">
        <f t="shared" si="76"/>
        <v>0</v>
      </c>
      <c r="AW333" s="429"/>
      <c r="AX333" s="429"/>
      <c r="AY333" s="429"/>
      <c r="AZ333" s="429"/>
      <c r="BA333" s="429"/>
      <c r="BB333" s="433">
        <f t="shared" si="77"/>
        <v>0</v>
      </c>
      <c r="BC333" s="429"/>
      <c r="BD333" s="429"/>
      <c r="BE333" s="429"/>
      <c r="BF333" s="429"/>
      <c r="BG333" s="429"/>
      <c r="BH333" s="433">
        <f t="shared" si="78"/>
        <v>0</v>
      </c>
      <c r="BI333" s="429"/>
      <c r="BJ333" s="429"/>
      <c r="BK333" s="429"/>
      <c r="BL333" s="429"/>
      <c r="BM333" s="430"/>
      <c r="BN333" s="215"/>
      <c r="BO333" s="215"/>
    </row>
    <row r="334" spans="1:67" s="220" customFormat="1" hidden="1" outlineLevel="1">
      <c r="A334" s="23"/>
      <c r="B334" s="23"/>
      <c r="C334" s="23"/>
      <c r="D334" s="23"/>
      <c r="E334" s="75">
        <f t="shared" si="68"/>
        <v>0</v>
      </c>
      <c r="F334" s="433">
        <f t="shared" si="69"/>
        <v>0</v>
      </c>
      <c r="G334" s="429"/>
      <c r="H334" s="429"/>
      <c r="I334" s="429"/>
      <c r="J334" s="429"/>
      <c r="K334" s="430"/>
      <c r="L334" s="433">
        <f t="shared" si="70"/>
        <v>0</v>
      </c>
      <c r="M334" s="429"/>
      <c r="N334" s="429"/>
      <c r="O334" s="429"/>
      <c r="P334" s="429"/>
      <c r="Q334" s="429"/>
      <c r="R334" s="433">
        <f t="shared" si="71"/>
        <v>0</v>
      </c>
      <c r="S334" s="429"/>
      <c r="T334" s="429"/>
      <c r="U334" s="429"/>
      <c r="V334" s="429"/>
      <c r="W334" s="429"/>
      <c r="X334" s="433">
        <f t="shared" si="72"/>
        <v>0</v>
      </c>
      <c r="Y334" s="429"/>
      <c r="Z334" s="429"/>
      <c r="AA334" s="429"/>
      <c r="AB334" s="429"/>
      <c r="AC334" s="429"/>
      <c r="AD334" s="433">
        <f t="shared" si="73"/>
        <v>0</v>
      </c>
      <c r="AE334" s="429"/>
      <c r="AF334" s="429"/>
      <c r="AG334" s="429"/>
      <c r="AH334" s="429"/>
      <c r="AI334" s="429"/>
      <c r="AJ334" s="434">
        <f t="shared" si="74"/>
        <v>0</v>
      </c>
      <c r="AK334" s="429"/>
      <c r="AL334" s="429"/>
      <c r="AM334" s="429"/>
      <c r="AN334" s="429"/>
      <c r="AO334" s="429"/>
      <c r="AP334" s="433">
        <f t="shared" si="75"/>
        <v>0</v>
      </c>
      <c r="AQ334" s="429"/>
      <c r="AR334" s="429"/>
      <c r="AS334" s="429"/>
      <c r="AT334" s="429"/>
      <c r="AU334" s="429"/>
      <c r="AV334" s="433">
        <f t="shared" si="76"/>
        <v>0</v>
      </c>
      <c r="AW334" s="429"/>
      <c r="AX334" s="429"/>
      <c r="AY334" s="429"/>
      <c r="AZ334" s="429"/>
      <c r="BA334" s="429"/>
      <c r="BB334" s="433">
        <f t="shared" si="77"/>
        <v>0</v>
      </c>
      <c r="BC334" s="429"/>
      <c r="BD334" s="429"/>
      <c r="BE334" s="429"/>
      <c r="BF334" s="429"/>
      <c r="BG334" s="429"/>
      <c r="BH334" s="433">
        <f t="shared" si="78"/>
        <v>0</v>
      </c>
      <c r="BI334" s="429"/>
      <c r="BJ334" s="429"/>
      <c r="BK334" s="429"/>
      <c r="BL334" s="429"/>
      <c r="BM334" s="430"/>
      <c r="BN334" s="215"/>
      <c r="BO334" s="215"/>
    </row>
    <row r="335" spans="1:67" s="220" customFormat="1" hidden="1" outlineLevel="1">
      <c r="A335" s="23"/>
      <c r="B335" s="23"/>
      <c r="C335" s="23"/>
      <c r="D335" s="23"/>
      <c r="E335" s="75">
        <f t="shared" si="68"/>
        <v>0</v>
      </c>
      <c r="F335" s="433">
        <f t="shared" si="69"/>
        <v>0</v>
      </c>
      <c r="G335" s="429"/>
      <c r="H335" s="429"/>
      <c r="I335" s="429"/>
      <c r="J335" s="429"/>
      <c r="K335" s="430"/>
      <c r="L335" s="433">
        <f t="shared" si="70"/>
        <v>0</v>
      </c>
      <c r="M335" s="429"/>
      <c r="N335" s="429"/>
      <c r="O335" s="429"/>
      <c r="P335" s="429"/>
      <c r="Q335" s="429"/>
      <c r="R335" s="433">
        <f t="shared" si="71"/>
        <v>0</v>
      </c>
      <c r="S335" s="429"/>
      <c r="T335" s="429"/>
      <c r="U335" s="429"/>
      <c r="V335" s="429"/>
      <c r="W335" s="429"/>
      <c r="X335" s="433">
        <f t="shared" si="72"/>
        <v>0</v>
      </c>
      <c r="Y335" s="429"/>
      <c r="Z335" s="429"/>
      <c r="AA335" s="429"/>
      <c r="AB335" s="429"/>
      <c r="AC335" s="429"/>
      <c r="AD335" s="433">
        <f t="shared" si="73"/>
        <v>0</v>
      </c>
      <c r="AE335" s="429"/>
      <c r="AF335" s="429"/>
      <c r="AG335" s="429"/>
      <c r="AH335" s="429"/>
      <c r="AI335" s="429"/>
      <c r="AJ335" s="434">
        <f t="shared" si="74"/>
        <v>0</v>
      </c>
      <c r="AK335" s="429"/>
      <c r="AL335" s="429"/>
      <c r="AM335" s="429"/>
      <c r="AN335" s="429"/>
      <c r="AO335" s="429"/>
      <c r="AP335" s="433">
        <f t="shared" si="75"/>
        <v>0</v>
      </c>
      <c r="AQ335" s="429"/>
      <c r="AR335" s="429"/>
      <c r="AS335" s="429"/>
      <c r="AT335" s="429"/>
      <c r="AU335" s="429"/>
      <c r="AV335" s="433">
        <f t="shared" si="76"/>
        <v>0</v>
      </c>
      <c r="AW335" s="429"/>
      <c r="AX335" s="429"/>
      <c r="AY335" s="429"/>
      <c r="AZ335" s="429"/>
      <c r="BA335" s="429"/>
      <c r="BB335" s="433">
        <f t="shared" si="77"/>
        <v>0</v>
      </c>
      <c r="BC335" s="429"/>
      <c r="BD335" s="429"/>
      <c r="BE335" s="429"/>
      <c r="BF335" s="429"/>
      <c r="BG335" s="429"/>
      <c r="BH335" s="433">
        <f t="shared" si="78"/>
        <v>0</v>
      </c>
      <c r="BI335" s="429"/>
      <c r="BJ335" s="429"/>
      <c r="BK335" s="429"/>
      <c r="BL335" s="429"/>
      <c r="BM335" s="430"/>
      <c r="BN335" s="215"/>
      <c r="BO335" s="215"/>
    </row>
    <row r="336" spans="1:67" s="220" customFormat="1" hidden="1" outlineLevel="1">
      <c r="A336" s="23"/>
      <c r="B336" s="23"/>
      <c r="C336" s="23"/>
      <c r="D336" s="23"/>
      <c r="E336" s="75">
        <f t="shared" si="68"/>
        <v>0</v>
      </c>
      <c r="F336" s="433">
        <f t="shared" si="69"/>
        <v>0</v>
      </c>
      <c r="G336" s="429"/>
      <c r="H336" s="429"/>
      <c r="I336" s="429"/>
      <c r="J336" s="429"/>
      <c r="K336" s="430"/>
      <c r="L336" s="433">
        <f t="shared" si="70"/>
        <v>0</v>
      </c>
      <c r="M336" s="429"/>
      <c r="N336" s="429"/>
      <c r="O336" s="429"/>
      <c r="P336" s="429"/>
      <c r="Q336" s="429"/>
      <c r="R336" s="433">
        <f t="shared" si="71"/>
        <v>0</v>
      </c>
      <c r="S336" s="429"/>
      <c r="T336" s="429"/>
      <c r="U336" s="429"/>
      <c r="V336" s="429"/>
      <c r="W336" s="429"/>
      <c r="X336" s="433">
        <f t="shared" si="72"/>
        <v>0</v>
      </c>
      <c r="Y336" s="429"/>
      <c r="Z336" s="429"/>
      <c r="AA336" s="429"/>
      <c r="AB336" s="429"/>
      <c r="AC336" s="429"/>
      <c r="AD336" s="433">
        <f t="shared" si="73"/>
        <v>0</v>
      </c>
      <c r="AE336" s="429"/>
      <c r="AF336" s="429"/>
      <c r="AG336" s="429"/>
      <c r="AH336" s="429"/>
      <c r="AI336" s="429"/>
      <c r="AJ336" s="434">
        <f t="shared" si="74"/>
        <v>0</v>
      </c>
      <c r="AK336" s="429"/>
      <c r="AL336" s="429"/>
      <c r="AM336" s="429"/>
      <c r="AN336" s="429"/>
      <c r="AO336" s="429"/>
      <c r="AP336" s="433">
        <f t="shared" si="75"/>
        <v>0</v>
      </c>
      <c r="AQ336" s="429"/>
      <c r="AR336" s="429"/>
      <c r="AS336" s="429"/>
      <c r="AT336" s="429"/>
      <c r="AU336" s="429"/>
      <c r="AV336" s="433">
        <f t="shared" si="76"/>
        <v>0</v>
      </c>
      <c r="AW336" s="429"/>
      <c r="AX336" s="429"/>
      <c r="AY336" s="429"/>
      <c r="AZ336" s="429"/>
      <c r="BA336" s="429"/>
      <c r="BB336" s="433">
        <f t="shared" si="77"/>
        <v>0</v>
      </c>
      <c r="BC336" s="429"/>
      <c r="BD336" s="429"/>
      <c r="BE336" s="429"/>
      <c r="BF336" s="429"/>
      <c r="BG336" s="429"/>
      <c r="BH336" s="433">
        <f t="shared" si="78"/>
        <v>0</v>
      </c>
      <c r="BI336" s="429"/>
      <c r="BJ336" s="429"/>
      <c r="BK336" s="429"/>
      <c r="BL336" s="429"/>
      <c r="BM336" s="430"/>
      <c r="BN336" s="215"/>
      <c r="BO336" s="215"/>
    </row>
    <row r="337" spans="1:67" s="220" customFormat="1" hidden="1" outlineLevel="1">
      <c r="A337" s="23"/>
      <c r="B337" s="23"/>
      <c r="C337" s="23"/>
      <c r="D337" s="23"/>
      <c r="E337" s="75">
        <f t="shared" si="68"/>
        <v>0</v>
      </c>
      <c r="F337" s="433">
        <f t="shared" si="69"/>
        <v>0</v>
      </c>
      <c r="G337" s="429"/>
      <c r="H337" s="429"/>
      <c r="I337" s="429"/>
      <c r="J337" s="429"/>
      <c r="K337" s="430"/>
      <c r="L337" s="433">
        <f t="shared" si="70"/>
        <v>0</v>
      </c>
      <c r="M337" s="429"/>
      <c r="N337" s="429"/>
      <c r="O337" s="429"/>
      <c r="P337" s="429"/>
      <c r="Q337" s="429"/>
      <c r="R337" s="433">
        <f t="shared" si="71"/>
        <v>0</v>
      </c>
      <c r="S337" s="429"/>
      <c r="T337" s="429"/>
      <c r="U337" s="429"/>
      <c r="V337" s="429"/>
      <c r="W337" s="429"/>
      <c r="X337" s="433">
        <f t="shared" si="72"/>
        <v>0</v>
      </c>
      <c r="Y337" s="429"/>
      <c r="Z337" s="429"/>
      <c r="AA337" s="429"/>
      <c r="AB337" s="429"/>
      <c r="AC337" s="429"/>
      <c r="AD337" s="433">
        <f t="shared" si="73"/>
        <v>0</v>
      </c>
      <c r="AE337" s="429"/>
      <c r="AF337" s="429"/>
      <c r="AG337" s="429"/>
      <c r="AH337" s="429"/>
      <c r="AI337" s="429"/>
      <c r="AJ337" s="434">
        <f t="shared" si="74"/>
        <v>0</v>
      </c>
      <c r="AK337" s="429"/>
      <c r="AL337" s="429"/>
      <c r="AM337" s="429"/>
      <c r="AN337" s="429"/>
      <c r="AO337" s="429"/>
      <c r="AP337" s="433">
        <f t="shared" si="75"/>
        <v>0</v>
      </c>
      <c r="AQ337" s="429"/>
      <c r="AR337" s="429"/>
      <c r="AS337" s="429"/>
      <c r="AT337" s="429"/>
      <c r="AU337" s="429"/>
      <c r="AV337" s="433">
        <f t="shared" si="76"/>
        <v>0</v>
      </c>
      <c r="AW337" s="429"/>
      <c r="AX337" s="429"/>
      <c r="AY337" s="429"/>
      <c r="AZ337" s="429"/>
      <c r="BA337" s="429"/>
      <c r="BB337" s="433">
        <f t="shared" si="77"/>
        <v>0</v>
      </c>
      <c r="BC337" s="429"/>
      <c r="BD337" s="429"/>
      <c r="BE337" s="429"/>
      <c r="BF337" s="429"/>
      <c r="BG337" s="429"/>
      <c r="BH337" s="433">
        <f t="shared" si="78"/>
        <v>0</v>
      </c>
      <c r="BI337" s="429"/>
      <c r="BJ337" s="429"/>
      <c r="BK337" s="429"/>
      <c r="BL337" s="429"/>
      <c r="BM337" s="430"/>
      <c r="BN337" s="215"/>
      <c r="BO337" s="215"/>
    </row>
    <row r="338" spans="1:67" s="220" customFormat="1" hidden="1" outlineLevel="1">
      <c r="A338" s="23"/>
      <c r="B338" s="23"/>
      <c r="C338" s="23"/>
      <c r="D338" s="23"/>
      <c r="E338" s="75">
        <f t="shared" si="68"/>
        <v>0</v>
      </c>
      <c r="F338" s="433">
        <f t="shared" si="69"/>
        <v>0</v>
      </c>
      <c r="G338" s="429"/>
      <c r="H338" s="429"/>
      <c r="I338" s="429"/>
      <c r="J338" s="429"/>
      <c r="K338" s="430"/>
      <c r="L338" s="433">
        <f t="shared" si="70"/>
        <v>0</v>
      </c>
      <c r="M338" s="429"/>
      <c r="N338" s="429"/>
      <c r="O338" s="429"/>
      <c r="P338" s="429"/>
      <c r="Q338" s="429"/>
      <c r="R338" s="433">
        <f t="shared" si="71"/>
        <v>0</v>
      </c>
      <c r="S338" s="429"/>
      <c r="T338" s="429"/>
      <c r="U338" s="429"/>
      <c r="V338" s="429"/>
      <c r="W338" s="429"/>
      <c r="X338" s="433">
        <f t="shared" si="72"/>
        <v>0</v>
      </c>
      <c r="Y338" s="429"/>
      <c r="Z338" s="429"/>
      <c r="AA338" s="429"/>
      <c r="AB338" s="429"/>
      <c r="AC338" s="429"/>
      <c r="AD338" s="433">
        <f t="shared" si="73"/>
        <v>0</v>
      </c>
      <c r="AE338" s="429"/>
      <c r="AF338" s="429"/>
      <c r="AG338" s="429"/>
      <c r="AH338" s="429"/>
      <c r="AI338" s="429"/>
      <c r="AJ338" s="434">
        <f t="shared" si="74"/>
        <v>0</v>
      </c>
      <c r="AK338" s="429"/>
      <c r="AL338" s="429"/>
      <c r="AM338" s="429"/>
      <c r="AN338" s="429"/>
      <c r="AO338" s="429"/>
      <c r="AP338" s="433">
        <f t="shared" si="75"/>
        <v>0</v>
      </c>
      <c r="AQ338" s="429"/>
      <c r="AR338" s="429"/>
      <c r="AS338" s="429"/>
      <c r="AT338" s="429"/>
      <c r="AU338" s="429"/>
      <c r="AV338" s="433">
        <f t="shared" si="76"/>
        <v>0</v>
      </c>
      <c r="AW338" s="429"/>
      <c r="AX338" s="429"/>
      <c r="AY338" s="429"/>
      <c r="AZ338" s="429"/>
      <c r="BA338" s="429"/>
      <c r="BB338" s="433">
        <f t="shared" si="77"/>
        <v>0</v>
      </c>
      <c r="BC338" s="429"/>
      <c r="BD338" s="429"/>
      <c r="BE338" s="429"/>
      <c r="BF338" s="429"/>
      <c r="BG338" s="429"/>
      <c r="BH338" s="433">
        <f t="shared" si="78"/>
        <v>0</v>
      </c>
      <c r="BI338" s="429"/>
      <c r="BJ338" s="429"/>
      <c r="BK338" s="429"/>
      <c r="BL338" s="429"/>
      <c r="BM338" s="430"/>
      <c r="BN338" s="215"/>
      <c r="BO338" s="215"/>
    </row>
    <row r="339" spans="1:67" s="220" customFormat="1" hidden="1" outlineLevel="1">
      <c r="A339" s="23"/>
      <c r="B339" s="23"/>
      <c r="C339" s="23"/>
      <c r="D339" s="23"/>
      <c r="E339" s="389" t="s">
        <v>83</v>
      </c>
      <c r="F339" s="433">
        <f>K305</f>
        <v>761815.75420799968</v>
      </c>
      <c r="G339" s="434">
        <f t="shared" ref="G339:N339" si="79">SUM(G313:G338)</f>
        <v>777052.06929215998</v>
      </c>
      <c r="H339" s="434">
        <f t="shared" si="79"/>
        <v>792593.11067800329</v>
      </c>
      <c r="I339" s="434">
        <f t="shared" si="79"/>
        <v>808444.97289156332</v>
      </c>
      <c r="J339" s="434">
        <f t="shared" si="79"/>
        <v>824613.87234939437</v>
      </c>
      <c r="K339" s="465">
        <f t="shared" si="79"/>
        <v>841106.14979638241</v>
      </c>
      <c r="L339" s="433">
        <f t="shared" si="79"/>
        <v>980159361.27897608</v>
      </c>
      <c r="M339" s="434">
        <f t="shared" si="79"/>
        <v>976238723.83386016</v>
      </c>
      <c r="N339" s="434">
        <f t="shared" si="79"/>
        <v>972333768.93852472</v>
      </c>
      <c r="O339" s="434">
        <f t="shared" ref="O339:BM339" si="80">SUM(O313:O338)</f>
        <v>968444433.86277068</v>
      </c>
      <c r="P339" s="434">
        <f t="shared" si="80"/>
        <v>964570656.12731957</v>
      </c>
      <c r="Q339" s="434">
        <f t="shared" si="80"/>
        <v>960712373.50281024</v>
      </c>
      <c r="R339" s="433">
        <f t="shared" si="80"/>
        <v>43072623.696399838</v>
      </c>
      <c r="S339" s="434">
        <f t="shared" si="80"/>
        <v>43725171.779119045</v>
      </c>
      <c r="T339" s="434">
        <f t="shared" si="80"/>
        <v>44390988.63227503</v>
      </c>
      <c r="U339" s="434">
        <f t="shared" si="80"/>
        <v>45070339.195659012</v>
      </c>
      <c r="V339" s="434">
        <f t="shared" si="80"/>
        <v>45763493.708729185</v>
      </c>
      <c r="W339" s="434">
        <f t="shared" si="80"/>
        <v>46470727.816602454</v>
      </c>
      <c r="X339" s="433">
        <f t="shared" si="80"/>
        <v>21536311.848199919</v>
      </c>
      <c r="Y339" s="434">
        <f t="shared" si="80"/>
        <v>21862585.889559522</v>
      </c>
      <c r="Z339" s="434">
        <f t="shared" si="80"/>
        <v>22195494.316137515</v>
      </c>
      <c r="AA339" s="434">
        <f t="shared" si="80"/>
        <v>22535169.597829506</v>
      </c>
      <c r="AB339" s="434">
        <f t="shared" si="80"/>
        <v>22881746.854364593</v>
      </c>
      <c r="AC339" s="434">
        <f t="shared" si="80"/>
        <v>23235363.908301227</v>
      </c>
      <c r="AD339" s="433">
        <f t="shared" si="80"/>
        <v>8614524.7392799668</v>
      </c>
      <c r="AE339" s="434">
        <f t="shared" si="80"/>
        <v>8745034.3558238074</v>
      </c>
      <c r="AF339" s="434">
        <f t="shared" si="80"/>
        <v>8878197.7264550086</v>
      </c>
      <c r="AG339" s="434">
        <f t="shared" si="80"/>
        <v>9014067.8391318042</v>
      </c>
      <c r="AH339" s="434">
        <f t="shared" si="80"/>
        <v>9152698.7417458389</v>
      </c>
      <c r="AI339" s="434">
        <f t="shared" si="80"/>
        <v>9294145.5633204896</v>
      </c>
      <c r="AJ339" s="434">
        <f t="shared" si="80"/>
        <v>4307262.3696399834</v>
      </c>
      <c r="AK339" s="434">
        <f t="shared" si="80"/>
        <v>4372517.1779119037</v>
      </c>
      <c r="AL339" s="434">
        <f t="shared" si="80"/>
        <v>4439098.8632275043</v>
      </c>
      <c r="AM339" s="434">
        <f t="shared" si="80"/>
        <v>4507033.9195659021</v>
      </c>
      <c r="AN339" s="434">
        <f t="shared" si="80"/>
        <v>4576349.3708729194</v>
      </c>
      <c r="AO339" s="434">
        <f t="shared" si="80"/>
        <v>4647072.7816602448</v>
      </c>
      <c r="AP339" s="433">
        <f t="shared" si="80"/>
        <v>88326.464255999992</v>
      </c>
      <c r="AQ339" s="434">
        <f t="shared" si="80"/>
        <v>90092.993541119984</v>
      </c>
      <c r="AR339" s="434">
        <f t="shared" si="80"/>
        <v>91894.853411942386</v>
      </c>
      <c r="AS339" s="434">
        <f t="shared" si="80"/>
        <v>93732.750480181247</v>
      </c>
      <c r="AT339" s="434">
        <f t="shared" si="80"/>
        <v>95607.405489784884</v>
      </c>
      <c r="AU339" s="434">
        <f t="shared" si="80"/>
        <v>97519.553599580555</v>
      </c>
      <c r="AV339" s="433">
        <f t="shared" si="80"/>
        <v>17665.292851200003</v>
      </c>
      <c r="AW339" s="434">
        <f t="shared" si="80"/>
        <v>18018.598708223999</v>
      </c>
      <c r="AX339" s="434">
        <f t="shared" si="80"/>
        <v>18378.970682388481</v>
      </c>
      <c r="AY339" s="434">
        <f t="shared" si="80"/>
        <v>18746.550096036251</v>
      </c>
      <c r="AZ339" s="434">
        <f t="shared" si="80"/>
        <v>19121.481097956977</v>
      </c>
      <c r="BA339" s="434">
        <f t="shared" si="80"/>
        <v>19503.910719916119</v>
      </c>
      <c r="BB339" s="433">
        <f t="shared" si="80"/>
        <v>44163.232127999996</v>
      </c>
      <c r="BC339" s="434">
        <f t="shared" si="80"/>
        <v>45046.496770559992</v>
      </c>
      <c r="BD339" s="434">
        <f t="shared" si="80"/>
        <v>45947.426705971193</v>
      </c>
      <c r="BE339" s="434">
        <f t="shared" si="80"/>
        <v>46866.375240090623</v>
      </c>
      <c r="BF339" s="434">
        <f t="shared" si="80"/>
        <v>47803.702744892442</v>
      </c>
      <c r="BG339" s="434">
        <f t="shared" si="80"/>
        <v>48759.776799790277</v>
      </c>
      <c r="BH339" s="433">
        <f t="shared" si="80"/>
        <v>1766.5292851199997</v>
      </c>
      <c r="BI339" s="434">
        <f t="shared" si="80"/>
        <v>1801.8598708224001</v>
      </c>
      <c r="BJ339" s="434">
        <f t="shared" si="80"/>
        <v>1837.8970682388481</v>
      </c>
      <c r="BK339" s="434">
        <f t="shared" si="80"/>
        <v>1874.6550096036249</v>
      </c>
      <c r="BL339" s="434">
        <f t="shared" si="80"/>
        <v>1912.1481097956971</v>
      </c>
      <c r="BM339" s="465">
        <f t="shared" si="80"/>
        <v>1950.3910719916114</v>
      </c>
      <c r="BN339" s="215"/>
      <c r="BO339" s="215"/>
    </row>
    <row r="340" spans="1:67" collapsed="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row>
    <row r="341" spans="1:67">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row>
    <row r="342" spans="1:67">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row>
    <row r="343" spans="1:67">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row>
    <row r="344" spans="1:67">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row>
    <row r="345" spans="1:67">
      <c r="A345" s="23"/>
      <c r="B345" s="23"/>
      <c r="C345" s="23"/>
      <c r="D345" s="23"/>
      <c r="E345" s="23"/>
      <c r="F345" s="23"/>
      <c r="G345" s="446"/>
      <c r="H345" s="546"/>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row>
    <row r="346" spans="1:67">
      <c r="A346" s="23"/>
      <c r="B346" s="23"/>
      <c r="C346" s="23"/>
      <c r="D346" s="23"/>
      <c r="E346" s="23"/>
      <c r="F346" s="23"/>
      <c r="G346" s="446"/>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row>
    <row r="347" spans="1:67">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row>
    <row r="348" spans="1:67">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row>
    <row r="349" spans="1:67">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row>
  </sheetData>
  <dataConsolidate/>
  <mergeCells count="233">
    <mergeCell ref="E82:F82"/>
    <mergeCell ref="E83:F83"/>
    <mergeCell ref="E84:F84"/>
    <mergeCell ref="E85:F85"/>
    <mergeCell ref="E42:F42"/>
    <mergeCell ref="E161:F161"/>
    <mergeCell ref="E139:F139"/>
    <mergeCell ref="E136:F136"/>
    <mergeCell ref="E152:F152"/>
    <mergeCell ref="E150:F150"/>
    <mergeCell ref="E151:F151"/>
    <mergeCell ref="E131:F131"/>
    <mergeCell ref="E132:F132"/>
    <mergeCell ref="E147:F147"/>
    <mergeCell ref="E148:F148"/>
    <mergeCell ref="E149:F149"/>
    <mergeCell ref="E160:F160"/>
    <mergeCell ref="E157:F157"/>
    <mergeCell ref="E158:F158"/>
    <mergeCell ref="E159:F159"/>
    <mergeCell ref="E153:F153"/>
    <mergeCell ref="E154:F154"/>
    <mergeCell ref="E155:F155"/>
    <mergeCell ref="E156:F156"/>
    <mergeCell ref="E37:F37"/>
    <mergeCell ref="E39:G39"/>
    <mergeCell ref="E46:F46"/>
    <mergeCell ref="E47:F47"/>
    <mergeCell ref="E48:F48"/>
    <mergeCell ref="E49:F49"/>
    <mergeCell ref="E66:F66"/>
    <mergeCell ref="E67:F67"/>
    <mergeCell ref="E68:F68"/>
    <mergeCell ref="E54:F54"/>
    <mergeCell ref="E55:F55"/>
    <mergeCell ref="G22:I22"/>
    <mergeCell ref="G23:I23"/>
    <mergeCell ref="E50:F50"/>
    <mergeCell ref="E51:F51"/>
    <mergeCell ref="E52:F52"/>
    <mergeCell ref="E53:F53"/>
    <mergeCell ref="E59:F59"/>
    <mergeCell ref="E33:F33"/>
    <mergeCell ref="E32:F32"/>
    <mergeCell ref="E43:F43"/>
    <mergeCell ref="E44:F44"/>
    <mergeCell ref="G24:I24"/>
    <mergeCell ref="G25:I25"/>
    <mergeCell ref="E22:F22"/>
    <mergeCell ref="E23:F23"/>
    <mergeCell ref="E24:F24"/>
    <mergeCell ref="E25:F25"/>
    <mergeCell ref="E56:F56"/>
    <mergeCell ref="E58:F58"/>
    <mergeCell ref="E57:F57"/>
    <mergeCell ref="G35:I35"/>
    <mergeCell ref="E36:F36"/>
    <mergeCell ref="E45:F45"/>
    <mergeCell ref="E41:F41"/>
    <mergeCell ref="G33:I33"/>
    <mergeCell ref="E34:F34"/>
    <mergeCell ref="E35:F35"/>
    <mergeCell ref="E26:F26"/>
    <mergeCell ref="E27:F27"/>
    <mergeCell ref="E28:F28"/>
    <mergeCell ref="E29:F29"/>
    <mergeCell ref="G27:I27"/>
    <mergeCell ref="G28:I28"/>
    <mergeCell ref="G29:I29"/>
    <mergeCell ref="G30:I30"/>
    <mergeCell ref="G31:I31"/>
    <mergeCell ref="E30:F30"/>
    <mergeCell ref="E31:F31"/>
    <mergeCell ref="G32:I32"/>
    <mergeCell ref="G34:I34"/>
    <mergeCell ref="G26:I26"/>
    <mergeCell ref="E11:F11"/>
    <mergeCell ref="E12:F12"/>
    <mergeCell ref="E13:F13"/>
    <mergeCell ref="E14:F14"/>
    <mergeCell ref="E18:F18"/>
    <mergeCell ref="E19:F19"/>
    <mergeCell ref="E20:F20"/>
    <mergeCell ref="E21:F21"/>
    <mergeCell ref="G20:I20"/>
    <mergeCell ref="G21:I21"/>
    <mergeCell ref="I2:J2"/>
    <mergeCell ref="G17:I17"/>
    <mergeCell ref="G18:I18"/>
    <mergeCell ref="G19:I19"/>
    <mergeCell ref="G16:I16"/>
    <mergeCell ref="G9:I9"/>
    <mergeCell ref="G10:I10"/>
    <mergeCell ref="G11:I11"/>
    <mergeCell ref="G12:I12"/>
    <mergeCell ref="G6:I6"/>
    <mergeCell ref="G7:I7"/>
    <mergeCell ref="G8:I8"/>
    <mergeCell ref="G15:I15"/>
    <mergeCell ref="E5:G5"/>
    <mergeCell ref="E15:F15"/>
    <mergeCell ref="E16:F16"/>
    <mergeCell ref="E2:F2"/>
    <mergeCell ref="E17:F17"/>
    <mergeCell ref="G13:I13"/>
    <mergeCell ref="G14:I14"/>
    <mergeCell ref="E7:F7"/>
    <mergeCell ref="E8:F8"/>
    <mergeCell ref="E9:F9"/>
    <mergeCell ref="E10:F10"/>
    <mergeCell ref="E275:G275"/>
    <mergeCell ref="E244:G244"/>
    <mergeCell ref="E86:F86"/>
    <mergeCell ref="E60:F60"/>
    <mergeCell ref="E61:F61"/>
    <mergeCell ref="E62:F62"/>
    <mergeCell ref="E63:F63"/>
    <mergeCell ref="E64:F64"/>
    <mergeCell ref="E65:F65"/>
    <mergeCell ref="E75:F75"/>
    <mergeCell ref="E71:F71"/>
    <mergeCell ref="E76:F76"/>
    <mergeCell ref="E77:F77"/>
    <mergeCell ref="E78:F78"/>
    <mergeCell ref="E79:F79"/>
    <mergeCell ref="E80:F80"/>
    <mergeCell ref="E81:F81"/>
    <mergeCell ref="E73:G73"/>
    <mergeCell ref="E100:F100"/>
    <mergeCell ref="E162:F162"/>
    <mergeCell ref="E163:F163"/>
    <mergeCell ref="E164:F164"/>
    <mergeCell ref="E69:F69"/>
    <mergeCell ref="E70:F70"/>
    <mergeCell ref="BH311:BM311"/>
    <mergeCell ref="F311:K311"/>
    <mergeCell ref="L311:Q311"/>
    <mergeCell ref="R311:W311"/>
    <mergeCell ref="X311:AC311"/>
    <mergeCell ref="AD311:AI311"/>
    <mergeCell ref="AJ311:AO311"/>
    <mergeCell ref="AP311:AU311"/>
    <mergeCell ref="AV311:BA311"/>
    <mergeCell ref="BB311:BG311"/>
    <mergeCell ref="BH277:BM277"/>
    <mergeCell ref="F277:K277"/>
    <mergeCell ref="AJ277:AO277"/>
    <mergeCell ref="AP277:AU277"/>
    <mergeCell ref="AV277:BA277"/>
    <mergeCell ref="BB277:BG277"/>
    <mergeCell ref="E113:F113"/>
    <mergeCell ref="E109:F109"/>
    <mergeCell ref="L277:Q277"/>
    <mergeCell ref="E165:F165"/>
    <mergeCell ref="E166:F166"/>
    <mergeCell ref="E167:F167"/>
    <mergeCell ref="E168:F168"/>
    <mergeCell ref="E169:F169"/>
    <mergeCell ref="R277:W277"/>
    <mergeCell ref="AD277:AI277"/>
    <mergeCell ref="X277:AC277"/>
    <mergeCell ref="E186:F186"/>
    <mergeCell ref="E203:F203"/>
    <mergeCell ref="E201:F201"/>
    <mergeCell ref="E192:F192"/>
    <mergeCell ref="E193:F193"/>
    <mergeCell ref="E194:F194"/>
    <mergeCell ref="E195:F195"/>
    <mergeCell ref="E93:F93"/>
    <mergeCell ref="E184:F184"/>
    <mergeCell ref="E143:F143"/>
    <mergeCell ref="E144:F144"/>
    <mergeCell ref="E145:F145"/>
    <mergeCell ref="E146:F146"/>
    <mergeCell ref="E137:F137"/>
    <mergeCell ref="E128:F128"/>
    <mergeCell ref="E135:F135"/>
    <mergeCell ref="E130:F130"/>
    <mergeCell ref="E133:F133"/>
    <mergeCell ref="E134:F134"/>
    <mergeCell ref="E94:F94"/>
    <mergeCell ref="E126:F126"/>
    <mergeCell ref="E125:F125"/>
    <mergeCell ref="E98:F98"/>
    <mergeCell ref="E138:F138"/>
    <mergeCell ref="E87:F87"/>
    <mergeCell ref="E88:F88"/>
    <mergeCell ref="E89:F89"/>
    <mergeCell ref="E90:F90"/>
    <mergeCell ref="E129:F129"/>
    <mergeCell ref="E96:F96"/>
    <mergeCell ref="E97:F97"/>
    <mergeCell ref="E102:F102"/>
    <mergeCell ref="E103:F103"/>
    <mergeCell ref="E104:F104"/>
    <mergeCell ref="E124:F124"/>
    <mergeCell ref="E122:F122"/>
    <mergeCell ref="E123:F123"/>
    <mergeCell ref="E95:F95"/>
    <mergeCell ref="E91:F91"/>
    <mergeCell ref="E92:F92"/>
    <mergeCell ref="E111:F111"/>
    <mergeCell ref="E112:F112"/>
    <mergeCell ref="E110:F110"/>
    <mergeCell ref="E115:F115"/>
    <mergeCell ref="E116:F116"/>
    <mergeCell ref="E117:F117"/>
    <mergeCell ref="E118:F118"/>
    <mergeCell ref="E99:F99"/>
    <mergeCell ref="E191:F191"/>
    <mergeCell ref="E200:F200"/>
    <mergeCell ref="E205:F205"/>
    <mergeCell ref="E187:F187"/>
    <mergeCell ref="E198:F198"/>
    <mergeCell ref="E199:F199"/>
    <mergeCell ref="E101:F101"/>
    <mergeCell ref="E114:F114"/>
    <mergeCell ref="E119:F119"/>
    <mergeCell ref="E127:F127"/>
    <mergeCell ref="E120:F120"/>
    <mergeCell ref="E121:F121"/>
    <mergeCell ref="E105:F105"/>
    <mergeCell ref="E141:G141"/>
    <mergeCell ref="E107:G107"/>
    <mergeCell ref="E196:F196"/>
    <mergeCell ref="E197:F197"/>
    <mergeCell ref="E175:G175"/>
    <mergeCell ref="E170:F170"/>
    <mergeCell ref="E173:F173"/>
    <mergeCell ref="E171:F171"/>
    <mergeCell ref="E172:F172"/>
    <mergeCell ref="E185:F185"/>
    <mergeCell ref="E189:G189"/>
  </mergeCells>
  <phoneticPr fontId="0" type="noConversion"/>
  <dataValidations count="4">
    <dataValidation type="custom" showInputMessage="1" showErrorMessage="1" error="Invalid input, please try again." sqref="AA8:AA36 AB7:AB36">
      <formula1>AND(AA7&lt;&gt;"",OR(AA7="n/a",AND(AA7&gt;=0,AA7&lt;=100)))</formula1>
    </dataValidation>
    <dataValidation type="custom" showInputMessage="1" showErrorMessage="1" error="Invalid input, please try again." sqref="AA7 L7:M36 N8 O8:P36">
      <formula1>AND(L7&lt;&gt;"",OR(L7="n/a",AND(L7&gt;0,L7&lt;=100)))</formula1>
    </dataValidation>
    <dataValidation type="list" allowBlank="1" showInputMessage="1" showErrorMessage="1" sqref="R191:S200">
      <formula1>"Yes,No"</formula1>
    </dataValidation>
    <dataValidation allowBlank="1" showInputMessage="1" showErrorMessage="1" promptTitle="Regulatory year format" prompt="Please use one of the following formats_x000a_20XX (Calendar years) or_x000a_20XX-XX (Financial years)" sqref="Q7"/>
  </dataValidations>
  <printOptions headings="1"/>
  <pageMargins left="0.74803149606299213" right="0.74803149606299213" top="0.98425196850393704" bottom="0.98425196850393704" header="0.51181102362204722" footer="0.51181102362204722"/>
  <pageSetup paperSize="9" scale="39" fitToWidth="3" fitToHeight="3" orientation="landscape" horizontalDpi="4294967292" r:id="rId1"/>
  <headerFooter alignWithMargins="0"/>
  <rowBreaks count="4" manualBreakCount="4">
    <brk id="38" max="18" man="1"/>
    <brk id="106" max="18" man="1"/>
    <brk id="174" max="18" man="1"/>
    <brk id="226" max="18" man="1"/>
  </rowBreaks>
  <colBreaks count="2" manualBreakCount="2">
    <brk id="23" min="274" max="339" man="1"/>
    <brk id="41" min="274" max="339"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U43"/>
  <sheetViews>
    <sheetView showGridLines="0" zoomScaleNormal="100" workbookViewId="0">
      <selection activeCell="L44" sqref="L44"/>
    </sheetView>
  </sheetViews>
  <sheetFormatPr defaultColWidth="9.140625" defaultRowHeight="12.75" outlineLevelCol="1"/>
  <cols>
    <col min="1" max="1" width="3.28515625" style="7" customWidth="1"/>
    <col min="2" max="2" width="36.5703125" style="7" customWidth="1"/>
    <col min="3" max="3" width="9.5703125" style="7" customWidth="1"/>
    <col min="4" max="4" width="4.5703125" style="7" customWidth="1"/>
    <col min="5" max="5" width="1.42578125" style="7" customWidth="1"/>
    <col min="6" max="6" width="13.85546875" style="7" customWidth="1"/>
    <col min="7" max="11" width="10.28515625" style="8" customWidth="1"/>
    <col min="12" max="16" width="10.28515625" style="8" customWidth="1" outlineLevel="1"/>
    <col min="17" max="17" width="7.28515625" style="8" customWidth="1"/>
    <col min="18" max="18" width="28.28515625" style="7" customWidth="1"/>
    <col min="19" max="19" width="4.140625" style="7" customWidth="1"/>
    <col min="20" max="16384" width="9.140625" style="7"/>
  </cols>
  <sheetData>
    <row r="1" spans="1:21">
      <c r="A1" s="47"/>
      <c r="B1" s="47"/>
      <c r="C1" s="47"/>
      <c r="D1" s="47"/>
      <c r="E1" s="47"/>
      <c r="F1" s="47"/>
      <c r="G1" s="48"/>
      <c r="H1" s="48"/>
      <c r="I1" s="48"/>
      <c r="J1" s="48"/>
      <c r="K1" s="48"/>
      <c r="L1" s="48"/>
      <c r="M1" s="48"/>
      <c r="N1" s="48"/>
      <c r="O1" s="48"/>
      <c r="P1" s="48"/>
      <c r="Q1" s="48"/>
      <c r="R1" s="47"/>
      <c r="S1" s="47"/>
      <c r="T1" s="47"/>
      <c r="U1" s="47"/>
    </row>
    <row r="2" spans="1:21" ht="15.75">
      <c r="A2" s="47"/>
      <c r="B2" s="94" t="str">
        <f>'DMS input'!$C$16&amp;" - Cost of Capital Parameters"&amp;" - DNSP PTRM - version "&amp;Intro!$L$4</f>
        <v>Aus Elec - Cost of Capital Parameters - DNSP PTRM - version 3</v>
      </c>
      <c r="C2" s="47"/>
      <c r="D2" s="47"/>
      <c r="E2" s="47"/>
      <c r="F2" s="47"/>
      <c r="G2" s="48"/>
      <c r="H2" s="48"/>
      <c r="I2" s="48"/>
      <c r="J2" s="48"/>
      <c r="K2" s="48"/>
      <c r="L2" s="48"/>
      <c r="M2" s="48"/>
      <c r="N2" s="48"/>
      <c r="O2" s="48"/>
      <c r="P2" s="48"/>
      <c r="Q2" s="48"/>
      <c r="R2" s="47"/>
      <c r="S2" s="47"/>
      <c r="T2" s="47"/>
      <c r="U2" s="47"/>
    </row>
    <row r="3" spans="1:21">
      <c r="A3" s="47"/>
      <c r="B3" s="47"/>
      <c r="C3" s="47"/>
      <c r="D3" s="47"/>
      <c r="E3" s="47"/>
      <c r="F3" s="47"/>
      <c r="G3" s="48"/>
      <c r="H3" s="48"/>
      <c r="I3" s="48"/>
      <c r="J3" s="48"/>
      <c r="K3" s="48"/>
      <c r="L3" s="48"/>
      <c r="M3" s="48"/>
      <c r="N3" s="48"/>
      <c r="O3" s="48"/>
      <c r="P3" s="48"/>
      <c r="Q3" s="48"/>
      <c r="R3" s="47"/>
      <c r="S3" s="47"/>
      <c r="T3" s="47"/>
      <c r="U3" s="47"/>
    </row>
    <row r="4" spans="1:21" s="10" customFormat="1" ht="15" customHeight="1">
      <c r="A4" s="510"/>
      <c r="B4" s="517" t="s">
        <v>54</v>
      </c>
      <c r="C4" s="511"/>
      <c r="D4" s="512"/>
      <c r="E4" s="512"/>
      <c r="F4" s="512"/>
      <c r="G4" s="513" t="str">
        <f>'PTRM input'!G40</f>
        <v>2010-11</v>
      </c>
      <c r="H4" s="513" t="str">
        <f>'PTRM input'!H40</f>
        <v>2011-12</v>
      </c>
      <c r="I4" s="513" t="str">
        <f>'PTRM input'!I40</f>
        <v>2012-13</v>
      </c>
      <c r="J4" s="513" t="str">
        <f>'PTRM input'!J40</f>
        <v>2013-14</v>
      </c>
      <c r="K4" s="513" t="str">
        <f>'PTRM input'!K40</f>
        <v>2014-15</v>
      </c>
      <c r="L4" s="513" t="str">
        <f>'PTRM input'!L40</f>
        <v>2015-16</v>
      </c>
      <c r="M4" s="513" t="str">
        <f>'PTRM input'!M40</f>
        <v>2016-17</v>
      </c>
      <c r="N4" s="513" t="str">
        <f>'PTRM input'!N40</f>
        <v>2017-18</v>
      </c>
      <c r="O4" s="513" t="str">
        <f>'PTRM input'!O40</f>
        <v>2018-19</v>
      </c>
      <c r="P4" s="513" t="str">
        <f>'PTRM input'!P40</f>
        <v>2019-20</v>
      </c>
      <c r="Q4" s="514"/>
      <c r="R4" s="515" t="s">
        <v>208</v>
      </c>
      <c r="S4" s="516"/>
      <c r="T4" s="58"/>
      <c r="U4" s="58"/>
    </row>
    <row r="5" spans="1:21" s="10" customFormat="1">
      <c r="A5" s="43"/>
      <c r="B5" s="44"/>
      <c r="C5" s="44"/>
      <c r="D5" s="59"/>
      <c r="E5" s="57"/>
      <c r="F5" s="249"/>
      <c r="G5" s="353"/>
      <c r="H5" s="353"/>
      <c r="I5" s="353"/>
      <c r="J5" s="353"/>
      <c r="K5" s="353"/>
      <c r="L5" s="353"/>
      <c r="M5" s="353"/>
      <c r="N5" s="353"/>
      <c r="O5" s="353"/>
      <c r="P5" s="353"/>
      <c r="Q5" s="250"/>
      <c r="R5" s="1616" t="s">
        <v>220</v>
      </c>
      <c r="S5" s="58"/>
      <c r="T5" s="58"/>
      <c r="U5" s="58"/>
    </row>
    <row r="6" spans="1:21" s="10" customFormat="1" ht="12.75" customHeight="1">
      <c r="A6" s="43"/>
      <c r="B6" s="43" t="s">
        <v>0</v>
      </c>
      <c r="C6" s="44"/>
      <c r="D6" s="55" t="s">
        <v>1</v>
      </c>
      <c r="E6" s="53"/>
      <c r="F6" s="55" t="s">
        <v>209</v>
      </c>
      <c r="G6" s="256">
        <f t="shared" ref="G6:P6" si="0">f</f>
        <v>2.52E-2</v>
      </c>
      <c r="H6" s="257">
        <f t="shared" si="0"/>
        <v>2.52E-2</v>
      </c>
      <c r="I6" s="257">
        <f t="shared" si="0"/>
        <v>2.52E-2</v>
      </c>
      <c r="J6" s="257">
        <f t="shared" si="0"/>
        <v>2.52E-2</v>
      </c>
      <c r="K6" s="257">
        <f t="shared" si="0"/>
        <v>2.52E-2</v>
      </c>
      <c r="L6" s="257">
        <f t="shared" si="0"/>
        <v>2.52E-2</v>
      </c>
      <c r="M6" s="257">
        <f t="shared" si="0"/>
        <v>2.52E-2</v>
      </c>
      <c r="N6" s="257">
        <f t="shared" si="0"/>
        <v>2.52E-2</v>
      </c>
      <c r="O6" s="257">
        <f t="shared" si="0"/>
        <v>2.52E-2</v>
      </c>
      <c r="P6" s="257">
        <f t="shared" si="0"/>
        <v>2.52E-2</v>
      </c>
      <c r="Q6" s="244"/>
      <c r="R6" s="1617"/>
      <c r="S6" s="88"/>
      <c r="T6" s="43"/>
      <c r="U6" s="43"/>
    </row>
    <row r="7" spans="1:21" s="10" customFormat="1">
      <c r="A7" s="43"/>
      <c r="B7" s="446" t="s">
        <v>306</v>
      </c>
      <c r="C7" s="44"/>
      <c r="D7" s="318" t="s">
        <v>282</v>
      </c>
      <c r="E7" s="53"/>
      <c r="F7" s="55" t="s">
        <v>209</v>
      </c>
      <c r="G7" s="258">
        <f t="shared" ref="G7:P7" si="1">g</f>
        <v>0.25</v>
      </c>
      <c r="H7" s="259">
        <f t="shared" si="1"/>
        <v>0.25</v>
      </c>
      <c r="I7" s="259">
        <f t="shared" si="1"/>
        <v>0.25</v>
      </c>
      <c r="J7" s="259">
        <f t="shared" si="1"/>
        <v>0.25</v>
      </c>
      <c r="K7" s="259">
        <f t="shared" si="1"/>
        <v>0.25</v>
      </c>
      <c r="L7" s="259">
        <f t="shared" si="1"/>
        <v>0.25</v>
      </c>
      <c r="M7" s="259">
        <f t="shared" si="1"/>
        <v>0.25</v>
      </c>
      <c r="N7" s="259">
        <f t="shared" si="1"/>
        <v>0.25</v>
      </c>
      <c r="O7" s="259">
        <f t="shared" si="1"/>
        <v>0.25</v>
      </c>
      <c r="P7" s="259">
        <f t="shared" si="1"/>
        <v>0.25</v>
      </c>
      <c r="Q7" s="244"/>
      <c r="R7" s="1617"/>
      <c r="S7" s="43"/>
      <c r="T7" s="43"/>
      <c r="U7" s="43"/>
    </row>
    <row r="8" spans="1:21" s="10" customFormat="1">
      <c r="A8" s="43"/>
      <c r="B8" s="43" t="s">
        <v>84</v>
      </c>
      <c r="C8" s="44"/>
      <c r="D8" s="55" t="s">
        <v>6</v>
      </c>
      <c r="E8" s="53"/>
      <c r="F8" s="55" t="s">
        <v>209</v>
      </c>
      <c r="G8" s="258">
        <f>1-G9</f>
        <v>0.4</v>
      </c>
      <c r="H8" s="259">
        <f>1-H9</f>
        <v>0.4</v>
      </c>
      <c r="I8" s="259">
        <f t="shared" ref="I8:O8" si="2">1-I9</f>
        <v>0.4</v>
      </c>
      <c r="J8" s="259">
        <f t="shared" si="2"/>
        <v>0.4</v>
      </c>
      <c r="K8" s="259">
        <f t="shared" si="2"/>
        <v>0.4</v>
      </c>
      <c r="L8" s="259">
        <f t="shared" si="2"/>
        <v>0.4</v>
      </c>
      <c r="M8" s="259">
        <f t="shared" si="2"/>
        <v>0.4</v>
      </c>
      <c r="N8" s="259">
        <f t="shared" si="2"/>
        <v>0.4</v>
      </c>
      <c r="O8" s="259">
        <f t="shared" si="2"/>
        <v>0.4</v>
      </c>
      <c r="P8" s="259">
        <f>1-P9</f>
        <v>0.4</v>
      </c>
      <c r="Q8" s="244"/>
      <c r="R8" s="1617"/>
      <c r="S8" s="43"/>
      <c r="T8" s="43"/>
      <c r="U8" s="43"/>
    </row>
    <row r="9" spans="1:21" s="10" customFormat="1">
      <c r="A9" s="43"/>
      <c r="B9" s="43" t="s">
        <v>85</v>
      </c>
      <c r="C9" s="44"/>
      <c r="D9" s="55" t="s">
        <v>7</v>
      </c>
      <c r="E9" s="53"/>
      <c r="F9" s="55" t="s">
        <v>209</v>
      </c>
      <c r="G9" s="258">
        <f t="shared" ref="G9:P9" si="3">Dv</f>
        <v>0.6</v>
      </c>
      <c r="H9" s="259">
        <f t="shared" si="3"/>
        <v>0.6</v>
      </c>
      <c r="I9" s="259">
        <f t="shared" si="3"/>
        <v>0.6</v>
      </c>
      <c r="J9" s="259">
        <f t="shared" si="3"/>
        <v>0.6</v>
      </c>
      <c r="K9" s="259">
        <f t="shared" si="3"/>
        <v>0.6</v>
      </c>
      <c r="L9" s="259">
        <f t="shared" si="3"/>
        <v>0.6</v>
      </c>
      <c r="M9" s="259">
        <f t="shared" si="3"/>
        <v>0.6</v>
      </c>
      <c r="N9" s="259">
        <f t="shared" si="3"/>
        <v>0.6</v>
      </c>
      <c r="O9" s="259">
        <f t="shared" si="3"/>
        <v>0.6</v>
      </c>
      <c r="P9" s="259">
        <f t="shared" si="3"/>
        <v>0.6</v>
      </c>
      <c r="Q9" s="244"/>
      <c r="R9" s="1617"/>
      <c r="S9" s="43"/>
      <c r="T9" s="43"/>
      <c r="U9" s="43"/>
    </row>
    <row r="10" spans="1:21" s="10" customFormat="1">
      <c r="A10" s="43"/>
      <c r="B10" s="78" t="s">
        <v>358</v>
      </c>
      <c r="D10" s="44" t="s">
        <v>210</v>
      </c>
      <c r="E10" s="44"/>
      <c r="F10" s="55" t="s">
        <v>209</v>
      </c>
      <c r="G10" s="1419">
        <f>'PTRM input'!$G$217</f>
        <v>0.111</v>
      </c>
      <c r="H10" s="261">
        <f>'PTRM input'!$G$217</f>
        <v>0.111</v>
      </c>
      <c r="I10" s="261">
        <f>'PTRM input'!$G$217</f>
        <v>0.111</v>
      </c>
      <c r="J10" s="261">
        <f>'PTRM input'!$G$217</f>
        <v>0.111</v>
      </c>
      <c r="K10" s="261">
        <f>'PTRM input'!$G$217</f>
        <v>0.111</v>
      </c>
      <c r="L10" s="261">
        <f>'PTRM input'!$G$217</f>
        <v>0.111</v>
      </c>
      <c r="M10" s="261">
        <f>'PTRM input'!$G$217</f>
        <v>0.111</v>
      </c>
      <c r="N10" s="261">
        <f>'PTRM input'!$G$217</f>
        <v>0.111</v>
      </c>
      <c r="O10" s="261">
        <f>'PTRM input'!$G$217</f>
        <v>0.111</v>
      </c>
      <c r="P10" s="261">
        <f>'PTRM input'!$G$217</f>
        <v>0.111</v>
      </c>
      <c r="Q10" s="251"/>
      <c r="R10" s="246">
        <f ca="1">Analysis!$E$111</f>
        <v>0.11099999999999977</v>
      </c>
      <c r="S10" s="43"/>
      <c r="T10" s="43"/>
      <c r="U10" s="43"/>
    </row>
    <row r="11" spans="1:21" s="10" customFormat="1">
      <c r="A11" s="43"/>
      <c r="B11" s="78" t="s">
        <v>265</v>
      </c>
      <c r="C11" s="43"/>
      <c r="D11" s="44" t="s">
        <v>211</v>
      </c>
      <c r="E11" s="45"/>
      <c r="F11" s="55" t="s">
        <v>209</v>
      </c>
      <c r="G11" s="260">
        <f t="shared" ref="G11:P11" si="4">(1+G10)/(1+G6)-1</f>
        <v>8.3690987124463545E-2</v>
      </c>
      <c r="H11" s="261">
        <f t="shared" si="4"/>
        <v>8.3690987124463545E-2</v>
      </c>
      <c r="I11" s="261">
        <f t="shared" si="4"/>
        <v>8.3690987124463545E-2</v>
      </c>
      <c r="J11" s="261">
        <f t="shared" si="4"/>
        <v>8.3690987124463545E-2</v>
      </c>
      <c r="K11" s="261">
        <f t="shared" si="4"/>
        <v>8.3690987124463545E-2</v>
      </c>
      <c r="L11" s="261">
        <f t="shared" si="4"/>
        <v>8.3690987124463545E-2</v>
      </c>
      <c r="M11" s="261">
        <f t="shared" si="4"/>
        <v>8.3690987124463545E-2</v>
      </c>
      <c r="N11" s="261">
        <f t="shared" si="4"/>
        <v>8.3690987124463545E-2</v>
      </c>
      <c r="O11" s="261">
        <f t="shared" si="4"/>
        <v>8.3690987124463545E-2</v>
      </c>
      <c r="P11" s="261">
        <f t="shared" si="4"/>
        <v>8.3690987124463545E-2</v>
      </c>
      <c r="Q11" s="251"/>
      <c r="R11" s="246">
        <f ca="1">Analysis!$E$115</f>
        <v>8.3690987124469318E-2</v>
      </c>
      <c r="S11" s="43"/>
      <c r="T11" s="43"/>
      <c r="U11" s="43"/>
    </row>
    <row r="12" spans="1:21" s="10" customFormat="1">
      <c r="A12" s="43"/>
      <c r="B12" s="43"/>
      <c r="C12" s="43"/>
      <c r="D12" s="44"/>
      <c r="E12" s="43"/>
      <c r="F12" s="50"/>
      <c r="G12" s="262"/>
      <c r="H12" s="262"/>
      <c r="I12" s="262"/>
      <c r="J12" s="262"/>
      <c r="K12" s="262"/>
      <c r="L12" s="262"/>
      <c r="M12" s="262"/>
      <c r="N12" s="262"/>
      <c r="O12" s="262"/>
      <c r="P12" s="262"/>
      <c r="Q12" s="43"/>
      <c r="R12" s="43"/>
      <c r="S12" s="43"/>
      <c r="T12" s="43"/>
      <c r="U12" s="43"/>
    </row>
    <row r="13" spans="1:21" s="10" customFormat="1">
      <c r="A13" s="43"/>
      <c r="B13" s="43" t="s">
        <v>2</v>
      </c>
      <c r="C13" s="44"/>
      <c r="D13" s="55" t="s">
        <v>3</v>
      </c>
      <c r="E13" s="53"/>
      <c r="F13" s="55" t="s">
        <v>212</v>
      </c>
      <c r="G13" s="256">
        <f>'PTRM input'!G209</f>
        <v>0.3</v>
      </c>
      <c r="H13" s="256">
        <f>IF(OR(ISBLANK('PTRM input'!H209),'PTRM input'!H209=0),G13,'PTRM input'!H209)</f>
        <v>0.3</v>
      </c>
      <c r="I13" s="256">
        <f>IF(OR(ISBLANK('PTRM input'!I209),'PTRM input'!I209=0),H13,'PTRM input'!I209)</f>
        <v>0.3</v>
      </c>
      <c r="J13" s="256">
        <f>IF(OR(ISBLANK('PTRM input'!J209),'PTRM input'!J209=0),I13,'PTRM input'!J209)</f>
        <v>0.3</v>
      </c>
      <c r="K13" s="256">
        <f>IF(OR(ISBLANK('PTRM input'!K209),'PTRM input'!K209=0),J13,'PTRM input'!K209)</f>
        <v>0.3</v>
      </c>
      <c r="L13" s="256">
        <f>IF(OR(ISBLANK('PTRM input'!L209),'PTRM input'!L209=0),K13,'PTRM input'!L209)</f>
        <v>0.3</v>
      </c>
      <c r="M13" s="256">
        <f>IF(OR(ISBLANK('PTRM input'!M209),'PTRM input'!M209=0),L13,'PTRM input'!M209)</f>
        <v>0.3</v>
      </c>
      <c r="N13" s="256">
        <f>IF(OR(ISBLANK('PTRM input'!N209),'PTRM input'!N209=0),M13,'PTRM input'!N209)</f>
        <v>0.3</v>
      </c>
      <c r="O13" s="256">
        <f>IF(OR(ISBLANK('PTRM input'!O209),'PTRM input'!O209=0),N13,'PTRM input'!O209)</f>
        <v>0.3</v>
      </c>
      <c r="P13" s="256">
        <f>IF(OR(ISBLANK('PTRM input'!P209),'PTRM input'!P209=0),O13,'PTRM input'!P209)</f>
        <v>0.3</v>
      </c>
      <c r="Q13" s="244"/>
      <c r="R13" s="50"/>
      <c r="S13" s="43"/>
      <c r="T13" s="43"/>
      <c r="U13" s="43"/>
    </row>
    <row r="14" spans="1:21" s="10" customFormat="1">
      <c r="A14" s="43"/>
      <c r="B14" s="78" t="s">
        <v>280</v>
      </c>
      <c r="C14" s="44"/>
      <c r="D14" s="55" t="s">
        <v>76</v>
      </c>
      <c r="E14" s="53"/>
      <c r="F14" s="55" t="s">
        <v>212</v>
      </c>
      <c r="G14" s="1450">
        <f>'PTRM input'!G222</f>
        <v>8.8700000000000001E-2</v>
      </c>
      <c r="H14" s="256">
        <f>IF(OR(ISBLANK('PTRM input'!H222),'PTRM input'!H222=0),G14,'PTRM input'!H222)</f>
        <v>8.8700000000000001E-2</v>
      </c>
      <c r="I14" s="256">
        <f>IF(OR(ISBLANK('PTRM input'!I222),'PTRM input'!I222=0),H14,'PTRM input'!I222)</f>
        <v>8.8700000000000001E-2</v>
      </c>
      <c r="J14" s="256">
        <f>IF(OR(ISBLANK('PTRM input'!J222),'PTRM input'!J222=0),I14,'PTRM input'!J222)</f>
        <v>8.8700000000000001E-2</v>
      </c>
      <c r="K14" s="256">
        <f>IF(OR(ISBLANK('PTRM input'!K222),'PTRM input'!K222=0),J14,'PTRM input'!K222)</f>
        <v>8.8700000000000001E-2</v>
      </c>
      <c r="L14" s="256">
        <f>IF(OR(ISBLANK('PTRM input'!L222),'PTRM input'!L222=0),K14,'PTRM input'!L222)</f>
        <v>8.8700000000000001E-2</v>
      </c>
      <c r="M14" s="256">
        <f>IF(OR(ISBLANK('PTRM input'!M222),'PTRM input'!M222=0),L14,'PTRM input'!M222)</f>
        <v>8.8700000000000001E-2</v>
      </c>
      <c r="N14" s="256">
        <f>IF(OR(ISBLANK('PTRM input'!N222),'PTRM input'!N222=0),M14,'PTRM input'!N222)</f>
        <v>8.8700000000000001E-2</v>
      </c>
      <c r="O14" s="256">
        <f>IF(OR(ISBLANK('PTRM input'!O222),'PTRM input'!O222=0),N14,'PTRM input'!O222)</f>
        <v>8.8700000000000001E-2</v>
      </c>
      <c r="P14" s="256">
        <f>IF(OR(ISBLANK('PTRM input'!P222),'PTRM input'!P222=0),O14,'PTRM input'!P222)</f>
        <v>8.8700000000000001E-2</v>
      </c>
      <c r="Q14" s="244"/>
      <c r="R14" s="50"/>
      <c r="S14" s="43"/>
      <c r="T14" s="43"/>
      <c r="U14" s="43"/>
    </row>
    <row r="15" spans="1:21" s="10" customFormat="1">
      <c r="A15" s="43"/>
      <c r="B15" s="78" t="s">
        <v>281</v>
      </c>
      <c r="C15" s="44"/>
      <c r="D15" s="55" t="s">
        <v>77</v>
      </c>
      <c r="E15" s="53"/>
      <c r="F15" s="55" t="s">
        <v>212</v>
      </c>
      <c r="G15" s="256">
        <f t="shared" ref="G15:P15" si="5">(1+G14)/(1+G6)-1</f>
        <v>6.19391338275459E-2</v>
      </c>
      <c r="H15" s="256">
        <f t="shared" si="5"/>
        <v>6.19391338275459E-2</v>
      </c>
      <c r="I15" s="256">
        <f t="shared" si="5"/>
        <v>6.19391338275459E-2</v>
      </c>
      <c r="J15" s="256">
        <f t="shared" si="5"/>
        <v>6.19391338275459E-2</v>
      </c>
      <c r="K15" s="256">
        <f t="shared" si="5"/>
        <v>6.19391338275459E-2</v>
      </c>
      <c r="L15" s="256">
        <f t="shared" si="5"/>
        <v>6.19391338275459E-2</v>
      </c>
      <c r="M15" s="256">
        <f t="shared" si="5"/>
        <v>6.19391338275459E-2</v>
      </c>
      <c r="N15" s="256">
        <f t="shared" si="5"/>
        <v>6.19391338275459E-2</v>
      </c>
      <c r="O15" s="256">
        <f t="shared" si="5"/>
        <v>6.19391338275459E-2</v>
      </c>
      <c r="P15" s="256">
        <f t="shared" si="5"/>
        <v>6.19391338275459E-2</v>
      </c>
      <c r="Q15" s="244"/>
      <c r="R15" s="50"/>
      <c r="S15" s="43"/>
      <c r="T15" s="43"/>
      <c r="U15" s="43"/>
    </row>
    <row r="16" spans="1:21" s="10" customFormat="1">
      <c r="A16" s="43"/>
      <c r="B16" s="43"/>
      <c r="C16" s="44"/>
      <c r="D16" s="44"/>
      <c r="E16" s="44"/>
      <c r="F16" s="55"/>
      <c r="G16" s="245"/>
      <c r="H16" s="245"/>
      <c r="I16" s="245"/>
      <c r="J16" s="245"/>
      <c r="K16" s="245"/>
      <c r="L16" s="245"/>
      <c r="M16" s="245"/>
      <c r="N16" s="245"/>
      <c r="O16" s="245"/>
      <c r="P16" s="245"/>
      <c r="Q16" s="245"/>
      <c r="R16" s="255"/>
      <c r="S16" s="43"/>
      <c r="T16" s="43"/>
      <c r="U16" s="43"/>
    </row>
    <row r="17" spans="1:21" s="322" customFormat="1">
      <c r="A17" s="78"/>
      <c r="C17" s="323"/>
      <c r="D17" s="324"/>
      <c r="E17" s="49"/>
      <c r="F17" s="318"/>
      <c r="G17" s="1613" t="s">
        <v>266</v>
      </c>
      <c r="H17" s="1614"/>
      <c r="I17" s="1614"/>
      <c r="J17" s="1614"/>
      <c r="K17" s="1614"/>
      <c r="L17" s="1614"/>
      <c r="M17" s="1614"/>
      <c r="N17" s="1614"/>
      <c r="O17" s="1614"/>
      <c r="P17" s="1615"/>
      <c r="Q17" s="441"/>
      <c r="R17" s="325" t="s">
        <v>267</v>
      </c>
      <c r="S17" s="78"/>
      <c r="T17" s="78"/>
      <c r="U17" s="78"/>
    </row>
    <row r="18" spans="1:21" s="10" customFormat="1">
      <c r="A18" s="43"/>
      <c r="B18" s="52" t="s">
        <v>8</v>
      </c>
      <c r="C18" s="43"/>
      <c r="D18" s="44"/>
      <c r="E18" s="43"/>
      <c r="F18" s="49" t="s">
        <v>212</v>
      </c>
      <c r="G18" s="263">
        <f t="shared" ref="G18:P18" si="6">G8*G10+G9*G14</f>
        <v>9.7619999999999998E-2</v>
      </c>
      <c r="H18" s="263">
        <f t="shared" si="6"/>
        <v>9.7619999999999998E-2</v>
      </c>
      <c r="I18" s="263">
        <f t="shared" si="6"/>
        <v>9.7619999999999998E-2</v>
      </c>
      <c r="J18" s="263">
        <f t="shared" si="6"/>
        <v>9.7619999999999998E-2</v>
      </c>
      <c r="K18" s="263">
        <f t="shared" si="6"/>
        <v>9.7619999999999998E-2</v>
      </c>
      <c r="L18" s="263">
        <f t="shared" si="6"/>
        <v>9.7619999999999998E-2</v>
      </c>
      <c r="M18" s="263">
        <f t="shared" si="6"/>
        <v>9.7619999999999998E-2</v>
      </c>
      <c r="N18" s="263">
        <f t="shared" si="6"/>
        <v>9.7619999999999998E-2</v>
      </c>
      <c r="O18" s="263">
        <f t="shared" si="6"/>
        <v>9.7619999999999998E-2</v>
      </c>
      <c r="P18" s="263">
        <f t="shared" si="6"/>
        <v>9.7619999999999998E-2</v>
      </c>
      <c r="Q18" s="253"/>
      <c r="R18" s="247">
        <f ca="1">Analysis!$E$126</f>
        <v>9.7619999999998486E-2</v>
      </c>
      <c r="S18" s="43"/>
      <c r="T18" s="43"/>
      <c r="U18" s="43"/>
    </row>
    <row r="19" spans="1:21" s="10" customFormat="1">
      <c r="A19" s="43"/>
      <c r="B19" s="1474" t="s">
        <v>9</v>
      </c>
      <c r="C19" s="1474"/>
      <c r="D19" s="1474"/>
      <c r="E19" s="1474"/>
      <c r="F19" s="1475" t="s">
        <v>212</v>
      </c>
      <c r="G19" s="1476">
        <f t="shared" ref="G19:P19" si="7">G8*G11+G9*G15</f>
        <v>7.0639875146312953E-2</v>
      </c>
      <c r="H19" s="260">
        <f t="shared" si="7"/>
        <v>7.0639875146312953E-2</v>
      </c>
      <c r="I19" s="260">
        <f t="shared" si="7"/>
        <v>7.0639875146312953E-2</v>
      </c>
      <c r="J19" s="260">
        <f t="shared" si="7"/>
        <v>7.0639875146312953E-2</v>
      </c>
      <c r="K19" s="260">
        <f t="shared" si="7"/>
        <v>7.0639875146312953E-2</v>
      </c>
      <c r="L19" s="260">
        <f t="shared" si="7"/>
        <v>7.0639875146312953E-2</v>
      </c>
      <c r="M19" s="260">
        <f t="shared" si="7"/>
        <v>7.0639875146312953E-2</v>
      </c>
      <c r="N19" s="260">
        <f t="shared" si="7"/>
        <v>7.0639875146312953E-2</v>
      </c>
      <c r="O19" s="260">
        <f t="shared" si="7"/>
        <v>7.0639875146312953E-2</v>
      </c>
      <c r="P19" s="260">
        <f t="shared" si="7"/>
        <v>7.0639875146312953E-2</v>
      </c>
      <c r="Q19" s="251"/>
      <c r="R19" s="246">
        <f ca="1">Analysis!$E$127</f>
        <v>7.0639875146312869E-2</v>
      </c>
      <c r="S19" s="43"/>
      <c r="T19" s="43"/>
      <c r="U19" s="43"/>
    </row>
    <row r="20" spans="1:21" s="10" customFormat="1">
      <c r="A20" s="43"/>
      <c r="B20" s="43" t="s">
        <v>114</v>
      </c>
      <c r="C20" s="44"/>
      <c r="D20" s="46"/>
      <c r="E20" s="46"/>
      <c r="F20" s="55" t="s">
        <v>212</v>
      </c>
      <c r="G20" s="260">
        <f>G10*G8+G14*G9*(1-G28*(1-G7))</f>
        <v>8.5626601441009143E-2</v>
      </c>
      <c r="H20" s="260">
        <f t="shared" ref="H20:P20" si="8">H10*H8+H14*H9*(1-H28*(1-H7))</f>
        <v>8.5626601441009143E-2</v>
      </c>
      <c r="I20" s="260">
        <f t="shared" si="8"/>
        <v>8.5626601441009143E-2</v>
      </c>
      <c r="J20" s="260">
        <f t="shared" si="8"/>
        <v>8.5626601441009143E-2</v>
      </c>
      <c r="K20" s="260">
        <f t="shared" si="8"/>
        <v>8.5626601441009143E-2</v>
      </c>
      <c r="L20" s="260">
        <f t="shared" si="8"/>
        <v>8.5626601441009143E-2</v>
      </c>
      <c r="M20" s="260">
        <f t="shared" si="8"/>
        <v>8.5626601441009143E-2</v>
      </c>
      <c r="N20" s="260">
        <f t="shared" si="8"/>
        <v>8.5626601441009143E-2</v>
      </c>
      <c r="O20" s="260">
        <f t="shared" si="8"/>
        <v>8.5626601441009143E-2</v>
      </c>
      <c r="P20" s="260">
        <f t="shared" si="8"/>
        <v>8.5626601441009143E-2</v>
      </c>
      <c r="Q20" s="251"/>
      <c r="R20" s="246">
        <f ca="1">Analysis!$E$123</f>
        <v>9.0120452824511199E-2</v>
      </c>
      <c r="S20" s="46"/>
      <c r="T20" s="43"/>
      <c r="U20" s="43"/>
    </row>
    <row r="21" spans="1:21" s="10" customFormat="1">
      <c r="A21" s="43"/>
      <c r="B21" s="43" t="s">
        <v>115</v>
      </c>
      <c r="C21" s="44"/>
      <c r="D21" s="46"/>
      <c r="E21" s="46"/>
      <c r="F21" s="55" t="s">
        <v>212</v>
      </c>
      <c r="G21" s="260">
        <f t="shared" ref="G21:P21" si="9">(1+G20)/(1+G6)-1</f>
        <v>5.8941281155881153E-2</v>
      </c>
      <c r="H21" s="260">
        <f t="shared" si="9"/>
        <v>5.8941281155881153E-2</v>
      </c>
      <c r="I21" s="260">
        <f t="shared" si="9"/>
        <v>5.8941281155881153E-2</v>
      </c>
      <c r="J21" s="260">
        <f t="shared" si="9"/>
        <v>5.8941281155881153E-2</v>
      </c>
      <c r="K21" s="260">
        <f t="shared" si="9"/>
        <v>5.8941281155881153E-2</v>
      </c>
      <c r="L21" s="260">
        <f t="shared" si="9"/>
        <v>5.8941281155881153E-2</v>
      </c>
      <c r="M21" s="260">
        <f t="shared" si="9"/>
        <v>5.8941281155881153E-2</v>
      </c>
      <c r="N21" s="260">
        <f t="shared" si="9"/>
        <v>5.8941281155881153E-2</v>
      </c>
      <c r="O21" s="260">
        <f t="shared" si="9"/>
        <v>5.8941281155881153E-2</v>
      </c>
      <c r="P21" s="260">
        <f t="shared" si="9"/>
        <v>5.8941281155881153E-2</v>
      </c>
      <c r="Q21" s="251"/>
      <c r="R21" s="246">
        <f ca="1">Analysis!$E$125</f>
        <v>6.3324671112480191E-2</v>
      </c>
      <c r="S21" s="43"/>
      <c r="T21" s="43"/>
      <c r="U21" s="43"/>
    </row>
    <row r="22" spans="1:21" s="10" customFormat="1">
      <c r="A22" s="43"/>
      <c r="B22" s="43" t="s">
        <v>116</v>
      </c>
      <c r="C22" s="44"/>
      <c r="D22" s="46"/>
      <c r="E22" s="46"/>
      <c r="F22" s="55" t="s">
        <v>212</v>
      </c>
      <c r="G22" s="260">
        <f t="shared" ref="G22:P22" si="10">G10*(1/(1-G27*(1-G7)))*G8+G14*G9</f>
        <v>0.1045599609635802</v>
      </c>
      <c r="H22" s="260">
        <f t="shared" si="10"/>
        <v>0.1045599609635802</v>
      </c>
      <c r="I22" s="260">
        <f t="shared" si="10"/>
        <v>0.1045599609635802</v>
      </c>
      <c r="J22" s="260">
        <f t="shared" si="10"/>
        <v>0.1045599609635802</v>
      </c>
      <c r="K22" s="260">
        <f t="shared" si="10"/>
        <v>0.1045599609635802</v>
      </c>
      <c r="L22" s="260">
        <f t="shared" si="10"/>
        <v>0.1045599609635802</v>
      </c>
      <c r="M22" s="260">
        <f t="shared" si="10"/>
        <v>0.1045599609635802</v>
      </c>
      <c r="N22" s="260">
        <f t="shared" si="10"/>
        <v>0.1045599609635802</v>
      </c>
      <c r="O22" s="260">
        <f t="shared" si="10"/>
        <v>0.1045599609635802</v>
      </c>
      <c r="P22" s="260">
        <f t="shared" si="10"/>
        <v>0.1045599609635802</v>
      </c>
      <c r="Q22" s="251"/>
      <c r="R22" s="246">
        <f ca="1">Analysis!$E$122</f>
        <v>0.12158948107109557</v>
      </c>
      <c r="S22" s="43"/>
      <c r="T22" s="43"/>
      <c r="U22" s="43"/>
    </row>
    <row r="23" spans="1:21" s="10" customFormat="1">
      <c r="A23" s="43"/>
      <c r="B23" s="1474" t="s">
        <v>113</v>
      </c>
      <c r="C23" s="1477"/>
      <c r="D23" s="1478"/>
      <c r="E23" s="1478"/>
      <c r="F23" s="1475" t="s">
        <v>212</v>
      </c>
      <c r="G23" s="1476">
        <f t="shared" ref="G23:P23" si="11">(1+G22)/(1+G6)-1</f>
        <v>7.7409247916094603E-2</v>
      </c>
      <c r="H23" s="260">
        <f t="shared" si="11"/>
        <v>7.7409247916094603E-2</v>
      </c>
      <c r="I23" s="260">
        <f t="shared" si="11"/>
        <v>7.7409247916094603E-2</v>
      </c>
      <c r="J23" s="260">
        <f t="shared" si="11"/>
        <v>7.7409247916094603E-2</v>
      </c>
      <c r="K23" s="260">
        <f t="shared" si="11"/>
        <v>7.7409247916094603E-2</v>
      </c>
      <c r="L23" s="260">
        <f t="shared" si="11"/>
        <v>7.7409247916094603E-2</v>
      </c>
      <c r="M23" s="260">
        <f t="shared" si="11"/>
        <v>7.7409247916094603E-2</v>
      </c>
      <c r="N23" s="260">
        <f t="shared" si="11"/>
        <v>7.7409247916094603E-2</v>
      </c>
      <c r="O23" s="260">
        <f t="shared" si="11"/>
        <v>7.7409247916094603E-2</v>
      </c>
      <c r="P23" s="260">
        <f t="shared" si="11"/>
        <v>7.7409247916094603E-2</v>
      </c>
      <c r="Q23" s="251"/>
      <c r="R23" s="246">
        <f ca="1">Analysis!$E$124</f>
        <v>9.4020172718275674E-2</v>
      </c>
      <c r="S23" s="43"/>
      <c r="T23" s="43"/>
      <c r="U23" s="43"/>
    </row>
    <row r="24" spans="1:21" s="10" customFormat="1">
      <c r="A24" s="43"/>
      <c r="B24" s="43" t="s">
        <v>37</v>
      </c>
      <c r="C24" s="43"/>
      <c r="D24" s="43"/>
      <c r="E24" s="43"/>
      <c r="F24" s="55" t="s">
        <v>212</v>
      </c>
      <c r="G24" s="264">
        <f>G22-G20</f>
        <v>1.8933359522571053E-2</v>
      </c>
      <c r="H24" s="264">
        <f t="shared" ref="H24:P24" si="12">H22-H20</f>
        <v>1.8933359522571053E-2</v>
      </c>
      <c r="I24" s="264">
        <f t="shared" si="12"/>
        <v>1.8933359522571053E-2</v>
      </c>
      <c r="J24" s="264">
        <f t="shared" si="12"/>
        <v>1.8933359522571053E-2</v>
      </c>
      <c r="K24" s="264">
        <f t="shared" si="12"/>
        <v>1.8933359522571053E-2</v>
      </c>
      <c r="L24" s="264">
        <f t="shared" si="12"/>
        <v>1.8933359522571053E-2</v>
      </c>
      <c r="M24" s="264">
        <f t="shared" si="12"/>
        <v>1.8933359522571053E-2</v>
      </c>
      <c r="N24" s="264">
        <f t="shared" si="12"/>
        <v>1.8933359522571053E-2</v>
      </c>
      <c r="O24" s="264">
        <f t="shared" si="12"/>
        <v>1.8933359522571053E-2</v>
      </c>
      <c r="P24" s="264">
        <f t="shared" si="12"/>
        <v>1.8933359522571053E-2</v>
      </c>
      <c r="Q24" s="254"/>
      <c r="R24" s="248">
        <f ca="1">$R$22-$R$20</f>
        <v>3.1469028246584374E-2</v>
      </c>
      <c r="S24" s="43"/>
      <c r="T24" s="43"/>
      <c r="U24" s="43"/>
    </row>
    <row r="25" spans="1:21" s="10" customFormat="1">
      <c r="A25" s="43"/>
      <c r="B25" s="43" t="s">
        <v>38</v>
      </c>
      <c r="C25" s="43"/>
      <c r="D25" s="43"/>
      <c r="E25" s="43"/>
      <c r="F25" s="55" t="s">
        <v>212</v>
      </c>
      <c r="G25" s="264">
        <f>G23-G21</f>
        <v>1.846796676021345E-2</v>
      </c>
      <c r="H25" s="264">
        <f t="shared" ref="H25:P25" si="13">H23-H21</f>
        <v>1.846796676021345E-2</v>
      </c>
      <c r="I25" s="264">
        <f t="shared" si="13"/>
        <v>1.846796676021345E-2</v>
      </c>
      <c r="J25" s="264">
        <f t="shared" si="13"/>
        <v>1.846796676021345E-2</v>
      </c>
      <c r="K25" s="264">
        <f t="shared" si="13"/>
        <v>1.846796676021345E-2</v>
      </c>
      <c r="L25" s="264">
        <f t="shared" si="13"/>
        <v>1.846796676021345E-2</v>
      </c>
      <c r="M25" s="264">
        <f t="shared" si="13"/>
        <v>1.846796676021345E-2</v>
      </c>
      <c r="N25" s="264">
        <f t="shared" si="13"/>
        <v>1.846796676021345E-2</v>
      </c>
      <c r="O25" s="264">
        <f t="shared" si="13"/>
        <v>1.846796676021345E-2</v>
      </c>
      <c r="P25" s="264">
        <f t="shared" si="13"/>
        <v>1.846796676021345E-2</v>
      </c>
      <c r="Q25" s="254"/>
      <c r="R25" s="246">
        <f ca="1">$R$23-$R$21</f>
        <v>3.0695501605795483E-2</v>
      </c>
      <c r="S25" s="43"/>
      <c r="T25" s="43"/>
      <c r="U25" s="43"/>
    </row>
    <row r="26" spans="1:21" s="10" customFormat="1">
      <c r="A26" s="43"/>
      <c r="B26" s="43"/>
      <c r="C26" s="43"/>
      <c r="D26" s="43"/>
      <c r="E26" s="43"/>
      <c r="F26" s="50"/>
      <c r="G26" s="265"/>
      <c r="H26" s="265"/>
      <c r="I26" s="265"/>
      <c r="J26" s="265"/>
      <c r="K26" s="265"/>
      <c r="L26" s="265"/>
      <c r="M26" s="265"/>
      <c r="N26" s="265"/>
      <c r="O26" s="265"/>
      <c r="P26" s="265"/>
      <c r="Q26" s="55"/>
      <c r="R26" s="50"/>
      <c r="S26" s="43"/>
      <c r="T26" s="43"/>
      <c r="U26" s="43"/>
    </row>
    <row r="27" spans="1:21" s="10" customFormat="1">
      <c r="A27" s="43"/>
      <c r="B27" s="78" t="s">
        <v>496</v>
      </c>
      <c r="C27" s="44"/>
      <c r="D27" s="55" t="s">
        <v>4</v>
      </c>
      <c r="E27" s="53"/>
      <c r="F27" s="49"/>
      <c r="G27" s="457">
        <v>0.1802354561846613</v>
      </c>
      <c r="H27" s="257">
        <f>G27</f>
        <v>0.1802354561846613</v>
      </c>
      <c r="I27" s="257">
        <f t="shared" ref="I27:P27" si="14">H27</f>
        <v>0.1802354561846613</v>
      </c>
      <c r="J27" s="257">
        <f t="shared" si="14"/>
        <v>0.1802354561846613</v>
      </c>
      <c r="K27" s="257">
        <f t="shared" si="14"/>
        <v>0.1802354561846613</v>
      </c>
      <c r="L27" s="257">
        <f t="shared" si="14"/>
        <v>0.1802354561846613</v>
      </c>
      <c r="M27" s="257">
        <f t="shared" si="14"/>
        <v>0.1802354561846613</v>
      </c>
      <c r="N27" s="257">
        <f t="shared" si="14"/>
        <v>0.1802354561846613</v>
      </c>
      <c r="O27" s="257">
        <f t="shared" si="14"/>
        <v>0.1802354561846613</v>
      </c>
      <c r="P27" s="257">
        <f t="shared" si="14"/>
        <v>0.1802354561846613</v>
      </c>
      <c r="Q27" s="244"/>
      <c r="R27" s="248">
        <f ca="1">Analysis!$D$109</f>
        <v>0.48308563706540786</v>
      </c>
      <c r="S27" s="43"/>
      <c r="T27" s="43"/>
      <c r="U27" s="43"/>
    </row>
    <row r="28" spans="1:21" s="10" customFormat="1">
      <c r="A28" s="43"/>
      <c r="B28" s="78" t="s">
        <v>495</v>
      </c>
      <c r="C28" s="44"/>
      <c r="D28" s="55" t="s">
        <v>5</v>
      </c>
      <c r="E28" s="53"/>
      <c r="F28" s="49"/>
      <c r="G28" s="458">
        <v>0.30047347009873149</v>
      </c>
      <c r="H28" s="257">
        <f>G28</f>
        <v>0.30047347009873149</v>
      </c>
      <c r="I28" s="257">
        <f t="shared" ref="I28:P28" si="15">H28</f>
        <v>0.30047347009873149</v>
      </c>
      <c r="J28" s="257">
        <f t="shared" si="15"/>
        <v>0.30047347009873149</v>
      </c>
      <c r="K28" s="257">
        <f t="shared" si="15"/>
        <v>0.30047347009873149</v>
      </c>
      <c r="L28" s="257">
        <f t="shared" si="15"/>
        <v>0.30047347009873149</v>
      </c>
      <c r="M28" s="257">
        <f t="shared" si="15"/>
        <v>0.30047347009873149</v>
      </c>
      <c r="N28" s="257">
        <f t="shared" si="15"/>
        <v>0.30047347009873149</v>
      </c>
      <c r="O28" s="257">
        <f t="shared" si="15"/>
        <v>0.30047347009873149</v>
      </c>
      <c r="P28" s="257">
        <f t="shared" si="15"/>
        <v>0.30047347009873149</v>
      </c>
      <c r="Q28" s="244"/>
      <c r="R28" s="248">
        <f ca="1">Analysis!$D$120</f>
        <v>0.28957160205039756</v>
      </c>
      <c r="S28" s="43"/>
      <c r="T28" s="43"/>
      <c r="U28" s="43"/>
    </row>
    <row r="29" spans="1:21" s="10" customFormat="1">
      <c r="A29" s="43"/>
      <c r="B29" s="54"/>
      <c r="C29" s="50"/>
      <c r="D29" s="50"/>
      <c r="E29" s="50"/>
      <c r="F29" s="50"/>
      <c r="G29" s="459"/>
      <c r="H29" s="265"/>
      <c r="I29" s="265"/>
      <c r="J29" s="265"/>
      <c r="K29" s="265"/>
      <c r="L29" s="265"/>
      <c r="M29" s="265"/>
      <c r="N29" s="265"/>
      <c r="O29" s="265"/>
      <c r="P29" s="265"/>
      <c r="Q29" s="55"/>
      <c r="R29" s="252"/>
      <c r="S29" s="43"/>
      <c r="T29" s="43"/>
      <c r="U29" s="43"/>
    </row>
    <row r="30" spans="1:21" s="10" customFormat="1">
      <c r="A30" s="43"/>
      <c r="B30" s="54"/>
      <c r="C30" s="50"/>
      <c r="D30" s="50"/>
      <c r="E30" s="50"/>
      <c r="F30" s="50"/>
      <c r="G30" s="459"/>
      <c r="H30" s="270" t="s">
        <v>221</v>
      </c>
      <c r="I30" s="265"/>
      <c r="J30" s="265"/>
      <c r="K30" s="265"/>
      <c r="L30" s="265"/>
      <c r="M30" s="265"/>
      <c r="N30" s="265"/>
      <c r="O30" s="265"/>
      <c r="P30" s="265"/>
      <c r="Q30" s="55"/>
      <c r="R30" s="252"/>
      <c r="S30" s="43"/>
      <c r="T30" s="43"/>
      <c r="U30" s="43"/>
    </row>
    <row r="31" spans="1:21" s="10" customFormat="1">
      <c r="A31" s="43"/>
      <c r="B31" s="54"/>
      <c r="C31" s="50"/>
      <c r="D31" s="50"/>
      <c r="E31" s="50"/>
      <c r="F31" s="50"/>
      <c r="G31" s="459"/>
      <c r="H31" s="271" t="s">
        <v>497</v>
      </c>
      <c r="I31" s="265"/>
      <c r="J31" s="265"/>
      <c r="K31" s="265"/>
      <c r="L31" s="265"/>
      <c r="M31" s="265"/>
      <c r="N31" s="265"/>
      <c r="O31" s="265"/>
      <c r="P31" s="265"/>
      <c r="Q31" s="55"/>
      <c r="R31" s="252"/>
      <c r="S31" s="43"/>
      <c r="T31" s="43"/>
      <c r="U31" s="43"/>
    </row>
    <row r="32" spans="1:21" s="10" customFormat="1">
      <c r="A32" s="43"/>
      <c r="B32" s="54"/>
      <c r="C32" s="50"/>
      <c r="D32" s="50"/>
      <c r="E32" s="50"/>
      <c r="F32" s="50"/>
      <c r="G32" s="460"/>
      <c r="H32" s="271" t="s">
        <v>498</v>
      </c>
      <c r="I32" s="265"/>
      <c r="J32" s="265"/>
      <c r="K32" s="265"/>
      <c r="L32" s="265"/>
      <c r="M32" s="265"/>
      <c r="N32" s="265"/>
      <c r="O32" s="265"/>
      <c r="P32" s="265"/>
      <c r="Q32" s="55"/>
      <c r="R32" s="252"/>
      <c r="S32" s="43"/>
      <c r="T32" s="43"/>
      <c r="U32" s="43"/>
    </row>
    <row r="33" spans="1:21" s="10" customFormat="1">
      <c r="A33" s="43"/>
      <c r="B33" s="54"/>
      <c r="C33" s="50"/>
      <c r="D33" s="50"/>
      <c r="E33" s="50"/>
      <c r="F33" s="50"/>
      <c r="G33" s="265"/>
      <c r="H33" s="271"/>
      <c r="I33" s="265"/>
      <c r="J33" s="265"/>
      <c r="K33" s="265"/>
      <c r="L33" s="265"/>
      <c r="M33" s="265"/>
      <c r="N33" s="265"/>
      <c r="O33" s="265"/>
      <c r="P33" s="265"/>
      <c r="Q33" s="55"/>
      <c r="R33" s="252"/>
      <c r="S33" s="43"/>
      <c r="T33" s="43"/>
      <c r="U33" s="43"/>
    </row>
    <row r="34" spans="1:21" s="10" customFormat="1">
      <c r="A34" s="43"/>
      <c r="B34" s="50"/>
      <c r="C34" s="50"/>
      <c r="D34" s="50"/>
      <c r="E34" s="50"/>
      <c r="F34" s="50"/>
      <c r="G34" s="49" t="s">
        <v>94</v>
      </c>
      <c r="H34" s="49"/>
      <c r="I34" s="49"/>
      <c r="J34" s="49"/>
      <c r="K34" s="49"/>
      <c r="L34" s="49"/>
      <c r="M34" s="49"/>
      <c r="N34" s="49"/>
      <c r="O34" s="49"/>
      <c r="P34" s="49"/>
      <c r="Q34" s="49"/>
      <c r="R34" s="50"/>
      <c r="S34" s="43"/>
      <c r="T34" s="43"/>
      <c r="U34" s="43"/>
    </row>
    <row r="35" spans="1:21" s="10" customFormat="1">
      <c r="A35" s="43"/>
      <c r="B35" s="50"/>
      <c r="C35" s="50"/>
      <c r="D35" s="50"/>
      <c r="E35" s="50"/>
      <c r="F35" s="50"/>
      <c r="G35" s="49" t="s">
        <v>93</v>
      </c>
      <c r="H35" s="49"/>
      <c r="I35" s="49"/>
      <c r="J35" s="49"/>
      <c r="K35" s="49"/>
      <c r="L35" s="49"/>
      <c r="M35" s="49"/>
      <c r="N35" s="49"/>
      <c r="O35" s="49"/>
      <c r="P35" s="49"/>
      <c r="Q35" s="49"/>
      <c r="R35" s="50"/>
      <c r="S35" s="43"/>
      <c r="T35" s="43"/>
      <c r="U35" s="43"/>
    </row>
    <row r="36" spans="1:21">
      <c r="A36" s="47"/>
      <c r="B36" s="56"/>
      <c r="C36" s="56"/>
      <c r="D36" s="56"/>
      <c r="E36" s="56"/>
      <c r="F36" s="56"/>
      <c r="G36" s="56"/>
      <c r="H36" s="56"/>
      <c r="I36" s="56"/>
      <c r="J36" s="56"/>
      <c r="K36" s="56"/>
      <c r="L36" s="56"/>
      <c r="M36" s="56"/>
      <c r="N36" s="56"/>
      <c r="O36" s="56"/>
      <c r="P36" s="56"/>
      <c r="Q36" s="56"/>
      <c r="R36" s="47"/>
      <c r="S36" s="47"/>
      <c r="T36" s="47"/>
      <c r="U36" s="47"/>
    </row>
    <row r="37" spans="1:21">
      <c r="A37" s="47"/>
      <c r="B37" s="56"/>
      <c r="C37" s="56"/>
      <c r="D37" s="56"/>
      <c r="E37" s="56"/>
      <c r="F37" s="56"/>
      <c r="G37" s="56">
        <f>rvanilla01/G23</f>
        <v>0.91255085210078379</v>
      </c>
      <c r="H37" s="56">
        <f>rvanilla01/H23</f>
        <v>0.91255085210078379</v>
      </c>
      <c r="I37" s="56">
        <f>rvanilla01/I23</f>
        <v>0.91255085210078379</v>
      </c>
      <c r="J37" s="56"/>
      <c r="K37" s="56"/>
      <c r="L37" s="56"/>
      <c r="M37" s="56"/>
      <c r="N37" s="56"/>
      <c r="O37" s="56"/>
      <c r="P37" s="56"/>
      <c r="Q37" s="56"/>
      <c r="R37" s="47"/>
      <c r="S37" s="47"/>
      <c r="T37" s="47"/>
      <c r="U37" s="47"/>
    </row>
    <row r="38" spans="1:21">
      <c r="A38" s="47"/>
      <c r="B38" s="56"/>
      <c r="C38" s="56"/>
      <c r="D38" s="56"/>
      <c r="E38" s="56"/>
      <c r="F38" s="56"/>
      <c r="G38" s="56"/>
      <c r="H38" s="56"/>
      <c r="I38" s="56"/>
      <c r="J38" s="56"/>
      <c r="K38" s="56"/>
      <c r="L38" s="56"/>
      <c r="M38" s="56"/>
      <c r="N38" s="56"/>
      <c r="O38" s="56"/>
      <c r="P38" s="56"/>
      <c r="Q38" s="56"/>
      <c r="R38" s="47"/>
      <c r="S38" s="47"/>
      <c r="T38" s="47"/>
      <c r="U38" s="47"/>
    </row>
    <row r="39" spans="1:21">
      <c r="A39" s="47"/>
      <c r="B39" s="56"/>
      <c r="C39" s="56"/>
      <c r="D39" s="56"/>
      <c r="E39" s="56"/>
      <c r="F39" s="56"/>
      <c r="G39" s="56"/>
      <c r="H39" s="56"/>
      <c r="I39" s="56"/>
      <c r="J39" s="56"/>
      <c r="K39" s="56"/>
      <c r="L39" s="56"/>
      <c r="M39" s="56"/>
      <c r="N39" s="56"/>
      <c r="O39" s="56"/>
      <c r="P39" s="56"/>
      <c r="Q39" s="56"/>
      <c r="R39" s="47"/>
      <c r="S39" s="47"/>
      <c r="T39" s="47"/>
      <c r="U39" s="47"/>
    </row>
    <row r="42" spans="1:21">
      <c r="G42" s="663"/>
    </row>
    <row r="43" spans="1:21">
      <c r="G43" s="664"/>
    </row>
  </sheetData>
  <mergeCells count="2">
    <mergeCell ref="G17:P17"/>
    <mergeCell ref="R5:R9"/>
  </mergeCells>
  <phoneticPr fontId="0" type="noConversion"/>
  <printOptions headings="1"/>
  <pageMargins left="0.75" right="0.75" top="1" bottom="1" header="0.5" footer="0.5"/>
  <pageSetup paperSize="9" scale="59" orientation="landscape" horizontalDpi="4294967292" verticalDpi="1200" r:id="rId1"/>
  <headerFooter alignWithMargins="0"/>
  <ignoredErrors>
    <ignoredError sqref="G7 G8:G9 G6 G4:P4 H7:P7 H6:P6 H8:P9 H27:R27 R10:R11 G11:P15 H28:R28 R18:R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972" r:id="rId4" name="Button 84">
              <controlPr defaultSize="0" print="0" autoFill="0" autoPict="0" macro="[0]!Update_Te_and_Td">
                <anchor moveWithCells="1" sizeWithCells="1">
                  <from>
                    <xdr:col>6</xdr:col>
                    <xdr:colOff>38100</xdr:colOff>
                    <xdr:row>29</xdr:row>
                    <xdr:rowOff>76200</xdr:rowOff>
                  </from>
                  <to>
                    <xdr:col>6</xdr:col>
                    <xdr:colOff>657225</xdr:colOff>
                    <xdr:row>31</xdr:row>
                    <xdr:rowOff>123825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sheetPr>
  <dimension ref="A1:BM889"/>
  <sheetViews>
    <sheetView showGridLines="0" zoomScale="85" zoomScaleNormal="85" workbookViewId="0">
      <selection activeCell="G492" sqref="G492"/>
    </sheetView>
  </sheetViews>
  <sheetFormatPr defaultRowHeight="12.75" outlineLevelRow="2"/>
  <cols>
    <col min="1" max="1" width="3.7109375" customWidth="1"/>
    <col min="2" max="2" width="22.85546875" customWidth="1"/>
    <col min="3" max="3" width="12.42578125" customWidth="1"/>
    <col min="5" max="5" width="3.5703125" customWidth="1"/>
    <col min="6" max="13" width="9.85546875" customWidth="1"/>
    <col min="14" max="14" width="8.7109375" customWidth="1"/>
    <col min="15" max="16" width="9.85546875" customWidth="1"/>
    <col min="17" max="61" width="9.5703125" bestFit="1" customWidth="1"/>
  </cols>
  <sheetData>
    <row r="1" spans="1:65">
      <c r="A1" s="240"/>
      <c r="B1" s="240"/>
      <c r="C1" s="240"/>
      <c r="D1" s="240"/>
      <c r="E1" s="240"/>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240"/>
      <c r="BK1" s="240"/>
      <c r="BL1" s="240"/>
      <c r="BM1" s="240"/>
    </row>
    <row r="2" spans="1:65" ht="15.75">
      <c r="A2" s="240"/>
      <c r="B2" s="550" t="str">
        <f>'DMS input'!$C$16&amp;" - Asset Roll Forward"&amp;" - DNSP PTRM - version "&amp;Intro!$L$4</f>
        <v>Aus Elec - Asset Roll Forward - DNSP PTRM - version 3</v>
      </c>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row>
    <row r="3" spans="1:65" s="62" customFormat="1">
      <c r="A3" s="451"/>
      <c r="B3" s="279"/>
      <c r="C3" s="451"/>
      <c r="D3" s="451"/>
      <c r="E3" s="451"/>
      <c r="F3" s="549">
        <v>0</v>
      </c>
      <c r="G3" s="549">
        <f t="shared" ref="G3:AL3" si="0">F3+1</f>
        <v>1</v>
      </c>
      <c r="H3" s="549">
        <f t="shared" si="0"/>
        <v>2</v>
      </c>
      <c r="I3" s="549">
        <f t="shared" si="0"/>
        <v>3</v>
      </c>
      <c r="J3" s="549">
        <f t="shared" si="0"/>
        <v>4</v>
      </c>
      <c r="K3" s="549">
        <f t="shared" si="0"/>
        <v>5</v>
      </c>
      <c r="L3" s="549">
        <f t="shared" si="0"/>
        <v>6</v>
      </c>
      <c r="M3" s="549">
        <f t="shared" si="0"/>
        <v>7</v>
      </c>
      <c r="N3" s="549">
        <f t="shared" si="0"/>
        <v>8</v>
      </c>
      <c r="O3" s="549">
        <f t="shared" si="0"/>
        <v>9</v>
      </c>
      <c r="P3" s="549">
        <f t="shared" si="0"/>
        <v>10</v>
      </c>
      <c r="Q3" s="549">
        <f t="shared" si="0"/>
        <v>11</v>
      </c>
      <c r="R3" s="549">
        <f t="shared" si="0"/>
        <v>12</v>
      </c>
      <c r="S3" s="549">
        <f t="shared" si="0"/>
        <v>13</v>
      </c>
      <c r="T3" s="549">
        <f t="shared" si="0"/>
        <v>14</v>
      </c>
      <c r="U3" s="549">
        <f t="shared" si="0"/>
        <v>15</v>
      </c>
      <c r="V3" s="549">
        <f t="shared" si="0"/>
        <v>16</v>
      </c>
      <c r="W3" s="549">
        <f t="shared" si="0"/>
        <v>17</v>
      </c>
      <c r="X3" s="549">
        <f t="shared" si="0"/>
        <v>18</v>
      </c>
      <c r="Y3" s="549">
        <f t="shared" si="0"/>
        <v>19</v>
      </c>
      <c r="Z3" s="549">
        <f t="shared" si="0"/>
        <v>20</v>
      </c>
      <c r="AA3" s="549">
        <f t="shared" si="0"/>
        <v>21</v>
      </c>
      <c r="AB3" s="549">
        <f t="shared" si="0"/>
        <v>22</v>
      </c>
      <c r="AC3" s="549">
        <f t="shared" si="0"/>
        <v>23</v>
      </c>
      <c r="AD3" s="549">
        <f t="shared" si="0"/>
        <v>24</v>
      </c>
      <c r="AE3" s="549">
        <f t="shared" si="0"/>
        <v>25</v>
      </c>
      <c r="AF3" s="549">
        <f t="shared" si="0"/>
        <v>26</v>
      </c>
      <c r="AG3" s="549">
        <f t="shared" si="0"/>
        <v>27</v>
      </c>
      <c r="AH3" s="549">
        <f t="shared" si="0"/>
        <v>28</v>
      </c>
      <c r="AI3" s="549">
        <f t="shared" si="0"/>
        <v>29</v>
      </c>
      <c r="AJ3" s="549">
        <f t="shared" si="0"/>
        <v>30</v>
      </c>
      <c r="AK3" s="549">
        <f t="shared" si="0"/>
        <v>31</v>
      </c>
      <c r="AL3" s="549">
        <f t="shared" si="0"/>
        <v>32</v>
      </c>
      <c r="AM3" s="549">
        <f t="shared" ref="AM3:BI3" si="1">AL3+1</f>
        <v>33</v>
      </c>
      <c r="AN3" s="549">
        <f t="shared" si="1"/>
        <v>34</v>
      </c>
      <c r="AO3" s="549">
        <f t="shared" si="1"/>
        <v>35</v>
      </c>
      <c r="AP3" s="549">
        <f t="shared" si="1"/>
        <v>36</v>
      </c>
      <c r="AQ3" s="549">
        <f t="shared" si="1"/>
        <v>37</v>
      </c>
      <c r="AR3" s="549">
        <f t="shared" si="1"/>
        <v>38</v>
      </c>
      <c r="AS3" s="549">
        <f t="shared" si="1"/>
        <v>39</v>
      </c>
      <c r="AT3" s="549">
        <f t="shared" si="1"/>
        <v>40</v>
      </c>
      <c r="AU3" s="549">
        <f t="shared" si="1"/>
        <v>41</v>
      </c>
      <c r="AV3" s="549">
        <f t="shared" si="1"/>
        <v>42</v>
      </c>
      <c r="AW3" s="549">
        <f t="shared" si="1"/>
        <v>43</v>
      </c>
      <c r="AX3" s="549">
        <f t="shared" si="1"/>
        <v>44</v>
      </c>
      <c r="AY3" s="549">
        <f t="shared" si="1"/>
        <v>45</v>
      </c>
      <c r="AZ3" s="549">
        <f t="shared" si="1"/>
        <v>46</v>
      </c>
      <c r="BA3" s="549">
        <f t="shared" si="1"/>
        <v>47</v>
      </c>
      <c r="BB3" s="549">
        <f t="shared" si="1"/>
        <v>48</v>
      </c>
      <c r="BC3" s="549">
        <f t="shared" si="1"/>
        <v>49</v>
      </c>
      <c r="BD3" s="549">
        <f t="shared" si="1"/>
        <v>50</v>
      </c>
      <c r="BE3" s="549">
        <f t="shared" si="1"/>
        <v>51</v>
      </c>
      <c r="BF3" s="549">
        <f t="shared" si="1"/>
        <v>52</v>
      </c>
      <c r="BG3" s="549">
        <f t="shared" si="1"/>
        <v>53</v>
      </c>
      <c r="BH3" s="549">
        <f t="shared" si="1"/>
        <v>54</v>
      </c>
      <c r="BI3" s="549">
        <f t="shared" si="1"/>
        <v>55</v>
      </c>
      <c r="BJ3" s="551"/>
      <c r="BK3" s="551"/>
      <c r="BL3" s="551"/>
      <c r="BM3" s="551"/>
    </row>
    <row r="4" spans="1:65" s="62" customFormat="1" ht="15.75">
      <c r="A4" s="517"/>
      <c r="B4" s="517" t="s">
        <v>54</v>
      </c>
      <c r="C4" s="517"/>
      <c r="D4" s="517"/>
      <c r="E4" s="517"/>
      <c r="F4" s="513" t="str">
        <f>'PTRM input'!F241</f>
        <v>2009-10</v>
      </c>
      <c r="G4" s="513" t="str">
        <f>'PTRM input'!G40</f>
        <v>2010-11</v>
      </c>
      <c r="H4" s="513" t="str">
        <f>'PTRM input'!H40</f>
        <v>2011-12</v>
      </c>
      <c r="I4" s="513" t="str">
        <f>'PTRM input'!I40</f>
        <v>2012-13</v>
      </c>
      <c r="J4" s="513" t="str">
        <f>'PTRM input'!J40</f>
        <v>2013-14</v>
      </c>
      <c r="K4" s="513" t="str">
        <f>'PTRM input'!K40</f>
        <v>2014-15</v>
      </c>
      <c r="L4" s="513" t="str">
        <f>'PTRM input'!L40</f>
        <v>2015-16</v>
      </c>
      <c r="M4" s="513" t="str">
        <f>'PTRM input'!M40</f>
        <v>2016-17</v>
      </c>
      <c r="N4" s="513" t="str">
        <f>'PTRM input'!N40</f>
        <v>2017-18</v>
      </c>
      <c r="O4" s="513" t="str">
        <f>'PTRM input'!O40</f>
        <v>2018-19</v>
      </c>
      <c r="P4" s="513" t="str">
        <f>'PTRM input'!P40</f>
        <v>2019-20</v>
      </c>
      <c r="Q4" s="513" t="str">
        <f>(LEFT(P4,4)+1&amp;IF(MID(P4,5,1)="","","-"&amp;TEXT(MID(P4,6,2)+1,"00")))</f>
        <v>2020-21</v>
      </c>
      <c r="R4" s="513" t="str">
        <f t="shared" ref="R4:BI4" si="2">(LEFT(Q4,4)+1&amp;IF(MID(Q4,5,1)="","","-"&amp;TEXT(MID(Q4,6,2)+1,"00")))</f>
        <v>2021-22</v>
      </c>
      <c r="S4" s="513" t="str">
        <f t="shared" si="2"/>
        <v>2022-23</v>
      </c>
      <c r="T4" s="513" t="str">
        <f t="shared" si="2"/>
        <v>2023-24</v>
      </c>
      <c r="U4" s="513" t="str">
        <f t="shared" si="2"/>
        <v>2024-25</v>
      </c>
      <c r="V4" s="513" t="str">
        <f t="shared" si="2"/>
        <v>2025-26</v>
      </c>
      <c r="W4" s="513" t="str">
        <f t="shared" si="2"/>
        <v>2026-27</v>
      </c>
      <c r="X4" s="513" t="str">
        <f t="shared" si="2"/>
        <v>2027-28</v>
      </c>
      <c r="Y4" s="513" t="str">
        <f t="shared" si="2"/>
        <v>2028-29</v>
      </c>
      <c r="Z4" s="513" t="str">
        <f t="shared" si="2"/>
        <v>2029-30</v>
      </c>
      <c r="AA4" s="513" t="str">
        <f t="shared" si="2"/>
        <v>2030-31</v>
      </c>
      <c r="AB4" s="513" t="str">
        <f t="shared" si="2"/>
        <v>2031-32</v>
      </c>
      <c r="AC4" s="513" t="str">
        <f t="shared" si="2"/>
        <v>2032-33</v>
      </c>
      <c r="AD4" s="513" t="str">
        <f t="shared" si="2"/>
        <v>2033-34</v>
      </c>
      <c r="AE4" s="513" t="str">
        <f t="shared" si="2"/>
        <v>2034-35</v>
      </c>
      <c r="AF4" s="513" t="str">
        <f t="shared" si="2"/>
        <v>2035-36</v>
      </c>
      <c r="AG4" s="513" t="str">
        <f t="shared" si="2"/>
        <v>2036-37</v>
      </c>
      <c r="AH4" s="513" t="str">
        <f t="shared" si="2"/>
        <v>2037-38</v>
      </c>
      <c r="AI4" s="513" t="str">
        <f t="shared" si="2"/>
        <v>2038-39</v>
      </c>
      <c r="AJ4" s="513" t="str">
        <f t="shared" si="2"/>
        <v>2039-40</v>
      </c>
      <c r="AK4" s="513" t="str">
        <f t="shared" si="2"/>
        <v>2040-41</v>
      </c>
      <c r="AL4" s="513" t="str">
        <f t="shared" si="2"/>
        <v>2041-42</v>
      </c>
      <c r="AM4" s="513" t="str">
        <f t="shared" si="2"/>
        <v>2042-43</v>
      </c>
      <c r="AN4" s="513" t="str">
        <f t="shared" si="2"/>
        <v>2043-44</v>
      </c>
      <c r="AO4" s="513" t="str">
        <f t="shared" si="2"/>
        <v>2044-45</v>
      </c>
      <c r="AP4" s="513" t="str">
        <f t="shared" si="2"/>
        <v>2045-46</v>
      </c>
      <c r="AQ4" s="513" t="str">
        <f t="shared" si="2"/>
        <v>2046-47</v>
      </c>
      <c r="AR4" s="513" t="str">
        <f t="shared" si="2"/>
        <v>2047-48</v>
      </c>
      <c r="AS4" s="513" t="str">
        <f t="shared" si="2"/>
        <v>2048-49</v>
      </c>
      <c r="AT4" s="513" t="str">
        <f t="shared" si="2"/>
        <v>2049-50</v>
      </c>
      <c r="AU4" s="513" t="str">
        <f t="shared" si="2"/>
        <v>2050-51</v>
      </c>
      <c r="AV4" s="513" t="str">
        <f t="shared" si="2"/>
        <v>2051-52</v>
      </c>
      <c r="AW4" s="513" t="str">
        <f t="shared" si="2"/>
        <v>2052-53</v>
      </c>
      <c r="AX4" s="513" t="str">
        <f t="shared" si="2"/>
        <v>2053-54</v>
      </c>
      <c r="AY4" s="513" t="str">
        <f t="shared" si="2"/>
        <v>2054-55</v>
      </c>
      <c r="AZ4" s="513" t="str">
        <f t="shared" si="2"/>
        <v>2055-56</v>
      </c>
      <c r="BA4" s="513" t="str">
        <f t="shared" si="2"/>
        <v>2056-57</v>
      </c>
      <c r="BB4" s="513" t="str">
        <f t="shared" si="2"/>
        <v>2057-58</v>
      </c>
      <c r="BC4" s="513" t="str">
        <f t="shared" si="2"/>
        <v>2058-59</v>
      </c>
      <c r="BD4" s="513" t="str">
        <f t="shared" si="2"/>
        <v>2059-60</v>
      </c>
      <c r="BE4" s="513" t="str">
        <f t="shared" si="2"/>
        <v>2060-61</v>
      </c>
      <c r="BF4" s="513" t="str">
        <f t="shared" si="2"/>
        <v>2061-62</v>
      </c>
      <c r="BG4" s="513" t="str">
        <f t="shared" si="2"/>
        <v>2062-63</v>
      </c>
      <c r="BH4" s="513" t="str">
        <f t="shared" si="2"/>
        <v>2063-64</v>
      </c>
      <c r="BI4" s="513" t="str">
        <f t="shared" si="2"/>
        <v>2064-65</v>
      </c>
      <c r="BJ4" s="513"/>
      <c r="BK4" s="237"/>
      <c r="BL4" s="237"/>
      <c r="BM4" s="237"/>
    </row>
    <row r="5" spans="1:65" s="62" customFormat="1">
      <c r="A5" s="451"/>
      <c r="B5" s="451"/>
      <c r="C5" s="451"/>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1"/>
      <c r="AG5" s="451"/>
      <c r="AH5" s="451"/>
      <c r="AI5" s="451"/>
      <c r="AJ5" s="451"/>
      <c r="AK5" s="451"/>
      <c r="AL5" s="451"/>
      <c r="AM5" s="451"/>
      <c r="AN5" s="451"/>
      <c r="AO5" s="451"/>
      <c r="AP5" s="451"/>
      <c r="AQ5" s="451"/>
      <c r="AR5" s="451"/>
      <c r="AS5" s="451"/>
      <c r="AT5" s="451"/>
      <c r="AU5" s="451"/>
      <c r="AV5" s="451"/>
      <c r="AW5" s="451"/>
      <c r="AX5" s="451"/>
      <c r="AY5" s="451"/>
      <c r="AZ5" s="451"/>
      <c r="BA5" s="451"/>
      <c r="BB5" s="451"/>
      <c r="BC5" s="451"/>
      <c r="BD5" s="451"/>
      <c r="BE5" s="451"/>
      <c r="BF5" s="451"/>
      <c r="BG5" s="451"/>
      <c r="BH5" s="451"/>
      <c r="BI5" s="451"/>
      <c r="BJ5" s="237"/>
      <c r="BK5" s="237"/>
      <c r="BL5" s="237"/>
      <c r="BM5" s="237"/>
    </row>
    <row r="6" spans="1:65" s="190" customFormat="1" ht="12" customHeight="1">
      <c r="A6" s="237"/>
      <c r="B6" s="237" t="s">
        <v>101</v>
      </c>
      <c r="C6" s="237"/>
      <c r="D6" s="1473">
        <f>f</f>
        <v>2.52E-2</v>
      </c>
      <c r="E6" s="237"/>
      <c r="F6" s="237"/>
      <c r="G6" s="1473">
        <f>$D$6</f>
        <v>2.52E-2</v>
      </c>
      <c r="H6" s="361">
        <f t="shared" ref="H6:BI6" si="3">$D$6</f>
        <v>2.52E-2</v>
      </c>
      <c r="I6" s="361">
        <f t="shared" si="3"/>
        <v>2.52E-2</v>
      </c>
      <c r="J6" s="361">
        <f t="shared" si="3"/>
        <v>2.52E-2</v>
      </c>
      <c r="K6" s="361">
        <f t="shared" si="3"/>
        <v>2.52E-2</v>
      </c>
      <c r="L6" s="361">
        <f t="shared" si="3"/>
        <v>2.52E-2</v>
      </c>
      <c r="M6" s="361">
        <f t="shared" si="3"/>
        <v>2.52E-2</v>
      </c>
      <c r="N6" s="361">
        <f t="shared" si="3"/>
        <v>2.52E-2</v>
      </c>
      <c r="O6" s="361">
        <f t="shared" si="3"/>
        <v>2.52E-2</v>
      </c>
      <c r="P6" s="361">
        <f t="shared" si="3"/>
        <v>2.52E-2</v>
      </c>
      <c r="Q6" s="361">
        <f t="shared" si="3"/>
        <v>2.52E-2</v>
      </c>
      <c r="R6" s="361">
        <f t="shared" si="3"/>
        <v>2.52E-2</v>
      </c>
      <c r="S6" s="361">
        <f t="shared" si="3"/>
        <v>2.52E-2</v>
      </c>
      <c r="T6" s="361">
        <f t="shared" si="3"/>
        <v>2.52E-2</v>
      </c>
      <c r="U6" s="361">
        <f t="shared" si="3"/>
        <v>2.52E-2</v>
      </c>
      <c r="V6" s="361">
        <f t="shared" si="3"/>
        <v>2.52E-2</v>
      </c>
      <c r="W6" s="361">
        <f t="shared" si="3"/>
        <v>2.52E-2</v>
      </c>
      <c r="X6" s="361">
        <f t="shared" si="3"/>
        <v>2.52E-2</v>
      </c>
      <c r="Y6" s="361">
        <f t="shared" si="3"/>
        <v>2.52E-2</v>
      </c>
      <c r="Z6" s="361">
        <f t="shared" si="3"/>
        <v>2.52E-2</v>
      </c>
      <c r="AA6" s="361">
        <f t="shared" si="3"/>
        <v>2.52E-2</v>
      </c>
      <c r="AB6" s="361">
        <f t="shared" si="3"/>
        <v>2.52E-2</v>
      </c>
      <c r="AC6" s="361">
        <f t="shared" si="3"/>
        <v>2.52E-2</v>
      </c>
      <c r="AD6" s="361">
        <f t="shared" si="3"/>
        <v>2.52E-2</v>
      </c>
      <c r="AE6" s="361">
        <f t="shared" si="3"/>
        <v>2.52E-2</v>
      </c>
      <c r="AF6" s="361">
        <f t="shared" si="3"/>
        <v>2.52E-2</v>
      </c>
      <c r="AG6" s="361">
        <f t="shared" si="3"/>
        <v>2.52E-2</v>
      </c>
      <c r="AH6" s="361">
        <f t="shared" si="3"/>
        <v>2.52E-2</v>
      </c>
      <c r="AI6" s="361">
        <f t="shared" si="3"/>
        <v>2.52E-2</v>
      </c>
      <c r="AJ6" s="361">
        <f t="shared" si="3"/>
        <v>2.52E-2</v>
      </c>
      <c r="AK6" s="361">
        <f t="shared" si="3"/>
        <v>2.52E-2</v>
      </c>
      <c r="AL6" s="361">
        <f t="shared" si="3"/>
        <v>2.52E-2</v>
      </c>
      <c r="AM6" s="361">
        <f t="shared" si="3"/>
        <v>2.52E-2</v>
      </c>
      <c r="AN6" s="361">
        <f t="shared" si="3"/>
        <v>2.52E-2</v>
      </c>
      <c r="AO6" s="361">
        <f t="shared" si="3"/>
        <v>2.52E-2</v>
      </c>
      <c r="AP6" s="361">
        <f t="shared" si="3"/>
        <v>2.52E-2</v>
      </c>
      <c r="AQ6" s="361">
        <f t="shared" si="3"/>
        <v>2.52E-2</v>
      </c>
      <c r="AR6" s="361">
        <f t="shared" si="3"/>
        <v>2.52E-2</v>
      </c>
      <c r="AS6" s="361">
        <f t="shared" si="3"/>
        <v>2.52E-2</v>
      </c>
      <c r="AT6" s="361">
        <f t="shared" si="3"/>
        <v>2.52E-2</v>
      </c>
      <c r="AU6" s="361">
        <f t="shared" si="3"/>
        <v>2.52E-2</v>
      </c>
      <c r="AV6" s="361">
        <f t="shared" si="3"/>
        <v>2.52E-2</v>
      </c>
      <c r="AW6" s="361">
        <f t="shared" si="3"/>
        <v>2.52E-2</v>
      </c>
      <c r="AX6" s="361">
        <f t="shared" si="3"/>
        <v>2.52E-2</v>
      </c>
      <c r="AY6" s="361">
        <f t="shared" si="3"/>
        <v>2.52E-2</v>
      </c>
      <c r="AZ6" s="361">
        <f t="shared" si="3"/>
        <v>2.52E-2</v>
      </c>
      <c r="BA6" s="361">
        <f t="shared" si="3"/>
        <v>2.52E-2</v>
      </c>
      <c r="BB6" s="361">
        <f t="shared" si="3"/>
        <v>2.52E-2</v>
      </c>
      <c r="BC6" s="361">
        <f t="shared" si="3"/>
        <v>2.52E-2</v>
      </c>
      <c r="BD6" s="361">
        <f t="shared" si="3"/>
        <v>2.52E-2</v>
      </c>
      <c r="BE6" s="361">
        <f t="shared" si="3"/>
        <v>2.52E-2</v>
      </c>
      <c r="BF6" s="361">
        <f t="shared" si="3"/>
        <v>2.52E-2</v>
      </c>
      <c r="BG6" s="361">
        <f t="shared" si="3"/>
        <v>2.52E-2</v>
      </c>
      <c r="BH6" s="361">
        <f t="shared" si="3"/>
        <v>2.52E-2</v>
      </c>
      <c r="BI6" s="361">
        <f t="shared" si="3"/>
        <v>2.52E-2</v>
      </c>
      <c r="BJ6" s="237"/>
      <c r="BK6" s="237"/>
      <c r="BL6" s="237"/>
      <c r="BM6" s="237"/>
    </row>
    <row r="7" spans="1:65" s="190" customFormat="1">
      <c r="A7" s="237"/>
      <c r="B7" s="237" t="s">
        <v>39</v>
      </c>
      <c r="C7" s="237"/>
      <c r="D7" s="237"/>
      <c r="E7" s="237"/>
      <c r="F7" s="1454">
        <v>1</v>
      </c>
      <c r="G7" s="1402">
        <f>F7*(1+G6)</f>
        <v>1.0251999999999999</v>
      </c>
      <c r="H7" s="1402">
        <f>G7*(1+H6)</f>
        <v>1.0510350399999997</v>
      </c>
      <c r="I7" s="552">
        <f t="shared" ref="I7:O7" si="4">H7*(1+I6)</f>
        <v>1.0775211230079995</v>
      </c>
      <c r="J7" s="1402">
        <f>I7*(1+J6)</f>
        <v>1.1046746553078011</v>
      </c>
      <c r="K7" s="552">
        <f t="shared" si="4"/>
        <v>1.1325124566215576</v>
      </c>
      <c r="L7" s="552">
        <f t="shared" si="4"/>
        <v>1.1610517705284207</v>
      </c>
      <c r="M7" s="552">
        <f t="shared" si="4"/>
        <v>1.1903102751457368</v>
      </c>
      <c r="N7" s="552">
        <f t="shared" si="4"/>
        <v>1.2203060940794093</v>
      </c>
      <c r="O7" s="552">
        <f t="shared" si="4"/>
        <v>1.2510578076502104</v>
      </c>
      <c r="P7" s="552">
        <f t="shared" ref="P7:BI7" si="5">O7*(1+P6)</f>
        <v>1.2825844644029956</v>
      </c>
      <c r="Q7" s="552">
        <f t="shared" si="5"/>
        <v>1.314905592905951</v>
      </c>
      <c r="R7" s="552">
        <f t="shared" si="5"/>
        <v>1.3480412138471809</v>
      </c>
      <c r="S7" s="552">
        <f t="shared" si="5"/>
        <v>1.3820118524361298</v>
      </c>
      <c r="T7" s="552">
        <f t="shared" si="5"/>
        <v>1.4168385511175201</v>
      </c>
      <c r="U7" s="552">
        <f t="shared" si="5"/>
        <v>1.4525428826056814</v>
      </c>
      <c r="V7" s="552">
        <f t="shared" si="5"/>
        <v>1.4891469632473444</v>
      </c>
      <c r="W7" s="552">
        <f t="shared" si="5"/>
        <v>1.5266734667211774</v>
      </c>
      <c r="X7" s="552">
        <f t="shared" si="5"/>
        <v>1.565145638082551</v>
      </c>
      <c r="Y7" s="552">
        <f t="shared" si="5"/>
        <v>1.6045873081622311</v>
      </c>
      <c r="Z7" s="552">
        <f t="shared" si="5"/>
        <v>1.6450229083279191</v>
      </c>
      <c r="AA7" s="552">
        <f t="shared" si="5"/>
        <v>1.6864774856177824</v>
      </c>
      <c r="AB7" s="552">
        <f t="shared" si="5"/>
        <v>1.7289767182553504</v>
      </c>
      <c r="AC7" s="552">
        <f t="shared" si="5"/>
        <v>1.772546931555385</v>
      </c>
      <c r="AD7" s="552">
        <f t="shared" si="5"/>
        <v>1.8172151142305806</v>
      </c>
      <c r="AE7" s="552">
        <f t="shared" si="5"/>
        <v>1.863008935109191</v>
      </c>
      <c r="AF7" s="552">
        <f t="shared" si="5"/>
        <v>1.9099567602739425</v>
      </c>
      <c r="AG7" s="552">
        <f t="shared" si="5"/>
        <v>1.9580876706328456</v>
      </c>
      <c r="AH7" s="552">
        <f t="shared" si="5"/>
        <v>2.007431479932793</v>
      </c>
      <c r="AI7" s="552">
        <f t="shared" si="5"/>
        <v>2.058018753227099</v>
      </c>
      <c r="AJ7" s="552">
        <f t="shared" si="5"/>
        <v>2.1098808258084216</v>
      </c>
      <c r="AK7" s="552">
        <f t="shared" si="5"/>
        <v>2.1630498226187935</v>
      </c>
      <c r="AL7" s="552">
        <f t="shared" si="5"/>
        <v>2.2175586781487868</v>
      </c>
      <c r="AM7" s="552">
        <f t="shared" si="5"/>
        <v>2.2734411568381359</v>
      </c>
      <c r="AN7" s="552">
        <f t="shared" si="5"/>
        <v>2.3307318739904566</v>
      </c>
      <c r="AO7" s="552">
        <f t="shared" si="5"/>
        <v>2.3894663172150157</v>
      </c>
      <c r="AP7" s="552">
        <f t="shared" si="5"/>
        <v>2.4496808684088336</v>
      </c>
      <c r="AQ7" s="552">
        <f t="shared" si="5"/>
        <v>2.511412826292736</v>
      </c>
      <c r="AR7" s="552">
        <f t="shared" si="5"/>
        <v>2.5747004295153126</v>
      </c>
      <c r="AS7" s="552">
        <f t="shared" si="5"/>
        <v>2.6395828803390984</v>
      </c>
      <c r="AT7" s="552">
        <f t="shared" si="5"/>
        <v>2.7061003689236434</v>
      </c>
      <c r="AU7" s="552">
        <f t="shared" si="5"/>
        <v>2.7742940982205191</v>
      </c>
      <c r="AV7" s="552">
        <f t="shared" si="5"/>
        <v>2.844206309495676</v>
      </c>
      <c r="AW7" s="552">
        <f t="shared" si="5"/>
        <v>2.9158803084949665</v>
      </c>
      <c r="AX7" s="552">
        <f t="shared" si="5"/>
        <v>2.9893604922690393</v>
      </c>
      <c r="AY7" s="552">
        <f t="shared" si="5"/>
        <v>3.0646923766742189</v>
      </c>
      <c r="AZ7" s="552">
        <f t="shared" si="5"/>
        <v>3.1419226245664089</v>
      </c>
      <c r="BA7" s="552">
        <f t="shared" si="5"/>
        <v>3.221099074705482</v>
      </c>
      <c r="BB7" s="552">
        <f t="shared" si="5"/>
        <v>3.3022707713880597</v>
      </c>
      <c r="BC7" s="552">
        <f t="shared" si="5"/>
        <v>3.3854879948270384</v>
      </c>
      <c r="BD7" s="552">
        <f t="shared" si="5"/>
        <v>3.4708022922966792</v>
      </c>
      <c r="BE7" s="552">
        <f t="shared" si="5"/>
        <v>3.558266510062555</v>
      </c>
      <c r="BF7" s="552">
        <f t="shared" si="5"/>
        <v>3.6479348261161308</v>
      </c>
      <c r="BG7" s="552">
        <f t="shared" si="5"/>
        <v>3.7398627837342571</v>
      </c>
      <c r="BH7" s="552">
        <f t="shared" si="5"/>
        <v>3.8341073258843599</v>
      </c>
      <c r="BI7" s="552">
        <f t="shared" si="5"/>
        <v>3.9307268304966452</v>
      </c>
      <c r="BJ7" s="237"/>
      <c r="BK7" s="237"/>
      <c r="BL7" s="237"/>
      <c r="BM7" s="237"/>
    </row>
    <row r="8" spans="1:65" s="190" customFormat="1">
      <c r="A8" s="237"/>
      <c r="B8" s="237"/>
      <c r="C8" s="237"/>
      <c r="D8" s="237"/>
      <c r="E8" s="237"/>
      <c r="F8" s="552"/>
      <c r="G8" s="552"/>
      <c r="H8" s="552"/>
      <c r="I8" s="552"/>
      <c r="J8" s="552"/>
      <c r="K8" s="552"/>
      <c r="L8" s="552"/>
      <c r="M8" s="552"/>
      <c r="N8" s="552"/>
      <c r="O8" s="552"/>
      <c r="P8" s="552"/>
      <c r="Q8" s="552"/>
      <c r="R8" s="552"/>
      <c r="S8" s="552"/>
      <c r="T8" s="552"/>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c r="AT8" s="552"/>
      <c r="AU8" s="552"/>
      <c r="AV8" s="552"/>
      <c r="AW8" s="552"/>
      <c r="AX8" s="552"/>
      <c r="AY8" s="552"/>
      <c r="AZ8" s="552"/>
      <c r="BA8" s="552"/>
      <c r="BB8" s="552"/>
      <c r="BC8" s="552"/>
      <c r="BD8" s="552"/>
      <c r="BE8" s="552"/>
      <c r="BF8" s="552"/>
      <c r="BG8" s="552"/>
      <c r="BH8" s="552"/>
      <c r="BI8" s="552"/>
      <c r="BJ8" s="237"/>
      <c r="BK8" s="237"/>
      <c r="BL8" s="237"/>
      <c r="BM8" s="237"/>
    </row>
    <row r="9" spans="1:65" s="190" customFormat="1">
      <c r="A9" s="237"/>
      <c r="B9" s="359" t="s">
        <v>331</v>
      </c>
      <c r="C9" s="237"/>
      <c r="D9" s="237"/>
      <c r="E9" s="237"/>
      <c r="F9" s="1397">
        <f>RAB</f>
        <v>34.786526826130789</v>
      </c>
      <c r="G9" s="552"/>
      <c r="H9" s="552"/>
      <c r="I9" s="552"/>
      <c r="J9" s="552"/>
      <c r="K9" s="552"/>
      <c r="L9" s="552"/>
      <c r="M9" s="552"/>
      <c r="N9" s="552"/>
      <c r="O9" s="552"/>
      <c r="P9" s="552"/>
      <c r="Q9" s="552"/>
      <c r="R9" s="552"/>
      <c r="S9" s="552"/>
      <c r="T9" s="552"/>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c r="AT9" s="552"/>
      <c r="AU9" s="552"/>
      <c r="AV9" s="552"/>
      <c r="AW9" s="552"/>
      <c r="AX9" s="552"/>
      <c r="AY9" s="552"/>
      <c r="AZ9" s="552"/>
      <c r="BA9" s="552"/>
      <c r="BB9" s="552"/>
      <c r="BC9" s="552"/>
      <c r="BD9" s="552"/>
      <c r="BE9" s="552"/>
      <c r="BF9" s="552"/>
      <c r="BG9" s="552"/>
      <c r="BH9" s="552"/>
      <c r="BI9" s="552"/>
      <c r="BJ9" s="237"/>
      <c r="BK9" s="237"/>
      <c r="BL9" s="237"/>
      <c r="BM9" s="237"/>
    </row>
    <row r="10" spans="1:65" s="190" customFormat="1">
      <c r="A10" s="237"/>
      <c r="B10" s="359" t="s">
        <v>332</v>
      </c>
      <c r="C10" s="237"/>
      <c r="D10" s="237"/>
      <c r="E10" s="237"/>
      <c r="F10" s="553"/>
      <c r="G10" s="1421">
        <f>SUM(G11:G40)</f>
        <v>2.4753868820560974</v>
      </c>
      <c r="H10" s="554">
        <f>SUM(H11:H40)</f>
        <v>2.8327614979230478</v>
      </c>
      <c r="I10" s="554">
        <f t="shared" ref="I10:P10" si="6">SUM(I11:I40)</f>
        <v>2.8390365718243769</v>
      </c>
      <c r="J10" s="554">
        <f t="shared" si="6"/>
        <v>2.3300241551597818</v>
      </c>
      <c r="K10" s="554">
        <f t="shared" si="6"/>
        <v>3.0227359638656663</v>
      </c>
      <c r="L10" s="554">
        <f t="shared" si="6"/>
        <v>0</v>
      </c>
      <c r="M10" s="554">
        <f t="shared" si="6"/>
        <v>0</v>
      </c>
      <c r="N10" s="554">
        <f t="shared" si="6"/>
        <v>0</v>
      </c>
      <c r="O10" s="554">
        <f t="shared" si="6"/>
        <v>0</v>
      </c>
      <c r="P10" s="554">
        <f t="shared" si="6"/>
        <v>0</v>
      </c>
      <c r="Q10" s="555"/>
      <c r="R10" s="555"/>
      <c r="S10" s="555"/>
      <c r="T10" s="555"/>
      <c r="U10" s="555"/>
      <c r="V10" s="555"/>
      <c r="W10" s="555"/>
      <c r="X10" s="555"/>
      <c r="Y10" s="555"/>
      <c r="Z10" s="555"/>
      <c r="AA10" s="555"/>
      <c r="AB10" s="555"/>
      <c r="AC10" s="555"/>
      <c r="AD10" s="555"/>
      <c r="AE10" s="555"/>
      <c r="AF10" s="555"/>
      <c r="AG10" s="555"/>
      <c r="AH10" s="555"/>
      <c r="AI10" s="555"/>
      <c r="AJ10" s="555"/>
      <c r="AK10" s="555"/>
      <c r="AL10" s="555"/>
      <c r="AM10" s="555"/>
      <c r="AN10" s="555"/>
      <c r="AO10" s="555"/>
      <c r="AP10" s="555"/>
      <c r="AQ10" s="555"/>
      <c r="AR10" s="555"/>
      <c r="AS10" s="555"/>
      <c r="AT10" s="555"/>
      <c r="AU10" s="555"/>
      <c r="AV10" s="555"/>
      <c r="AW10" s="555"/>
      <c r="AX10" s="555"/>
      <c r="AY10" s="555"/>
      <c r="AZ10" s="555"/>
      <c r="BA10" s="555"/>
      <c r="BB10" s="555"/>
      <c r="BC10" s="555"/>
      <c r="BD10" s="555"/>
      <c r="BE10" s="555"/>
      <c r="BF10" s="555"/>
      <c r="BG10" s="555"/>
      <c r="BH10" s="555"/>
      <c r="BI10" s="555"/>
      <c r="BJ10" s="237"/>
      <c r="BK10" s="237"/>
      <c r="BL10" s="237"/>
      <c r="BM10" s="237"/>
    </row>
    <row r="11" spans="1:65" s="190" customFormat="1" hidden="1" outlineLevel="1">
      <c r="A11" s="237"/>
      <c r="B11" s="551"/>
      <c r="C11" s="556" t="str">
        <f>Asset1</f>
        <v>Pre 1999 Assets</v>
      </c>
      <c r="D11" s="237"/>
      <c r="E11" s="237"/>
      <c r="F11" s="553"/>
      <c r="G11" s="1421">
        <f>'PTRM input'!G143*(1+rvanilla01)^0.5</f>
        <v>0</v>
      </c>
      <c r="H11" s="554">
        <f>'PTRM input'!H143*(1+rvanilla02)^0.5</f>
        <v>0</v>
      </c>
      <c r="I11" s="554">
        <f>'PTRM input'!I143*(1+rvanilla03)^0.5</f>
        <v>0</v>
      </c>
      <c r="J11" s="554">
        <f>'PTRM input'!J143*(1+rvanilla04)^0.5</f>
        <v>0</v>
      </c>
      <c r="K11" s="554">
        <f>'PTRM input'!K143*(1+rvanilla05)^0.5</f>
        <v>0</v>
      </c>
      <c r="L11" s="554">
        <f>'PTRM input'!L143*(1+rvanilla06)^0.5</f>
        <v>0</v>
      </c>
      <c r="M11" s="554">
        <f>'PTRM input'!M143*(1+rvanilla07)^0.5</f>
        <v>0</v>
      </c>
      <c r="N11" s="554">
        <f>'PTRM input'!N143*(1+rvanilla08)^0.5</f>
        <v>0</v>
      </c>
      <c r="O11" s="554">
        <f>'PTRM input'!O143*(1+rvanilla09)^0.5</f>
        <v>0</v>
      </c>
      <c r="P11" s="554">
        <f>'PTRM input'!P143*(1+rvanilla10)^0.5</f>
        <v>0</v>
      </c>
      <c r="Q11" s="555"/>
      <c r="R11" s="555"/>
      <c r="S11" s="555"/>
      <c r="T11" s="555"/>
      <c r="U11" s="555"/>
      <c r="V11" s="555"/>
      <c r="W11" s="555"/>
      <c r="X11" s="555"/>
      <c r="Y11" s="555"/>
      <c r="Z11" s="555"/>
      <c r="AA11" s="555"/>
      <c r="AB11" s="555"/>
      <c r="AC11" s="555"/>
      <c r="AD11" s="555"/>
      <c r="AE11" s="555"/>
      <c r="AF11" s="555"/>
      <c r="AG11" s="555"/>
      <c r="AH11" s="555"/>
      <c r="AI11" s="555"/>
      <c r="AJ11" s="555"/>
      <c r="AK11" s="555"/>
      <c r="AL11" s="555"/>
      <c r="AM11" s="555"/>
      <c r="AN11" s="555"/>
      <c r="AO11" s="555"/>
      <c r="AP11" s="555"/>
      <c r="AQ11" s="555"/>
      <c r="AR11" s="555"/>
      <c r="AS11" s="555"/>
      <c r="AT11" s="555"/>
      <c r="AU11" s="555"/>
      <c r="AV11" s="555"/>
      <c r="AW11" s="555"/>
      <c r="AX11" s="555"/>
      <c r="AY11" s="555"/>
      <c r="AZ11" s="555"/>
      <c r="BA11" s="555"/>
      <c r="BB11" s="555"/>
      <c r="BC11" s="555"/>
      <c r="BD11" s="555"/>
      <c r="BE11" s="555"/>
      <c r="BF11" s="555"/>
      <c r="BG11" s="555"/>
      <c r="BH11" s="555"/>
      <c r="BI11" s="555"/>
      <c r="BJ11" s="237"/>
      <c r="BK11" s="237"/>
      <c r="BL11" s="237"/>
      <c r="BM11" s="237"/>
    </row>
    <row r="12" spans="1:65" s="190" customFormat="1" hidden="1" outlineLevel="1">
      <c r="A12" s="237"/>
      <c r="B12" s="551"/>
      <c r="C12" s="556" t="str">
        <f>Asset2</f>
        <v>Post 1999-2010 Assets</v>
      </c>
      <c r="D12" s="237"/>
      <c r="E12" s="237"/>
      <c r="F12" s="553"/>
      <c r="G12" s="1421">
        <f>'PTRM input'!G144*(1+rvanilla01)^0.5</f>
        <v>0</v>
      </c>
      <c r="H12" s="554">
        <f>'PTRM input'!H144*(1+rvanilla02)^0.5</f>
        <v>0</v>
      </c>
      <c r="I12" s="554">
        <f>'PTRM input'!I144*(1+rvanilla03)^0.5</f>
        <v>0</v>
      </c>
      <c r="J12" s="554">
        <f>'PTRM input'!J144*(1+rvanilla04)^0.5</f>
        <v>0</v>
      </c>
      <c r="K12" s="554">
        <f>'PTRM input'!K144*(1+rvanilla05)^0.5</f>
        <v>0</v>
      </c>
      <c r="L12" s="554">
        <f>'PTRM input'!L144*(1+rvanilla06)^0.5</f>
        <v>0</v>
      </c>
      <c r="M12" s="554">
        <f>'PTRM input'!M144*(1+rvanilla07)^0.5</f>
        <v>0</v>
      </c>
      <c r="N12" s="554">
        <f>'PTRM input'!N144*(1+rvanilla08)^0.5</f>
        <v>0</v>
      </c>
      <c r="O12" s="554">
        <f>'PTRM input'!O144*(1+rvanilla09)^0.5</f>
        <v>0</v>
      </c>
      <c r="P12" s="554">
        <f>'PTRM input'!P144*(1+rvanilla10)^0.5</f>
        <v>0</v>
      </c>
      <c r="Q12" s="555"/>
      <c r="R12" s="555"/>
      <c r="S12" s="555"/>
      <c r="T12" s="555"/>
      <c r="U12" s="555"/>
      <c r="V12" s="555"/>
      <c r="W12" s="555"/>
      <c r="X12" s="555"/>
      <c r="Y12" s="555"/>
      <c r="Z12" s="555"/>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237"/>
      <c r="BK12" s="237"/>
      <c r="BL12" s="237"/>
      <c r="BM12" s="237"/>
    </row>
    <row r="13" spans="1:65" s="190" customFormat="1" hidden="1" outlineLevel="1">
      <c r="A13" s="237"/>
      <c r="B13" s="551"/>
      <c r="C13" s="556" t="str">
        <f>Asset3</f>
        <v>New Capex (Post 2010)</v>
      </c>
      <c r="D13" s="237"/>
      <c r="E13" s="237"/>
      <c r="F13" s="553"/>
      <c r="G13" s="1421">
        <f>'PTRM input'!G145*(1+rvanilla01)^0.5</f>
        <v>2.4753868820560974</v>
      </c>
      <c r="H13" s="554">
        <f>'PTRM input'!H145*(1+rvanilla02)^0.5</f>
        <v>2.8327614979230478</v>
      </c>
      <c r="I13" s="554">
        <f>'PTRM input'!I145*(1+rvanilla03)^0.5</f>
        <v>2.8390365718243769</v>
      </c>
      <c r="J13" s="554">
        <f>'PTRM input'!J145*(1+rvanilla04)^0.5</f>
        <v>2.3300241551597818</v>
      </c>
      <c r="K13" s="554">
        <f>'PTRM input'!K145*(1+rvanilla05)^0.5</f>
        <v>3.0227359638656663</v>
      </c>
      <c r="L13" s="554">
        <f>'PTRM input'!L145*(1+rvanilla06)^0.5</f>
        <v>0</v>
      </c>
      <c r="M13" s="554">
        <f>'PTRM input'!M145*(1+rvanilla07)^0.5</f>
        <v>0</v>
      </c>
      <c r="N13" s="554">
        <f>'PTRM input'!N145*(1+rvanilla08)^0.5</f>
        <v>0</v>
      </c>
      <c r="O13" s="554">
        <f>'PTRM input'!O145*(1+rvanilla09)^0.5</f>
        <v>0</v>
      </c>
      <c r="P13" s="554">
        <f>'PTRM input'!P145*(1+rvanilla10)^0.5</f>
        <v>0</v>
      </c>
      <c r="Q13" s="555"/>
      <c r="R13" s="555"/>
      <c r="S13" s="555"/>
      <c r="T13" s="555"/>
      <c r="U13" s="555"/>
      <c r="V13" s="555"/>
      <c r="W13" s="555"/>
      <c r="X13" s="555"/>
      <c r="Y13" s="555"/>
      <c r="Z13" s="555"/>
      <c r="AA13" s="555"/>
      <c r="AB13" s="555"/>
      <c r="AC13" s="555"/>
      <c r="AD13" s="555"/>
      <c r="AE13" s="555"/>
      <c r="AF13" s="555"/>
      <c r="AG13" s="555"/>
      <c r="AH13" s="555"/>
      <c r="AI13" s="555"/>
      <c r="AJ13" s="555"/>
      <c r="AK13" s="555"/>
      <c r="AL13" s="555"/>
      <c r="AM13" s="555"/>
      <c r="AN13" s="555"/>
      <c r="AO13" s="555"/>
      <c r="AP13" s="555"/>
      <c r="AQ13" s="555"/>
      <c r="AR13" s="555"/>
      <c r="AS13" s="555"/>
      <c r="AT13" s="555"/>
      <c r="AU13" s="555"/>
      <c r="AV13" s="555"/>
      <c r="AW13" s="555"/>
      <c r="AX13" s="555"/>
      <c r="AY13" s="555"/>
      <c r="AZ13" s="555"/>
      <c r="BA13" s="555"/>
      <c r="BB13" s="555"/>
      <c r="BC13" s="555"/>
      <c r="BD13" s="555"/>
      <c r="BE13" s="555"/>
      <c r="BF13" s="555"/>
      <c r="BG13" s="555"/>
      <c r="BH13" s="555"/>
      <c r="BI13" s="555"/>
      <c r="BJ13" s="237"/>
      <c r="BK13" s="237"/>
      <c r="BL13" s="237"/>
      <c r="BM13" s="237"/>
    </row>
    <row r="14" spans="1:65" s="190" customFormat="1" hidden="1" outlineLevel="1">
      <c r="A14" s="237"/>
      <c r="B14" s="551"/>
      <c r="C14" s="556">
        <f>Asset4</f>
        <v>0</v>
      </c>
      <c r="D14" s="237"/>
      <c r="E14" s="237"/>
      <c r="F14" s="553"/>
      <c r="G14" s="1421">
        <f>'PTRM input'!G146*(1+rvanilla01)^0.5</f>
        <v>0</v>
      </c>
      <c r="H14" s="554">
        <f>'PTRM input'!H146*(1+rvanilla02)^0.5</f>
        <v>0</v>
      </c>
      <c r="I14" s="554">
        <f>'PTRM input'!I146*(1+rvanilla03)^0.5</f>
        <v>0</v>
      </c>
      <c r="J14" s="554">
        <f>'PTRM input'!J146*(1+rvanilla04)^0.5</f>
        <v>0</v>
      </c>
      <c r="K14" s="554">
        <f>'PTRM input'!K146*(1+rvanilla05)^0.5</f>
        <v>0</v>
      </c>
      <c r="L14" s="554">
        <f>'PTRM input'!L146*(1+rvanilla06)^0.5</f>
        <v>0</v>
      </c>
      <c r="M14" s="554">
        <f>'PTRM input'!M146*(1+rvanilla07)^0.5</f>
        <v>0</v>
      </c>
      <c r="N14" s="554">
        <f>'PTRM input'!N146*(1+rvanilla08)^0.5</f>
        <v>0</v>
      </c>
      <c r="O14" s="554">
        <f>'PTRM input'!O146*(1+rvanilla09)^0.5</f>
        <v>0</v>
      </c>
      <c r="P14" s="554">
        <f>'PTRM input'!P146*(1+rvanilla10)^0.5</f>
        <v>0</v>
      </c>
      <c r="Q14" s="555"/>
      <c r="R14" s="555"/>
      <c r="S14" s="555"/>
      <c r="T14" s="555"/>
      <c r="U14" s="555"/>
      <c r="V14" s="555"/>
      <c r="W14" s="555"/>
      <c r="X14" s="555"/>
      <c r="Y14" s="555"/>
      <c r="Z14" s="555"/>
      <c r="AA14" s="555"/>
      <c r="AB14" s="555"/>
      <c r="AC14" s="555"/>
      <c r="AD14" s="555"/>
      <c r="AE14" s="555"/>
      <c r="AF14" s="555"/>
      <c r="AG14" s="555"/>
      <c r="AH14" s="555"/>
      <c r="AI14" s="555"/>
      <c r="AJ14" s="555"/>
      <c r="AK14" s="555"/>
      <c r="AL14" s="555"/>
      <c r="AM14" s="555"/>
      <c r="AN14" s="555"/>
      <c r="AO14" s="555"/>
      <c r="AP14" s="555"/>
      <c r="AQ14" s="555"/>
      <c r="AR14" s="555"/>
      <c r="AS14" s="555"/>
      <c r="AT14" s="555"/>
      <c r="AU14" s="555"/>
      <c r="AV14" s="555"/>
      <c r="AW14" s="555"/>
      <c r="AX14" s="555"/>
      <c r="AY14" s="555"/>
      <c r="AZ14" s="555"/>
      <c r="BA14" s="555"/>
      <c r="BB14" s="555"/>
      <c r="BC14" s="555"/>
      <c r="BD14" s="555"/>
      <c r="BE14" s="555"/>
      <c r="BF14" s="555"/>
      <c r="BG14" s="555"/>
      <c r="BH14" s="555"/>
      <c r="BI14" s="555"/>
      <c r="BJ14" s="237"/>
      <c r="BK14" s="237"/>
      <c r="BL14" s="237"/>
      <c r="BM14" s="237"/>
    </row>
    <row r="15" spans="1:65" s="190" customFormat="1" hidden="1" outlineLevel="1">
      <c r="A15" s="237"/>
      <c r="B15" s="551"/>
      <c r="C15" s="556">
        <f>Asset5</f>
        <v>0</v>
      </c>
      <c r="D15" s="237"/>
      <c r="E15" s="237"/>
      <c r="F15" s="553"/>
      <c r="G15" s="1421">
        <f>'PTRM input'!G147*(1+rvanilla01)^0.5</f>
        <v>0</v>
      </c>
      <c r="H15" s="554">
        <f>'PTRM input'!H147*(1+rvanilla02)^0.5</f>
        <v>0</v>
      </c>
      <c r="I15" s="554">
        <f>'PTRM input'!I147*(1+rvanilla03)^0.5</f>
        <v>0</v>
      </c>
      <c r="J15" s="554">
        <f>'PTRM input'!J147*(1+rvanilla04)^0.5</f>
        <v>0</v>
      </c>
      <c r="K15" s="554">
        <f>'PTRM input'!K147*(1+rvanilla05)^0.5</f>
        <v>0</v>
      </c>
      <c r="L15" s="554">
        <f>'PTRM input'!L147*(1+rvanilla06)^0.5</f>
        <v>0</v>
      </c>
      <c r="M15" s="554">
        <f>'PTRM input'!M147*(1+rvanilla07)^0.5</f>
        <v>0</v>
      </c>
      <c r="N15" s="554">
        <f>'PTRM input'!N147*(1+rvanilla08)^0.5</f>
        <v>0</v>
      </c>
      <c r="O15" s="554">
        <f>'PTRM input'!O147*(1+rvanilla09)^0.5</f>
        <v>0</v>
      </c>
      <c r="P15" s="554">
        <f>'PTRM input'!P147*(1+rvanilla10)^0.5</f>
        <v>0</v>
      </c>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5"/>
      <c r="AW15" s="555"/>
      <c r="AX15" s="555"/>
      <c r="AY15" s="555"/>
      <c r="AZ15" s="555"/>
      <c r="BA15" s="555"/>
      <c r="BB15" s="555"/>
      <c r="BC15" s="555"/>
      <c r="BD15" s="555"/>
      <c r="BE15" s="555"/>
      <c r="BF15" s="555"/>
      <c r="BG15" s="555"/>
      <c r="BH15" s="555"/>
      <c r="BI15" s="555"/>
      <c r="BJ15" s="237"/>
      <c r="BK15" s="237"/>
      <c r="BL15" s="237"/>
      <c r="BM15" s="237"/>
    </row>
    <row r="16" spans="1:65" s="190" customFormat="1" hidden="1" outlineLevel="1">
      <c r="A16" s="237"/>
      <c r="B16" s="551"/>
      <c r="C16" s="556">
        <f>Asset6</f>
        <v>0</v>
      </c>
      <c r="D16" s="237"/>
      <c r="E16" s="237"/>
      <c r="F16" s="553"/>
      <c r="G16" s="1421">
        <f>'PTRM input'!G148*(1+rvanilla01)^0.5</f>
        <v>0</v>
      </c>
      <c r="H16" s="554">
        <f>'PTRM input'!H148*(1+rvanilla02)^0.5</f>
        <v>0</v>
      </c>
      <c r="I16" s="554">
        <f>'PTRM input'!I148*(1+rvanilla03)^0.5</f>
        <v>0</v>
      </c>
      <c r="J16" s="554">
        <f>'PTRM input'!J148*(1+rvanilla04)^0.5</f>
        <v>0</v>
      </c>
      <c r="K16" s="554">
        <f>'PTRM input'!K148*(1+rvanilla05)^0.5</f>
        <v>0</v>
      </c>
      <c r="L16" s="554">
        <f>'PTRM input'!L148*(1+rvanilla06)^0.5</f>
        <v>0</v>
      </c>
      <c r="M16" s="554">
        <f>'PTRM input'!M148*(1+rvanilla07)^0.5</f>
        <v>0</v>
      </c>
      <c r="N16" s="554">
        <f>'PTRM input'!N148*(1+rvanilla08)^0.5</f>
        <v>0</v>
      </c>
      <c r="O16" s="554">
        <f>'PTRM input'!O148*(1+rvanilla09)^0.5</f>
        <v>0</v>
      </c>
      <c r="P16" s="554">
        <f>'PTRM input'!P148*(1+rvanilla10)^0.5</f>
        <v>0</v>
      </c>
      <c r="Q16" s="555"/>
      <c r="R16" s="555"/>
      <c r="S16" s="555"/>
      <c r="T16" s="555"/>
      <c r="U16" s="555"/>
      <c r="V16" s="555"/>
      <c r="W16" s="555"/>
      <c r="X16" s="555"/>
      <c r="Y16" s="555"/>
      <c r="Z16" s="555"/>
      <c r="AA16" s="555"/>
      <c r="AB16" s="555"/>
      <c r="AC16" s="555"/>
      <c r="AD16" s="555"/>
      <c r="AE16" s="555"/>
      <c r="AF16" s="555"/>
      <c r="AG16" s="555"/>
      <c r="AH16" s="555"/>
      <c r="AI16" s="555"/>
      <c r="AJ16" s="555"/>
      <c r="AK16" s="555"/>
      <c r="AL16" s="555"/>
      <c r="AM16" s="555"/>
      <c r="AN16" s="555"/>
      <c r="AO16" s="555"/>
      <c r="AP16" s="555"/>
      <c r="AQ16" s="555"/>
      <c r="AR16" s="555"/>
      <c r="AS16" s="555"/>
      <c r="AT16" s="555"/>
      <c r="AU16" s="555"/>
      <c r="AV16" s="555"/>
      <c r="AW16" s="555"/>
      <c r="AX16" s="555"/>
      <c r="AY16" s="555"/>
      <c r="AZ16" s="555"/>
      <c r="BA16" s="555"/>
      <c r="BB16" s="555"/>
      <c r="BC16" s="555"/>
      <c r="BD16" s="555"/>
      <c r="BE16" s="555"/>
      <c r="BF16" s="555"/>
      <c r="BG16" s="555"/>
      <c r="BH16" s="555"/>
      <c r="BI16" s="555"/>
      <c r="BJ16" s="237"/>
      <c r="BK16" s="237"/>
      <c r="BL16" s="237"/>
      <c r="BM16" s="237"/>
    </row>
    <row r="17" spans="1:65" s="190" customFormat="1" hidden="1" outlineLevel="1">
      <c r="A17" s="237"/>
      <c r="B17" s="551"/>
      <c r="C17" s="556">
        <f>Asset7</f>
        <v>0</v>
      </c>
      <c r="D17" s="237"/>
      <c r="E17" s="237"/>
      <c r="F17" s="553"/>
      <c r="G17" s="1421">
        <f>'PTRM input'!G149*(1+rvanilla01)^0.5</f>
        <v>0</v>
      </c>
      <c r="H17" s="554">
        <f>'PTRM input'!H149*(1+rvanilla02)^0.5</f>
        <v>0</v>
      </c>
      <c r="I17" s="554">
        <f>'PTRM input'!I149*(1+rvanilla03)^0.5</f>
        <v>0</v>
      </c>
      <c r="J17" s="554">
        <f>'PTRM input'!J149*(1+rvanilla04)^0.5</f>
        <v>0</v>
      </c>
      <c r="K17" s="554">
        <f>'PTRM input'!K149*(1+rvanilla05)^0.5</f>
        <v>0</v>
      </c>
      <c r="L17" s="554">
        <f>'PTRM input'!L149*(1+rvanilla06)^0.5</f>
        <v>0</v>
      </c>
      <c r="M17" s="554">
        <f>'PTRM input'!M149*(1+rvanilla07)^0.5</f>
        <v>0</v>
      </c>
      <c r="N17" s="554">
        <f>'PTRM input'!N149*(1+rvanilla08)^0.5</f>
        <v>0</v>
      </c>
      <c r="O17" s="554">
        <f>'PTRM input'!O149*(1+rvanilla09)^0.5</f>
        <v>0</v>
      </c>
      <c r="P17" s="554">
        <f>'PTRM input'!P149*(1+rvanilla10)^0.5</f>
        <v>0</v>
      </c>
      <c r="Q17" s="555"/>
      <c r="R17" s="555"/>
      <c r="S17" s="555"/>
      <c r="T17" s="555"/>
      <c r="U17" s="555"/>
      <c r="V17" s="555"/>
      <c r="W17" s="555"/>
      <c r="X17" s="555"/>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5"/>
      <c r="AW17" s="555"/>
      <c r="AX17" s="555"/>
      <c r="AY17" s="555"/>
      <c r="AZ17" s="555"/>
      <c r="BA17" s="555"/>
      <c r="BB17" s="555"/>
      <c r="BC17" s="555"/>
      <c r="BD17" s="555"/>
      <c r="BE17" s="555"/>
      <c r="BF17" s="555"/>
      <c r="BG17" s="555"/>
      <c r="BH17" s="555"/>
      <c r="BI17" s="555"/>
      <c r="BJ17" s="237"/>
      <c r="BK17" s="237"/>
      <c r="BL17" s="237"/>
      <c r="BM17" s="237"/>
    </row>
    <row r="18" spans="1:65" s="190" customFormat="1" hidden="1" outlineLevel="1">
      <c r="A18" s="237"/>
      <c r="B18" s="551"/>
      <c r="C18" s="556">
        <f>Asset8</f>
        <v>0</v>
      </c>
      <c r="D18" s="237"/>
      <c r="E18" s="237"/>
      <c r="F18" s="553"/>
      <c r="G18" s="1421">
        <f>'PTRM input'!G150*(1+rvanilla01)^0.5</f>
        <v>0</v>
      </c>
      <c r="H18" s="554">
        <f>'PTRM input'!H150*(1+rvanilla02)^0.5</f>
        <v>0</v>
      </c>
      <c r="I18" s="554">
        <f>'PTRM input'!I150*(1+rvanilla03)^0.5</f>
        <v>0</v>
      </c>
      <c r="J18" s="554">
        <f>'PTRM input'!J150*(1+rvanilla04)^0.5</f>
        <v>0</v>
      </c>
      <c r="K18" s="554">
        <f>'PTRM input'!K150*(1+rvanilla05)^0.5</f>
        <v>0</v>
      </c>
      <c r="L18" s="554">
        <f>'PTRM input'!L150*(1+rvanilla06)^0.5</f>
        <v>0</v>
      </c>
      <c r="M18" s="554">
        <f>'PTRM input'!M150*(1+rvanilla07)^0.5</f>
        <v>0</v>
      </c>
      <c r="N18" s="554">
        <f>'PTRM input'!N150*(1+rvanilla08)^0.5</f>
        <v>0</v>
      </c>
      <c r="O18" s="554">
        <f>'PTRM input'!O150*(1+rvanilla09)^0.5</f>
        <v>0</v>
      </c>
      <c r="P18" s="554">
        <f>'PTRM input'!P150*(1+rvanilla10)^0.5</f>
        <v>0</v>
      </c>
      <c r="Q18" s="555"/>
      <c r="R18" s="555"/>
      <c r="S18" s="555"/>
      <c r="T18" s="555"/>
      <c r="U18" s="555"/>
      <c r="V18" s="555"/>
      <c r="W18" s="555"/>
      <c r="X18" s="555"/>
      <c r="Y18" s="555"/>
      <c r="Z18" s="555"/>
      <c r="AA18" s="555"/>
      <c r="AB18" s="555"/>
      <c r="AC18" s="555"/>
      <c r="AD18" s="555"/>
      <c r="AE18" s="555"/>
      <c r="AF18" s="555"/>
      <c r="AG18" s="555"/>
      <c r="AH18" s="555"/>
      <c r="AI18" s="555"/>
      <c r="AJ18" s="555"/>
      <c r="AK18" s="555"/>
      <c r="AL18" s="555"/>
      <c r="AM18" s="555"/>
      <c r="AN18" s="555"/>
      <c r="AO18" s="555"/>
      <c r="AP18" s="555"/>
      <c r="AQ18" s="555"/>
      <c r="AR18" s="555"/>
      <c r="AS18" s="555"/>
      <c r="AT18" s="555"/>
      <c r="AU18" s="555"/>
      <c r="AV18" s="555"/>
      <c r="AW18" s="555"/>
      <c r="AX18" s="555"/>
      <c r="AY18" s="555"/>
      <c r="AZ18" s="555"/>
      <c r="BA18" s="555"/>
      <c r="BB18" s="555"/>
      <c r="BC18" s="555"/>
      <c r="BD18" s="555"/>
      <c r="BE18" s="555"/>
      <c r="BF18" s="555"/>
      <c r="BG18" s="555"/>
      <c r="BH18" s="555"/>
      <c r="BI18" s="555"/>
      <c r="BJ18" s="237"/>
      <c r="BK18" s="237"/>
      <c r="BL18" s="237"/>
      <c r="BM18" s="237"/>
    </row>
    <row r="19" spans="1:65" s="190" customFormat="1" hidden="1" outlineLevel="1">
      <c r="A19" s="237"/>
      <c r="B19" s="551"/>
      <c r="C19" s="556">
        <f>Asset9</f>
        <v>0</v>
      </c>
      <c r="D19" s="237"/>
      <c r="E19" s="237"/>
      <c r="F19" s="553"/>
      <c r="G19" s="1421">
        <f>'PTRM input'!G151*(1+rvanilla01)^0.5</f>
        <v>0</v>
      </c>
      <c r="H19" s="554">
        <f>'PTRM input'!H151*(1+rvanilla02)^0.5</f>
        <v>0</v>
      </c>
      <c r="I19" s="554">
        <f>'PTRM input'!I151*(1+rvanilla03)^0.5</f>
        <v>0</v>
      </c>
      <c r="J19" s="554">
        <f>'PTRM input'!J151*(1+rvanilla04)^0.5</f>
        <v>0</v>
      </c>
      <c r="K19" s="554">
        <f>'PTRM input'!K151*(1+rvanilla05)^0.5</f>
        <v>0</v>
      </c>
      <c r="L19" s="554">
        <f>'PTRM input'!L151*(1+rvanilla06)^0.5</f>
        <v>0</v>
      </c>
      <c r="M19" s="554">
        <f>'PTRM input'!M151*(1+rvanilla07)^0.5</f>
        <v>0</v>
      </c>
      <c r="N19" s="554">
        <f>'PTRM input'!N151*(1+rvanilla08)^0.5</f>
        <v>0</v>
      </c>
      <c r="O19" s="554">
        <f>'PTRM input'!O151*(1+rvanilla09)^0.5</f>
        <v>0</v>
      </c>
      <c r="P19" s="554">
        <f>'PTRM input'!P151*(1+rvanilla10)^0.5</f>
        <v>0</v>
      </c>
      <c r="Q19" s="555"/>
      <c r="R19" s="555"/>
      <c r="S19" s="555"/>
      <c r="T19" s="555"/>
      <c r="U19" s="555"/>
      <c r="V19" s="555"/>
      <c r="W19" s="555"/>
      <c r="X19" s="555"/>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237"/>
      <c r="BK19" s="237"/>
      <c r="BL19" s="237"/>
      <c r="BM19" s="237"/>
    </row>
    <row r="20" spans="1:65" s="190" customFormat="1" hidden="1" outlineLevel="1">
      <c r="A20" s="237"/>
      <c r="B20" s="551"/>
      <c r="C20" s="556">
        <f>Asset10</f>
        <v>0</v>
      </c>
      <c r="D20" s="237"/>
      <c r="E20" s="237"/>
      <c r="F20" s="553"/>
      <c r="G20" s="1421">
        <f>'PTRM input'!G152*(1+rvanilla01)^0.5</f>
        <v>0</v>
      </c>
      <c r="H20" s="554">
        <f>'PTRM input'!H152*(1+rvanilla02)^0.5</f>
        <v>0</v>
      </c>
      <c r="I20" s="554">
        <f>'PTRM input'!I152*(1+rvanilla03)^0.5</f>
        <v>0</v>
      </c>
      <c r="J20" s="554">
        <f>'PTRM input'!J152*(1+rvanilla04)^0.5</f>
        <v>0</v>
      </c>
      <c r="K20" s="554">
        <f>'PTRM input'!K152*(1+rvanilla05)^0.5</f>
        <v>0</v>
      </c>
      <c r="L20" s="554">
        <f>'PTRM input'!L152*(1+rvanilla06)^0.5</f>
        <v>0</v>
      </c>
      <c r="M20" s="554">
        <f>'PTRM input'!M152*(1+rvanilla07)^0.5</f>
        <v>0</v>
      </c>
      <c r="N20" s="554">
        <f>'PTRM input'!N152*(1+rvanilla08)^0.5</f>
        <v>0</v>
      </c>
      <c r="O20" s="554">
        <f>'PTRM input'!O152*(1+rvanilla09)^0.5</f>
        <v>0</v>
      </c>
      <c r="P20" s="554">
        <f>'PTRM input'!P152*(1+rvanilla10)^0.5</f>
        <v>0</v>
      </c>
      <c r="Q20" s="555"/>
      <c r="R20" s="555"/>
      <c r="S20" s="555"/>
      <c r="T20" s="555"/>
      <c r="U20" s="555"/>
      <c r="V20" s="555"/>
      <c r="W20" s="555"/>
      <c r="X20" s="555"/>
      <c r="Y20" s="555"/>
      <c r="Z20" s="555"/>
      <c r="AA20" s="555"/>
      <c r="AB20" s="555"/>
      <c r="AC20" s="555"/>
      <c r="AD20" s="555"/>
      <c r="AE20" s="555"/>
      <c r="AF20" s="555"/>
      <c r="AG20" s="555"/>
      <c r="AH20" s="555"/>
      <c r="AI20" s="555"/>
      <c r="AJ20" s="555"/>
      <c r="AK20" s="555"/>
      <c r="AL20" s="555"/>
      <c r="AM20" s="555"/>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237"/>
      <c r="BK20" s="237"/>
      <c r="BL20" s="237"/>
      <c r="BM20" s="237"/>
    </row>
    <row r="21" spans="1:65" s="190" customFormat="1" hidden="1" outlineLevel="1">
      <c r="A21" s="237"/>
      <c r="B21" s="551"/>
      <c r="C21" s="556">
        <f>Asset11</f>
        <v>0</v>
      </c>
      <c r="D21" s="237"/>
      <c r="E21" s="237"/>
      <c r="F21" s="553"/>
      <c r="G21" s="1421">
        <f>'PTRM input'!G153*(1+rvanilla01)^0.5</f>
        <v>0</v>
      </c>
      <c r="H21" s="554">
        <f>'PTRM input'!H153*(1+rvanilla02)^0.5</f>
        <v>0</v>
      </c>
      <c r="I21" s="554">
        <f>'PTRM input'!I153*(1+rvanilla03)^0.5</f>
        <v>0</v>
      </c>
      <c r="J21" s="554">
        <f>'PTRM input'!J153*(1+rvanilla04)^0.5</f>
        <v>0</v>
      </c>
      <c r="K21" s="554">
        <f>'PTRM input'!K153*(1+rvanilla05)^0.5</f>
        <v>0</v>
      </c>
      <c r="L21" s="554">
        <f>'PTRM input'!L153*(1+rvanilla06)^0.5</f>
        <v>0</v>
      </c>
      <c r="M21" s="554">
        <f>'PTRM input'!M153*(1+rvanilla07)^0.5</f>
        <v>0</v>
      </c>
      <c r="N21" s="554">
        <f>'PTRM input'!N153*(1+rvanilla08)^0.5</f>
        <v>0</v>
      </c>
      <c r="O21" s="554">
        <f>'PTRM input'!O153*(1+rvanilla09)^0.5</f>
        <v>0</v>
      </c>
      <c r="P21" s="554">
        <f>'PTRM input'!P153*(1+rvanilla10)^0.5</f>
        <v>0</v>
      </c>
      <c r="Q21" s="555"/>
      <c r="R21" s="555"/>
      <c r="S21" s="555"/>
      <c r="T21" s="555"/>
      <c r="U21" s="555"/>
      <c r="V21" s="555"/>
      <c r="W21" s="555"/>
      <c r="X21" s="555"/>
      <c r="Y21" s="555"/>
      <c r="Z21" s="555"/>
      <c r="AA21" s="555"/>
      <c r="AB21" s="555"/>
      <c r="AC21" s="555"/>
      <c r="AD21" s="555"/>
      <c r="AE21" s="555"/>
      <c r="AF21" s="555"/>
      <c r="AG21" s="555"/>
      <c r="AH21" s="555"/>
      <c r="AI21" s="555"/>
      <c r="AJ21" s="555"/>
      <c r="AK21" s="555"/>
      <c r="AL21" s="555"/>
      <c r="AM21" s="555"/>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237"/>
      <c r="BK21" s="237"/>
      <c r="BL21" s="237"/>
      <c r="BM21" s="237"/>
    </row>
    <row r="22" spans="1:65" s="190" customFormat="1" hidden="1" outlineLevel="1">
      <c r="A22" s="237"/>
      <c r="B22" s="551"/>
      <c r="C22" s="556">
        <f>Asset12</f>
        <v>0</v>
      </c>
      <c r="D22" s="237"/>
      <c r="E22" s="237"/>
      <c r="F22" s="553"/>
      <c r="G22" s="1421">
        <f>'PTRM input'!G154*(1+rvanilla01)^0.5</f>
        <v>0</v>
      </c>
      <c r="H22" s="554">
        <f>'PTRM input'!H154*(1+rvanilla02)^0.5</f>
        <v>0</v>
      </c>
      <c r="I22" s="554">
        <f>'PTRM input'!I154*(1+rvanilla03)^0.5</f>
        <v>0</v>
      </c>
      <c r="J22" s="554">
        <f>'PTRM input'!J154*(1+rvanilla04)^0.5</f>
        <v>0</v>
      </c>
      <c r="K22" s="554">
        <f>'PTRM input'!K154*(1+rvanilla05)^0.5</f>
        <v>0</v>
      </c>
      <c r="L22" s="554">
        <f>'PTRM input'!L154*(1+rvanilla06)^0.5</f>
        <v>0</v>
      </c>
      <c r="M22" s="554">
        <f>'PTRM input'!M154*(1+rvanilla07)^0.5</f>
        <v>0</v>
      </c>
      <c r="N22" s="554">
        <f>'PTRM input'!N154*(1+rvanilla08)^0.5</f>
        <v>0</v>
      </c>
      <c r="O22" s="554">
        <f>'PTRM input'!O154*(1+rvanilla09)^0.5</f>
        <v>0</v>
      </c>
      <c r="P22" s="554">
        <f>'PTRM input'!P154*(1+rvanilla10)^0.5</f>
        <v>0</v>
      </c>
      <c r="Q22" s="555"/>
      <c r="R22" s="555"/>
      <c r="S22" s="555"/>
      <c r="T22" s="555"/>
      <c r="U22" s="555"/>
      <c r="V22" s="555"/>
      <c r="W22" s="555"/>
      <c r="X22" s="555"/>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5"/>
      <c r="AW22" s="555"/>
      <c r="AX22" s="555"/>
      <c r="AY22" s="555"/>
      <c r="AZ22" s="555"/>
      <c r="BA22" s="555"/>
      <c r="BB22" s="555"/>
      <c r="BC22" s="555"/>
      <c r="BD22" s="555"/>
      <c r="BE22" s="555"/>
      <c r="BF22" s="555"/>
      <c r="BG22" s="555"/>
      <c r="BH22" s="555"/>
      <c r="BI22" s="555"/>
      <c r="BJ22" s="237"/>
      <c r="BK22" s="237"/>
      <c r="BL22" s="237"/>
      <c r="BM22" s="237"/>
    </row>
    <row r="23" spans="1:65" s="190" customFormat="1" hidden="1" outlineLevel="1">
      <c r="A23" s="237"/>
      <c r="B23" s="551"/>
      <c r="C23" s="556">
        <f>Asset13</f>
        <v>0</v>
      </c>
      <c r="D23" s="237"/>
      <c r="E23" s="237"/>
      <c r="F23" s="553"/>
      <c r="G23" s="1421">
        <f>'PTRM input'!G155*(1+rvanilla01)^0.5</f>
        <v>0</v>
      </c>
      <c r="H23" s="554">
        <f>'PTRM input'!H155*(1+rvanilla02)^0.5</f>
        <v>0</v>
      </c>
      <c r="I23" s="554">
        <f>'PTRM input'!I155*(1+rvanilla03)^0.5</f>
        <v>0</v>
      </c>
      <c r="J23" s="554">
        <f>'PTRM input'!J155*(1+rvanilla04)^0.5</f>
        <v>0</v>
      </c>
      <c r="K23" s="554">
        <f>'PTRM input'!K155*(1+rvanilla05)^0.5</f>
        <v>0</v>
      </c>
      <c r="L23" s="554">
        <f>'PTRM input'!L155*(1+rvanilla06)^0.5</f>
        <v>0</v>
      </c>
      <c r="M23" s="554">
        <f>'PTRM input'!M155*(1+rvanilla07)^0.5</f>
        <v>0</v>
      </c>
      <c r="N23" s="554">
        <f>'PTRM input'!N155*(1+rvanilla08)^0.5</f>
        <v>0</v>
      </c>
      <c r="O23" s="554">
        <f>'PTRM input'!O155*(1+rvanilla09)^0.5</f>
        <v>0</v>
      </c>
      <c r="P23" s="554">
        <f>'PTRM input'!P155*(1+rvanilla10)^0.5</f>
        <v>0</v>
      </c>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c r="AX23" s="555"/>
      <c r="AY23" s="555"/>
      <c r="AZ23" s="555"/>
      <c r="BA23" s="555"/>
      <c r="BB23" s="555"/>
      <c r="BC23" s="555"/>
      <c r="BD23" s="555"/>
      <c r="BE23" s="555"/>
      <c r="BF23" s="555"/>
      <c r="BG23" s="555"/>
      <c r="BH23" s="555"/>
      <c r="BI23" s="555"/>
      <c r="BJ23" s="237"/>
      <c r="BK23" s="237"/>
      <c r="BL23" s="237"/>
      <c r="BM23" s="237"/>
    </row>
    <row r="24" spans="1:65" s="190" customFormat="1" hidden="1" outlineLevel="1">
      <c r="A24" s="237"/>
      <c r="B24" s="551"/>
      <c r="C24" s="556">
        <f>Asset14</f>
        <v>0</v>
      </c>
      <c r="D24" s="237"/>
      <c r="E24" s="237"/>
      <c r="F24" s="553"/>
      <c r="G24" s="1421">
        <f>'PTRM input'!G156*(1+rvanilla01)^0.5</f>
        <v>0</v>
      </c>
      <c r="H24" s="554">
        <f>'PTRM input'!H156*(1+rvanilla02)^0.5</f>
        <v>0</v>
      </c>
      <c r="I24" s="554">
        <f>'PTRM input'!I156*(1+rvanilla03)^0.5</f>
        <v>0</v>
      </c>
      <c r="J24" s="554">
        <f>'PTRM input'!J156*(1+rvanilla04)^0.5</f>
        <v>0</v>
      </c>
      <c r="K24" s="554">
        <f>'PTRM input'!K156*(1+rvanilla05)^0.5</f>
        <v>0</v>
      </c>
      <c r="L24" s="554">
        <f>'PTRM input'!L156*(1+rvanilla06)^0.5</f>
        <v>0</v>
      </c>
      <c r="M24" s="554">
        <f>'PTRM input'!M156*(1+rvanilla07)^0.5</f>
        <v>0</v>
      </c>
      <c r="N24" s="554">
        <f>'PTRM input'!N156*(1+rvanilla08)^0.5</f>
        <v>0</v>
      </c>
      <c r="O24" s="554">
        <f>'PTRM input'!O156*(1+rvanilla09)^0.5</f>
        <v>0</v>
      </c>
      <c r="P24" s="554">
        <f>'PTRM input'!P156*(1+rvanilla10)^0.5</f>
        <v>0</v>
      </c>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5"/>
      <c r="AW24" s="555"/>
      <c r="AX24" s="555"/>
      <c r="AY24" s="555"/>
      <c r="AZ24" s="555"/>
      <c r="BA24" s="555"/>
      <c r="BB24" s="555"/>
      <c r="BC24" s="555"/>
      <c r="BD24" s="555"/>
      <c r="BE24" s="555"/>
      <c r="BF24" s="555"/>
      <c r="BG24" s="555"/>
      <c r="BH24" s="555"/>
      <c r="BI24" s="555"/>
      <c r="BJ24" s="237"/>
      <c r="BK24" s="237"/>
      <c r="BL24" s="237"/>
      <c r="BM24" s="237"/>
    </row>
    <row r="25" spans="1:65" s="190" customFormat="1" hidden="1" outlineLevel="1">
      <c r="A25" s="237"/>
      <c r="B25" s="551"/>
      <c r="C25" s="556">
        <f>Asset15</f>
        <v>0</v>
      </c>
      <c r="D25" s="237"/>
      <c r="E25" s="237"/>
      <c r="F25" s="553"/>
      <c r="G25" s="1421">
        <f>'PTRM input'!G157*(1+rvanilla01)^0.5</f>
        <v>0</v>
      </c>
      <c r="H25" s="554">
        <f>'PTRM input'!H157*(1+rvanilla02)^0.5</f>
        <v>0</v>
      </c>
      <c r="I25" s="554">
        <f>'PTRM input'!I157*(1+rvanilla03)^0.5</f>
        <v>0</v>
      </c>
      <c r="J25" s="554">
        <f>'PTRM input'!J157*(1+rvanilla04)^0.5</f>
        <v>0</v>
      </c>
      <c r="K25" s="554">
        <f>'PTRM input'!K157*(1+rvanilla05)^0.5</f>
        <v>0</v>
      </c>
      <c r="L25" s="554">
        <f>'PTRM input'!L157*(1+rvanilla06)^0.5</f>
        <v>0</v>
      </c>
      <c r="M25" s="554">
        <f>'PTRM input'!M157*(1+rvanilla07)^0.5</f>
        <v>0</v>
      </c>
      <c r="N25" s="554">
        <f>'PTRM input'!N157*(1+rvanilla08)^0.5</f>
        <v>0</v>
      </c>
      <c r="O25" s="554">
        <f>'PTRM input'!O157*(1+rvanilla09)^0.5</f>
        <v>0</v>
      </c>
      <c r="P25" s="554">
        <f>'PTRM input'!P157*(1+rvanilla10)^0.5</f>
        <v>0</v>
      </c>
      <c r="Q25" s="555"/>
      <c r="R25" s="555"/>
      <c r="S25" s="555"/>
      <c r="T25" s="555"/>
      <c r="U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Q25" s="555"/>
      <c r="AR25" s="555"/>
      <c r="AS25" s="555"/>
      <c r="AT25" s="555"/>
      <c r="AU25" s="555"/>
      <c r="AV25" s="555"/>
      <c r="AW25" s="555"/>
      <c r="AX25" s="555"/>
      <c r="AY25" s="555"/>
      <c r="AZ25" s="555"/>
      <c r="BA25" s="555"/>
      <c r="BB25" s="555"/>
      <c r="BC25" s="555"/>
      <c r="BD25" s="555"/>
      <c r="BE25" s="555"/>
      <c r="BF25" s="555"/>
      <c r="BG25" s="555"/>
      <c r="BH25" s="555"/>
      <c r="BI25" s="555"/>
      <c r="BJ25" s="237"/>
      <c r="BK25" s="237"/>
      <c r="BL25" s="237"/>
      <c r="BM25" s="237"/>
    </row>
    <row r="26" spans="1:65" s="190" customFormat="1" hidden="1" outlineLevel="1">
      <c r="A26" s="237"/>
      <c r="B26" s="551"/>
      <c r="C26" s="556">
        <f>Asset16</f>
        <v>0</v>
      </c>
      <c r="D26" s="237"/>
      <c r="E26" s="237"/>
      <c r="F26" s="553"/>
      <c r="G26" s="1421">
        <f>'PTRM input'!G158*(1+rvanilla01)^0.5</f>
        <v>0</v>
      </c>
      <c r="H26" s="554">
        <f>'PTRM input'!H158*(1+rvanilla02)^0.5</f>
        <v>0</v>
      </c>
      <c r="I26" s="554">
        <f>'PTRM input'!I158*(1+rvanilla03)^0.5</f>
        <v>0</v>
      </c>
      <c r="J26" s="554">
        <f>'PTRM input'!J158*(1+rvanilla04)^0.5</f>
        <v>0</v>
      </c>
      <c r="K26" s="554">
        <f>'PTRM input'!K158*(1+rvanilla05)^0.5</f>
        <v>0</v>
      </c>
      <c r="L26" s="554">
        <f>'PTRM input'!L158*(1+rvanilla06)^0.5</f>
        <v>0</v>
      </c>
      <c r="M26" s="554">
        <f>'PTRM input'!M158*(1+rvanilla07)^0.5</f>
        <v>0</v>
      </c>
      <c r="N26" s="554">
        <f>'PTRM input'!N158*(1+rvanilla08)^0.5</f>
        <v>0</v>
      </c>
      <c r="O26" s="554">
        <f>'PTRM input'!O158*(1+rvanilla09)^0.5</f>
        <v>0</v>
      </c>
      <c r="P26" s="554">
        <f>'PTRM input'!P158*(1+rvanilla10)^0.5</f>
        <v>0</v>
      </c>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237"/>
      <c r="BK26" s="237"/>
      <c r="BL26" s="237"/>
      <c r="BM26" s="237"/>
    </row>
    <row r="27" spans="1:65" s="190" customFormat="1" hidden="1" outlineLevel="1">
      <c r="A27" s="237"/>
      <c r="B27" s="551"/>
      <c r="C27" s="556">
        <f>Asset17</f>
        <v>0</v>
      </c>
      <c r="D27" s="237"/>
      <c r="E27" s="237"/>
      <c r="F27" s="553"/>
      <c r="G27" s="1421">
        <f>'PTRM input'!G159*(1+rvanilla01)^0.5</f>
        <v>0</v>
      </c>
      <c r="H27" s="554">
        <f>'PTRM input'!H159*(1+rvanilla02)^0.5</f>
        <v>0</v>
      </c>
      <c r="I27" s="554">
        <f>'PTRM input'!I159*(1+rvanilla03)^0.5</f>
        <v>0</v>
      </c>
      <c r="J27" s="554">
        <f>'PTRM input'!J159*(1+rvanilla04)^0.5</f>
        <v>0</v>
      </c>
      <c r="K27" s="554">
        <f>'PTRM input'!K159*(1+rvanilla05)^0.5</f>
        <v>0</v>
      </c>
      <c r="L27" s="554">
        <f>'PTRM input'!L159*(1+rvanilla06)^0.5</f>
        <v>0</v>
      </c>
      <c r="M27" s="554">
        <f>'PTRM input'!M159*(1+rvanilla07)^0.5</f>
        <v>0</v>
      </c>
      <c r="N27" s="554">
        <f>'PTRM input'!N159*(1+rvanilla08)^0.5</f>
        <v>0</v>
      </c>
      <c r="O27" s="554">
        <f>'PTRM input'!O159*(1+rvanilla09)^0.5</f>
        <v>0</v>
      </c>
      <c r="P27" s="554">
        <f>'PTRM input'!P159*(1+rvanilla10)^0.5</f>
        <v>0</v>
      </c>
      <c r="Q27" s="555"/>
      <c r="R27" s="555"/>
      <c r="S27" s="555"/>
      <c r="T27" s="555"/>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5"/>
      <c r="AS27" s="555"/>
      <c r="AT27" s="555"/>
      <c r="AU27" s="555"/>
      <c r="AV27" s="555"/>
      <c r="AW27" s="555"/>
      <c r="AX27" s="555"/>
      <c r="AY27" s="555"/>
      <c r="AZ27" s="555"/>
      <c r="BA27" s="555"/>
      <c r="BB27" s="555"/>
      <c r="BC27" s="555"/>
      <c r="BD27" s="555"/>
      <c r="BE27" s="555"/>
      <c r="BF27" s="555"/>
      <c r="BG27" s="555"/>
      <c r="BH27" s="555"/>
      <c r="BI27" s="555"/>
      <c r="BJ27" s="237"/>
      <c r="BK27" s="237"/>
      <c r="BL27" s="237"/>
      <c r="BM27" s="237"/>
    </row>
    <row r="28" spans="1:65" s="190" customFormat="1" hidden="1" outlineLevel="1">
      <c r="A28" s="237"/>
      <c r="B28" s="551"/>
      <c r="C28" s="556">
        <f>Asset18</f>
        <v>0</v>
      </c>
      <c r="D28" s="237"/>
      <c r="E28" s="237"/>
      <c r="F28" s="553"/>
      <c r="G28" s="1421">
        <f>'PTRM input'!G160*(1+rvanilla01)^0.5</f>
        <v>0</v>
      </c>
      <c r="H28" s="554">
        <f>'PTRM input'!H160*(1+rvanilla02)^0.5</f>
        <v>0</v>
      </c>
      <c r="I28" s="554">
        <f>'PTRM input'!I160*(1+rvanilla03)^0.5</f>
        <v>0</v>
      </c>
      <c r="J28" s="554">
        <f>'PTRM input'!J160*(1+rvanilla04)^0.5</f>
        <v>0</v>
      </c>
      <c r="K28" s="554">
        <f>'PTRM input'!K160*(1+rvanilla05)^0.5</f>
        <v>0</v>
      </c>
      <c r="L28" s="554">
        <f>'PTRM input'!L160*(1+rvanilla06)^0.5</f>
        <v>0</v>
      </c>
      <c r="M28" s="554">
        <f>'PTRM input'!M160*(1+rvanilla07)^0.5</f>
        <v>0</v>
      </c>
      <c r="N28" s="554">
        <f>'PTRM input'!N160*(1+rvanilla08)^0.5</f>
        <v>0</v>
      </c>
      <c r="O28" s="554">
        <f>'PTRM input'!O160*(1+rvanilla09)^0.5</f>
        <v>0</v>
      </c>
      <c r="P28" s="554">
        <f>'PTRM input'!P160*(1+rvanilla10)^0.5</f>
        <v>0</v>
      </c>
      <c r="Q28" s="555"/>
      <c r="R28" s="555"/>
      <c r="S28" s="555"/>
      <c r="T28" s="555"/>
      <c r="U28" s="555"/>
      <c r="V28" s="555"/>
      <c r="W28" s="555"/>
      <c r="X28" s="555"/>
      <c r="Y28" s="555"/>
      <c r="Z28" s="555"/>
      <c r="AA28" s="555"/>
      <c r="AB28" s="555"/>
      <c r="AC28" s="555"/>
      <c r="AD28" s="555"/>
      <c r="AE28" s="555"/>
      <c r="AF28" s="555"/>
      <c r="AG28" s="555"/>
      <c r="AH28" s="555"/>
      <c r="AI28" s="555"/>
      <c r="AJ28" s="555"/>
      <c r="AK28" s="555"/>
      <c r="AL28" s="555"/>
      <c r="AM28" s="555"/>
      <c r="AN28" s="555"/>
      <c r="AO28" s="555"/>
      <c r="AP28" s="555"/>
      <c r="AQ28" s="555"/>
      <c r="AR28" s="555"/>
      <c r="AS28" s="555"/>
      <c r="AT28" s="555"/>
      <c r="AU28" s="555"/>
      <c r="AV28" s="555"/>
      <c r="AW28" s="555"/>
      <c r="AX28" s="555"/>
      <c r="AY28" s="555"/>
      <c r="AZ28" s="555"/>
      <c r="BA28" s="555"/>
      <c r="BB28" s="555"/>
      <c r="BC28" s="555"/>
      <c r="BD28" s="555"/>
      <c r="BE28" s="555"/>
      <c r="BF28" s="555"/>
      <c r="BG28" s="555"/>
      <c r="BH28" s="555"/>
      <c r="BI28" s="555"/>
      <c r="BJ28" s="237"/>
      <c r="BK28" s="237"/>
      <c r="BL28" s="237"/>
      <c r="BM28" s="237"/>
    </row>
    <row r="29" spans="1:65" s="190" customFormat="1" hidden="1" outlineLevel="1">
      <c r="A29" s="237"/>
      <c r="B29" s="551"/>
      <c r="C29" s="556">
        <f>Asset19</f>
        <v>0</v>
      </c>
      <c r="D29" s="237"/>
      <c r="E29" s="237"/>
      <c r="F29" s="553"/>
      <c r="G29" s="1421">
        <f>'PTRM input'!G161*(1+rvanilla01)^0.5</f>
        <v>0</v>
      </c>
      <c r="H29" s="554">
        <f>'PTRM input'!H161*(1+rvanilla02)^0.5</f>
        <v>0</v>
      </c>
      <c r="I29" s="554">
        <f>'PTRM input'!I161*(1+rvanilla03)^0.5</f>
        <v>0</v>
      </c>
      <c r="J29" s="554">
        <f>'PTRM input'!J161*(1+rvanilla04)^0.5</f>
        <v>0</v>
      </c>
      <c r="K29" s="554">
        <f>'PTRM input'!K161*(1+rvanilla05)^0.5</f>
        <v>0</v>
      </c>
      <c r="L29" s="554">
        <f>'PTRM input'!L161*(1+rvanilla06)^0.5</f>
        <v>0</v>
      </c>
      <c r="M29" s="554">
        <f>'PTRM input'!M161*(1+rvanilla07)^0.5</f>
        <v>0</v>
      </c>
      <c r="N29" s="554">
        <f>'PTRM input'!N161*(1+rvanilla08)^0.5</f>
        <v>0</v>
      </c>
      <c r="O29" s="554">
        <f>'PTRM input'!O161*(1+rvanilla09)^0.5</f>
        <v>0</v>
      </c>
      <c r="P29" s="554">
        <f>'PTRM input'!P161*(1+rvanilla10)^0.5</f>
        <v>0</v>
      </c>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237"/>
      <c r="BK29" s="237"/>
      <c r="BL29" s="237"/>
      <c r="BM29" s="237"/>
    </row>
    <row r="30" spans="1:65" s="190" customFormat="1" hidden="1" outlineLevel="1">
      <c r="A30" s="237"/>
      <c r="B30" s="551"/>
      <c r="C30" s="556">
        <f>Asset20</f>
        <v>0</v>
      </c>
      <c r="D30" s="237"/>
      <c r="E30" s="237"/>
      <c r="F30" s="553"/>
      <c r="G30" s="1421">
        <f>'PTRM input'!G162*(1+rvanilla01)^0.5</f>
        <v>0</v>
      </c>
      <c r="H30" s="554">
        <f>'PTRM input'!H162*(1+rvanilla02)^0.5</f>
        <v>0</v>
      </c>
      <c r="I30" s="554">
        <f>'PTRM input'!I162*(1+rvanilla03)^0.5</f>
        <v>0</v>
      </c>
      <c r="J30" s="554">
        <f>'PTRM input'!J162*(1+rvanilla04)^0.5</f>
        <v>0</v>
      </c>
      <c r="K30" s="554">
        <f>'PTRM input'!K162*(1+rvanilla05)^0.5</f>
        <v>0</v>
      </c>
      <c r="L30" s="554">
        <f>'PTRM input'!L162*(1+rvanilla06)^0.5</f>
        <v>0</v>
      </c>
      <c r="M30" s="554">
        <f>'PTRM input'!M162*(1+rvanilla07)^0.5</f>
        <v>0</v>
      </c>
      <c r="N30" s="554">
        <f>'PTRM input'!N162*(1+rvanilla08)^0.5</f>
        <v>0</v>
      </c>
      <c r="O30" s="554">
        <f>'PTRM input'!O162*(1+rvanilla09)^0.5</f>
        <v>0</v>
      </c>
      <c r="P30" s="554">
        <f>'PTRM input'!P162*(1+rvanilla10)^0.5</f>
        <v>0</v>
      </c>
      <c r="Q30" s="555"/>
      <c r="R30" s="555"/>
      <c r="S30" s="555"/>
      <c r="T30" s="555"/>
      <c r="U30" s="555"/>
      <c r="V30" s="555"/>
      <c r="W30" s="555"/>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237"/>
      <c r="BK30" s="237"/>
      <c r="BL30" s="237"/>
      <c r="BM30" s="237"/>
    </row>
    <row r="31" spans="1:65" s="190" customFormat="1" hidden="1" outlineLevel="1">
      <c r="A31" s="237"/>
      <c r="B31" s="551"/>
      <c r="C31" s="556">
        <f>Asset21</f>
        <v>0</v>
      </c>
      <c r="D31" s="237"/>
      <c r="E31" s="237"/>
      <c r="F31" s="553"/>
      <c r="G31" s="1421">
        <f>'PTRM input'!G163*(1+rvanilla01)^0.5</f>
        <v>0</v>
      </c>
      <c r="H31" s="554">
        <f>'PTRM input'!H163*(1+rvanilla02)^0.5</f>
        <v>0</v>
      </c>
      <c r="I31" s="554">
        <f>'PTRM input'!I163*(1+rvanilla03)^0.5</f>
        <v>0</v>
      </c>
      <c r="J31" s="554">
        <f>'PTRM input'!J163*(1+rvanilla04)^0.5</f>
        <v>0</v>
      </c>
      <c r="K31" s="554">
        <f>'PTRM input'!K163*(1+rvanilla05)^0.5</f>
        <v>0</v>
      </c>
      <c r="L31" s="554">
        <f>'PTRM input'!L163*(1+rvanilla06)^0.5</f>
        <v>0</v>
      </c>
      <c r="M31" s="554">
        <f>'PTRM input'!M163*(1+rvanilla07)^0.5</f>
        <v>0</v>
      </c>
      <c r="N31" s="554">
        <f>'PTRM input'!N163*(1+rvanilla08)^0.5</f>
        <v>0</v>
      </c>
      <c r="O31" s="554">
        <f>'PTRM input'!O163*(1+rvanilla09)^0.5</f>
        <v>0</v>
      </c>
      <c r="P31" s="554">
        <f>'PTRM input'!P163*(1+rvanilla10)^0.5</f>
        <v>0</v>
      </c>
      <c r="Q31" s="555"/>
      <c r="R31" s="555"/>
      <c r="S31" s="555"/>
      <c r="T31" s="555"/>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55"/>
      <c r="BE31" s="555"/>
      <c r="BF31" s="555"/>
      <c r="BG31" s="555"/>
      <c r="BH31" s="555"/>
      <c r="BI31" s="555"/>
      <c r="BJ31" s="237"/>
      <c r="BK31" s="237"/>
      <c r="BL31" s="237"/>
      <c r="BM31" s="237"/>
    </row>
    <row r="32" spans="1:65" s="190" customFormat="1" hidden="1" outlineLevel="1">
      <c r="A32" s="237"/>
      <c r="B32" s="551"/>
      <c r="C32" s="556">
        <f>Asset22</f>
        <v>0</v>
      </c>
      <c r="D32" s="237"/>
      <c r="E32" s="237"/>
      <c r="F32" s="553"/>
      <c r="G32" s="1421">
        <f>'PTRM input'!G164*(1+rvanilla01)^0.5</f>
        <v>0</v>
      </c>
      <c r="H32" s="554">
        <f>'PTRM input'!H164*(1+rvanilla02)^0.5</f>
        <v>0</v>
      </c>
      <c r="I32" s="554">
        <f>'PTRM input'!I164*(1+rvanilla03)^0.5</f>
        <v>0</v>
      </c>
      <c r="J32" s="554">
        <f>'PTRM input'!J164*(1+rvanilla04)^0.5</f>
        <v>0</v>
      </c>
      <c r="K32" s="554">
        <f>'PTRM input'!K164*(1+rvanilla05)^0.5</f>
        <v>0</v>
      </c>
      <c r="L32" s="554">
        <f>'PTRM input'!L164*(1+rvanilla06)^0.5</f>
        <v>0</v>
      </c>
      <c r="M32" s="554">
        <f>'PTRM input'!M164*(1+rvanilla07)^0.5</f>
        <v>0</v>
      </c>
      <c r="N32" s="554">
        <f>'PTRM input'!N164*(1+rvanilla08)^0.5</f>
        <v>0</v>
      </c>
      <c r="O32" s="554">
        <f>'PTRM input'!O164*(1+rvanilla09)^0.5</f>
        <v>0</v>
      </c>
      <c r="P32" s="554">
        <f>'PTRM input'!P164*(1+rvanilla10)^0.5</f>
        <v>0</v>
      </c>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c r="BI32" s="555"/>
      <c r="BJ32" s="237"/>
      <c r="BK32" s="237"/>
      <c r="BL32" s="237"/>
      <c r="BM32" s="237"/>
    </row>
    <row r="33" spans="1:65" s="190" customFormat="1" hidden="1" outlineLevel="1">
      <c r="A33" s="237"/>
      <c r="B33" s="551"/>
      <c r="C33" s="556">
        <f>Asset23</f>
        <v>0</v>
      </c>
      <c r="D33" s="237"/>
      <c r="E33" s="237"/>
      <c r="F33" s="553"/>
      <c r="G33" s="1421">
        <f>'PTRM input'!G165*(1+rvanilla01)^0.5</f>
        <v>0</v>
      </c>
      <c r="H33" s="554">
        <f>'PTRM input'!H165*(1+rvanilla02)^0.5</f>
        <v>0</v>
      </c>
      <c r="I33" s="554">
        <f>'PTRM input'!I165*(1+rvanilla03)^0.5</f>
        <v>0</v>
      </c>
      <c r="J33" s="554">
        <f>'PTRM input'!J165*(1+rvanilla04)^0.5</f>
        <v>0</v>
      </c>
      <c r="K33" s="554">
        <f>'PTRM input'!K165*(1+rvanilla05)^0.5</f>
        <v>0</v>
      </c>
      <c r="L33" s="554">
        <f>'PTRM input'!L165*(1+rvanilla06)^0.5</f>
        <v>0</v>
      </c>
      <c r="M33" s="554">
        <f>'PTRM input'!M165*(1+rvanilla07)^0.5</f>
        <v>0</v>
      </c>
      <c r="N33" s="554">
        <f>'PTRM input'!N165*(1+rvanilla08)^0.5</f>
        <v>0</v>
      </c>
      <c r="O33" s="554">
        <f>'PTRM input'!O165*(1+rvanilla09)^0.5</f>
        <v>0</v>
      </c>
      <c r="P33" s="554">
        <f>'PTRM input'!P165*(1+rvanilla10)^0.5</f>
        <v>0</v>
      </c>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5"/>
      <c r="BF33" s="555"/>
      <c r="BG33" s="555"/>
      <c r="BH33" s="555"/>
      <c r="BI33" s="555"/>
      <c r="BJ33" s="237"/>
      <c r="BK33" s="237"/>
      <c r="BL33" s="237"/>
      <c r="BM33" s="237"/>
    </row>
    <row r="34" spans="1:65" s="190" customFormat="1" hidden="1" outlineLevel="1">
      <c r="A34" s="237"/>
      <c r="B34" s="551"/>
      <c r="C34" s="556">
        <f>Asset24</f>
        <v>0</v>
      </c>
      <c r="D34" s="237"/>
      <c r="E34" s="237"/>
      <c r="F34" s="553"/>
      <c r="G34" s="1421">
        <f>'PTRM input'!G166*(1+rvanilla01)^0.5</f>
        <v>0</v>
      </c>
      <c r="H34" s="554">
        <f>'PTRM input'!H166*(1+rvanilla02)^0.5</f>
        <v>0</v>
      </c>
      <c r="I34" s="554">
        <f>'PTRM input'!I166*(1+rvanilla03)^0.5</f>
        <v>0</v>
      </c>
      <c r="J34" s="554">
        <f>'PTRM input'!J166*(1+rvanilla04)^0.5</f>
        <v>0</v>
      </c>
      <c r="K34" s="554">
        <f>'PTRM input'!K166*(1+rvanilla05)^0.5</f>
        <v>0</v>
      </c>
      <c r="L34" s="554">
        <f>'PTRM input'!L166*(1+rvanilla06)^0.5</f>
        <v>0</v>
      </c>
      <c r="M34" s="554">
        <f>'PTRM input'!M166*(1+rvanilla07)^0.5</f>
        <v>0</v>
      </c>
      <c r="N34" s="554">
        <f>'PTRM input'!N166*(1+rvanilla08)^0.5</f>
        <v>0</v>
      </c>
      <c r="O34" s="554">
        <f>'PTRM input'!O166*(1+rvanilla09)^0.5</f>
        <v>0</v>
      </c>
      <c r="P34" s="554">
        <f>'PTRM input'!P166*(1+rvanilla10)^0.5</f>
        <v>0</v>
      </c>
      <c r="Q34" s="555"/>
      <c r="R34" s="555"/>
      <c r="S34" s="555"/>
      <c r="T34" s="555"/>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5"/>
      <c r="BF34" s="555"/>
      <c r="BG34" s="555"/>
      <c r="BH34" s="555"/>
      <c r="BI34" s="555"/>
      <c r="BJ34" s="237"/>
      <c r="BK34" s="237"/>
      <c r="BL34" s="237"/>
      <c r="BM34" s="237"/>
    </row>
    <row r="35" spans="1:65" s="190" customFormat="1" hidden="1" outlineLevel="1">
      <c r="A35" s="237"/>
      <c r="B35" s="551"/>
      <c r="C35" s="556">
        <f>Asset25</f>
        <v>0</v>
      </c>
      <c r="D35" s="237"/>
      <c r="E35" s="237"/>
      <c r="F35" s="553"/>
      <c r="G35" s="1421">
        <f>'PTRM input'!G167*(1+rvanilla01)^0.5</f>
        <v>0</v>
      </c>
      <c r="H35" s="554">
        <f>'PTRM input'!H167*(1+rvanilla02)^0.5</f>
        <v>0</v>
      </c>
      <c r="I35" s="554">
        <f>'PTRM input'!I167*(1+rvanilla03)^0.5</f>
        <v>0</v>
      </c>
      <c r="J35" s="554">
        <f>'PTRM input'!J167*(1+rvanilla04)^0.5</f>
        <v>0</v>
      </c>
      <c r="K35" s="554">
        <f>'PTRM input'!K167*(1+rvanilla05)^0.5</f>
        <v>0</v>
      </c>
      <c r="L35" s="554">
        <f>'PTRM input'!L167*(1+rvanilla06)^0.5</f>
        <v>0</v>
      </c>
      <c r="M35" s="554">
        <f>'PTRM input'!M167*(1+rvanilla07)^0.5</f>
        <v>0</v>
      </c>
      <c r="N35" s="554">
        <f>'PTRM input'!N167*(1+rvanilla08)^0.5</f>
        <v>0</v>
      </c>
      <c r="O35" s="554">
        <f>'PTRM input'!O167*(1+rvanilla09)^0.5</f>
        <v>0</v>
      </c>
      <c r="P35" s="554">
        <f>'PTRM input'!P167*(1+rvanilla10)^0.5</f>
        <v>0</v>
      </c>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E35" s="555"/>
      <c r="BF35" s="555"/>
      <c r="BG35" s="555"/>
      <c r="BH35" s="555"/>
      <c r="BI35" s="555"/>
      <c r="BJ35" s="237"/>
      <c r="BK35" s="237"/>
      <c r="BL35" s="237"/>
      <c r="BM35" s="237"/>
    </row>
    <row r="36" spans="1:65" s="190" customFormat="1" hidden="1" outlineLevel="1">
      <c r="A36" s="237"/>
      <c r="B36" s="551"/>
      <c r="C36" s="556">
        <f>Asset26</f>
        <v>0</v>
      </c>
      <c r="D36" s="237"/>
      <c r="E36" s="237"/>
      <c r="F36" s="553"/>
      <c r="G36" s="1421">
        <f>'PTRM input'!G168*(1+rvanilla01)^0.5</f>
        <v>0</v>
      </c>
      <c r="H36" s="554">
        <f>'PTRM input'!H168*(1+rvanilla02)^0.5</f>
        <v>0</v>
      </c>
      <c r="I36" s="554">
        <f>'PTRM input'!I168*(1+rvanilla03)^0.5</f>
        <v>0</v>
      </c>
      <c r="J36" s="554">
        <f>'PTRM input'!J168*(1+rvanilla04)^0.5</f>
        <v>0</v>
      </c>
      <c r="K36" s="554">
        <f>'PTRM input'!K168*(1+rvanilla05)^0.5</f>
        <v>0</v>
      </c>
      <c r="L36" s="554">
        <f>'PTRM input'!L168*(1+rvanilla06)^0.5</f>
        <v>0</v>
      </c>
      <c r="M36" s="554">
        <f>'PTRM input'!M168*(1+rvanilla07)^0.5</f>
        <v>0</v>
      </c>
      <c r="N36" s="554">
        <f>'PTRM input'!N168*(1+rvanilla08)^0.5</f>
        <v>0</v>
      </c>
      <c r="O36" s="554">
        <f>'PTRM input'!O168*(1+rvanilla09)^0.5</f>
        <v>0</v>
      </c>
      <c r="P36" s="554">
        <f>'PTRM input'!P168*(1+rvanilla10)^0.5</f>
        <v>0</v>
      </c>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c r="BI36" s="555"/>
      <c r="BJ36" s="237"/>
      <c r="BK36" s="237"/>
      <c r="BL36" s="237"/>
      <c r="BM36" s="237"/>
    </row>
    <row r="37" spans="1:65" s="190" customFormat="1" hidden="1" outlineLevel="1">
      <c r="A37" s="237"/>
      <c r="B37" s="551"/>
      <c r="C37" s="556">
        <f>Asset27</f>
        <v>0</v>
      </c>
      <c r="D37" s="237"/>
      <c r="E37" s="237"/>
      <c r="F37" s="553"/>
      <c r="G37" s="1421">
        <f>'PTRM input'!G169*(1+rvanilla01)^0.5</f>
        <v>0</v>
      </c>
      <c r="H37" s="554">
        <f>'PTRM input'!H169*(1+rvanilla02)^0.5</f>
        <v>0</v>
      </c>
      <c r="I37" s="554">
        <f>'PTRM input'!I169*(1+rvanilla03)^0.5</f>
        <v>0</v>
      </c>
      <c r="J37" s="554">
        <f>'PTRM input'!J169*(1+rvanilla04)^0.5</f>
        <v>0</v>
      </c>
      <c r="K37" s="554">
        <f>'PTRM input'!K169*(1+rvanilla05)^0.5</f>
        <v>0</v>
      </c>
      <c r="L37" s="554">
        <f>'PTRM input'!L169*(1+rvanilla06)^0.5</f>
        <v>0</v>
      </c>
      <c r="M37" s="554">
        <f>'PTRM input'!M169*(1+rvanilla07)^0.5</f>
        <v>0</v>
      </c>
      <c r="N37" s="554">
        <f>'PTRM input'!N169*(1+rvanilla08)^0.5</f>
        <v>0</v>
      </c>
      <c r="O37" s="554">
        <f>'PTRM input'!O169*(1+rvanilla09)^0.5</f>
        <v>0</v>
      </c>
      <c r="P37" s="554">
        <f>'PTRM input'!P169*(1+rvanilla10)^0.5</f>
        <v>0</v>
      </c>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c r="BI37" s="555"/>
      <c r="BJ37" s="237"/>
      <c r="BK37" s="237"/>
      <c r="BL37" s="237"/>
      <c r="BM37" s="237"/>
    </row>
    <row r="38" spans="1:65" s="190" customFormat="1" hidden="1" outlineLevel="1">
      <c r="A38" s="237"/>
      <c r="B38" s="551"/>
      <c r="C38" s="556">
        <f>Asset28</f>
        <v>0</v>
      </c>
      <c r="D38" s="237"/>
      <c r="E38" s="237"/>
      <c r="F38" s="553"/>
      <c r="G38" s="1421">
        <f>'PTRM input'!G170*(1+rvanilla01)^0.5</f>
        <v>0</v>
      </c>
      <c r="H38" s="554">
        <f>'PTRM input'!H170*(1+rvanilla02)^0.5</f>
        <v>0</v>
      </c>
      <c r="I38" s="554">
        <f>'PTRM input'!I170*(1+rvanilla03)^0.5</f>
        <v>0</v>
      </c>
      <c r="J38" s="554">
        <f>'PTRM input'!J170*(1+rvanilla04)^0.5</f>
        <v>0</v>
      </c>
      <c r="K38" s="554">
        <f>'PTRM input'!K170*(1+rvanilla05)^0.5</f>
        <v>0</v>
      </c>
      <c r="L38" s="554">
        <f>'PTRM input'!L170*(1+rvanilla06)^0.5</f>
        <v>0</v>
      </c>
      <c r="M38" s="554">
        <f>'PTRM input'!M170*(1+rvanilla07)^0.5</f>
        <v>0</v>
      </c>
      <c r="N38" s="554">
        <f>'PTRM input'!N170*(1+rvanilla08)^0.5</f>
        <v>0</v>
      </c>
      <c r="O38" s="554">
        <f>'PTRM input'!O170*(1+rvanilla09)^0.5</f>
        <v>0</v>
      </c>
      <c r="P38" s="554">
        <f>'PTRM input'!P170*(1+rvanilla10)^0.5</f>
        <v>0</v>
      </c>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555"/>
      <c r="BF38" s="555"/>
      <c r="BG38" s="555"/>
      <c r="BH38" s="555"/>
      <c r="BI38" s="555"/>
      <c r="BJ38" s="237"/>
      <c r="BK38" s="237"/>
      <c r="BL38" s="237"/>
      <c r="BM38" s="237"/>
    </row>
    <row r="39" spans="1:65" s="190" customFormat="1" hidden="1" outlineLevel="1">
      <c r="A39" s="237"/>
      <c r="B39" s="551"/>
      <c r="C39" s="556">
        <f>Asset29</f>
        <v>0</v>
      </c>
      <c r="D39" s="237"/>
      <c r="E39" s="237"/>
      <c r="F39" s="553"/>
      <c r="G39" s="1421">
        <f>'PTRM input'!G171*(1+rvanilla01)^0.5</f>
        <v>0</v>
      </c>
      <c r="H39" s="554">
        <f>'PTRM input'!H171*(1+rvanilla02)^0.5</f>
        <v>0</v>
      </c>
      <c r="I39" s="554">
        <f>'PTRM input'!I171*(1+rvanilla03)^0.5</f>
        <v>0</v>
      </c>
      <c r="J39" s="554">
        <f>'PTRM input'!J171*(1+rvanilla04)^0.5</f>
        <v>0</v>
      </c>
      <c r="K39" s="554">
        <f>'PTRM input'!K171*(1+rvanilla05)^0.5</f>
        <v>0</v>
      </c>
      <c r="L39" s="554">
        <f>'PTRM input'!L171*(1+rvanilla06)^0.5</f>
        <v>0</v>
      </c>
      <c r="M39" s="554">
        <f>'PTRM input'!M171*(1+rvanilla07)^0.5</f>
        <v>0</v>
      </c>
      <c r="N39" s="554">
        <f>'PTRM input'!N171*(1+rvanilla08)^0.5</f>
        <v>0</v>
      </c>
      <c r="O39" s="554">
        <f>'PTRM input'!O171*(1+rvanilla09)^0.5</f>
        <v>0</v>
      </c>
      <c r="P39" s="554">
        <f>'PTRM input'!P171*(1+rvanilla10)^0.5</f>
        <v>0</v>
      </c>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E39" s="555"/>
      <c r="BF39" s="555"/>
      <c r="BG39" s="555"/>
      <c r="BH39" s="555"/>
      <c r="BI39" s="555"/>
      <c r="BJ39" s="237"/>
      <c r="BK39" s="237"/>
      <c r="BL39" s="237"/>
      <c r="BM39" s="237"/>
    </row>
    <row r="40" spans="1:65" s="190" customFormat="1" hidden="1" outlineLevel="1">
      <c r="A40" s="237"/>
      <c r="B40" s="551"/>
      <c r="C40" s="556" t="str">
        <f>Asset30</f>
        <v>Equity raising costs</v>
      </c>
      <c r="D40" s="237"/>
      <c r="E40" s="237"/>
      <c r="F40" s="553"/>
      <c r="G40" s="1421">
        <f>'PTRM input'!G172*(1+rvanilla01)^0.5</f>
        <v>0</v>
      </c>
      <c r="H40" s="554">
        <f>'PTRM input'!H172*(1+rvanilla02)^0.5</f>
        <v>0</v>
      </c>
      <c r="I40" s="554">
        <f>'PTRM input'!I172*(1+rvanilla03)^0.5</f>
        <v>0</v>
      </c>
      <c r="J40" s="554">
        <f>'PTRM input'!J172*(1+rvanilla04)^0.5</f>
        <v>0</v>
      </c>
      <c r="K40" s="554">
        <f>'PTRM input'!K172*(1+rvanilla05)^0.5</f>
        <v>0</v>
      </c>
      <c r="L40" s="554">
        <f>'PTRM input'!L172*(1+rvanilla06)^0.5</f>
        <v>0</v>
      </c>
      <c r="M40" s="554">
        <f>'PTRM input'!M172*(1+rvanilla07)^0.5</f>
        <v>0</v>
      </c>
      <c r="N40" s="554">
        <f>'PTRM input'!N172*(1+rvanilla08)^0.5</f>
        <v>0</v>
      </c>
      <c r="O40" s="554">
        <f>'PTRM input'!O172*(1+rvanilla09)^0.5</f>
        <v>0</v>
      </c>
      <c r="P40" s="554">
        <f>'PTRM input'!P172*(1+rvanilla10)^0.5</f>
        <v>0</v>
      </c>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237"/>
      <c r="BK40" s="237"/>
      <c r="BL40" s="237"/>
      <c r="BM40" s="237"/>
    </row>
    <row r="41" spans="1:65" s="190" customFormat="1" collapsed="1">
      <c r="A41" s="237"/>
      <c r="B41" s="359" t="s">
        <v>330</v>
      </c>
      <c r="C41" s="237"/>
      <c r="D41" s="237"/>
      <c r="E41" s="237"/>
      <c r="F41" s="1429"/>
      <c r="G41" s="1422">
        <f>SUM(G42:G71)</f>
        <v>2.5377666314839109</v>
      </c>
      <c r="H41" s="554">
        <f t="shared" ref="H41:P41" si="7">SUM(H42:H71)</f>
        <v>2.9773315942800096</v>
      </c>
      <c r="I41" s="554">
        <f t="shared" si="7"/>
        <v>3.0591218751329836</v>
      </c>
      <c r="J41" s="554">
        <f t="shared" si="7"/>
        <v>2.5739186304599824</v>
      </c>
      <c r="K41" s="554">
        <f t="shared" si="7"/>
        <v>3.4232861321558379</v>
      </c>
      <c r="L41" s="554">
        <f t="shared" si="7"/>
        <v>0</v>
      </c>
      <c r="M41" s="554">
        <f t="shared" si="7"/>
        <v>0</v>
      </c>
      <c r="N41" s="554">
        <f t="shared" si="7"/>
        <v>0</v>
      </c>
      <c r="O41" s="554">
        <f t="shared" si="7"/>
        <v>0</v>
      </c>
      <c r="P41" s="554">
        <f t="shared" si="7"/>
        <v>0</v>
      </c>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555"/>
      <c r="BJ41" s="237"/>
      <c r="BK41" s="237"/>
      <c r="BL41" s="237"/>
      <c r="BM41" s="237"/>
    </row>
    <row r="42" spans="1:65" s="190" customFormat="1" hidden="1" outlineLevel="1">
      <c r="A42" s="237"/>
      <c r="B42" s="551"/>
      <c r="C42" s="556" t="str">
        <f>Asset1</f>
        <v>Pre 1999 Assets</v>
      </c>
      <c r="D42" s="237"/>
      <c r="E42" s="237"/>
      <c r="F42" s="553"/>
      <c r="G42" s="554">
        <f t="shared" ref="G42:G69" si="8">G11*G$7</f>
        <v>0</v>
      </c>
      <c r="H42" s="554">
        <f t="shared" ref="H42:P42" si="9">H11*H$7</f>
        <v>0</v>
      </c>
      <c r="I42" s="554">
        <f t="shared" si="9"/>
        <v>0</v>
      </c>
      <c r="J42" s="554">
        <f t="shared" si="9"/>
        <v>0</v>
      </c>
      <c r="K42" s="554">
        <f t="shared" si="9"/>
        <v>0</v>
      </c>
      <c r="L42" s="554">
        <f t="shared" si="9"/>
        <v>0</v>
      </c>
      <c r="M42" s="554">
        <f t="shared" si="9"/>
        <v>0</v>
      </c>
      <c r="N42" s="554">
        <f t="shared" si="9"/>
        <v>0</v>
      </c>
      <c r="O42" s="554">
        <f t="shared" si="9"/>
        <v>0</v>
      </c>
      <c r="P42" s="554">
        <f t="shared" si="9"/>
        <v>0</v>
      </c>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E42" s="555"/>
      <c r="BF42" s="555"/>
      <c r="BG42" s="555"/>
      <c r="BH42" s="555"/>
      <c r="BI42" s="555"/>
      <c r="BJ42" s="237"/>
      <c r="BK42" s="237"/>
      <c r="BL42" s="237"/>
      <c r="BM42" s="237"/>
    </row>
    <row r="43" spans="1:65" s="190" customFormat="1" hidden="1" outlineLevel="1">
      <c r="A43" s="237"/>
      <c r="B43" s="551"/>
      <c r="C43" s="556" t="str">
        <f>Asset2</f>
        <v>Post 1999-2010 Assets</v>
      </c>
      <c r="D43" s="237"/>
      <c r="E43" s="237"/>
      <c r="F43" s="553"/>
      <c r="G43" s="554">
        <f t="shared" si="8"/>
        <v>0</v>
      </c>
      <c r="H43" s="554">
        <f t="shared" ref="H43:P43" si="10">H12*H$7</f>
        <v>0</v>
      </c>
      <c r="I43" s="554">
        <f t="shared" si="10"/>
        <v>0</v>
      </c>
      <c r="J43" s="554">
        <f t="shared" si="10"/>
        <v>0</v>
      </c>
      <c r="K43" s="554">
        <f t="shared" si="10"/>
        <v>0</v>
      </c>
      <c r="L43" s="554">
        <f t="shared" si="10"/>
        <v>0</v>
      </c>
      <c r="M43" s="554">
        <f t="shared" si="10"/>
        <v>0</v>
      </c>
      <c r="N43" s="554">
        <f t="shared" si="10"/>
        <v>0</v>
      </c>
      <c r="O43" s="554">
        <f t="shared" si="10"/>
        <v>0</v>
      </c>
      <c r="P43" s="554">
        <f t="shared" si="10"/>
        <v>0</v>
      </c>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555"/>
      <c r="BJ43" s="237"/>
      <c r="BK43" s="237"/>
      <c r="BL43" s="237"/>
      <c r="BM43" s="237"/>
    </row>
    <row r="44" spans="1:65" s="190" customFormat="1" hidden="1" outlineLevel="1">
      <c r="A44" s="237"/>
      <c r="B44" s="551"/>
      <c r="C44" s="556" t="str">
        <f>Asset3</f>
        <v>New Capex (Post 2010)</v>
      </c>
      <c r="D44" s="237"/>
      <c r="E44" s="237"/>
      <c r="F44" s="553"/>
      <c r="G44" s="554">
        <f t="shared" si="8"/>
        <v>2.5377666314839109</v>
      </c>
      <c r="H44" s="554">
        <f t="shared" ref="H44:P44" si="11">H13*H$7</f>
        <v>2.9773315942800096</v>
      </c>
      <c r="I44" s="554">
        <f t="shared" si="11"/>
        <v>3.0591218751329836</v>
      </c>
      <c r="J44" s="554">
        <f>J13*J$7</f>
        <v>2.5739186304599824</v>
      </c>
      <c r="K44" s="554">
        <f t="shared" si="11"/>
        <v>3.4232861321558379</v>
      </c>
      <c r="L44" s="554">
        <f t="shared" si="11"/>
        <v>0</v>
      </c>
      <c r="M44" s="554">
        <f t="shared" si="11"/>
        <v>0</v>
      </c>
      <c r="N44" s="554">
        <f t="shared" si="11"/>
        <v>0</v>
      </c>
      <c r="O44" s="554">
        <f t="shared" si="11"/>
        <v>0</v>
      </c>
      <c r="P44" s="554">
        <f t="shared" si="11"/>
        <v>0</v>
      </c>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E44" s="555"/>
      <c r="BF44" s="555"/>
      <c r="BG44" s="555"/>
      <c r="BH44" s="555"/>
      <c r="BI44" s="555"/>
      <c r="BJ44" s="237"/>
      <c r="BK44" s="237"/>
      <c r="BL44" s="237"/>
      <c r="BM44" s="237"/>
    </row>
    <row r="45" spans="1:65" s="190" customFormat="1" hidden="1" outlineLevel="1">
      <c r="A45" s="237"/>
      <c r="B45" s="551"/>
      <c r="C45" s="556">
        <f>Asset4</f>
        <v>0</v>
      </c>
      <c r="D45" s="237"/>
      <c r="E45" s="237"/>
      <c r="F45" s="553"/>
      <c r="G45" s="554">
        <f t="shared" si="8"/>
        <v>0</v>
      </c>
      <c r="H45" s="554">
        <f>H14*H$7</f>
        <v>0</v>
      </c>
      <c r="I45" s="554">
        <f t="shared" ref="I45:P45" si="12">I14*I$7</f>
        <v>0</v>
      </c>
      <c r="J45" s="554">
        <f t="shared" si="12"/>
        <v>0</v>
      </c>
      <c r="K45" s="554">
        <f t="shared" si="12"/>
        <v>0</v>
      </c>
      <c r="L45" s="554">
        <f t="shared" si="12"/>
        <v>0</v>
      </c>
      <c r="M45" s="554">
        <f t="shared" si="12"/>
        <v>0</v>
      </c>
      <c r="N45" s="554">
        <f t="shared" si="12"/>
        <v>0</v>
      </c>
      <c r="O45" s="554">
        <f t="shared" si="12"/>
        <v>0</v>
      </c>
      <c r="P45" s="554">
        <f t="shared" si="12"/>
        <v>0</v>
      </c>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E45" s="555"/>
      <c r="BF45" s="555"/>
      <c r="BG45" s="555"/>
      <c r="BH45" s="555"/>
      <c r="BI45" s="555"/>
      <c r="BJ45" s="237"/>
      <c r="BK45" s="237"/>
      <c r="BL45" s="237"/>
      <c r="BM45" s="237"/>
    </row>
    <row r="46" spans="1:65" s="190" customFormat="1" hidden="1" outlineLevel="1">
      <c r="A46" s="237"/>
      <c r="B46" s="551"/>
      <c r="C46" s="556">
        <f>Asset5</f>
        <v>0</v>
      </c>
      <c r="D46" s="237"/>
      <c r="E46" s="237"/>
      <c r="F46" s="553"/>
      <c r="G46" s="554">
        <f t="shared" si="8"/>
        <v>0</v>
      </c>
      <c r="H46" s="554">
        <f t="shared" ref="H46:P46" si="13">H15*H$7</f>
        <v>0</v>
      </c>
      <c r="I46" s="554">
        <f t="shared" si="13"/>
        <v>0</v>
      </c>
      <c r="J46" s="554">
        <f t="shared" si="13"/>
        <v>0</v>
      </c>
      <c r="K46" s="554">
        <f t="shared" si="13"/>
        <v>0</v>
      </c>
      <c r="L46" s="554">
        <f t="shared" si="13"/>
        <v>0</v>
      </c>
      <c r="M46" s="554">
        <f t="shared" si="13"/>
        <v>0</v>
      </c>
      <c r="N46" s="554">
        <f t="shared" si="13"/>
        <v>0</v>
      </c>
      <c r="O46" s="554">
        <f t="shared" si="13"/>
        <v>0</v>
      </c>
      <c r="P46" s="554">
        <f t="shared" si="13"/>
        <v>0</v>
      </c>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237"/>
      <c r="BK46" s="237"/>
      <c r="BL46" s="237"/>
      <c r="BM46" s="237"/>
    </row>
    <row r="47" spans="1:65" s="190" customFormat="1" hidden="1" outlineLevel="1">
      <c r="A47" s="237"/>
      <c r="B47" s="551"/>
      <c r="C47" s="556">
        <f>Asset6</f>
        <v>0</v>
      </c>
      <c r="D47" s="237"/>
      <c r="E47" s="237"/>
      <c r="F47" s="553"/>
      <c r="G47" s="554">
        <f t="shared" si="8"/>
        <v>0</v>
      </c>
      <c r="H47" s="554">
        <f t="shared" ref="H47:P47" si="14">H16*H$7</f>
        <v>0</v>
      </c>
      <c r="I47" s="554">
        <f t="shared" si="14"/>
        <v>0</v>
      </c>
      <c r="J47" s="554">
        <f t="shared" si="14"/>
        <v>0</v>
      </c>
      <c r="K47" s="554">
        <f t="shared" si="14"/>
        <v>0</v>
      </c>
      <c r="L47" s="554">
        <f t="shared" si="14"/>
        <v>0</v>
      </c>
      <c r="M47" s="554">
        <f t="shared" si="14"/>
        <v>0</v>
      </c>
      <c r="N47" s="554">
        <f t="shared" si="14"/>
        <v>0</v>
      </c>
      <c r="O47" s="554">
        <f t="shared" si="14"/>
        <v>0</v>
      </c>
      <c r="P47" s="554">
        <f t="shared" si="14"/>
        <v>0</v>
      </c>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5"/>
      <c r="AW47" s="555"/>
      <c r="AX47" s="555"/>
      <c r="AY47" s="555"/>
      <c r="AZ47" s="555"/>
      <c r="BA47" s="555"/>
      <c r="BB47" s="555"/>
      <c r="BC47" s="555"/>
      <c r="BD47" s="555"/>
      <c r="BE47" s="555"/>
      <c r="BF47" s="555"/>
      <c r="BG47" s="555"/>
      <c r="BH47" s="555"/>
      <c r="BI47" s="555"/>
      <c r="BJ47" s="237"/>
      <c r="BK47" s="237"/>
      <c r="BL47" s="237"/>
      <c r="BM47" s="237"/>
    </row>
    <row r="48" spans="1:65" s="190" customFormat="1" hidden="1" outlineLevel="1">
      <c r="A48" s="237"/>
      <c r="B48" s="551"/>
      <c r="C48" s="556">
        <f>Asset7</f>
        <v>0</v>
      </c>
      <c r="D48" s="237"/>
      <c r="E48" s="237"/>
      <c r="F48" s="553"/>
      <c r="G48" s="554">
        <f t="shared" si="8"/>
        <v>0</v>
      </c>
      <c r="H48" s="554">
        <f t="shared" ref="H48:P48" si="15">H17*H$7</f>
        <v>0</v>
      </c>
      <c r="I48" s="554">
        <f t="shared" si="15"/>
        <v>0</v>
      </c>
      <c r="J48" s="554">
        <f t="shared" si="15"/>
        <v>0</v>
      </c>
      <c r="K48" s="554">
        <f t="shared" si="15"/>
        <v>0</v>
      </c>
      <c r="L48" s="554">
        <f t="shared" si="15"/>
        <v>0</v>
      </c>
      <c r="M48" s="554">
        <f t="shared" si="15"/>
        <v>0</v>
      </c>
      <c r="N48" s="554">
        <f t="shared" si="15"/>
        <v>0</v>
      </c>
      <c r="O48" s="554">
        <f t="shared" si="15"/>
        <v>0</v>
      </c>
      <c r="P48" s="554">
        <f t="shared" si="15"/>
        <v>0</v>
      </c>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5"/>
      <c r="AW48" s="555"/>
      <c r="AX48" s="555"/>
      <c r="AY48" s="555"/>
      <c r="AZ48" s="555"/>
      <c r="BA48" s="555"/>
      <c r="BB48" s="555"/>
      <c r="BC48" s="555"/>
      <c r="BD48" s="555"/>
      <c r="BE48" s="555"/>
      <c r="BF48" s="555"/>
      <c r="BG48" s="555"/>
      <c r="BH48" s="555"/>
      <c r="BI48" s="555"/>
      <c r="BJ48" s="237"/>
      <c r="BK48" s="237"/>
      <c r="BL48" s="237"/>
      <c r="BM48" s="237"/>
    </row>
    <row r="49" spans="1:65" s="190" customFormat="1" hidden="1" outlineLevel="1">
      <c r="A49" s="237"/>
      <c r="B49" s="551"/>
      <c r="C49" s="556">
        <f>Asset8</f>
        <v>0</v>
      </c>
      <c r="D49" s="237"/>
      <c r="E49" s="237"/>
      <c r="F49" s="553"/>
      <c r="G49" s="554">
        <f t="shared" si="8"/>
        <v>0</v>
      </c>
      <c r="H49" s="554">
        <f t="shared" ref="H49:P49" si="16">H18*H$7</f>
        <v>0</v>
      </c>
      <c r="I49" s="554">
        <f t="shared" si="16"/>
        <v>0</v>
      </c>
      <c r="J49" s="554">
        <f t="shared" si="16"/>
        <v>0</v>
      </c>
      <c r="K49" s="554">
        <f t="shared" si="16"/>
        <v>0</v>
      </c>
      <c r="L49" s="554">
        <f t="shared" si="16"/>
        <v>0</v>
      </c>
      <c r="M49" s="554">
        <f t="shared" si="16"/>
        <v>0</v>
      </c>
      <c r="N49" s="554">
        <f t="shared" si="16"/>
        <v>0</v>
      </c>
      <c r="O49" s="554">
        <f t="shared" si="16"/>
        <v>0</v>
      </c>
      <c r="P49" s="554">
        <f t="shared" si="16"/>
        <v>0</v>
      </c>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237"/>
      <c r="BK49" s="237"/>
      <c r="BL49" s="237"/>
      <c r="BM49" s="237"/>
    </row>
    <row r="50" spans="1:65" s="190" customFormat="1" hidden="1" outlineLevel="1">
      <c r="A50" s="237"/>
      <c r="B50" s="551"/>
      <c r="C50" s="556">
        <f>Asset9</f>
        <v>0</v>
      </c>
      <c r="D50" s="237"/>
      <c r="E50" s="237"/>
      <c r="F50" s="553"/>
      <c r="G50" s="554">
        <f t="shared" si="8"/>
        <v>0</v>
      </c>
      <c r="H50" s="554">
        <f t="shared" ref="H50:P50" si="17">H19*H$7</f>
        <v>0</v>
      </c>
      <c r="I50" s="554">
        <f t="shared" si="17"/>
        <v>0</v>
      </c>
      <c r="J50" s="554">
        <f t="shared" si="17"/>
        <v>0</v>
      </c>
      <c r="K50" s="554">
        <f t="shared" si="17"/>
        <v>0</v>
      </c>
      <c r="L50" s="554">
        <f t="shared" si="17"/>
        <v>0</v>
      </c>
      <c r="M50" s="554">
        <f t="shared" si="17"/>
        <v>0</v>
      </c>
      <c r="N50" s="554">
        <f t="shared" si="17"/>
        <v>0</v>
      </c>
      <c r="O50" s="554">
        <f t="shared" si="17"/>
        <v>0</v>
      </c>
      <c r="P50" s="554">
        <f t="shared" si="17"/>
        <v>0</v>
      </c>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237"/>
      <c r="BK50" s="237"/>
      <c r="BL50" s="237"/>
      <c r="BM50" s="237"/>
    </row>
    <row r="51" spans="1:65" s="190" customFormat="1" hidden="1" outlineLevel="1">
      <c r="A51" s="237"/>
      <c r="B51" s="551"/>
      <c r="C51" s="556">
        <f>Asset10</f>
        <v>0</v>
      </c>
      <c r="D51" s="237"/>
      <c r="E51" s="237"/>
      <c r="F51" s="553"/>
      <c r="G51" s="554">
        <f t="shared" si="8"/>
        <v>0</v>
      </c>
      <c r="H51" s="554">
        <f t="shared" ref="H51:P51" si="18">H20*H$7</f>
        <v>0</v>
      </c>
      <c r="I51" s="554">
        <f t="shared" si="18"/>
        <v>0</v>
      </c>
      <c r="J51" s="554">
        <f t="shared" si="18"/>
        <v>0</v>
      </c>
      <c r="K51" s="554">
        <f t="shared" si="18"/>
        <v>0</v>
      </c>
      <c r="L51" s="554">
        <f t="shared" si="18"/>
        <v>0</v>
      </c>
      <c r="M51" s="554">
        <f t="shared" si="18"/>
        <v>0</v>
      </c>
      <c r="N51" s="554">
        <f t="shared" si="18"/>
        <v>0</v>
      </c>
      <c r="O51" s="554">
        <f t="shared" si="18"/>
        <v>0</v>
      </c>
      <c r="P51" s="554">
        <f t="shared" si="18"/>
        <v>0</v>
      </c>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B51" s="555"/>
      <c r="BC51" s="555"/>
      <c r="BD51" s="555"/>
      <c r="BE51" s="555"/>
      <c r="BF51" s="555"/>
      <c r="BG51" s="555"/>
      <c r="BH51" s="555"/>
      <c r="BI51" s="555"/>
      <c r="BJ51" s="237"/>
      <c r="BK51" s="237"/>
      <c r="BL51" s="237"/>
      <c r="BM51" s="237"/>
    </row>
    <row r="52" spans="1:65" s="190" customFormat="1" hidden="1" outlineLevel="1">
      <c r="A52" s="237"/>
      <c r="B52" s="551"/>
      <c r="C52" s="556">
        <f>Asset11</f>
        <v>0</v>
      </c>
      <c r="D52" s="237"/>
      <c r="E52" s="237"/>
      <c r="F52" s="553"/>
      <c r="G52" s="554">
        <f t="shared" si="8"/>
        <v>0</v>
      </c>
      <c r="H52" s="554">
        <f t="shared" ref="H52:P52" si="19">H21*H$7</f>
        <v>0</v>
      </c>
      <c r="I52" s="554">
        <f t="shared" si="19"/>
        <v>0</v>
      </c>
      <c r="J52" s="554">
        <f t="shared" si="19"/>
        <v>0</v>
      </c>
      <c r="K52" s="554">
        <f t="shared" si="19"/>
        <v>0</v>
      </c>
      <c r="L52" s="554">
        <f t="shared" si="19"/>
        <v>0</v>
      </c>
      <c r="M52" s="554">
        <f t="shared" si="19"/>
        <v>0</v>
      </c>
      <c r="N52" s="554">
        <f t="shared" si="19"/>
        <v>0</v>
      </c>
      <c r="O52" s="554">
        <f t="shared" si="19"/>
        <v>0</v>
      </c>
      <c r="P52" s="554">
        <f t="shared" si="19"/>
        <v>0</v>
      </c>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237"/>
      <c r="BK52" s="237"/>
      <c r="BL52" s="237"/>
      <c r="BM52" s="237"/>
    </row>
    <row r="53" spans="1:65" s="190" customFormat="1" hidden="1" outlineLevel="1">
      <c r="A53" s="237"/>
      <c r="B53" s="551"/>
      <c r="C53" s="556">
        <f>Asset12</f>
        <v>0</v>
      </c>
      <c r="D53" s="237"/>
      <c r="E53" s="237"/>
      <c r="F53" s="553"/>
      <c r="G53" s="554">
        <f t="shared" si="8"/>
        <v>0</v>
      </c>
      <c r="H53" s="554">
        <f t="shared" ref="H53:P53" si="20">H22*H$7</f>
        <v>0</v>
      </c>
      <c r="I53" s="554">
        <f t="shared" si="20"/>
        <v>0</v>
      </c>
      <c r="J53" s="554">
        <f t="shared" si="20"/>
        <v>0</v>
      </c>
      <c r="K53" s="554">
        <f t="shared" si="20"/>
        <v>0</v>
      </c>
      <c r="L53" s="554">
        <f t="shared" si="20"/>
        <v>0</v>
      </c>
      <c r="M53" s="554">
        <f t="shared" si="20"/>
        <v>0</v>
      </c>
      <c r="N53" s="554">
        <f t="shared" si="20"/>
        <v>0</v>
      </c>
      <c r="O53" s="554">
        <f t="shared" si="20"/>
        <v>0</v>
      </c>
      <c r="P53" s="554">
        <f t="shared" si="20"/>
        <v>0</v>
      </c>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237"/>
      <c r="BK53" s="237"/>
      <c r="BL53" s="237"/>
      <c r="BM53" s="237"/>
    </row>
    <row r="54" spans="1:65" s="190" customFormat="1" hidden="1" outlineLevel="1">
      <c r="A54" s="237"/>
      <c r="B54" s="551"/>
      <c r="C54" s="556">
        <f>Asset13</f>
        <v>0</v>
      </c>
      <c r="D54" s="237"/>
      <c r="E54" s="237"/>
      <c r="F54" s="553"/>
      <c r="G54" s="554">
        <f t="shared" si="8"/>
        <v>0</v>
      </c>
      <c r="H54" s="554">
        <f t="shared" ref="H54:P54" si="21">H23*H$7</f>
        <v>0</v>
      </c>
      <c r="I54" s="554">
        <f t="shared" si="21"/>
        <v>0</v>
      </c>
      <c r="J54" s="554">
        <f t="shared" si="21"/>
        <v>0</v>
      </c>
      <c r="K54" s="554">
        <f t="shared" si="21"/>
        <v>0</v>
      </c>
      <c r="L54" s="554">
        <f t="shared" si="21"/>
        <v>0</v>
      </c>
      <c r="M54" s="554">
        <f t="shared" si="21"/>
        <v>0</v>
      </c>
      <c r="N54" s="554">
        <f t="shared" si="21"/>
        <v>0</v>
      </c>
      <c r="O54" s="554">
        <f t="shared" si="21"/>
        <v>0</v>
      </c>
      <c r="P54" s="554">
        <f t="shared" si="21"/>
        <v>0</v>
      </c>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5"/>
      <c r="AW54" s="555"/>
      <c r="AX54" s="555"/>
      <c r="AY54" s="555"/>
      <c r="AZ54" s="555"/>
      <c r="BA54" s="555"/>
      <c r="BB54" s="555"/>
      <c r="BC54" s="555"/>
      <c r="BD54" s="555"/>
      <c r="BE54" s="555"/>
      <c r="BF54" s="555"/>
      <c r="BG54" s="555"/>
      <c r="BH54" s="555"/>
      <c r="BI54" s="555"/>
      <c r="BJ54" s="237"/>
      <c r="BK54" s="237"/>
      <c r="BL54" s="237"/>
      <c r="BM54" s="237"/>
    </row>
    <row r="55" spans="1:65" s="190" customFormat="1" hidden="1" outlineLevel="1">
      <c r="A55" s="237"/>
      <c r="B55" s="551"/>
      <c r="C55" s="556">
        <f>Asset14</f>
        <v>0</v>
      </c>
      <c r="D55" s="237"/>
      <c r="E55" s="237"/>
      <c r="F55" s="553"/>
      <c r="G55" s="554">
        <f t="shared" si="8"/>
        <v>0</v>
      </c>
      <c r="H55" s="554">
        <f t="shared" ref="H55:P55" si="22">H24*H$7</f>
        <v>0</v>
      </c>
      <c r="I55" s="554">
        <f t="shared" si="22"/>
        <v>0</v>
      </c>
      <c r="J55" s="554">
        <f t="shared" si="22"/>
        <v>0</v>
      </c>
      <c r="K55" s="554">
        <f t="shared" si="22"/>
        <v>0</v>
      </c>
      <c r="L55" s="554">
        <f t="shared" si="22"/>
        <v>0</v>
      </c>
      <c r="M55" s="554">
        <f t="shared" si="22"/>
        <v>0</v>
      </c>
      <c r="N55" s="554">
        <f t="shared" si="22"/>
        <v>0</v>
      </c>
      <c r="O55" s="554">
        <f t="shared" si="22"/>
        <v>0</v>
      </c>
      <c r="P55" s="554">
        <f t="shared" si="22"/>
        <v>0</v>
      </c>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237"/>
      <c r="BK55" s="237"/>
      <c r="BL55" s="237"/>
      <c r="BM55" s="237"/>
    </row>
    <row r="56" spans="1:65" s="190" customFormat="1" hidden="1" outlineLevel="1">
      <c r="A56" s="237"/>
      <c r="B56" s="551"/>
      <c r="C56" s="556">
        <f>Asset15</f>
        <v>0</v>
      </c>
      <c r="D56" s="237"/>
      <c r="E56" s="237"/>
      <c r="F56" s="553"/>
      <c r="G56" s="554">
        <f t="shared" si="8"/>
        <v>0</v>
      </c>
      <c r="H56" s="554">
        <f t="shared" ref="H56:P56" si="23">H25*H$7</f>
        <v>0</v>
      </c>
      <c r="I56" s="554">
        <f t="shared" si="23"/>
        <v>0</v>
      </c>
      <c r="J56" s="554">
        <f t="shared" si="23"/>
        <v>0</v>
      </c>
      <c r="K56" s="554">
        <f t="shared" si="23"/>
        <v>0</v>
      </c>
      <c r="L56" s="554">
        <f t="shared" si="23"/>
        <v>0</v>
      </c>
      <c r="M56" s="554">
        <f t="shared" si="23"/>
        <v>0</v>
      </c>
      <c r="N56" s="554">
        <f t="shared" si="23"/>
        <v>0</v>
      </c>
      <c r="O56" s="554">
        <f t="shared" si="23"/>
        <v>0</v>
      </c>
      <c r="P56" s="554">
        <f t="shared" si="23"/>
        <v>0</v>
      </c>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555"/>
      <c r="BB56" s="555"/>
      <c r="BC56" s="555"/>
      <c r="BD56" s="555"/>
      <c r="BE56" s="555"/>
      <c r="BF56" s="555"/>
      <c r="BG56" s="555"/>
      <c r="BH56" s="555"/>
      <c r="BI56" s="555"/>
      <c r="BJ56" s="237"/>
      <c r="BK56" s="237"/>
      <c r="BL56" s="237"/>
      <c r="BM56" s="237"/>
    </row>
    <row r="57" spans="1:65" s="190" customFormat="1" hidden="1" outlineLevel="1">
      <c r="A57" s="237"/>
      <c r="B57" s="551"/>
      <c r="C57" s="556">
        <f>Asset16</f>
        <v>0</v>
      </c>
      <c r="D57" s="237"/>
      <c r="E57" s="237"/>
      <c r="F57" s="553"/>
      <c r="G57" s="554">
        <f t="shared" si="8"/>
        <v>0</v>
      </c>
      <c r="H57" s="554">
        <f t="shared" ref="H57:P57" si="24">H26*H$7</f>
        <v>0</v>
      </c>
      <c r="I57" s="554">
        <f t="shared" si="24"/>
        <v>0</v>
      </c>
      <c r="J57" s="554">
        <f t="shared" si="24"/>
        <v>0</v>
      </c>
      <c r="K57" s="554">
        <f>K26*K$7</f>
        <v>0</v>
      </c>
      <c r="L57" s="554">
        <f t="shared" si="24"/>
        <v>0</v>
      </c>
      <c r="M57" s="554">
        <f t="shared" si="24"/>
        <v>0</v>
      </c>
      <c r="N57" s="554">
        <f t="shared" si="24"/>
        <v>0</v>
      </c>
      <c r="O57" s="554">
        <f t="shared" si="24"/>
        <v>0</v>
      </c>
      <c r="P57" s="554">
        <f t="shared" si="24"/>
        <v>0</v>
      </c>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5"/>
      <c r="AW57" s="555"/>
      <c r="AX57" s="555"/>
      <c r="AY57" s="555"/>
      <c r="AZ57" s="555"/>
      <c r="BA57" s="555"/>
      <c r="BB57" s="555"/>
      <c r="BC57" s="555"/>
      <c r="BD57" s="555"/>
      <c r="BE57" s="555"/>
      <c r="BF57" s="555"/>
      <c r="BG57" s="555"/>
      <c r="BH57" s="555"/>
      <c r="BI57" s="555"/>
      <c r="BJ57" s="237"/>
      <c r="BK57" s="237"/>
      <c r="BL57" s="237"/>
      <c r="BM57" s="237"/>
    </row>
    <row r="58" spans="1:65" s="190" customFormat="1" hidden="1" outlineLevel="1">
      <c r="A58" s="237"/>
      <c r="B58" s="551"/>
      <c r="C58" s="556">
        <f>Asset17</f>
        <v>0</v>
      </c>
      <c r="D58" s="237"/>
      <c r="E58" s="237"/>
      <c r="F58" s="553"/>
      <c r="G58" s="554">
        <f t="shared" si="8"/>
        <v>0</v>
      </c>
      <c r="H58" s="554">
        <f t="shared" ref="H58:P58" si="25">H27*H$7</f>
        <v>0</v>
      </c>
      <c r="I58" s="554">
        <f t="shared" si="25"/>
        <v>0</v>
      </c>
      <c r="J58" s="554">
        <f t="shared" si="25"/>
        <v>0</v>
      </c>
      <c r="K58" s="554">
        <f t="shared" si="25"/>
        <v>0</v>
      </c>
      <c r="L58" s="554">
        <f t="shared" si="25"/>
        <v>0</v>
      </c>
      <c r="M58" s="554">
        <f t="shared" si="25"/>
        <v>0</v>
      </c>
      <c r="N58" s="554">
        <f t="shared" si="25"/>
        <v>0</v>
      </c>
      <c r="O58" s="554">
        <f t="shared" si="25"/>
        <v>0</v>
      </c>
      <c r="P58" s="554">
        <f t="shared" si="25"/>
        <v>0</v>
      </c>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237"/>
      <c r="BK58" s="237"/>
      <c r="BL58" s="237"/>
      <c r="BM58" s="237"/>
    </row>
    <row r="59" spans="1:65" s="190" customFormat="1" hidden="1" outlineLevel="1">
      <c r="A59" s="237"/>
      <c r="B59" s="551"/>
      <c r="C59" s="556">
        <f>Asset18</f>
        <v>0</v>
      </c>
      <c r="D59" s="237"/>
      <c r="E59" s="237"/>
      <c r="F59" s="553"/>
      <c r="G59" s="554">
        <f t="shared" si="8"/>
        <v>0</v>
      </c>
      <c r="H59" s="554">
        <f t="shared" ref="H59:P59" si="26">H28*H$7</f>
        <v>0</v>
      </c>
      <c r="I59" s="554">
        <f t="shared" si="26"/>
        <v>0</v>
      </c>
      <c r="J59" s="554">
        <f t="shared" si="26"/>
        <v>0</v>
      </c>
      <c r="K59" s="554">
        <f t="shared" si="26"/>
        <v>0</v>
      </c>
      <c r="L59" s="554">
        <f t="shared" si="26"/>
        <v>0</v>
      </c>
      <c r="M59" s="554">
        <f t="shared" si="26"/>
        <v>0</v>
      </c>
      <c r="N59" s="554">
        <f t="shared" si="26"/>
        <v>0</v>
      </c>
      <c r="O59" s="554">
        <f t="shared" si="26"/>
        <v>0</v>
      </c>
      <c r="P59" s="554">
        <f t="shared" si="26"/>
        <v>0</v>
      </c>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237"/>
      <c r="BK59" s="237"/>
      <c r="BL59" s="237"/>
      <c r="BM59" s="237"/>
    </row>
    <row r="60" spans="1:65" s="190" customFormat="1" hidden="1" outlineLevel="1">
      <c r="A60" s="237"/>
      <c r="B60" s="551"/>
      <c r="C60" s="556">
        <f>Asset19</f>
        <v>0</v>
      </c>
      <c r="D60" s="237"/>
      <c r="E60" s="237"/>
      <c r="F60" s="553"/>
      <c r="G60" s="554">
        <f t="shared" si="8"/>
        <v>0</v>
      </c>
      <c r="H60" s="554">
        <f t="shared" ref="H60:P60" si="27">H29*H$7</f>
        <v>0</v>
      </c>
      <c r="I60" s="554">
        <f t="shared" si="27"/>
        <v>0</v>
      </c>
      <c r="J60" s="554">
        <f t="shared" si="27"/>
        <v>0</v>
      </c>
      <c r="K60" s="554">
        <f t="shared" si="27"/>
        <v>0</v>
      </c>
      <c r="L60" s="554">
        <f t="shared" si="27"/>
        <v>0</v>
      </c>
      <c r="M60" s="554">
        <f t="shared" si="27"/>
        <v>0</v>
      </c>
      <c r="N60" s="554">
        <f t="shared" si="27"/>
        <v>0</v>
      </c>
      <c r="O60" s="554">
        <f t="shared" si="27"/>
        <v>0</v>
      </c>
      <c r="P60" s="554">
        <f t="shared" si="27"/>
        <v>0</v>
      </c>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5"/>
      <c r="BD60" s="555"/>
      <c r="BE60" s="555"/>
      <c r="BF60" s="555"/>
      <c r="BG60" s="555"/>
      <c r="BH60" s="555"/>
      <c r="BI60" s="555"/>
      <c r="BJ60" s="237"/>
      <c r="BK60" s="237"/>
      <c r="BL60" s="237"/>
      <c r="BM60" s="237"/>
    </row>
    <row r="61" spans="1:65" s="190" customFormat="1" hidden="1" outlineLevel="1">
      <c r="A61" s="237"/>
      <c r="B61" s="551"/>
      <c r="C61" s="556">
        <f>Asset20</f>
        <v>0</v>
      </c>
      <c r="D61" s="237"/>
      <c r="E61" s="237"/>
      <c r="F61" s="553"/>
      <c r="G61" s="554">
        <f t="shared" si="8"/>
        <v>0</v>
      </c>
      <c r="H61" s="554">
        <f t="shared" ref="H61:P61" si="28">H30*H$7</f>
        <v>0</v>
      </c>
      <c r="I61" s="554">
        <f t="shared" si="28"/>
        <v>0</v>
      </c>
      <c r="J61" s="554">
        <f t="shared" si="28"/>
        <v>0</v>
      </c>
      <c r="K61" s="554">
        <f t="shared" si="28"/>
        <v>0</v>
      </c>
      <c r="L61" s="554">
        <f t="shared" si="28"/>
        <v>0</v>
      </c>
      <c r="M61" s="554">
        <f t="shared" si="28"/>
        <v>0</v>
      </c>
      <c r="N61" s="554">
        <f t="shared" si="28"/>
        <v>0</v>
      </c>
      <c r="O61" s="554">
        <f t="shared" si="28"/>
        <v>0</v>
      </c>
      <c r="P61" s="554">
        <f t="shared" si="28"/>
        <v>0</v>
      </c>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5"/>
      <c r="AW61" s="555"/>
      <c r="AX61" s="555"/>
      <c r="AY61" s="555"/>
      <c r="AZ61" s="555"/>
      <c r="BA61" s="555"/>
      <c r="BB61" s="555"/>
      <c r="BC61" s="555"/>
      <c r="BD61" s="555"/>
      <c r="BE61" s="555"/>
      <c r="BF61" s="555"/>
      <c r="BG61" s="555"/>
      <c r="BH61" s="555"/>
      <c r="BI61" s="555"/>
      <c r="BJ61" s="237"/>
      <c r="BK61" s="237"/>
      <c r="BL61" s="237"/>
      <c r="BM61" s="237"/>
    </row>
    <row r="62" spans="1:65" s="190" customFormat="1" hidden="1" outlineLevel="1">
      <c r="A62" s="237"/>
      <c r="B62" s="551"/>
      <c r="C62" s="556">
        <f>Asset21</f>
        <v>0</v>
      </c>
      <c r="D62" s="237"/>
      <c r="E62" s="237"/>
      <c r="F62" s="553"/>
      <c r="G62" s="554">
        <f t="shared" si="8"/>
        <v>0</v>
      </c>
      <c r="H62" s="554">
        <f t="shared" ref="H62:P62" si="29">H31*H$7</f>
        <v>0</v>
      </c>
      <c r="I62" s="554">
        <f t="shared" si="29"/>
        <v>0</v>
      </c>
      <c r="J62" s="554">
        <f t="shared" si="29"/>
        <v>0</v>
      </c>
      <c r="K62" s="554">
        <f t="shared" si="29"/>
        <v>0</v>
      </c>
      <c r="L62" s="554">
        <f t="shared" si="29"/>
        <v>0</v>
      </c>
      <c r="M62" s="554">
        <f t="shared" si="29"/>
        <v>0</v>
      </c>
      <c r="N62" s="554">
        <f t="shared" si="29"/>
        <v>0</v>
      </c>
      <c r="O62" s="554">
        <f t="shared" si="29"/>
        <v>0</v>
      </c>
      <c r="P62" s="554">
        <f t="shared" si="29"/>
        <v>0</v>
      </c>
      <c r="Q62" s="555"/>
      <c r="R62" s="555"/>
      <c r="S62" s="555"/>
      <c r="T62" s="555"/>
      <c r="U62" s="555"/>
      <c r="V62" s="555"/>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555"/>
      <c r="BB62" s="555"/>
      <c r="BC62" s="555"/>
      <c r="BD62" s="555"/>
      <c r="BE62" s="555"/>
      <c r="BF62" s="555"/>
      <c r="BG62" s="555"/>
      <c r="BH62" s="555"/>
      <c r="BI62" s="555"/>
      <c r="BJ62" s="237"/>
      <c r="BK62" s="237"/>
      <c r="BL62" s="237"/>
      <c r="BM62" s="237"/>
    </row>
    <row r="63" spans="1:65" s="190" customFormat="1" hidden="1" outlineLevel="1">
      <c r="A63" s="237"/>
      <c r="B63" s="551"/>
      <c r="C63" s="556">
        <f>Asset22</f>
        <v>0</v>
      </c>
      <c r="D63" s="237"/>
      <c r="E63" s="237"/>
      <c r="F63" s="553"/>
      <c r="G63" s="554">
        <f t="shared" si="8"/>
        <v>0</v>
      </c>
      <c r="H63" s="554">
        <f t="shared" ref="H63:P63" si="30">H32*H$7</f>
        <v>0</v>
      </c>
      <c r="I63" s="554">
        <f t="shared" si="30"/>
        <v>0</v>
      </c>
      <c r="J63" s="554">
        <f t="shared" si="30"/>
        <v>0</v>
      </c>
      <c r="K63" s="554">
        <f t="shared" si="30"/>
        <v>0</v>
      </c>
      <c r="L63" s="554">
        <f t="shared" si="30"/>
        <v>0</v>
      </c>
      <c r="M63" s="554">
        <f t="shared" si="30"/>
        <v>0</v>
      </c>
      <c r="N63" s="554">
        <f t="shared" si="30"/>
        <v>0</v>
      </c>
      <c r="O63" s="554">
        <f t="shared" si="30"/>
        <v>0</v>
      </c>
      <c r="P63" s="554">
        <f t="shared" si="30"/>
        <v>0</v>
      </c>
      <c r="Q63" s="555"/>
      <c r="R63" s="555"/>
      <c r="S63" s="555"/>
      <c r="T63" s="555"/>
      <c r="U63" s="555"/>
      <c r="V63" s="555"/>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237"/>
      <c r="BK63" s="237"/>
      <c r="BL63" s="237"/>
      <c r="BM63" s="237"/>
    </row>
    <row r="64" spans="1:65" s="190" customFormat="1" hidden="1" outlineLevel="1">
      <c r="A64" s="237"/>
      <c r="B64" s="551"/>
      <c r="C64" s="556">
        <f>Asset23</f>
        <v>0</v>
      </c>
      <c r="D64" s="237"/>
      <c r="E64" s="237"/>
      <c r="F64" s="553"/>
      <c r="G64" s="554">
        <f t="shared" si="8"/>
        <v>0</v>
      </c>
      <c r="H64" s="554">
        <f t="shared" ref="H64:P64" si="31">H33*H$7</f>
        <v>0</v>
      </c>
      <c r="I64" s="554">
        <f t="shared" si="31"/>
        <v>0</v>
      </c>
      <c r="J64" s="554">
        <f t="shared" si="31"/>
        <v>0</v>
      </c>
      <c r="K64" s="554">
        <f t="shared" si="31"/>
        <v>0</v>
      </c>
      <c r="L64" s="554">
        <f t="shared" si="31"/>
        <v>0</v>
      </c>
      <c r="M64" s="554">
        <f t="shared" si="31"/>
        <v>0</v>
      </c>
      <c r="N64" s="554">
        <f t="shared" si="31"/>
        <v>0</v>
      </c>
      <c r="O64" s="554">
        <f t="shared" si="31"/>
        <v>0</v>
      </c>
      <c r="P64" s="554">
        <f t="shared" si="31"/>
        <v>0</v>
      </c>
      <c r="Q64" s="555"/>
      <c r="R64" s="555"/>
      <c r="S64" s="555"/>
      <c r="T64" s="555"/>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555"/>
      <c r="BB64" s="555"/>
      <c r="BC64" s="555"/>
      <c r="BD64" s="555"/>
      <c r="BE64" s="555"/>
      <c r="BF64" s="555"/>
      <c r="BG64" s="555"/>
      <c r="BH64" s="555"/>
      <c r="BI64" s="555"/>
      <c r="BJ64" s="237"/>
      <c r="BK64" s="237"/>
      <c r="BL64" s="237"/>
      <c r="BM64" s="237"/>
    </row>
    <row r="65" spans="1:65" s="190" customFormat="1" hidden="1" outlineLevel="1">
      <c r="A65" s="237"/>
      <c r="B65" s="551"/>
      <c r="C65" s="556">
        <f>Asset24</f>
        <v>0</v>
      </c>
      <c r="D65" s="237"/>
      <c r="E65" s="237"/>
      <c r="F65" s="553"/>
      <c r="G65" s="554">
        <f t="shared" si="8"/>
        <v>0</v>
      </c>
      <c r="H65" s="554">
        <f t="shared" ref="H65:P65" si="32">H34*H$7</f>
        <v>0</v>
      </c>
      <c r="I65" s="554">
        <f t="shared" si="32"/>
        <v>0</v>
      </c>
      <c r="J65" s="554">
        <f t="shared" si="32"/>
        <v>0</v>
      </c>
      <c r="K65" s="554">
        <f t="shared" si="32"/>
        <v>0</v>
      </c>
      <c r="L65" s="554">
        <f t="shared" si="32"/>
        <v>0</v>
      </c>
      <c r="M65" s="554">
        <f t="shared" si="32"/>
        <v>0</v>
      </c>
      <c r="N65" s="554">
        <f t="shared" si="32"/>
        <v>0</v>
      </c>
      <c r="O65" s="554">
        <f t="shared" si="32"/>
        <v>0</v>
      </c>
      <c r="P65" s="554">
        <f t="shared" si="32"/>
        <v>0</v>
      </c>
      <c r="Q65" s="555"/>
      <c r="R65" s="555"/>
      <c r="S65" s="555"/>
      <c r="T65" s="555"/>
      <c r="U65" s="555"/>
      <c r="V65" s="555"/>
      <c r="W65" s="555"/>
      <c r="X65" s="555"/>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5"/>
      <c r="AW65" s="555"/>
      <c r="AX65" s="555"/>
      <c r="AY65" s="555"/>
      <c r="AZ65" s="555"/>
      <c r="BA65" s="555"/>
      <c r="BB65" s="555"/>
      <c r="BC65" s="555"/>
      <c r="BD65" s="555"/>
      <c r="BE65" s="555"/>
      <c r="BF65" s="555"/>
      <c r="BG65" s="555"/>
      <c r="BH65" s="555"/>
      <c r="BI65" s="555"/>
      <c r="BJ65" s="237"/>
      <c r="BK65" s="237"/>
      <c r="BL65" s="237"/>
      <c r="BM65" s="237"/>
    </row>
    <row r="66" spans="1:65" s="190" customFormat="1" hidden="1" outlineLevel="1">
      <c r="A66" s="237"/>
      <c r="B66" s="551"/>
      <c r="C66" s="556">
        <f>Asset25</f>
        <v>0</v>
      </c>
      <c r="D66" s="237"/>
      <c r="E66" s="237"/>
      <c r="F66" s="553"/>
      <c r="G66" s="554">
        <f t="shared" si="8"/>
        <v>0</v>
      </c>
      <c r="H66" s="554">
        <f t="shared" ref="H66:P66" si="33">H35*H$7</f>
        <v>0</v>
      </c>
      <c r="I66" s="554">
        <f t="shared" si="33"/>
        <v>0</v>
      </c>
      <c r="J66" s="554">
        <f t="shared" si="33"/>
        <v>0</v>
      </c>
      <c r="K66" s="554">
        <f t="shared" si="33"/>
        <v>0</v>
      </c>
      <c r="L66" s="554">
        <f t="shared" si="33"/>
        <v>0</v>
      </c>
      <c r="M66" s="554">
        <f t="shared" si="33"/>
        <v>0</v>
      </c>
      <c r="N66" s="554">
        <f t="shared" si="33"/>
        <v>0</v>
      </c>
      <c r="O66" s="554">
        <f t="shared" si="33"/>
        <v>0</v>
      </c>
      <c r="P66" s="554">
        <f t="shared" si="33"/>
        <v>0</v>
      </c>
      <c r="Q66" s="555"/>
      <c r="R66" s="555"/>
      <c r="S66" s="555"/>
      <c r="T66" s="555"/>
      <c r="U66" s="555"/>
      <c r="V66" s="555"/>
      <c r="W66" s="555"/>
      <c r="X66" s="555"/>
      <c r="Y66" s="555"/>
      <c r="Z66" s="555"/>
      <c r="AA66" s="555"/>
      <c r="AB66" s="555"/>
      <c r="AC66" s="555"/>
      <c r="AD66" s="555"/>
      <c r="AE66" s="555"/>
      <c r="AF66" s="555"/>
      <c r="AG66" s="555"/>
      <c r="AH66" s="555"/>
      <c r="AI66" s="555"/>
      <c r="AJ66" s="555"/>
      <c r="AK66" s="555"/>
      <c r="AL66" s="555"/>
      <c r="AM66" s="555"/>
      <c r="AN66" s="555"/>
      <c r="AO66" s="555"/>
      <c r="AP66" s="555"/>
      <c r="AQ66" s="555"/>
      <c r="AR66" s="555"/>
      <c r="AS66" s="555"/>
      <c r="AT66" s="555"/>
      <c r="AU66" s="555"/>
      <c r="AV66" s="555"/>
      <c r="AW66" s="555"/>
      <c r="AX66" s="555"/>
      <c r="AY66" s="555"/>
      <c r="AZ66" s="555"/>
      <c r="BA66" s="555"/>
      <c r="BB66" s="555"/>
      <c r="BC66" s="555"/>
      <c r="BD66" s="555"/>
      <c r="BE66" s="555"/>
      <c r="BF66" s="555"/>
      <c r="BG66" s="555"/>
      <c r="BH66" s="555"/>
      <c r="BI66" s="555"/>
      <c r="BJ66" s="237"/>
      <c r="BK66" s="237"/>
      <c r="BL66" s="237"/>
      <c r="BM66" s="237"/>
    </row>
    <row r="67" spans="1:65" s="190" customFormat="1" hidden="1" outlineLevel="1">
      <c r="A67" s="237"/>
      <c r="B67" s="551"/>
      <c r="C67" s="556">
        <f>Asset26</f>
        <v>0</v>
      </c>
      <c r="D67" s="237"/>
      <c r="E67" s="237"/>
      <c r="F67" s="553"/>
      <c r="G67" s="554">
        <f t="shared" si="8"/>
        <v>0</v>
      </c>
      <c r="H67" s="554">
        <f t="shared" ref="H67:P67" si="34">H36*H$7</f>
        <v>0</v>
      </c>
      <c r="I67" s="554">
        <f t="shared" si="34"/>
        <v>0</v>
      </c>
      <c r="J67" s="554">
        <f t="shared" si="34"/>
        <v>0</v>
      </c>
      <c r="K67" s="554">
        <f t="shared" si="34"/>
        <v>0</v>
      </c>
      <c r="L67" s="554">
        <f t="shared" si="34"/>
        <v>0</v>
      </c>
      <c r="M67" s="554">
        <f t="shared" si="34"/>
        <v>0</v>
      </c>
      <c r="N67" s="554">
        <f t="shared" si="34"/>
        <v>0</v>
      </c>
      <c r="O67" s="554">
        <f t="shared" si="34"/>
        <v>0</v>
      </c>
      <c r="P67" s="554">
        <f t="shared" si="34"/>
        <v>0</v>
      </c>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237"/>
      <c r="BK67" s="237"/>
      <c r="BL67" s="237"/>
      <c r="BM67" s="237"/>
    </row>
    <row r="68" spans="1:65" s="190" customFormat="1" hidden="1" outlineLevel="1">
      <c r="A68" s="237"/>
      <c r="B68" s="551"/>
      <c r="C68" s="556">
        <f>Asset27</f>
        <v>0</v>
      </c>
      <c r="D68" s="237"/>
      <c r="E68" s="237"/>
      <c r="F68" s="553"/>
      <c r="G68" s="554">
        <f t="shared" si="8"/>
        <v>0</v>
      </c>
      <c r="H68" s="554">
        <f t="shared" ref="H68:P68" si="35">H37*H$7</f>
        <v>0</v>
      </c>
      <c r="I68" s="554">
        <f t="shared" si="35"/>
        <v>0</v>
      </c>
      <c r="J68" s="554">
        <f t="shared" si="35"/>
        <v>0</v>
      </c>
      <c r="K68" s="554">
        <f t="shared" si="35"/>
        <v>0</v>
      </c>
      <c r="L68" s="554">
        <f t="shared" si="35"/>
        <v>0</v>
      </c>
      <c r="M68" s="554">
        <f t="shared" si="35"/>
        <v>0</v>
      </c>
      <c r="N68" s="554">
        <f t="shared" si="35"/>
        <v>0</v>
      </c>
      <c r="O68" s="554">
        <f t="shared" si="35"/>
        <v>0</v>
      </c>
      <c r="P68" s="554">
        <f t="shared" si="35"/>
        <v>0</v>
      </c>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55"/>
      <c r="BB68" s="555"/>
      <c r="BC68" s="555"/>
      <c r="BD68" s="555"/>
      <c r="BE68" s="555"/>
      <c r="BF68" s="555"/>
      <c r="BG68" s="555"/>
      <c r="BH68" s="555"/>
      <c r="BI68" s="555"/>
      <c r="BJ68" s="237"/>
      <c r="BK68" s="237"/>
      <c r="BL68" s="237"/>
      <c r="BM68" s="237"/>
    </row>
    <row r="69" spans="1:65" s="190" customFormat="1" hidden="1" outlineLevel="1">
      <c r="A69" s="237"/>
      <c r="B69" s="551"/>
      <c r="C69" s="556">
        <f>Asset28</f>
        <v>0</v>
      </c>
      <c r="D69" s="237"/>
      <c r="E69" s="237"/>
      <c r="F69" s="553"/>
      <c r="G69" s="554">
        <f t="shared" si="8"/>
        <v>0</v>
      </c>
      <c r="H69" s="554">
        <f t="shared" ref="H69:P69" si="36">H38*H$7</f>
        <v>0</v>
      </c>
      <c r="I69" s="554">
        <f t="shared" si="36"/>
        <v>0</v>
      </c>
      <c r="J69" s="554">
        <f t="shared" si="36"/>
        <v>0</v>
      </c>
      <c r="K69" s="554">
        <f t="shared" si="36"/>
        <v>0</v>
      </c>
      <c r="L69" s="554">
        <f t="shared" si="36"/>
        <v>0</v>
      </c>
      <c r="M69" s="554">
        <f t="shared" si="36"/>
        <v>0</v>
      </c>
      <c r="N69" s="554">
        <f t="shared" si="36"/>
        <v>0</v>
      </c>
      <c r="O69" s="554">
        <f t="shared" si="36"/>
        <v>0</v>
      </c>
      <c r="P69" s="554">
        <f t="shared" si="36"/>
        <v>0</v>
      </c>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c r="BA69" s="555"/>
      <c r="BB69" s="555"/>
      <c r="BC69" s="555"/>
      <c r="BD69" s="555"/>
      <c r="BE69" s="555"/>
      <c r="BF69" s="555"/>
      <c r="BG69" s="555"/>
      <c r="BH69" s="555"/>
      <c r="BI69" s="555"/>
      <c r="BJ69" s="237"/>
      <c r="BK69" s="237"/>
      <c r="BL69" s="237"/>
      <c r="BM69" s="237"/>
    </row>
    <row r="70" spans="1:65" s="190" customFormat="1" hidden="1" outlineLevel="1">
      <c r="A70" s="237"/>
      <c r="B70" s="551"/>
      <c r="C70" s="556">
        <f>Asset29</f>
        <v>0</v>
      </c>
      <c r="D70" s="237"/>
      <c r="E70" s="237"/>
      <c r="F70" s="553"/>
      <c r="G70" s="554">
        <f t="shared" ref="G70:P70" si="37">G39*G$7</f>
        <v>0</v>
      </c>
      <c r="H70" s="554">
        <f t="shared" si="37"/>
        <v>0</v>
      </c>
      <c r="I70" s="554">
        <f t="shared" si="37"/>
        <v>0</v>
      </c>
      <c r="J70" s="554">
        <f t="shared" si="37"/>
        <v>0</v>
      </c>
      <c r="K70" s="554">
        <f t="shared" si="37"/>
        <v>0</v>
      </c>
      <c r="L70" s="554">
        <f t="shared" si="37"/>
        <v>0</v>
      </c>
      <c r="M70" s="554">
        <f t="shared" si="37"/>
        <v>0</v>
      </c>
      <c r="N70" s="554">
        <f t="shared" si="37"/>
        <v>0</v>
      </c>
      <c r="O70" s="554">
        <f t="shared" si="37"/>
        <v>0</v>
      </c>
      <c r="P70" s="554">
        <f t="shared" si="37"/>
        <v>0</v>
      </c>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c r="BA70" s="555"/>
      <c r="BB70" s="555"/>
      <c r="BC70" s="555"/>
      <c r="BD70" s="555"/>
      <c r="BE70" s="555"/>
      <c r="BF70" s="555"/>
      <c r="BG70" s="555"/>
      <c r="BH70" s="555"/>
      <c r="BI70" s="555"/>
      <c r="BJ70" s="237"/>
      <c r="BK70" s="237"/>
      <c r="BL70" s="237"/>
      <c r="BM70" s="237"/>
    </row>
    <row r="71" spans="1:65" s="190" customFormat="1" hidden="1" outlineLevel="1">
      <c r="A71" s="237"/>
      <c r="B71" s="551"/>
      <c r="C71" s="556" t="str">
        <f>Asset30</f>
        <v>Equity raising costs</v>
      </c>
      <c r="D71" s="237"/>
      <c r="E71" s="237"/>
      <c r="F71" s="553"/>
      <c r="G71" s="554">
        <f t="shared" ref="G71:P71" si="38">G40*G$7</f>
        <v>0</v>
      </c>
      <c r="H71" s="554">
        <f t="shared" si="38"/>
        <v>0</v>
      </c>
      <c r="I71" s="554">
        <f t="shared" si="38"/>
        <v>0</v>
      </c>
      <c r="J71" s="554">
        <f t="shared" si="38"/>
        <v>0</v>
      </c>
      <c r="K71" s="554">
        <f t="shared" si="38"/>
        <v>0</v>
      </c>
      <c r="L71" s="554">
        <f t="shared" si="38"/>
        <v>0</v>
      </c>
      <c r="M71" s="554">
        <f t="shared" si="38"/>
        <v>0</v>
      </c>
      <c r="N71" s="554">
        <f t="shared" si="38"/>
        <v>0</v>
      </c>
      <c r="O71" s="554">
        <f t="shared" si="38"/>
        <v>0</v>
      </c>
      <c r="P71" s="554">
        <f t="shared" si="38"/>
        <v>0</v>
      </c>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c r="BA71" s="555"/>
      <c r="BB71" s="555"/>
      <c r="BC71" s="555"/>
      <c r="BD71" s="555"/>
      <c r="BE71" s="555"/>
      <c r="BF71" s="555"/>
      <c r="BG71" s="555"/>
      <c r="BH71" s="555"/>
      <c r="BI71" s="555"/>
      <c r="BJ71" s="237"/>
      <c r="BK71" s="237"/>
      <c r="BL71" s="237"/>
      <c r="BM71" s="237"/>
    </row>
    <row r="72" spans="1:65" s="190" customFormat="1" collapsed="1">
      <c r="A72" s="237"/>
      <c r="B72" s="551"/>
      <c r="C72" s="237"/>
      <c r="D72" s="237"/>
      <c r="E72" s="237"/>
      <c r="F72" s="553"/>
      <c r="G72" s="555"/>
      <c r="H72" s="555"/>
      <c r="I72" s="555"/>
      <c r="J72" s="555"/>
      <c r="K72" s="555"/>
      <c r="L72" s="236"/>
      <c r="M72" s="236"/>
      <c r="N72" s="236"/>
      <c r="O72" s="236"/>
      <c r="P72" s="236"/>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237"/>
      <c r="BK72" s="237"/>
      <c r="BL72" s="237"/>
      <c r="BM72" s="237"/>
    </row>
    <row r="73" spans="1:65" s="190" customFormat="1">
      <c r="A73" s="116"/>
      <c r="B73" s="130" t="str">
        <f>"Asset Values ($m Real "&amp;F4&amp;")"</f>
        <v>Asset Values ($m Real 2009-10)</v>
      </c>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237"/>
      <c r="BL73" s="237"/>
      <c r="BM73" s="237"/>
    </row>
    <row r="74" spans="1:65" s="190" customFormat="1">
      <c r="A74" s="237"/>
      <c r="B74" s="557"/>
      <c r="C74" s="237"/>
      <c r="D74" s="237"/>
      <c r="E74" s="237"/>
      <c r="F74" s="553"/>
      <c r="G74" s="555"/>
      <c r="H74" s="555"/>
      <c r="I74" s="555"/>
      <c r="J74" s="555"/>
      <c r="K74" s="555"/>
      <c r="L74" s="555"/>
      <c r="M74" s="555"/>
      <c r="N74" s="555"/>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c r="BA74" s="555"/>
      <c r="BB74" s="555"/>
      <c r="BC74" s="555"/>
      <c r="BD74" s="555"/>
      <c r="BE74" s="555"/>
      <c r="BF74" s="555"/>
      <c r="BG74" s="555"/>
      <c r="BH74" s="555"/>
      <c r="BI74" s="555"/>
      <c r="BJ74" s="237"/>
      <c r="BK74" s="237"/>
      <c r="BL74" s="237"/>
      <c r="BM74" s="237"/>
    </row>
    <row r="75" spans="1:65" s="190" customFormat="1">
      <c r="A75" s="237"/>
      <c r="B75" s="237" t="s">
        <v>100</v>
      </c>
      <c r="C75" s="237"/>
      <c r="D75" s="237"/>
      <c r="E75" s="237"/>
      <c r="F75" s="558"/>
      <c r="G75" s="1464">
        <f>G88+G101+G114+G127+G140+G153+G166+G179+G192+G205+G218+G231+G244+G257+G270+G283+G296+G309+G322+G335+G348+G361+G374+G387+G400+G413+G426+G439+G452+G465</f>
        <v>2.6232219300592314</v>
      </c>
      <c r="H75" s="1464">
        <f>H88+H101+H114+H127+H140+H153+H166+H179+H192+H205+H218+H231+H244+H257+H270+H283+H296+H309+H322+H335+H348+H361+H374+H387+H400+H413+H426+H439+H452+H465</f>
        <v>2.7116286044183777</v>
      </c>
      <c r="I75" s="1465">
        <f t="shared" ref="I75:BI75" si="39">I88+I101+I114+I127+I140+I153+I166+I179+I192+I205+I218+I231+I244+I257+I270+I283+I296+I309+I322+I335+I348+I361+I374+I387+I400+I413+I426+I439+I452+I465</f>
        <v>2.8127986579156294</v>
      </c>
      <c r="J75" s="1465">
        <f t="shared" si="39"/>
        <v>2.9141928211950714</v>
      </c>
      <c r="K75" s="1465">
        <f t="shared" si="39"/>
        <v>2.9974079695936351</v>
      </c>
      <c r="L75" s="1465">
        <f t="shared" si="39"/>
        <v>3.1053628254459804</v>
      </c>
      <c r="M75" s="1465">
        <f t="shared" si="39"/>
        <v>3.1053628254459804</v>
      </c>
      <c r="N75" s="561">
        <f t="shared" si="39"/>
        <v>1.5085126869165411</v>
      </c>
      <c r="O75" s="561">
        <f t="shared" si="39"/>
        <v>1.5085126869165428</v>
      </c>
      <c r="P75" s="561">
        <f t="shared" si="39"/>
        <v>1.5085126869165428</v>
      </c>
      <c r="Q75" s="561">
        <f t="shared" si="39"/>
        <v>1.5085126869165428</v>
      </c>
      <c r="R75" s="561">
        <f t="shared" si="39"/>
        <v>1.5085126869165428</v>
      </c>
      <c r="S75" s="561">
        <f t="shared" si="39"/>
        <v>1.5085126869165428</v>
      </c>
      <c r="T75" s="561">
        <f t="shared" si="39"/>
        <v>1.5085126869165428</v>
      </c>
      <c r="U75" s="561">
        <f t="shared" si="39"/>
        <v>1.5085126869165428</v>
      </c>
      <c r="V75" s="561">
        <f t="shared" si="39"/>
        <v>1.5085126869165428</v>
      </c>
      <c r="W75" s="561">
        <f t="shared" si="39"/>
        <v>1.5085126869165428</v>
      </c>
      <c r="X75" s="561">
        <f t="shared" si="39"/>
        <v>1.5085126869165428</v>
      </c>
      <c r="Y75" s="561">
        <f t="shared" si="39"/>
        <v>1.5085126869165428</v>
      </c>
      <c r="Z75" s="561">
        <f t="shared" si="39"/>
        <v>1.5085126869165428</v>
      </c>
      <c r="AA75" s="561">
        <f t="shared" si="39"/>
        <v>1.5085126869165428</v>
      </c>
      <c r="AB75" s="561">
        <f t="shared" si="39"/>
        <v>1.5085126869165428</v>
      </c>
      <c r="AC75" s="561">
        <f t="shared" si="39"/>
        <v>1.5085126869165428</v>
      </c>
      <c r="AD75" s="561">
        <f t="shared" si="39"/>
        <v>0.4841655466262153</v>
      </c>
      <c r="AE75" s="561">
        <f t="shared" si="39"/>
        <v>0.48214089538674892</v>
      </c>
      <c r="AF75" s="561">
        <f t="shared" si="39"/>
        <v>0.48214089538674892</v>
      </c>
      <c r="AG75" s="561">
        <f t="shared" si="39"/>
        <v>0.48214089538674892</v>
      </c>
      <c r="AH75" s="561">
        <f t="shared" si="39"/>
        <v>0.48214089538674892</v>
      </c>
      <c r="AI75" s="561">
        <f t="shared" si="39"/>
        <v>0.48214089538674892</v>
      </c>
      <c r="AJ75" s="561">
        <f t="shared" si="39"/>
        <v>0.39373422102760347</v>
      </c>
      <c r="AK75" s="561">
        <f t="shared" si="39"/>
        <v>0.29256416753035086</v>
      </c>
      <c r="AL75" s="561">
        <f t="shared" si="39"/>
        <v>0.19117000425091019</v>
      </c>
      <c r="AM75" s="561">
        <f t="shared" si="39"/>
        <v>0.10795485585234478</v>
      </c>
      <c r="AN75" s="561">
        <f t="shared" si="39"/>
        <v>-1.7763568394002505E-15</v>
      </c>
      <c r="AO75" s="561">
        <f t="shared" si="39"/>
        <v>0</v>
      </c>
      <c r="AP75" s="561">
        <f t="shared" si="39"/>
        <v>0</v>
      </c>
      <c r="AQ75" s="561">
        <f t="shared" si="39"/>
        <v>0</v>
      </c>
      <c r="AR75" s="561">
        <f t="shared" si="39"/>
        <v>0</v>
      </c>
      <c r="AS75" s="561">
        <f t="shared" si="39"/>
        <v>0</v>
      </c>
      <c r="AT75" s="561">
        <f t="shared" si="39"/>
        <v>0</v>
      </c>
      <c r="AU75" s="561">
        <f t="shared" si="39"/>
        <v>0</v>
      </c>
      <c r="AV75" s="561">
        <f t="shared" si="39"/>
        <v>0</v>
      </c>
      <c r="AW75" s="561">
        <f t="shared" si="39"/>
        <v>0</v>
      </c>
      <c r="AX75" s="561">
        <f t="shared" si="39"/>
        <v>0</v>
      </c>
      <c r="AY75" s="561">
        <f t="shared" si="39"/>
        <v>0</v>
      </c>
      <c r="AZ75" s="561">
        <f t="shared" si="39"/>
        <v>0</v>
      </c>
      <c r="BA75" s="561">
        <f t="shared" si="39"/>
        <v>0</v>
      </c>
      <c r="BB75" s="561">
        <f t="shared" si="39"/>
        <v>0</v>
      </c>
      <c r="BC75" s="561">
        <f t="shared" si="39"/>
        <v>0</v>
      </c>
      <c r="BD75" s="561">
        <f t="shared" si="39"/>
        <v>0</v>
      </c>
      <c r="BE75" s="561">
        <f t="shared" si="39"/>
        <v>0</v>
      </c>
      <c r="BF75" s="561">
        <f t="shared" si="39"/>
        <v>0</v>
      </c>
      <c r="BG75" s="561">
        <f t="shared" si="39"/>
        <v>0</v>
      </c>
      <c r="BH75" s="561">
        <f t="shared" si="39"/>
        <v>0</v>
      </c>
      <c r="BI75" s="561">
        <f t="shared" si="39"/>
        <v>0</v>
      </c>
      <c r="BJ75" s="237"/>
      <c r="BK75" s="237"/>
      <c r="BL75" s="237"/>
      <c r="BM75" s="237"/>
    </row>
    <row r="76" spans="1:65" s="190" customFormat="1" ht="12.75" hidden="1" customHeight="1" outlineLevel="2">
      <c r="A76" s="237"/>
      <c r="B76" s="37" t="str">
        <f>C88</f>
        <v>Pre 1999 Assets</v>
      </c>
      <c r="C76" s="38"/>
      <c r="D76" s="39" t="s">
        <v>58</v>
      </c>
      <c r="E76" s="38"/>
      <c r="F76" s="40"/>
      <c r="G76" s="1408">
        <f>IF(G$3&gt;A1remlife,A1value-SUM($F76:F76),IF(A1remlife="N/A","n/a",A1value/A1remlife))</f>
        <v>1.5968501385294378</v>
      </c>
      <c r="H76" s="106">
        <f>IF(H$3&gt;A1remlife,A1value-SUM($F76:G76),IF(A1remlife="N/A","n/a",A1value/A1remlife))</f>
        <v>1.5968501385294378</v>
      </c>
      <c r="I76" s="106">
        <f>IF(I$3&gt;A1remlife,A1value-SUM($F76:H76),IF(A1remlife="N/A","n/a",A1value/A1remlife))</f>
        <v>1.5968501385294378</v>
      </c>
      <c r="J76" s="106">
        <f>IF(J$3&gt;A1remlife,A1value-SUM($F76:I76),IF(A1remlife="N/A","n/a",A1value/A1remlife))</f>
        <v>1.5968501385294378</v>
      </c>
      <c r="K76" s="106">
        <f>IF(K$3&gt;A1remlife,A1value-SUM($F76:J76),IF(A1remlife="N/A","n/a",A1value/A1remlife))</f>
        <v>1.5968501385294378</v>
      </c>
      <c r="L76" s="106">
        <f>IF(L$3&gt;A1remlife,A1value-SUM($F76:K76),IF(A1remlife="N/A","n/a",A1value/A1remlife))</f>
        <v>1.5968501385294378</v>
      </c>
      <c r="M76" s="106">
        <f>IF(M$3&gt;A1remlife,A1value-SUM($F76:L76),IF(A1remlife="N/A","n/a",A1value/A1remlife))</f>
        <v>1.5968501385294378</v>
      </c>
      <c r="N76" s="106">
        <f>IF(N$3&gt;A1remlife,A1value-SUM($F76:M76),IF(A1remlife="N/A","n/a",A1value/A1remlife))</f>
        <v>-1.7763568394002505E-15</v>
      </c>
      <c r="O76" s="106">
        <f>IF(O$3&gt;A1remlife,A1value-SUM($F76:N76),IF(A1remlife="N/A","n/a",A1value/A1remlife))</f>
        <v>0</v>
      </c>
      <c r="P76" s="106">
        <f>IF(P$3&gt;A1remlife,A1value-SUM($F76:O76),IF(A1remlife="N/A","n/a",A1value/A1remlife))</f>
        <v>0</v>
      </c>
      <c r="Q76" s="106">
        <f>IF(Q$3&gt;A1remlife,A1value-SUM($F76:P76),IF(A1remlife="N/A","n/a",A1value/A1remlife))</f>
        <v>0</v>
      </c>
      <c r="R76" s="106">
        <f>IF(R$3&gt;A1remlife,A1value-SUM($F76:Q76),IF(A1remlife="N/A","n/a",A1value/A1remlife))</f>
        <v>0</v>
      </c>
      <c r="S76" s="106">
        <f>IF(S$3&gt;A1remlife,A1value-SUM($F76:R76),IF(A1remlife="N/A","n/a",A1value/A1remlife))</f>
        <v>0</v>
      </c>
      <c r="T76" s="106">
        <f>IF(T$3&gt;A1remlife,A1value-SUM($F76:S76),IF(A1remlife="N/A","n/a",A1value/A1remlife))</f>
        <v>0</v>
      </c>
      <c r="U76" s="106">
        <f>IF(U$3&gt;A1remlife,A1value-SUM($F76:T76),IF(A1remlife="N/A","n/a",A1value/A1remlife))</f>
        <v>0</v>
      </c>
      <c r="V76" s="106">
        <f>IF(V$3&gt;A1remlife,A1value-SUM($F76:U76),IF(A1remlife="N/A","n/a",A1value/A1remlife))</f>
        <v>0</v>
      </c>
      <c r="W76" s="106">
        <f>IF(W$3&gt;A1remlife,A1value-SUM($F76:V76),IF(A1remlife="N/A","n/a",A1value/A1remlife))</f>
        <v>0</v>
      </c>
      <c r="X76" s="106">
        <f>IF(X$3&gt;A1remlife,A1value-SUM($F76:W76),IF(A1remlife="N/A","n/a",A1value/A1remlife))</f>
        <v>0</v>
      </c>
      <c r="Y76" s="106">
        <f>IF(Y$3&gt;A1remlife,A1value-SUM($F76:X76),IF(A1remlife="N/A","n/a",A1value/A1remlife))</f>
        <v>0</v>
      </c>
      <c r="Z76" s="106">
        <f>IF(Z$3&gt;A1remlife,A1value-SUM($F76:Y76),IF(A1remlife="N/A","n/a",A1value/A1remlife))</f>
        <v>0</v>
      </c>
      <c r="AA76" s="106">
        <f>IF(AA$3&gt;A1remlife,A1value-SUM($F76:Z76),IF(A1remlife="N/A","n/a",A1value/A1remlife))</f>
        <v>0</v>
      </c>
      <c r="AB76" s="106">
        <f>IF(AB$3&gt;A1remlife,A1value-SUM($F76:AA76),IF(A1remlife="N/A","n/a",A1value/A1remlife))</f>
        <v>0</v>
      </c>
      <c r="AC76" s="106">
        <f>IF(AC$3&gt;A1remlife,A1value-SUM($F76:AB76),IF(A1remlife="N/A","n/a",A1value/A1remlife))</f>
        <v>0</v>
      </c>
      <c r="AD76" s="106">
        <f>IF(AD$3&gt;A1remlife,A1value-SUM($F76:AC76),IF(A1remlife="N/A","n/a",A1value/A1remlife))</f>
        <v>0</v>
      </c>
      <c r="AE76" s="106">
        <f>IF(AE$3&gt;A1remlife,A1value-SUM($F76:AD76),IF(A1remlife="N/A","n/a",A1value/A1remlife))</f>
        <v>0</v>
      </c>
      <c r="AF76" s="106">
        <f>IF(AF$3&gt;A1remlife,A1value-SUM($F76:AE76),IF(A1remlife="N/A","n/a",A1value/A1remlife))</f>
        <v>0</v>
      </c>
      <c r="AG76" s="106">
        <f>IF(AG$3&gt;A1remlife,A1value-SUM($F76:AF76),IF(A1remlife="N/A","n/a",A1value/A1remlife))</f>
        <v>0</v>
      </c>
      <c r="AH76" s="106">
        <f>IF(AH$3&gt;A1remlife,A1value-SUM($F76:AG76),IF(A1remlife="N/A","n/a",A1value/A1remlife))</f>
        <v>0</v>
      </c>
      <c r="AI76" s="106">
        <f>IF(AI$3&gt;A1remlife,A1value-SUM($F76:AH76),IF(A1remlife="N/A","n/a",A1value/A1remlife))</f>
        <v>0</v>
      </c>
      <c r="AJ76" s="106">
        <f>IF(AJ$3&gt;A1remlife,A1value-SUM($F76:AI76),IF(A1remlife="N/A","n/a",A1value/A1remlife))</f>
        <v>0</v>
      </c>
      <c r="AK76" s="106">
        <f>IF(AK$3&gt;A1remlife,A1value-SUM($F76:AJ76),IF(A1remlife="N/A","n/a",A1value/A1remlife))</f>
        <v>0</v>
      </c>
      <c r="AL76" s="106">
        <f>IF(AL$3&gt;A1remlife,A1value-SUM($F76:AK76),IF(A1remlife="N/A","n/a",A1value/A1remlife))</f>
        <v>0</v>
      </c>
      <c r="AM76" s="106">
        <f>IF(AM$3&gt;A1remlife,A1value-SUM($F76:AL76),IF(A1remlife="N/A","n/a",A1value/A1remlife))</f>
        <v>0</v>
      </c>
      <c r="AN76" s="106">
        <f>IF(AN$3&gt;A1remlife,A1value-SUM($F76:AM76),IF(A1remlife="N/A","n/a",A1value/A1remlife))</f>
        <v>0</v>
      </c>
      <c r="AO76" s="106">
        <f>IF(AO$3&gt;A1remlife,A1value-SUM($F76:AN76),IF(A1remlife="N/A","n/a",A1value/A1remlife))</f>
        <v>0</v>
      </c>
      <c r="AP76" s="106">
        <f>IF(AP$3&gt;A1remlife,A1value-SUM($F76:AO76),IF(A1remlife="N/A","n/a",A1value/A1remlife))</f>
        <v>0</v>
      </c>
      <c r="AQ76" s="106">
        <f>IF(AQ$3&gt;A1remlife,A1value-SUM($F76:AP76),IF(A1remlife="N/A","n/a",A1value/A1remlife))</f>
        <v>0</v>
      </c>
      <c r="AR76" s="106">
        <f>IF(AR$3&gt;A1remlife,A1value-SUM($F76:AQ76),IF(A1remlife="N/A","n/a",A1value/A1remlife))</f>
        <v>0</v>
      </c>
      <c r="AS76" s="106">
        <f>IF(AS$3&gt;A1remlife,A1value-SUM($F76:AR76),IF(A1remlife="N/A","n/a",A1value/A1remlife))</f>
        <v>0</v>
      </c>
      <c r="AT76" s="106">
        <f>IF(AT$3&gt;A1remlife,A1value-SUM($F76:AS76),IF(A1remlife="N/A","n/a",A1value/A1remlife))</f>
        <v>0</v>
      </c>
      <c r="AU76" s="106">
        <f>IF(AU$3&gt;A1remlife,A1value-SUM($F76:AT76),IF(A1remlife="N/A","n/a",A1value/A1remlife))</f>
        <v>0</v>
      </c>
      <c r="AV76" s="106">
        <f>IF(AV$3&gt;A1remlife,A1value-SUM($F76:AU76),IF(A1remlife="N/A","n/a",A1value/A1remlife))</f>
        <v>0</v>
      </c>
      <c r="AW76" s="106">
        <f>IF(AW$3&gt;A1remlife,A1value-SUM($F76:AV76),IF(A1remlife="N/A","n/a",A1value/A1remlife))</f>
        <v>0</v>
      </c>
      <c r="AX76" s="106">
        <f>IF(AX$3&gt;A1remlife,A1value-SUM($F76:AW76),IF(A1remlife="N/A","n/a",A1value/A1remlife))</f>
        <v>0</v>
      </c>
      <c r="AY76" s="106">
        <f>IF(AY$3&gt;A1remlife,A1value-SUM($F76:AX76),IF(A1remlife="N/A","n/a",A1value/A1remlife))</f>
        <v>0</v>
      </c>
      <c r="AZ76" s="106">
        <f>IF(AZ$3&gt;A1remlife,A1value-SUM($F76:AY76),IF(A1remlife="N/A","n/a",A1value/A1remlife))</f>
        <v>0</v>
      </c>
      <c r="BA76" s="106">
        <f>IF(BA$3&gt;A1remlife,A1value-SUM($F76:AZ76),IF(A1remlife="N/A","n/a",A1value/A1remlife))</f>
        <v>0</v>
      </c>
      <c r="BB76" s="106">
        <f>IF(BB$3&gt;A1remlife,A1value-SUM($F76:BA76),IF(A1remlife="N/A","n/a",A1value/A1remlife))</f>
        <v>0</v>
      </c>
      <c r="BC76" s="106">
        <f>IF(BC$3&gt;A1remlife,A1value-SUM($F76:BB76),IF(A1remlife="N/A","n/a",A1value/A1remlife))</f>
        <v>0</v>
      </c>
      <c r="BD76" s="106">
        <f>IF(BD$3&gt;A1remlife,A1value-SUM($F76:BC76),IF(A1remlife="N/A","n/a",A1value/A1remlife))</f>
        <v>0</v>
      </c>
      <c r="BE76" s="106">
        <f>IF(BE$3&gt;A1remlife,A1value-SUM($F76:BD76),IF(A1remlife="N/A","n/a",A1value/A1remlife))</f>
        <v>0</v>
      </c>
      <c r="BF76" s="106">
        <f>IF(BF$3&gt;A1remlife,A1value-SUM($F76:BE76),IF(A1remlife="N/A","n/a",A1value/A1remlife))</f>
        <v>0</v>
      </c>
      <c r="BG76" s="106">
        <f>IF(BG$3&gt;A1remlife,A1value-SUM($F76:BF76),IF(A1remlife="N/A","n/a",A1value/A1remlife))</f>
        <v>0</v>
      </c>
      <c r="BH76" s="106">
        <f>IF(BH$3&gt;A1remlife,A1value-SUM($F76:BG76),IF(A1remlife="N/A","n/a",A1value/A1remlife))</f>
        <v>0</v>
      </c>
      <c r="BI76" s="106">
        <f>IF(BI$3&gt;A1remlife,A1value-SUM($F76:BH76),IF(A1remlife="N/A","n/a",A1value/A1remlife))</f>
        <v>0</v>
      </c>
      <c r="BJ76" s="237"/>
      <c r="BK76" s="237"/>
      <c r="BL76" s="237"/>
      <c r="BM76" s="237"/>
    </row>
    <row r="77" spans="1:65" s="190" customFormat="1" ht="12.75" hidden="1" customHeight="1" outlineLevel="2">
      <c r="A77" s="237"/>
      <c r="B77" s="33"/>
      <c r="C77" s="32"/>
      <c r="D77" s="1618" t="s">
        <v>357</v>
      </c>
      <c r="E77" s="169">
        <v>0</v>
      </c>
      <c r="F77" s="35"/>
      <c r="G77" s="1410"/>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237"/>
      <c r="BK77" s="237"/>
      <c r="BL77" s="237"/>
      <c r="BM77" s="237"/>
    </row>
    <row r="78" spans="1:65" s="190" customFormat="1" hidden="1" outlineLevel="2">
      <c r="A78" s="237"/>
      <c r="B78" s="33"/>
      <c r="C78" s="32"/>
      <c r="D78" s="1618"/>
      <c r="E78" s="169">
        <v>1</v>
      </c>
      <c r="F78" s="35"/>
      <c r="G78" s="1411"/>
      <c r="H78" s="1410">
        <f>IF(A1stdlife="n/a","n/a",IF(H$3&gt;(A1stdlife+$E78),('PTRM input'!$G$143*(1+rvanilla01)^0.5)-SUM($G78:G78),('PTRM input'!$G$143*(1+rvanilla01)^0.5)/A1stdlife))</f>
        <v>0</v>
      </c>
      <c r="I78" s="107">
        <f>IF(A1stdlife="n/a","n/a",IF(I$3&gt;(A1stdlife+$E78),('PTRM input'!$G$143*(1+rvanilla01)^0.5)-SUM($G78:H78),('PTRM input'!$G$143*(1+rvanilla01)^0.5)/A1stdlife))</f>
        <v>0</v>
      </c>
      <c r="J78" s="107">
        <f>IF(A1stdlife="n/a","n/a",IF(J$3&gt;(A1stdlife+$E78),('PTRM input'!$G$143*(1+rvanilla01)^0.5)-SUM($G78:I78),('PTRM input'!$G$143*(1+rvanilla01)^0.5)/A1stdlife))</f>
        <v>0</v>
      </c>
      <c r="K78" s="107">
        <f>IF(A1stdlife="n/a","n/a",IF(K$3&gt;(A1stdlife+$E78),('PTRM input'!$G$143*(1+rvanilla01)^0.5)-SUM($G78:J78),('PTRM input'!$G$143*(1+rvanilla01)^0.5)/A1stdlife))</f>
        <v>0</v>
      </c>
      <c r="L78" s="107">
        <f>IF(A1stdlife="n/a","n/a",IF(L$3&gt;(A1stdlife+$E78),('PTRM input'!$G$143*(1+rvanilla01)^0.5)-SUM($G78:K78),('PTRM input'!$G$143*(1+rvanilla01)^0.5)/A1stdlife))</f>
        <v>0</v>
      </c>
      <c r="M78" s="107">
        <f>IF(A1stdlife="n/a","n/a",IF(M$3&gt;(A1stdlife+$E78),('PTRM input'!$G$143*(1+rvanilla01)^0.5)-SUM($G78:L78),('PTRM input'!$G$143*(1+rvanilla01)^0.5)/A1stdlife))</f>
        <v>0</v>
      </c>
      <c r="N78" s="107">
        <f>IF(A1stdlife="n/a","n/a",IF(N$3&gt;(A1stdlife+$E78),('PTRM input'!$G$143*(1+rvanilla01)^0.5)-SUM($G78:M78),('PTRM input'!$G$143*(1+rvanilla01)^0.5)/A1stdlife))</f>
        <v>0</v>
      </c>
      <c r="O78" s="107">
        <f>IF(A1stdlife="n/a","n/a",IF(O$3&gt;(A1stdlife+$E78),('PTRM input'!$G$143*(1+rvanilla01)^0.5)-SUM($G78:N78),('PTRM input'!$G$143*(1+rvanilla01)^0.5)/A1stdlife))</f>
        <v>0</v>
      </c>
      <c r="P78" s="107">
        <f>IF(A1stdlife="n/a","n/a",IF(P$3&gt;(A1stdlife+$E78),('PTRM input'!$G$143*(1+rvanilla01)^0.5)-SUM($G78:O78),('PTRM input'!$G$143*(1+rvanilla01)^0.5)/A1stdlife))</f>
        <v>0</v>
      </c>
      <c r="Q78" s="107">
        <f>IF(A1stdlife="n/a","n/a",IF(Q$3&gt;(A1stdlife+$E78),('PTRM input'!$G$143*(1+rvanilla01)^0.5)-SUM($G78:P78),('PTRM input'!$G$143*(1+rvanilla01)^0.5)/A1stdlife))</f>
        <v>0</v>
      </c>
      <c r="R78" s="107">
        <f>IF(A1stdlife="n/a","n/a",IF(R$3&gt;(A1stdlife+$E78),('PTRM input'!$G$143*(1+rvanilla01)^0.5)-SUM($G78:Q78),('PTRM input'!$G$143*(1+rvanilla01)^0.5)/A1stdlife))</f>
        <v>0</v>
      </c>
      <c r="S78" s="107">
        <f>IF(A1stdlife="n/a","n/a",IF(S$3&gt;(A1stdlife+$E78),('PTRM input'!$G$143*(1+rvanilla01)^0.5)-SUM($G78:R78),('PTRM input'!$G$143*(1+rvanilla01)^0.5)/A1stdlife))</f>
        <v>0</v>
      </c>
      <c r="T78" s="107">
        <f>IF(A1stdlife="n/a","n/a",IF(T$3&gt;(A1stdlife+$E78),('PTRM input'!$G$143*(1+rvanilla01)^0.5)-SUM($G78:S78),('PTRM input'!$G$143*(1+rvanilla01)^0.5)/A1stdlife))</f>
        <v>0</v>
      </c>
      <c r="U78" s="107">
        <f>IF(A1stdlife="n/a","n/a",IF(U$3&gt;(A1stdlife+$E78),('PTRM input'!$G$143*(1+rvanilla01)^0.5)-SUM($G78:T78),('PTRM input'!$G$143*(1+rvanilla01)^0.5)/A1stdlife))</f>
        <v>0</v>
      </c>
      <c r="V78" s="107">
        <f>IF(A1stdlife="n/a","n/a",IF(V$3&gt;(A1stdlife+$E78),('PTRM input'!$G$143*(1+rvanilla01)^0.5)-SUM($G78:U78),('PTRM input'!$G$143*(1+rvanilla01)^0.5)/A1stdlife))</f>
        <v>0</v>
      </c>
      <c r="W78" s="107">
        <f>IF(A1stdlife="n/a","n/a",IF(W$3&gt;(A1stdlife+$E78),('PTRM input'!$G$143*(1+rvanilla01)^0.5)-SUM($G78:V78),('PTRM input'!$G$143*(1+rvanilla01)^0.5)/A1stdlife))</f>
        <v>0</v>
      </c>
      <c r="X78" s="107">
        <f>IF(A1stdlife="n/a","n/a",IF(X$3&gt;(A1stdlife+$E78),('PTRM input'!$G$143*(1+rvanilla01)^0.5)-SUM($G78:W78),('PTRM input'!$G$143*(1+rvanilla01)^0.5)/A1stdlife))</f>
        <v>0</v>
      </c>
      <c r="Y78" s="107">
        <f>IF(A1stdlife="n/a","n/a",IF(Y$3&gt;(A1stdlife+$E78),('PTRM input'!$G$143*(1+rvanilla01)^0.5)-SUM($G78:X78),('PTRM input'!$G$143*(1+rvanilla01)^0.5)/A1stdlife))</f>
        <v>0</v>
      </c>
      <c r="Z78" s="107">
        <f>IF(A1stdlife="n/a","n/a",IF(Z$3&gt;(A1stdlife+$E78),('PTRM input'!$G$143*(1+rvanilla01)^0.5)-SUM($G78:Y78),('PTRM input'!$G$143*(1+rvanilla01)^0.5)/A1stdlife))</f>
        <v>0</v>
      </c>
      <c r="AA78" s="107">
        <f>IF(A1stdlife="n/a","n/a",IF(AA$3&gt;(A1stdlife+$E78),('PTRM input'!$G$143*(1+rvanilla01)^0.5)-SUM($G78:Z78),('PTRM input'!$G$143*(1+rvanilla01)^0.5)/A1stdlife))</f>
        <v>0</v>
      </c>
      <c r="AB78" s="107">
        <f>IF(A1stdlife="n/a","n/a",IF(AB$3&gt;(A1stdlife+$E78),('PTRM input'!$G$143*(1+rvanilla01)^0.5)-SUM($G78:AA78),('PTRM input'!$G$143*(1+rvanilla01)^0.5)/A1stdlife))</f>
        <v>0</v>
      </c>
      <c r="AC78" s="107">
        <f>IF(A1stdlife="n/a","n/a",IF(AC$3&gt;(A1stdlife+$E78),('PTRM input'!$G$143*(1+rvanilla01)^0.5)-SUM($G78:AB78),('PTRM input'!$G$143*(1+rvanilla01)^0.5)/A1stdlife))</f>
        <v>0</v>
      </c>
      <c r="AD78" s="107">
        <f>IF(A1stdlife="n/a","n/a",IF(AD$3&gt;(A1stdlife+$E78),('PTRM input'!$G$143*(1+rvanilla01)^0.5)-SUM($G78:AC78),('PTRM input'!$G$143*(1+rvanilla01)^0.5)/A1stdlife))</f>
        <v>0</v>
      </c>
      <c r="AE78" s="107">
        <f>IF(A1stdlife="n/a","n/a",IF(AE$3&gt;(A1stdlife+$E78),('PTRM input'!$G$143*(1+rvanilla01)^0.5)-SUM($G78:AD78),('PTRM input'!$G$143*(1+rvanilla01)^0.5)/A1stdlife))</f>
        <v>0</v>
      </c>
      <c r="AF78" s="107">
        <f>IF(A1stdlife="n/a","n/a",IF(AF$3&gt;(A1stdlife+$E78),('PTRM input'!$G$143*(1+rvanilla01)^0.5)-SUM($G78:AE78),('PTRM input'!$G$143*(1+rvanilla01)^0.5)/A1stdlife))</f>
        <v>0</v>
      </c>
      <c r="AG78" s="107">
        <f>IF(A1stdlife="n/a","n/a",IF(AG$3&gt;(A1stdlife+$E78),('PTRM input'!$G$143*(1+rvanilla01)^0.5)-SUM($G78:AF78),('PTRM input'!$G$143*(1+rvanilla01)^0.5)/A1stdlife))</f>
        <v>0</v>
      </c>
      <c r="AH78" s="107">
        <f>IF(A1stdlife="n/a","n/a",IF(AH$3&gt;(A1stdlife+$E78),('PTRM input'!$G$143*(1+rvanilla01)^0.5)-SUM($G78:AG78),('PTRM input'!$G$143*(1+rvanilla01)^0.5)/A1stdlife))</f>
        <v>0</v>
      </c>
      <c r="AI78" s="107">
        <f>IF(A1stdlife="n/a","n/a",IF(AI$3&gt;(A1stdlife+$E78),('PTRM input'!$G$143*(1+rvanilla01)^0.5)-SUM($G78:AH78),('PTRM input'!$G$143*(1+rvanilla01)^0.5)/A1stdlife))</f>
        <v>0</v>
      </c>
      <c r="AJ78" s="107">
        <f>IF(A1stdlife="n/a","n/a",IF(AJ$3&gt;(A1stdlife+$E78),('PTRM input'!$G$143*(1+rvanilla01)^0.5)-SUM($G78:AI78),('PTRM input'!$G$143*(1+rvanilla01)^0.5)/A1stdlife))</f>
        <v>0</v>
      </c>
      <c r="AK78" s="107">
        <f>IF(A1stdlife="n/a","n/a",IF(AK$3&gt;(A1stdlife+$E78),('PTRM input'!$G$143*(1+rvanilla01)^0.5)-SUM($G78:AJ78),('PTRM input'!$G$143*(1+rvanilla01)^0.5)/A1stdlife))</f>
        <v>0</v>
      </c>
      <c r="AL78" s="107">
        <f>IF(A1stdlife="n/a","n/a",IF(AL$3&gt;(A1stdlife+$E78),('PTRM input'!$G$143*(1+rvanilla01)^0.5)-SUM($G78:AK78),('PTRM input'!$G$143*(1+rvanilla01)^0.5)/A1stdlife))</f>
        <v>0</v>
      </c>
      <c r="AM78" s="107">
        <f>IF(A1stdlife="n/a","n/a",IF(AM$3&gt;(A1stdlife+$E78),('PTRM input'!$G$143*(1+rvanilla01)^0.5)-SUM($G78:AL78),('PTRM input'!$G$143*(1+rvanilla01)^0.5)/A1stdlife))</f>
        <v>0</v>
      </c>
      <c r="AN78" s="107">
        <f>IF(A1stdlife="n/a","n/a",IF(AN$3&gt;(A1stdlife+$E78),('PTRM input'!$G$143*(1+rvanilla01)^0.5)-SUM($G78:AM78),('PTRM input'!$G$143*(1+rvanilla01)^0.5)/A1stdlife))</f>
        <v>0</v>
      </c>
      <c r="AO78" s="107">
        <f>IF(A1stdlife="n/a","n/a",IF(AO$3&gt;(A1stdlife+$E78),('PTRM input'!$G$143*(1+rvanilla01)^0.5)-SUM($G78:AN78),('PTRM input'!$G$143*(1+rvanilla01)^0.5)/A1stdlife))</f>
        <v>0</v>
      </c>
      <c r="AP78" s="107">
        <f>IF(A1stdlife="n/a","n/a",IF(AP$3&gt;(A1stdlife+$E78),('PTRM input'!$G$143*(1+rvanilla01)^0.5)-SUM($G78:AO78),('PTRM input'!$G$143*(1+rvanilla01)^0.5)/A1stdlife))</f>
        <v>0</v>
      </c>
      <c r="AQ78" s="107">
        <f>IF(A1stdlife="n/a","n/a",IF(AQ$3&gt;(A1stdlife+$E78),('PTRM input'!$G$143*(1+rvanilla01)^0.5)-SUM($G78:AP78),('PTRM input'!$G$143*(1+rvanilla01)^0.5)/A1stdlife))</f>
        <v>0</v>
      </c>
      <c r="AR78" s="107">
        <f>IF(A1stdlife="n/a","n/a",IF(AR$3&gt;(A1stdlife+$E78),('PTRM input'!$G$143*(1+rvanilla01)^0.5)-SUM($G78:AQ78),('PTRM input'!$G$143*(1+rvanilla01)^0.5)/A1stdlife))</f>
        <v>0</v>
      </c>
      <c r="AS78" s="107">
        <f>IF(A1stdlife="n/a","n/a",IF(AS$3&gt;(A1stdlife+$E78),('PTRM input'!$G$143*(1+rvanilla01)^0.5)-SUM($G78:AR78),('PTRM input'!$G$143*(1+rvanilla01)^0.5)/A1stdlife))</f>
        <v>0</v>
      </c>
      <c r="AT78" s="107">
        <f>IF(A1stdlife="n/a","n/a",IF(AT$3&gt;(A1stdlife+$E78),('PTRM input'!$G$143*(1+rvanilla01)^0.5)-SUM($G78:AS78),('PTRM input'!$G$143*(1+rvanilla01)^0.5)/A1stdlife))</f>
        <v>0</v>
      </c>
      <c r="AU78" s="107">
        <f>IF(A1stdlife="n/a","n/a",IF(AU$3&gt;(A1stdlife+$E78),('PTRM input'!$G$143*(1+rvanilla01)^0.5)-SUM($G78:AT78),('PTRM input'!$G$143*(1+rvanilla01)^0.5)/A1stdlife))</f>
        <v>0</v>
      </c>
      <c r="AV78" s="107">
        <f>IF(A1stdlife="n/a","n/a",IF(AV$3&gt;(A1stdlife+$E78),('PTRM input'!$G$143*(1+rvanilla01)^0.5)-SUM($G78:AU78),('PTRM input'!$G$143*(1+rvanilla01)^0.5)/A1stdlife))</f>
        <v>0</v>
      </c>
      <c r="AW78" s="107">
        <f>IF(A1stdlife="n/a","n/a",IF(AW$3&gt;(A1stdlife+$E78),('PTRM input'!$G$143*(1+rvanilla01)^0.5)-SUM($G78:AV78),('PTRM input'!$G$143*(1+rvanilla01)^0.5)/A1stdlife))</f>
        <v>0</v>
      </c>
      <c r="AX78" s="107">
        <f>IF(A1stdlife="n/a","n/a",IF(AX$3&gt;(A1stdlife+$E78),('PTRM input'!$G$143*(1+rvanilla01)^0.5)-SUM($G78:AW78),('PTRM input'!$G$143*(1+rvanilla01)^0.5)/A1stdlife))</f>
        <v>0</v>
      </c>
      <c r="AY78" s="107">
        <f>IF(A1stdlife="n/a","n/a",IF(AY$3&gt;(A1stdlife+$E78),('PTRM input'!$G$143*(1+rvanilla01)^0.5)-SUM($G78:AX78),('PTRM input'!$G$143*(1+rvanilla01)^0.5)/A1stdlife))</f>
        <v>0</v>
      </c>
      <c r="AZ78" s="107">
        <f>IF(A1stdlife="n/a","n/a",IF(AZ$3&gt;(A1stdlife+$E78),('PTRM input'!$G$143*(1+rvanilla01)^0.5)-SUM($G78:AY78),('PTRM input'!$G$143*(1+rvanilla01)^0.5)/A1stdlife))</f>
        <v>0</v>
      </c>
      <c r="BA78" s="107">
        <f>IF(A1stdlife="n/a","n/a",IF(BA$3&gt;(A1stdlife+$E78),('PTRM input'!$G$143*(1+rvanilla01)^0.5)-SUM($G78:AZ78),('PTRM input'!$G$143*(1+rvanilla01)^0.5)/A1stdlife))</f>
        <v>0</v>
      </c>
      <c r="BB78" s="107">
        <f>IF(A1stdlife="n/a","n/a",IF(BB$3&gt;(A1stdlife+$E78),('PTRM input'!$G$143*(1+rvanilla01)^0.5)-SUM($G78:BA78),('PTRM input'!$G$143*(1+rvanilla01)^0.5)/A1stdlife))</f>
        <v>0</v>
      </c>
      <c r="BC78" s="107">
        <f>IF(A1stdlife="n/a","n/a",IF(BC$3&gt;(A1stdlife+$E78),('PTRM input'!$G$143*(1+rvanilla01)^0.5)-SUM($G78:BB78),('PTRM input'!$G$143*(1+rvanilla01)^0.5)/A1stdlife))</f>
        <v>0</v>
      </c>
      <c r="BD78" s="107">
        <f>IF(A1stdlife="n/a","n/a",IF(BD$3&gt;(A1stdlife+$E78),('PTRM input'!$G$143*(1+rvanilla01)^0.5)-SUM($G78:BC78),('PTRM input'!$G$143*(1+rvanilla01)^0.5)/A1stdlife))</f>
        <v>0</v>
      </c>
      <c r="BE78" s="107">
        <f>IF(A1stdlife="n/a","n/a",IF(BE$3&gt;(A1stdlife+$E78),('PTRM input'!$G$143*(1+rvanilla01)^0.5)-SUM($G78:BD78),('PTRM input'!$G$143*(1+rvanilla01)^0.5)/A1stdlife))</f>
        <v>0</v>
      </c>
      <c r="BF78" s="107">
        <f>IF(A1stdlife="n/a","n/a",IF(BF$3&gt;(A1stdlife+$E78),('PTRM input'!$G$143*(1+rvanilla01)^0.5)-SUM($G78:BE78),('PTRM input'!$G$143*(1+rvanilla01)^0.5)/A1stdlife))</f>
        <v>0</v>
      </c>
      <c r="BG78" s="107">
        <f>IF(A1stdlife="n/a","n/a",IF(BG$3&gt;(A1stdlife+$E78),('PTRM input'!$G$143*(1+rvanilla01)^0.5)-SUM($G78:BF78),('PTRM input'!$G$143*(1+rvanilla01)^0.5)/A1stdlife))</f>
        <v>0</v>
      </c>
      <c r="BH78" s="107">
        <f>IF(A1stdlife="n/a","n/a",IF(BH$3&gt;(A1stdlife+$E78),('PTRM input'!$G$143*(1+rvanilla01)^0.5)-SUM($G78:BG78),('PTRM input'!$G$143*(1+rvanilla01)^0.5)/A1stdlife))</f>
        <v>0</v>
      </c>
      <c r="BI78" s="107">
        <f>IF(A1stdlife="n/a","n/a",IF(BI$3&gt;(A1stdlife+$E78),('PTRM input'!$G$143*(1+rvanilla01)^0.5)-SUM($G78:BH78),('PTRM input'!$G$143*(1+rvanilla01)^0.5)/A1stdlife))</f>
        <v>0</v>
      </c>
      <c r="BJ78" s="237"/>
      <c r="BK78" s="237"/>
      <c r="BL78" s="237"/>
      <c r="BM78" s="237"/>
    </row>
    <row r="79" spans="1:65" s="190" customFormat="1" hidden="1" outlineLevel="2">
      <c r="A79" s="237"/>
      <c r="B79" s="33"/>
      <c r="C79" s="32"/>
      <c r="D79" s="1618"/>
      <c r="E79" s="169">
        <v>2</v>
      </c>
      <c r="F79" s="35"/>
      <c r="G79" s="1409"/>
      <c r="H79" s="185"/>
      <c r="I79" s="1410">
        <f>IF(A1stdlife="n/a","n/a",IF(I$3&gt;(A1stdlife+$E79),('PTRM input'!$H$143*(1+rvanilla02)^0.5)-SUM($H79:H79),('PTRM input'!$H$143*(1+rvanilla02)^0.5)/A1stdlife))</f>
        <v>0</v>
      </c>
      <c r="J79" s="107">
        <f>IF(A1stdlife="n/a","n/a",IF(J$3&gt;(A1stdlife+$E79),('PTRM input'!$H$143*(1+rvanilla02)^0.5)-SUM($H79:I79),('PTRM input'!$H$143*(1+rvanilla02)^0.5)/A1stdlife))</f>
        <v>0</v>
      </c>
      <c r="K79" s="107">
        <f>IF(A1stdlife="n/a","n/a",IF(K$3&gt;(A1stdlife+$E79),('PTRM input'!$H$143*(1+rvanilla02)^0.5)-SUM($H79:J79),('PTRM input'!$H$143*(1+rvanilla02)^0.5)/A1stdlife))</f>
        <v>0</v>
      </c>
      <c r="L79" s="107">
        <f>IF(A1stdlife="n/a","n/a",IF(L$3&gt;(A1stdlife+$E79),('PTRM input'!$H$143*(1+rvanilla02)^0.5)-SUM($H79:K79),('PTRM input'!$H$143*(1+rvanilla02)^0.5)/A1stdlife))</f>
        <v>0</v>
      </c>
      <c r="M79" s="107">
        <f>IF(A1stdlife="n/a","n/a",IF(M$3&gt;(A1stdlife+$E79),('PTRM input'!$H$143*(1+rvanilla02)^0.5)-SUM($H79:L79),('PTRM input'!$H$143*(1+rvanilla02)^0.5)/A1stdlife))</f>
        <v>0</v>
      </c>
      <c r="N79" s="107">
        <f>IF(A1stdlife="n/a","n/a",IF(N$3&gt;(A1stdlife+$E79),('PTRM input'!$H$143*(1+rvanilla02)^0.5)-SUM($H79:M79),('PTRM input'!$H$143*(1+rvanilla02)^0.5)/A1stdlife))</f>
        <v>0</v>
      </c>
      <c r="O79" s="107">
        <f>IF(A1stdlife="n/a","n/a",IF(O$3&gt;(A1stdlife+$E79),('PTRM input'!$H$143*(1+rvanilla02)^0.5)-SUM($H79:N79),('PTRM input'!$H$143*(1+rvanilla02)^0.5)/A1stdlife))</f>
        <v>0</v>
      </c>
      <c r="P79" s="107">
        <f>IF(A1stdlife="n/a","n/a",IF(P$3&gt;(A1stdlife+$E79),('PTRM input'!$H$143*(1+rvanilla02)^0.5)-SUM($H79:O79),('PTRM input'!$H$143*(1+rvanilla02)^0.5)/A1stdlife))</f>
        <v>0</v>
      </c>
      <c r="Q79" s="107">
        <f>IF(A1stdlife="n/a","n/a",IF(Q$3&gt;(A1stdlife+$E79),('PTRM input'!$H$143*(1+rvanilla02)^0.5)-SUM($H79:P79),('PTRM input'!$H$143*(1+rvanilla02)^0.5)/A1stdlife))</f>
        <v>0</v>
      </c>
      <c r="R79" s="107">
        <f>IF(A1stdlife="n/a","n/a",IF(R$3&gt;(A1stdlife+$E79),('PTRM input'!$H$143*(1+rvanilla02)^0.5)-SUM($H79:Q79),('PTRM input'!$H$143*(1+rvanilla02)^0.5)/A1stdlife))</f>
        <v>0</v>
      </c>
      <c r="S79" s="107">
        <f>IF(A1stdlife="n/a","n/a",IF(S$3&gt;(A1stdlife+$E79),('PTRM input'!$H$143*(1+rvanilla02)^0.5)-SUM($H79:R79),('PTRM input'!$H$143*(1+rvanilla02)^0.5)/A1stdlife))</f>
        <v>0</v>
      </c>
      <c r="T79" s="107">
        <f>IF(A1stdlife="n/a","n/a",IF(T$3&gt;(A1stdlife+$E79),('PTRM input'!$H$143*(1+rvanilla02)^0.5)-SUM($H79:S79),('PTRM input'!$H$143*(1+rvanilla02)^0.5)/A1stdlife))</f>
        <v>0</v>
      </c>
      <c r="U79" s="107">
        <f>IF(A1stdlife="n/a","n/a",IF(U$3&gt;(A1stdlife+$E79),('PTRM input'!$H$143*(1+rvanilla02)^0.5)-SUM($H79:T79),('PTRM input'!$H$143*(1+rvanilla02)^0.5)/A1stdlife))</f>
        <v>0</v>
      </c>
      <c r="V79" s="107">
        <f>IF(A1stdlife="n/a","n/a",IF(V$3&gt;(A1stdlife+$E79),('PTRM input'!$H$143*(1+rvanilla02)^0.5)-SUM($H79:U79),('PTRM input'!$H$143*(1+rvanilla02)^0.5)/A1stdlife))</f>
        <v>0</v>
      </c>
      <c r="W79" s="107">
        <f>IF(A1stdlife="n/a","n/a",IF(W$3&gt;(A1stdlife+$E79),('PTRM input'!$H$143*(1+rvanilla02)^0.5)-SUM($H79:V79),('PTRM input'!$H$143*(1+rvanilla02)^0.5)/A1stdlife))</f>
        <v>0</v>
      </c>
      <c r="X79" s="107">
        <f>IF(A1stdlife="n/a","n/a",IF(X$3&gt;(A1stdlife+$E79),('PTRM input'!$H$143*(1+rvanilla02)^0.5)-SUM($H79:W79),('PTRM input'!$H$143*(1+rvanilla02)^0.5)/A1stdlife))</f>
        <v>0</v>
      </c>
      <c r="Y79" s="107">
        <f>IF(A1stdlife="n/a","n/a",IF(Y$3&gt;(A1stdlife+$E79),('PTRM input'!$H$143*(1+rvanilla02)^0.5)-SUM($H79:X79),('PTRM input'!$H$143*(1+rvanilla02)^0.5)/A1stdlife))</f>
        <v>0</v>
      </c>
      <c r="Z79" s="107">
        <f>IF(A1stdlife="n/a","n/a",IF(Z$3&gt;(A1stdlife+$E79),('PTRM input'!$H$143*(1+rvanilla02)^0.5)-SUM($H79:Y79),('PTRM input'!$H$143*(1+rvanilla02)^0.5)/A1stdlife))</f>
        <v>0</v>
      </c>
      <c r="AA79" s="107">
        <f>IF(A1stdlife="n/a","n/a",IF(AA$3&gt;(A1stdlife+$E79),('PTRM input'!$H$143*(1+rvanilla02)^0.5)-SUM($H79:Z79),('PTRM input'!$H$143*(1+rvanilla02)^0.5)/A1stdlife))</f>
        <v>0</v>
      </c>
      <c r="AB79" s="107">
        <f>IF(A1stdlife="n/a","n/a",IF(AB$3&gt;(A1stdlife+$E79),('PTRM input'!$H$143*(1+rvanilla02)^0.5)-SUM($H79:AA79),('PTRM input'!$H$143*(1+rvanilla02)^0.5)/A1stdlife))</f>
        <v>0</v>
      </c>
      <c r="AC79" s="107">
        <f>IF(A1stdlife="n/a","n/a",IF(AC$3&gt;(A1stdlife+$E79),('PTRM input'!$H$143*(1+rvanilla02)^0.5)-SUM($H79:AB79),('PTRM input'!$H$143*(1+rvanilla02)^0.5)/A1stdlife))</f>
        <v>0</v>
      </c>
      <c r="AD79" s="107">
        <f>IF(A1stdlife="n/a","n/a",IF(AD$3&gt;(A1stdlife+$E79),('PTRM input'!$H$143*(1+rvanilla02)^0.5)-SUM($H79:AC79),('PTRM input'!$H$143*(1+rvanilla02)^0.5)/A1stdlife))</f>
        <v>0</v>
      </c>
      <c r="AE79" s="107">
        <f>IF(A1stdlife="n/a","n/a",IF(AE$3&gt;(A1stdlife+$E79),('PTRM input'!$H$143*(1+rvanilla02)^0.5)-SUM($H79:AD79),('PTRM input'!$H$143*(1+rvanilla02)^0.5)/A1stdlife))</f>
        <v>0</v>
      </c>
      <c r="AF79" s="107">
        <f>IF(A1stdlife="n/a","n/a",IF(AF$3&gt;(A1stdlife+$E79),('PTRM input'!$H$143*(1+rvanilla02)^0.5)-SUM($H79:AE79),('PTRM input'!$H$143*(1+rvanilla02)^0.5)/A1stdlife))</f>
        <v>0</v>
      </c>
      <c r="AG79" s="107">
        <f>IF(A1stdlife="n/a","n/a",IF(AG$3&gt;(A1stdlife+$E79),('PTRM input'!$H$143*(1+rvanilla02)^0.5)-SUM($H79:AF79),('PTRM input'!$H$143*(1+rvanilla02)^0.5)/A1stdlife))</f>
        <v>0</v>
      </c>
      <c r="AH79" s="107">
        <f>IF(A1stdlife="n/a","n/a",IF(AH$3&gt;(A1stdlife+$E79),('PTRM input'!$H$143*(1+rvanilla02)^0.5)-SUM($H79:AG79),('PTRM input'!$H$143*(1+rvanilla02)^0.5)/A1stdlife))</f>
        <v>0</v>
      </c>
      <c r="AI79" s="107">
        <f>IF(A1stdlife="n/a","n/a",IF(AI$3&gt;(A1stdlife+$E79),('PTRM input'!$H$143*(1+rvanilla02)^0.5)-SUM($H79:AH79),('PTRM input'!$H$143*(1+rvanilla02)^0.5)/A1stdlife))</f>
        <v>0</v>
      </c>
      <c r="AJ79" s="107">
        <f>IF(A1stdlife="n/a","n/a",IF(AJ$3&gt;(A1stdlife+$E79),('PTRM input'!$H$143*(1+rvanilla02)^0.5)-SUM($H79:AI79),('PTRM input'!$H$143*(1+rvanilla02)^0.5)/A1stdlife))</f>
        <v>0</v>
      </c>
      <c r="AK79" s="107">
        <f>IF(A1stdlife="n/a","n/a",IF(AK$3&gt;(A1stdlife+$E79),('PTRM input'!$H$143*(1+rvanilla02)^0.5)-SUM($H79:AJ79),('PTRM input'!$H$143*(1+rvanilla02)^0.5)/A1stdlife))</f>
        <v>0</v>
      </c>
      <c r="AL79" s="107">
        <f>IF(A1stdlife="n/a","n/a",IF(AL$3&gt;(A1stdlife+$E79),('PTRM input'!$H$143*(1+rvanilla02)^0.5)-SUM($H79:AK79),('PTRM input'!$H$143*(1+rvanilla02)^0.5)/A1stdlife))</f>
        <v>0</v>
      </c>
      <c r="AM79" s="107">
        <f>IF(A1stdlife="n/a","n/a",IF(AM$3&gt;(A1stdlife+$E79),('PTRM input'!$H$143*(1+rvanilla02)^0.5)-SUM($H79:AL79),('PTRM input'!$H$143*(1+rvanilla02)^0.5)/A1stdlife))</f>
        <v>0</v>
      </c>
      <c r="AN79" s="107">
        <f>IF(A1stdlife="n/a","n/a",IF(AN$3&gt;(A1stdlife+$E79),('PTRM input'!$H$143*(1+rvanilla02)^0.5)-SUM($H79:AM79),('PTRM input'!$H$143*(1+rvanilla02)^0.5)/A1stdlife))</f>
        <v>0</v>
      </c>
      <c r="AO79" s="107">
        <f>IF(A1stdlife="n/a","n/a",IF(AO$3&gt;(A1stdlife+$E79),('PTRM input'!$H$143*(1+rvanilla02)^0.5)-SUM($H79:AN79),('PTRM input'!$H$143*(1+rvanilla02)^0.5)/A1stdlife))</f>
        <v>0</v>
      </c>
      <c r="AP79" s="107">
        <f>IF(A1stdlife="n/a","n/a",IF(AP$3&gt;(A1stdlife+$E79),('PTRM input'!$H$143*(1+rvanilla02)^0.5)-SUM($H79:AO79),('PTRM input'!$H$143*(1+rvanilla02)^0.5)/A1stdlife))</f>
        <v>0</v>
      </c>
      <c r="AQ79" s="107">
        <f>IF(A1stdlife="n/a","n/a",IF(AQ$3&gt;(A1stdlife+$E79),('PTRM input'!$H$143*(1+rvanilla02)^0.5)-SUM($H79:AP79),('PTRM input'!$H$143*(1+rvanilla02)^0.5)/A1stdlife))</f>
        <v>0</v>
      </c>
      <c r="AR79" s="107">
        <f>IF(A1stdlife="n/a","n/a",IF(AR$3&gt;(A1stdlife+$E79),('PTRM input'!$H$143*(1+rvanilla02)^0.5)-SUM($H79:AQ79),('PTRM input'!$H$143*(1+rvanilla02)^0.5)/A1stdlife))</f>
        <v>0</v>
      </c>
      <c r="AS79" s="107">
        <f>IF(A1stdlife="n/a","n/a",IF(AS$3&gt;(A1stdlife+$E79),('PTRM input'!$H$143*(1+rvanilla02)^0.5)-SUM($H79:AR79),('PTRM input'!$H$143*(1+rvanilla02)^0.5)/A1stdlife))</f>
        <v>0</v>
      </c>
      <c r="AT79" s="107">
        <f>IF(A1stdlife="n/a","n/a",IF(AT$3&gt;(A1stdlife+$E79),('PTRM input'!$H$143*(1+rvanilla02)^0.5)-SUM($H79:AS79),('PTRM input'!$H$143*(1+rvanilla02)^0.5)/A1stdlife))</f>
        <v>0</v>
      </c>
      <c r="AU79" s="107">
        <f>IF(A1stdlife="n/a","n/a",IF(AU$3&gt;(A1stdlife+$E79),('PTRM input'!$H$143*(1+rvanilla02)^0.5)-SUM($H79:AT79),('PTRM input'!$H$143*(1+rvanilla02)^0.5)/A1stdlife))</f>
        <v>0</v>
      </c>
      <c r="AV79" s="107">
        <f>IF(A1stdlife="n/a","n/a",IF(AV$3&gt;(A1stdlife+$E79),('PTRM input'!$H$143*(1+rvanilla02)^0.5)-SUM($H79:AU79),('PTRM input'!$H$143*(1+rvanilla02)^0.5)/A1stdlife))</f>
        <v>0</v>
      </c>
      <c r="AW79" s="107">
        <f>IF(A1stdlife="n/a","n/a",IF(AW$3&gt;(A1stdlife+$E79),('PTRM input'!$H$143*(1+rvanilla02)^0.5)-SUM($H79:AV79),('PTRM input'!$H$143*(1+rvanilla02)^0.5)/A1stdlife))</f>
        <v>0</v>
      </c>
      <c r="AX79" s="107">
        <f>IF(A1stdlife="n/a","n/a",IF(AX$3&gt;(A1stdlife+$E79),('PTRM input'!$H$143*(1+rvanilla02)^0.5)-SUM($H79:AW79),('PTRM input'!$H$143*(1+rvanilla02)^0.5)/A1stdlife))</f>
        <v>0</v>
      </c>
      <c r="AY79" s="107">
        <f>IF(A1stdlife="n/a","n/a",IF(AY$3&gt;(A1stdlife+$E79),('PTRM input'!$H$143*(1+rvanilla02)^0.5)-SUM($H79:AX79),('PTRM input'!$H$143*(1+rvanilla02)^0.5)/A1stdlife))</f>
        <v>0</v>
      </c>
      <c r="AZ79" s="107">
        <f>IF(A1stdlife="n/a","n/a",IF(AZ$3&gt;(A1stdlife+$E79),('PTRM input'!$H$143*(1+rvanilla02)^0.5)-SUM($H79:AY79),('PTRM input'!$H$143*(1+rvanilla02)^0.5)/A1stdlife))</f>
        <v>0</v>
      </c>
      <c r="BA79" s="107">
        <f>IF(A1stdlife="n/a","n/a",IF(BA$3&gt;(A1stdlife+$E79),('PTRM input'!$H$143*(1+rvanilla02)^0.5)-SUM($H79:AZ79),('PTRM input'!$H$143*(1+rvanilla02)^0.5)/A1stdlife))</f>
        <v>0</v>
      </c>
      <c r="BB79" s="107">
        <f>IF(A1stdlife="n/a","n/a",IF(BB$3&gt;(A1stdlife+$E79),('PTRM input'!$H$143*(1+rvanilla02)^0.5)-SUM($H79:BA79),('PTRM input'!$H$143*(1+rvanilla02)^0.5)/A1stdlife))</f>
        <v>0</v>
      </c>
      <c r="BC79" s="107">
        <f>IF(A1stdlife="n/a","n/a",IF(BC$3&gt;(A1stdlife+$E79),('PTRM input'!$H$143*(1+rvanilla02)^0.5)-SUM($H79:BB79),('PTRM input'!$H$143*(1+rvanilla02)^0.5)/A1stdlife))</f>
        <v>0</v>
      </c>
      <c r="BD79" s="107">
        <f>IF(A1stdlife="n/a","n/a",IF(BD$3&gt;(A1stdlife+$E79),('PTRM input'!$H$143*(1+rvanilla02)^0.5)-SUM($H79:BC79),('PTRM input'!$H$143*(1+rvanilla02)^0.5)/A1stdlife))</f>
        <v>0</v>
      </c>
      <c r="BE79" s="107">
        <f>IF(A1stdlife="n/a","n/a",IF(BE$3&gt;(A1stdlife+$E79),('PTRM input'!$H$143*(1+rvanilla02)^0.5)-SUM($H79:BD79),('PTRM input'!$H$143*(1+rvanilla02)^0.5)/A1stdlife))</f>
        <v>0</v>
      </c>
      <c r="BF79" s="107">
        <f>IF(A1stdlife="n/a","n/a",IF(BF$3&gt;(A1stdlife+$E79),('PTRM input'!$H$143*(1+rvanilla02)^0.5)-SUM($H79:BE79),('PTRM input'!$H$143*(1+rvanilla02)^0.5)/A1stdlife))</f>
        <v>0</v>
      </c>
      <c r="BG79" s="107">
        <f>IF(A1stdlife="n/a","n/a",IF(BG$3&gt;(A1stdlife+$E79),('PTRM input'!$H$143*(1+rvanilla02)^0.5)-SUM($H79:BF79),('PTRM input'!$H$143*(1+rvanilla02)^0.5)/A1stdlife))</f>
        <v>0</v>
      </c>
      <c r="BH79" s="107">
        <f>IF(A1stdlife="n/a","n/a",IF(BH$3&gt;(A1stdlife+$E79),('PTRM input'!$H$143*(1+rvanilla02)^0.5)-SUM($H79:BG79),('PTRM input'!$H$143*(1+rvanilla02)^0.5)/A1stdlife))</f>
        <v>0</v>
      </c>
      <c r="BI79" s="107">
        <f>IF(A1stdlife="n/a","n/a",IF(BI$3&gt;(A1stdlife+$E79),('PTRM input'!$H$143*(1+rvanilla02)^0.5)-SUM($H79:BH79),('PTRM input'!$H$143*(1+rvanilla02)^0.5)/A1stdlife))</f>
        <v>0</v>
      </c>
      <c r="BJ79" s="237"/>
      <c r="BK79" s="237"/>
      <c r="BL79" s="237"/>
      <c r="BM79" s="237"/>
    </row>
    <row r="80" spans="1:65" s="190" customFormat="1" hidden="1" outlineLevel="2">
      <c r="A80" s="237"/>
      <c r="B80" s="33"/>
      <c r="C80" s="32"/>
      <c r="D80" s="1618"/>
      <c r="E80" s="169">
        <v>3</v>
      </c>
      <c r="F80" s="35"/>
      <c r="G80" s="1409"/>
      <c r="H80" s="186"/>
      <c r="I80" s="185"/>
      <c r="J80" s="107">
        <f>IF(A1stdlife="n/a","n/a",IF(J$3&gt;(A1stdlife+$E80),('PTRM input'!$I$143*(1+rvanilla03)^0.5)-SUM($I80:I80),('PTRM input'!$I$143*(1+rvanilla03)^0.5)/A1stdlife))</f>
        <v>0</v>
      </c>
      <c r="K80" s="107">
        <f>IF(A1stdlife="n/a","n/a",IF(K$3&gt;(A1stdlife+$E80),('PTRM input'!$I$143*(1+rvanilla03)^0.5)-SUM($I80:J80),('PTRM input'!$I$143*(1+rvanilla03)^0.5)/A1stdlife))</f>
        <v>0</v>
      </c>
      <c r="L80" s="107">
        <f>IF(A1stdlife="n/a","n/a",IF(L$3&gt;(A1stdlife+$E80),('PTRM input'!$I$143*(1+rvanilla03)^0.5)-SUM($I80:K80),('PTRM input'!$I$143*(1+rvanilla03)^0.5)/A1stdlife))</f>
        <v>0</v>
      </c>
      <c r="M80" s="107">
        <f>IF(A1stdlife="n/a","n/a",IF(M$3&gt;(A1stdlife+$E80),('PTRM input'!$I$143*(1+rvanilla03)^0.5)-SUM($I80:L80),('PTRM input'!$I$143*(1+rvanilla03)^0.5)/A1stdlife))</f>
        <v>0</v>
      </c>
      <c r="N80" s="107">
        <f>IF(A1stdlife="n/a","n/a",IF(N$3&gt;(A1stdlife+$E80),('PTRM input'!$I$143*(1+rvanilla03)^0.5)-SUM($I80:M80),('PTRM input'!$I$143*(1+rvanilla03)^0.5)/A1stdlife))</f>
        <v>0</v>
      </c>
      <c r="O80" s="107">
        <f>IF(A1stdlife="n/a","n/a",IF(O$3&gt;(A1stdlife+$E80),('PTRM input'!$I$143*(1+rvanilla03)^0.5)-SUM($I80:N80),('PTRM input'!$I$143*(1+rvanilla03)^0.5)/A1stdlife))</f>
        <v>0</v>
      </c>
      <c r="P80" s="107">
        <f>IF(A1stdlife="n/a","n/a",IF(P$3&gt;(A1stdlife+$E80),('PTRM input'!$I$143*(1+rvanilla03)^0.5)-SUM($I80:O80),('PTRM input'!$I$143*(1+rvanilla03)^0.5)/A1stdlife))</f>
        <v>0</v>
      </c>
      <c r="Q80" s="107">
        <f>IF(A1stdlife="n/a","n/a",IF(Q$3&gt;(A1stdlife+$E80),('PTRM input'!$I$143*(1+rvanilla03)^0.5)-SUM($I80:P80),('PTRM input'!$I$143*(1+rvanilla03)^0.5)/A1stdlife))</f>
        <v>0</v>
      </c>
      <c r="R80" s="107">
        <f>IF(A1stdlife="n/a","n/a",IF(R$3&gt;(A1stdlife+$E80),('PTRM input'!$I$143*(1+rvanilla03)^0.5)-SUM($I80:Q80),('PTRM input'!$I$143*(1+rvanilla03)^0.5)/A1stdlife))</f>
        <v>0</v>
      </c>
      <c r="S80" s="107">
        <f>IF(A1stdlife="n/a","n/a",IF(S$3&gt;(A1stdlife+$E80),('PTRM input'!$I$143*(1+rvanilla03)^0.5)-SUM($I80:R80),('PTRM input'!$I$143*(1+rvanilla03)^0.5)/A1stdlife))</f>
        <v>0</v>
      </c>
      <c r="T80" s="107">
        <f>IF(A1stdlife="n/a","n/a",IF(T$3&gt;(A1stdlife+$E80),('PTRM input'!$I$143*(1+rvanilla03)^0.5)-SUM($I80:S80),('PTRM input'!$I$143*(1+rvanilla03)^0.5)/A1stdlife))</f>
        <v>0</v>
      </c>
      <c r="U80" s="107">
        <f>IF(A1stdlife="n/a","n/a",IF(U$3&gt;(A1stdlife+$E80),('PTRM input'!$I$143*(1+rvanilla03)^0.5)-SUM($I80:T80),('PTRM input'!$I$143*(1+rvanilla03)^0.5)/A1stdlife))</f>
        <v>0</v>
      </c>
      <c r="V80" s="107">
        <f>IF(A1stdlife="n/a","n/a",IF(V$3&gt;(A1stdlife+$E80),('PTRM input'!$I$143*(1+rvanilla03)^0.5)-SUM($I80:U80),('PTRM input'!$I$143*(1+rvanilla03)^0.5)/A1stdlife))</f>
        <v>0</v>
      </c>
      <c r="W80" s="107">
        <f>IF(A1stdlife="n/a","n/a",IF(W$3&gt;(A1stdlife+$E80),('PTRM input'!$I$143*(1+rvanilla03)^0.5)-SUM($I80:V80),('PTRM input'!$I$143*(1+rvanilla03)^0.5)/A1stdlife))</f>
        <v>0</v>
      </c>
      <c r="X80" s="107">
        <f>IF(A1stdlife="n/a","n/a",IF(X$3&gt;(A1stdlife+$E80),('PTRM input'!$I$143*(1+rvanilla03)^0.5)-SUM($I80:W80),('PTRM input'!$I$143*(1+rvanilla03)^0.5)/A1stdlife))</f>
        <v>0</v>
      </c>
      <c r="Y80" s="107">
        <f>IF(A1stdlife="n/a","n/a",IF(Y$3&gt;(A1stdlife+$E80),('PTRM input'!$I$143*(1+rvanilla03)^0.5)-SUM($I80:X80),('PTRM input'!$I$143*(1+rvanilla03)^0.5)/A1stdlife))</f>
        <v>0</v>
      </c>
      <c r="Z80" s="107">
        <f>IF(A1stdlife="n/a","n/a",IF(Z$3&gt;(A1stdlife+$E80),('PTRM input'!$I$143*(1+rvanilla03)^0.5)-SUM($I80:Y80),('PTRM input'!$I$143*(1+rvanilla03)^0.5)/A1stdlife))</f>
        <v>0</v>
      </c>
      <c r="AA80" s="107">
        <f>IF(A1stdlife="n/a","n/a",IF(AA$3&gt;(A1stdlife+$E80),('PTRM input'!$I$143*(1+rvanilla03)^0.5)-SUM($I80:Z80),('PTRM input'!$I$143*(1+rvanilla03)^0.5)/A1stdlife))</f>
        <v>0</v>
      </c>
      <c r="AB80" s="107">
        <f>IF(A1stdlife="n/a","n/a",IF(AB$3&gt;(A1stdlife+$E80),('PTRM input'!$I$143*(1+rvanilla03)^0.5)-SUM($I80:AA80),('PTRM input'!$I$143*(1+rvanilla03)^0.5)/A1stdlife))</f>
        <v>0</v>
      </c>
      <c r="AC80" s="107">
        <f>IF(A1stdlife="n/a","n/a",IF(AC$3&gt;(A1stdlife+$E80),('PTRM input'!$I$143*(1+rvanilla03)^0.5)-SUM($I80:AB80),('PTRM input'!$I$143*(1+rvanilla03)^0.5)/A1stdlife))</f>
        <v>0</v>
      </c>
      <c r="AD80" s="107">
        <f>IF(A1stdlife="n/a","n/a",IF(AD$3&gt;(A1stdlife+$E80),('PTRM input'!$I$143*(1+rvanilla03)^0.5)-SUM($I80:AC80),('PTRM input'!$I$143*(1+rvanilla03)^0.5)/A1stdlife))</f>
        <v>0</v>
      </c>
      <c r="AE80" s="107">
        <f>IF(A1stdlife="n/a","n/a",IF(AE$3&gt;(A1stdlife+$E80),('PTRM input'!$I$143*(1+rvanilla03)^0.5)-SUM($I80:AD80),('PTRM input'!$I$143*(1+rvanilla03)^0.5)/A1stdlife))</f>
        <v>0</v>
      </c>
      <c r="AF80" s="107">
        <f>IF(A1stdlife="n/a","n/a",IF(AF$3&gt;(A1stdlife+$E80),('PTRM input'!$I$143*(1+rvanilla03)^0.5)-SUM($I80:AE80),('PTRM input'!$I$143*(1+rvanilla03)^0.5)/A1stdlife))</f>
        <v>0</v>
      </c>
      <c r="AG80" s="107">
        <f>IF(A1stdlife="n/a","n/a",IF(AG$3&gt;(A1stdlife+$E80),('PTRM input'!$I$143*(1+rvanilla03)^0.5)-SUM($I80:AF80),('PTRM input'!$I$143*(1+rvanilla03)^0.5)/A1stdlife))</f>
        <v>0</v>
      </c>
      <c r="AH80" s="107">
        <f>IF(A1stdlife="n/a","n/a",IF(AH$3&gt;(A1stdlife+$E80),('PTRM input'!$I$143*(1+rvanilla03)^0.5)-SUM($I80:AG80),('PTRM input'!$I$143*(1+rvanilla03)^0.5)/A1stdlife))</f>
        <v>0</v>
      </c>
      <c r="AI80" s="107">
        <f>IF(A1stdlife="n/a","n/a",IF(AI$3&gt;(A1stdlife+$E80),('PTRM input'!$I$143*(1+rvanilla03)^0.5)-SUM($I80:AH80),('PTRM input'!$I$143*(1+rvanilla03)^0.5)/A1stdlife))</f>
        <v>0</v>
      </c>
      <c r="AJ80" s="107">
        <f>IF(A1stdlife="n/a","n/a",IF(AJ$3&gt;(A1stdlife+$E80),('PTRM input'!$I$143*(1+rvanilla03)^0.5)-SUM($I80:AI80),('PTRM input'!$I$143*(1+rvanilla03)^0.5)/A1stdlife))</f>
        <v>0</v>
      </c>
      <c r="AK80" s="107">
        <f>IF(A1stdlife="n/a","n/a",IF(AK$3&gt;(A1stdlife+$E80),('PTRM input'!$I$143*(1+rvanilla03)^0.5)-SUM($I80:AJ80),('PTRM input'!$I$143*(1+rvanilla03)^0.5)/A1stdlife))</f>
        <v>0</v>
      </c>
      <c r="AL80" s="107">
        <f>IF(A1stdlife="n/a","n/a",IF(AL$3&gt;(A1stdlife+$E80),('PTRM input'!$I$143*(1+rvanilla03)^0.5)-SUM($I80:AK80),('PTRM input'!$I$143*(1+rvanilla03)^0.5)/A1stdlife))</f>
        <v>0</v>
      </c>
      <c r="AM80" s="107">
        <f>IF(A1stdlife="n/a","n/a",IF(AM$3&gt;(A1stdlife+$E80),('PTRM input'!$I$143*(1+rvanilla03)^0.5)-SUM($I80:AL80),('PTRM input'!$I$143*(1+rvanilla03)^0.5)/A1stdlife))</f>
        <v>0</v>
      </c>
      <c r="AN80" s="107">
        <f>IF(A1stdlife="n/a","n/a",IF(AN$3&gt;(A1stdlife+$E80),('PTRM input'!$I$143*(1+rvanilla03)^0.5)-SUM($I80:AM80),('PTRM input'!$I$143*(1+rvanilla03)^0.5)/A1stdlife))</f>
        <v>0</v>
      </c>
      <c r="AO80" s="107">
        <f>IF(A1stdlife="n/a","n/a",IF(AO$3&gt;(A1stdlife+$E80),('PTRM input'!$I$143*(1+rvanilla03)^0.5)-SUM($I80:AN80),('PTRM input'!$I$143*(1+rvanilla03)^0.5)/A1stdlife))</f>
        <v>0</v>
      </c>
      <c r="AP80" s="107">
        <f>IF(A1stdlife="n/a","n/a",IF(AP$3&gt;(A1stdlife+$E80),('PTRM input'!$I$143*(1+rvanilla03)^0.5)-SUM($I80:AO80),('PTRM input'!$I$143*(1+rvanilla03)^0.5)/A1stdlife))</f>
        <v>0</v>
      </c>
      <c r="AQ80" s="107">
        <f>IF(A1stdlife="n/a","n/a",IF(AQ$3&gt;(A1stdlife+$E80),('PTRM input'!$I$143*(1+rvanilla03)^0.5)-SUM($I80:AP80),('PTRM input'!$I$143*(1+rvanilla03)^0.5)/A1stdlife))</f>
        <v>0</v>
      </c>
      <c r="AR80" s="107">
        <f>IF(A1stdlife="n/a","n/a",IF(AR$3&gt;(A1stdlife+$E80),('PTRM input'!$I$143*(1+rvanilla03)^0.5)-SUM($I80:AQ80),('PTRM input'!$I$143*(1+rvanilla03)^0.5)/A1stdlife))</f>
        <v>0</v>
      </c>
      <c r="AS80" s="107">
        <f>IF(A1stdlife="n/a","n/a",IF(AS$3&gt;(A1stdlife+$E80),('PTRM input'!$I$143*(1+rvanilla03)^0.5)-SUM($I80:AR80),('PTRM input'!$I$143*(1+rvanilla03)^0.5)/A1stdlife))</f>
        <v>0</v>
      </c>
      <c r="AT80" s="107">
        <f>IF(A1stdlife="n/a","n/a",IF(AT$3&gt;(A1stdlife+$E80),('PTRM input'!$I$143*(1+rvanilla03)^0.5)-SUM($I80:AS80),('PTRM input'!$I$143*(1+rvanilla03)^0.5)/A1stdlife))</f>
        <v>0</v>
      </c>
      <c r="AU80" s="107">
        <f>IF(A1stdlife="n/a","n/a",IF(AU$3&gt;(A1stdlife+$E80),('PTRM input'!$I$143*(1+rvanilla03)^0.5)-SUM($I80:AT80),('PTRM input'!$I$143*(1+rvanilla03)^0.5)/A1stdlife))</f>
        <v>0</v>
      </c>
      <c r="AV80" s="107">
        <f>IF(A1stdlife="n/a","n/a",IF(AV$3&gt;(A1stdlife+$E80),('PTRM input'!$I$143*(1+rvanilla03)^0.5)-SUM($I80:AU80),('PTRM input'!$I$143*(1+rvanilla03)^0.5)/A1stdlife))</f>
        <v>0</v>
      </c>
      <c r="AW80" s="107">
        <f>IF(A1stdlife="n/a","n/a",IF(AW$3&gt;(A1stdlife+$E80),('PTRM input'!$I$143*(1+rvanilla03)^0.5)-SUM($I80:AV80),('PTRM input'!$I$143*(1+rvanilla03)^0.5)/A1stdlife))</f>
        <v>0</v>
      </c>
      <c r="AX80" s="107">
        <f>IF(A1stdlife="n/a","n/a",IF(AX$3&gt;(A1stdlife+$E80),('PTRM input'!$I$143*(1+rvanilla03)^0.5)-SUM($I80:AW80),('PTRM input'!$I$143*(1+rvanilla03)^0.5)/A1stdlife))</f>
        <v>0</v>
      </c>
      <c r="AY80" s="107">
        <f>IF(A1stdlife="n/a","n/a",IF(AY$3&gt;(A1stdlife+$E80),('PTRM input'!$I$143*(1+rvanilla03)^0.5)-SUM($I80:AX80),('PTRM input'!$I$143*(1+rvanilla03)^0.5)/A1stdlife))</f>
        <v>0</v>
      </c>
      <c r="AZ80" s="107">
        <f>IF(A1stdlife="n/a","n/a",IF(AZ$3&gt;(A1stdlife+$E80),('PTRM input'!$I$143*(1+rvanilla03)^0.5)-SUM($I80:AY80),('PTRM input'!$I$143*(1+rvanilla03)^0.5)/A1stdlife))</f>
        <v>0</v>
      </c>
      <c r="BA80" s="107">
        <f>IF(A1stdlife="n/a","n/a",IF(BA$3&gt;(A1stdlife+$E80),('PTRM input'!$I$143*(1+rvanilla03)^0.5)-SUM($I80:AZ80),('PTRM input'!$I$143*(1+rvanilla03)^0.5)/A1stdlife))</f>
        <v>0</v>
      </c>
      <c r="BB80" s="107">
        <f>IF(A1stdlife="n/a","n/a",IF(BB$3&gt;(A1stdlife+$E80),('PTRM input'!$I$143*(1+rvanilla03)^0.5)-SUM($I80:BA80),('PTRM input'!$I$143*(1+rvanilla03)^0.5)/A1stdlife))</f>
        <v>0</v>
      </c>
      <c r="BC80" s="107">
        <f>IF(A1stdlife="n/a","n/a",IF(BC$3&gt;(A1stdlife+$E80),('PTRM input'!$I$143*(1+rvanilla03)^0.5)-SUM($I80:BB80),('PTRM input'!$I$143*(1+rvanilla03)^0.5)/A1stdlife))</f>
        <v>0</v>
      </c>
      <c r="BD80" s="107">
        <f>IF(A1stdlife="n/a","n/a",IF(BD$3&gt;(A1stdlife+$E80),('PTRM input'!$I$143*(1+rvanilla03)^0.5)-SUM($I80:BC80),('PTRM input'!$I$143*(1+rvanilla03)^0.5)/A1stdlife))</f>
        <v>0</v>
      </c>
      <c r="BE80" s="107">
        <f>IF(A1stdlife="n/a","n/a",IF(BE$3&gt;(A1stdlife+$E80),('PTRM input'!$I$143*(1+rvanilla03)^0.5)-SUM($I80:BD80),('PTRM input'!$I$143*(1+rvanilla03)^0.5)/A1stdlife))</f>
        <v>0</v>
      </c>
      <c r="BF80" s="107">
        <f>IF(A1stdlife="n/a","n/a",IF(BF$3&gt;(A1stdlife+$E80),('PTRM input'!$I$143*(1+rvanilla03)^0.5)-SUM($I80:BE80),('PTRM input'!$I$143*(1+rvanilla03)^0.5)/A1stdlife))</f>
        <v>0</v>
      </c>
      <c r="BG80" s="107">
        <f>IF(A1stdlife="n/a","n/a",IF(BG$3&gt;(A1stdlife+$E80),('PTRM input'!$I$143*(1+rvanilla03)^0.5)-SUM($I80:BF80),('PTRM input'!$I$143*(1+rvanilla03)^0.5)/A1stdlife))</f>
        <v>0</v>
      </c>
      <c r="BH80" s="107">
        <f>IF(A1stdlife="n/a","n/a",IF(BH$3&gt;(A1stdlife+$E80),('PTRM input'!$I$143*(1+rvanilla03)^0.5)-SUM($I80:BG80),('PTRM input'!$I$143*(1+rvanilla03)^0.5)/A1stdlife))</f>
        <v>0</v>
      </c>
      <c r="BI80" s="107">
        <f>IF(A1stdlife="n/a","n/a",IF(BI$3&gt;(A1stdlife+$E80),('PTRM input'!$I$143*(1+rvanilla03)^0.5)-SUM($I80:BH80),('PTRM input'!$I$143*(1+rvanilla03)^0.5)/A1stdlife))</f>
        <v>0</v>
      </c>
      <c r="BJ80" s="237"/>
      <c r="BK80" s="237"/>
      <c r="BL80" s="237"/>
      <c r="BM80" s="237"/>
    </row>
    <row r="81" spans="1:65" s="190" customFormat="1" hidden="1" outlineLevel="2">
      <c r="A81" s="237"/>
      <c r="B81" s="33"/>
      <c r="C81" s="32"/>
      <c r="D81" s="1618"/>
      <c r="E81" s="169">
        <v>4</v>
      </c>
      <c r="F81" s="35"/>
      <c r="G81" s="1409"/>
      <c r="H81" s="186"/>
      <c r="I81" s="186"/>
      <c r="J81" s="185"/>
      <c r="K81" s="107">
        <f>IF(A1stdlife="n/a","n/a",IF(K$3&gt;(A1stdlife+$E81),('PTRM input'!$J$143*(1+rvanilla04)^0.5)-SUM($J81:J81),('PTRM input'!$J$143*(1+rvanilla04)^0.5)/A1stdlife))</f>
        <v>0</v>
      </c>
      <c r="L81" s="107">
        <f>IF(A1stdlife="n/a","n/a",IF(L$3&gt;(A1stdlife+$E81),('PTRM input'!$J$143*(1+rvanilla04)^0.5)-SUM($J81:K81),('PTRM input'!$J$143*(1+rvanilla04)^0.5)/A1stdlife))</f>
        <v>0</v>
      </c>
      <c r="M81" s="107">
        <f>IF(A1stdlife="n/a","n/a",IF(M$3&gt;(A1stdlife+$E81),('PTRM input'!$J$143*(1+rvanilla04)^0.5)-SUM($J81:L81),('PTRM input'!$J$143*(1+rvanilla04)^0.5)/A1stdlife))</f>
        <v>0</v>
      </c>
      <c r="N81" s="107">
        <f>IF(A1stdlife="n/a","n/a",IF(N$3&gt;(A1stdlife+$E81),('PTRM input'!$J$143*(1+rvanilla04)^0.5)-SUM($J81:M81),('PTRM input'!$J$143*(1+rvanilla04)^0.5)/A1stdlife))</f>
        <v>0</v>
      </c>
      <c r="O81" s="107">
        <f>IF(A1stdlife="n/a","n/a",IF(O$3&gt;(A1stdlife+$E81),('PTRM input'!$J$143*(1+rvanilla04)^0.5)-SUM($J81:N81),('PTRM input'!$J$143*(1+rvanilla04)^0.5)/A1stdlife))</f>
        <v>0</v>
      </c>
      <c r="P81" s="107">
        <f>IF(A1stdlife="n/a","n/a",IF(P$3&gt;(A1stdlife+$E81),('PTRM input'!$J$143*(1+rvanilla04)^0.5)-SUM($J81:O81),('PTRM input'!$J$143*(1+rvanilla04)^0.5)/A1stdlife))</f>
        <v>0</v>
      </c>
      <c r="Q81" s="107">
        <f>IF(A1stdlife="n/a","n/a",IF(Q$3&gt;(A1stdlife+$E81),('PTRM input'!$J$143*(1+rvanilla04)^0.5)-SUM($J81:P81),('PTRM input'!$J$143*(1+rvanilla04)^0.5)/A1stdlife))</f>
        <v>0</v>
      </c>
      <c r="R81" s="107">
        <f>IF(A1stdlife="n/a","n/a",IF(R$3&gt;(A1stdlife+$E81),('PTRM input'!$J$143*(1+rvanilla04)^0.5)-SUM($J81:Q81),('PTRM input'!$J$143*(1+rvanilla04)^0.5)/A1stdlife))</f>
        <v>0</v>
      </c>
      <c r="S81" s="107">
        <f>IF(A1stdlife="n/a","n/a",IF(S$3&gt;(A1stdlife+$E81),('PTRM input'!$J$143*(1+rvanilla04)^0.5)-SUM($J81:R81),('PTRM input'!$J$143*(1+rvanilla04)^0.5)/A1stdlife))</f>
        <v>0</v>
      </c>
      <c r="T81" s="107">
        <f>IF(A1stdlife="n/a","n/a",IF(T$3&gt;(A1stdlife+$E81),('PTRM input'!$J$143*(1+rvanilla04)^0.5)-SUM($J81:S81),('PTRM input'!$J$143*(1+rvanilla04)^0.5)/A1stdlife))</f>
        <v>0</v>
      </c>
      <c r="U81" s="107">
        <f>IF(A1stdlife="n/a","n/a",IF(U$3&gt;(A1stdlife+$E81),('PTRM input'!$J$143*(1+rvanilla04)^0.5)-SUM($J81:T81),('PTRM input'!$J$143*(1+rvanilla04)^0.5)/A1stdlife))</f>
        <v>0</v>
      </c>
      <c r="V81" s="107">
        <f>IF(A1stdlife="n/a","n/a",IF(V$3&gt;(A1stdlife+$E81),('PTRM input'!$J$143*(1+rvanilla04)^0.5)-SUM($J81:U81),('PTRM input'!$J$143*(1+rvanilla04)^0.5)/A1stdlife))</f>
        <v>0</v>
      </c>
      <c r="W81" s="107">
        <f>IF(A1stdlife="n/a","n/a",IF(W$3&gt;(A1stdlife+$E81),('PTRM input'!$J$143*(1+rvanilla04)^0.5)-SUM($J81:V81),('PTRM input'!$J$143*(1+rvanilla04)^0.5)/A1stdlife))</f>
        <v>0</v>
      </c>
      <c r="X81" s="107">
        <f>IF(A1stdlife="n/a","n/a",IF(X$3&gt;(A1stdlife+$E81),('PTRM input'!$J$143*(1+rvanilla04)^0.5)-SUM($J81:W81),('PTRM input'!$J$143*(1+rvanilla04)^0.5)/A1stdlife))</f>
        <v>0</v>
      </c>
      <c r="Y81" s="107">
        <f>IF(A1stdlife="n/a","n/a",IF(Y$3&gt;(A1stdlife+$E81),('PTRM input'!$J$143*(1+rvanilla04)^0.5)-SUM($J81:X81),('PTRM input'!$J$143*(1+rvanilla04)^0.5)/A1stdlife))</f>
        <v>0</v>
      </c>
      <c r="Z81" s="107">
        <f>IF(A1stdlife="n/a","n/a",IF(Z$3&gt;(A1stdlife+$E81),('PTRM input'!$J$143*(1+rvanilla04)^0.5)-SUM($J81:Y81),('PTRM input'!$J$143*(1+rvanilla04)^0.5)/A1stdlife))</f>
        <v>0</v>
      </c>
      <c r="AA81" s="107">
        <f>IF(A1stdlife="n/a","n/a",IF(AA$3&gt;(A1stdlife+$E81),('PTRM input'!$J$143*(1+rvanilla04)^0.5)-SUM($J81:Z81),('PTRM input'!$J$143*(1+rvanilla04)^0.5)/A1stdlife))</f>
        <v>0</v>
      </c>
      <c r="AB81" s="107">
        <f>IF(A1stdlife="n/a","n/a",IF(AB$3&gt;(A1stdlife+$E81),('PTRM input'!$J$143*(1+rvanilla04)^0.5)-SUM($J81:AA81),('PTRM input'!$J$143*(1+rvanilla04)^0.5)/A1stdlife))</f>
        <v>0</v>
      </c>
      <c r="AC81" s="107">
        <f>IF(A1stdlife="n/a","n/a",IF(AC$3&gt;(A1stdlife+$E81),('PTRM input'!$J$143*(1+rvanilla04)^0.5)-SUM($J81:AB81),('PTRM input'!$J$143*(1+rvanilla04)^0.5)/A1stdlife))</f>
        <v>0</v>
      </c>
      <c r="AD81" s="107">
        <f>IF(A1stdlife="n/a","n/a",IF(AD$3&gt;(A1stdlife+$E81),('PTRM input'!$J$143*(1+rvanilla04)^0.5)-SUM($J81:AC81),('PTRM input'!$J$143*(1+rvanilla04)^0.5)/A1stdlife))</f>
        <v>0</v>
      </c>
      <c r="AE81" s="107">
        <f>IF(A1stdlife="n/a","n/a",IF(AE$3&gt;(A1stdlife+$E81),('PTRM input'!$J$143*(1+rvanilla04)^0.5)-SUM($J81:AD81),('PTRM input'!$J$143*(1+rvanilla04)^0.5)/A1stdlife))</f>
        <v>0</v>
      </c>
      <c r="AF81" s="107">
        <f>IF(A1stdlife="n/a","n/a",IF(AF$3&gt;(A1stdlife+$E81),('PTRM input'!$J$143*(1+rvanilla04)^0.5)-SUM($J81:AE81),('PTRM input'!$J$143*(1+rvanilla04)^0.5)/A1stdlife))</f>
        <v>0</v>
      </c>
      <c r="AG81" s="107">
        <f>IF(A1stdlife="n/a","n/a",IF(AG$3&gt;(A1stdlife+$E81),('PTRM input'!$J$143*(1+rvanilla04)^0.5)-SUM($J81:AF81),('PTRM input'!$J$143*(1+rvanilla04)^0.5)/A1stdlife))</f>
        <v>0</v>
      </c>
      <c r="AH81" s="107">
        <f>IF(A1stdlife="n/a","n/a",IF(AH$3&gt;(A1stdlife+$E81),('PTRM input'!$J$143*(1+rvanilla04)^0.5)-SUM($J81:AG81),('PTRM input'!$J$143*(1+rvanilla04)^0.5)/A1stdlife))</f>
        <v>0</v>
      </c>
      <c r="AI81" s="107">
        <f>IF(A1stdlife="n/a","n/a",IF(AI$3&gt;(A1stdlife+$E81),('PTRM input'!$J$143*(1+rvanilla04)^0.5)-SUM($J81:AH81),('PTRM input'!$J$143*(1+rvanilla04)^0.5)/A1stdlife))</f>
        <v>0</v>
      </c>
      <c r="AJ81" s="107">
        <f>IF(A1stdlife="n/a","n/a",IF(AJ$3&gt;(A1stdlife+$E81),('PTRM input'!$J$143*(1+rvanilla04)^0.5)-SUM($J81:AI81),('PTRM input'!$J$143*(1+rvanilla04)^0.5)/A1stdlife))</f>
        <v>0</v>
      </c>
      <c r="AK81" s="107">
        <f>IF(A1stdlife="n/a","n/a",IF(AK$3&gt;(A1stdlife+$E81),('PTRM input'!$J$143*(1+rvanilla04)^0.5)-SUM($J81:AJ81),('PTRM input'!$J$143*(1+rvanilla04)^0.5)/A1stdlife))</f>
        <v>0</v>
      </c>
      <c r="AL81" s="107">
        <f>IF(A1stdlife="n/a","n/a",IF(AL$3&gt;(A1stdlife+$E81),('PTRM input'!$J$143*(1+rvanilla04)^0.5)-SUM($J81:AK81),('PTRM input'!$J$143*(1+rvanilla04)^0.5)/A1stdlife))</f>
        <v>0</v>
      </c>
      <c r="AM81" s="107">
        <f>IF(A1stdlife="n/a","n/a",IF(AM$3&gt;(A1stdlife+$E81),('PTRM input'!$J$143*(1+rvanilla04)^0.5)-SUM($J81:AL81),('PTRM input'!$J$143*(1+rvanilla04)^0.5)/A1stdlife))</f>
        <v>0</v>
      </c>
      <c r="AN81" s="107">
        <f>IF(A1stdlife="n/a","n/a",IF(AN$3&gt;(A1stdlife+$E81),('PTRM input'!$J$143*(1+rvanilla04)^0.5)-SUM($J81:AM81),('PTRM input'!$J$143*(1+rvanilla04)^0.5)/A1stdlife))</f>
        <v>0</v>
      </c>
      <c r="AO81" s="107">
        <f>IF(A1stdlife="n/a","n/a",IF(AO$3&gt;(A1stdlife+$E81),('PTRM input'!$J$143*(1+rvanilla04)^0.5)-SUM($J81:AN81),('PTRM input'!$J$143*(1+rvanilla04)^0.5)/A1stdlife))</f>
        <v>0</v>
      </c>
      <c r="AP81" s="107">
        <f>IF(A1stdlife="n/a","n/a",IF(AP$3&gt;(A1stdlife+$E81),('PTRM input'!$J$143*(1+rvanilla04)^0.5)-SUM($J81:AO81),('PTRM input'!$J$143*(1+rvanilla04)^0.5)/A1stdlife))</f>
        <v>0</v>
      </c>
      <c r="AQ81" s="107">
        <f>IF(A1stdlife="n/a","n/a",IF(AQ$3&gt;(A1stdlife+$E81),('PTRM input'!$J$143*(1+rvanilla04)^0.5)-SUM($J81:AP81),('PTRM input'!$J$143*(1+rvanilla04)^0.5)/A1stdlife))</f>
        <v>0</v>
      </c>
      <c r="AR81" s="107">
        <f>IF(A1stdlife="n/a","n/a",IF(AR$3&gt;(A1stdlife+$E81),('PTRM input'!$J$143*(1+rvanilla04)^0.5)-SUM($J81:AQ81),('PTRM input'!$J$143*(1+rvanilla04)^0.5)/A1stdlife))</f>
        <v>0</v>
      </c>
      <c r="AS81" s="107">
        <f>IF(A1stdlife="n/a","n/a",IF(AS$3&gt;(A1stdlife+$E81),('PTRM input'!$J$143*(1+rvanilla04)^0.5)-SUM($J81:AR81),('PTRM input'!$J$143*(1+rvanilla04)^0.5)/A1stdlife))</f>
        <v>0</v>
      </c>
      <c r="AT81" s="107">
        <f>IF(A1stdlife="n/a","n/a",IF(AT$3&gt;(A1stdlife+$E81),('PTRM input'!$J$143*(1+rvanilla04)^0.5)-SUM($J81:AS81),('PTRM input'!$J$143*(1+rvanilla04)^0.5)/A1stdlife))</f>
        <v>0</v>
      </c>
      <c r="AU81" s="107">
        <f>IF(A1stdlife="n/a","n/a",IF(AU$3&gt;(A1stdlife+$E81),('PTRM input'!$J$143*(1+rvanilla04)^0.5)-SUM($J81:AT81),('PTRM input'!$J$143*(1+rvanilla04)^0.5)/A1stdlife))</f>
        <v>0</v>
      </c>
      <c r="AV81" s="107">
        <f>IF(A1stdlife="n/a","n/a",IF(AV$3&gt;(A1stdlife+$E81),('PTRM input'!$J$143*(1+rvanilla04)^0.5)-SUM($J81:AU81),('PTRM input'!$J$143*(1+rvanilla04)^0.5)/A1stdlife))</f>
        <v>0</v>
      </c>
      <c r="AW81" s="107">
        <f>IF(A1stdlife="n/a","n/a",IF(AW$3&gt;(A1stdlife+$E81),('PTRM input'!$J$143*(1+rvanilla04)^0.5)-SUM($J81:AV81),('PTRM input'!$J$143*(1+rvanilla04)^0.5)/A1stdlife))</f>
        <v>0</v>
      </c>
      <c r="AX81" s="107">
        <f>IF(A1stdlife="n/a","n/a",IF(AX$3&gt;(A1stdlife+$E81),('PTRM input'!$J$143*(1+rvanilla04)^0.5)-SUM($J81:AW81),('PTRM input'!$J$143*(1+rvanilla04)^0.5)/A1stdlife))</f>
        <v>0</v>
      </c>
      <c r="AY81" s="107">
        <f>IF(A1stdlife="n/a","n/a",IF(AY$3&gt;(A1stdlife+$E81),('PTRM input'!$J$143*(1+rvanilla04)^0.5)-SUM($J81:AX81),('PTRM input'!$J$143*(1+rvanilla04)^0.5)/A1stdlife))</f>
        <v>0</v>
      </c>
      <c r="AZ81" s="107">
        <f>IF(A1stdlife="n/a","n/a",IF(AZ$3&gt;(A1stdlife+$E81),('PTRM input'!$J$143*(1+rvanilla04)^0.5)-SUM($J81:AY81),('PTRM input'!$J$143*(1+rvanilla04)^0.5)/A1stdlife))</f>
        <v>0</v>
      </c>
      <c r="BA81" s="107">
        <f>IF(A1stdlife="n/a","n/a",IF(BA$3&gt;(A1stdlife+$E81),('PTRM input'!$J$143*(1+rvanilla04)^0.5)-SUM($J81:AZ81),('PTRM input'!$J$143*(1+rvanilla04)^0.5)/A1stdlife))</f>
        <v>0</v>
      </c>
      <c r="BB81" s="107">
        <f>IF(A1stdlife="n/a","n/a",IF(BB$3&gt;(A1stdlife+$E81),('PTRM input'!$J$143*(1+rvanilla04)^0.5)-SUM($J81:BA81),('PTRM input'!$J$143*(1+rvanilla04)^0.5)/A1stdlife))</f>
        <v>0</v>
      </c>
      <c r="BC81" s="107">
        <f>IF(A1stdlife="n/a","n/a",IF(BC$3&gt;(A1stdlife+$E81),('PTRM input'!$J$143*(1+rvanilla04)^0.5)-SUM($J81:BB81),('PTRM input'!$J$143*(1+rvanilla04)^0.5)/A1stdlife))</f>
        <v>0</v>
      </c>
      <c r="BD81" s="107">
        <f>IF(A1stdlife="n/a","n/a",IF(BD$3&gt;(A1stdlife+$E81),('PTRM input'!$J$143*(1+rvanilla04)^0.5)-SUM($J81:BC81),('PTRM input'!$J$143*(1+rvanilla04)^0.5)/A1stdlife))</f>
        <v>0</v>
      </c>
      <c r="BE81" s="107">
        <f>IF(A1stdlife="n/a","n/a",IF(BE$3&gt;(A1stdlife+$E81),('PTRM input'!$J$143*(1+rvanilla04)^0.5)-SUM($J81:BD81),('PTRM input'!$J$143*(1+rvanilla04)^0.5)/A1stdlife))</f>
        <v>0</v>
      </c>
      <c r="BF81" s="107">
        <f>IF(A1stdlife="n/a","n/a",IF(BF$3&gt;(A1stdlife+$E81),('PTRM input'!$J$143*(1+rvanilla04)^0.5)-SUM($J81:BE81),('PTRM input'!$J$143*(1+rvanilla04)^0.5)/A1stdlife))</f>
        <v>0</v>
      </c>
      <c r="BG81" s="107">
        <f>IF(A1stdlife="n/a","n/a",IF(BG$3&gt;(A1stdlife+$E81),('PTRM input'!$J$143*(1+rvanilla04)^0.5)-SUM($J81:BF81),('PTRM input'!$J$143*(1+rvanilla04)^0.5)/A1stdlife))</f>
        <v>0</v>
      </c>
      <c r="BH81" s="107">
        <f>IF(A1stdlife="n/a","n/a",IF(BH$3&gt;(A1stdlife+$E81),('PTRM input'!$J$143*(1+rvanilla04)^0.5)-SUM($J81:BG81),('PTRM input'!$J$143*(1+rvanilla04)^0.5)/A1stdlife))</f>
        <v>0</v>
      </c>
      <c r="BI81" s="107">
        <f>IF(A1stdlife="n/a","n/a",IF(BI$3&gt;(A1stdlife+$E81),('PTRM input'!$J$143*(1+rvanilla04)^0.5)-SUM($J81:BH81),('PTRM input'!$J$143*(1+rvanilla04)^0.5)/A1stdlife))</f>
        <v>0</v>
      </c>
      <c r="BJ81" s="237"/>
      <c r="BK81" s="237"/>
      <c r="BL81" s="237"/>
      <c r="BM81" s="237"/>
    </row>
    <row r="82" spans="1:65" s="190" customFormat="1" hidden="1" outlineLevel="2">
      <c r="A82" s="237"/>
      <c r="B82" s="33"/>
      <c r="C82" s="32"/>
      <c r="D82" s="1618"/>
      <c r="E82" s="169">
        <v>5</v>
      </c>
      <c r="F82" s="35"/>
      <c r="G82" s="1409"/>
      <c r="H82" s="186"/>
      <c r="I82" s="186"/>
      <c r="J82" s="186"/>
      <c r="K82" s="185"/>
      <c r="L82" s="107">
        <f>IF(A1stdlife="n/a","n/a",IF(L$3&gt;(A1stdlife+$E82),('PTRM input'!$K$143*(1+rvanilla05)^0.5)-SUM($K82:K82),('PTRM input'!$K$143*(1+rvanilla05)^0.5)/A1stdlife))</f>
        <v>0</v>
      </c>
      <c r="M82" s="107">
        <f>IF(A1stdlife="n/a","n/a",IF(M$3&gt;(A1stdlife+$E82),('PTRM input'!$K$143*(1+rvanilla05)^0.5)-SUM($K82:L82),('PTRM input'!$K$143*(1+rvanilla05)^0.5)/A1stdlife))</f>
        <v>0</v>
      </c>
      <c r="N82" s="107">
        <f>IF(A1stdlife="n/a","n/a",IF(N$3&gt;(A1stdlife+$E82),('PTRM input'!$K$143*(1+rvanilla05)^0.5)-SUM($K82:M82),('PTRM input'!$K$143*(1+rvanilla05)^0.5)/A1stdlife))</f>
        <v>0</v>
      </c>
      <c r="O82" s="107">
        <f>IF(A1stdlife="n/a","n/a",IF(O$3&gt;(A1stdlife+$E82),('PTRM input'!$K$143*(1+rvanilla05)^0.5)-SUM($K82:N82),('PTRM input'!$K$143*(1+rvanilla05)^0.5)/A1stdlife))</f>
        <v>0</v>
      </c>
      <c r="P82" s="107">
        <f>IF(A1stdlife="n/a","n/a",IF(P$3&gt;(A1stdlife+$E82),('PTRM input'!$K$143*(1+rvanilla05)^0.5)-SUM($K82:O82),('PTRM input'!$K$143*(1+rvanilla05)^0.5)/A1stdlife))</f>
        <v>0</v>
      </c>
      <c r="Q82" s="107">
        <f>IF(A1stdlife="n/a","n/a",IF(Q$3&gt;(A1stdlife+$E82),('PTRM input'!$K$143*(1+rvanilla05)^0.5)-SUM($K82:P82),('PTRM input'!$K$143*(1+rvanilla05)^0.5)/A1stdlife))</f>
        <v>0</v>
      </c>
      <c r="R82" s="107">
        <f>IF(A1stdlife="n/a","n/a",IF(R$3&gt;(A1stdlife+$E82),('PTRM input'!$K$143*(1+rvanilla05)^0.5)-SUM($K82:Q82),('PTRM input'!$K$143*(1+rvanilla05)^0.5)/A1stdlife))</f>
        <v>0</v>
      </c>
      <c r="S82" s="107">
        <f>IF(A1stdlife="n/a","n/a",IF(S$3&gt;(A1stdlife+$E82),('PTRM input'!$K$143*(1+rvanilla05)^0.5)-SUM($K82:R82),('PTRM input'!$K$143*(1+rvanilla05)^0.5)/A1stdlife))</f>
        <v>0</v>
      </c>
      <c r="T82" s="107">
        <f>IF(A1stdlife="n/a","n/a",IF(T$3&gt;(A1stdlife+$E82),('PTRM input'!$K$143*(1+rvanilla05)^0.5)-SUM($K82:S82),('PTRM input'!$K$143*(1+rvanilla05)^0.5)/A1stdlife))</f>
        <v>0</v>
      </c>
      <c r="U82" s="107">
        <f>IF(A1stdlife="n/a","n/a",IF(U$3&gt;(A1stdlife+$E82),('PTRM input'!$K$143*(1+rvanilla05)^0.5)-SUM($K82:T82),('PTRM input'!$K$143*(1+rvanilla05)^0.5)/A1stdlife))</f>
        <v>0</v>
      </c>
      <c r="V82" s="107">
        <f>IF(A1stdlife="n/a","n/a",IF(V$3&gt;(A1stdlife+$E82),('PTRM input'!$K$143*(1+rvanilla05)^0.5)-SUM($K82:U82),('PTRM input'!$K$143*(1+rvanilla05)^0.5)/A1stdlife))</f>
        <v>0</v>
      </c>
      <c r="W82" s="107">
        <f>IF(A1stdlife="n/a","n/a",IF(W$3&gt;(A1stdlife+$E82),('PTRM input'!$K$143*(1+rvanilla05)^0.5)-SUM($K82:V82),('PTRM input'!$K$143*(1+rvanilla05)^0.5)/A1stdlife))</f>
        <v>0</v>
      </c>
      <c r="X82" s="107">
        <f>IF(A1stdlife="n/a","n/a",IF(X$3&gt;(A1stdlife+$E82),('PTRM input'!$K$143*(1+rvanilla05)^0.5)-SUM($K82:W82),('PTRM input'!$K$143*(1+rvanilla05)^0.5)/A1stdlife))</f>
        <v>0</v>
      </c>
      <c r="Y82" s="107">
        <f>IF(A1stdlife="n/a","n/a",IF(Y$3&gt;(A1stdlife+$E82),('PTRM input'!$K$143*(1+rvanilla05)^0.5)-SUM($K82:X82),('PTRM input'!$K$143*(1+rvanilla05)^0.5)/A1stdlife))</f>
        <v>0</v>
      </c>
      <c r="Z82" s="107">
        <f>IF(A1stdlife="n/a","n/a",IF(Z$3&gt;(A1stdlife+$E82),('PTRM input'!$K$143*(1+rvanilla05)^0.5)-SUM($K82:Y82),('PTRM input'!$K$143*(1+rvanilla05)^0.5)/A1stdlife))</f>
        <v>0</v>
      </c>
      <c r="AA82" s="107">
        <f>IF(A1stdlife="n/a","n/a",IF(AA$3&gt;(A1stdlife+$E82),('PTRM input'!$K$143*(1+rvanilla05)^0.5)-SUM($K82:Z82),('PTRM input'!$K$143*(1+rvanilla05)^0.5)/A1stdlife))</f>
        <v>0</v>
      </c>
      <c r="AB82" s="107">
        <f>IF(A1stdlife="n/a","n/a",IF(AB$3&gt;(A1stdlife+$E82),('PTRM input'!$K$143*(1+rvanilla05)^0.5)-SUM($K82:AA82),('PTRM input'!$K$143*(1+rvanilla05)^0.5)/A1stdlife))</f>
        <v>0</v>
      </c>
      <c r="AC82" s="107">
        <f>IF(A1stdlife="n/a","n/a",IF(AC$3&gt;(A1stdlife+$E82),('PTRM input'!$K$143*(1+rvanilla05)^0.5)-SUM($K82:AB82),('PTRM input'!$K$143*(1+rvanilla05)^0.5)/A1stdlife))</f>
        <v>0</v>
      </c>
      <c r="AD82" s="107">
        <f>IF(A1stdlife="n/a","n/a",IF(AD$3&gt;(A1stdlife+$E82),('PTRM input'!$K$143*(1+rvanilla05)^0.5)-SUM($K82:AC82),('PTRM input'!$K$143*(1+rvanilla05)^0.5)/A1stdlife))</f>
        <v>0</v>
      </c>
      <c r="AE82" s="107">
        <f>IF(A1stdlife="n/a","n/a",IF(AE$3&gt;(A1stdlife+$E82),('PTRM input'!$K$143*(1+rvanilla05)^0.5)-SUM($K82:AD82),('PTRM input'!$K$143*(1+rvanilla05)^0.5)/A1stdlife))</f>
        <v>0</v>
      </c>
      <c r="AF82" s="107">
        <f>IF(A1stdlife="n/a","n/a",IF(AF$3&gt;(A1stdlife+$E82),('PTRM input'!$K$143*(1+rvanilla05)^0.5)-SUM($K82:AE82),('PTRM input'!$K$143*(1+rvanilla05)^0.5)/A1stdlife))</f>
        <v>0</v>
      </c>
      <c r="AG82" s="107">
        <f>IF(A1stdlife="n/a","n/a",IF(AG$3&gt;(A1stdlife+$E82),('PTRM input'!$K$143*(1+rvanilla05)^0.5)-SUM($K82:AF82),('PTRM input'!$K$143*(1+rvanilla05)^0.5)/A1stdlife))</f>
        <v>0</v>
      </c>
      <c r="AH82" s="107">
        <f>IF(A1stdlife="n/a","n/a",IF(AH$3&gt;(A1stdlife+$E82),('PTRM input'!$K$143*(1+rvanilla05)^0.5)-SUM($K82:AG82),('PTRM input'!$K$143*(1+rvanilla05)^0.5)/A1stdlife))</f>
        <v>0</v>
      </c>
      <c r="AI82" s="107">
        <f>IF(A1stdlife="n/a","n/a",IF(AI$3&gt;(A1stdlife+$E82),('PTRM input'!$K$143*(1+rvanilla05)^0.5)-SUM($K82:AH82),('PTRM input'!$K$143*(1+rvanilla05)^0.5)/A1stdlife))</f>
        <v>0</v>
      </c>
      <c r="AJ82" s="107">
        <f>IF(A1stdlife="n/a","n/a",IF(AJ$3&gt;(A1stdlife+$E82),('PTRM input'!$K$143*(1+rvanilla05)^0.5)-SUM($K82:AI82),('PTRM input'!$K$143*(1+rvanilla05)^0.5)/A1stdlife))</f>
        <v>0</v>
      </c>
      <c r="AK82" s="107">
        <f>IF(A1stdlife="n/a","n/a",IF(AK$3&gt;(A1stdlife+$E82),('PTRM input'!$K$143*(1+rvanilla05)^0.5)-SUM($K82:AJ82),('PTRM input'!$K$143*(1+rvanilla05)^0.5)/A1stdlife))</f>
        <v>0</v>
      </c>
      <c r="AL82" s="107">
        <f>IF(A1stdlife="n/a","n/a",IF(AL$3&gt;(A1stdlife+$E82),('PTRM input'!$K$143*(1+rvanilla05)^0.5)-SUM($K82:AK82),('PTRM input'!$K$143*(1+rvanilla05)^0.5)/A1stdlife))</f>
        <v>0</v>
      </c>
      <c r="AM82" s="107">
        <f>IF(A1stdlife="n/a","n/a",IF(AM$3&gt;(A1stdlife+$E82),('PTRM input'!$K$143*(1+rvanilla05)^0.5)-SUM($K82:AL82),('PTRM input'!$K$143*(1+rvanilla05)^0.5)/A1stdlife))</f>
        <v>0</v>
      </c>
      <c r="AN82" s="107">
        <f>IF(A1stdlife="n/a","n/a",IF(AN$3&gt;(A1stdlife+$E82),('PTRM input'!$K$143*(1+rvanilla05)^0.5)-SUM($K82:AM82),('PTRM input'!$K$143*(1+rvanilla05)^0.5)/A1stdlife))</f>
        <v>0</v>
      </c>
      <c r="AO82" s="107">
        <f>IF(A1stdlife="n/a","n/a",IF(AO$3&gt;(A1stdlife+$E82),('PTRM input'!$K$143*(1+rvanilla05)^0.5)-SUM($K82:AN82),('PTRM input'!$K$143*(1+rvanilla05)^0.5)/A1stdlife))</f>
        <v>0</v>
      </c>
      <c r="AP82" s="107">
        <f>IF(A1stdlife="n/a","n/a",IF(AP$3&gt;(A1stdlife+$E82),('PTRM input'!$K$143*(1+rvanilla05)^0.5)-SUM($K82:AO82),('PTRM input'!$K$143*(1+rvanilla05)^0.5)/A1stdlife))</f>
        <v>0</v>
      </c>
      <c r="AQ82" s="107">
        <f>IF(A1stdlife="n/a","n/a",IF(AQ$3&gt;(A1stdlife+$E82),('PTRM input'!$K$143*(1+rvanilla05)^0.5)-SUM($K82:AP82),('PTRM input'!$K$143*(1+rvanilla05)^0.5)/A1stdlife))</f>
        <v>0</v>
      </c>
      <c r="AR82" s="107">
        <f>IF(A1stdlife="n/a","n/a",IF(AR$3&gt;(A1stdlife+$E82),('PTRM input'!$K$143*(1+rvanilla05)^0.5)-SUM($K82:AQ82),('PTRM input'!$K$143*(1+rvanilla05)^0.5)/A1stdlife))</f>
        <v>0</v>
      </c>
      <c r="AS82" s="107">
        <f>IF(A1stdlife="n/a","n/a",IF(AS$3&gt;(A1stdlife+$E82),('PTRM input'!$K$143*(1+rvanilla05)^0.5)-SUM($K82:AR82),('PTRM input'!$K$143*(1+rvanilla05)^0.5)/A1stdlife))</f>
        <v>0</v>
      </c>
      <c r="AT82" s="107">
        <f>IF(A1stdlife="n/a","n/a",IF(AT$3&gt;(A1stdlife+$E82),('PTRM input'!$K$143*(1+rvanilla05)^0.5)-SUM($K82:AS82),('PTRM input'!$K$143*(1+rvanilla05)^0.5)/A1stdlife))</f>
        <v>0</v>
      </c>
      <c r="AU82" s="107">
        <f>IF(A1stdlife="n/a","n/a",IF(AU$3&gt;(A1stdlife+$E82),('PTRM input'!$K$143*(1+rvanilla05)^0.5)-SUM($K82:AT82),('PTRM input'!$K$143*(1+rvanilla05)^0.5)/A1stdlife))</f>
        <v>0</v>
      </c>
      <c r="AV82" s="107">
        <f>IF(A1stdlife="n/a","n/a",IF(AV$3&gt;(A1stdlife+$E82),('PTRM input'!$K$143*(1+rvanilla05)^0.5)-SUM($K82:AU82),('PTRM input'!$K$143*(1+rvanilla05)^0.5)/A1stdlife))</f>
        <v>0</v>
      </c>
      <c r="AW82" s="107">
        <f>IF(A1stdlife="n/a","n/a",IF(AW$3&gt;(A1stdlife+$E82),('PTRM input'!$K$143*(1+rvanilla05)^0.5)-SUM($K82:AV82),('PTRM input'!$K$143*(1+rvanilla05)^0.5)/A1stdlife))</f>
        <v>0</v>
      </c>
      <c r="AX82" s="107">
        <f>IF(A1stdlife="n/a","n/a",IF(AX$3&gt;(A1stdlife+$E82),('PTRM input'!$K$143*(1+rvanilla05)^0.5)-SUM($K82:AW82),('PTRM input'!$K$143*(1+rvanilla05)^0.5)/A1stdlife))</f>
        <v>0</v>
      </c>
      <c r="AY82" s="107">
        <f>IF(A1stdlife="n/a","n/a",IF(AY$3&gt;(A1stdlife+$E82),('PTRM input'!$K$143*(1+rvanilla05)^0.5)-SUM($K82:AX82),('PTRM input'!$K$143*(1+rvanilla05)^0.5)/A1stdlife))</f>
        <v>0</v>
      </c>
      <c r="AZ82" s="107">
        <f>IF(A1stdlife="n/a","n/a",IF(AZ$3&gt;(A1stdlife+$E82),('PTRM input'!$K$143*(1+rvanilla05)^0.5)-SUM($K82:AY82),('PTRM input'!$K$143*(1+rvanilla05)^0.5)/A1stdlife))</f>
        <v>0</v>
      </c>
      <c r="BA82" s="107">
        <f>IF(A1stdlife="n/a","n/a",IF(BA$3&gt;(A1stdlife+$E82),('PTRM input'!$K$143*(1+rvanilla05)^0.5)-SUM($K82:AZ82),('PTRM input'!$K$143*(1+rvanilla05)^0.5)/A1stdlife))</f>
        <v>0</v>
      </c>
      <c r="BB82" s="107">
        <f>IF(A1stdlife="n/a","n/a",IF(BB$3&gt;(A1stdlife+$E82),('PTRM input'!$K$143*(1+rvanilla05)^0.5)-SUM($K82:BA82),('PTRM input'!$K$143*(1+rvanilla05)^0.5)/A1stdlife))</f>
        <v>0</v>
      </c>
      <c r="BC82" s="107">
        <f>IF(A1stdlife="n/a","n/a",IF(BC$3&gt;(A1stdlife+$E82),('PTRM input'!$K$143*(1+rvanilla05)^0.5)-SUM($K82:BB82),('PTRM input'!$K$143*(1+rvanilla05)^0.5)/A1stdlife))</f>
        <v>0</v>
      </c>
      <c r="BD82" s="107">
        <f>IF(A1stdlife="n/a","n/a",IF(BD$3&gt;(A1stdlife+$E82),('PTRM input'!$K$143*(1+rvanilla05)^0.5)-SUM($K82:BC82),('PTRM input'!$K$143*(1+rvanilla05)^0.5)/A1stdlife))</f>
        <v>0</v>
      </c>
      <c r="BE82" s="107">
        <f>IF(A1stdlife="n/a","n/a",IF(BE$3&gt;(A1stdlife+$E82),('PTRM input'!$K$143*(1+rvanilla05)^0.5)-SUM($K82:BD82),('PTRM input'!$K$143*(1+rvanilla05)^0.5)/A1stdlife))</f>
        <v>0</v>
      </c>
      <c r="BF82" s="107">
        <f>IF(A1stdlife="n/a","n/a",IF(BF$3&gt;(A1stdlife+$E82),('PTRM input'!$K$143*(1+rvanilla05)^0.5)-SUM($K82:BE82),('PTRM input'!$K$143*(1+rvanilla05)^0.5)/A1stdlife))</f>
        <v>0</v>
      </c>
      <c r="BG82" s="107">
        <f>IF(A1stdlife="n/a","n/a",IF(BG$3&gt;(A1stdlife+$E82),('PTRM input'!$K$143*(1+rvanilla05)^0.5)-SUM($K82:BF82),('PTRM input'!$K$143*(1+rvanilla05)^0.5)/A1stdlife))</f>
        <v>0</v>
      </c>
      <c r="BH82" s="107">
        <f>IF(A1stdlife="n/a","n/a",IF(BH$3&gt;(A1stdlife+$E82),('PTRM input'!$K$143*(1+rvanilla05)^0.5)-SUM($K82:BG82),('PTRM input'!$K$143*(1+rvanilla05)^0.5)/A1stdlife))</f>
        <v>0</v>
      </c>
      <c r="BI82" s="107">
        <f>IF(A1stdlife="n/a","n/a",IF(BI$3&gt;(A1stdlife+$E82),('PTRM input'!$K$143*(1+rvanilla05)^0.5)-SUM($K82:BH82),('PTRM input'!$K$143*(1+rvanilla05)^0.5)/A1stdlife))</f>
        <v>0</v>
      </c>
      <c r="BJ82" s="237"/>
      <c r="BK82" s="237"/>
      <c r="BL82" s="237"/>
      <c r="BM82" s="237"/>
    </row>
    <row r="83" spans="1:65" s="190" customFormat="1" hidden="1" outlineLevel="2">
      <c r="A83" s="237"/>
      <c r="B83" s="33"/>
      <c r="C83" s="32"/>
      <c r="D83" s="1618"/>
      <c r="E83" s="169">
        <v>6</v>
      </c>
      <c r="F83" s="35"/>
      <c r="G83" s="1409"/>
      <c r="H83" s="186"/>
      <c r="I83" s="186"/>
      <c r="J83" s="186"/>
      <c r="K83" s="186"/>
      <c r="L83" s="185"/>
      <c r="M83" s="107">
        <f>IF(A1stdlife="n/a","n/a",IF(M$3&gt;(A1stdlife+$E83),('PTRM input'!$L$143*(1+rvanilla06)^0.5)-SUM($L83:L83),('PTRM input'!$L$143*(1+rvanilla06)^0.5)/A1stdlife))</f>
        <v>0</v>
      </c>
      <c r="N83" s="107">
        <f>IF(A1stdlife="n/a","n/a",IF(N$3&gt;(A1stdlife+$E83),('PTRM input'!$L$143*(1+rvanilla06)^0.5)-SUM($L83:M83),('PTRM input'!$L$143*(1+rvanilla06)^0.5)/A1stdlife))</f>
        <v>0</v>
      </c>
      <c r="O83" s="107">
        <f>IF(A1stdlife="n/a","n/a",IF(O$3&gt;(A1stdlife+$E83),('PTRM input'!$L$143*(1+rvanilla06)^0.5)-SUM($L83:N83),('PTRM input'!$L$143*(1+rvanilla06)^0.5)/A1stdlife))</f>
        <v>0</v>
      </c>
      <c r="P83" s="107">
        <f>IF(A1stdlife="n/a","n/a",IF(P$3&gt;(A1stdlife+$E83),('PTRM input'!$L$143*(1+rvanilla06)^0.5)-SUM($L83:O83),('PTRM input'!$L$143*(1+rvanilla06)^0.5)/A1stdlife))</f>
        <v>0</v>
      </c>
      <c r="Q83" s="107">
        <f>IF(A1stdlife="n/a","n/a",IF(Q$3&gt;(A1stdlife+$E83),('PTRM input'!$L$143*(1+rvanilla06)^0.5)-SUM($L83:P83),('PTRM input'!$L$143*(1+rvanilla06)^0.5)/A1stdlife))</f>
        <v>0</v>
      </c>
      <c r="R83" s="107">
        <f>IF(A1stdlife="n/a","n/a",IF(R$3&gt;(A1stdlife+$E83),('PTRM input'!$L$143*(1+rvanilla06)^0.5)-SUM($L83:Q83),('PTRM input'!$L$143*(1+rvanilla06)^0.5)/A1stdlife))</f>
        <v>0</v>
      </c>
      <c r="S83" s="107">
        <f>IF(A1stdlife="n/a","n/a",IF(S$3&gt;(A1stdlife+$E83),('PTRM input'!$L$143*(1+rvanilla06)^0.5)-SUM($L83:R83),('PTRM input'!$L$143*(1+rvanilla06)^0.5)/A1stdlife))</f>
        <v>0</v>
      </c>
      <c r="T83" s="107">
        <f>IF(A1stdlife="n/a","n/a",IF(T$3&gt;(A1stdlife+$E83),('PTRM input'!$L$143*(1+rvanilla06)^0.5)-SUM($L83:S83),('PTRM input'!$L$143*(1+rvanilla06)^0.5)/A1stdlife))</f>
        <v>0</v>
      </c>
      <c r="U83" s="107">
        <f>IF(A1stdlife="n/a","n/a",IF(U$3&gt;(A1stdlife+$E83),('PTRM input'!$L$143*(1+rvanilla06)^0.5)-SUM($L83:T83),('PTRM input'!$L$143*(1+rvanilla06)^0.5)/A1stdlife))</f>
        <v>0</v>
      </c>
      <c r="V83" s="107">
        <f>IF(A1stdlife="n/a","n/a",IF(V$3&gt;(A1stdlife+$E83),('PTRM input'!$L$143*(1+rvanilla06)^0.5)-SUM($L83:U83),('PTRM input'!$L$143*(1+rvanilla06)^0.5)/A1stdlife))</f>
        <v>0</v>
      </c>
      <c r="W83" s="107">
        <f>IF(A1stdlife="n/a","n/a",IF(W$3&gt;(A1stdlife+$E83),('PTRM input'!$L$143*(1+rvanilla06)^0.5)-SUM($L83:V83),('PTRM input'!$L$143*(1+rvanilla06)^0.5)/A1stdlife))</f>
        <v>0</v>
      </c>
      <c r="X83" s="107">
        <f>IF(A1stdlife="n/a","n/a",IF(X$3&gt;(A1stdlife+$E83),('PTRM input'!$L$143*(1+rvanilla06)^0.5)-SUM($L83:W83),('PTRM input'!$L$143*(1+rvanilla06)^0.5)/A1stdlife))</f>
        <v>0</v>
      </c>
      <c r="Y83" s="107">
        <f>IF(A1stdlife="n/a","n/a",IF(Y$3&gt;(A1stdlife+$E83),('PTRM input'!$L$143*(1+rvanilla06)^0.5)-SUM($L83:X83),('PTRM input'!$L$143*(1+rvanilla06)^0.5)/A1stdlife))</f>
        <v>0</v>
      </c>
      <c r="Z83" s="107">
        <f>IF(A1stdlife="n/a","n/a",IF(Z$3&gt;(A1stdlife+$E83),('PTRM input'!$L$143*(1+rvanilla06)^0.5)-SUM($L83:Y83),('PTRM input'!$L$143*(1+rvanilla06)^0.5)/A1stdlife))</f>
        <v>0</v>
      </c>
      <c r="AA83" s="107">
        <f>IF(A1stdlife="n/a","n/a",IF(AA$3&gt;(A1stdlife+$E83),('PTRM input'!$L$143*(1+rvanilla06)^0.5)-SUM($L83:Z83),('PTRM input'!$L$143*(1+rvanilla06)^0.5)/A1stdlife))</f>
        <v>0</v>
      </c>
      <c r="AB83" s="107">
        <f>IF(A1stdlife="n/a","n/a",IF(AB$3&gt;(A1stdlife+$E83),('PTRM input'!$L$143*(1+rvanilla06)^0.5)-SUM($L83:AA83),('PTRM input'!$L$143*(1+rvanilla06)^0.5)/A1stdlife))</f>
        <v>0</v>
      </c>
      <c r="AC83" s="107">
        <f>IF(A1stdlife="n/a","n/a",IF(AC$3&gt;(A1stdlife+$E83),('PTRM input'!$L$143*(1+rvanilla06)^0.5)-SUM($L83:AB83),('PTRM input'!$L$143*(1+rvanilla06)^0.5)/A1stdlife))</f>
        <v>0</v>
      </c>
      <c r="AD83" s="107">
        <f>IF(A1stdlife="n/a","n/a",IF(AD$3&gt;(A1stdlife+$E83),('PTRM input'!$L$143*(1+rvanilla06)^0.5)-SUM($L83:AC83),('PTRM input'!$L$143*(1+rvanilla06)^0.5)/A1stdlife))</f>
        <v>0</v>
      </c>
      <c r="AE83" s="107">
        <f>IF(A1stdlife="n/a","n/a",IF(AE$3&gt;(A1stdlife+$E83),('PTRM input'!$L$143*(1+rvanilla06)^0.5)-SUM($L83:AD83),('PTRM input'!$L$143*(1+rvanilla06)^0.5)/A1stdlife))</f>
        <v>0</v>
      </c>
      <c r="AF83" s="107">
        <f>IF(A1stdlife="n/a","n/a",IF(AF$3&gt;(A1stdlife+$E83),('PTRM input'!$L$143*(1+rvanilla06)^0.5)-SUM($L83:AE83),('PTRM input'!$L$143*(1+rvanilla06)^0.5)/A1stdlife))</f>
        <v>0</v>
      </c>
      <c r="AG83" s="107">
        <f>IF(A1stdlife="n/a","n/a",IF(AG$3&gt;(A1stdlife+$E83),('PTRM input'!$L$143*(1+rvanilla06)^0.5)-SUM($L83:AF83),('PTRM input'!$L$143*(1+rvanilla06)^0.5)/A1stdlife))</f>
        <v>0</v>
      </c>
      <c r="AH83" s="107">
        <f>IF(A1stdlife="n/a","n/a",IF(AH$3&gt;(A1stdlife+$E83),('PTRM input'!$L$143*(1+rvanilla06)^0.5)-SUM($L83:AG83),('PTRM input'!$L$143*(1+rvanilla06)^0.5)/A1stdlife))</f>
        <v>0</v>
      </c>
      <c r="AI83" s="107">
        <f>IF(A1stdlife="n/a","n/a",IF(AI$3&gt;(A1stdlife+$E83),('PTRM input'!$L$143*(1+rvanilla06)^0.5)-SUM($L83:AH83),('PTRM input'!$L$143*(1+rvanilla06)^0.5)/A1stdlife))</f>
        <v>0</v>
      </c>
      <c r="AJ83" s="107">
        <f>IF(A1stdlife="n/a","n/a",IF(AJ$3&gt;(A1stdlife+$E83),('PTRM input'!$L$143*(1+rvanilla06)^0.5)-SUM($L83:AI83),('PTRM input'!$L$143*(1+rvanilla06)^0.5)/A1stdlife))</f>
        <v>0</v>
      </c>
      <c r="AK83" s="107">
        <f>IF(A1stdlife="n/a","n/a",IF(AK$3&gt;(A1stdlife+$E83),('PTRM input'!$L$143*(1+rvanilla06)^0.5)-SUM($L83:AJ83),('PTRM input'!$L$143*(1+rvanilla06)^0.5)/A1stdlife))</f>
        <v>0</v>
      </c>
      <c r="AL83" s="107">
        <f>IF(A1stdlife="n/a","n/a",IF(AL$3&gt;(A1stdlife+$E83),('PTRM input'!$L$143*(1+rvanilla06)^0.5)-SUM($L83:AK83),('PTRM input'!$L$143*(1+rvanilla06)^0.5)/A1stdlife))</f>
        <v>0</v>
      </c>
      <c r="AM83" s="107">
        <f>IF(A1stdlife="n/a","n/a",IF(AM$3&gt;(A1stdlife+$E83),('PTRM input'!$L$143*(1+rvanilla06)^0.5)-SUM($L83:AL83),('PTRM input'!$L$143*(1+rvanilla06)^0.5)/A1stdlife))</f>
        <v>0</v>
      </c>
      <c r="AN83" s="107">
        <f>IF(A1stdlife="n/a","n/a",IF(AN$3&gt;(A1stdlife+$E83),('PTRM input'!$L$143*(1+rvanilla06)^0.5)-SUM($L83:AM83),('PTRM input'!$L$143*(1+rvanilla06)^0.5)/A1stdlife))</f>
        <v>0</v>
      </c>
      <c r="AO83" s="107">
        <f>IF(A1stdlife="n/a","n/a",IF(AO$3&gt;(A1stdlife+$E83),('PTRM input'!$L$143*(1+rvanilla06)^0.5)-SUM($L83:AN83),('PTRM input'!$L$143*(1+rvanilla06)^0.5)/A1stdlife))</f>
        <v>0</v>
      </c>
      <c r="AP83" s="107">
        <f>IF(A1stdlife="n/a","n/a",IF(AP$3&gt;(A1stdlife+$E83),('PTRM input'!$L$143*(1+rvanilla06)^0.5)-SUM($L83:AO83),('PTRM input'!$L$143*(1+rvanilla06)^0.5)/A1stdlife))</f>
        <v>0</v>
      </c>
      <c r="AQ83" s="107">
        <f>IF(A1stdlife="n/a","n/a",IF(AQ$3&gt;(A1stdlife+$E83),('PTRM input'!$L$143*(1+rvanilla06)^0.5)-SUM($L83:AP83),('PTRM input'!$L$143*(1+rvanilla06)^0.5)/A1stdlife))</f>
        <v>0</v>
      </c>
      <c r="AR83" s="107">
        <f>IF(A1stdlife="n/a","n/a",IF(AR$3&gt;(A1stdlife+$E83),('PTRM input'!$L$143*(1+rvanilla06)^0.5)-SUM($L83:AQ83),('PTRM input'!$L$143*(1+rvanilla06)^0.5)/A1stdlife))</f>
        <v>0</v>
      </c>
      <c r="AS83" s="107">
        <f>IF(A1stdlife="n/a","n/a",IF(AS$3&gt;(A1stdlife+$E83),('PTRM input'!$L$143*(1+rvanilla06)^0.5)-SUM($L83:AR83),('PTRM input'!$L$143*(1+rvanilla06)^0.5)/A1stdlife))</f>
        <v>0</v>
      </c>
      <c r="AT83" s="107">
        <f>IF(A1stdlife="n/a","n/a",IF(AT$3&gt;(A1stdlife+$E83),('PTRM input'!$L$143*(1+rvanilla06)^0.5)-SUM($L83:AS83),('PTRM input'!$L$143*(1+rvanilla06)^0.5)/A1stdlife))</f>
        <v>0</v>
      </c>
      <c r="AU83" s="107">
        <f>IF(A1stdlife="n/a","n/a",IF(AU$3&gt;(A1stdlife+$E83),('PTRM input'!$L$143*(1+rvanilla06)^0.5)-SUM($L83:AT83),('PTRM input'!$L$143*(1+rvanilla06)^0.5)/A1stdlife))</f>
        <v>0</v>
      </c>
      <c r="AV83" s="107">
        <f>IF(A1stdlife="n/a","n/a",IF(AV$3&gt;(A1stdlife+$E83),('PTRM input'!$L$143*(1+rvanilla06)^0.5)-SUM($L83:AU83),('PTRM input'!$L$143*(1+rvanilla06)^0.5)/A1stdlife))</f>
        <v>0</v>
      </c>
      <c r="AW83" s="107">
        <f>IF(A1stdlife="n/a","n/a",IF(AW$3&gt;(A1stdlife+$E83),('PTRM input'!$L$143*(1+rvanilla06)^0.5)-SUM($L83:AV83),('PTRM input'!$L$143*(1+rvanilla06)^0.5)/A1stdlife))</f>
        <v>0</v>
      </c>
      <c r="AX83" s="107">
        <f>IF(A1stdlife="n/a","n/a",IF(AX$3&gt;(A1stdlife+$E83),('PTRM input'!$L$143*(1+rvanilla06)^0.5)-SUM($L83:AW83),('PTRM input'!$L$143*(1+rvanilla06)^0.5)/A1stdlife))</f>
        <v>0</v>
      </c>
      <c r="AY83" s="107">
        <f>IF(A1stdlife="n/a","n/a",IF(AY$3&gt;(A1stdlife+$E83),('PTRM input'!$L$143*(1+rvanilla06)^0.5)-SUM($L83:AX83),('PTRM input'!$L$143*(1+rvanilla06)^0.5)/A1stdlife))</f>
        <v>0</v>
      </c>
      <c r="AZ83" s="107">
        <f>IF(A1stdlife="n/a","n/a",IF(AZ$3&gt;(A1stdlife+$E83),('PTRM input'!$L$143*(1+rvanilla06)^0.5)-SUM($L83:AY83),('PTRM input'!$L$143*(1+rvanilla06)^0.5)/A1stdlife))</f>
        <v>0</v>
      </c>
      <c r="BA83" s="107">
        <f>IF(A1stdlife="n/a","n/a",IF(BA$3&gt;(A1stdlife+$E83),('PTRM input'!$L$143*(1+rvanilla06)^0.5)-SUM($L83:AZ83),('PTRM input'!$L$143*(1+rvanilla06)^0.5)/A1stdlife))</f>
        <v>0</v>
      </c>
      <c r="BB83" s="107">
        <f>IF(A1stdlife="n/a","n/a",IF(BB$3&gt;(A1stdlife+$E83),('PTRM input'!$L$143*(1+rvanilla06)^0.5)-SUM($L83:BA83),('PTRM input'!$L$143*(1+rvanilla06)^0.5)/A1stdlife))</f>
        <v>0</v>
      </c>
      <c r="BC83" s="107">
        <f>IF(A1stdlife="n/a","n/a",IF(BC$3&gt;(A1stdlife+$E83),('PTRM input'!$L$143*(1+rvanilla06)^0.5)-SUM($L83:BB83),('PTRM input'!$L$143*(1+rvanilla06)^0.5)/A1stdlife))</f>
        <v>0</v>
      </c>
      <c r="BD83" s="107">
        <f>IF(A1stdlife="n/a","n/a",IF(BD$3&gt;(A1stdlife+$E83),('PTRM input'!$L$143*(1+rvanilla06)^0.5)-SUM($L83:BC83),('PTRM input'!$L$143*(1+rvanilla06)^0.5)/A1stdlife))</f>
        <v>0</v>
      </c>
      <c r="BE83" s="107">
        <f>IF(A1stdlife="n/a","n/a",IF(BE$3&gt;(A1stdlife+$E83),('PTRM input'!$L$143*(1+rvanilla06)^0.5)-SUM($L83:BD83),('PTRM input'!$L$143*(1+rvanilla06)^0.5)/A1stdlife))</f>
        <v>0</v>
      </c>
      <c r="BF83" s="107">
        <f>IF(A1stdlife="n/a","n/a",IF(BF$3&gt;(A1stdlife+$E83),('PTRM input'!$L$143*(1+rvanilla06)^0.5)-SUM($L83:BE83),('PTRM input'!$L$143*(1+rvanilla06)^0.5)/A1stdlife))</f>
        <v>0</v>
      </c>
      <c r="BG83" s="107">
        <f>IF(A1stdlife="n/a","n/a",IF(BG$3&gt;(A1stdlife+$E83),('PTRM input'!$L$143*(1+rvanilla06)^0.5)-SUM($L83:BF83),('PTRM input'!$L$143*(1+rvanilla06)^0.5)/A1stdlife))</f>
        <v>0</v>
      </c>
      <c r="BH83" s="107">
        <f>IF(A1stdlife="n/a","n/a",IF(BH$3&gt;(A1stdlife+$E83),('PTRM input'!$L$143*(1+rvanilla06)^0.5)-SUM($L83:BG83),('PTRM input'!$L$143*(1+rvanilla06)^0.5)/A1stdlife))</f>
        <v>0</v>
      </c>
      <c r="BI83" s="107">
        <f>IF(A1stdlife="n/a","n/a",IF(BI$3&gt;(A1stdlife+$E83),('PTRM input'!$L$143*(1+rvanilla06)^0.5)-SUM($L83:BH83),('PTRM input'!$L$143*(1+rvanilla06)^0.5)/A1stdlife))</f>
        <v>0</v>
      </c>
      <c r="BJ83" s="237"/>
      <c r="BK83" s="237"/>
      <c r="BL83" s="237"/>
      <c r="BM83" s="237"/>
    </row>
    <row r="84" spans="1:65" s="190" customFormat="1" hidden="1" outlineLevel="2">
      <c r="A84" s="237"/>
      <c r="B84" s="33"/>
      <c r="C84" s="32"/>
      <c r="D84" s="1618"/>
      <c r="E84" s="169">
        <v>7</v>
      </c>
      <c r="F84" s="35"/>
      <c r="G84" s="1409"/>
      <c r="H84" s="186"/>
      <c r="I84" s="186"/>
      <c r="J84" s="186"/>
      <c r="K84" s="186"/>
      <c r="L84" s="186"/>
      <c r="M84" s="185"/>
      <c r="N84" s="107">
        <f>IF(A1stdlife="n/a","n/a",IF(N$3&gt;(A1stdlife+$E84),('PTRM input'!$M$143*(1+rvanilla07)^0.5)-SUM($M84:M84),('PTRM input'!$M$143*(1+rvanilla07)^0.5)/A1stdlife))</f>
        <v>0</v>
      </c>
      <c r="O84" s="107">
        <f>IF(A1stdlife="n/a","n/a",IF(O$3&gt;(A1stdlife+$E84),('PTRM input'!$M$143*(1+rvanilla07)^0.5)-SUM($M84:N84),('PTRM input'!$M$143*(1+rvanilla07)^0.5)/A1stdlife))</f>
        <v>0</v>
      </c>
      <c r="P84" s="107">
        <f>IF(A1stdlife="n/a","n/a",IF(P$3&gt;(A1stdlife+$E84),('PTRM input'!$M$143*(1+rvanilla07)^0.5)-SUM($M84:O84),('PTRM input'!$M$143*(1+rvanilla07)^0.5)/A1stdlife))</f>
        <v>0</v>
      </c>
      <c r="Q84" s="107">
        <f>IF(A1stdlife="n/a","n/a",IF(Q$3&gt;(A1stdlife+$E84),('PTRM input'!$M$143*(1+rvanilla07)^0.5)-SUM($M84:P84),('PTRM input'!$M$143*(1+rvanilla07)^0.5)/A1stdlife))</f>
        <v>0</v>
      </c>
      <c r="R84" s="107">
        <f>IF(A1stdlife="n/a","n/a",IF(R$3&gt;(A1stdlife+$E84),('PTRM input'!$M$143*(1+rvanilla07)^0.5)-SUM($M84:Q84),('PTRM input'!$M$143*(1+rvanilla07)^0.5)/A1stdlife))</f>
        <v>0</v>
      </c>
      <c r="S84" s="107">
        <f>IF(A1stdlife="n/a","n/a",IF(S$3&gt;(A1stdlife+$E84),('PTRM input'!$M$143*(1+rvanilla07)^0.5)-SUM($M84:R84),('PTRM input'!$M$143*(1+rvanilla07)^0.5)/A1stdlife))</f>
        <v>0</v>
      </c>
      <c r="T84" s="107">
        <f>IF(A1stdlife="n/a","n/a",IF(T$3&gt;(A1stdlife+$E84),('PTRM input'!$M$143*(1+rvanilla07)^0.5)-SUM($M84:S84),('PTRM input'!$M$143*(1+rvanilla07)^0.5)/A1stdlife))</f>
        <v>0</v>
      </c>
      <c r="U84" s="107">
        <f>IF(A1stdlife="n/a","n/a",IF(U$3&gt;(A1stdlife+$E84),('PTRM input'!$M$143*(1+rvanilla07)^0.5)-SUM($M84:T84),('PTRM input'!$M$143*(1+rvanilla07)^0.5)/A1stdlife))</f>
        <v>0</v>
      </c>
      <c r="V84" s="107">
        <f>IF(A1stdlife="n/a","n/a",IF(V$3&gt;(A1stdlife+$E84),('PTRM input'!$M$143*(1+rvanilla07)^0.5)-SUM($M84:U84),('PTRM input'!$M$143*(1+rvanilla07)^0.5)/A1stdlife))</f>
        <v>0</v>
      </c>
      <c r="W84" s="107">
        <f>IF(A1stdlife="n/a","n/a",IF(W$3&gt;(A1stdlife+$E84),('PTRM input'!$M$143*(1+rvanilla07)^0.5)-SUM($M84:V84),('PTRM input'!$M$143*(1+rvanilla07)^0.5)/A1stdlife))</f>
        <v>0</v>
      </c>
      <c r="X84" s="107">
        <f>IF(A1stdlife="n/a","n/a",IF(X$3&gt;(A1stdlife+$E84),('PTRM input'!$M$143*(1+rvanilla07)^0.5)-SUM($M84:W84),('PTRM input'!$M$143*(1+rvanilla07)^0.5)/A1stdlife))</f>
        <v>0</v>
      </c>
      <c r="Y84" s="107">
        <f>IF(A1stdlife="n/a","n/a",IF(Y$3&gt;(A1stdlife+$E84),('PTRM input'!$M$143*(1+rvanilla07)^0.5)-SUM($M84:X84),('PTRM input'!$M$143*(1+rvanilla07)^0.5)/A1stdlife))</f>
        <v>0</v>
      </c>
      <c r="Z84" s="107">
        <f>IF(A1stdlife="n/a","n/a",IF(Z$3&gt;(A1stdlife+$E84),('PTRM input'!$M$143*(1+rvanilla07)^0.5)-SUM($M84:Y84),('PTRM input'!$M$143*(1+rvanilla07)^0.5)/A1stdlife))</f>
        <v>0</v>
      </c>
      <c r="AA84" s="107">
        <f>IF(A1stdlife="n/a","n/a",IF(AA$3&gt;(A1stdlife+$E84),('PTRM input'!$M$143*(1+rvanilla07)^0.5)-SUM($M84:Z84),('PTRM input'!$M$143*(1+rvanilla07)^0.5)/A1stdlife))</f>
        <v>0</v>
      </c>
      <c r="AB84" s="107">
        <f>IF(A1stdlife="n/a","n/a",IF(AB$3&gt;(A1stdlife+$E84),('PTRM input'!$M$143*(1+rvanilla07)^0.5)-SUM($M84:AA84),('PTRM input'!$M$143*(1+rvanilla07)^0.5)/A1stdlife))</f>
        <v>0</v>
      </c>
      <c r="AC84" s="107">
        <f>IF(A1stdlife="n/a","n/a",IF(AC$3&gt;(A1stdlife+$E84),('PTRM input'!$M$143*(1+rvanilla07)^0.5)-SUM($M84:AB84),('PTRM input'!$M$143*(1+rvanilla07)^0.5)/A1stdlife))</f>
        <v>0</v>
      </c>
      <c r="AD84" s="107">
        <f>IF(A1stdlife="n/a","n/a",IF(AD$3&gt;(A1stdlife+$E84),('PTRM input'!$M$143*(1+rvanilla07)^0.5)-SUM($M84:AC84),('PTRM input'!$M$143*(1+rvanilla07)^0.5)/A1stdlife))</f>
        <v>0</v>
      </c>
      <c r="AE84" s="107">
        <f>IF(A1stdlife="n/a","n/a",IF(AE$3&gt;(A1stdlife+$E84),('PTRM input'!$M$143*(1+rvanilla07)^0.5)-SUM($M84:AD84),('PTRM input'!$M$143*(1+rvanilla07)^0.5)/A1stdlife))</f>
        <v>0</v>
      </c>
      <c r="AF84" s="107">
        <f>IF(A1stdlife="n/a","n/a",IF(AF$3&gt;(A1stdlife+$E84),('PTRM input'!$M$143*(1+rvanilla07)^0.5)-SUM($M84:AE84),('PTRM input'!$M$143*(1+rvanilla07)^0.5)/A1stdlife))</f>
        <v>0</v>
      </c>
      <c r="AG84" s="107">
        <f>IF(A1stdlife="n/a","n/a",IF(AG$3&gt;(A1stdlife+$E84),('PTRM input'!$M$143*(1+rvanilla07)^0.5)-SUM($M84:AF84),('PTRM input'!$M$143*(1+rvanilla07)^0.5)/A1stdlife))</f>
        <v>0</v>
      </c>
      <c r="AH84" s="107">
        <f>IF(A1stdlife="n/a","n/a",IF(AH$3&gt;(A1stdlife+$E84),('PTRM input'!$M$143*(1+rvanilla07)^0.5)-SUM($M84:AG84),('PTRM input'!$M$143*(1+rvanilla07)^0.5)/A1stdlife))</f>
        <v>0</v>
      </c>
      <c r="AI84" s="107">
        <f>IF(A1stdlife="n/a","n/a",IF(AI$3&gt;(A1stdlife+$E84),('PTRM input'!$M$143*(1+rvanilla07)^0.5)-SUM($M84:AH84),('PTRM input'!$M$143*(1+rvanilla07)^0.5)/A1stdlife))</f>
        <v>0</v>
      </c>
      <c r="AJ84" s="107">
        <f>IF(A1stdlife="n/a","n/a",IF(AJ$3&gt;(A1stdlife+$E84),('PTRM input'!$M$143*(1+rvanilla07)^0.5)-SUM($M84:AI84),('PTRM input'!$M$143*(1+rvanilla07)^0.5)/A1stdlife))</f>
        <v>0</v>
      </c>
      <c r="AK84" s="107">
        <f>IF(A1stdlife="n/a","n/a",IF(AK$3&gt;(A1stdlife+$E84),('PTRM input'!$M$143*(1+rvanilla07)^0.5)-SUM($M84:AJ84),('PTRM input'!$M$143*(1+rvanilla07)^0.5)/A1stdlife))</f>
        <v>0</v>
      </c>
      <c r="AL84" s="107">
        <f>IF(A1stdlife="n/a","n/a",IF(AL$3&gt;(A1stdlife+$E84),('PTRM input'!$M$143*(1+rvanilla07)^0.5)-SUM($M84:AK84),('PTRM input'!$M$143*(1+rvanilla07)^0.5)/A1stdlife))</f>
        <v>0</v>
      </c>
      <c r="AM84" s="107">
        <f>IF(A1stdlife="n/a","n/a",IF(AM$3&gt;(A1stdlife+$E84),('PTRM input'!$M$143*(1+rvanilla07)^0.5)-SUM($M84:AL84),('PTRM input'!$M$143*(1+rvanilla07)^0.5)/A1stdlife))</f>
        <v>0</v>
      </c>
      <c r="AN84" s="107">
        <f>IF(A1stdlife="n/a","n/a",IF(AN$3&gt;(A1stdlife+$E84),('PTRM input'!$M$143*(1+rvanilla07)^0.5)-SUM($M84:AM84),('PTRM input'!$M$143*(1+rvanilla07)^0.5)/A1stdlife))</f>
        <v>0</v>
      </c>
      <c r="AO84" s="107">
        <f>IF(A1stdlife="n/a","n/a",IF(AO$3&gt;(A1stdlife+$E84),('PTRM input'!$M$143*(1+rvanilla07)^0.5)-SUM($M84:AN84),('PTRM input'!$M$143*(1+rvanilla07)^0.5)/A1stdlife))</f>
        <v>0</v>
      </c>
      <c r="AP84" s="107">
        <f>IF(A1stdlife="n/a","n/a",IF(AP$3&gt;(A1stdlife+$E84),('PTRM input'!$M$143*(1+rvanilla07)^0.5)-SUM($M84:AO84),('PTRM input'!$M$143*(1+rvanilla07)^0.5)/A1stdlife))</f>
        <v>0</v>
      </c>
      <c r="AQ84" s="107">
        <f>IF(A1stdlife="n/a","n/a",IF(AQ$3&gt;(A1stdlife+$E84),('PTRM input'!$M$143*(1+rvanilla07)^0.5)-SUM($M84:AP84),('PTRM input'!$M$143*(1+rvanilla07)^0.5)/A1stdlife))</f>
        <v>0</v>
      </c>
      <c r="AR84" s="107">
        <f>IF(A1stdlife="n/a","n/a",IF(AR$3&gt;(A1stdlife+$E84),('PTRM input'!$M$143*(1+rvanilla07)^0.5)-SUM($M84:AQ84),('PTRM input'!$M$143*(1+rvanilla07)^0.5)/A1stdlife))</f>
        <v>0</v>
      </c>
      <c r="AS84" s="107">
        <f>IF(A1stdlife="n/a","n/a",IF(AS$3&gt;(A1stdlife+$E84),('PTRM input'!$M$143*(1+rvanilla07)^0.5)-SUM($M84:AR84),('PTRM input'!$M$143*(1+rvanilla07)^0.5)/A1stdlife))</f>
        <v>0</v>
      </c>
      <c r="AT84" s="107">
        <f>IF(A1stdlife="n/a","n/a",IF(AT$3&gt;(A1stdlife+$E84),('PTRM input'!$M$143*(1+rvanilla07)^0.5)-SUM($M84:AS84),('PTRM input'!$M$143*(1+rvanilla07)^0.5)/A1stdlife))</f>
        <v>0</v>
      </c>
      <c r="AU84" s="107">
        <f>IF(A1stdlife="n/a","n/a",IF(AU$3&gt;(A1stdlife+$E84),('PTRM input'!$M$143*(1+rvanilla07)^0.5)-SUM($M84:AT84),('PTRM input'!$M$143*(1+rvanilla07)^0.5)/A1stdlife))</f>
        <v>0</v>
      </c>
      <c r="AV84" s="107">
        <f>IF(A1stdlife="n/a","n/a",IF(AV$3&gt;(A1stdlife+$E84),('PTRM input'!$M$143*(1+rvanilla07)^0.5)-SUM($M84:AU84),('PTRM input'!$M$143*(1+rvanilla07)^0.5)/A1stdlife))</f>
        <v>0</v>
      </c>
      <c r="AW84" s="107">
        <f>IF(A1stdlife="n/a","n/a",IF(AW$3&gt;(A1stdlife+$E84),('PTRM input'!$M$143*(1+rvanilla07)^0.5)-SUM($M84:AV84),('PTRM input'!$M$143*(1+rvanilla07)^0.5)/A1stdlife))</f>
        <v>0</v>
      </c>
      <c r="AX84" s="107">
        <f>IF(A1stdlife="n/a","n/a",IF(AX$3&gt;(A1stdlife+$E84),('PTRM input'!$M$143*(1+rvanilla07)^0.5)-SUM($M84:AW84),('PTRM input'!$M$143*(1+rvanilla07)^0.5)/A1stdlife))</f>
        <v>0</v>
      </c>
      <c r="AY84" s="107">
        <f>IF(A1stdlife="n/a","n/a",IF(AY$3&gt;(A1stdlife+$E84),('PTRM input'!$M$143*(1+rvanilla07)^0.5)-SUM($M84:AX84),('PTRM input'!$M$143*(1+rvanilla07)^0.5)/A1stdlife))</f>
        <v>0</v>
      </c>
      <c r="AZ84" s="107">
        <f>IF(A1stdlife="n/a","n/a",IF(AZ$3&gt;(A1stdlife+$E84),('PTRM input'!$M$143*(1+rvanilla07)^0.5)-SUM($M84:AY84),('PTRM input'!$M$143*(1+rvanilla07)^0.5)/A1stdlife))</f>
        <v>0</v>
      </c>
      <c r="BA84" s="107">
        <f>IF(A1stdlife="n/a","n/a",IF(BA$3&gt;(A1stdlife+$E84),('PTRM input'!$M$143*(1+rvanilla07)^0.5)-SUM($M84:AZ84),('PTRM input'!$M$143*(1+rvanilla07)^0.5)/A1stdlife))</f>
        <v>0</v>
      </c>
      <c r="BB84" s="107">
        <f>IF(A1stdlife="n/a","n/a",IF(BB$3&gt;(A1stdlife+$E84),('PTRM input'!$M$143*(1+rvanilla07)^0.5)-SUM($M84:BA84),('PTRM input'!$M$143*(1+rvanilla07)^0.5)/A1stdlife))</f>
        <v>0</v>
      </c>
      <c r="BC84" s="107">
        <f>IF(A1stdlife="n/a","n/a",IF(BC$3&gt;(A1stdlife+$E84),('PTRM input'!$M$143*(1+rvanilla07)^0.5)-SUM($M84:BB84),('PTRM input'!$M$143*(1+rvanilla07)^0.5)/A1stdlife))</f>
        <v>0</v>
      </c>
      <c r="BD84" s="107">
        <f>IF(A1stdlife="n/a","n/a",IF(BD$3&gt;(A1stdlife+$E84),('PTRM input'!$M$143*(1+rvanilla07)^0.5)-SUM($M84:BC84),('PTRM input'!$M$143*(1+rvanilla07)^0.5)/A1stdlife))</f>
        <v>0</v>
      </c>
      <c r="BE84" s="107">
        <f>IF(A1stdlife="n/a","n/a",IF(BE$3&gt;(A1stdlife+$E84),('PTRM input'!$M$143*(1+rvanilla07)^0.5)-SUM($M84:BD84),('PTRM input'!$M$143*(1+rvanilla07)^0.5)/A1stdlife))</f>
        <v>0</v>
      </c>
      <c r="BF84" s="107">
        <f>IF(A1stdlife="n/a","n/a",IF(BF$3&gt;(A1stdlife+$E84),('PTRM input'!$M$143*(1+rvanilla07)^0.5)-SUM($M84:BE84),('PTRM input'!$M$143*(1+rvanilla07)^0.5)/A1stdlife))</f>
        <v>0</v>
      </c>
      <c r="BG84" s="107">
        <f>IF(A1stdlife="n/a","n/a",IF(BG$3&gt;(A1stdlife+$E84),('PTRM input'!$M$143*(1+rvanilla07)^0.5)-SUM($M84:BF84),('PTRM input'!$M$143*(1+rvanilla07)^0.5)/A1stdlife))</f>
        <v>0</v>
      </c>
      <c r="BH84" s="107">
        <f>IF(A1stdlife="n/a","n/a",IF(BH$3&gt;(A1stdlife+$E84),('PTRM input'!$M$143*(1+rvanilla07)^0.5)-SUM($M84:BG84),('PTRM input'!$M$143*(1+rvanilla07)^0.5)/A1stdlife))</f>
        <v>0</v>
      </c>
      <c r="BI84" s="107">
        <f>IF(A1stdlife="n/a","n/a",IF(BI$3&gt;(A1stdlife+$E84),('PTRM input'!$M$143*(1+rvanilla07)^0.5)-SUM($M84:BH84),('PTRM input'!$M$143*(1+rvanilla07)^0.5)/A1stdlife))</f>
        <v>0</v>
      </c>
      <c r="BJ84" s="559"/>
      <c r="BK84" s="237"/>
      <c r="BL84" s="237"/>
      <c r="BM84" s="237"/>
    </row>
    <row r="85" spans="1:65" s="190" customFormat="1" hidden="1" outlineLevel="2">
      <c r="A85" s="237"/>
      <c r="B85" s="33"/>
      <c r="C85" s="32"/>
      <c r="D85" s="1618"/>
      <c r="E85" s="169">
        <v>8</v>
      </c>
      <c r="F85" s="35"/>
      <c r="G85" s="1409"/>
      <c r="H85" s="186"/>
      <c r="I85" s="186"/>
      <c r="J85" s="186"/>
      <c r="K85" s="186"/>
      <c r="L85" s="186"/>
      <c r="M85" s="186"/>
      <c r="N85" s="185"/>
      <c r="O85" s="107">
        <f>IF(A1stdlife="n/a","n/a",IF(O$3&gt;(A1stdlife+$E85),('PTRM input'!$N$143*(1+rvanilla08)^0.5)-SUM($N85:N85),('PTRM input'!$N$143*(1+rvanilla08)^0.5)/A1stdlife))</f>
        <v>0</v>
      </c>
      <c r="P85" s="107">
        <f>IF(A1stdlife="n/a","n/a",IF(P$3&gt;(A1stdlife+$E85),('PTRM input'!$N$143*(1+rvanilla08)^0.5)-SUM($N85:O85),('PTRM input'!$N$143*(1+rvanilla08)^0.5)/A1stdlife))</f>
        <v>0</v>
      </c>
      <c r="Q85" s="107">
        <f>IF(A1stdlife="n/a","n/a",IF(Q$3&gt;(A1stdlife+$E85),('PTRM input'!$N$143*(1+rvanilla08)^0.5)-SUM($N85:P85),('PTRM input'!$N$143*(1+rvanilla08)^0.5)/A1stdlife))</f>
        <v>0</v>
      </c>
      <c r="R85" s="107">
        <f>IF(A1stdlife="n/a","n/a",IF(R$3&gt;(A1stdlife+$E85),('PTRM input'!$N$143*(1+rvanilla08)^0.5)-SUM($N85:Q85),('PTRM input'!$N$143*(1+rvanilla08)^0.5)/A1stdlife))</f>
        <v>0</v>
      </c>
      <c r="S85" s="107">
        <f>IF(A1stdlife="n/a","n/a",IF(S$3&gt;(A1stdlife+$E85),('PTRM input'!$N$143*(1+rvanilla08)^0.5)-SUM($N85:R85),('PTRM input'!$N$143*(1+rvanilla08)^0.5)/A1stdlife))</f>
        <v>0</v>
      </c>
      <c r="T85" s="107">
        <f>IF(A1stdlife="n/a","n/a",IF(T$3&gt;(A1stdlife+$E85),('PTRM input'!$N$143*(1+rvanilla08)^0.5)-SUM($N85:S85),('PTRM input'!$N$143*(1+rvanilla08)^0.5)/A1stdlife))</f>
        <v>0</v>
      </c>
      <c r="U85" s="107">
        <f>IF(A1stdlife="n/a","n/a",IF(U$3&gt;(A1stdlife+$E85),('PTRM input'!$N$143*(1+rvanilla08)^0.5)-SUM($N85:T85),('PTRM input'!$N$143*(1+rvanilla08)^0.5)/A1stdlife))</f>
        <v>0</v>
      </c>
      <c r="V85" s="107">
        <f>IF(A1stdlife="n/a","n/a",IF(V$3&gt;(A1stdlife+$E85),('PTRM input'!$N$143*(1+rvanilla08)^0.5)-SUM($N85:U85),('PTRM input'!$N$143*(1+rvanilla08)^0.5)/A1stdlife))</f>
        <v>0</v>
      </c>
      <c r="W85" s="107">
        <f>IF(A1stdlife="n/a","n/a",IF(W$3&gt;(A1stdlife+$E85),('PTRM input'!$N$143*(1+rvanilla08)^0.5)-SUM($N85:V85),('PTRM input'!$N$143*(1+rvanilla08)^0.5)/A1stdlife))</f>
        <v>0</v>
      </c>
      <c r="X85" s="107">
        <f>IF(A1stdlife="n/a","n/a",IF(X$3&gt;(A1stdlife+$E85),('PTRM input'!$N$143*(1+rvanilla08)^0.5)-SUM($N85:W85),('PTRM input'!$N$143*(1+rvanilla08)^0.5)/A1stdlife))</f>
        <v>0</v>
      </c>
      <c r="Y85" s="107">
        <f>IF(A1stdlife="n/a","n/a",IF(Y$3&gt;(A1stdlife+$E85),('PTRM input'!$N$143*(1+rvanilla08)^0.5)-SUM($N85:X85),('PTRM input'!$N$143*(1+rvanilla08)^0.5)/A1stdlife))</f>
        <v>0</v>
      </c>
      <c r="Z85" s="107">
        <f>IF(A1stdlife="n/a","n/a",IF(Z$3&gt;(A1stdlife+$E85),('PTRM input'!$N$143*(1+rvanilla08)^0.5)-SUM($N85:Y85),('PTRM input'!$N$143*(1+rvanilla08)^0.5)/A1stdlife))</f>
        <v>0</v>
      </c>
      <c r="AA85" s="107">
        <f>IF(A1stdlife="n/a","n/a",IF(AA$3&gt;(A1stdlife+$E85),('PTRM input'!$N$143*(1+rvanilla08)^0.5)-SUM($N85:Z85),('PTRM input'!$N$143*(1+rvanilla08)^0.5)/A1stdlife))</f>
        <v>0</v>
      </c>
      <c r="AB85" s="107">
        <f>IF(A1stdlife="n/a","n/a",IF(AB$3&gt;(A1stdlife+$E85),('PTRM input'!$N$143*(1+rvanilla08)^0.5)-SUM($N85:AA85),('PTRM input'!$N$143*(1+rvanilla08)^0.5)/A1stdlife))</f>
        <v>0</v>
      </c>
      <c r="AC85" s="107">
        <f>IF(A1stdlife="n/a","n/a",IF(AC$3&gt;(A1stdlife+$E85),('PTRM input'!$N$143*(1+rvanilla08)^0.5)-SUM($N85:AB85),('PTRM input'!$N$143*(1+rvanilla08)^0.5)/A1stdlife))</f>
        <v>0</v>
      </c>
      <c r="AD85" s="107">
        <f>IF(A1stdlife="n/a","n/a",IF(AD$3&gt;(A1stdlife+$E85),('PTRM input'!$N$143*(1+rvanilla08)^0.5)-SUM($N85:AC85),('PTRM input'!$N$143*(1+rvanilla08)^0.5)/A1stdlife))</f>
        <v>0</v>
      </c>
      <c r="AE85" s="107">
        <f>IF(A1stdlife="n/a","n/a",IF(AE$3&gt;(A1stdlife+$E85),('PTRM input'!$N$143*(1+rvanilla08)^0.5)-SUM($N85:AD85),('PTRM input'!$N$143*(1+rvanilla08)^0.5)/A1stdlife))</f>
        <v>0</v>
      </c>
      <c r="AF85" s="107">
        <f>IF(A1stdlife="n/a","n/a",IF(AF$3&gt;(A1stdlife+$E85),('PTRM input'!$N$143*(1+rvanilla08)^0.5)-SUM($N85:AE85),('PTRM input'!$N$143*(1+rvanilla08)^0.5)/A1stdlife))</f>
        <v>0</v>
      </c>
      <c r="AG85" s="107">
        <f>IF(A1stdlife="n/a","n/a",IF(AG$3&gt;(A1stdlife+$E85),('PTRM input'!$N$143*(1+rvanilla08)^0.5)-SUM($N85:AF85),('PTRM input'!$N$143*(1+rvanilla08)^0.5)/A1stdlife))</f>
        <v>0</v>
      </c>
      <c r="AH85" s="107">
        <f>IF(A1stdlife="n/a","n/a",IF(AH$3&gt;(A1stdlife+$E85),('PTRM input'!$N$143*(1+rvanilla08)^0.5)-SUM($N85:AG85),('PTRM input'!$N$143*(1+rvanilla08)^0.5)/A1stdlife))</f>
        <v>0</v>
      </c>
      <c r="AI85" s="107">
        <f>IF(A1stdlife="n/a","n/a",IF(AI$3&gt;(A1stdlife+$E85),('PTRM input'!$N$143*(1+rvanilla08)^0.5)-SUM($N85:AH85),('PTRM input'!$N$143*(1+rvanilla08)^0.5)/A1stdlife))</f>
        <v>0</v>
      </c>
      <c r="AJ85" s="107">
        <f>IF(A1stdlife="n/a","n/a",IF(AJ$3&gt;(A1stdlife+$E85),('PTRM input'!$N$143*(1+rvanilla08)^0.5)-SUM($N85:AI85),('PTRM input'!$N$143*(1+rvanilla08)^0.5)/A1stdlife))</f>
        <v>0</v>
      </c>
      <c r="AK85" s="107">
        <f>IF(A1stdlife="n/a","n/a",IF(AK$3&gt;(A1stdlife+$E85),('PTRM input'!$N$143*(1+rvanilla08)^0.5)-SUM($N85:AJ85),('PTRM input'!$N$143*(1+rvanilla08)^0.5)/A1stdlife))</f>
        <v>0</v>
      </c>
      <c r="AL85" s="107">
        <f>IF(A1stdlife="n/a","n/a",IF(AL$3&gt;(A1stdlife+$E85),('PTRM input'!$N$143*(1+rvanilla08)^0.5)-SUM($N85:AK85),('PTRM input'!$N$143*(1+rvanilla08)^0.5)/A1stdlife))</f>
        <v>0</v>
      </c>
      <c r="AM85" s="107">
        <f>IF(A1stdlife="n/a","n/a",IF(AM$3&gt;(A1stdlife+$E85),('PTRM input'!$N$143*(1+rvanilla08)^0.5)-SUM($N85:AL85),('PTRM input'!$N$143*(1+rvanilla08)^0.5)/A1stdlife))</f>
        <v>0</v>
      </c>
      <c r="AN85" s="107">
        <f>IF(A1stdlife="n/a","n/a",IF(AN$3&gt;(A1stdlife+$E85),('PTRM input'!$N$143*(1+rvanilla08)^0.5)-SUM($N85:AM85),('PTRM input'!$N$143*(1+rvanilla08)^0.5)/A1stdlife))</f>
        <v>0</v>
      </c>
      <c r="AO85" s="107">
        <f>IF(A1stdlife="n/a","n/a",IF(AO$3&gt;(A1stdlife+$E85),('PTRM input'!$N$143*(1+rvanilla08)^0.5)-SUM($N85:AN85),('PTRM input'!$N$143*(1+rvanilla08)^0.5)/A1stdlife))</f>
        <v>0</v>
      </c>
      <c r="AP85" s="107">
        <f>IF(A1stdlife="n/a","n/a",IF(AP$3&gt;(A1stdlife+$E85),('PTRM input'!$N$143*(1+rvanilla08)^0.5)-SUM($N85:AO85),('PTRM input'!$N$143*(1+rvanilla08)^0.5)/A1stdlife))</f>
        <v>0</v>
      </c>
      <c r="AQ85" s="107">
        <f>IF(A1stdlife="n/a","n/a",IF(AQ$3&gt;(A1stdlife+$E85),('PTRM input'!$N$143*(1+rvanilla08)^0.5)-SUM($N85:AP85),('PTRM input'!$N$143*(1+rvanilla08)^0.5)/A1stdlife))</f>
        <v>0</v>
      </c>
      <c r="AR85" s="107">
        <f>IF(A1stdlife="n/a","n/a",IF(AR$3&gt;(A1stdlife+$E85),('PTRM input'!$N$143*(1+rvanilla08)^0.5)-SUM($N85:AQ85),('PTRM input'!$N$143*(1+rvanilla08)^0.5)/A1stdlife))</f>
        <v>0</v>
      </c>
      <c r="AS85" s="107">
        <f>IF(A1stdlife="n/a","n/a",IF(AS$3&gt;(A1stdlife+$E85),('PTRM input'!$N$143*(1+rvanilla08)^0.5)-SUM($N85:AR85),('PTRM input'!$N$143*(1+rvanilla08)^0.5)/A1stdlife))</f>
        <v>0</v>
      </c>
      <c r="AT85" s="107">
        <f>IF(A1stdlife="n/a","n/a",IF(AT$3&gt;(A1stdlife+$E85),('PTRM input'!$N$143*(1+rvanilla08)^0.5)-SUM($N85:AS85),('PTRM input'!$N$143*(1+rvanilla08)^0.5)/A1stdlife))</f>
        <v>0</v>
      </c>
      <c r="AU85" s="107">
        <f>IF(A1stdlife="n/a","n/a",IF(AU$3&gt;(A1stdlife+$E85),('PTRM input'!$N$143*(1+rvanilla08)^0.5)-SUM($N85:AT85),('PTRM input'!$N$143*(1+rvanilla08)^0.5)/A1stdlife))</f>
        <v>0</v>
      </c>
      <c r="AV85" s="107">
        <f>IF(A1stdlife="n/a","n/a",IF(AV$3&gt;(A1stdlife+$E85),('PTRM input'!$N$143*(1+rvanilla08)^0.5)-SUM($N85:AU85),('PTRM input'!$N$143*(1+rvanilla08)^0.5)/A1stdlife))</f>
        <v>0</v>
      </c>
      <c r="AW85" s="107">
        <f>IF(A1stdlife="n/a","n/a",IF(AW$3&gt;(A1stdlife+$E85),('PTRM input'!$N$143*(1+rvanilla08)^0.5)-SUM($N85:AV85),('PTRM input'!$N$143*(1+rvanilla08)^0.5)/A1stdlife))</f>
        <v>0</v>
      </c>
      <c r="AX85" s="107">
        <f>IF(A1stdlife="n/a","n/a",IF(AX$3&gt;(A1stdlife+$E85),('PTRM input'!$N$143*(1+rvanilla08)^0.5)-SUM($N85:AW85),('PTRM input'!$N$143*(1+rvanilla08)^0.5)/A1stdlife))</f>
        <v>0</v>
      </c>
      <c r="AY85" s="107">
        <f>IF(A1stdlife="n/a","n/a",IF(AY$3&gt;(A1stdlife+$E85),('PTRM input'!$N$143*(1+rvanilla08)^0.5)-SUM($N85:AX85),('PTRM input'!$N$143*(1+rvanilla08)^0.5)/A1stdlife))</f>
        <v>0</v>
      </c>
      <c r="AZ85" s="107">
        <f>IF(A1stdlife="n/a","n/a",IF(AZ$3&gt;(A1stdlife+$E85),('PTRM input'!$N$143*(1+rvanilla08)^0.5)-SUM($N85:AY85),('PTRM input'!$N$143*(1+rvanilla08)^0.5)/A1stdlife))</f>
        <v>0</v>
      </c>
      <c r="BA85" s="107">
        <f>IF(A1stdlife="n/a","n/a",IF(BA$3&gt;(A1stdlife+$E85),('PTRM input'!$N$143*(1+rvanilla08)^0.5)-SUM($N85:AZ85),('PTRM input'!$N$143*(1+rvanilla08)^0.5)/A1stdlife))</f>
        <v>0</v>
      </c>
      <c r="BB85" s="107">
        <f>IF(A1stdlife="n/a","n/a",IF(BB$3&gt;(A1stdlife+$E85),('PTRM input'!$N$143*(1+rvanilla08)^0.5)-SUM($N85:BA85),('PTRM input'!$N$143*(1+rvanilla08)^0.5)/A1stdlife))</f>
        <v>0</v>
      </c>
      <c r="BC85" s="107">
        <f>IF(A1stdlife="n/a","n/a",IF(BC$3&gt;(A1stdlife+$E85),('PTRM input'!$N$143*(1+rvanilla08)^0.5)-SUM($N85:BB85),('PTRM input'!$N$143*(1+rvanilla08)^0.5)/A1stdlife))</f>
        <v>0</v>
      </c>
      <c r="BD85" s="107">
        <f>IF(A1stdlife="n/a","n/a",IF(BD$3&gt;(A1stdlife+$E85),('PTRM input'!$N$143*(1+rvanilla08)^0.5)-SUM($N85:BC85),('PTRM input'!$N$143*(1+rvanilla08)^0.5)/A1stdlife))</f>
        <v>0</v>
      </c>
      <c r="BE85" s="107">
        <f>IF(A1stdlife="n/a","n/a",IF(BE$3&gt;(A1stdlife+$E85),('PTRM input'!$N$143*(1+rvanilla08)^0.5)-SUM($N85:BD85),('PTRM input'!$N$143*(1+rvanilla08)^0.5)/A1stdlife))</f>
        <v>0</v>
      </c>
      <c r="BF85" s="107">
        <f>IF(A1stdlife="n/a","n/a",IF(BF$3&gt;(A1stdlife+$E85),('PTRM input'!$N$143*(1+rvanilla08)^0.5)-SUM($N85:BE85),('PTRM input'!$N$143*(1+rvanilla08)^0.5)/A1stdlife))</f>
        <v>0</v>
      </c>
      <c r="BG85" s="107">
        <f>IF(A1stdlife="n/a","n/a",IF(BG$3&gt;(A1stdlife+$E85),('PTRM input'!$N$143*(1+rvanilla08)^0.5)-SUM($N85:BF85),('PTRM input'!$N$143*(1+rvanilla08)^0.5)/A1stdlife))</f>
        <v>0</v>
      </c>
      <c r="BH85" s="107">
        <f>IF(A1stdlife="n/a","n/a",IF(BH$3&gt;(A1stdlife+$E85),('PTRM input'!$N$143*(1+rvanilla08)^0.5)-SUM($N85:BG85),('PTRM input'!$N$143*(1+rvanilla08)^0.5)/A1stdlife))</f>
        <v>0</v>
      </c>
      <c r="BI85" s="107">
        <f>IF(A1stdlife="n/a","n/a",IF(BI$3&gt;(A1stdlife+$E85),('PTRM input'!$N$143*(1+rvanilla08)^0.5)-SUM($N85:BH85),('PTRM input'!$N$143*(1+rvanilla08)^0.5)/A1stdlife))</f>
        <v>0</v>
      </c>
      <c r="BJ85" s="237"/>
      <c r="BK85" s="237"/>
      <c r="BL85" s="237"/>
      <c r="BM85" s="237"/>
    </row>
    <row r="86" spans="1:65" s="190" customFormat="1" hidden="1" outlineLevel="2">
      <c r="A86" s="237"/>
      <c r="B86" s="33"/>
      <c r="C86" s="32"/>
      <c r="D86" s="1618"/>
      <c r="E86" s="169">
        <v>9</v>
      </c>
      <c r="F86" s="35"/>
      <c r="G86" s="1409"/>
      <c r="H86" s="186"/>
      <c r="I86" s="186"/>
      <c r="J86" s="186"/>
      <c r="K86" s="186"/>
      <c r="L86" s="186"/>
      <c r="M86" s="186"/>
      <c r="N86" s="186"/>
      <c r="O86" s="185"/>
      <c r="P86" s="107">
        <f>IF(A1stdlife="n/a","n/a",IF(P$3&gt;(A1stdlife+$E86),('PTRM input'!$O$143*(1+rvanilla09)^0.5)-SUM($O86:O86),('PTRM input'!$O$143*(1+rvanilla09)^0.5)/A1stdlife))</f>
        <v>0</v>
      </c>
      <c r="Q86" s="107">
        <f>IF(A1stdlife="n/a","n/a",IF(Q$3&gt;(A1stdlife+$E86),('PTRM input'!$O$143*(1+rvanilla09)^0.5)-SUM($O86:P86),('PTRM input'!$O$143*(1+rvanilla09)^0.5)/A1stdlife))</f>
        <v>0</v>
      </c>
      <c r="R86" s="107">
        <f>IF(A1stdlife="n/a","n/a",IF(R$3&gt;(A1stdlife+$E86),('PTRM input'!$O$143*(1+rvanilla09)^0.5)-SUM($O86:Q86),('PTRM input'!$O$143*(1+rvanilla09)^0.5)/A1stdlife))</f>
        <v>0</v>
      </c>
      <c r="S86" s="107">
        <f>IF(A1stdlife="n/a","n/a",IF(S$3&gt;(A1stdlife+$E86),('PTRM input'!$O$143*(1+rvanilla09)^0.5)-SUM($O86:R86),('PTRM input'!$O$143*(1+rvanilla09)^0.5)/A1stdlife))</f>
        <v>0</v>
      </c>
      <c r="T86" s="107">
        <f>IF(A1stdlife="n/a","n/a",IF(T$3&gt;(A1stdlife+$E86),('PTRM input'!$O$143*(1+rvanilla09)^0.5)-SUM($O86:S86),('PTRM input'!$O$143*(1+rvanilla09)^0.5)/A1stdlife))</f>
        <v>0</v>
      </c>
      <c r="U86" s="107">
        <f>IF(A1stdlife="n/a","n/a",IF(U$3&gt;(A1stdlife+$E86),('PTRM input'!$O$143*(1+rvanilla09)^0.5)-SUM($O86:T86),('PTRM input'!$O$143*(1+rvanilla09)^0.5)/A1stdlife))</f>
        <v>0</v>
      </c>
      <c r="V86" s="107">
        <f>IF(A1stdlife="n/a","n/a",IF(V$3&gt;(A1stdlife+$E86),('PTRM input'!$O$143*(1+rvanilla09)^0.5)-SUM($O86:U86),('PTRM input'!$O$143*(1+rvanilla09)^0.5)/A1stdlife))</f>
        <v>0</v>
      </c>
      <c r="W86" s="107">
        <f>IF(A1stdlife="n/a","n/a",IF(W$3&gt;(A1stdlife+$E86),('PTRM input'!$O$143*(1+rvanilla09)^0.5)-SUM($O86:V86),('PTRM input'!$O$143*(1+rvanilla09)^0.5)/A1stdlife))</f>
        <v>0</v>
      </c>
      <c r="X86" s="107">
        <f>IF(A1stdlife="n/a","n/a",IF(X$3&gt;(A1stdlife+$E86),('PTRM input'!$O$143*(1+rvanilla09)^0.5)-SUM($O86:W86),('PTRM input'!$O$143*(1+rvanilla09)^0.5)/A1stdlife))</f>
        <v>0</v>
      </c>
      <c r="Y86" s="107">
        <f>IF(A1stdlife="n/a","n/a",IF(Y$3&gt;(A1stdlife+$E86),('PTRM input'!$O$143*(1+rvanilla09)^0.5)-SUM($O86:X86),('PTRM input'!$O$143*(1+rvanilla09)^0.5)/A1stdlife))</f>
        <v>0</v>
      </c>
      <c r="Z86" s="107">
        <f>IF(A1stdlife="n/a","n/a",IF(Z$3&gt;(A1stdlife+$E86),('PTRM input'!$O$143*(1+rvanilla09)^0.5)-SUM($O86:Y86),('PTRM input'!$O$143*(1+rvanilla09)^0.5)/A1stdlife))</f>
        <v>0</v>
      </c>
      <c r="AA86" s="107">
        <f>IF(A1stdlife="n/a","n/a",IF(AA$3&gt;(A1stdlife+$E86),('PTRM input'!$O$143*(1+rvanilla09)^0.5)-SUM($O86:Z86),('PTRM input'!$O$143*(1+rvanilla09)^0.5)/A1stdlife))</f>
        <v>0</v>
      </c>
      <c r="AB86" s="107">
        <f>IF(A1stdlife="n/a","n/a",IF(AB$3&gt;(A1stdlife+$E86),('PTRM input'!$O$143*(1+rvanilla09)^0.5)-SUM($O86:AA86),('PTRM input'!$O$143*(1+rvanilla09)^0.5)/A1stdlife))</f>
        <v>0</v>
      </c>
      <c r="AC86" s="107">
        <f>IF(A1stdlife="n/a","n/a",IF(AC$3&gt;(A1stdlife+$E86),('PTRM input'!$O$143*(1+rvanilla09)^0.5)-SUM($O86:AB86),('PTRM input'!$O$143*(1+rvanilla09)^0.5)/A1stdlife))</f>
        <v>0</v>
      </c>
      <c r="AD86" s="107">
        <f>IF(A1stdlife="n/a","n/a",IF(AD$3&gt;(A1stdlife+$E86),('PTRM input'!$O$143*(1+rvanilla09)^0.5)-SUM($O86:AC86),('PTRM input'!$O$143*(1+rvanilla09)^0.5)/A1stdlife))</f>
        <v>0</v>
      </c>
      <c r="AE86" s="107">
        <f>IF(A1stdlife="n/a","n/a",IF(AE$3&gt;(A1stdlife+$E86),('PTRM input'!$O$143*(1+rvanilla09)^0.5)-SUM($O86:AD86),('PTRM input'!$O$143*(1+rvanilla09)^0.5)/A1stdlife))</f>
        <v>0</v>
      </c>
      <c r="AF86" s="107">
        <f>IF(A1stdlife="n/a","n/a",IF(AF$3&gt;(A1stdlife+$E86),('PTRM input'!$O$143*(1+rvanilla09)^0.5)-SUM($O86:AE86),('PTRM input'!$O$143*(1+rvanilla09)^0.5)/A1stdlife))</f>
        <v>0</v>
      </c>
      <c r="AG86" s="107">
        <f>IF(A1stdlife="n/a","n/a",IF(AG$3&gt;(A1stdlife+$E86),('PTRM input'!$O$143*(1+rvanilla09)^0.5)-SUM($O86:AF86),('PTRM input'!$O$143*(1+rvanilla09)^0.5)/A1stdlife))</f>
        <v>0</v>
      </c>
      <c r="AH86" s="107">
        <f>IF(A1stdlife="n/a","n/a",IF(AH$3&gt;(A1stdlife+$E86),('PTRM input'!$O$143*(1+rvanilla09)^0.5)-SUM($O86:AG86),('PTRM input'!$O$143*(1+rvanilla09)^0.5)/A1stdlife))</f>
        <v>0</v>
      </c>
      <c r="AI86" s="107">
        <f>IF(A1stdlife="n/a","n/a",IF(AI$3&gt;(A1stdlife+$E86),('PTRM input'!$O$143*(1+rvanilla09)^0.5)-SUM($O86:AH86),('PTRM input'!$O$143*(1+rvanilla09)^0.5)/A1stdlife))</f>
        <v>0</v>
      </c>
      <c r="AJ86" s="107">
        <f>IF(A1stdlife="n/a","n/a",IF(AJ$3&gt;(A1stdlife+$E86),('PTRM input'!$O$143*(1+rvanilla09)^0.5)-SUM($O86:AI86),('PTRM input'!$O$143*(1+rvanilla09)^0.5)/A1stdlife))</f>
        <v>0</v>
      </c>
      <c r="AK86" s="107">
        <f>IF(A1stdlife="n/a","n/a",IF(AK$3&gt;(A1stdlife+$E86),('PTRM input'!$O$143*(1+rvanilla09)^0.5)-SUM($O86:AJ86),('PTRM input'!$O$143*(1+rvanilla09)^0.5)/A1stdlife))</f>
        <v>0</v>
      </c>
      <c r="AL86" s="107">
        <f>IF(A1stdlife="n/a","n/a",IF(AL$3&gt;(A1stdlife+$E86),('PTRM input'!$O$143*(1+rvanilla09)^0.5)-SUM($O86:AK86),('PTRM input'!$O$143*(1+rvanilla09)^0.5)/A1stdlife))</f>
        <v>0</v>
      </c>
      <c r="AM86" s="107">
        <f>IF(A1stdlife="n/a","n/a",IF(AM$3&gt;(A1stdlife+$E86),('PTRM input'!$O$143*(1+rvanilla09)^0.5)-SUM($O86:AL86),('PTRM input'!$O$143*(1+rvanilla09)^0.5)/A1stdlife))</f>
        <v>0</v>
      </c>
      <c r="AN86" s="107">
        <f>IF(A1stdlife="n/a","n/a",IF(AN$3&gt;(A1stdlife+$E86),('PTRM input'!$O$143*(1+rvanilla09)^0.5)-SUM($O86:AM86),('PTRM input'!$O$143*(1+rvanilla09)^0.5)/A1stdlife))</f>
        <v>0</v>
      </c>
      <c r="AO86" s="107">
        <f>IF(A1stdlife="n/a","n/a",IF(AO$3&gt;(A1stdlife+$E86),('PTRM input'!$O$143*(1+rvanilla09)^0.5)-SUM($O86:AN86),('PTRM input'!$O$143*(1+rvanilla09)^0.5)/A1stdlife))</f>
        <v>0</v>
      </c>
      <c r="AP86" s="107">
        <f>IF(A1stdlife="n/a","n/a",IF(AP$3&gt;(A1stdlife+$E86),('PTRM input'!$O$143*(1+rvanilla09)^0.5)-SUM($O86:AO86),('PTRM input'!$O$143*(1+rvanilla09)^0.5)/A1stdlife))</f>
        <v>0</v>
      </c>
      <c r="AQ86" s="107">
        <f>IF(A1stdlife="n/a","n/a",IF(AQ$3&gt;(A1stdlife+$E86),('PTRM input'!$O$143*(1+rvanilla09)^0.5)-SUM($O86:AP86),('PTRM input'!$O$143*(1+rvanilla09)^0.5)/A1stdlife))</f>
        <v>0</v>
      </c>
      <c r="AR86" s="107">
        <f>IF(A1stdlife="n/a","n/a",IF(AR$3&gt;(A1stdlife+$E86),('PTRM input'!$O$143*(1+rvanilla09)^0.5)-SUM($O86:AQ86),('PTRM input'!$O$143*(1+rvanilla09)^0.5)/A1stdlife))</f>
        <v>0</v>
      </c>
      <c r="AS86" s="107">
        <f>IF(A1stdlife="n/a","n/a",IF(AS$3&gt;(A1stdlife+$E86),('PTRM input'!$O$143*(1+rvanilla09)^0.5)-SUM($O86:AR86),('PTRM input'!$O$143*(1+rvanilla09)^0.5)/A1stdlife))</f>
        <v>0</v>
      </c>
      <c r="AT86" s="107">
        <f>IF(A1stdlife="n/a","n/a",IF(AT$3&gt;(A1stdlife+$E86),('PTRM input'!$O$143*(1+rvanilla09)^0.5)-SUM($O86:AS86),('PTRM input'!$O$143*(1+rvanilla09)^0.5)/A1stdlife))</f>
        <v>0</v>
      </c>
      <c r="AU86" s="107">
        <f>IF(A1stdlife="n/a","n/a",IF(AU$3&gt;(A1stdlife+$E86),('PTRM input'!$O$143*(1+rvanilla09)^0.5)-SUM($O86:AT86),('PTRM input'!$O$143*(1+rvanilla09)^0.5)/A1stdlife))</f>
        <v>0</v>
      </c>
      <c r="AV86" s="107">
        <f>IF(A1stdlife="n/a","n/a",IF(AV$3&gt;(A1stdlife+$E86),('PTRM input'!$O$143*(1+rvanilla09)^0.5)-SUM($O86:AU86),('PTRM input'!$O$143*(1+rvanilla09)^0.5)/A1stdlife))</f>
        <v>0</v>
      </c>
      <c r="AW86" s="107">
        <f>IF(A1stdlife="n/a","n/a",IF(AW$3&gt;(A1stdlife+$E86),('PTRM input'!$O$143*(1+rvanilla09)^0.5)-SUM($O86:AV86),('PTRM input'!$O$143*(1+rvanilla09)^0.5)/A1stdlife))</f>
        <v>0</v>
      </c>
      <c r="AX86" s="107">
        <f>IF(A1stdlife="n/a","n/a",IF(AX$3&gt;(A1stdlife+$E86),('PTRM input'!$O$143*(1+rvanilla09)^0.5)-SUM($O86:AW86),('PTRM input'!$O$143*(1+rvanilla09)^0.5)/A1stdlife))</f>
        <v>0</v>
      </c>
      <c r="AY86" s="107">
        <f>IF(A1stdlife="n/a","n/a",IF(AY$3&gt;(A1stdlife+$E86),('PTRM input'!$O$143*(1+rvanilla09)^0.5)-SUM($O86:AX86),('PTRM input'!$O$143*(1+rvanilla09)^0.5)/A1stdlife))</f>
        <v>0</v>
      </c>
      <c r="AZ86" s="107">
        <f>IF(A1stdlife="n/a","n/a",IF(AZ$3&gt;(A1stdlife+$E86),('PTRM input'!$O$143*(1+rvanilla09)^0.5)-SUM($O86:AY86),('PTRM input'!$O$143*(1+rvanilla09)^0.5)/A1stdlife))</f>
        <v>0</v>
      </c>
      <c r="BA86" s="107">
        <f>IF(A1stdlife="n/a","n/a",IF(BA$3&gt;(A1stdlife+$E86),('PTRM input'!$O$143*(1+rvanilla09)^0.5)-SUM($O86:AZ86),('PTRM input'!$O$143*(1+rvanilla09)^0.5)/A1stdlife))</f>
        <v>0</v>
      </c>
      <c r="BB86" s="107">
        <f>IF(A1stdlife="n/a","n/a",IF(BB$3&gt;(A1stdlife+$E86),('PTRM input'!$O$143*(1+rvanilla09)^0.5)-SUM($O86:BA86),('PTRM input'!$O$143*(1+rvanilla09)^0.5)/A1stdlife))</f>
        <v>0</v>
      </c>
      <c r="BC86" s="107">
        <f>IF(A1stdlife="n/a","n/a",IF(BC$3&gt;(A1stdlife+$E86),('PTRM input'!$O$143*(1+rvanilla09)^0.5)-SUM($O86:BB86),('PTRM input'!$O$143*(1+rvanilla09)^0.5)/A1stdlife))</f>
        <v>0</v>
      </c>
      <c r="BD86" s="107">
        <f>IF(A1stdlife="n/a","n/a",IF(BD$3&gt;(A1stdlife+$E86),('PTRM input'!$O$143*(1+rvanilla09)^0.5)-SUM($O86:BC86),('PTRM input'!$O$143*(1+rvanilla09)^0.5)/A1stdlife))</f>
        <v>0</v>
      </c>
      <c r="BE86" s="107">
        <f>IF(A1stdlife="n/a","n/a",IF(BE$3&gt;(A1stdlife+$E86),('PTRM input'!$O$143*(1+rvanilla09)^0.5)-SUM($O86:BD86),('PTRM input'!$O$143*(1+rvanilla09)^0.5)/A1stdlife))</f>
        <v>0</v>
      </c>
      <c r="BF86" s="107">
        <f>IF(A1stdlife="n/a","n/a",IF(BF$3&gt;(A1stdlife+$E86),('PTRM input'!$O$143*(1+rvanilla09)^0.5)-SUM($O86:BE86),('PTRM input'!$O$143*(1+rvanilla09)^0.5)/A1stdlife))</f>
        <v>0</v>
      </c>
      <c r="BG86" s="107">
        <f>IF(A1stdlife="n/a","n/a",IF(BG$3&gt;(A1stdlife+$E86),('PTRM input'!$O$143*(1+rvanilla09)^0.5)-SUM($O86:BF86),('PTRM input'!$O$143*(1+rvanilla09)^0.5)/A1stdlife))</f>
        <v>0</v>
      </c>
      <c r="BH86" s="107">
        <f>IF(A1stdlife="n/a","n/a",IF(BH$3&gt;(A1stdlife+$E86),('PTRM input'!$O$143*(1+rvanilla09)^0.5)-SUM($O86:BG86),('PTRM input'!$O$143*(1+rvanilla09)^0.5)/A1stdlife))</f>
        <v>0</v>
      </c>
      <c r="BI86" s="107">
        <f>IF(A1stdlife="n/a","n/a",IF(BI$3&gt;(A1stdlife+$E86),('PTRM input'!$O$143*(1+rvanilla09)^0.5)-SUM($O86:BH86),('PTRM input'!$O$143*(1+rvanilla09)^0.5)/A1stdlife))</f>
        <v>0</v>
      </c>
      <c r="BJ86" s="237"/>
      <c r="BK86" s="237"/>
      <c r="BL86" s="237"/>
      <c r="BM86" s="237"/>
    </row>
    <row r="87" spans="1:65" s="190" customFormat="1" hidden="1" outlineLevel="2">
      <c r="A87" s="237"/>
      <c r="B87" s="18"/>
      <c r="C87" s="32"/>
      <c r="D87" s="1618"/>
      <c r="E87" s="170">
        <v>10</v>
      </c>
      <c r="F87" s="35"/>
      <c r="G87" s="1409"/>
      <c r="H87" s="186"/>
      <c r="I87" s="186"/>
      <c r="J87" s="186"/>
      <c r="K87" s="186"/>
      <c r="L87" s="186"/>
      <c r="M87" s="186"/>
      <c r="N87" s="186"/>
      <c r="O87" s="186"/>
      <c r="P87" s="185"/>
      <c r="Q87" s="107">
        <f>IF(A1stdlife="n/a","n/a",IF(Q$3&gt;(A1stdlife+$E87),('PTRM input'!$P$143*(1+rvanilla10)^0.5)-SUM($P87:P87),('PTRM input'!$P$143*(1+rvanilla10)^0.5)/A1stdlife))</f>
        <v>0</v>
      </c>
      <c r="R87" s="107">
        <f>IF(A1stdlife="n/a","n/a",IF(R$3&gt;(A1stdlife+$E87),('PTRM input'!$P$143*(1+rvanilla10)^0.5)-SUM($P87:Q87),('PTRM input'!$P$143*(1+rvanilla10)^0.5)/A1stdlife))</f>
        <v>0</v>
      </c>
      <c r="S87" s="107">
        <f>IF(A1stdlife="n/a","n/a",IF(S$3&gt;(A1stdlife+$E87),('PTRM input'!$P$143*(1+rvanilla10)^0.5)-SUM($P87:R87),('PTRM input'!$P$143*(1+rvanilla10)^0.5)/A1stdlife))</f>
        <v>0</v>
      </c>
      <c r="T87" s="107">
        <f>IF(A1stdlife="n/a","n/a",IF(T$3&gt;(A1stdlife+$E87),('PTRM input'!$P$143*(1+rvanilla10)^0.5)-SUM($P87:S87),('PTRM input'!$P$143*(1+rvanilla10)^0.5)/A1stdlife))</f>
        <v>0</v>
      </c>
      <c r="U87" s="107">
        <f>IF(A1stdlife="n/a","n/a",IF(U$3&gt;(A1stdlife+$E87),('PTRM input'!$P$143*(1+rvanilla10)^0.5)-SUM($P87:T87),('PTRM input'!$P$143*(1+rvanilla10)^0.5)/A1stdlife))</f>
        <v>0</v>
      </c>
      <c r="V87" s="107">
        <f>IF(A1stdlife="n/a","n/a",IF(V$3&gt;(A1stdlife+$E87),('PTRM input'!$P$143*(1+rvanilla10)^0.5)-SUM($P87:U87),('PTRM input'!$P$143*(1+rvanilla10)^0.5)/A1stdlife))</f>
        <v>0</v>
      </c>
      <c r="W87" s="107">
        <f>IF(A1stdlife="n/a","n/a",IF(W$3&gt;(A1stdlife+$E87),('PTRM input'!$P$143*(1+rvanilla10)^0.5)-SUM($P87:V87),('PTRM input'!$P$143*(1+rvanilla10)^0.5)/A1stdlife))</f>
        <v>0</v>
      </c>
      <c r="X87" s="107">
        <f>IF(A1stdlife="n/a","n/a",IF(X$3&gt;(A1stdlife+$E87),('PTRM input'!$P$143*(1+rvanilla10)^0.5)-SUM($P87:W87),('PTRM input'!$P$143*(1+rvanilla10)^0.5)/A1stdlife))</f>
        <v>0</v>
      </c>
      <c r="Y87" s="107">
        <f>IF(A1stdlife="n/a","n/a",IF(Y$3&gt;(A1stdlife+$E87),('PTRM input'!$P$143*(1+rvanilla10)^0.5)-SUM($P87:X87),('PTRM input'!$P$143*(1+rvanilla10)^0.5)/A1stdlife))</f>
        <v>0</v>
      </c>
      <c r="Z87" s="107">
        <f>IF(A1stdlife="n/a","n/a",IF(Z$3&gt;(A1stdlife+$E87),('PTRM input'!$P$143*(1+rvanilla10)^0.5)-SUM($P87:Y87),('PTRM input'!$P$143*(1+rvanilla10)^0.5)/A1stdlife))</f>
        <v>0</v>
      </c>
      <c r="AA87" s="107">
        <f>IF(A1stdlife="n/a","n/a",IF(AA$3&gt;(A1stdlife+$E87),('PTRM input'!$P$143*(1+rvanilla10)^0.5)-SUM($P87:Z87),('PTRM input'!$P$143*(1+rvanilla10)^0.5)/A1stdlife))</f>
        <v>0</v>
      </c>
      <c r="AB87" s="107">
        <f>IF(A1stdlife="n/a","n/a",IF(AB$3&gt;(A1stdlife+$E87),('PTRM input'!$P$143*(1+rvanilla10)^0.5)-SUM($P87:AA87),('PTRM input'!$P$143*(1+rvanilla10)^0.5)/A1stdlife))</f>
        <v>0</v>
      </c>
      <c r="AC87" s="107">
        <f>IF(A1stdlife="n/a","n/a",IF(AC$3&gt;(A1stdlife+$E87),('PTRM input'!$P$143*(1+rvanilla10)^0.5)-SUM($P87:AB87),('PTRM input'!$P$143*(1+rvanilla10)^0.5)/A1stdlife))</f>
        <v>0</v>
      </c>
      <c r="AD87" s="107">
        <f>IF(A1stdlife="n/a","n/a",IF(AD$3&gt;(A1stdlife+$E87),('PTRM input'!$P$143*(1+rvanilla10)^0.5)-SUM($P87:AC87),('PTRM input'!$P$143*(1+rvanilla10)^0.5)/A1stdlife))</f>
        <v>0</v>
      </c>
      <c r="AE87" s="107">
        <f>IF(A1stdlife="n/a","n/a",IF(AE$3&gt;(A1stdlife+$E87),('PTRM input'!$P$143*(1+rvanilla10)^0.5)-SUM($P87:AD87),('PTRM input'!$P$143*(1+rvanilla10)^0.5)/A1stdlife))</f>
        <v>0</v>
      </c>
      <c r="AF87" s="107">
        <f>IF(A1stdlife="n/a","n/a",IF(AF$3&gt;(A1stdlife+$E87),('PTRM input'!$P$143*(1+rvanilla10)^0.5)-SUM($P87:AE87),('PTRM input'!$P$143*(1+rvanilla10)^0.5)/A1stdlife))</f>
        <v>0</v>
      </c>
      <c r="AG87" s="107">
        <f>IF(A1stdlife="n/a","n/a",IF(AG$3&gt;(A1stdlife+$E87),('PTRM input'!$P$143*(1+rvanilla10)^0.5)-SUM($P87:AF87),('PTRM input'!$P$143*(1+rvanilla10)^0.5)/A1stdlife))</f>
        <v>0</v>
      </c>
      <c r="AH87" s="107">
        <f>IF(A1stdlife="n/a","n/a",IF(AH$3&gt;(A1stdlife+$E87),('PTRM input'!$P$143*(1+rvanilla10)^0.5)-SUM($P87:AG87),('PTRM input'!$P$143*(1+rvanilla10)^0.5)/A1stdlife))</f>
        <v>0</v>
      </c>
      <c r="AI87" s="107">
        <f>IF(A1stdlife="n/a","n/a",IF(AI$3&gt;(A1stdlife+$E87),('PTRM input'!$P$143*(1+rvanilla10)^0.5)-SUM($P87:AH87),('PTRM input'!$P$143*(1+rvanilla10)^0.5)/A1stdlife))</f>
        <v>0</v>
      </c>
      <c r="AJ87" s="107">
        <f>IF(A1stdlife="n/a","n/a",IF(AJ$3&gt;(A1stdlife+$E87),('PTRM input'!$P$143*(1+rvanilla10)^0.5)-SUM($P87:AI87),('PTRM input'!$P$143*(1+rvanilla10)^0.5)/A1stdlife))</f>
        <v>0</v>
      </c>
      <c r="AK87" s="107">
        <f>IF(A1stdlife="n/a","n/a",IF(AK$3&gt;(A1stdlife+$E87),('PTRM input'!$P$143*(1+rvanilla10)^0.5)-SUM($P87:AJ87),('PTRM input'!$P$143*(1+rvanilla10)^0.5)/A1stdlife))</f>
        <v>0</v>
      </c>
      <c r="AL87" s="107">
        <f>IF(A1stdlife="n/a","n/a",IF(AL$3&gt;(A1stdlife+$E87),('PTRM input'!$P$143*(1+rvanilla10)^0.5)-SUM($P87:AK87),('PTRM input'!$P$143*(1+rvanilla10)^0.5)/A1stdlife))</f>
        <v>0</v>
      </c>
      <c r="AM87" s="107">
        <f>IF(A1stdlife="n/a","n/a",IF(AM$3&gt;(A1stdlife+$E87),('PTRM input'!$P$143*(1+rvanilla10)^0.5)-SUM($P87:AL87),('PTRM input'!$P$143*(1+rvanilla10)^0.5)/A1stdlife))</f>
        <v>0</v>
      </c>
      <c r="AN87" s="107">
        <f>IF(A1stdlife="n/a","n/a",IF(AN$3&gt;(A1stdlife+$E87),('PTRM input'!$P$143*(1+rvanilla10)^0.5)-SUM($P87:AM87),('PTRM input'!$P$143*(1+rvanilla10)^0.5)/A1stdlife))</f>
        <v>0</v>
      </c>
      <c r="AO87" s="107">
        <f>IF(A1stdlife="n/a","n/a",IF(AO$3&gt;(A1stdlife+$E87),('PTRM input'!$P$143*(1+rvanilla10)^0.5)-SUM($P87:AN87),('PTRM input'!$P$143*(1+rvanilla10)^0.5)/A1stdlife))</f>
        <v>0</v>
      </c>
      <c r="AP87" s="107">
        <f>IF(A1stdlife="n/a","n/a",IF(AP$3&gt;(A1stdlife+$E87),('PTRM input'!$P$143*(1+rvanilla10)^0.5)-SUM($P87:AO87),('PTRM input'!$P$143*(1+rvanilla10)^0.5)/A1stdlife))</f>
        <v>0</v>
      </c>
      <c r="AQ87" s="107">
        <f>IF(A1stdlife="n/a","n/a",IF(AQ$3&gt;(A1stdlife+$E87),('PTRM input'!$P$143*(1+rvanilla10)^0.5)-SUM($P87:AP87),('PTRM input'!$P$143*(1+rvanilla10)^0.5)/A1stdlife))</f>
        <v>0</v>
      </c>
      <c r="AR87" s="107">
        <f>IF(A1stdlife="n/a","n/a",IF(AR$3&gt;(A1stdlife+$E87),('PTRM input'!$P$143*(1+rvanilla10)^0.5)-SUM($P87:AQ87),('PTRM input'!$P$143*(1+rvanilla10)^0.5)/A1stdlife))</f>
        <v>0</v>
      </c>
      <c r="AS87" s="107">
        <f>IF(A1stdlife="n/a","n/a",IF(AS$3&gt;(A1stdlife+$E87),('PTRM input'!$P$143*(1+rvanilla10)^0.5)-SUM($P87:AR87),('PTRM input'!$P$143*(1+rvanilla10)^0.5)/A1stdlife))</f>
        <v>0</v>
      </c>
      <c r="AT87" s="107">
        <f>IF(A1stdlife="n/a","n/a",IF(AT$3&gt;(A1stdlife+$E87),('PTRM input'!$P$143*(1+rvanilla10)^0.5)-SUM($P87:AS87),('PTRM input'!$P$143*(1+rvanilla10)^0.5)/A1stdlife))</f>
        <v>0</v>
      </c>
      <c r="AU87" s="107">
        <f>IF(A1stdlife="n/a","n/a",IF(AU$3&gt;(A1stdlife+$E87),('PTRM input'!$P$143*(1+rvanilla10)^0.5)-SUM($P87:AT87),('PTRM input'!$P$143*(1+rvanilla10)^0.5)/A1stdlife))</f>
        <v>0</v>
      </c>
      <c r="AV87" s="107">
        <f>IF(A1stdlife="n/a","n/a",IF(AV$3&gt;(A1stdlife+$E87),('PTRM input'!$P$143*(1+rvanilla10)^0.5)-SUM($P87:AU87),('PTRM input'!$P$143*(1+rvanilla10)^0.5)/A1stdlife))</f>
        <v>0</v>
      </c>
      <c r="AW87" s="107">
        <f>IF(A1stdlife="n/a","n/a",IF(AW$3&gt;(A1stdlife+$E87),('PTRM input'!$P$143*(1+rvanilla10)^0.5)-SUM($P87:AV87),('PTRM input'!$P$143*(1+rvanilla10)^0.5)/A1stdlife))</f>
        <v>0</v>
      </c>
      <c r="AX87" s="107">
        <f>IF(A1stdlife="n/a","n/a",IF(AX$3&gt;(A1stdlife+$E87),('PTRM input'!$P$143*(1+rvanilla10)^0.5)-SUM($P87:AW87),('PTRM input'!$P$143*(1+rvanilla10)^0.5)/A1stdlife))</f>
        <v>0</v>
      </c>
      <c r="AY87" s="107">
        <f>IF(A1stdlife="n/a","n/a",IF(AY$3&gt;(A1stdlife+$E87),('PTRM input'!$P$143*(1+rvanilla10)^0.5)-SUM($P87:AX87),('PTRM input'!$P$143*(1+rvanilla10)^0.5)/A1stdlife))</f>
        <v>0</v>
      </c>
      <c r="AZ87" s="107">
        <f>IF(A1stdlife="n/a","n/a",IF(AZ$3&gt;(A1stdlife+$E87),('PTRM input'!$P$143*(1+rvanilla10)^0.5)-SUM($P87:AY87),('PTRM input'!$P$143*(1+rvanilla10)^0.5)/A1stdlife))</f>
        <v>0</v>
      </c>
      <c r="BA87" s="107">
        <f>IF(A1stdlife="n/a","n/a",IF(BA$3&gt;(A1stdlife+$E87),('PTRM input'!$P$143*(1+rvanilla10)^0.5)-SUM($P87:AZ87),('PTRM input'!$P$143*(1+rvanilla10)^0.5)/A1stdlife))</f>
        <v>0</v>
      </c>
      <c r="BB87" s="107">
        <f>IF(A1stdlife="n/a","n/a",IF(BB$3&gt;(A1stdlife+$E87),('PTRM input'!$P$143*(1+rvanilla10)^0.5)-SUM($P87:BA87),('PTRM input'!$P$143*(1+rvanilla10)^0.5)/A1stdlife))</f>
        <v>0</v>
      </c>
      <c r="BC87" s="107">
        <f>IF(A1stdlife="n/a","n/a",IF(BC$3&gt;(A1stdlife+$E87),('PTRM input'!$P$143*(1+rvanilla10)^0.5)-SUM($P87:BB87),('PTRM input'!$P$143*(1+rvanilla10)^0.5)/A1stdlife))</f>
        <v>0</v>
      </c>
      <c r="BD87" s="107">
        <f>IF(A1stdlife="n/a","n/a",IF(BD$3&gt;(A1stdlife+$E87),('PTRM input'!$P$143*(1+rvanilla10)^0.5)-SUM($P87:BC87),('PTRM input'!$P$143*(1+rvanilla10)^0.5)/A1stdlife))</f>
        <v>0</v>
      </c>
      <c r="BE87" s="107">
        <f>IF(A1stdlife="n/a","n/a",IF(BE$3&gt;(A1stdlife+$E87),('PTRM input'!$P$143*(1+rvanilla10)^0.5)-SUM($P87:BD87),('PTRM input'!$P$143*(1+rvanilla10)^0.5)/A1stdlife))</f>
        <v>0</v>
      </c>
      <c r="BF87" s="107">
        <f>IF(A1stdlife="n/a","n/a",IF(BF$3&gt;(A1stdlife+$E87),('PTRM input'!$P$143*(1+rvanilla10)^0.5)-SUM($P87:BE87),('PTRM input'!$P$143*(1+rvanilla10)^0.5)/A1stdlife))</f>
        <v>0</v>
      </c>
      <c r="BG87" s="107">
        <f>IF(A1stdlife="n/a","n/a",IF(BG$3&gt;(A1stdlife+$E87),('PTRM input'!$P$143*(1+rvanilla10)^0.5)-SUM($P87:BF87),('PTRM input'!$P$143*(1+rvanilla10)^0.5)/A1stdlife))</f>
        <v>0</v>
      </c>
      <c r="BH87" s="107">
        <f>IF(A1stdlife="n/a","n/a",IF(BH$3&gt;(A1stdlife+$E87),('PTRM input'!$P$143*(1+rvanilla10)^0.5)-SUM($P87:BG87),('PTRM input'!$P$143*(1+rvanilla10)^0.5)/A1stdlife))</f>
        <v>0</v>
      </c>
      <c r="BI87" s="107">
        <f>IF(A1stdlife="n/a","n/a",IF(BI$3&gt;(A1stdlife+$E87),('PTRM input'!$P$143*(1+rvanilla10)^0.5)-SUM($P87:BH87),('PTRM input'!$P$143*(1+rvanilla10)^0.5)/A1stdlife))</f>
        <v>0</v>
      </c>
      <c r="BJ87" s="237"/>
      <c r="BK87" s="237"/>
      <c r="BL87" s="237"/>
      <c r="BM87" s="237"/>
    </row>
    <row r="88" spans="1:65" s="190" customFormat="1" hidden="1" outlineLevel="1">
      <c r="A88" s="237"/>
      <c r="B88" s="37"/>
      <c r="C88" s="33" t="str">
        <f>Asset1</f>
        <v>Pre 1999 Assets</v>
      </c>
      <c r="D88" s="18"/>
      <c r="E88" s="18"/>
      <c r="F88" s="31"/>
      <c r="G88" s="1467">
        <f>SUM(G76:G87)</f>
        <v>1.5968501385294378</v>
      </c>
      <c r="H88" s="1407">
        <f>SUM(H76:H87)</f>
        <v>1.5968501385294378</v>
      </c>
      <c r="I88" s="104">
        <f t="shared" ref="I88:BI88" si="40">SUM(I76:I87)</f>
        <v>1.5968501385294378</v>
      </c>
      <c r="J88" s="104">
        <f t="shared" si="40"/>
        <v>1.5968501385294378</v>
      </c>
      <c r="K88" s="104">
        <f t="shared" si="40"/>
        <v>1.5968501385294378</v>
      </c>
      <c r="L88" s="104">
        <f t="shared" si="40"/>
        <v>1.5968501385294378</v>
      </c>
      <c r="M88" s="104">
        <f t="shared" si="40"/>
        <v>1.5968501385294378</v>
      </c>
      <c r="N88" s="104">
        <f t="shared" si="40"/>
        <v>-1.7763568394002505E-15</v>
      </c>
      <c r="O88" s="104">
        <f t="shared" si="40"/>
        <v>0</v>
      </c>
      <c r="P88" s="104">
        <f t="shared" si="40"/>
        <v>0</v>
      </c>
      <c r="Q88" s="104">
        <f t="shared" si="40"/>
        <v>0</v>
      </c>
      <c r="R88" s="104">
        <f t="shared" si="40"/>
        <v>0</v>
      </c>
      <c r="S88" s="104">
        <f t="shared" si="40"/>
        <v>0</v>
      </c>
      <c r="T88" s="104">
        <f t="shared" si="40"/>
        <v>0</v>
      </c>
      <c r="U88" s="104">
        <f t="shared" si="40"/>
        <v>0</v>
      </c>
      <c r="V88" s="104">
        <f t="shared" si="40"/>
        <v>0</v>
      </c>
      <c r="W88" s="104">
        <f t="shared" si="40"/>
        <v>0</v>
      </c>
      <c r="X88" s="104">
        <f t="shared" si="40"/>
        <v>0</v>
      </c>
      <c r="Y88" s="104">
        <f t="shared" si="40"/>
        <v>0</v>
      </c>
      <c r="Z88" s="104">
        <f t="shared" si="40"/>
        <v>0</v>
      </c>
      <c r="AA88" s="104">
        <f t="shared" si="40"/>
        <v>0</v>
      </c>
      <c r="AB88" s="104">
        <f t="shared" si="40"/>
        <v>0</v>
      </c>
      <c r="AC88" s="104">
        <f t="shared" si="40"/>
        <v>0</v>
      </c>
      <c r="AD88" s="104">
        <f t="shared" si="40"/>
        <v>0</v>
      </c>
      <c r="AE88" s="104">
        <f t="shared" si="40"/>
        <v>0</v>
      </c>
      <c r="AF88" s="104">
        <f t="shared" si="40"/>
        <v>0</v>
      </c>
      <c r="AG88" s="104">
        <f t="shared" si="40"/>
        <v>0</v>
      </c>
      <c r="AH88" s="104">
        <f t="shared" si="40"/>
        <v>0</v>
      </c>
      <c r="AI88" s="104">
        <f t="shared" si="40"/>
        <v>0</v>
      </c>
      <c r="AJ88" s="104">
        <f t="shared" si="40"/>
        <v>0</v>
      </c>
      <c r="AK88" s="104">
        <f t="shared" si="40"/>
        <v>0</v>
      </c>
      <c r="AL88" s="104">
        <f t="shared" si="40"/>
        <v>0</v>
      </c>
      <c r="AM88" s="104">
        <f t="shared" si="40"/>
        <v>0</v>
      </c>
      <c r="AN88" s="104">
        <f t="shared" si="40"/>
        <v>0</v>
      </c>
      <c r="AO88" s="104">
        <f t="shared" si="40"/>
        <v>0</v>
      </c>
      <c r="AP88" s="104">
        <f t="shared" si="40"/>
        <v>0</v>
      </c>
      <c r="AQ88" s="104">
        <f t="shared" si="40"/>
        <v>0</v>
      </c>
      <c r="AR88" s="104">
        <f t="shared" si="40"/>
        <v>0</v>
      </c>
      <c r="AS88" s="104">
        <f t="shared" si="40"/>
        <v>0</v>
      </c>
      <c r="AT88" s="104">
        <f t="shared" si="40"/>
        <v>0</v>
      </c>
      <c r="AU88" s="104">
        <f t="shared" si="40"/>
        <v>0</v>
      </c>
      <c r="AV88" s="104">
        <f t="shared" si="40"/>
        <v>0</v>
      </c>
      <c r="AW88" s="104">
        <f t="shared" si="40"/>
        <v>0</v>
      </c>
      <c r="AX88" s="104">
        <f t="shared" si="40"/>
        <v>0</v>
      </c>
      <c r="AY88" s="104">
        <f t="shared" si="40"/>
        <v>0</v>
      </c>
      <c r="AZ88" s="104">
        <f t="shared" si="40"/>
        <v>0</v>
      </c>
      <c r="BA88" s="104">
        <f t="shared" si="40"/>
        <v>0</v>
      </c>
      <c r="BB88" s="104">
        <f t="shared" si="40"/>
        <v>0</v>
      </c>
      <c r="BC88" s="104">
        <f t="shared" si="40"/>
        <v>0</v>
      </c>
      <c r="BD88" s="104">
        <f t="shared" si="40"/>
        <v>0</v>
      </c>
      <c r="BE88" s="104">
        <f t="shared" si="40"/>
        <v>0</v>
      </c>
      <c r="BF88" s="104">
        <f t="shared" si="40"/>
        <v>0</v>
      </c>
      <c r="BG88" s="104">
        <f t="shared" si="40"/>
        <v>0</v>
      </c>
      <c r="BH88" s="104">
        <f t="shared" si="40"/>
        <v>0</v>
      </c>
      <c r="BI88" s="104">
        <f t="shared" si="40"/>
        <v>0</v>
      </c>
      <c r="BJ88" s="237"/>
      <c r="BK88" s="237"/>
      <c r="BL88" s="237"/>
      <c r="BM88" s="237"/>
    </row>
    <row r="89" spans="1:65" s="190" customFormat="1" ht="12.75" hidden="1" customHeight="1" outlineLevel="2">
      <c r="A89" s="237"/>
      <c r="B89" s="37" t="str">
        <f>C101</f>
        <v>Post 1999-2010 Assets</v>
      </c>
      <c r="C89" s="38"/>
      <c r="D89" s="39" t="s">
        <v>58</v>
      </c>
      <c r="E89" s="38"/>
      <c r="F89" s="40"/>
      <c r="G89" s="1408">
        <f>IF(G$3&gt;A2remlife,A2value-SUM($F89:F89),IF(A2remlife="N/A","n/a",A2value/A2remlife))</f>
        <v>1.0263717915297939</v>
      </c>
      <c r="H89" s="1408">
        <f>IF(H$3&gt;A2remlife,A2value-SUM($F89:G89),IF(A2remlife="N/A","n/a",A2value/A2remlife))</f>
        <v>1.0263717915297939</v>
      </c>
      <c r="I89" s="1408">
        <f>IF(I$3&gt;A2remlife,A2value-SUM($F89:H89),IF(A2remlife="N/A","n/a",A2value/A2remlife))</f>
        <v>1.0263717915297939</v>
      </c>
      <c r="J89" s="1408">
        <f>IF(J$3&gt;A2remlife,A2value-SUM($F89:I89),IF(A2remlife="N/A","n/a",A2value/A2remlife))</f>
        <v>1.0263717915297939</v>
      </c>
      <c r="K89" s="1408">
        <f>IF(K$3&gt;A2remlife,A2value-SUM($F89:J89),IF(A2remlife="N/A","n/a",A2value/A2remlife))</f>
        <v>1.0263717915297939</v>
      </c>
      <c r="L89" s="1408">
        <f>IF(L$3&gt;A2remlife,A2value-SUM($F89:K89),IF(A2remlife="N/A","n/a",A2value/A2remlife))</f>
        <v>1.0263717915297939</v>
      </c>
      <c r="M89" s="1408">
        <f>IF(M$3&gt;A2remlife,A2value-SUM($F89:L89),IF(A2remlife="N/A","n/a",A2value/A2remlife))</f>
        <v>1.0263717915297939</v>
      </c>
      <c r="N89" s="1408">
        <f>IF(N$3&gt;A2remlife,A2value-SUM($F89:M89),IF(A2remlife="N/A","n/a",A2value/A2remlife))</f>
        <v>1.0263717915297939</v>
      </c>
      <c r="O89" s="1408">
        <f>IF(O$3&gt;A2remlife,A2value-SUM($F89:N89),IF(A2remlife="N/A","n/a",A2value/A2remlife))</f>
        <v>1.0263717915297939</v>
      </c>
      <c r="P89" s="1408">
        <f>IF(P$3&gt;A2remlife,A2value-SUM($F89:O89),IF(A2remlife="N/A","n/a",A2value/A2remlife))</f>
        <v>1.0263717915297939</v>
      </c>
      <c r="Q89" s="1408">
        <f>IF(Q$3&gt;A2remlife,A2value-SUM($F89:P89),IF(A2remlife="N/A","n/a",A2value/A2remlife))</f>
        <v>1.0263717915297939</v>
      </c>
      <c r="R89" s="1408">
        <f>IF(R$3&gt;A2remlife,A2value-SUM($F89:Q89),IF(A2remlife="N/A","n/a",A2value/A2remlife))</f>
        <v>1.0263717915297939</v>
      </c>
      <c r="S89" s="1408">
        <f>IF(S$3&gt;A2remlife,A2value-SUM($F89:R89),IF(A2remlife="N/A","n/a",A2value/A2remlife))</f>
        <v>1.0263717915297939</v>
      </c>
      <c r="T89" s="1408">
        <f>IF(T$3&gt;A2remlife,A2value-SUM($F89:S89),IF(A2remlife="N/A","n/a",A2value/A2remlife))</f>
        <v>1.0263717915297939</v>
      </c>
      <c r="U89" s="1408">
        <f>IF(U$3&gt;A2remlife,A2value-SUM($F89:T89),IF(A2remlife="N/A","n/a",A2value/A2remlife))</f>
        <v>1.0263717915297939</v>
      </c>
      <c r="V89" s="1408">
        <f>IF(V$3&gt;A2remlife,A2value-SUM($F89:U89),IF(A2remlife="N/A","n/a",A2value/A2remlife))</f>
        <v>1.0263717915297939</v>
      </c>
      <c r="W89" s="1408">
        <f>IF(W$3&gt;A2remlife,A2value-SUM($F89:V89),IF(A2remlife="N/A","n/a",A2value/A2remlife))</f>
        <v>1.0263717915297939</v>
      </c>
      <c r="X89" s="1408">
        <f>IF(X$3&gt;A2remlife,A2value-SUM($F89:W89),IF(A2remlife="N/A","n/a",A2value/A2remlife))</f>
        <v>1.0263717915297939</v>
      </c>
      <c r="Y89" s="1408">
        <f>IF(Y$3&gt;A2remlife,A2value-SUM($F89:X89),IF(A2remlife="N/A","n/a",A2value/A2remlife))</f>
        <v>1.0263717915297939</v>
      </c>
      <c r="Z89" s="1408">
        <f>IF(Z$3&gt;A2remlife,A2value-SUM($F89:Y89),IF(A2remlife="N/A","n/a",A2value/A2remlife))</f>
        <v>1.0263717915297939</v>
      </c>
      <c r="AA89" s="1408">
        <f>IF(AA$3&gt;A2remlife,A2value-SUM($F89:Z89),IF(A2remlife="N/A","n/a",A2value/A2remlife))</f>
        <v>1.0263717915297939</v>
      </c>
      <c r="AB89" s="1408">
        <f>IF(AB$3&gt;A2remlife,A2value-SUM($F89:AA89),IF(A2remlife="N/A","n/a",A2value/A2remlife))</f>
        <v>1.0263717915297939</v>
      </c>
      <c r="AC89" s="1408">
        <f>IF(AC$3&gt;A2remlife,A2value-SUM($F89:AB89),IF(A2remlife="N/A","n/a",A2value/A2remlife))</f>
        <v>1.0263717915297939</v>
      </c>
      <c r="AD89" s="1408">
        <f>IF(AD$3&gt;A2remlife,A2value-SUM($F89:AC89),IF(A2remlife="N/A","n/a",A2value/A2remlife))</f>
        <v>2.0246512394663796E-3</v>
      </c>
      <c r="AE89" s="1408">
        <f>IF(AE$3&gt;A2remlife,A2value-SUM($F89:AD89),IF(A2remlife="N/A","n/a",A2value/A2remlife))</f>
        <v>0</v>
      </c>
      <c r="AF89" s="1408">
        <f>IF(AF$3&gt;A2remlife,A2value-SUM($F89:AE89),IF(A2remlife="N/A","n/a",A2value/A2remlife))</f>
        <v>0</v>
      </c>
      <c r="AG89" s="1408">
        <f>IF(AG$3&gt;A2remlife,A2value-SUM($F89:AF89),IF(A2remlife="N/A","n/a",A2value/A2remlife))</f>
        <v>0</v>
      </c>
      <c r="AH89" s="1408">
        <f>IF(AH$3&gt;A2remlife,A2value-SUM($F89:AG89),IF(A2remlife="N/A","n/a",A2value/A2remlife))</f>
        <v>0</v>
      </c>
      <c r="AI89" s="1408">
        <f>IF(AI$3&gt;A2remlife,A2value-SUM($F89:AH89),IF(A2remlife="N/A","n/a",A2value/A2remlife))</f>
        <v>0</v>
      </c>
      <c r="AJ89" s="1408">
        <f>IF(AJ$3&gt;A2remlife,A2value-SUM($F89:AI89),IF(A2remlife="N/A","n/a",A2value/A2remlife))</f>
        <v>0</v>
      </c>
      <c r="AK89" s="1408">
        <f>IF(AK$3&gt;A2remlife,A2value-SUM($F89:AJ89),IF(A2remlife="N/A","n/a",A2value/A2remlife))</f>
        <v>0</v>
      </c>
      <c r="AL89" s="1408">
        <f>IF(AL$3&gt;A2remlife,A2value-SUM($F89:AK89),IF(A2remlife="N/A","n/a",A2value/A2remlife))</f>
        <v>0</v>
      </c>
      <c r="AM89" s="1408">
        <f>IF(AM$3&gt;A2remlife,A2value-SUM($F89:AL89),IF(A2remlife="N/A","n/a",A2value/A2remlife))</f>
        <v>0</v>
      </c>
      <c r="AN89" s="1408">
        <f>IF(AN$3&gt;A2remlife,A2value-SUM($F89:AM89),IF(A2remlife="N/A","n/a",A2value/A2remlife))</f>
        <v>0</v>
      </c>
      <c r="AO89" s="1408">
        <f>IF(AO$3&gt;A2remlife,A2value-SUM($F89:AN89),IF(A2remlife="N/A","n/a",A2value/A2remlife))</f>
        <v>0</v>
      </c>
      <c r="AP89" s="1408">
        <f>IF(AP$3&gt;A2remlife,A2value-SUM($F89:AO89),IF(A2remlife="N/A","n/a",A2value/A2remlife))</f>
        <v>0</v>
      </c>
      <c r="AQ89" s="1408">
        <f>IF(AQ$3&gt;A2remlife,A2value-SUM($F89:AP89),IF(A2remlife="N/A","n/a",A2value/A2remlife))</f>
        <v>0</v>
      </c>
      <c r="AR89" s="1408">
        <f>IF(AR$3&gt;A2remlife,A2value-SUM($F89:AQ89),IF(A2remlife="N/A","n/a",A2value/A2remlife))</f>
        <v>0</v>
      </c>
      <c r="AS89" s="1408">
        <f>IF(AS$3&gt;A2remlife,A2value-SUM($F89:AR89),IF(A2remlife="N/A","n/a",A2value/A2remlife))</f>
        <v>0</v>
      </c>
      <c r="AT89" s="1408">
        <f>IF(AT$3&gt;A2remlife,A2value-SUM($F89:AS89),IF(A2remlife="N/A","n/a",A2value/A2remlife))</f>
        <v>0</v>
      </c>
      <c r="AU89" s="1408">
        <f>IF(AU$3&gt;A2remlife,A2value-SUM($F89:AT89),IF(A2remlife="N/A","n/a",A2value/A2remlife))</f>
        <v>0</v>
      </c>
      <c r="AV89" s="1408">
        <f>IF(AV$3&gt;A2remlife,A2value-SUM($F89:AU89),IF(A2remlife="N/A","n/a",A2value/A2remlife))</f>
        <v>0</v>
      </c>
      <c r="AW89" s="1408">
        <f>IF(AW$3&gt;A2remlife,A2value-SUM($F89:AV89),IF(A2remlife="N/A","n/a",A2value/A2remlife))</f>
        <v>0</v>
      </c>
      <c r="AX89" s="1408">
        <f>IF(AX$3&gt;A2remlife,A2value-SUM($F89:AW89),IF(A2remlife="N/A","n/a",A2value/A2remlife))</f>
        <v>0</v>
      </c>
      <c r="AY89" s="1408">
        <f>IF(AY$3&gt;A2remlife,A2value-SUM($F89:AX89),IF(A2remlife="N/A","n/a",A2value/A2remlife))</f>
        <v>0</v>
      </c>
      <c r="AZ89" s="1408">
        <f>IF(AZ$3&gt;A2remlife,A2value-SUM($F89:AY89),IF(A2remlife="N/A","n/a",A2value/A2remlife))</f>
        <v>0</v>
      </c>
      <c r="BA89" s="1408">
        <f>IF(BA$3&gt;A2remlife,A2value-SUM($F89:AZ89),IF(A2remlife="N/A","n/a",A2value/A2remlife))</f>
        <v>0</v>
      </c>
      <c r="BB89" s="1408">
        <f>IF(BB$3&gt;A2remlife,A2value-SUM($F89:BA89),IF(A2remlife="N/A","n/a",A2value/A2remlife))</f>
        <v>0</v>
      </c>
      <c r="BC89" s="1408">
        <f>IF(BC$3&gt;A2remlife,A2value-SUM($F89:BB89),IF(A2remlife="N/A","n/a",A2value/A2remlife))</f>
        <v>0</v>
      </c>
      <c r="BD89" s="1408">
        <f>IF(BD$3&gt;A2remlife,A2value-SUM($F89:BC89),IF(A2remlife="N/A","n/a",A2value/A2remlife))</f>
        <v>0</v>
      </c>
      <c r="BE89" s="1408">
        <f>IF(BE$3&gt;A2remlife,A2value-SUM($F89:BD89),IF(A2remlife="N/A","n/a",A2value/A2remlife))</f>
        <v>0</v>
      </c>
      <c r="BF89" s="1408">
        <f>IF(BF$3&gt;A2remlife,A2value-SUM($F89:BE89),IF(A2remlife="N/A","n/a",A2value/A2remlife))</f>
        <v>0</v>
      </c>
      <c r="BG89" s="1408">
        <f>IF(BG$3&gt;A2remlife,A2value-SUM($F89:BF89),IF(A2remlife="N/A","n/a",A2value/A2remlife))</f>
        <v>0</v>
      </c>
      <c r="BH89" s="1408">
        <f>IF(BH$3&gt;A2remlife,A2value-SUM($F89:BG89),IF(A2remlife="N/A","n/a",A2value/A2remlife))</f>
        <v>0</v>
      </c>
      <c r="BI89" s="1408">
        <f>IF(BI$3&gt;A2remlife,A2value-SUM($F89:BH89),IF(A2remlife="N/A","n/a",A2value/A2remlife))</f>
        <v>0</v>
      </c>
      <c r="BJ89" s="237"/>
      <c r="BK89" s="237"/>
      <c r="BL89" s="237"/>
      <c r="BM89" s="237"/>
    </row>
    <row r="90" spans="1:65" s="190" customFormat="1" ht="12.75" hidden="1" customHeight="1" outlineLevel="2">
      <c r="A90" s="237"/>
      <c r="B90" s="33"/>
      <c r="C90" s="32"/>
      <c r="D90" s="1618" t="s">
        <v>357</v>
      </c>
      <c r="E90" s="169">
        <v>0</v>
      </c>
      <c r="F90" s="35"/>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237"/>
      <c r="BK90" s="237"/>
      <c r="BL90" s="237"/>
      <c r="BM90" s="237"/>
    </row>
    <row r="91" spans="1:65" s="190" customFormat="1" hidden="1" outlineLevel="2">
      <c r="A91" s="237"/>
      <c r="B91" s="33"/>
      <c r="C91" s="32"/>
      <c r="D91" s="1618"/>
      <c r="E91" s="169">
        <v>1</v>
      </c>
      <c r="F91" s="35"/>
      <c r="G91" s="183"/>
      <c r="H91" s="107">
        <f>IF(A2stdlife="n/a","n/a",IF(H$3&gt;(A2stdlife+$E91),('PTRM input'!$G$144*(1+rvanilla01)^0.5)-SUM($G91:G91),('PTRM input'!$G$144*(1+rvanilla01)^0.5)/A2stdlife))</f>
        <v>0</v>
      </c>
      <c r="I91" s="107">
        <f>IF(A2stdlife="n/a","n/a",IF(I$3&gt;(A2stdlife+$E91),('PTRM input'!$G$144*(1+rvanilla01)^0.5)-SUM($G91:H91),('PTRM input'!$G$144*(1+rvanilla01)^0.5)/A2stdlife))</f>
        <v>0</v>
      </c>
      <c r="J91" s="107">
        <f>IF(A2stdlife="n/a","n/a",IF(J$3&gt;(A2stdlife+$E91),('PTRM input'!$G$144*(1+rvanilla01)^0.5)-SUM($G91:I91),('PTRM input'!$G$144*(1+rvanilla01)^0.5)/A2stdlife))</f>
        <v>0</v>
      </c>
      <c r="K91" s="107">
        <f>IF(A2stdlife="n/a","n/a",IF(K$3&gt;(A2stdlife+$E91),('PTRM input'!$G$144*(1+rvanilla01)^0.5)-SUM($G91:J91),('PTRM input'!$G$144*(1+rvanilla01)^0.5)/A2stdlife))</f>
        <v>0</v>
      </c>
      <c r="L91" s="107">
        <f>IF(A2stdlife="n/a","n/a",IF(L$3&gt;(A2stdlife+$E91),('PTRM input'!$G$144*(1+rvanilla01)^0.5)-SUM($G91:K91),('PTRM input'!$G$144*(1+rvanilla01)^0.5)/A2stdlife))</f>
        <v>0</v>
      </c>
      <c r="M91" s="107">
        <f>IF(A2stdlife="n/a","n/a",IF(M$3&gt;(A2stdlife+$E91),('PTRM input'!$G$144*(1+rvanilla01)^0.5)-SUM($G91:L91),('PTRM input'!$G$144*(1+rvanilla01)^0.5)/A2stdlife))</f>
        <v>0</v>
      </c>
      <c r="N91" s="107">
        <f>IF(A2stdlife="n/a","n/a",IF(N$3&gt;(A2stdlife+$E91),('PTRM input'!$G$144*(1+rvanilla01)^0.5)-SUM($G91:M91),('PTRM input'!$G$144*(1+rvanilla01)^0.5)/A2stdlife))</f>
        <v>0</v>
      </c>
      <c r="O91" s="107">
        <f>IF(A2stdlife="n/a","n/a",IF(O$3&gt;(A2stdlife+$E91),('PTRM input'!$G$144*(1+rvanilla01)^0.5)-SUM($G91:N91),('PTRM input'!$G$144*(1+rvanilla01)^0.5)/A2stdlife))</f>
        <v>0</v>
      </c>
      <c r="P91" s="107">
        <f>IF(A2stdlife="n/a","n/a",IF(P$3&gt;(A2stdlife+$E91),('PTRM input'!$G$144*(1+rvanilla01)^0.5)-SUM($G91:O91),('PTRM input'!$G$144*(1+rvanilla01)^0.5)/A2stdlife))</f>
        <v>0</v>
      </c>
      <c r="Q91" s="107">
        <f>IF(A2stdlife="n/a","n/a",IF(Q$3&gt;(A2stdlife+$E91),('PTRM input'!$G$144*(1+rvanilla01)^0.5)-SUM($G91:P91),('PTRM input'!$G$144*(1+rvanilla01)^0.5)/A2stdlife))</f>
        <v>0</v>
      </c>
      <c r="R91" s="107">
        <f>IF(A2stdlife="n/a","n/a",IF(R$3&gt;(A2stdlife+$E91),('PTRM input'!$G$144*(1+rvanilla01)^0.5)-SUM($G91:Q91),('PTRM input'!$G$144*(1+rvanilla01)^0.5)/A2stdlife))</f>
        <v>0</v>
      </c>
      <c r="S91" s="107">
        <f>IF(A2stdlife="n/a","n/a",IF(S$3&gt;(A2stdlife+$E91),('PTRM input'!$G$144*(1+rvanilla01)^0.5)-SUM($G91:R91),('PTRM input'!$G$144*(1+rvanilla01)^0.5)/A2stdlife))</f>
        <v>0</v>
      </c>
      <c r="T91" s="107">
        <f>IF(A2stdlife="n/a","n/a",IF(T$3&gt;(A2stdlife+$E91),('PTRM input'!$G$144*(1+rvanilla01)^0.5)-SUM($G91:S91),('PTRM input'!$G$144*(1+rvanilla01)^0.5)/A2stdlife))</f>
        <v>0</v>
      </c>
      <c r="U91" s="107">
        <f>IF(A2stdlife="n/a","n/a",IF(U$3&gt;(A2stdlife+$E91),('PTRM input'!$G$144*(1+rvanilla01)^0.5)-SUM($G91:T91),('PTRM input'!$G$144*(1+rvanilla01)^0.5)/A2stdlife))</f>
        <v>0</v>
      </c>
      <c r="V91" s="107">
        <f>IF(A2stdlife="n/a","n/a",IF(V$3&gt;(A2stdlife+$E91),('PTRM input'!$G$144*(1+rvanilla01)^0.5)-SUM($G91:U91),('PTRM input'!$G$144*(1+rvanilla01)^0.5)/A2stdlife))</f>
        <v>0</v>
      </c>
      <c r="W91" s="107">
        <f>IF(A2stdlife="n/a","n/a",IF(W$3&gt;(A2stdlife+$E91),('PTRM input'!$G$144*(1+rvanilla01)^0.5)-SUM($G91:V91),('PTRM input'!$G$144*(1+rvanilla01)^0.5)/A2stdlife))</f>
        <v>0</v>
      </c>
      <c r="X91" s="107">
        <f>IF(A2stdlife="n/a","n/a",IF(X$3&gt;(A2stdlife+$E91),('PTRM input'!$G$144*(1+rvanilla01)^0.5)-SUM($G91:W91),('PTRM input'!$G$144*(1+rvanilla01)^0.5)/A2stdlife))</f>
        <v>0</v>
      </c>
      <c r="Y91" s="107">
        <f>IF(A2stdlife="n/a","n/a",IF(Y$3&gt;(A2stdlife+$E91),('PTRM input'!$G$144*(1+rvanilla01)^0.5)-SUM($G91:X91),('PTRM input'!$G$144*(1+rvanilla01)^0.5)/A2stdlife))</f>
        <v>0</v>
      </c>
      <c r="Z91" s="107">
        <f>IF(A2stdlife="n/a","n/a",IF(Z$3&gt;(A2stdlife+$E91),('PTRM input'!$G$144*(1+rvanilla01)^0.5)-SUM($G91:Y91),('PTRM input'!$G$144*(1+rvanilla01)^0.5)/A2stdlife))</f>
        <v>0</v>
      </c>
      <c r="AA91" s="107">
        <f>IF(A2stdlife="n/a","n/a",IF(AA$3&gt;(A2stdlife+$E91),('PTRM input'!$G$144*(1+rvanilla01)^0.5)-SUM($G91:Z91),('PTRM input'!$G$144*(1+rvanilla01)^0.5)/A2stdlife))</f>
        <v>0</v>
      </c>
      <c r="AB91" s="107">
        <f>IF(A2stdlife="n/a","n/a",IF(AB$3&gt;(A2stdlife+$E91),('PTRM input'!$G$144*(1+rvanilla01)^0.5)-SUM($G91:AA91),('PTRM input'!$G$144*(1+rvanilla01)^0.5)/A2stdlife))</f>
        <v>0</v>
      </c>
      <c r="AC91" s="107">
        <f>IF(A2stdlife="n/a","n/a",IF(AC$3&gt;(A2stdlife+$E91),('PTRM input'!$G$144*(1+rvanilla01)^0.5)-SUM($G91:AB91),('PTRM input'!$G$144*(1+rvanilla01)^0.5)/A2stdlife))</f>
        <v>0</v>
      </c>
      <c r="AD91" s="107">
        <f>IF(A2stdlife="n/a","n/a",IF(AD$3&gt;(A2stdlife+$E91),('PTRM input'!$G$144*(1+rvanilla01)^0.5)-SUM($G91:AC91),('PTRM input'!$G$144*(1+rvanilla01)^0.5)/A2stdlife))</f>
        <v>0</v>
      </c>
      <c r="AE91" s="107">
        <f>IF(A2stdlife="n/a","n/a",IF(AE$3&gt;(A2stdlife+$E91),('PTRM input'!$G$144*(1+rvanilla01)^0.5)-SUM($G91:AD91),('PTRM input'!$G$144*(1+rvanilla01)^0.5)/A2stdlife))</f>
        <v>0</v>
      </c>
      <c r="AF91" s="107">
        <f>IF(A2stdlife="n/a","n/a",IF(AF$3&gt;(A2stdlife+$E91),('PTRM input'!$G$144*(1+rvanilla01)^0.5)-SUM($G91:AE91),('PTRM input'!$G$144*(1+rvanilla01)^0.5)/A2stdlife))</f>
        <v>0</v>
      </c>
      <c r="AG91" s="107">
        <f>IF(A2stdlife="n/a","n/a",IF(AG$3&gt;(A2stdlife+$E91),('PTRM input'!$G$144*(1+rvanilla01)^0.5)-SUM($G91:AF91),('PTRM input'!$G$144*(1+rvanilla01)^0.5)/A2stdlife))</f>
        <v>0</v>
      </c>
      <c r="AH91" s="107">
        <f>IF(A2stdlife="n/a","n/a",IF(AH$3&gt;(A2stdlife+$E91),('PTRM input'!$G$144*(1+rvanilla01)^0.5)-SUM($G91:AG91),('PTRM input'!$G$144*(1+rvanilla01)^0.5)/A2stdlife))</f>
        <v>0</v>
      </c>
      <c r="AI91" s="107">
        <f>IF(A2stdlife="n/a","n/a",IF(AI$3&gt;(A2stdlife+$E91),('PTRM input'!$G$144*(1+rvanilla01)^0.5)-SUM($G91:AH91),('PTRM input'!$G$144*(1+rvanilla01)^0.5)/A2stdlife))</f>
        <v>0</v>
      </c>
      <c r="AJ91" s="107">
        <f>IF(A2stdlife="n/a","n/a",IF(AJ$3&gt;(A2stdlife+$E91),('PTRM input'!$G$144*(1+rvanilla01)^0.5)-SUM($G91:AI91),('PTRM input'!$G$144*(1+rvanilla01)^0.5)/A2stdlife))</f>
        <v>0</v>
      </c>
      <c r="AK91" s="107">
        <f>IF(A2stdlife="n/a","n/a",IF(AK$3&gt;(A2stdlife+$E91),('PTRM input'!$G$144*(1+rvanilla01)^0.5)-SUM($G91:AJ91),('PTRM input'!$G$144*(1+rvanilla01)^0.5)/A2stdlife))</f>
        <v>0</v>
      </c>
      <c r="AL91" s="107">
        <f>IF(A2stdlife="n/a","n/a",IF(AL$3&gt;(A2stdlife+$E91),('PTRM input'!$G$144*(1+rvanilla01)^0.5)-SUM($G91:AK91),('PTRM input'!$G$144*(1+rvanilla01)^0.5)/A2stdlife))</f>
        <v>0</v>
      </c>
      <c r="AM91" s="107">
        <f>IF(A2stdlife="n/a","n/a",IF(AM$3&gt;(A2stdlife+$E91),('PTRM input'!$G$144*(1+rvanilla01)^0.5)-SUM($G91:AL91),('PTRM input'!$G$144*(1+rvanilla01)^0.5)/A2stdlife))</f>
        <v>0</v>
      </c>
      <c r="AN91" s="107">
        <f>IF(A2stdlife="n/a","n/a",IF(AN$3&gt;(A2stdlife+$E91),('PTRM input'!$G$144*(1+rvanilla01)^0.5)-SUM($G91:AM91),('PTRM input'!$G$144*(1+rvanilla01)^0.5)/A2stdlife))</f>
        <v>0</v>
      </c>
      <c r="AO91" s="107">
        <f>IF(A2stdlife="n/a","n/a",IF(AO$3&gt;(A2stdlife+$E91),('PTRM input'!$G$144*(1+rvanilla01)^0.5)-SUM($G91:AN91),('PTRM input'!$G$144*(1+rvanilla01)^0.5)/A2stdlife))</f>
        <v>0</v>
      </c>
      <c r="AP91" s="107">
        <f>IF(A2stdlife="n/a","n/a",IF(AP$3&gt;(A2stdlife+$E91),('PTRM input'!$G$144*(1+rvanilla01)^0.5)-SUM($G91:AO91),('PTRM input'!$G$144*(1+rvanilla01)^0.5)/A2stdlife))</f>
        <v>0</v>
      </c>
      <c r="AQ91" s="107">
        <f>IF(A2stdlife="n/a","n/a",IF(AQ$3&gt;(A2stdlife+$E91),('PTRM input'!$G$144*(1+rvanilla01)^0.5)-SUM($G91:AP91),('PTRM input'!$G$144*(1+rvanilla01)^0.5)/A2stdlife))</f>
        <v>0</v>
      </c>
      <c r="AR91" s="107">
        <f>IF(A2stdlife="n/a","n/a",IF(AR$3&gt;(A2stdlife+$E91),('PTRM input'!$G$144*(1+rvanilla01)^0.5)-SUM($G91:AQ91),('PTRM input'!$G$144*(1+rvanilla01)^0.5)/A2stdlife))</f>
        <v>0</v>
      </c>
      <c r="AS91" s="107">
        <f>IF(A2stdlife="n/a","n/a",IF(AS$3&gt;(A2stdlife+$E91),('PTRM input'!$G$144*(1+rvanilla01)^0.5)-SUM($G91:AR91),('PTRM input'!$G$144*(1+rvanilla01)^0.5)/A2stdlife))</f>
        <v>0</v>
      </c>
      <c r="AT91" s="107">
        <f>IF(A2stdlife="n/a","n/a",IF(AT$3&gt;(A2stdlife+$E91),('PTRM input'!$G$144*(1+rvanilla01)^0.5)-SUM($G91:AS91),('PTRM input'!$G$144*(1+rvanilla01)^0.5)/A2stdlife))</f>
        <v>0</v>
      </c>
      <c r="AU91" s="107">
        <f>IF(A2stdlife="n/a","n/a",IF(AU$3&gt;(A2stdlife+$E91),('PTRM input'!$G$144*(1+rvanilla01)^0.5)-SUM($G91:AT91),('PTRM input'!$G$144*(1+rvanilla01)^0.5)/A2stdlife))</f>
        <v>0</v>
      </c>
      <c r="AV91" s="107">
        <f>IF(A2stdlife="n/a","n/a",IF(AV$3&gt;(A2stdlife+$E91),('PTRM input'!$G$144*(1+rvanilla01)^0.5)-SUM($G91:AU91),('PTRM input'!$G$144*(1+rvanilla01)^0.5)/A2stdlife))</f>
        <v>0</v>
      </c>
      <c r="AW91" s="107">
        <f>IF(A2stdlife="n/a","n/a",IF(AW$3&gt;(A2stdlife+$E91),('PTRM input'!$G$144*(1+rvanilla01)^0.5)-SUM($G91:AV91),('PTRM input'!$G$144*(1+rvanilla01)^0.5)/A2stdlife))</f>
        <v>0</v>
      </c>
      <c r="AX91" s="107">
        <f>IF(A2stdlife="n/a","n/a",IF(AX$3&gt;(A2stdlife+$E91),('PTRM input'!$G$144*(1+rvanilla01)^0.5)-SUM($G91:AW91),('PTRM input'!$G$144*(1+rvanilla01)^0.5)/A2stdlife))</f>
        <v>0</v>
      </c>
      <c r="AY91" s="107">
        <f>IF(A2stdlife="n/a","n/a",IF(AY$3&gt;(A2stdlife+$E91),('PTRM input'!$G$144*(1+rvanilla01)^0.5)-SUM($G91:AX91),('PTRM input'!$G$144*(1+rvanilla01)^0.5)/A2stdlife))</f>
        <v>0</v>
      </c>
      <c r="AZ91" s="107">
        <f>IF(A2stdlife="n/a","n/a",IF(AZ$3&gt;(A2stdlife+$E91),('PTRM input'!$G$144*(1+rvanilla01)^0.5)-SUM($G91:AY91),('PTRM input'!$G$144*(1+rvanilla01)^0.5)/A2stdlife))</f>
        <v>0</v>
      </c>
      <c r="BA91" s="107">
        <f>IF(A2stdlife="n/a","n/a",IF(BA$3&gt;(A2stdlife+$E91),('PTRM input'!$G$144*(1+rvanilla01)^0.5)-SUM($G91:AZ91),('PTRM input'!$G$144*(1+rvanilla01)^0.5)/A2stdlife))</f>
        <v>0</v>
      </c>
      <c r="BB91" s="107">
        <f>IF(A2stdlife="n/a","n/a",IF(BB$3&gt;(A2stdlife+$E91),('PTRM input'!$G$144*(1+rvanilla01)^0.5)-SUM($G91:BA91),('PTRM input'!$G$144*(1+rvanilla01)^0.5)/A2stdlife))</f>
        <v>0</v>
      </c>
      <c r="BC91" s="107">
        <f>IF(A2stdlife="n/a","n/a",IF(BC$3&gt;(A2stdlife+$E91),('PTRM input'!$G$144*(1+rvanilla01)^0.5)-SUM($G91:BB91),('PTRM input'!$G$144*(1+rvanilla01)^0.5)/A2stdlife))</f>
        <v>0</v>
      </c>
      <c r="BD91" s="107">
        <f>IF(A2stdlife="n/a","n/a",IF(BD$3&gt;(A2stdlife+$E91),('PTRM input'!$G$144*(1+rvanilla01)^0.5)-SUM($G91:BC91),('PTRM input'!$G$144*(1+rvanilla01)^0.5)/A2stdlife))</f>
        <v>0</v>
      </c>
      <c r="BE91" s="107">
        <f>IF(A2stdlife="n/a","n/a",IF(BE$3&gt;(A2stdlife+$E91),('PTRM input'!$G$144*(1+rvanilla01)^0.5)-SUM($G91:BD91),('PTRM input'!$G$144*(1+rvanilla01)^0.5)/A2stdlife))</f>
        <v>0</v>
      </c>
      <c r="BF91" s="107">
        <f>IF(A2stdlife="n/a","n/a",IF(BF$3&gt;(A2stdlife+$E91),('PTRM input'!$G$144*(1+rvanilla01)^0.5)-SUM($G91:BE91),('PTRM input'!$G$144*(1+rvanilla01)^0.5)/A2stdlife))</f>
        <v>0</v>
      </c>
      <c r="BG91" s="107">
        <f>IF(A2stdlife="n/a","n/a",IF(BG$3&gt;(A2stdlife+$E91),('PTRM input'!$G$144*(1+rvanilla01)^0.5)-SUM($G91:BF91),('PTRM input'!$G$144*(1+rvanilla01)^0.5)/A2stdlife))</f>
        <v>0</v>
      </c>
      <c r="BH91" s="107">
        <f>IF(A2stdlife="n/a","n/a",IF(BH$3&gt;(A2stdlife+$E91),('PTRM input'!$G$144*(1+rvanilla01)^0.5)-SUM($G91:BG91),('PTRM input'!$G$144*(1+rvanilla01)^0.5)/A2stdlife))</f>
        <v>0</v>
      </c>
      <c r="BI91" s="107">
        <f>IF(A2stdlife="n/a","n/a",IF(BI$3&gt;(A2stdlife+$E91),('PTRM input'!$G$144*(1+rvanilla01)^0.5)-SUM($G91:BH91),('PTRM input'!$G$144*(1+rvanilla01)^0.5)/A2stdlife))</f>
        <v>0</v>
      </c>
      <c r="BJ91" s="237"/>
      <c r="BK91" s="237"/>
      <c r="BL91" s="237"/>
      <c r="BM91" s="237"/>
    </row>
    <row r="92" spans="1:65" s="190" customFormat="1" hidden="1" outlineLevel="2">
      <c r="A92" s="237"/>
      <c r="B92" s="33"/>
      <c r="C92" s="32"/>
      <c r="D92" s="1618"/>
      <c r="E92" s="169">
        <v>2</v>
      </c>
      <c r="F92" s="35"/>
      <c r="G92" s="184"/>
      <c r="H92" s="185"/>
      <c r="I92" s="107">
        <f>IF(A2stdlife="n/a","n/a",IF(I$3&gt;(A2stdlife+$E92),('PTRM input'!$H$144*(1+rvanilla02)^0.5)-SUM($H92:H92),('PTRM input'!$H$144*(1+rvanilla02)^0.5)/A2stdlife))</f>
        <v>0</v>
      </c>
      <c r="J92" s="107">
        <f>IF(A2stdlife="n/a","n/a",IF(J$3&gt;(A2stdlife+$E92),('PTRM input'!$H$144*(1+rvanilla02)^0.5)-SUM($H92:I92),('PTRM input'!$H$144*(1+rvanilla02)^0.5)/A2stdlife))</f>
        <v>0</v>
      </c>
      <c r="K92" s="107">
        <f>IF(A2stdlife="n/a","n/a",IF(K$3&gt;(A2stdlife+$E92),('PTRM input'!$H$144*(1+rvanilla02)^0.5)-SUM($H92:J92),('PTRM input'!$H$144*(1+rvanilla02)^0.5)/A2stdlife))</f>
        <v>0</v>
      </c>
      <c r="L92" s="107">
        <f>IF(A2stdlife="n/a","n/a",IF(L$3&gt;(A2stdlife+$E92),('PTRM input'!$H$144*(1+rvanilla02)^0.5)-SUM($H92:K92),('PTRM input'!$H$144*(1+rvanilla02)^0.5)/A2stdlife))</f>
        <v>0</v>
      </c>
      <c r="M92" s="107">
        <f>IF(A2stdlife="n/a","n/a",IF(M$3&gt;(A2stdlife+$E92),('PTRM input'!$H$144*(1+rvanilla02)^0.5)-SUM($H92:L92),('PTRM input'!$H$144*(1+rvanilla02)^0.5)/A2stdlife))</f>
        <v>0</v>
      </c>
      <c r="N92" s="107">
        <f>IF(A2stdlife="n/a","n/a",IF(N$3&gt;(A2stdlife+$E92),('PTRM input'!$H$144*(1+rvanilla02)^0.5)-SUM($H92:M92),('PTRM input'!$H$144*(1+rvanilla02)^0.5)/A2stdlife))</f>
        <v>0</v>
      </c>
      <c r="O92" s="107">
        <f>IF(A2stdlife="n/a","n/a",IF(O$3&gt;(A2stdlife+$E92),('PTRM input'!$H$144*(1+rvanilla02)^0.5)-SUM($H92:N92),('PTRM input'!$H$144*(1+rvanilla02)^0.5)/A2stdlife))</f>
        <v>0</v>
      </c>
      <c r="P92" s="107">
        <f>IF(A2stdlife="n/a","n/a",IF(P$3&gt;(A2stdlife+$E92),('PTRM input'!$H$144*(1+rvanilla02)^0.5)-SUM($H92:O92),('PTRM input'!$H$144*(1+rvanilla02)^0.5)/A2stdlife))</f>
        <v>0</v>
      </c>
      <c r="Q92" s="107">
        <f>IF(A2stdlife="n/a","n/a",IF(Q$3&gt;(A2stdlife+$E92),('PTRM input'!$H$144*(1+rvanilla02)^0.5)-SUM($H92:P92),('PTRM input'!$H$144*(1+rvanilla02)^0.5)/A2stdlife))</f>
        <v>0</v>
      </c>
      <c r="R92" s="107">
        <f>IF(A2stdlife="n/a","n/a",IF(R$3&gt;(A2stdlife+$E92),('PTRM input'!$H$144*(1+rvanilla02)^0.5)-SUM($H92:Q92),('PTRM input'!$H$144*(1+rvanilla02)^0.5)/A2stdlife))</f>
        <v>0</v>
      </c>
      <c r="S92" s="107">
        <f>IF(A2stdlife="n/a","n/a",IF(S$3&gt;(A2stdlife+$E92),('PTRM input'!$H$144*(1+rvanilla02)^0.5)-SUM($H92:R92),('PTRM input'!$H$144*(1+rvanilla02)^0.5)/A2stdlife))</f>
        <v>0</v>
      </c>
      <c r="T92" s="107">
        <f>IF(A2stdlife="n/a","n/a",IF(T$3&gt;(A2stdlife+$E92),('PTRM input'!$H$144*(1+rvanilla02)^0.5)-SUM($H92:S92),('PTRM input'!$H$144*(1+rvanilla02)^0.5)/A2stdlife))</f>
        <v>0</v>
      </c>
      <c r="U92" s="107">
        <f>IF(A2stdlife="n/a","n/a",IF(U$3&gt;(A2stdlife+$E92),('PTRM input'!$H$144*(1+rvanilla02)^0.5)-SUM($H92:T92),('PTRM input'!$H$144*(1+rvanilla02)^0.5)/A2stdlife))</f>
        <v>0</v>
      </c>
      <c r="V92" s="107">
        <f>IF(A2stdlife="n/a","n/a",IF(V$3&gt;(A2stdlife+$E92),('PTRM input'!$H$144*(1+rvanilla02)^0.5)-SUM($H92:U92),('PTRM input'!$H$144*(1+rvanilla02)^0.5)/A2stdlife))</f>
        <v>0</v>
      </c>
      <c r="W92" s="107">
        <f>IF(A2stdlife="n/a","n/a",IF(W$3&gt;(A2stdlife+$E92),('PTRM input'!$H$144*(1+rvanilla02)^0.5)-SUM($H92:V92),('PTRM input'!$H$144*(1+rvanilla02)^0.5)/A2stdlife))</f>
        <v>0</v>
      </c>
      <c r="X92" s="107">
        <f>IF(A2stdlife="n/a","n/a",IF(X$3&gt;(A2stdlife+$E92),('PTRM input'!$H$144*(1+rvanilla02)^0.5)-SUM($H92:W92),('PTRM input'!$H$144*(1+rvanilla02)^0.5)/A2stdlife))</f>
        <v>0</v>
      </c>
      <c r="Y92" s="107">
        <f>IF(A2stdlife="n/a","n/a",IF(Y$3&gt;(A2stdlife+$E92),('PTRM input'!$H$144*(1+rvanilla02)^0.5)-SUM($H92:X92),('PTRM input'!$H$144*(1+rvanilla02)^0.5)/A2stdlife))</f>
        <v>0</v>
      </c>
      <c r="Z92" s="107">
        <f>IF(A2stdlife="n/a","n/a",IF(Z$3&gt;(A2stdlife+$E92),('PTRM input'!$H$144*(1+rvanilla02)^0.5)-SUM($H92:Y92),('PTRM input'!$H$144*(1+rvanilla02)^0.5)/A2stdlife))</f>
        <v>0</v>
      </c>
      <c r="AA92" s="107">
        <f>IF(A2stdlife="n/a","n/a",IF(AA$3&gt;(A2stdlife+$E92),('PTRM input'!$H$144*(1+rvanilla02)^0.5)-SUM($H92:Z92),('PTRM input'!$H$144*(1+rvanilla02)^0.5)/A2stdlife))</f>
        <v>0</v>
      </c>
      <c r="AB92" s="107">
        <f>IF(A2stdlife="n/a","n/a",IF(AB$3&gt;(A2stdlife+$E92),('PTRM input'!$H$144*(1+rvanilla02)^0.5)-SUM($H92:AA92),('PTRM input'!$H$144*(1+rvanilla02)^0.5)/A2stdlife))</f>
        <v>0</v>
      </c>
      <c r="AC92" s="107">
        <f>IF(A2stdlife="n/a","n/a",IF(AC$3&gt;(A2stdlife+$E92),('PTRM input'!$H$144*(1+rvanilla02)^0.5)-SUM($H92:AB92),('PTRM input'!$H$144*(1+rvanilla02)^0.5)/A2stdlife))</f>
        <v>0</v>
      </c>
      <c r="AD92" s="107">
        <f>IF(A2stdlife="n/a","n/a",IF(AD$3&gt;(A2stdlife+$E92),('PTRM input'!$H$144*(1+rvanilla02)^0.5)-SUM($H92:AC92),('PTRM input'!$H$144*(1+rvanilla02)^0.5)/A2stdlife))</f>
        <v>0</v>
      </c>
      <c r="AE92" s="107">
        <f>IF(A2stdlife="n/a","n/a",IF(AE$3&gt;(A2stdlife+$E92),('PTRM input'!$H$144*(1+rvanilla02)^0.5)-SUM($H92:AD92),('PTRM input'!$H$144*(1+rvanilla02)^0.5)/A2stdlife))</f>
        <v>0</v>
      </c>
      <c r="AF92" s="107">
        <f>IF(A2stdlife="n/a","n/a",IF(AF$3&gt;(A2stdlife+$E92),('PTRM input'!$H$144*(1+rvanilla02)^0.5)-SUM($H92:AE92),('PTRM input'!$H$144*(1+rvanilla02)^0.5)/A2stdlife))</f>
        <v>0</v>
      </c>
      <c r="AG92" s="107">
        <f>IF(A2stdlife="n/a","n/a",IF(AG$3&gt;(A2stdlife+$E92),('PTRM input'!$H$144*(1+rvanilla02)^0.5)-SUM($H92:AF92),('PTRM input'!$H$144*(1+rvanilla02)^0.5)/A2stdlife))</f>
        <v>0</v>
      </c>
      <c r="AH92" s="107">
        <f>IF(A2stdlife="n/a","n/a",IF(AH$3&gt;(A2stdlife+$E92),('PTRM input'!$H$144*(1+rvanilla02)^0.5)-SUM($H92:AG92),('PTRM input'!$H$144*(1+rvanilla02)^0.5)/A2stdlife))</f>
        <v>0</v>
      </c>
      <c r="AI92" s="107">
        <f>IF(A2stdlife="n/a","n/a",IF(AI$3&gt;(A2stdlife+$E92),('PTRM input'!$H$144*(1+rvanilla02)^0.5)-SUM($H92:AH92),('PTRM input'!$H$144*(1+rvanilla02)^0.5)/A2stdlife))</f>
        <v>0</v>
      </c>
      <c r="AJ92" s="107">
        <f>IF(A2stdlife="n/a","n/a",IF(AJ$3&gt;(A2stdlife+$E92),('PTRM input'!$H$144*(1+rvanilla02)^0.5)-SUM($H92:AI92),('PTRM input'!$H$144*(1+rvanilla02)^0.5)/A2stdlife))</f>
        <v>0</v>
      </c>
      <c r="AK92" s="107">
        <f>IF(A2stdlife="n/a","n/a",IF(AK$3&gt;(A2stdlife+$E92),('PTRM input'!$H$144*(1+rvanilla02)^0.5)-SUM($H92:AJ92),('PTRM input'!$H$144*(1+rvanilla02)^0.5)/A2stdlife))</f>
        <v>0</v>
      </c>
      <c r="AL92" s="107">
        <f>IF(A2stdlife="n/a","n/a",IF(AL$3&gt;(A2stdlife+$E92),('PTRM input'!$H$144*(1+rvanilla02)^0.5)-SUM($H92:AK92),('PTRM input'!$H$144*(1+rvanilla02)^0.5)/A2stdlife))</f>
        <v>0</v>
      </c>
      <c r="AM92" s="107">
        <f>IF(A2stdlife="n/a","n/a",IF(AM$3&gt;(A2stdlife+$E92),('PTRM input'!$H$144*(1+rvanilla02)^0.5)-SUM($H92:AL92),('PTRM input'!$H$144*(1+rvanilla02)^0.5)/A2stdlife))</f>
        <v>0</v>
      </c>
      <c r="AN92" s="107">
        <f>IF(A2stdlife="n/a","n/a",IF(AN$3&gt;(A2stdlife+$E92),('PTRM input'!$H$144*(1+rvanilla02)^0.5)-SUM($H92:AM92),('PTRM input'!$H$144*(1+rvanilla02)^0.5)/A2stdlife))</f>
        <v>0</v>
      </c>
      <c r="AO92" s="107">
        <f>IF(A2stdlife="n/a","n/a",IF(AO$3&gt;(A2stdlife+$E92),('PTRM input'!$H$144*(1+rvanilla02)^0.5)-SUM($H92:AN92),('PTRM input'!$H$144*(1+rvanilla02)^0.5)/A2stdlife))</f>
        <v>0</v>
      </c>
      <c r="AP92" s="107">
        <f>IF(A2stdlife="n/a","n/a",IF(AP$3&gt;(A2stdlife+$E92),('PTRM input'!$H$144*(1+rvanilla02)^0.5)-SUM($H92:AO92),('PTRM input'!$H$144*(1+rvanilla02)^0.5)/A2stdlife))</f>
        <v>0</v>
      </c>
      <c r="AQ92" s="107">
        <f>IF(A2stdlife="n/a","n/a",IF(AQ$3&gt;(A2stdlife+$E92),('PTRM input'!$H$144*(1+rvanilla02)^0.5)-SUM($H92:AP92),('PTRM input'!$H$144*(1+rvanilla02)^0.5)/A2stdlife))</f>
        <v>0</v>
      </c>
      <c r="AR92" s="107">
        <f>IF(A2stdlife="n/a","n/a",IF(AR$3&gt;(A2stdlife+$E92),('PTRM input'!$H$144*(1+rvanilla02)^0.5)-SUM($H92:AQ92),('PTRM input'!$H$144*(1+rvanilla02)^0.5)/A2stdlife))</f>
        <v>0</v>
      </c>
      <c r="AS92" s="107">
        <f>IF(A2stdlife="n/a","n/a",IF(AS$3&gt;(A2stdlife+$E92),('PTRM input'!$H$144*(1+rvanilla02)^0.5)-SUM($H92:AR92),('PTRM input'!$H$144*(1+rvanilla02)^0.5)/A2stdlife))</f>
        <v>0</v>
      </c>
      <c r="AT92" s="107">
        <f>IF(A2stdlife="n/a","n/a",IF(AT$3&gt;(A2stdlife+$E92),('PTRM input'!$H$144*(1+rvanilla02)^0.5)-SUM($H92:AS92),('PTRM input'!$H$144*(1+rvanilla02)^0.5)/A2stdlife))</f>
        <v>0</v>
      </c>
      <c r="AU92" s="107">
        <f>IF(A2stdlife="n/a","n/a",IF(AU$3&gt;(A2stdlife+$E92),('PTRM input'!$H$144*(1+rvanilla02)^0.5)-SUM($H92:AT92),('PTRM input'!$H$144*(1+rvanilla02)^0.5)/A2stdlife))</f>
        <v>0</v>
      </c>
      <c r="AV92" s="107">
        <f>IF(A2stdlife="n/a","n/a",IF(AV$3&gt;(A2stdlife+$E92),('PTRM input'!$H$144*(1+rvanilla02)^0.5)-SUM($H92:AU92),('PTRM input'!$H$144*(1+rvanilla02)^0.5)/A2stdlife))</f>
        <v>0</v>
      </c>
      <c r="AW92" s="107">
        <f>IF(A2stdlife="n/a","n/a",IF(AW$3&gt;(A2stdlife+$E92),('PTRM input'!$H$144*(1+rvanilla02)^0.5)-SUM($H92:AV92),('PTRM input'!$H$144*(1+rvanilla02)^0.5)/A2stdlife))</f>
        <v>0</v>
      </c>
      <c r="AX92" s="107">
        <f>IF(A2stdlife="n/a","n/a",IF(AX$3&gt;(A2stdlife+$E92),('PTRM input'!$H$144*(1+rvanilla02)^0.5)-SUM($H92:AW92),('PTRM input'!$H$144*(1+rvanilla02)^0.5)/A2stdlife))</f>
        <v>0</v>
      </c>
      <c r="AY92" s="107">
        <f>IF(A2stdlife="n/a","n/a",IF(AY$3&gt;(A2stdlife+$E92),('PTRM input'!$H$144*(1+rvanilla02)^0.5)-SUM($H92:AX92),('PTRM input'!$H$144*(1+rvanilla02)^0.5)/A2stdlife))</f>
        <v>0</v>
      </c>
      <c r="AZ92" s="107">
        <f>IF(A2stdlife="n/a","n/a",IF(AZ$3&gt;(A2stdlife+$E92),('PTRM input'!$H$144*(1+rvanilla02)^0.5)-SUM($H92:AY92),('PTRM input'!$H$144*(1+rvanilla02)^0.5)/A2stdlife))</f>
        <v>0</v>
      </c>
      <c r="BA92" s="107">
        <f>IF(A2stdlife="n/a","n/a",IF(BA$3&gt;(A2stdlife+$E92),('PTRM input'!$H$144*(1+rvanilla02)^0.5)-SUM($H92:AZ92),('PTRM input'!$H$144*(1+rvanilla02)^0.5)/A2stdlife))</f>
        <v>0</v>
      </c>
      <c r="BB92" s="107">
        <f>IF(A2stdlife="n/a","n/a",IF(BB$3&gt;(A2stdlife+$E92),('PTRM input'!$H$144*(1+rvanilla02)^0.5)-SUM($H92:BA92),('PTRM input'!$H$144*(1+rvanilla02)^0.5)/A2stdlife))</f>
        <v>0</v>
      </c>
      <c r="BC92" s="107">
        <f>IF(A2stdlife="n/a","n/a",IF(BC$3&gt;(A2stdlife+$E92),('PTRM input'!$H$144*(1+rvanilla02)^0.5)-SUM($H92:BB92),('PTRM input'!$H$144*(1+rvanilla02)^0.5)/A2stdlife))</f>
        <v>0</v>
      </c>
      <c r="BD92" s="107">
        <f>IF(A2stdlife="n/a","n/a",IF(BD$3&gt;(A2stdlife+$E92),('PTRM input'!$H$144*(1+rvanilla02)^0.5)-SUM($H92:BC92),('PTRM input'!$H$144*(1+rvanilla02)^0.5)/A2stdlife))</f>
        <v>0</v>
      </c>
      <c r="BE92" s="107">
        <f>IF(A2stdlife="n/a","n/a",IF(BE$3&gt;(A2stdlife+$E92),('PTRM input'!$H$144*(1+rvanilla02)^0.5)-SUM($H92:BD92),('PTRM input'!$H$144*(1+rvanilla02)^0.5)/A2stdlife))</f>
        <v>0</v>
      </c>
      <c r="BF92" s="107">
        <f>IF(A2stdlife="n/a","n/a",IF(BF$3&gt;(A2stdlife+$E92),('PTRM input'!$H$144*(1+rvanilla02)^0.5)-SUM($H92:BE92),('PTRM input'!$H$144*(1+rvanilla02)^0.5)/A2stdlife))</f>
        <v>0</v>
      </c>
      <c r="BG92" s="107">
        <f>IF(A2stdlife="n/a","n/a",IF(BG$3&gt;(A2stdlife+$E92),('PTRM input'!$H$144*(1+rvanilla02)^0.5)-SUM($H92:BF92),('PTRM input'!$H$144*(1+rvanilla02)^0.5)/A2stdlife))</f>
        <v>0</v>
      </c>
      <c r="BH92" s="107">
        <f>IF(A2stdlife="n/a","n/a",IF(BH$3&gt;(A2stdlife+$E92),('PTRM input'!$H$144*(1+rvanilla02)^0.5)-SUM($H92:BG92),('PTRM input'!$H$144*(1+rvanilla02)^0.5)/A2stdlife))</f>
        <v>0</v>
      </c>
      <c r="BI92" s="107">
        <f>IF(A2stdlife="n/a","n/a",IF(BI$3&gt;(A2stdlife+$E92),('PTRM input'!$H$144*(1+rvanilla02)^0.5)-SUM($H92:BH92),('PTRM input'!$H$144*(1+rvanilla02)^0.5)/A2stdlife))</f>
        <v>0</v>
      </c>
      <c r="BJ92" s="237"/>
      <c r="BK92" s="237"/>
      <c r="BL92" s="237"/>
      <c r="BM92" s="237"/>
    </row>
    <row r="93" spans="1:65" s="190" customFormat="1" hidden="1" outlineLevel="2">
      <c r="A93" s="237"/>
      <c r="B93" s="33"/>
      <c r="C93" s="32"/>
      <c r="D93" s="1618"/>
      <c r="E93" s="169">
        <v>3</v>
      </c>
      <c r="F93" s="35"/>
      <c r="G93" s="184"/>
      <c r="H93" s="186"/>
      <c r="I93" s="185"/>
      <c r="J93" s="107">
        <f>IF(A2stdlife="n/a","n/a",IF(J$3&gt;(A2stdlife+$E93),('PTRM input'!$I$144*(1+rvanilla03)^0.5)-SUM($I93:I93),('PTRM input'!$I$144*(1+rvanilla03)^0.5)/A2stdlife))</f>
        <v>0</v>
      </c>
      <c r="K93" s="107">
        <f>IF(A2stdlife="n/a","n/a",IF(K$3&gt;(A2stdlife+$E93),('PTRM input'!$I$144*(1+rvanilla03)^0.5)-SUM($I93:J93),('PTRM input'!$I$144*(1+rvanilla03)^0.5)/A2stdlife))</f>
        <v>0</v>
      </c>
      <c r="L93" s="107">
        <f>IF(A2stdlife="n/a","n/a",IF(L$3&gt;(A2stdlife+$E93),('PTRM input'!$I$144*(1+rvanilla03)^0.5)-SUM($I93:K93),('PTRM input'!$I$144*(1+rvanilla03)^0.5)/A2stdlife))</f>
        <v>0</v>
      </c>
      <c r="M93" s="107">
        <f>IF(A2stdlife="n/a","n/a",IF(M$3&gt;(A2stdlife+$E93),('PTRM input'!$I$144*(1+rvanilla03)^0.5)-SUM($I93:L93),('PTRM input'!$I$144*(1+rvanilla03)^0.5)/A2stdlife))</f>
        <v>0</v>
      </c>
      <c r="N93" s="107">
        <f>IF(A2stdlife="n/a","n/a",IF(N$3&gt;(A2stdlife+$E93),('PTRM input'!$I$144*(1+rvanilla03)^0.5)-SUM($I93:M93),('PTRM input'!$I$144*(1+rvanilla03)^0.5)/A2stdlife))</f>
        <v>0</v>
      </c>
      <c r="O93" s="107">
        <f>IF(A2stdlife="n/a","n/a",IF(O$3&gt;(A2stdlife+$E93),('PTRM input'!$I$144*(1+rvanilla03)^0.5)-SUM($I93:N93),('PTRM input'!$I$144*(1+rvanilla03)^0.5)/A2stdlife))</f>
        <v>0</v>
      </c>
      <c r="P93" s="107">
        <f>IF(A2stdlife="n/a","n/a",IF(P$3&gt;(A2stdlife+$E93),('PTRM input'!$I$144*(1+rvanilla03)^0.5)-SUM($I93:O93),('PTRM input'!$I$144*(1+rvanilla03)^0.5)/A2stdlife))</f>
        <v>0</v>
      </c>
      <c r="Q93" s="107">
        <f>IF(A2stdlife="n/a","n/a",IF(Q$3&gt;(A2stdlife+$E93),('PTRM input'!$I$144*(1+rvanilla03)^0.5)-SUM($I93:P93),('PTRM input'!$I$144*(1+rvanilla03)^0.5)/A2stdlife))</f>
        <v>0</v>
      </c>
      <c r="R93" s="107">
        <f>IF(A2stdlife="n/a","n/a",IF(R$3&gt;(A2stdlife+$E93),('PTRM input'!$I$144*(1+rvanilla03)^0.5)-SUM($I93:Q93),('PTRM input'!$I$144*(1+rvanilla03)^0.5)/A2stdlife))</f>
        <v>0</v>
      </c>
      <c r="S93" s="107">
        <f>IF(A2stdlife="n/a","n/a",IF(S$3&gt;(A2stdlife+$E93),('PTRM input'!$I$144*(1+rvanilla03)^0.5)-SUM($I93:R93),('PTRM input'!$I$144*(1+rvanilla03)^0.5)/A2stdlife))</f>
        <v>0</v>
      </c>
      <c r="T93" s="107">
        <f>IF(A2stdlife="n/a","n/a",IF(T$3&gt;(A2stdlife+$E93),('PTRM input'!$I$144*(1+rvanilla03)^0.5)-SUM($I93:S93),('PTRM input'!$I$144*(1+rvanilla03)^0.5)/A2stdlife))</f>
        <v>0</v>
      </c>
      <c r="U93" s="107">
        <f>IF(A2stdlife="n/a","n/a",IF(U$3&gt;(A2stdlife+$E93),('PTRM input'!$I$144*(1+rvanilla03)^0.5)-SUM($I93:T93),('PTRM input'!$I$144*(1+rvanilla03)^0.5)/A2stdlife))</f>
        <v>0</v>
      </c>
      <c r="V93" s="107">
        <f>IF(A2stdlife="n/a","n/a",IF(V$3&gt;(A2stdlife+$E93),('PTRM input'!$I$144*(1+rvanilla03)^0.5)-SUM($I93:U93),('PTRM input'!$I$144*(1+rvanilla03)^0.5)/A2stdlife))</f>
        <v>0</v>
      </c>
      <c r="W93" s="107">
        <f>IF(A2stdlife="n/a","n/a",IF(W$3&gt;(A2stdlife+$E93),('PTRM input'!$I$144*(1+rvanilla03)^0.5)-SUM($I93:V93),('PTRM input'!$I$144*(1+rvanilla03)^0.5)/A2stdlife))</f>
        <v>0</v>
      </c>
      <c r="X93" s="107">
        <f>IF(A2stdlife="n/a","n/a",IF(X$3&gt;(A2stdlife+$E93),('PTRM input'!$I$144*(1+rvanilla03)^0.5)-SUM($I93:W93),('PTRM input'!$I$144*(1+rvanilla03)^0.5)/A2stdlife))</f>
        <v>0</v>
      </c>
      <c r="Y93" s="107">
        <f>IF(A2stdlife="n/a","n/a",IF(Y$3&gt;(A2stdlife+$E93),('PTRM input'!$I$144*(1+rvanilla03)^0.5)-SUM($I93:X93),('PTRM input'!$I$144*(1+rvanilla03)^0.5)/A2stdlife))</f>
        <v>0</v>
      </c>
      <c r="Z93" s="107">
        <f>IF(A2stdlife="n/a","n/a",IF(Z$3&gt;(A2stdlife+$E93),('PTRM input'!$I$144*(1+rvanilla03)^0.5)-SUM($I93:Y93),('PTRM input'!$I$144*(1+rvanilla03)^0.5)/A2stdlife))</f>
        <v>0</v>
      </c>
      <c r="AA93" s="107">
        <f>IF(A2stdlife="n/a","n/a",IF(AA$3&gt;(A2stdlife+$E93),('PTRM input'!$I$144*(1+rvanilla03)^0.5)-SUM($I93:Z93),('PTRM input'!$I$144*(1+rvanilla03)^0.5)/A2stdlife))</f>
        <v>0</v>
      </c>
      <c r="AB93" s="107">
        <f>IF(A2stdlife="n/a","n/a",IF(AB$3&gt;(A2stdlife+$E93),('PTRM input'!$I$144*(1+rvanilla03)^0.5)-SUM($I93:AA93),('PTRM input'!$I$144*(1+rvanilla03)^0.5)/A2stdlife))</f>
        <v>0</v>
      </c>
      <c r="AC93" s="107">
        <f>IF(A2stdlife="n/a","n/a",IF(AC$3&gt;(A2stdlife+$E93),('PTRM input'!$I$144*(1+rvanilla03)^0.5)-SUM($I93:AB93),('PTRM input'!$I$144*(1+rvanilla03)^0.5)/A2stdlife))</f>
        <v>0</v>
      </c>
      <c r="AD93" s="107">
        <f>IF(A2stdlife="n/a","n/a",IF(AD$3&gt;(A2stdlife+$E93),('PTRM input'!$I$144*(1+rvanilla03)^0.5)-SUM($I93:AC93),('PTRM input'!$I$144*(1+rvanilla03)^0.5)/A2stdlife))</f>
        <v>0</v>
      </c>
      <c r="AE93" s="107">
        <f>IF(A2stdlife="n/a","n/a",IF(AE$3&gt;(A2stdlife+$E93),('PTRM input'!$I$144*(1+rvanilla03)^0.5)-SUM($I93:AD93),('PTRM input'!$I$144*(1+rvanilla03)^0.5)/A2stdlife))</f>
        <v>0</v>
      </c>
      <c r="AF93" s="107">
        <f>IF(A2stdlife="n/a","n/a",IF(AF$3&gt;(A2stdlife+$E93),('PTRM input'!$I$144*(1+rvanilla03)^0.5)-SUM($I93:AE93),('PTRM input'!$I$144*(1+rvanilla03)^0.5)/A2stdlife))</f>
        <v>0</v>
      </c>
      <c r="AG93" s="107">
        <f>IF(A2stdlife="n/a","n/a",IF(AG$3&gt;(A2stdlife+$E93),('PTRM input'!$I$144*(1+rvanilla03)^0.5)-SUM($I93:AF93),('PTRM input'!$I$144*(1+rvanilla03)^0.5)/A2stdlife))</f>
        <v>0</v>
      </c>
      <c r="AH93" s="107">
        <f>IF(A2stdlife="n/a","n/a",IF(AH$3&gt;(A2stdlife+$E93),('PTRM input'!$I$144*(1+rvanilla03)^0.5)-SUM($I93:AG93),('PTRM input'!$I$144*(1+rvanilla03)^0.5)/A2stdlife))</f>
        <v>0</v>
      </c>
      <c r="AI93" s="107">
        <f>IF(A2stdlife="n/a","n/a",IF(AI$3&gt;(A2stdlife+$E93),('PTRM input'!$I$144*(1+rvanilla03)^0.5)-SUM($I93:AH93),('PTRM input'!$I$144*(1+rvanilla03)^0.5)/A2stdlife))</f>
        <v>0</v>
      </c>
      <c r="AJ93" s="107">
        <f>IF(A2stdlife="n/a","n/a",IF(AJ$3&gt;(A2stdlife+$E93),('PTRM input'!$I$144*(1+rvanilla03)^0.5)-SUM($I93:AI93),('PTRM input'!$I$144*(1+rvanilla03)^0.5)/A2stdlife))</f>
        <v>0</v>
      </c>
      <c r="AK93" s="107">
        <f>IF(A2stdlife="n/a","n/a",IF(AK$3&gt;(A2stdlife+$E93),('PTRM input'!$I$144*(1+rvanilla03)^0.5)-SUM($I93:AJ93),('PTRM input'!$I$144*(1+rvanilla03)^0.5)/A2stdlife))</f>
        <v>0</v>
      </c>
      <c r="AL93" s="107">
        <f>IF(A2stdlife="n/a","n/a",IF(AL$3&gt;(A2stdlife+$E93),('PTRM input'!$I$144*(1+rvanilla03)^0.5)-SUM($I93:AK93),('PTRM input'!$I$144*(1+rvanilla03)^0.5)/A2stdlife))</f>
        <v>0</v>
      </c>
      <c r="AM93" s="107">
        <f>IF(A2stdlife="n/a","n/a",IF(AM$3&gt;(A2stdlife+$E93),('PTRM input'!$I$144*(1+rvanilla03)^0.5)-SUM($I93:AL93),('PTRM input'!$I$144*(1+rvanilla03)^0.5)/A2stdlife))</f>
        <v>0</v>
      </c>
      <c r="AN93" s="107">
        <f>IF(A2stdlife="n/a","n/a",IF(AN$3&gt;(A2stdlife+$E93),('PTRM input'!$I$144*(1+rvanilla03)^0.5)-SUM($I93:AM93),('PTRM input'!$I$144*(1+rvanilla03)^0.5)/A2stdlife))</f>
        <v>0</v>
      </c>
      <c r="AO93" s="107">
        <f>IF(A2stdlife="n/a","n/a",IF(AO$3&gt;(A2stdlife+$E93),('PTRM input'!$I$144*(1+rvanilla03)^0.5)-SUM($I93:AN93),('PTRM input'!$I$144*(1+rvanilla03)^0.5)/A2stdlife))</f>
        <v>0</v>
      </c>
      <c r="AP93" s="107">
        <f>IF(A2stdlife="n/a","n/a",IF(AP$3&gt;(A2stdlife+$E93),('PTRM input'!$I$144*(1+rvanilla03)^0.5)-SUM($I93:AO93),('PTRM input'!$I$144*(1+rvanilla03)^0.5)/A2stdlife))</f>
        <v>0</v>
      </c>
      <c r="AQ93" s="107">
        <f>IF(A2stdlife="n/a","n/a",IF(AQ$3&gt;(A2stdlife+$E93),('PTRM input'!$I$144*(1+rvanilla03)^0.5)-SUM($I93:AP93),('PTRM input'!$I$144*(1+rvanilla03)^0.5)/A2stdlife))</f>
        <v>0</v>
      </c>
      <c r="AR93" s="107">
        <f>IF(A2stdlife="n/a","n/a",IF(AR$3&gt;(A2stdlife+$E93),('PTRM input'!$I$144*(1+rvanilla03)^0.5)-SUM($I93:AQ93),('PTRM input'!$I$144*(1+rvanilla03)^0.5)/A2stdlife))</f>
        <v>0</v>
      </c>
      <c r="AS93" s="107">
        <f>IF(A2stdlife="n/a","n/a",IF(AS$3&gt;(A2stdlife+$E93),('PTRM input'!$I$144*(1+rvanilla03)^0.5)-SUM($I93:AR93),('PTRM input'!$I$144*(1+rvanilla03)^0.5)/A2stdlife))</f>
        <v>0</v>
      </c>
      <c r="AT93" s="107">
        <f>IF(A2stdlife="n/a","n/a",IF(AT$3&gt;(A2stdlife+$E93),('PTRM input'!$I$144*(1+rvanilla03)^0.5)-SUM($I93:AS93),('PTRM input'!$I$144*(1+rvanilla03)^0.5)/A2stdlife))</f>
        <v>0</v>
      </c>
      <c r="AU93" s="107">
        <f>IF(A2stdlife="n/a","n/a",IF(AU$3&gt;(A2stdlife+$E93),('PTRM input'!$I$144*(1+rvanilla03)^0.5)-SUM($I93:AT93),('PTRM input'!$I$144*(1+rvanilla03)^0.5)/A2stdlife))</f>
        <v>0</v>
      </c>
      <c r="AV93" s="107">
        <f>IF(A2stdlife="n/a","n/a",IF(AV$3&gt;(A2stdlife+$E93),('PTRM input'!$I$144*(1+rvanilla03)^0.5)-SUM($I93:AU93),('PTRM input'!$I$144*(1+rvanilla03)^0.5)/A2stdlife))</f>
        <v>0</v>
      </c>
      <c r="AW93" s="107">
        <f>IF(A2stdlife="n/a","n/a",IF(AW$3&gt;(A2stdlife+$E93),('PTRM input'!$I$144*(1+rvanilla03)^0.5)-SUM($I93:AV93),('PTRM input'!$I$144*(1+rvanilla03)^0.5)/A2stdlife))</f>
        <v>0</v>
      </c>
      <c r="AX93" s="107">
        <f>IF(A2stdlife="n/a","n/a",IF(AX$3&gt;(A2stdlife+$E93),('PTRM input'!$I$144*(1+rvanilla03)^0.5)-SUM($I93:AW93),('PTRM input'!$I$144*(1+rvanilla03)^0.5)/A2stdlife))</f>
        <v>0</v>
      </c>
      <c r="AY93" s="107">
        <f>IF(A2stdlife="n/a","n/a",IF(AY$3&gt;(A2stdlife+$E93),('PTRM input'!$I$144*(1+rvanilla03)^0.5)-SUM($I93:AX93),('PTRM input'!$I$144*(1+rvanilla03)^0.5)/A2stdlife))</f>
        <v>0</v>
      </c>
      <c r="AZ93" s="107">
        <f>IF(A2stdlife="n/a","n/a",IF(AZ$3&gt;(A2stdlife+$E93),('PTRM input'!$I$144*(1+rvanilla03)^0.5)-SUM($I93:AY93),('PTRM input'!$I$144*(1+rvanilla03)^0.5)/A2stdlife))</f>
        <v>0</v>
      </c>
      <c r="BA93" s="107">
        <f>IF(A2stdlife="n/a","n/a",IF(BA$3&gt;(A2stdlife+$E93),('PTRM input'!$I$144*(1+rvanilla03)^0.5)-SUM($I93:AZ93),('PTRM input'!$I$144*(1+rvanilla03)^0.5)/A2stdlife))</f>
        <v>0</v>
      </c>
      <c r="BB93" s="107">
        <f>IF(A2stdlife="n/a","n/a",IF(BB$3&gt;(A2stdlife+$E93),('PTRM input'!$I$144*(1+rvanilla03)^0.5)-SUM($I93:BA93),('PTRM input'!$I$144*(1+rvanilla03)^0.5)/A2stdlife))</f>
        <v>0</v>
      </c>
      <c r="BC93" s="107">
        <f>IF(A2stdlife="n/a","n/a",IF(BC$3&gt;(A2stdlife+$E93),('PTRM input'!$I$144*(1+rvanilla03)^0.5)-SUM($I93:BB93),('PTRM input'!$I$144*(1+rvanilla03)^0.5)/A2stdlife))</f>
        <v>0</v>
      </c>
      <c r="BD93" s="107">
        <f>IF(A2stdlife="n/a","n/a",IF(BD$3&gt;(A2stdlife+$E93),('PTRM input'!$I$144*(1+rvanilla03)^0.5)-SUM($I93:BC93),('PTRM input'!$I$144*(1+rvanilla03)^0.5)/A2stdlife))</f>
        <v>0</v>
      </c>
      <c r="BE93" s="107">
        <f>IF(A2stdlife="n/a","n/a",IF(BE$3&gt;(A2stdlife+$E93),('PTRM input'!$I$144*(1+rvanilla03)^0.5)-SUM($I93:BD93),('PTRM input'!$I$144*(1+rvanilla03)^0.5)/A2stdlife))</f>
        <v>0</v>
      </c>
      <c r="BF93" s="107">
        <f>IF(A2stdlife="n/a","n/a",IF(BF$3&gt;(A2stdlife+$E93),('PTRM input'!$I$144*(1+rvanilla03)^0.5)-SUM($I93:BE93),('PTRM input'!$I$144*(1+rvanilla03)^0.5)/A2stdlife))</f>
        <v>0</v>
      </c>
      <c r="BG93" s="107">
        <f>IF(A2stdlife="n/a","n/a",IF(BG$3&gt;(A2stdlife+$E93),('PTRM input'!$I$144*(1+rvanilla03)^0.5)-SUM($I93:BF93),('PTRM input'!$I$144*(1+rvanilla03)^0.5)/A2stdlife))</f>
        <v>0</v>
      </c>
      <c r="BH93" s="107">
        <f>IF(A2stdlife="n/a","n/a",IF(BH$3&gt;(A2stdlife+$E93),('PTRM input'!$I$144*(1+rvanilla03)^0.5)-SUM($I93:BG93),('PTRM input'!$I$144*(1+rvanilla03)^0.5)/A2stdlife))</f>
        <v>0</v>
      </c>
      <c r="BI93" s="107">
        <f>IF(A2stdlife="n/a","n/a",IF(BI$3&gt;(A2stdlife+$E93),('PTRM input'!$I$144*(1+rvanilla03)^0.5)-SUM($I93:BH93),('PTRM input'!$I$144*(1+rvanilla03)^0.5)/A2stdlife))</f>
        <v>0</v>
      </c>
      <c r="BJ93" s="237"/>
      <c r="BK93" s="237"/>
      <c r="BL93" s="237"/>
      <c r="BM93" s="237"/>
    </row>
    <row r="94" spans="1:65" s="190" customFormat="1" hidden="1" outlineLevel="2">
      <c r="A94" s="237"/>
      <c r="B94" s="33"/>
      <c r="C94" s="32"/>
      <c r="D94" s="1618"/>
      <c r="E94" s="169">
        <v>4</v>
      </c>
      <c r="F94" s="35"/>
      <c r="G94" s="184"/>
      <c r="H94" s="186"/>
      <c r="I94" s="186"/>
      <c r="J94" s="185"/>
      <c r="K94" s="107">
        <f>IF(A2stdlife="n/a","n/a",IF(K$3&gt;(A2stdlife+$E94),('PTRM input'!$J$144*(1+rvanilla04)^0.5)-SUM($J94:J94),('PTRM input'!$J$144*(1+rvanilla04)^0.5)/A2stdlife))</f>
        <v>0</v>
      </c>
      <c r="L94" s="107">
        <f>IF(A2stdlife="n/a","n/a",IF(L$3&gt;(A2stdlife+$E94),('PTRM input'!$J$144*(1+rvanilla04)^0.5)-SUM($J94:K94),('PTRM input'!$J$144*(1+rvanilla04)^0.5)/A2stdlife))</f>
        <v>0</v>
      </c>
      <c r="M94" s="107">
        <f>IF(A2stdlife="n/a","n/a",IF(M$3&gt;(A2stdlife+$E94),('PTRM input'!$J$144*(1+rvanilla04)^0.5)-SUM($J94:L94),('PTRM input'!$J$144*(1+rvanilla04)^0.5)/A2stdlife))</f>
        <v>0</v>
      </c>
      <c r="N94" s="107">
        <f>IF(A2stdlife="n/a","n/a",IF(N$3&gt;(A2stdlife+$E94),('PTRM input'!$J$144*(1+rvanilla04)^0.5)-SUM($J94:M94),('PTRM input'!$J$144*(1+rvanilla04)^0.5)/A2stdlife))</f>
        <v>0</v>
      </c>
      <c r="O94" s="107">
        <f>IF(A2stdlife="n/a","n/a",IF(O$3&gt;(A2stdlife+$E94),('PTRM input'!$J$144*(1+rvanilla04)^0.5)-SUM($J94:N94),('PTRM input'!$J$144*(1+rvanilla04)^0.5)/A2stdlife))</f>
        <v>0</v>
      </c>
      <c r="P94" s="107">
        <f>IF(A2stdlife="n/a","n/a",IF(P$3&gt;(A2stdlife+$E94),('PTRM input'!$J$144*(1+rvanilla04)^0.5)-SUM($J94:O94),('PTRM input'!$J$144*(1+rvanilla04)^0.5)/A2stdlife))</f>
        <v>0</v>
      </c>
      <c r="Q94" s="107">
        <f>IF(A2stdlife="n/a","n/a",IF(Q$3&gt;(A2stdlife+$E94),('PTRM input'!$J$144*(1+rvanilla04)^0.5)-SUM($J94:P94),('PTRM input'!$J$144*(1+rvanilla04)^0.5)/A2stdlife))</f>
        <v>0</v>
      </c>
      <c r="R94" s="107">
        <f>IF(A2stdlife="n/a","n/a",IF(R$3&gt;(A2stdlife+$E94),('PTRM input'!$J$144*(1+rvanilla04)^0.5)-SUM($J94:Q94),('PTRM input'!$J$144*(1+rvanilla04)^0.5)/A2stdlife))</f>
        <v>0</v>
      </c>
      <c r="S94" s="107">
        <f>IF(A2stdlife="n/a","n/a",IF(S$3&gt;(A2stdlife+$E94),('PTRM input'!$J$144*(1+rvanilla04)^0.5)-SUM($J94:R94),('PTRM input'!$J$144*(1+rvanilla04)^0.5)/A2stdlife))</f>
        <v>0</v>
      </c>
      <c r="T94" s="107">
        <f>IF(A2stdlife="n/a","n/a",IF(T$3&gt;(A2stdlife+$E94),('PTRM input'!$J$144*(1+rvanilla04)^0.5)-SUM($J94:S94),('PTRM input'!$J$144*(1+rvanilla04)^0.5)/A2stdlife))</f>
        <v>0</v>
      </c>
      <c r="U94" s="107">
        <f>IF(A2stdlife="n/a","n/a",IF(U$3&gt;(A2stdlife+$E94),('PTRM input'!$J$144*(1+rvanilla04)^0.5)-SUM($J94:T94),('PTRM input'!$J$144*(1+rvanilla04)^0.5)/A2stdlife))</f>
        <v>0</v>
      </c>
      <c r="V94" s="107">
        <f>IF(A2stdlife="n/a","n/a",IF(V$3&gt;(A2stdlife+$E94),('PTRM input'!$J$144*(1+rvanilla04)^0.5)-SUM($J94:U94),('PTRM input'!$J$144*(1+rvanilla04)^0.5)/A2stdlife))</f>
        <v>0</v>
      </c>
      <c r="W94" s="107">
        <f>IF(A2stdlife="n/a","n/a",IF(W$3&gt;(A2stdlife+$E94),('PTRM input'!$J$144*(1+rvanilla04)^0.5)-SUM($J94:V94),('PTRM input'!$J$144*(1+rvanilla04)^0.5)/A2stdlife))</f>
        <v>0</v>
      </c>
      <c r="X94" s="107">
        <f>IF(A2stdlife="n/a","n/a",IF(X$3&gt;(A2stdlife+$E94),('PTRM input'!$J$144*(1+rvanilla04)^0.5)-SUM($J94:W94),('PTRM input'!$J$144*(1+rvanilla04)^0.5)/A2stdlife))</f>
        <v>0</v>
      </c>
      <c r="Y94" s="107">
        <f>IF(A2stdlife="n/a","n/a",IF(Y$3&gt;(A2stdlife+$E94),('PTRM input'!$J$144*(1+rvanilla04)^0.5)-SUM($J94:X94),('PTRM input'!$J$144*(1+rvanilla04)^0.5)/A2stdlife))</f>
        <v>0</v>
      </c>
      <c r="Z94" s="107">
        <f>IF(A2stdlife="n/a","n/a",IF(Z$3&gt;(A2stdlife+$E94),('PTRM input'!$J$144*(1+rvanilla04)^0.5)-SUM($J94:Y94),('PTRM input'!$J$144*(1+rvanilla04)^0.5)/A2stdlife))</f>
        <v>0</v>
      </c>
      <c r="AA94" s="107">
        <f>IF(A2stdlife="n/a","n/a",IF(AA$3&gt;(A2stdlife+$E94),('PTRM input'!$J$144*(1+rvanilla04)^0.5)-SUM($J94:Z94),('PTRM input'!$J$144*(1+rvanilla04)^0.5)/A2stdlife))</f>
        <v>0</v>
      </c>
      <c r="AB94" s="107">
        <f>IF(A2stdlife="n/a","n/a",IF(AB$3&gt;(A2stdlife+$E94),('PTRM input'!$J$144*(1+rvanilla04)^0.5)-SUM($J94:AA94),('PTRM input'!$J$144*(1+rvanilla04)^0.5)/A2stdlife))</f>
        <v>0</v>
      </c>
      <c r="AC94" s="107">
        <f>IF(A2stdlife="n/a","n/a",IF(AC$3&gt;(A2stdlife+$E94),('PTRM input'!$J$144*(1+rvanilla04)^0.5)-SUM($J94:AB94),('PTRM input'!$J$144*(1+rvanilla04)^0.5)/A2stdlife))</f>
        <v>0</v>
      </c>
      <c r="AD94" s="107">
        <f>IF(A2stdlife="n/a","n/a",IF(AD$3&gt;(A2stdlife+$E94),('PTRM input'!$J$144*(1+rvanilla04)^0.5)-SUM($J94:AC94),('PTRM input'!$J$144*(1+rvanilla04)^0.5)/A2stdlife))</f>
        <v>0</v>
      </c>
      <c r="AE94" s="107">
        <f>IF(A2stdlife="n/a","n/a",IF(AE$3&gt;(A2stdlife+$E94),('PTRM input'!$J$144*(1+rvanilla04)^0.5)-SUM($J94:AD94),('PTRM input'!$J$144*(1+rvanilla04)^0.5)/A2stdlife))</f>
        <v>0</v>
      </c>
      <c r="AF94" s="107">
        <f>IF(A2stdlife="n/a","n/a",IF(AF$3&gt;(A2stdlife+$E94),('PTRM input'!$J$144*(1+rvanilla04)^0.5)-SUM($J94:AE94),('PTRM input'!$J$144*(1+rvanilla04)^0.5)/A2stdlife))</f>
        <v>0</v>
      </c>
      <c r="AG94" s="107">
        <f>IF(A2stdlife="n/a","n/a",IF(AG$3&gt;(A2stdlife+$E94),('PTRM input'!$J$144*(1+rvanilla04)^0.5)-SUM($J94:AF94),('PTRM input'!$J$144*(1+rvanilla04)^0.5)/A2stdlife))</f>
        <v>0</v>
      </c>
      <c r="AH94" s="107">
        <f>IF(A2stdlife="n/a","n/a",IF(AH$3&gt;(A2stdlife+$E94),('PTRM input'!$J$144*(1+rvanilla04)^0.5)-SUM($J94:AG94),('PTRM input'!$J$144*(1+rvanilla04)^0.5)/A2stdlife))</f>
        <v>0</v>
      </c>
      <c r="AI94" s="107">
        <f>IF(A2stdlife="n/a","n/a",IF(AI$3&gt;(A2stdlife+$E94),('PTRM input'!$J$144*(1+rvanilla04)^0.5)-SUM($J94:AH94),('PTRM input'!$J$144*(1+rvanilla04)^0.5)/A2stdlife))</f>
        <v>0</v>
      </c>
      <c r="AJ94" s="107">
        <f>IF(A2stdlife="n/a","n/a",IF(AJ$3&gt;(A2stdlife+$E94),('PTRM input'!$J$144*(1+rvanilla04)^0.5)-SUM($J94:AI94),('PTRM input'!$J$144*(1+rvanilla04)^0.5)/A2stdlife))</f>
        <v>0</v>
      </c>
      <c r="AK94" s="107">
        <f>IF(A2stdlife="n/a","n/a",IF(AK$3&gt;(A2stdlife+$E94),('PTRM input'!$J$144*(1+rvanilla04)^0.5)-SUM($J94:AJ94),('PTRM input'!$J$144*(1+rvanilla04)^0.5)/A2stdlife))</f>
        <v>0</v>
      </c>
      <c r="AL94" s="107">
        <f>IF(A2stdlife="n/a","n/a",IF(AL$3&gt;(A2stdlife+$E94),('PTRM input'!$J$144*(1+rvanilla04)^0.5)-SUM($J94:AK94),('PTRM input'!$J$144*(1+rvanilla04)^0.5)/A2stdlife))</f>
        <v>0</v>
      </c>
      <c r="AM94" s="107">
        <f>IF(A2stdlife="n/a","n/a",IF(AM$3&gt;(A2stdlife+$E94),('PTRM input'!$J$144*(1+rvanilla04)^0.5)-SUM($J94:AL94),('PTRM input'!$J$144*(1+rvanilla04)^0.5)/A2stdlife))</f>
        <v>0</v>
      </c>
      <c r="AN94" s="107">
        <f>IF(A2stdlife="n/a","n/a",IF(AN$3&gt;(A2stdlife+$E94),('PTRM input'!$J$144*(1+rvanilla04)^0.5)-SUM($J94:AM94),('PTRM input'!$J$144*(1+rvanilla04)^0.5)/A2stdlife))</f>
        <v>0</v>
      </c>
      <c r="AO94" s="107">
        <f>IF(A2stdlife="n/a","n/a",IF(AO$3&gt;(A2stdlife+$E94),('PTRM input'!$J$144*(1+rvanilla04)^0.5)-SUM($J94:AN94),('PTRM input'!$J$144*(1+rvanilla04)^0.5)/A2stdlife))</f>
        <v>0</v>
      </c>
      <c r="AP94" s="107">
        <f>IF(A2stdlife="n/a","n/a",IF(AP$3&gt;(A2stdlife+$E94),('PTRM input'!$J$144*(1+rvanilla04)^0.5)-SUM($J94:AO94),('PTRM input'!$J$144*(1+rvanilla04)^0.5)/A2stdlife))</f>
        <v>0</v>
      </c>
      <c r="AQ94" s="107">
        <f>IF(A2stdlife="n/a","n/a",IF(AQ$3&gt;(A2stdlife+$E94),('PTRM input'!$J$144*(1+rvanilla04)^0.5)-SUM($J94:AP94),('PTRM input'!$J$144*(1+rvanilla04)^0.5)/A2stdlife))</f>
        <v>0</v>
      </c>
      <c r="AR94" s="107">
        <f>IF(A2stdlife="n/a","n/a",IF(AR$3&gt;(A2stdlife+$E94),('PTRM input'!$J$144*(1+rvanilla04)^0.5)-SUM($J94:AQ94),('PTRM input'!$J$144*(1+rvanilla04)^0.5)/A2stdlife))</f>
        <v>0</v>
      </c>
      <c r="AS94" s="107">
        <f>IF(A2stdlife="n/a","n/a",IF(AS$3&gt;(A2stdlife+$E94),('PTRM input'!$J$144*(1+rvanilla04)^0.5)-SUM($J94:AR94),('PTRM input'!$J$144*(1+rvanilla04)^0.5)/A2stdlife))</f>
        <v>0</v>
      </c>
      <c r="AT94" s="107">
        <f>IF(A2stdlife="n/a","n/a",IF(AT$3&gt;(A2stdlife+$E94),('PTRM input'!$J$144*(1+rvanilla04)^0.5)-SUM($J94:AS94),('PTRM input'!$J$144*(1+rvanilla04)^0.5)/A2stdlife))</f>
        <v>0</v>
      </c>
      <c r="AU94" s="107">
        <f>IF(A2stdlife="n/a","n/a",IF(AU$3&gt;(A2stdlife+$E94),('PTRM input'!$J$144*(1+rvanilla04)^0.5)-SUM($J94:AT94),('PTRM input'!$J$144*(1+rvanilla04)^0.5)/A2stdlife))</f>
        <v>0</v>
      </c>
      <c r="AV94" s="107">
        <f>IF(A2stdlife="n/a","n/a",IF(AV$3&gt;(A2stdlife+$E94),('PTRM input'!$J$144*(1+rvanilla04)^0.5)-SUM($J94:AU94),('PTRM input'!$J$144*(1+rvanilla04)^0.5)/A2stdlife))</f>
        <v>0</v>
      </c>
      <c r="AW94" s="107">
        <f>IF(A2stdlife="n/a","n/a",IF(AW$3&gt;(A2stdlife+$E94),('PTRM input'!$J$144*(1+rvanilla04)^0.5)-SUM($J94:AV94),('PTRM input'!$J$144*(1+rvanilla04)^0.5)/A2stdlife))</f>
        <v>0</v>
      </c>
      <c r="AX94" s="107">
        <f>IF(A2stdlife="n/a","n/a",IF(AX$3&gt;(A2stdlife+$E94),('PTRM input'!$J$144*(1+rvanilla04)^0.5)-SUM($J94:AW94),('PTRM input'!$J$144*(1+rvanilla04)^0.5)/A2stdlife))</f>
        <v>0</v>
      </c>
      <c r="AY94" s="107">
        <f>IF(A2stdlife="n/a","n/a",IF(AY$3&gt;(A2stdlife+$E94),('PTRM input'!$J$144*(1+rvanilla04)^0.5)-SUM($J94:AX94),('PTRM input'!$J$144*(1+rvanilla04)^0.5)/A2stdlife))</f>
        <v>0</v>
      </c>
      <c r="AZ94" s="107">
        <f>IF(A2stdlife="n/a","n/a",IF(AZ$3&gt;(A2stdlife+$E94),('PTRM input'!$J$144*(1+rvanilla04)^0.5)-SUM($J94:AY94),('PTRM input'!$J$144*(1+rvanilla04)^0.5)/A2stdlife))</f>
        <v>0</v>
      </c>
      <c r="BA94" s="107">
        <f>IF(A2stdlife="n/a","n/a",IF(BA$3&gt;(A2stdlife+$E94),('PTRM input'!$J$144*(1+rvanilla04)^0.5)-SUM($J94:AZ94),('PTRM input'!$J$144*(1+rvanilla04)^0.5)/A2stdlife))</f>
        <v>0</v>
      </c>
      <c r="BB94" s="107">
        <f>IF(A2stdlife="n/a","n/a",IF(BB$3&gt;(A2stdlife+$E94),('PTRM input'!$J$144*(1+rvanilla04)^0.5)-SUM($J94:BA94),('PTRM input'!$J$144*(1+rvanilla04)^0.5)/A2stdlife))</f>
        <v>0</v>
      </c>
      <c r="BC94" s="107">
        <f>IF(A2stdlife="n/a","n/a",IF(BC$3&gt;(A2stdlife+$E94),('PTRM input'!$J$144*(1+rvanilla04)^0.5)-SUM($J94:BB94),('PTRM input'!$J$144*(1+rvanilla04)^0.5)/A2stdlife))</f>
        <v>0</v>
      </c>
      <c r="BD94" s="107">
        <f>IF(A2stdlife="n/a","n/a",IF(BD$3&gt;(A2stdlife+$E94),('PTRM input'!$J$144*(1+rvanilla04)^0.5)-SUM($J94:BC94),('PTRM input'!$J$144*(1+rvanilla04)^0.5)/A2stdlife))</f>
        <v>0</v>
      </c>
      <c r="BE94" s="107">
        <f>IF(A2stdlife="n/a","n/a",IF(BE$3&gt;(A2stdlife+$E94),('PTRM input'!$J$144*(1+rvanilla04)^0.5)-SUM($J94:BD94),('PTRM input'!$J$144*(1+rvanilla04)^0.5)/A2stdlife))</f>
        <v>0</v>
      </c>
      <c r="BF94" s="107">
        <f>IF(A2stdlife="n/a","n/a",IF(BF$3&gt;(A2stdlife+$E94),('PTRM input'!$J$144*(1+rvanilla04)^0.5)-SUM($J94:BE94),('PTRM input'!$J$144*(1+rvanilla04)^0.5)/A2stdlife))</f>
        <v>0</v>
      </c>
      <c r="BG94" s="107">
        <f>IF(A2stdlife="n/a","n/a",IF(BG$3&gt;(A2stdlife+$E94),('PTRM input'!$J$144*(1+rvanilla04)^0.5)-SUM($J94:BF94),('PTRM input'!$J$144*(1+rvanilla04)^0.5)/A2stdlife))</f>
        <v>0</v>
      </c>
      <c r="BH94" s="107">
        <f>IF(A2stdlife="n/a","n/a",IF(BH$3&gt;(A2stdlife+$E94),('PTRM input'!$J$144*(1+rvanilla04)^0.5)-SUM($J94:BG94),('PTRM input'!$J$144*(1+rvanilla04)^0.5)/A2stdlife))</f>
        <v>0</v>
      </c>
      <c r="BI94" s="107">
        <f>IF(A2stdlife="n/a","n/a",IF(BI$3&gt;(A2stdlife+$E94),('PTRM input'!$J$144*(1+rvanilla04)^0.5)-SUM($J94:BH94),('PTRM input'!$J$144*(1+rvanilla04)^0.5)/A2stdlife))</f>
        <v>0</v>
      </c>
      <c r="BJ94" s="237"/>
      <c r="BK94" s="237"/>
      <c r="BL94" s="237"/>
      <c r="BM94" s="237"/>
    </row>
    <row r="95" spans="1:65" s="190" customFormat="1" hidden="1" outlineLevel="2">
      <c r="A95" s="237"/>
      <c r="B95" s="33"/>
      <c r="C95" s="32"/>
      <c r="D95" s="1618"/>
      <c r="E95" s="169">
        <v>5</v>
      </c>
      <c r="F95" s="35"/>
      <c r="G95" s="184"/>
      <c r="H95" s="186"/>
      <c r="I95" s="186"/>
      <c r="J95" s="186"/>
      <c r="K95" s="185"/>
      <c r="L95" s="107">
        <f>IF(A2stdlife="n/a","n/a",IF(L$3&gt;(A2stdlife+$E95),('PTRM input'!$K$144*(1+rvanilla05)^0.5)-SUM($K95:K95),('PTRM input'!$K$144*(1+rvanilla05)^0.5)/A2stdlife))</f>
        <v>0</v>
      </c>
      <c r="M95" s="107">
        <f>IF(A2stdlife="n/a","n/a",IF(M$3&gt;(A2stdlife+$E95),('PTRM input'!$K$144*(1+rvanilla05)^0.5)-SUM($K95:L95),('PTRM input'!$K$144*(1+rvanilla05)^0.5)/A2stdlife))</f>
        <v>0</v>
      </c>
      <c r="N95" s="107">
        <f>IF(A2stdlife="n/a","n/a",IF(N$3&gt;(A2stdlife+$E95),('PTRM input'!$K$144*(1+rvanilla05)^0.5)-SUM($K95:M95),('PTRM input'!$K$144*(1+rvanilla05)^0.5)/A2stdlife))</f>
        <v>0</v>
      </c>
      <c r="O95" s="107">
        <f>IF(A2stdlife="n/a","n/a",IF(O$3&gt;(A2stdlife+$E95),('PTRM input'!$K$144*(1+rvanilla05)^0.5)-SUM($K95:N95),('PTRM input'!$K$144*(1+rvanilla05)^0.5)/A2stdlife))</f>
        <v>0</v>
      </c>
      <c r="P95" s="107">
        <f>IF(A2stdlife="n/a","n/a",IF(P$3&gt;(A2stdlife+$E95),('PTRM input'!$K$144*(1+rvanilla05)^0.5)-SUM($K95:O95),('PTRM input'!$K$144*(1+rvanilla05)^0.5)/A2stdlife))</f>
        <v>0</v>
      </c>
      <c r="Q95" s="107">
        <f>IF(A2stdlife="n/a","n/a",IF(Q$3&gt;(A2stdlife+$E95),('PTRM input'!$K$144*(1+rvanilla05)^0.5)-SUM($K95:P95),('PTRM input'!$K$144*(1+rvanilla05)^0.5)/A2stdlife))</f>
        <v>0</v>
      </c>
      <c r="R95" s="107">
        <f>IF(A2stdlife="n/a","n/a",IF(R$3&gt;(A2stdlife+$E95),('PTRM input'!$K$144*(1+rvanilla05)^0.5)-SUM($K95:Q95),('PTRM input'!$K$144*(1+rvanilla05)^0.5)/A2stdlife))</f>
        <v>0</v>
      </c>
      <c r="S95" s="107">
        <f>IF(A2stdlife="n/a","n/a",IF(S$3&gt;(A2stdlife+$E95),('PTRM input'!$K$144*(1+rvanilla05)^0.5)-SUM($K95:R95),('PTRM input'!$K$144*(1+rvanilla05)^0.5)/A2stdlife))</f>
        <v>0</v>
      </c>
      <c r="T95" s="107">
        <f>IF(A2stdlife="n/a","n/a",IF(T$3&gt;(A2stdlife+$E95),('PTRM input'!$K$144*(1+rvanilla05)^0.5)-SUM($K95:S95),('PTRM input'!$K$144*(1+rvanilla05)^0.5)/A2stdlife))</f>
        <v>0</v>
      </c>
      <c r="U95" s="107">
        <f>IF(A2stdlife="n/a","n/a",IF(U$3&gt;(A2stdlife+$E95),('PTRM input'!$K$144*(1+rvanilla05)^0.5)-SUM($K95:T95),('PTRM input'!$K$144*(1+rvanilla05)^0.5)/A2stdlife))</f>
        <v>0</v>
      </c>
      <c r="V95" s="107">
        <f>IF(A2stdlife="n/a","n/a",IF(V$3&gt;(A2stdlife+$E95),('PTRM input'!$K$144*(1+rvanilla05)^0.5)-SUM($K95:U95),('PTRM input'!$K$144*(1+rvanilla05)^0.5)/A2stdlife))</f>
        <v>0</v>
      </c>
      <c r="W95" s="107">
        <f>IF(A2stdlife="n/a","n/a",IF(W$3&gt;(A2stdlife+$E95),('PTRM input'!$K$144*(1+rvanilla05)^0.5)-SUM($K95:V95),('PTRM input'!$K$144*(1+rvanilla05)^0.5)/A2stdlife))</f>
        <v>0</v>
      </c>
      <c r="X95" s="107">
        <f>IF(A2stdlife="n/a","n/a",IF(X$3&gt;(A2stdlife+$E95),('PTRM input'!$K$144*(1+rvanilla05)^0.5)-SUM($K95:W95),('PTRM input'!$K$144*(1+rvanilla05)^0.5)/A2stdlife))</f>
        <v>0</v>
      </c>
      <c r="Y95" s="107">
        <f>IF(A2stdlife="n/a","n/a",IF(Y$3&gt;(A2stdlife+$E95),('PTRM input'!$K$144*(1+rvanilla05)^0.5)-SUM($K95:X95),('PTRM input'!$K$144*(1+rvanilla05)^0.5)/A2stdlife))</f>
        <v>0</v>
      </c>
      <c r="Z95" s="107">
        <f>IF(A2stdlife="n/a","n/a",IF(Z$3&gt;(A2stdlife+$E95),('PTRM input'!$K$144*(1+rvanilla05)^0.5)-SUM($K95:Y95),('PTRM input'!$K$144*(1+rvanilla05)^0.5)/A2stdlife))</f>
        <v>0</v>
      </c>
      <c r="AA95" s="107">
        <f>IF(A2stdlife="n/a","n/a",IF(AA$3&gt;(A2stdlife+$E95),('PTRM input'!$K$144*(1+rvanilla05)^0.5)-SUM($K95:Z95),('PTRM input'!$K$144*(1+rvanilla05)^0.5)/A2stdlife))</f>
        <v>0</v>
      </c>
      <c r="AB95" s="107">
        <f>IF(A2stdlife="n/a","n/a",IF(AB$3&gt;(A2stdlife+$E95),('PTRM input'!$K$144*(1+rvanilla05)^0.5)-SUM($K95:AA95),('PTRM input'!$K$144*(1+rvanilla05)^0.5)/A2stdlife))</f>
        <v>0</v>
      </c>
      <c r="AC95" s="107">
        <f>IF(A2stdlife="n/a","n/a",IF(AC$3&gt;(A2stdlife+$E95),('PTRM input'!$K$144*(1+rvanilla05)^0.5)-SUM($K95:AB95),('PTRM input'!$K$144*(1+rvanilla05)^0.5)/A2stdlife))</f>
        <v>0</v>
      </c>
      <c r="AD95" s="107">
        <f>IF(A2stdlife="n/a","n/a",IF(AD$3&gt;(A2stdlife+$E95),('PTRM input'!$K$144*(1+rvanilla05)^0.5)-SUM($K95:AC95),('PTRM input'!$K$144*(1+rvanilla05)^0.5)/A2stdlife))</f>
        <v>0</v>
      </c>
      <c r="AE95" s="107">
        <f>IF(A2stdlife="n/a","n/a",IF(AE$3&gt;(A2stdlife+$E95),('PTRM input'!$K$144*(1+rvanilla05)^0.5)-SUM($K95:AD95),('PTRM input'!$K$144*(1+rvanilla05)^0.5)/A2stdlife))</f>
        <v>0</v>
      </c>
      <c r="AF95" s="107">
        <f>IF(A2stdlife="n/a","n/a",IF(AF$3&gt;(A2stdlife+$E95),('PTRM input'!$K$144*(1+rvanilla05)^0.5)-SUM($K95:AE95),('PTRM input'!$K$144*(1+rvanilla05)^0.5)/A2stdlife))</f>
        <v>0</v>
      </c>
      <c r="AG95" s="107">
        <f>IF(A2stdlife="n/a","n/a",IF(AG$3&gt;(A2stdlife+$E95),('PTRM input'!$K$144*(1+rvanilla05)^0.5)-SUM($K95:AF95),('PTRM input'!$K$144*(1+rvanilla05)^0.5)/A2stdlife))</f>
        <v>0</v>
      </c>
      <c r="AH95" s="107">
        <f>IF(A2stdlife="n/a","n/a",IF(AH$3&gt;(A2stdlife+$E95),('PTRM input'!$K$144*(1+rvanilla05)^0.5)-SUM($K95:AG95),('PTRM input'!$K$144*(1+rvanilla05)^0.5)/A2stdlife))</f>
        <v>0</v>
      </c>
      <c r="AI95" s="107">
        <f>IF(A2stdlife="n/a","n/a",IF(AI$3&gt;(A2stdlife+$E95),('PTRM input'!$K$144*(1+rvanilla05)^0.5)-SUM($K95:AH95),('PTRM input'!$K$144*(1+rvanilla05)^0.5)/A2stdlife))</f>
        <v>0</v>
      </c>
      <c r="AJ95" s="107">
        <f>IF(A2stdlife="n/a","n/a",IF(AJ$3&gt;(A2stdlife+$E95),('PTRM input'!$K$144*(1+rvanilla05)^0.5)-SUM($K95:AI95),('PTRM input'!$K$144*(1+rvanilla05)^0.5)/A2stdlife))</f>
        <v>0</v>
      </c>
      <c r="AK95" s="107">
        <f>IF(A2stdlife="n/a","n/a",IF(AK$3&gt;(A2stdlife+$E95),('PTRM input'!$K$144*(1+rvanilla05)^0.5)-SUM($K95:AJ95),('PTRM input'!$K$144*(1+rvanilla05)^0.5)/A2stdlife))</f>
        <v>0</v>
      </c>
      <c r="AL95" s="107">
        <f>IF(A2stdlife="n/a","n/a",IF(AL$3&gt;(A2stdlife+$E95),('PTRM input'!$K$144*(1+rvanilla05)^0.5)-SUM($K95:AK95),('PTRM input'!$K$144*(1+rvanilla05)^0.5)/A2stdlife))</f>
        <v>0</v>
      </c>
      <c r="AM95" s="107">
        <f>IF(A2stdlife="n/a","n/a",IF(AM$3&gt;(A2stdlife+$E95),('PTRM input'!$K$144*(1+rvanilla05)^0.5)-SUM($K95:AL95),('PTRM input'!$K$144*(1+rvanilla05)^0.5)/A2stdlife))</f>
        <v>0</v>
      </c>
      <c r="AN95" s="107">
        <f>IF(A2stdlife="n/a","n/a",IF(AN$3&gt;(A2stdlife+$E95),('PTRM input'!$K$144*(1+rvanilla05)^0.5)-SUM($K95:AM95),('PTRM input'!$K$144*(1+rvanilla05)^0.5)/A2stdlife))</f>
        <v>0</v>
      </c>
      <c r="AO95" s="107">
        <f>IF(A2stdlife="n/a","n/a",IF(AO$3&gt;(A2stdlife+$E95),('PTRM input'!$K$144*(1+rvanilla05)^0.5)-SUM($K95:AN95),('PTRM input'!$K$144*(1+rvanilla05)^0.5)/A2stdlife))</f>
        <v>0</v>
      </c>
      <c r="AP95" s="107">
        <f>IF(A2stdlife="n/a","n/a",IF(AP$3&gt;(A2stdlife+$E95),('PTRM input'!$K$144*(1+rvanilla05)^0.5)-SUM($K95:AO95),('PTRM input'!$K$144*(1+rvanilla05)^0.5)/A2stdlife))</f>
        <v>0</v>
      </c>
      <c r="AQ95" s="107">
        <f>IF(A2stdlife="n/a","n/a",IF(AQ$3&gt;(A2stdlife+$E95),('PTRM input'!$K$144*(1+rvanilla05)^0.5)-SUM($K95:AP95),('PTRM input'!$K$144*(1+rvanilla05)^0.5)/A2stdlife))</f>
        <v>0</v>
      </c>
      <c r="AR95" s="107">
        <f>IF(A2stdlife="n/a","n/a",IF(AR$3&gt;(A2stdlife+$E95),('PTRM input'!$K$144*(1+rvanilla05)^0.5)-SUM($K95:AQ95),('PTRM input'!$K$144*(1+rvanilla05)^0.5)/A2stdlife))</f>
        <v>0</v>
      </c>
      <c r="AS95" s="107">
        <f>IF(A2stdlife="n/a","n/a",IF(AS$3&gt;(A2stdlife+$E95),('PTRM input'!$K$144*(1+rvanilla05)^0.5)-SUM($K95:AR95),('PTRM input'!$K$144*(1+rvanilla05)^0.5)/A2stdlife))</f>
        <v>0</v>
      </c>
      <c r="AT95" s="107">
        <f>IF(A2stdlife="n/a","n/a",IF(AT$3&gt;(A2stdlife+$E95),('PTRM input'!$K$144*(1+rvanilla05)^0.5)-SUM($K95:AS95),('PTRM input'!$K$144*(1+rvanilla05)^0.5)/A2stdlife))</f>
        <v>0</v>
      </c>
      <c r="AU95" s="107">
        <f>IF(A2stdlife="n/a","n/a",IF(AU$3&gt;(A2stdlife+$E95),('PTRM input'!$K$144*(1+rvanilla05)^0.5)-SUM($K95:AT95),('PTRM input'!$K$144*(1+rvanilla05)^0.5)/A2stdlife))</f>
        <v>0</v>
      </c>
      <c r="AV95" s="107">
        <f>IF(A2stdlife="n/a","n/a",IF(AV$3&gt;(A2stdlife+$E95),('PTRM input'!$K$144*(1+rvanilla05)^0.5)-SUM($K95:AU95),('PTRM input'!$K$144*(1+rvanilla05)^0.5)/A2stdlife))</f>
        <v>0</v>
      </c>
      <c r="AW95" s="107">
        <f>IF(A2stdlife="n/a","n/a",IF(AW$3&gt;(A2stdlife+$E95),('PTRM input'!$K$144*(1+rvanilla05)^0.5)-SUM($K95:AV95),('PTRM input'!$K$144*(1+rvanilla05)^0.5)/A2stdlife))</f>
        <v>0</v>
      </c>
      <c r="AX95" s="107">
        <f>IF(A2stdlife="n/a","n/a",IF(AX$3&gt;(A2stdlife+$E95),('PTRM input'!$K$144*(1+rvanilla05)^0.5)-SUM($K95:AW95),('PTRM input'!$K$144*(1+rvanilla05)^0.5)/A2stdlife))</f>
        <v>0</v>
      </c>
      <c r="AY95" s="107">
        <f>IF(A2stdlife="n/a","n/a",IF(AY$3&gt;(A2stdlife+$E95),('PTRM input'!$K$144*(1+rvanilla05)^0.5)-SUM($K95:AX95),('PTRM input'!$K$144*(1+rvanilla05)^0.5)/A2stdlife))</f>
        <v>0</v>
      </c>
      <c r="AZ95" s="107">
        <f>IF(A2stdlife="n/a","n/a",IF(AZ$3&gt;(A2stdlife+$E95),('PTRM input'!$K$144*(1+rvanilla05)^0.5)-SUM($K95:AY95),('PTRM input'!$K$144*(1+rvanilla05)^0.5)/A2stdlife))</f>
        <v>0</v>
      </c>
      <c r="BA95" s="107">
        <f>IF(A2stdlife="n/a","n/a",IF(BA$3&gt;(A2stdlife+$E95),('PTRM input'!$K$144*(1+rvanilla05)^0.5)-SUM($K95:AZ95),('PTRM input'!$K$144*(1+rvanilla05)^0.5)/A2stdlife))</f>
        <v>0</v>
      </c>
      <c r="BB95" s="107">
        <f>IF(A2stdlife="n/a","n/a",IF(BB$3&gt;(A2stdlife+$E95),('PTRM input'!$K$144*(1+rvanilla05)^0.5)-SUM($K95:BA95),('PTRM input'!$K$144*(1+rvanilla05)^0.5)/A2stdlife))</f>
        <v>0</v>
      </c>
      <c r="BC95" s="107">
        <f>IF(A2stdlife="n/a","n/a",IF(BC$3&gt;(A2stdlife+$E95),('PTRM input'!$K$144*(1+rvanilla05)^0.5)-SUM($K95:BB95),('PTRM input'!$K$144*(1+rvanilla05)^0.5)/A2stdlife))</f>
        <v>0</v>
      </c>
      <c r="BD95" s="107">
        <f>IF(A2stdlife="n/a","n/a",IF(BD$3&gt;(A2stdlife+$E95),('PTRM input'!$K$144*(1+rvanilla05)^0.5)-SUM($K95:BC95),('PTRM input'!$K$144*(1+rvanilla05)^0.5)/A2stdlife))</f>
        <v>0</v>
      </c>
      <c r="BE95" s="107">
        <f>IF(A2stdlife="n/a","n/a",IF(BE$3&gt;(A2stdlife+$E95),('PTRM input'!$K$144*(1+rvanilla05)^0.5)-SUM($K95:BD95),('PTRM input'!$K$144*(1+rvanilla05)^0.5)/A2stdlife))</f>
        <v>0</v>
      </c>
      <c r="BF95" s="107">
        <f>IF(A2stdlife="n/a","n/a",IF(BF$3&gt;(A2stdlife+$E95),('PTRM input'!$K$144*(1+rvanilla05)^0.5)-SUM($K95:BE95),('PTRM input'!$K$144*(1+rvanilla05)^0.5)/A2stdlife))</f>
        <v>0</v>
      </c>
      <c r="BG95" s="107">
        <f>IF(A2stdlife="n/a","n/a",IF(BG$3&gt;(A2stdlife+$E95),('PTRM input'!$K$144*(1+rvanilla05)^0.5)-SUM($K95:BF95),('PTRM input'!$K$144*(1+rvanilla05)^0.5)/A2stdlife))</f>
        <v>0</v>
      </c>
      <c r="BH95" s="107">
        <f>IF(A2stdlife="n/a","n/a",IF(BH$3&gt;(A2stdlife+$E95),('PTRM input'!$K$144*(1+rvanilla05)^0.5)-SUM($K95:BG95),('PTRM input'!$K$144*(1+rvanilla05)^0.5)/A2stdlife))</f>
        <v>0</v>
      </c>
      <c r="BI95" s="107">
        <f>IF(A2stdlife="n/a","n/a",IF(BI$3&gt;(A2stdlife+$E95),('PTRM input'!$K$144*(1+rvanilla05)^0.5)-SUM($K95:BH95),('PTRM input'!$K$144*(1+rvanilla05)^0.5)/A2stdlife))</f>
        <v>0</v>
      </c>
      <c r="BJ95" s="237"/>
      <c r="BK95" s="237"/>
      <c r="BL95" s="237"/>
      <c r="BM95" s="237"/>
    </row>
    <row r="96" spans="1:65" s="190" customFormat="1" hidden="1" outlineLevel="2">
      <c r="A96" s="237"/>
      <c r="B96" s="33"/>
      <c r="C96" s="32"/>
      <c r="D96" s="1618"/>
      <c r="E96" s="169">
        <v>6</v>
      </c>
      <c r="F96" s="35"/>
      <c r="G96" s="184"/>
      <c r="H96" s="186"/>
      <c r="I96" s="186"/>
      <c r="J96" s="186"/>
      <c r="K96" s="186"/>
      <c r="L96" s="185"/>
      <c r="M96" s="107">
        <f>IF(A2stdlife="n/a","n/a",IF(M$3&gt;(A2stdlife+$E96),('PTRM input'!$L$144*(1+rvanilla06)^0.5)-SUM($L96:L96),('PTRM input'!$L$144*(1+rvanilla06)^0.5)/A2stdlife))</f>
        <v>0</v>
      </c>
      <c r="N96" s="107">
        <f>IF(A2stdlife="n/a","n/a",IF(N$3&gt;(A2stdlife+$E96),('PTRM input'!$L$144*(1+rvanilla06)^0.5)-SUM($L96:M96),('PTRM input'!$L$144*(1+rvanilla06)^0.5)/A2stdlife))</f>
        <v>0</v>
      </c>
      <c r="O96" s="107">
        <f>IF(A2stdlife="n/a","n/a",IF(O$3&gt;(A2stdlife+$E96),('PTRM input'!$L$144*(1+rvanilla06)^0.5)-SUM($L96:N96),('PTRM input'!$L$144*(1+rvanilla06)^0.5)/A2stdlife))</f>
        <v>0</v>
      </c>
      <c r="P96" s="107">
        <f>IF(A2stdlife="n/a","n/a",IF(P$3&gt;(A2stdlife+$E96),('PTRM input'!$L$144*(1+rvanilla06)^0.5)-SUM($L96:O96),('PTRM input'!$L$144*(1+rvanilla06)^0.5)/A2stdlife))</f>
        <v>0</v>
      </c>
      <c r="Q96" s="107">
        <f>IF(A2stdlife="n/a","n/a",IF(Q$3&gt;(A2stdlife+$E96),('PTRM input'!$L$144*(1+rvanilla06)^0.5)-SUM($L96:P96),('PTRM input'!$L$144*(1+rvanilla06)^0.5)/A2stdlife))</f>
        <v>0</v>
      </c>
      <c r="R96" s="107">
        <f>IF(A2stdlife="n/a","n/a",IF(R$3&gt;(A2stdlife+$E96),('PTRM input'!$L$144*(1+rvanilla06)^0.5)-SUM($L96:Q96),('PTRM input'!$L$144*(1+rvanilla06)^0.5)/A2stdlife))</f>
        <v>0</v>
      </c>
      <c r="S96" s="107">
        <f>IF(A2stdlife="n/a","n/a",IF(S$3&gt;(A2stdlife+$E96),('PTRM input'!$L$144*(1+rvanilla06)^0.5)-SUM($L96:R96),('PTRM input'!$L$144*(1+rvanilla06)^0.5)/A2stdlife))</f>
        <v>0</v>
      </c>
      <c r="T96" s="107">
        <f>IF(A2stdlife="n/a","n/a",IF(T$3&gt;(A2stdlife+$E96),('PTRM input'!$L$144*(1+rvanilla06)^0.5)-SUM($L96:S96),('PTRM input'!$L$144*(1+rvanilla06)^0.5)/A2stdlife))</f>
        <v>0</v>
      </c>
      <c r="U96" s="107">
        <f>IF(A2stdlife="n/a","n/a",IF(U$3&gt;(A2stdlife+$E96),('PTRM input'!$L$144*(1+rvanilla06)^0.5)-SUM($L96:T96),('PTRM input'!$L$144*(1+rvanilla06)^0.5)/A2stdlife))</f>
        <v>0</v>
      </c>
      <c r="V96" s="107">
        <f>IF(A2stdlife="n/a","n/a",IF(V$3&gt;(A2stdlife+$E96),('PTRM input'!$L$144*(1+rvanilla06)^0.5)-SUM($L96:U96),('PTRM input'!$L$144*(1+rvanilla06)^0.5)/A2stdlife))</f>
        <v>0</v>
      </c>
      <c r="W96" s="107">
        <f>IF(A2stdlife="n/a","n/a",IF(W$3&gt;(A2stdlife+$E96),('PTRM input'!$L$144*(1+rvanilla06)^0.5)-SUM($L96:V96),('PTRM input'!$L$144*(1+rvanilla06)^0.5)/A2stdlife))</f>
        <v>0</v>
      </c>
      <c r="X96" s="107">
        <f>IF(A2stdlife="n/a","n/a",IF(X$3&gt;(A2stdlife+$E96),('PTRM input'!$L$144*(1+rvanilla06)^0.5)-SUM($L96:W96),('PTRM input'!$L$144*(1+rvanilla06)^0.5)/A2stdlife))</f>
        <v>0</v>
      </c>
      <c r="Y96" s="107">
        <f>IF(A2stdlife="n/a","n/a",IF(Y$3&gt;(A2stdlife+$E96),('PTRM input'!$L$144*(1+rvanilla06)^0.5)-SUM($L96:X96),('PTRM input'!$L$144*(1+rvanilla06)^0.5)/A2stdlife))</f>
        <v>0</v>
      </c>
      <c r="Z96" s="107">
        <f>IF(A2stdlife="n/a","n/a",IF(Z$3&gt;(A2stdlife+$E96),('PTRM input'!$L$144*(1+rvanilla06)^0.5)-SUM($L96:Y96),('PTRM input'!$L$144*(1+rvanilla06)^0.5)/A2stdlife))</f>
        <v>0</v>
      </c>
      <c r="AA96" s="107">
        <f>IF(A2stdlife="n/a","n/a",IF(AA$3&gt;(A2stdlife+$E96),('PTRM input'!$L$144*(1+rvanilla06)^0.5)-SUM($L96:Z96),('PTRM input'!$L$144*(1+rvanilla06)^0.5)/A2stdlife))</f>
        <v>0</v>
      </c>
      <c r="AB96" s="107">
        <f>IF(A2stdlife="n/a","n/a",IF(AB$3&gt;(A2stdlife+$E96),('PTRM input'!$L$144*(1+rvanilla06)^0.5)-SUM($L96:AA96),('PTRM input'!$L$144*(1+rvanilla06)^0.5)/A2stdlife))</f>
        <v>0</v>
      </c>
      <c r="AC96" s="107">
        <f>IF(A2stdlife="n/a","n/a",IF(AC$3&gt;(A2stdlife+$E96),('PTRM input'!$L$144*(1+rvanilla06)^0.5)-SUM($L96:AB96),('PTRM input'!$L$144*(1+rvanilla06)^0.5)/A2stdlife))</f>
        <v>0</v>
      </c>
      <c r="AD96" s="107">
        <f>IF(A2stdlife="n/a","n/a",IF(AD$3&gt;(A2stdlife+$E96),('PTRM input'!$L$144*(1+rvanilla06)^0.5)-SUM($L96:AC96),('PTRM input'!$L$144*(1+rvanilla06)^0.5)/A2stdlife))</f>
        <v>0</v>
      </c>
      <c r="AE96" s="107">
        <f>IF(A2stdlife="n/a","n/a",IF(AE$3&gt;(A2stdlife+$E96),('PTRM input'!$L$144*(1+rvanilla06)^0.5)-SUM($L96:AD96),('PTRM input'!$L$144*(1+rvanilla06)^0.5)/A2stdlife))</f>
        <v>0</v>
      </c>
      <c r="AF96" s="107">
        <f>IF(A2stdlife="n/a","n/a",IF(AF$3&gt;(A2stdlife+$E96),('PTRM input'!$L$144*(1+rvanilla06)^0.5)-SUM($L96:AE96),('PTRM input'!$L$144*(1+rvanilla06)^0.5)/A2stdlife))</f>
        <v>0</v>
      </c>
      <c r="AG96" s="107">
        <f>IF(A2stdlife="n/a","n/a",IF(AG$3&gt;(A2stdlife+$E96),('PTRM input'!$L$144*(1+rvanilla06)^0.5)-SUM($L96:AF96),('PTRM input'!$L$144*(1+rvanilla06)^0.5)/A2stdlife))</f>
        <v>0</v>
      </c>
      <c r="AH96" s="107">
        <f>IF(A2stdlife="n/a","n/a",IF(AH$3&gt;(A2stdlife+$E96),('PTRM input'!$L$144*(1+rvanilla06)^0.5)-SUM($L96:AG96),('PTRM input'!$L$144*(1+rvanilla06)^0.5)/A2stdlife))</f>
        <v>0</v>
      </c>
      <c r="AI96" s="107">
        <f>IF(A2stdlife="n/a","n/a",IF(AI$3&gt;(A2stdlife+$E96),('PTRM input'!$L$144*(1+rvanilla06)^0.5)-SUM($L96:AH96),('PTRM input'!$L$144*(1+rvanilla06)^0.5)/A2stdlife))</f>
        <v>0</v>
      </c>
      <c r="AJ96" s="107">
        <f>IF(A2stdlife="n/a","n/a",IF(AJ$3&gt;(A2stdlife+$E96),('PTRM input'!$L$144*(1+rvanilla06)^0.5)-SUM($L96:AI96),('PTRM input'!$L$144*(1+rvanilla06)^0.5)/A2stdlife))</f>
        <v>0</v>
      </c>
      <c r="AK96" s="107">
        <f>IF(A2stdlife="n/a","n/a",IF(AK$3&gt;(A2stdlife+$E96),('PTRM input'!$L$144*(1+rvanilla06)^0.5)-SUM($L96:AJ96),('PTRM input'!$L$144*(1+rvanilla06)^0.5)/A2stdlife))</f>
        <v>0</v>
      </c>
      <c r="AL96" s="107">
        <f>IF(A2stdlife="n/a","n/a",IF(AL$3&gt;(A2stdlife+$E96),('PTRM input'!$L$144*(1+rvanilla06)^0.5)-SUM($L96:AK96),('PTRM input'!$L$144*(1+rvanilla06)^0.5)/A2stdlife))</f>
        <v>0</v>
      </c>
      <c r="AM96" s="107">
        <f>IF(A2stdlife="n/a","n/a",IF(AM$3&gt;(A2stdlife+$E96),('PTRM input'!$L$144*(1+rvanilla06)^0.5)-SUM($L96:AL96),('PTRM input'!$L$144*(1+rvanilla06)^0.5)/A2stdlife))</f>
        <v>0</v>
      </c>
      <c r="AN96" s="107">
        <f>IF(A2stdlife="n/a","n/a",IF(AN$3&gt;(A2stdlife+$E96),('PTRM input'!$L$144*(1+rvanilla06)^0.5)-SUM($L96:AM96),('PTRM input'!$L$144*(1+rvanilla06)^0.5)/A2stdlife))</f>
        <v>0</v>
      </c>
      <c r="AO96" s="107">
        <f>IF(A2stdlife="n/a","n/a",IF(AO$3&gt;(A2stdlife+$E96),('PTRM input'!$L$144*(1+rvanilla06)^0.5)-SUM($L96:AN96),('PTRM input'!$L$144*(1+rvanilla06)^0.5)/A2stdlife))</f>
        <v>0</v>
      </c>
      <c r="AP96" s="107">
        <f>IF(A2stdlife="n/a","n/a",IF(AP$3&gt;(A2stdlife+$E96),('PTRM input'!$L$144*(1+rvanilla06)^0.5)-SUM($L96:AO96),('PTRM input'!$L$144*(1+rvanilla06)^0.5)/A2stdlife))</f>
        <v>0</v>
      </c>
      <c r="AQ96" s="107">
        <f>IF(A2stdlife="n/a","n/a",IF(AQ$3&gt;(A2stdlife+$E96),('PTRM input'!$L$144*(1+rvanilla06)^0.5)-SUM($L96:AP96),('PTRM input'!$L$144*(1+rvanilla06)^0.5)/A2stdlife))</f>
        <v>0</v>
      </c>
      <c r="AR96" s="107">
        <f>IF(A2stdlife="n/a","n/a",IF(AR$3&gt;(A2stdlife+$E96),('PTRM input'!$L$144*(1+rvanilla06)^0.5)-SUM($L96:AQ96),('PTRM input'!$L$144*(1+rvanilla06)^0.5)/A2stdlife))</f>
        <v>0</v>
      </c>
      <c r="AS96" s="107">
        <f>IF(A2stdlife="n/a","n/a",IF(AS$3&gt;(A2stdlife+$E96),('PTRM input'!$L$144*(1+rvanilla06)^0.5)-SUM($L96:AR96),('PTRM input'!$L$144*(1+rvanilla06)^0.5)/A2stdlife))</f>
        <v>0</v>
      </c>
      <c r="AT96" s="107">
        <f>IF(A2stdlife="n/a","n/a",IF(AT$3&gt;(A2stdlife+$E96),('PTRM input'!$L$144*(1+rvanilla06)^0.5)-SUM($L96:AS96),('PTRM input'!$L$144*(1+rvanilla06)^0.5)/A2stdlife))</f>
        <v>0</v>
      </c>
      <c r="AU96" s="107">
        <f>IF(A2stdlife="n/a","n/a",IF(AU$3&gt;(A2stdlife+$E96),('PTRM input'!$L$144*(1+rvanilla06)^0.5)-SUM($L96:AT96),('PTRM input'!$L$144*(1+rvanilla06)^0.5)/A2stdlife))</f>
        <v>0</v>
      </c>
      <c r="AV96" s="107">
        <f>IF(A2stdlife="n/a","n/a",IF(AV$3&gt;(A2stdlife+$E96),('PTRM input'!$L$144*(1+rvanilla06)^0.5)-SUM($L96:AU96),('PTRM input'!$L$144*(1+rvanilla06)^0.5)/A2stdlife))</f>
        <v>0</v>
      </c>
      <c r="AW96" s="107">
        <f>IF(A2stdlife="n/a","n/a",IF(AW$3&gt;(A2stdlife+$E96),('PTRM input'!$L$144*(1+rvanilla06)^0.5)-SUM($L96:AV96),('PTRM input'!$L$144*(1+rvanilla06)^0.5)/A2stdlife))</f>
        <v>0</v>
      </c>
      <c r="AX96" s="107">
        <f>IF(A2stdlife="n/a","n/a",IF(AX$3&gt;(A2stdlife+$E96),('PTRM input'!$L$144*(1+rvanilla06)^0.5)-SUM($L96:AW96),('PTRM input'!$L$144*(1+rvanilla06)^0.5)/A2stdlife))</f>
        <v>0</v>
      </c>
      <c r="AY96" s="107">
        <f>IF(A2stdlife="n/a","n/a",IF(AY$3&gt;(A2stdlife+$E96),('PTRM input'!$L$144*(1+rvanilla06)^0.5)-SUM($L96:AX96),('PTRM input'!$L$144*(1+rvanilla06)^0.5)/A2stdlife))</f>
        <v>0</v>
      </c>
      <c r="AZ96" s="107">
        <f>IF(A2stdlife="n/a","n/a",IF(AZ$3&gt;(A2stdlife+$E96),('PTRM input'!$L$144*(1+rvanilla06)^0.5)-SUM($L96:AY96),('PTRM input'!$L$144*(1+rvanilla06)^0.5)/A2stdlife))</f>
        <v>0</v>
      </c>
      <c r="BA96" s="107">
        <f>IF(A2stdlife="n/a","n/a",IF(BA$3&gt;(A2stdlife+$E96),('PTRM input'!$L$144*(1+rvanilla06)^0.5)-SUM($L96:AZ96),('PTRM input'!$L$144*(1+rvanilla06)^0.5)/A2stdlife))</f>
        <v>0</v>
      </c>
      <c r="BB96" s="107">
        <f>IF(A2stdlife="n/a","n/a",IF(BB$3&gt;(A2stdlife+$E96),('PTRM input'!$L$144*(1+rvanilla06)^0.5)-SUM($L96:BA96),('PTRM input'!$L$144*(1+rvanilla06)^0.5)/A2stdlife))</f>
        <v>0</v>
      </c>
      <c r="BC96" s="107">
        <f>IF(A2stdlife="n/a","n/a",IF(BC$3&gt;(A2stdlife+$E96),('PTRM input'!$L$144*(1+rvanilla06)^0.5)-SUM($L96:BB96),('PTRM input'!$L$144*(1+rvanilla06)^0.5)/A2stdlife))</f>
        <v>0</v>
      </c>
      <c r="BD96" s="107">
        <f>IF(A2stdlife="n/a","n/a",IF(BD$3&gt;(A2stdlife+$E96),('PTRM input'!$L$144*(1+rvanilla06)^0.5)-SUM($L96:BC96),('PTRM input'!$L$144*(1+rvanilla06)^0.5)/A2stdlife))</f>
        <v>0</v>
      </c>
      <c r="BE96" s="107">
        <f>IF(A2stdlife="n/a","n/a",IF(BE$3&gt;(A2stdlife+$E96),('PTRM input'!$L$144*(1+rvanilla06)^0.5)-SUM($L96:BD96),('PTRM input'!$L$144*(1+rvanilla06)^0.5)/A2stdlife))</f>
        <v>0</v>
      </c>
      <c r="BF96" s="107">
        <f>IF(A2stdlife="n/a","n/a",IF(BF$3&gt;(A2stdlife+$E96),('PTRM input'!$L$144*(1+rvanilla06)^0.5)-SUM($L96:BE96),('PTRM input'!$L$144*(1+rvanilla06)^0.5)/A2stdlife))</f>
        <v>0</v>
      </c>
      <c r="BG96" s="107">
        <f>IF(A2stdlife="n/a","n/a",IF(BG$3&gt;(A2stdlife+$E96),('PTRM input'!$L$144*(1+rvanilla06)^0.5)-SUM($L96:BF96),('PTRM input'!$L$144*(1+rvanilla06)^0.5)/A2stdlife))</f>
        <v>0</v>
      </c>
      <c r="BH96" s="107">
        <f>IF(A2stdlife="n/a","n/a",IF(BH$3&gt;(A2stdlife+$E96),('PTRM input'!$L$144*(1+rvanilla06)^0.5)-SUM($L96:BG96),('PTRM input'!$L$144*(1+rvanilla06)^0.5)/A2stdlife))</f>
        <v>0</v>
      </c>
      <c r="BI96" s="107">
        <f>IF(A2stdlife="n/a","n/a",IF(BI$3&gt;(A2stdlife+$E96),('PTRM input'!$L$144*(1+rvanilla06)^0.5)-SUM($L96:BH96),('PTRM input'!$L$144*(1+rvanilla06)^0.5)/A2stdlife))</f>
        <v>0</v>
      </c>
      <c r="BJ96" s="237"/>
      <c r="BK96" s="237"/>
      <c r="BL96" s="237"/>
      <c r="BM96" s="237"/>
    </row>
    <row r="97" spans="1:65" s="190" customFormat="1" hidden="1" outlineLevel="2">
      <c r="A97" s="237"/>
      <c r="B97" s="33"/>
      <c r="C97" s="32"/>
      <c r="D97" s="1618"/>
      <c r="E97" s="169">
        <v>7</v>
      </c>
      <c r="F97" s="35"/>
      <c r="G97" s="184"/>
      <c r="H97" s="186"/>
      <c r="I97" s="186"/>
      <c r="J97" s="186"/>
      <c r="K97" s="186"/>
      <c r="L97" s="186"/>
      <c r="M97" s="185"/>
      <c r="N97" s="107">
        <f>IF(A2stdlife="n/a","n/a",IF(N$3&gt;(A2stdlife+$E97),('PTRM input'!$M$144*(1+rvanilla07)^0.5)-SUM($M97:M97),('PTRM input'!$M$144*(1+rvanilla07)^0.5)/A2stdlife))</f>
        <v>0</v>
      </c>
      <c r="O97" s="107">
        <f>IF(A2stdlife="n/a","n/a",IF(O$3&gt;(A2stdlife+$E97),('PTRM input'!$M$144*(1+rvanilla07)^0.5)-SUM($M97:N97),('PTRM input'!$M$144*(1+rvanilla07)^0.5)/A2stdlife))</f>
        <v>0</v>
      </c>
      <c r="P97" s="107">
        <f>IF(A2stdlife="n/a","n/a",IF(P$3&gt;(A2stdlife+$E97),('PTRM input'!$M$144*(1+rvanilla07)^0.5)-SUM($M97:O97),('PTRM input'!$M$144*(1+rvanilla07)^0.5)/A2stdlife))</f>
        <v>0</v>
      </c>
      <c r="Q97" s="107">
        <f>IF(A2stdlife="n/a","n/a",IF(Q$3&gt;(A2stdlife+$E97),('PTRM input'!$M$144*(1+rvanilla07)^0.5)-SUM($M97:P97),('PTRM input'!$M$144*(1+rvanilla07)^0.5)/A2stdlife))</f>
        <v>0</v>
      </c>
      <c r="R97" s="107">
        <f>IF(A2stdlife="n/a","n/a",IF(R$3&gt;(A2stdlife+$E97),('PTRM input'!$M$144*(1+rvanilla07)^0.5)-SUM($M97:Q97),('PTRM input'!$M$144*(1+rvanilla07)^0.5)/A2stdlife))</f>
        <v>0</v>
      </c>
      <c r="S97" s="107">
        <f>IF(A2stdlife="n/a","n/a",IF(S$3&gt;(A2stdlife+$E97),('PTRM input'!$M$144*(1+rvanilla07)^0.5)-SUM($M97:R97),('PTRM input'!$M$144*(1+rvanilla07)^0.5)/A2stdlife))</f>
        <v>0</v>
      </c>
      <c r="T97" s="107">
        <f>IF(A2stdlife="n/a","n/a",IF(T$3&gt;(A2stdlife+$E97),('PTRM input'!$M$144*(1+rvanilla07)^0.5)-SUM($M97:S97),('PTRM input'!$M$144*(1+rvanilla07)^0.5)/A2stdlife))</f>
        <v>0</v>
      </c>
      <c r="U97" s="107">
        <f>IF(A2stdlife="n/a","n/a",IF(U$3&gt;(A2stdlife+$E97),('PTRM input'!$M$144*(1+rvanilla07)^0.5)-SUM($M97:T97),('PTRM input'!$M$144*(1+rvanilla07)^0.5)/A2stdlife))</f>
        <v>0</v>
      </c>
      <c r="V97" s="107">
        <f>IF(A2stdlife="n/a","n/a",IF(V$3&gt;(A2stdlife+$E97),('PTRM input'!$M$144*(1+rvanilla07)^0.5)-SUM($M97:U97),('PTRM input'!$M$144*(1+rvanilla07)^0.5)/A2stdlife))</f>
        <v>0</v>
      </c>
      <c r="W97" s="107">
        <f>IF(A2stdlife="n/a","n/a",IF(W$3&gt;(A2stdlife+$E97),('PTRM input'!$M$144*(1+rvanilla07)^0.5)-SUM($M97:V97),('PTRM input'!$M$144*(1+rvanilla07)^0.5)/A2stdlife))</f>
        <v>0</v>
      </c>
      <c r="X97" s="107">
        <f>IF(A2stdlife="n/a","n/a",IF(X$3&gt;(A2stdlife+$E97),('PTRM input'!$M$144*(1+rvanilla07)^0.5)-SUM($M97:W97),('PTRM input'!$M$144*(1+rvanilla07)^0.5)/A2stdlife))</f>
        <v>0</v>
      </c>
      <c r="Y97" s="107">
        <f>IF(A2stdlife="n/a","n/a",IF(Y$3&gt;(A2stdlife+$E97),('PTRM input'!$M$144*(1+rvanilla07)^0.5)-SUM($M97:X97),('PTRM input'!$M$144*(1+rvanilla07)^0.5)/A2stdlife))</f>
        <v>0</v>
      </c>
      <c r="Z97" s="107">
        <f>IF(A2stdlife="n/a","n/a",IF(Z$3&gt;(A2stdlife+$E97),('PTRM input'!$M$144*(1+rvanilla07)^0.5)-SUM($M97:Y97),('PTRM input'!$M$144*(1+rvanilla07)^0.5)/A2stdlife))</f>
        <v>0</v>
      </c>
      <c r="AA97" s="107">
        <f>IF(A2stdlife="n/a","n/a",IF(AA$3&gt;(A2stdlife+$E97),('PTRM input'!$M$144*(1+rvanilla07)^0.5)-SUM($M97:Z97),('PTRM input'!$M$144*(1+rvanilla07)^0.5)/A2stdlife))</f>
        <v>0</v>
      </c>
      <c r="AB97" s="107">
        <f>IF(A2stdlife="n/a","n/a",IF(AB$3&gt;(A2stdlife+$E97),('PTRM input'!$M$144*(1+rvanilla07)^0.5)-SUM($M97:AA97),('PTRM input'!$M$144*(1+rvanilla07)^0.5)/A2stdlife))</f>
        <v>0</v>
      </c>
      <c r="AC97" s="107">
        <f>IF(A2stdlife="n/a","n/a",IF(AC$3&gt;(A2stdlife+$E97),('PTRM input'!$M$144*(1+rvanilla07)^0.5)-SUM($M97:AB97),('PTRM input'!$M$144*(1+rvanilla07)^0.5)/A2stdlife))</f>
        <v>0</v>
      </c>
      <c r="AD97" s="107">
        <f>IF(A2stdlife="n/a","n/a",IF(AD$3&gt;(A2stdlife+$E97),('PTRM input'!$M$144*(1+rvanilla07)^0.5)-SUM($M97:AC97),('PTRM input'!$M$144*(1+rvanilla07)^0.5)/A2stdlife))</f>
        <v>0</v>
      </c>
      <c r="AE97" s="107">
        <f>IF(A2stdlife="n/a","n/a",IF(AE$3&gt;(A2stdlife+$E97),('PTRM input'!$M$144*(1+rvanilla07)^0.5)-SUM($M97:AD97),('PTRM input'!$M$144*(1+rvanilla07)^0.5)/A2stdlife))</f>
        <v>0</v>
      </c>
      <c r="AF97" s="107">
        <f>IF(A2stdlife="n/a","n/a",IF(AF$3&gt;(A2stdlife+$E97),('PTRM input'!$M$144*(1+rvanilla07)^0.5)-SUM($M97:AE97),('PTRM input'!$M$144*(1+rvanilla07)^0.5)/A2stdlife))</f>
        <v>0</v>
      </c>
      <c r="AG97" s="107">
        <f>IF(A2stdlife="n/a","n/a",IF(AG$3&gt;(A2stdlife+$E97),('PTRM input'!$M$144*(1+rvanilla07)^0.5)-SUM($M97:AF97),('PTRM input'!$M$144*(1+rvanilla07)^0.5)/A2stdlife))</f>
        <v>0</v>
      </c>
      <c r="AH97" s="107">
        <f>IF(A2stdlife="n/a","n/a",IF(AH$3&gt;(A2stdlife+$E97),('PTRM input'!$M$144*(1+rvanilla07)^0.5)-SUM($M97:AG97),('PTRM input'!$M$144*(1+rvanilla07)^0.5)/A2stdlife))</f>
        <v>0</v>
      </c>
      <c r="AI97" s="107">
        <f>IF(A2stdlife="n/a","n/a",IF(AI$3&gt;(A2stdlife+$E97),('PTRM input'!$M$144*(1+rvanilla07)^0.5)-SUM($M97:AH97),('PTRM input'!$M$144*(1+rvanilla07)^0.5)/A2stdlife))</f>
        <v>0</v>
      </c>
      <c r="AJ97" s="107">
        <f>IF(A2stdlife="n/a","n/a",IF(AJ$3&gt;(A2stdlife+$E97),('PTRM input'!$M$144*(1+rvanilla07)^0.5)-SUM($M97:AI97),('PTRM input'!$M$144*(1+rvanilla07)^0.5)/A2stdlife))</f>
        <v>0</v>
      </c>
      <c r="AK97" s="107">
        <f>IF(A2stdlife="n/a","n/a",IF(AK$3&gt;(A2stdlife+$E97),('PTRM input'!$M$144*(1+rvanilla07)^0.5)-SUM($M97:AJ97),('PTRM input'!$M$144*(1+rvanilla07)^0.5)/A2stdlife))</f>
        <v>0</v>
      </c>
      <c r="AL97" s="107">
        <f>IF(A2stdlife="n/a","n/a",IF(AL$3&gt;(A2stdlife+$E97),('PTRM input'!$M$144*(1+rvanilla07)^0.5)-SUM($M97:AK97),('PTRM input'!$M$144*(1+rvanilla07)^0.5)/A2stdlife))</f>
        <v>0</v>
      </c>
      <c r="AM97" s="107">
        <f>IF(A2stdlife="n/a","n/a",IF(AM$3&gt;(A2stdlife+$E97),('PTRM input'!$M$144*(1+rvanilla07)^0.5)-SUM($M97:AL97),('PTRM input'!$M$144*(1+rvanilla07)^0.5)/A2stdlife))</f>
        <v>0</v>
      </c>
      <c r="AN97" s="107">
        <f>IF(A2stdlife="n/a","n/a",IF(AN$3&gt;(A2stdlife+$E97),('PTRM input'!$M$144*(1+rvanilla07)^0.5)-SUM($M97:AM97),('PTRM input'!$M$144*(1+rvanilla07)^0.5)/A2stdlife))</f>
        <v>0</v>
      </c>
      <c r="AO97" s="107">
        <f>IF(A2stdlife="n/a","n/a",IF(AO$3&gt;(A2stdlife+$E97),('PTRM input'!$M$144*(1+rvanilla07)^0.5)-SUM($M97:AN97),('PTRM input'!$M$144*(1+rvanilla07)^0.5)/A2stdlife))</f>
        <v>0</v>
      </c>
      <c r="AP97" s="107">
        <f>IF(A2stdlife="n/a","n/a",IF(AP$3&gt;(A2stdlife+$E97),('PTRM input'!$M$144*(1+rvanilla07)^0.5)-SUM($M97:AO97),('PTRM input'!$M$144*(1+rvanilla07)^0.5)/A2stdlife))</f>
        <v>0</v>
      </c>
      <c r="AQ97" s="107">
        <f>IF(A2stdlife="n/a","n/a",IF(AQ$3&gt;(A2stdlife+$E97),('PTRM input'!$M$144*(1+rvanilla07)^0.5)-SUM($M97:AP97),('PTRM input'!$M$144*(1+rvanilla07)^0.5)/A2stdlife))</f>
        <v>0</v>
      </c>
      <c r="AR97" s="107">
        <f>IF(A2stdlife="n/a","n/a",IF(AR$3&gt;(A2stdlife+$E97),('PTRM input'!$M$144*(1+rvanilla07)^0.5)-SUM($M97:AQ97),('PTRM input'!$M$144*(1+rvanilla07)^0.5)/A2stdlife))</f>
        <v>0</v>
      </c>
      <c r="AS97" s="107">
        <f>IF(A2stdlife="n/a","n/a",IF(AS$3&gt;(A2stdlife+$E97),('PTRM input'!$M$144*(1+rvanilla07)^0.5)-SUM($M97:AR97),('PTRM input'!$M$144*(1+rvanilla07)^0.5)/A2stdlife))</f>
        <v>0</v>
      </c>
      <c r="AT97" s="107">
        <f>IF(A2stdlife="n/a","n/a",IF(AT$3&gt;(A2stdlife+$E97),('PTRM input'!$M$144*(1+rvanilla07)^0.5)-SUM($M97:AS97),('PTRM input'!$M$144*(1+rvanilla07)^0.5)/A2stdlife))</f>
        <v>0</v>
      </c>
      <c r="AU97" s="107">
        <f>IF(A2stdlife="n/a","n/a",IF(AU$3&gt;(A2stdlife+$E97),('PTRM input'!$M$144*(1+rvanilla07)^0.5)-SUM($M97:AT97),('PTRM input'!$M$144*(1+rvanilla07)^0.5)/A2stdlife))</f>
        <v>0</v>
      </c>
      <c r="AV97" s="107">
        <f>IF(A2stdlife="n/a","n/a",IF(AV$3&gt;(A2stdlife+$E97),('PTRM input'!$M$144*(1+rvanilla07)^0.5)-SUM($M97:AU97),('PTRM input'!$M$144*(1+rvanilla07)^0.5)/A2stdlife))</f>
        <v>0</v>
      </c>
      <c r="AW97" s="107">
        <f>IF(A2stdlife="n/a","n/a",IF(AW$3&gt;(A2stdlife+$E97),('PTRM input'!$M$144*(1+rvanilla07)^0.5)-SUM($M97:AV97),('PTRM input'!$M$144*(1+rvanilla07)^0.5)/A2stdlife))</f>
        <v>0</v>
      </c>
      <c r="AX97" s="107">
        <f>IF(A2stdlife="n/a","n/a",IF(AX$3&gt;(A2stdlife+$E97),('PTRM input'!$M$144*(1+rvanilla07)^0.5)-SUM($M97:AW97),('PTRM input'!$M$144*(1+rvanilla07)^0.5)/A2stdlife))</f>
        <v>0</v>
      </c>
      <c r="AY97" s="107">
        <f>IF(A2stdlife="n/a","n/a",IF(AY$3&gt;(A2stdlife+$E97),('PTRM input'!$M$144*(1+rvanilla07)^0.5)-SUM($M97:AX97),('PTRM input'!$M$144*(1+rvanilla07)^0.5)/A2stdlife))</f>
        <v>0</v>
      </c>
      <c r="AZ97" s="107">
        <f>IF(A2stdlife="n/a","n/a",IF(AZ$3&gt;(A2stdlife+$E97),('PTRM input'!$M$144*(1+rvanilla07)^0.5)-SUM($M97:AY97),('PTRM input'!$M$144*(1+rvanilla07)^0.5)/A2stdlife))</f>
        <v>0</v>
      </c>
      <c r="BA97" s="107">
        <f>IF(A2stdlife="n/a","n/a",IF(BA$3&gt;(A2stdlife+$E97),('PTRM input'!$M$144*(1+rvanilla07)^0.5)-SUM($M97:AZ97),('PTRM input'!$M$144*(1+rvanilla07)^0.5)/A2stdlife))</f>
        <v>0</v>
      </c>
      <c r="BB97" s="107">
        <f>IF(A2stdlife="n/a","n/a",IF(BB$3&gt;(A2stdlife+$E97),('PTRM input'!$M$144*(1+rvanilla07)^0.5)-SUM($M97:BA97),('PTRM input'!$M$144*(1+rvanilla07)^0.5)/A2stdlife))</f>
        <v>0</v>
      </c>
      <c r="BC97" s="107">
        <f>IF(A2stdlife="n/a","n/a",IF(BC$3&gt;(A2stdlife+$E97),('PTRM input'!$M$144*(1+rvanilla07)^0.5)-SUM($M97:BB97),('PTRM input'!$M$144*(1+rvanilla07)^0.5)/A2stdlife))</f>
        <v>0</v>
      </c>
      <c r="BD97" s="107">
        <f>IF(A2stdlife="n/a","n/a",IF(BD$3&gt;(A2stdlife+$E97),('PTRM input'!$M$144*(1+rvanilla07)^0.5)-SUM($M97:BC97),('PTRM input'!$M$144*(1+rvanilla07)^0.5)/A2stdlife))</f>
        <v>0</v>
      </c>
      <c r="BE97" s="107">
        <f>IF(A2stdlife="n/a","n/a",IF(BE$3&gt;(A2stdlife+$E97),('PTRM input'!$M$144*(1+rvanilla07)^0.5)-SUM($M97:BD97),('PTRM input'!$M$144*(1+rvanilla07)^0.5)/A2stdlife))</f>
        <v>0</v>
      </c>
      <c r="BF97" s="107">
        <f>IF(A2stdlife="n/a","n/a",IF(BF$3&gt;(A2stdlife+$E97),('PTRM input'!$M$144*(1+rvanilla07)^0.5)-SUM($M97:BE97),('PTRM input'!$M$144*(1+rvanilla07)^0.5)/A2stdlife))</f>
        <v>0</v>
      </c>
      <c r="BG97" s="107">
        <f>IF(A2stdlife="n/a","n/a",IF(BG$3&gt;(A2stdlife+$E97),('PTRM input'!$M$144*(1+rvanilla07)^0.5)-SUM($M97:BF97),('PTRM input'!$M$144*(1+rvanilla07)^0.5)/A2stdlife))</f>
        <v>0</v>
      </c>
      <c r="BH97" s="107">
        <f>IF(A2stdlife="n/a","n/a",IF(BH$3&gt;(A2stdlife+$E97),('PTRM input'!$M$144*(1+rvanilla07)^0.5)-SUM($M97:BG97),('PTRM input'!$M$144*(1+rvanilla07)^0.5)/A2stdlife))</f>
        <v>0</v>
      </c>
      <c r="BI97" s="107">
        <f>IF(A2stdlife="n/a","n/a",IF(BI$3&gt;(A2stdlife+$E97),('PTRM input'!$M$144*(1+rvanilla07)^0.5)-SUM($M97:BH97),('PTRM input'!$M$144*(1+rvanilla07)^0.5)/A2stdlife))</f>
        <v>0</v>
      </c>
      <c r="BJ97" s="237"/>
      <c r="BK97" s="237"/>
      <c r="BL97" s="237"/>
      <c r="BM97" s="237"/>
    </row>
    <row r="98" spans="1:65" s="190" customFormat="1" hidden="1" outlineLevel="2">
      <c r="A98" s="237"/>
      <c r="B98" s="33"/>
      <c r="C98" s="32"/>
      <c r="D98" s="1618"/>
      <c r="E98" s="169">
        <v>8</v>
      </c>
      <c r="F98" s="35"/>
      <c r="G98" s="184"/>
      <c r="H98" s="186"/>
      <c r="I98" s="186"/>
      <c r="J98" s="186"/>
      <c r="K98" s="186"/>
      <c r="L98" s="186"/>
      <c r="M98" s="186"/>
      <c r="N98" s="185"/>
      <c r="O98" s="107">
        <f>IF(A2stdlife="n/a","n/a",IF(O$3&gt;(A2stdlife+$E98),('PTRM input'!$N$144*(1+rvanilla08)^0.5)-SUM($N98:N98),('PTRM input'!$N$144*(1+rvanilla08)^0.5)/A2stdlife))</f>
        <v>0</v>
      </c>
      <c r="P98" s="107">
        <f>IF(A2stdlife="n/a","n/a",IF(P$3&gt;(A2stdlife+$E98),('PTRM input'!$N$144*(1+rvanilla08)^0.5)-SUM($N98:O98),('PTRM input'!$N$144*(1+rvanilla08)^0.5)/A2stdlife))</f>
        <v>0</v>
      </c>
      <c r="Q98" s="107">
        <f>IF(A2stdlife="n/a","n/a",IF(Q$3&gt;(A2stdlife+$E98),('PTRM input'!$N$144*(1+rvanilla08)^0.5)-SUM($N98:P98),('PTRM input'!$N$144*(1+rvanilla08)^0.5)/A2stdlife))</f>
        <v>0</v>
      </c>
      <c r="R98" s="107">
        <f>IF(A2stdlife="n/a","n/a",IF(R$3&gt;(A2stdlife+$E98),('PTRM input'!$N$144*(1+rvanilla08)^0.5)-SUM($N98:Q98),('PTRM input'!$N$144*(1+rvanilla08)^0.5)/A2stdlife))</f>
        <v>0</v>
      </c>
      <c r="S98" s="107">
        <f>IF(A2stdlife="n/a","n/a",IF(S$3&gt;(A2stdlife+$E98),('PTRM input'!$N$144*(1+rvanilla08)^0.5)-SUM($N98:R98),('PTRM input'!$N$144*(1+rvanilla08)^0.5)/A2stdlife))</f>
        <v>0</v>
      </c>
      <c r="T98" s="107">
        <f>IF(A2stdlife="n/a","n/a",IF(T$3&gt;(A2stdlife+$E98),('PTRM input'!$N$144*(1+rvanilla08)^0.5)-SUM($N98:S98),('PTRM input'!$N$144*(1+rvanilla08)^0.5)/A2stdlife))</f>
        <v>0</v>
      </c>
      <c r="U98" s="107">
        <f>IF(A2stdlife="n/a","n/a",IF(U$3&gt;(A2stdlife+$E98),('PTRM input'!$N$144*(1+rvanilla08)^0.5)-SUM($N98:T98),('PTRM input'!$N$144*(1+rvanilla08)^0.5)/A2stdlife))</f>
        <v>0</v>
      </c>
      <c r="V98" s="107">
        <f>IF(A2stdlife="n/a","n/a",IF(V$3&gt;(A2stdlife+$E98),('PTRM input'!$N$144*(1+rvanilla08)^0.5)-SUM($N98:U98),('PTRM input'!$N$144*(1+rvanilla08)^0.5)/A2stdlife))</f>
        <v>0</v>
      </c>
      <c r="W98" s="107">
        <f>IF(A2stdlife="n/a","n/a",IF(W$3&gt;(A2stdlife+$E98),('PTRM input'!$N$144*(1+rvanilla08)^0.5)-SUM($N98:V98),('PTRM input'!$N$144*(1+rvanilla08)^0.5)/A2stdlife))</f>
        <v>0</v>
      </c>
      <c r="X98" s="107">
        <f>IF(A2stdlife="n/a","n/a",IF(X$3&gt;(A2stdlife+$E98),('PTRM input'!$N$144*(1+rvanilla08)^0.5)-SUM($N98:W98),('PTRM input'!$N$144*(1+rvanilla08)^0.5)/A2stdlife))</f>
        <v>0</v>
      </c>
      <c r="Y98" s="107">
        <f>IF(A2stdlife="n/a","n/a",IF(Y$3&gt;(A2stdlife+$E98),('PTRM input'!$N$144*(1+rvanilla08)^0.5)-SUM($N98:X98),('PTRM input'!$N$144*(1+rvanilla08)^0.5)/A2stdlife))</f>
        <v>0</v>
      </c>
      <c r="Z98" s="107">
        <f>IF(A2stdlife="n/a","n/a",IF(Z$3&gt;(A2stdlife+$E98),('PTRM input'!$N$144*(1+rvanilla08)^0.5)-SUM($N98:Y98),('PTRM input'!$N$144*(1+rvanilla08)^0.5)/A2stdlife))</f>
        <v>0</v>
      </c>
      <c r="AA98" s="107">
        <f>IF(A2stdlife="n/a","n/a",IF(AA$3&gt;(A2stdlife+$E98),('PTRM input'!$N$144*(1+rvanilla08)^0.5)-SUM($N98:Z98),('PTRM input'!$N$144*(1+rvanilla08)^0.5)/A2stdlife))</f>
        <v>0</v>
      </c>
      <c r="AB98" s="107">
        <f>IF(A2stdlife="n/a","n/a",IF(AB$3&gt;(A2stdlife+$E98),('PTRM input'!$N$144*(1+rvanilla08)^0.5)-SUM($N98:AA98),('PTRM input'!$N$144*(1+rvanilla08)^0.5)/A2stdlife))</f>
        <v>0</v>
      </c>
      <c r="AC98" s="107">
        <f>IF(A2stdlife="n/a","n/a",IF(AC$3&gt;(A2stdlife+$E98),('PTRM input'!$N$144*(1+rvanilla08)^0.5)-SUM($N98:AB98),('PTRM input'!$N$144*(1+rvanilla08)^0.5)/A2stdlife))</f>
        <v>0</v>
      </c>
      <c r="AD98" s="107">
        <f>IF(A2stdlife="n/a","n/a",IF(AD$3&gt;(A2stdlife+$E98),('PTRM input'!$N$144*(1+rvanilla08)^0.5)-SUM($N98:AC98),('PTRM input'!$N$144*(1+rvanilla08)^0.5)/A2stdlife))</f>
        <v>0</v>
      </c>
      <c r="AE98" s="107">
        <f>IF(A2stdlife="n/a","n/a",IF(AE$3&gt;(A2stdlife+$E98),('PTRM input'!$N$144*(1+rvanilla08)^0.5)-SUM($N98:AD98),('PTRM input'!$N$144*(1+rvanilla08)^0.5)/A2stdlife))</f>
        <v>0</v>
      </c>
      <c r="AF98" s="107">
        <f>IF(A2stdlife="n/a","n/a",IF(AF$3&gt;(A2stdlife+$E98),('PTRM input'!$N$144*(1+rvanilla08)^0.5)-SUM($N98:AE98),('PTRM input'!$N$144*(1+rvanilla08)^0.5)/A2stdlife))</f>
        <v>0</v>
      </c>
      <c r="AG98" s="107">
        <f>IF(A2stdlife="n/a","n/a",IF(AG$3&gt;(A2stdlife+$E98),('PTRM input'!$N$144*(1+rvanilla08)^0.5)-SUM($N98:AF98),('PTRM input'!$N$144*(1+rvanilla08)^0.5)/A2stdlife))</f>
        <v>0</v>
      </c>
      <c r="AH98" s="107">
        <f>IF(A2stdlife="n/a","n/a",IF(AH$3&gt;(A2stdlife+$E98),('PTRM input'!$N$144*(1+rvanilla08)^0.5)-SUM($N98:AG98),('PTRM input'!$N$144*(1+rvanilla08)^0.5)/A2stdlife))</f>
        <v>0</v>
      </c>
      <c r="AI98" s="107">
        <f>IF(A2stdlife="n/a","n/a",IF(AI$3&gt;(A2stdlife+$E98),('PTRM input'!$N$144*(1+rvanilla08)^0.5)-SUM($N98:AH98),('PTRM input'!$N$144*(1+rvanilla08)^0.5)/A2stdlife))</f>
        <v>0</v>
      </c>
      <c r="AJ98" s="107">
        <f>IF(A2stdlife="n/a","n/a",IF(AJ$3&gt;(A2stdlife+$E98),('PTRM input'!$N$144*(1+rvanilla08)^0.5)-SUM($N98:AI98),('PTRM input'!$N$144*(1+rvanilla08)^0.5)/A2stdlife))</f>
        <v>0</v>
      </c>
      <c r="AK98" s="107">
        <f>IF(A2stdlife="n/a","n/a",IF(AK$3&gt;(A2stdlife+$E98),('PTRM input'!$N$144*(1+rvanilla08)^0.5)-SUM($N98:AJ98),('PTRM input'!$N$144*(1+rvanilla08)^0.5)/A2stdlife))</f>
        <v>0</v>
      </c>
      <c r="AL98" s="107">
        <f>IF(A2stdlife="n/a","n/a",IF(AL$3&gt;(A2stdlife+$E98),('PTRM input'!$N$144*(1+rvanilla08)^0.5)-SUM($N98:AK98),('PTRM input'!$N$144*(1+rvanilla08)^0.5)/A2stdlife))</f>
        <v>0</v>
      </c>
      <c r="AM98" s="107">
        <f>IF(A2stdlife="n/a","n/a",IF(AM$3&gt;(A2stdlife+$E98),('PTRM input'!$N$144*(1+rvanilla08)^0.5)-SUM($N98:AL98),('PTRM input'!$N$144*(1+rvanilla08)^0.5)/A2stdlife))</f>
        <v>0</v>
      </c>
      <c r="AN98" s="107">
        <f>IF(A2stdlife="n/a","n/a",IF(AN$3&gt;(A2stdlife+$E98),('PTRM input'!$N$144*(1+rvanilla08)^0.5)-SUM($N98:AM98),('PTRM input'!$N$144*(1+rvanilla08)^0.5)/A2stdlife))</f>
        <v>0</v>
      </c>
      <c r="AO98" s="107">
        <f>IF(A2stdlife="n/a","n/a",IF(AO$3&gt;(A2stdlife+$E98),('PTRM input'!$N$144*(1+rvanilla08)^0.5)-SUM($N98:AN98),('PTRM input'!$N$144*(1+rvanilla08)^0.5)/A2stdlife))</f>
        <v>0</v>
      </c>
      <c r="AP98" s="107">
        <f>IF(A2stdlife="n/a","n/a",IF(AP$3&gt;(A2stdlife+$E98),('PTRM input'!$N$144*(1+rvanilla08)^0.5)-SUM($N98:AO98),('PTRM input'!$N$144*(1+rvanilla08)^0.5)/A2stdlife))</f>
        <v>0</v>
      </c>
      <c r="AQ98" s="107">
        <f>IF(A2stdlife="n/a","n/a",IF(AQ$3&gt;(A2stdlife+$E98),('PTRM input'!$N$144*(1+rvanilla08)^0.5)-SUM($N98:AP98),('PTRM input'!$N$144*(1+rvanilla08)^0.5)/A2stdlife))</f>
        <v>0</v>
      </c>
      <c r="AR98" s="107">
        <f>IF(A2stdlife="n/a","n/a",IF(AR$3&gt;(A2stdlife+$E98),('PTRM input'!$N$144*(1+rvanilla08)^0.5)-SUM($N98:AQ98),('PTRM input'!$N$144*(1+rvanilla08)^0.5)/A2stdlife))</f>
        <v>0</v>
      </c>
      <c r="AS98" s="107">
        <f>IF(A2stdlife="n/a","n/a",IF(AS$3&gt;(A2stdlife+$E98),('PTRM input'!$N$144*(1+rvanilla08)^0.5)-SUM($N98:AR98),('PTRM input'!$N$144*(1+rvanilla08)^0.5)/A2stdlife))</f>
        <v>0</v>
      </c>
      <c r="AT98" s="107">
        <f>IF(A2stdlife="n/a","n/a",IF(AT$3&gt;(A2stdlife+$E98),('PTRM input'!$N$144*(1+rvanilla08)^0.5)-SUM($N98:AS98),('PTRM input'!$N$144*(1+rvanilla08)^0.5)/A2stdlife))</f>
        <v>0</v>
      </c>
      <c r="AU98" s="107">
        <f>IF(A2stdlife="n/a","n/a",IF(AU$3&gt;(A2stdlife+$E98),('PTRM input'!$N$144*(1+rvanilla08)^0.5)-SUM($N98:AT98),('PTRM input'!$N$144*(1+rvanilla08)^0.5)/A2stdlife))</f>
        <v>0</v>
      </c>
      <c r="AV98" s="107">
        <f>IF(A2stdlife="n/a","n/a",IF(AV$3&gt;(A2stdlife+$E98),('PTRM input'!$N$144*(1+rvanilla08)^0.5)-SUM($N98:AU98),('PTRM input'!$N$144*(1+rvanilla08)^0.5)/A2stdlife))</f>
        <v>0</v>
      </c>
      <c r="AW98" s="107">
        <f>IF(A2stdlife="n/a","n/a",IF(AW$3&gt;(A2stdlife+$E98),('PTRM input'!$N$144*(1+rvanilla08)^0.5)-SUM($N98:AV98),('PTRM input'!$N$144*(1+rvanilla08)^0.5)/A2stdlife))</f>
        <v>0</v>
      </c>
      <c r="AX98" s="107">
        <f>IF(A2stdlife="n/a","n/a",IF(AX$3&gt;(A2stdlife+$E98),('PTRM input'!$N$144*(1+rvanilla08)^0.5)-SUM($N98:AW98),('PTRM input'!$N$144*(1+rvanilla08)^0.5)/A2stdlife))</f>
        <v>0</v>
      </c>
      <c r="AY98" s="107">
        <f>IF(A2stdlife="n/a","n/a",IF(AY$3&gt;(A2stdlife+$E98),('PTRM input'!$N$144*(1+rvanilla08)^0.5)-SUM($N98:AX98),('PTRM input'!$N$144*(1+rvanilla08)^0.5)/A2stdlife))</f>
        <v>0</v>
      </c>
      <c r="AZ98" s="107">
        <f>IF(A2stdlife="n/a","n/a",IF(AZ$3&gt;(A2stdlife+$E98),('PTRM input'!$N$144*(1+rvanilla08)^0.5)-SUM($N98:AY98),('PTRM input'!$N$144*(1+rvanilla08)^0.5)/A2stdlife))</f>
        <v>0</v>
      </c>
      <c r="BA98" s="107">
        <f>IF(A2stdlife="n/a","n/a",IF(BA$3&gt;(A2stdlife+$E98),('PTRM input'!$N$144*(1+rvanilla08)^0.5)-SUM($N98:AZ98),('PTRM input'!$N$144*(1+rvanilla08)^0.5)/A2stdlife))</f>
        <v>0</v>
      </c>
      <c r="BB98" s="107">
        <f>IF(A2stdlife="n/a","n/a",IF(BB$3&gt;(A2stdlife+$E98),('PTRM input'!$N$144*(1+rvanilla08)^0.5)-SUM($N98:BA98),('PTRM input'!$N$144*(1+rvanilla08)^0.5)/A2stdlife))</f>
        <v>0</v>
      </c>
      <c r="BC98" s="107">
        <f>IF(A2stdlife="n/a","n/a",IF(BC$3&gt;(A2stdlife+$E98),('PTRM input'!$N$144*(1+rvanilla08)^0.5)-SUM($N98:BB98),('PTRM input'!$N$144*(1+rvanilla08)^0.5)/A2stdlife))</f>
        <v>0</v>
      </c>
      <c r="BD98" s="107">
        <f>IF(A2stdlife="n/a","n/a",IF(BD$3&gt;(A2stdlife+$E98),('PTRM input'!$N$144*(1+rvanilla08)^0.5)-SUM($N98:BC98),('PTRM input'!$N$144*(1+rvanilla08)^0.5)/A2stdlife))</f>
        <v>0</v>
      </c>
      <c r="BE98" s="107">
        <f>IF(A2stdlife="n/a","n/a",IF(BE$3&gt;(A2stdlife+$E98),('PTRM input'!$N$144*(1+rvanilla08)^0.5)-SUM($N98:BD98),('PTRM input'!$N$144*(1+rvanilla08)^0.5)/A2stdlife))</f>
        <v>0</v>
      </c>
      <c r="BF98" s="107">
        <f>IF(A2stdlife="n/a","n/a",IF(BF$3&gt;(A2stdlife+$E98),('PTRM input'!$N$144*(1+rvanilla08)^0.5)-SUM($N98:BE98),('PTRM input'!$N$144*(1+rvanilla08)^0.5)/A2stdlife))</f>
        <v>0</v>
      </c>
      <c r="BG98" s="107">
        <f>IF(A2stdlife="n/a","n/a",IF(BG$3&gt;(A2stdlife+$E98),('PTRM input'!$N$144*(1+rvanilla08)^0.5)-SUM($N98:BF98),('PTRM input'!$N$144*(1+rvanilla08)^0.5)/A2stdlife))</f>
        <v>0</v>
      </c>
      <c r="BH98" s="107">
        <f>IF(A2stdlife="n/a","n/a",IF(BH$3&gt;(A2stdlife+$E98),('PTRM input'!$N$144*(1+rvanilla08)^0.5)-SUM($N98:BG98),('PTRM input'!$N$144*(1+rvanilla08)^0.5)/A2stdlife))</f>
        <v>0</v>
      </c>
      <c r="BI98" s="107">
        <f>IF(A2stdlife="n/a","n/a",IF(BI$3&gt;(A2stdlife+$E98),('PTRM input'!$N$144*(1+rvanilla08)^0.5)-SUM($N98:BH98),('PTRM input'!$N$144*(1+rvanilla08)^0.5)/A2stdlife))</f>
        <v>0</v>
      </c>
      <c r="BJ98" s="237"/>
      <c r="BK98" s="237"/>
      <c r="BL98" s="237"/>
      <c r="BM98" s="237"/>
    </row>
    <row r="99" spans="1:65" s="190" customFormat="1" hidden="1" outlineLevel="2">
      <c r="A99" s="237"/>
      <c r="B99" s="33"/>
      <c r="C99" s="32"/>
      <c r="D99" s="1618"/>
      <c r="E99" s="169">
        <v>9</v>
      </c>
      <c r="F99" s="35"/>
      <c r="G99" s="184"/>
      <c r="H99" s="186"/>
      <c r="I99" s="186"/>
      <c r="J99" s="186"/>
      <c r="K99" s="186"/>
      <c r="L99" s="186"/>
      <c r="M99" s="186"/>
      <c r="N99" s="186"/>
      <c r="O99" s="185"/>
      <c r="P99" s="107">
        <f>IF(A2stdlife="n/a","n/a",IF(P$3&gt;(A2stdlife+$E99),('PTRM input'!$O$144*(1+rvanilla09)^0.5)-SUM($O99:O99),('PTRM input'!$O$144*(1+rvanilla09)^0.5)/A2stdlife))</f>
        <v>0</v>
      </c>
      <c r="Q99" s="107">
        <f>IF(A2stdlife="n/a","n/a",IF(Q$3&gt;(A2stdlife+$E99),('PTRM input'!$O$144*(1+rvanilla09)^0.5)-SUM($O99:P99),('PTRM input'!$O$144*(1+rvanilla09)^0.5)/A2stdlife))</f>
        <v>0</v>
      </c>
      <c r="R99" s="107">
        <f>IF(A2stdlife="n/a","n/a",IF(R$3&gt;(A2stdlife+$E99),('PTRM input'!$O$144*(1+rvanilla09)^0.5)-SUM($O99:Q99),('PTRM input'!$O$144*(1+rvanilla09)^0.5)/A2stdlife))</f>
        <v>0</v>
      </c>
      <c r="S99" s="107">
        <f>IF(A2stdlife="n/a","n/a",IF(S$3&gt;(A2stdlife+$E99),('PTRM input'!$O$144*(1+rvanilla09)^0.5)-SUM($O99:R99),('PTRM input'!$O$144*(1+rvanilla09)^0.5)/A2stdlife))</f>
        <v>0</v>
      </c>
      <c r="T99" s="107">
        <f>IF(A2stdlife="n/a","n/a",IF(T$3&gt;(A2stdlife+$E99),('PTRM input'!$O$144*(1+rvanilla09)^0.5)-SUM($O99:S99),('PTRM input'!$O$144*(1+rvanilla09)^0.5)/A2stdlife))</f>
        <v>0</v>
      </c>
      <c r="U99" s="107">
        <f>IF(A2stdlife="n/a","n/a",IF(U$3&gt;(A2stdlife+$E99),('PTRM input'!$O$144*(1+rvanilla09)^0.5)-SUM($O99:T99),('PTRM input'!$O$144*(1+rvanilla09)^0.5)/A2stdlife))</f>
        <v>0</v>
      </c>
      <c r="V99" s="107">
        <f>IF(A2stdlife="n/a","n/a",IF(V$3&gt;(A2stdlife+$E99),('PTRM input'!$O$144*(1+rvanilla09)^0.5)-SUM($O99:U99),('PTRM input'!$O$144*(1+rvanilla09)^0.5)/A2stdlife))</f>
        <v>0</v>
      </c>
      <c r="W99" s="107">
        <f>IF(A2stdlife="n/a","n/a",IF(W$3&gt;(A2stdlife+$E99),('PTRM input'!$O$144*(1+rvanilla09)^0.5)-SUM($O99:V99),('PTRM input'!$O$144*(1+rvanilla09)^0.5)/A2stdlife))</f>
        <v>0</v>
      </c>
      <c r="X99" s="107">
        <f>IF(A2stdlife="n/a","n/a",IF(X$3&gt;(A2stdlife+$E99),('PTRM input'!$O$144*(1+rvanilla09)^0.5)-SUM($O99:W99),('PTRM input'!$O$144*(1+rvanilla09)^0.5)/A2stdlife))</f>
        <v>0</v>
      </c>
      <c r="Y99" s="107">
        <f>IF(A2stdlife="n/a","n/a",IF(Y$3&gt;(A2stdlife+$E99),('PTRM input'!$O$144*(1+rvanilla09)^0.5)-SUM($O99:X99),('PTRM input'!$O$144*(1+rvanilla09)^0.5)/A2stdlife))</f>
        <v>0</v>
      </c>
      <c r="Z99" s="107">
        <f>IF(A2stdlife="n/a","n/a",IF(Z$3&gt;(A2stdlife+$E99),('PTRM input'!$O$144*(1+rvanilla09)^0.5)-SUM($O99:Y99),('PTRM input'!$O$144*(1+rvanilla09)^0.5)/A2stdlife))</f>
        <v>0</v>
      </c>
      <c r="AA99" s="107">
        <f>IF(A2stdlife="n/a","n/a",IF(AA$3&gt;(A2stdlife+$E99),('PTRM input'!$O$144*(1+rvanilla09)^0.5)-SUM($O99:Z99),('PTRM input'!$O$144*(1+rvanilla09)^0.5)/A2stdlife))</f>
        <v>0</v>
      </c>
      <c r="AB99" s="107">
        <f>IF(A2stdlife="n/a","n/a",IF(AB$3&gt;(A2stdlife+$E99),('PTRM input'!$O$144*(1+rvanilla09)^0.5)-SUM($O99:AA99),('PTRM input'!$O$144*(1+rvanilla09)^0.5)/A2stdlife))</f>
        <v>0</v>
      </c>
      <c r="AC99" s="107">
        <f>IF(A2stdlife="n/a","n/a",IF(AC$3&gt;(A2stdlife+$E99),('PTRM input'!$O$144*(1+rvanilla09)^0.5)-SUM($O99:AB99),('PTRM input'!$O$144*(1+rvanilla09)^0.5)/A2stdlife))</f>
        <v>0</v>
      </c>
      <c r="AD99" s="107">
        <f>IF(A2stdlife="n/a","n/a",IF(AD$3&gt;(A2stdlife+$E99),('PTRM input'!$O$144*(1+rvanilla09)^0.5)-SUM($O99:AC99),('PTRM input'!$O$144*(1+rvanilla09)^0.5)/A2stdlife))</f>
        <v>0</v>
      </c>
      <c r="AE99" s="107">
        <f>IF(A2stdlife="n/a","n/a",IF(AE$3&gt;(A2stdlife+$E99),('PTRM input'!$O$144*(1+rvanilla09)^0.5)-SUM($O99:AD99),('PTRM input'!$O$144*(1+rvanilla09)^0.5)/A2stdlife))</f>
        <v>0</v>
      </c>
      <c r="AF99" s="107">
        <f>IF(A2stdlife="n/a","n/a",IF(AF$3&gt;(A2stdlife+$E99),('PTRM input'!$O$144*(1+rvanilla09)^0.5)-SUM($O99:AE99),('PTRM input'!$O$144*(1+rvanilla09)^0.5)/A2stdlife))</f>
        <v>0</v>
      </c>
      <c r="AG99" s="107">
        <f>IF(A2stdlife="n/a","n/a",IF(AG$3&gt;(A2stdlife+$E99),('PTRM input'!$O$144*(1+rvanilla09)^0.5)-SUM($O99:AF99),('PTRM input'!$O$144*(1+rvanilla09)^0.5)/A2stdlife))</f>
        <v>0</v>
      </c>
      <c r="AH99" s="107">
        <f>IF(A2stdlife="n/a","n/a",IF(AH$3&gt;(A2stdlife+$E99),('PTRM input'!$O$144*(1+rvanilla09)^0.5)-SUM($O99:AG99),('PTRM input'!$O$144*(1+rvanilla09)^0.5)/A2stdlife))</f>
        <v>0</v>
      </c>
      <c r="AI99" s="107">
        <f>IF(A2stdlife="n/a","n/a",IF(AI$3&gt;(A2stdlife+$E99),('PTRM input'!$O$144*(1+rvanilla09)^0.5)-SUM($O99:AH99),('PTRM input'!$O$144*(1+rvanilla09)^0.5)/A2stdlife))</f>
        <v>0</v>
      </c>
      <c r="AJ99" s="107">
        <f>IF(A2stdlife="n/a","n/a",IF(AJ$3&gt;(A2stdlife+$E99),('PTRM input'!$O$144*(1+rvanilla09)^0.5)-SUM($O99:AI99),('PTRM input'!$O$144*(1+rvanilla09)^0.5)/A2stdlife))</f>
        <v>0</v>
      </c>
      <c r="AK99" s="107">
        <f>IF(A2stdlife="n/a","n/a",IF(AK$3&gt;(A2stdlife+$E99),('PTRM input'!$O$144*(1+rvanilla09)^0.5)-SUM($O99:AJ99),('PTRM input'!$O$144*(1+rvanilla09)^0.5)/A2stdlife))</f>
        <v>0</v>
      </c>
      <c r="AL99" s="107">
        <f>IF(A2stdlife="n/a","n/a",IF(AL$3&gt;(A2stdlife+$E99),('PTRM input'!$O$144*(1+rvanilla09)^0.5)-SUM($O99:AK99),('PTRM input'!$O$144*(1+rvanilla09)^0.5)/A2stdlife))</f>
        <v>0</v>
      </c>
      <c r="AM99" s="107">
        <f>IF(A2stdlife="n/a","n/a",IF(AM$3&gt;(A2stdlife+$E99),('PTRM input'!$O$144*(1+rvanilla09)^0.5)-SUM($O99:AL99),('PTRM input'!$O$144*(1+rvanilla09)^0.5)/A2stdlife))</f>
        <v>0</v>
      </c>
      <c r="AN99" s="107">
        <f>IF(A2stdlife="n/a","n/a",IF(AN$3&gt;(A2stdlife+$E99),('PTRM input'!$O$144*(1+rvanilla09)^0.5)-SUM($O99:AM99),('PTRM input'!$O$144*(1+rvanilla09)^0.5)/A2stdlife))</f>
        <v>0</v>
      </c>
      <c r="AO99" s="107">
        <f>IF(A2stdlife="n/a","n/a",IF(AO$3&gt;(A2stdlife+$E99),('PTRM input'!$O$144*(1+rvanilla09)^0.5)-SUM($O99:AN99),('PTRM input'!$O$144*(1+rvanilla09)^0.5)/A2stdlife))</f>
        <v>0</v>
      </c>
      <c r="AP99" s="107">
        <f>IF(A2stdlife="n/a","n/a",IF(AP$3&gt;(A2stdlife+$E99),('PTRM input'!$O$144*(1+rvanilla09)^0.5)-SUM($O99:AO99),('PTRM input'!$O$144*(1+rvanilla09)^0.5)/A2stdlife))</f>
        <v>0</v>
      </c>
      <c r="AQ99" s="107">
        <f>IF(A2stdlife="n/a","n/a",IF(AQ$3&gt;(A2stdlife+$E99),('PTRM input'!$O$144*(1+rvanilla09)^0.5)-SUM($O99:AP99),('PTRM input'!$O$144*(1+rvanilla09)^0.5)/A2stdlife))</f>
        <v>0</v>
      </c>
      <c r="AR99" s="107">
        <f>IF(A2stdlife="n/a","n/a",IF(AR$3&gt;(A2stdlife+$E99),('PTRM input'!$O$144*(1+rvanilla09)^0.5)-SUM($O99:AQ99),('PTRM input'!$O$144*(1+rvanilla09)^0.5)/A2stdlife))</f>
        <v>0</v>
      </c>
      <c r="AS99" s="107">
        <f>IF(A2stdlife="n/a","n/a",IF(AS$3&gt;(A2stdlife+$E99),('PTRM input'!$O$144*(1+rvanilla09)^0.5)-SUM($O99:AR99),('PTRM input'!$O$144*(1+rvanilla09)^0.5)/A2stdlife))</f>
        <v>0</v>
      </c>
      <c r="AT99" s="107">
        <f>IF(A2stdlife="n/a","n/a",IF(AT$3&gt;(A2stdlife+$E99),('PTRM input'!$O$144*(1+rvanilla09)^0.5)-SUM($O99:AS99),('PTRM input'!$O$144*(1+rvanilla09)^0.5)/A2stdlife))</f>
        <v>0</v>
      </c>
      <c r="AU99" s="107">
        <f>IF(A2stdlife="n/a","n/a",IF(AU$3&gt;(A2stdlife+$E99),('PTRM input'!$O$144*(1+rvanilla09)^0.5)-SUM($O99:AT99),('PTRM input'!$O$144*(1+rvanilla09)^0.5)/A2stdlife))</f>
        <v>0</v>
      </c>
      <c r="AV99" s="107">
        <f>IF(A2stdlife="n/a","n/a",IF(AV$3&gt;(A2stdlife+$E99),('PTRM input'!$O$144*(1+rvanilla09)^0.5)-SUM($O99:AU99),('PTRM input'!$O$144*(1+rvanilla09)^0.5)/A2stdlife))</f>
        <v>0</v>
      </c>
      <c r="AW99" s="107">
        <f>IF(A2stdlife="n/a","n/a",IF(AW$3&gt;(A2stdlife+$E99),('PTRM input'!$O$144*(1+rvanilla09)^0.5)-SUM($O99:AV99),('PTRM input'!$O$144*(1+rvanilla09)^0.5)/A2stdlife))</f>
        <v>0</v>
      </c>
      <c r="AX99" s="107">
        <f>IF(A2stdlife="n/a","n/a",IF(AX$3&gt;(A2stdlife+$E99),('PTRM input'!$O$144*(1+rvanilla09)^0.5)-SUM($O99:AW99),('PTRM input'!$O$144*(1+rvanilla09)^0.5)/A2stdlife))</f>
        <v>0</v>
      </c>
      <c r="AY99" s="107">
        <f>IF(A2stdlife="n/a","n/a",IF(AY$3&gt;(A2stdlife+$E99),('PTRM input'!$O$144*(1+rvanilla09)^0.5)-SUM($O99:AX99),('PTRM input'!$O$144*(1+rvanilla09)^0.5)/A2stdlife))</f>
        <v>0</v>
      </c>
      <c r="AZ99" s="107">
        <f>IF(A2stdlife="n/a","n/a",IF(AZ$3&gt;(A2stdlife+$E99),('PTRM input'!$O$144*(1+rvanilla09)^0.5)-SUM($O99:AY99),('PTRM input'!$O$144*(1+rvanilla09)^0.5)/A2stdlife))</f>
        <v>0</v>
      </c>
      <c r="BA99" s="107">
        <f>IF(A2stdlife="n/a","n/a",IF(BA$3&gt;(A2stdlife+$E99),('PTRM input'!$O$144*(1+rvanilla09)^0.5)-SUM($O99:AZ99),('PTRM input'!$O$144*(1+rvanilla09)^0.5)/A2stdlife))</f>
        <v>0</v>
      </c>
      <c r="BB99" s="107">
        <f>IF(A2stdlife="n/a","n/a",IF(BB$3&gt;(A2stdlife+$E99),('PTRM input'!$O$144*(1+rvanilla09)^0.5)-SUM($O99:BA99),('PTRM input'!$O$144*(1+rvanilla09)^0.5)/A2stdlife))</f>
        <v>0</v>
      </c>
      <c r="BC99" s="107">
        <f>IF(A2stdlife="n/a","n/a",IF(BC$3&gt;(A2stdlife+$E99),('PTRM input'!$O$144*(1+rvanilla09)^0.5)-SUM($O99:BB99),('PTRM input'!$O$144*(1+rvanilla09)^0.5)/A2stdlife))</f>
        <v>0</v>
      </c>
      <c r="BD99" s="107">
        <f>IF(A2stdlife="n/a","n/a",IF(BD$3&gt;(A2stdlife+$E99),('PTRM input'!$O$144*(1+rvanilla09)^0.5)-SUM($O99:BC99),('PTRM input'!$O$144*(1+rvanilla09)^0.5)/A2stdlife))</f>
        <v>0</v>
      </c>
      <c r="BE99" s="107">
        <f>IF(A2stdlife="n/a","n/a",IF(BE$3&gt;(A2stdlife+$E99),('PTRM input'!$O$144*(1+rvanilla09)^0.5)-SUM($O99:BD99),('PTRM input'!$O$144*(1+rvanilla09)^0.5)/A2stdlife))</f>
        <v>0</v>
      </c>
      <c r="BF99" s="107">
        <f>IF(A2stdlife="n/a","n/a",IF(BF$3&gt;(A2stdlife+$E99),('PTRM input'!$O$144*(1+rvanilla09)^0.5)-SUM($O99:BE99),('PTRM input'!$O$144*(1+rvanilla09)^0.5)/A2stdlife))</f>
        <v>0</v>
      </c>
      <c r="BG99" s="107">
        <f>IF(A2stdlife="n/a","n/a",IF(BG$3&gt;(A2stdlife+$E99),('PTRM input'!$O$144*(1+rvanilla09)^0.5)-SUM($O99:BF99),('PTRM input'!$O$144*(1+rvanilla09)^0.5)/A2stdlife))</f>
        <v>0</v>
      </c>
      <c r="BH99" s="107">
        <f>IF(A2stdlife="n/a","n/a",IF(BH$3&gt;(A2stdlife+$E99),('PTRM input'!$O$144*(1+rvanilla09)^0.5)-SUM($O99:BG99),('PTRM input'!$O$144*(1+rvanilla09)^0.5)/A2stdlife))</f>
        <v>0</v>
      </c>
      <c r="BI99" s="107">
        <f>IF(A2stdlife="n/a","n/a",IF(BI$3&gt;(A2stdlife+$E99),('PTRM input'!$O$144*(1+rvanilla09)^0.5)-SUM($O99:BH99),('PTRM input'!$O$144*(1+rvanilla09)^0.5)/A2stdlife))</f>
        <v>0</v>
      </c>
      <c r="BJ99" s="237"/>
      <c r="BK99" s="237"/>
      <c r="BL99" s="237"/>
      <c r="BM99" s="237"/>
    </row>
    <row r="100" spans="1:65" s="190" customFormat="1" hidden="1" outlineLevel="2">
      <c r="A100" s="237"/>
      <c r="B100" s="33"/>
      <c r="C100" s="32"/>
      <c r="D100" s="1618"/>
      <c r="E100" s="170">
        <v>10</v>
      </c>
      <c r="F100" s="35"/>
      <c r="G100" s="184"/>
      <c r="H100" s="186"/>
      <c r="I100" s="186"/>
      <c r="J100" s="186"/>
      <c r="K100" s="186"/>
      <c r="L100" s="186"/>
      <c r="M100" s="186"/>
      <c r="N100" s="186"/>
      <c r="O100" s="186"/>
      <c r="P100" s="185"/>
      <c r="Q100" s="107">
        <f>IF(A2stdlife="n/a","n/a",IF(Q$3&gt;(A2stdlife+$E100),('PTRM input'!$P$144*(1+rvanilla10)^0.5)-SUM($P100:P100),('PTRM input'!$P$144*(1+rvanilla10)^0.5)/A2stdlife))</f>
        <v>0</v>
      </c>
      <c r="R100" s="107">
        <f>IF(A2stdlife="n/a","n/a",IF(R$3&gt;(A2stdlife+$E100),('PTRM input'!$P$144*(1+rvanilla10)^0.5)-SUM($P100:Q100),('PTRM input'!$P$144*(1+rvanilla10)^0.5)/A2stdlife))</f>
        <v>0</v>
      </c>
      <c r="S100" s="107">
        <f>IF(A2stdlife="n/a","n/a",IF(S$3&gt;(A2stdlife+$E100),('PTRM input'!$P$144*(1+rvanilla10)^0.5)-SUM($P100:R100),('PTRM input'!$P$144*(1+rvanilla10)^0.5)/A2stdlife))</f>
        <v>0</v>
      </c>
      <c r="T100" s="107">
        <f>IF(A2stdlife="n/a","n/a",IF(T$3&gt;(A2stdlife+$E100),('PTRM input'!$P$144*(1+rvanilla10)^0.5)-SUM($P100:S100),('PTRM input'!$P$144*(1+rvanilla10)^0.5)/A2stdlife))</f>
        <v>0</v>
      </c>
      <c r="U100" s="107">
        <f>IF(A2stdlife="n/a","n/a",IF(U$3&gt;(A2stdlife+$E100),('PTRM input'!$P$144*(1+rvanilla10)^0.5)-SUM($P100:T100),('PTRM input'!$P$144*(1+rvanilla10)^0.5)/A2stdlife))</f>
        <v>0</v>
      </c>
      <c r="V100" s="107">
        <f>IF(A2stdlife="n/a","n/a",IF(V$3&gt;(A2stdlife+$E100),('PTRM input'!$P$144*(1+rvanilla10)^0.5)-SUM($P100:U100),('PTRM input'!$P$144*(1+rvanilla10)^0.5)/A2stdlife))</f>
        <v>0</v>
      </c>
      <c r="W100" s="107">
        <f>IF(A2stdlife="n/a","n/a",IF(W$3&gt;(A2stdlife+$E100),('PTRM input'!$P$144*(1+rvanilla10)^0.5)-SUM($P100:V100),('PTRM input'!$P$144*(1+rvanilla10)^0.5)/A2stdlife))</f>
        <v>0</v>
      </c>
      <c r="X100" s="107">
        <f>IF(A2stdlife="n/a","n/a",IF(X$3&gt;(A2stdlife+$E100),('PTRM input'!$P$144*(1+rvanilla10)^0.5)-SUM($P100:W100),('PTRM input'!$P$144*(1+rvanilla10)^0.5)/A2stdlife))</f>
        <v>0</v>
      </c>
      <c r="Y100" s="107">
        <f>IF(A2stdlife="n/a","n/a",IF(Y$3&gt;(A2stdlife+$E100),('PTRM input'!$P$144*(1+rvanilla10)^0.5)-SUM($P100:X100),('PTRM input'!$P$144*(1+rvanilla10)^0.5)/A2stdlife))</f>
        <v>0</v>
      </c>
      <c r="Z100" s="107">
        <f>IF(A2stdlife="n/a","n/a",IF(Z$3&gt;(A2stdlife+$E100),('PTRM input'!$P$144*(1+rvanilla10)^0.5)-SUM($P100:Y100),('PTRM input'!$P$144*(1+rvanilla10)^0.5)/A2stdlife))</f>
        <v>0</v>
      </c>
      <c r="AA100" s="107">
        <f>IF(A2stdlife="n/a","n/a",IF(AA$3&gt;(A2stdlife+$E100),('PTRM input'!$P$144*(1+rvanilla10)^0.5)-SUM($P100:Z100),('PTRM input'!$P$144*(1+rvanilla10)^0.5)/A2stdlife))</f>
        <v>0</v>
      </c>
      <c r="AB100" s="107">
        <f>IF(A2stdlife="n/a","n/a",IF(AB$3&gt;(A2stdlife+$E100),('PTRM input'!$P$144*(1+rvanilla10)^0.5)-SUM($P100:AA100),('PTRM input'!$P$144*(1+rvanilla10)^0.5)/A2stdlife))</f>
        <v>0</v>
      </c>
      <c r="AC100" s="107">
        <f>IF(A2stdlife="n/a","n/a",IF(AC$3&gt;(A2stdlife+$E100),('PTRM input'!$P$144*(1+rvanilla10)^0.5)-SUM($P100:AB100),('PTRM input'!$P$144*(1+rvanilla10)^0.5)/A2stdlife))</f>
        <v>0</v>
      </c>
      <c r="AD100" s="107">
        <f>IF(A2stdlife="n/a","n/a",IF(AD$3&gt;(A2stdlife+$E100),('PTRM input'!$P$144*(1+rvanilla10)^0.5)-SUM($P100:AC100),('PTRM input'!$P$144*(1+rvanilla10)^0.5)/A2stdlife))</f>
        <v>0</v>
      </c>
      <c r="AE100" s="107">
        <f>IF(A2stdlife="n/a","n/a",IF(AE$3&gt;(A2stdlife+$E100),('PTRM input'!$P$144*(1+rvanilla10)^0.5)-SUM($P100:AD100),('PTRM input'!$P$144*(1+rvanilla10)^0.5)/A2stdlife))</f>
        <v>0</v>
      </c>
      <c r="AF100" s="107">
        <f>IF(A2stdlife="n/a","n/a",IF(AF$3&gt;(A2stdlife+$E100),('PTRM input'!$P$144*(1+rvanilla10)^0.5)-SUM($P100:AE100),('PTRM input'!$P$144*(1+rvanilla10)^0.5)/A2stdlife))</f>
        <v>0</v>
      </c>
      <c r="AG100" s="107">
        <f>IF(A2stdlife="n/a","n/a",IF(AG$3&gt;(A2stdlife+$E100),('PTRM input'!$P$144*(1+rvanilla10)^0.5)-SUM($P100:AF100),('PTRM input'!$P$144*(1+rvanilla10)^0.5)/A2stdlife))</f>
        <v>0</v>
      </c>
      <c r="AH100" s="107">
        <f>IF(A2stdlife="n/a","n/a",IF(AH$3&gt;(A2stdlife+$E100),('PTRM input'!$P$144*(1+rvanilla10)^0.5)-SUM($P100:AG100),('PTRM input'!$P$144*(1+rvanilla10)^0.5)/A2stdlife))</f>
        <v>0</v>
      </c>
      <c r="AI100" s="107">
        <f>IF(A2stdlife="n/a","n/a",IF(AI$3&gt;(A2stdlife+$E100),('PTRM input'!$P$144*(1+rvanilla10)^0.5)-SUM($P100:AH100),('PTRM input'!$P$144*(1+rvanilla10)^0.5)/A2stdlife))</f>
        <v>0</v>
      </c>
      <c r="AJ100" s="107">
        <f>IF(A2stdlife="n/a","n/a",IF(AJ$3&gt;(A2stdlife+$E100),('PTRM input'!$P$144*(1+rvanilla10)^0.5)-SUM($P100:AI100),('PTRM input'!$P$144*(1+rvanilla10)^0.5)/A2stdlife))</f>
        <v>0</v>
      </c>
      <c r="AK100" s="107">
        <f>IF(A2stdlife="n/a","n/a",IF(AK$3&gt;(A2stdlife+$E100),('PTRM input'!$P$144*(1+rvanilla10)^0.5)-SUM($P100:AJ100),('PTRM input'!$P$144*(1+rvanilla10)^0.5)/A2stdlife))</f>
        <v>0</v>
      </c>
      <c r="AL100" s="107">
        <f>IF(A2stdlife="n/a","n/a",IF(AL$3&gt;(A2stdlife+$E100),('PTRM input'!$P$144*(1+rvanilla10)^0.5)-SUM($P100:AK100),('PTRM input'!$P$144*(1+rvanilla10)^0.5)/A2stdlife))</f>
        <v>0</v>
      </c>
      <c r="AM100" s="107">
        <f>IF(A2stdlife="n/a","n/a",IF(AM$3&gt;(A2stdlife+$E100),('PTRM input'!$P$144*(1+rvanilla10)^0.5)-SUM($P100:AL100),('PTRM input'!$P$144*(1+rvanilla10)^0.5)/A2stdlife))</f>
        <v>0</v>
      </c>
      <c r="AN100" s="107">
        <f>IF(A2stdlife="n/a","n/a",IF(AN$3&gt;(A2stdlife+$E100),('PTRM input'!$P$144*(1+rvanilla10)^0.5)-SUM($P100:AM100),('PTRM input'!$P$144*(1+rvanilla10)^0.5)/A2stdlife))</f>
        <v>0</v>
      </c>
      <c r="AO100" s="107">
        <f>IF(A2stdlife="n/a","n/a",IF(AO$3&gt;(A2stdlife+$E100),('PTRM input'!$P$144*(1+rvanilla10)^0.5)-SUM($P100:AN100),('PTRM input'!$P$144*(1+rvanilla10)^0.5)/A2stdlife))</f>
        <v>0</v>
      </c>
      <c r="AP100" s="107">
        <f>IF(A2stdlife="n/a","n/a",IF(AP$3&gt;(A2stdlife+$E100),('PTRM input'!$P$144*(1+rvanilla10)^0.5)-SUM($P100:AO100),('PTRM input'!$P$144*(1+rvanilla10)^0.5)/A2stdlife))</f>
        <v>0</v>
      </c>
      <c r="AQ100" s="107">
        <f>IF(A2stdlife="n/a","n/a",IF(AQ$3&gt;(A2stdlife+$E100),('PTRM input'!$P$144*(1+rvanilla10)^0.5)-SUM($P100:AP100),('PTRM input'!$P$144*(1+rvanilla10)^0.5)/A2stdlife))</f>
        <v>0</v>
      </c>
      <c r="AR100" s="107">
        <f>IF(A2stdlife="n/a","n/a",IF(AR$3&gt;(A2stdlife+$E100),('PTRM input'!$P$144*(1+rvanilla10)^0.5)-SUM($P100:AQ100),('PTRM input'!$P$144*(1+rvanilla10)^0.5)/A2stdlife))</f>
        <v>0</v>
      </c>
      <c r="AS100" s="107">
        <f>IF(A2stdlife="n/a","n/a",IF(AS$3&gt;(A2stdlife+$E100),('PTRM input'!$P$144*(1+rvanilla10)^0.5)-SUM($P100:AR100),('PTRM input'!$P$144*(1+rvanilla10)^0.5)/A2stdlife))</f>
        <v>0</v>
      </c>
      <c r="AT100" s="107">
        <f>IF(A2stdlife="n/a","n/a",IF(AT$3&gt;(A2stdlife+$E100),('PTRM input'!$P$144*(1+rvanilla10)^0.5)-SUM($P100:AS100),('PTRM input'!$P$144*(1+rvanilla10)^0.5)/A2stdlife))</f>
        <v>0</v>
      </c>
      <c r="AU100" s="107">
        <f>IF(A2stdlife="n/a","n/a",IF(AU$3&gt;(A2stdlife+$E100),('PTRM input'!$P$144*(1+rvanilla10)^0.5)-SUM($P100:AT100),('PTRM input'!$P$144*(1+rvanilla10)^0.5)/A2stdlife))</f>
        <v>0</v>
      </c>
      <c r="AV100" s="107">
        <f>IF(A2stdlife="n/a","n/a",IF(AV$3&gt;(A2stdlife+$E100),('PTRM input'!$P$144*(1+rvanilla10)^0.5)-SUM($P100:AU100),('PTRM input'!$P$144*(1+rvanilla10)^0.5)/A2stdlife))</f>
        <v>0</v>
      </c>
      <c r="AW100" s="107">
        <f>IF(A2stdlife="n/a","n/a",IF(AW$3&gt;(A2stdlife+$E100),('PTRM input'!$P$144*(1+rvanilla10)^0.5)-SUM($P100:AV100),('PTRM input'!$P$144*(1+rvanilla10)^0.5)/A2stdlife))</f>
        <v>0</v>
      </c>
      <c r="AX100" s="107">
        <f>IF(A2stdlife="n/a","n/a",IF(AX$3&gt;(A2stdlife+$E100),('PTRM input'!$P$144*(1+rvanilla10)^0.5)-SUM($P100:AW100),('PTRM input'!$P$144*(1+rvanilla10)^0.5)/A2stdlife))</f>
        <v>0</v>
      </c>
      <c r="AY100" s="107">
        <f>IF(A2stdlife="n/a","n/a",IF(AY$3&gt;(A2stdlife+$E100),('PTRM input'!$P$144*(1+rvanilla10)^0.5)-SUM($P100:AX100),('PTRM input'!$P$144*(1+rvanilla10)^0.5)/A2stdlife))</f>
        <v>0</v>
      </c>
      <c r="AZ100" s="107">
        <f>IF(A2stdlife="n/a","n/a",IF(AZ$3&gt;(A2stdlife+$E100),('PTRM input'!$P$144*(1+rvanilla10)^0.5)-SUM($P100:AY100),('PTRM input'!$P$144*(1+rvanilla10)^0.5)/A2stdlife))</f>
        <v>0</v>
      </c>
      <c r="BA100" s="107">
        <f>IF(A2stdlife="n/a","n/a",IF(BA$3&gt;(A2stdlife+$E100),('PTRM input'!$P$144*(1+rvanilla10)^0.5)-SUM($P100:AZ100),('PTRM input'!$P$144*(1+rvanilla10)^0.5)/A2stdlife))</f>
        <v>0</v>
      </c>
      <c r="BB100" s="107">
        <f>IF(A2stdlife="n/a","n/a",IF(BB$3&gt;(A2stdlife+$E100),('PTRM input'!$P$144*(1+rvanilla10)^0.5)-SUM($P100:BA100),('PTRM input'!$P$144*(1+rvanilla10)^0.5)/A2stdlife))</f>
        <v>0</v>
      </c>
      <c r="BC100" s="107">
        <f>IF(A2stdlife="n/a","n/a",IF(BC$3&gt;(A2stdlife+$E100),('PTRM input'!$P$144*(1+rvanilla10)^0.5)-SUM($P100:BB100),('PTRM input'!$P$144*(1+rvanilla10)^0.5)/A2stdlife))</f>
        <v>0</v>
      </c>
      <c r="BD100" s="107">
        <f>IF(A2stdlife="n/a","n/a",IF(BD$3&gt;(A2stdlife+$E100),('PTRM input'!$P$144*(1+rvanilla10)^0.5)-SUM($P100:BC100),('PTRM input'!$P$144*(1+rvanilla10)^0.5)/A2stdlife))</f>
        <v>0</v>
      </c>
      <c r="BE100" s="107">
        <f>IF(A2stdlife="n/a","n/a",IF(BE$3&gt;(A2stdlife+$E100),('PTRM input'!$P$144*(1+rvanilla10)^0.5)-SUM($P100:BD100),('PTRM input'!$P$144*(1+rvanilla10)^0.5)/A2stdlife))</f>
        <v>0</v>
      </c>
      <c r="BF100" s="107">
        <f>IF(A2stdlife="n/a","n/a",IF(BF$3&gt;(A2stdlife+$E100),('PTRM input'!$P$144*(1+rvanilla10)^0.5)-SUM($P100:BE100),('PTRM input'!$P$144*(1+rvanilla10)^0.5)/A2stdlife))</f>
        <v>0</v>
      </c>
      <c r="BG100" s="107">
        <f>IF(A2stdlife="n/a","n/a",IF(BG$3&gt;(A2stdlife+$E100),('PTRM input'!$P$144*(1+rvanilla10)^0.5)-SUM($P100:BF100),('PTRM input'!$P$144*(1+rvanilla10)^0.5)/A2stdlife))</f>
        <v>0</v>
      </c>
      <c r="BH100" s="107">
        <f>IF(A2stdlife="n/a","n/a",IF(BH$3&gt;(A2stdlife+$E100),('PTRM input'!$P$144*(1+rvanilla10)^0.5)-SUM($P100:BG100),('PTRM input'!$P$144*(1+rvanilla10)^0.5)/A2stdlife))</f>
        <v>0</v>
      </c>
      <c r="BI100" s="107">
        <f>IF(A2stdlife="n/a","n/a",IF(BI$3&gt;(A2stdlife+$E100),('PTRM input'!$P$144*(1+rvanilla10)^0.5)-SUM($P100:BH100),('PTRM input'!$P$144*(1+rvanilla10)^0.5)/A2stdlife))</f>
        <v>0</v>
      </c>
      <c r="BJ100" s="237"/>
      <c r="BK100" s="237"/>
      <c r="BL100" s="237"/>
      <c r="BM100" s="237"/>
    </row>
    <row r="101" spans="1:65" s="190" customFormat="1" hidden="1" outlineLevel="1">
      <c r="A101" s="237"/>
      <c r="B101" s="18"/>
      <c r="C101" s="33" t="str">
        <f>Asset2</f>
        <v>Post 1999-2010 Assets</v>
      </c>
      <c r="D101" s="18"/>
      <c r="E101" s="18"/>
      <c r="F101" s="31"/>
      <c r="G101" s="1407">
        <f>SUM(G89:G100)</f>
        <v>1.0263717915297939</v>
      </c>
      <c r="H101" s="104">
        <f t="shared" ref="H101:BI101" si="41">SUM(H89:H100)</f>
        <v>1.0263717915297939</v>
      </c>
      <c r="I101" s="104">
        <f t="shared" si="41"/>
        <v>1.0263717915297939</v>
      </c>
      <c r="J101" s="104">
        <f t="shared" si="41"/>
        <v>1.0263717915297939</v>
      </c>
      <c r="K101" s="104">
        <f t="shared" si="41"/>
        <v>1.0263717915297939</v>
      </c>
      <c r="L101" s="104">
        <f t="shared" si="41"/>
        <v>1.0263717915297939</v>
      </c>
      <c r="M101" s="104">
        <f t="shared" si="41"/>
        <v>1.0263717915297939</v>
      </c>
      <c r="N101" s="104">
        <f t="shared" si="41"/>
        <v>1.0263717915297939</v>
      </c>
      <c r="O101" s="104">
        <f t="shared" si="41"/>
        <v>1.0263717915297939</v>
      </c>
      <c r="P101" s="104">
        <f t="shared" si="41"/>
        <v>1.0263717915297939</v>
      </c>
      <c r="Q101" s="104">
        <f t="shared" si="41"/>
        <v>1.0263717915297939</v>
      </c>
      <c r="R101" s="104">
        <f t="shared" si="41"/>
        <v>1.0263717915297939</v>
      </c>
      <c r="S101" s="104">
        <f t="shared" si="41"/>
        <v>1.0263717915297939</v>
      </c>
      <c r="T101" s="104">
        <f t="shared" si="41"/>
        <v>1.0263717915297939</v>
      </c>
      <c r="U101" s="104">
        <f t="shared" si="41"/>
        <v>1.0263717915297939</v>
      </c>
      <c r="V101" s="104">
        <f t="shared" si="41"/>
        <v>1.0263717915297939</v>
      </c>
      <c r="W101" s="104">
        <f t="shared" si="41"/>
        <v>1.0263717915297939</v>
      </c>
      <c r="X101" s="104">
        <f t="shared" si="41"/>
        <v>1.0263717915297939</v>
      </c>
      <c r="Y101" s="104">
        <f t="shared" si="41"/>
        <v>1.0263717915297939</v>
      </c>
      <c r="Z101" s="104">
        <f t="shared" si="41"/>
        <v>1.0263717915297939</v>
      </c>
      <c r="AA101" s="104">
        <f t="shared" si="41"/>
        <v>1.0263717915297939</v>
      </c>
      <c r="AB101" s="104">
        <f t="shared" si="41"/>
        <v>1.0263717915297939</v>
      </c>
      <c r="AC101" s="104">
        <f t="shared" si="41"/>
        <v>1.0263717915297939</v>
      </c>
      <c r="AD101" s="104">
        <f t="shared" si="41"/>
        <v>2.0246512394663796E-3</v>
      </c>
      <c r="AE101" s="104">
        <f t="shared" si="41"/>
        <v>0</v>
      </c>
      <c r="AF101" s="104">
        <f t="shared" si="41"/>
        <v>0</v>
      </c>
      <c r="AG101" s="104">
        <f t="shared" si="41"/>
        <v>0</v>
      </c>
      <c r="AH101" s="104">
        <f t="shared" si="41"/>
        <v>0</v>
      </c>
      <c r="AI101" s="104">
        <f t="shared" si="41"/>
        <v>0</v>
      </c>
      <c r="AJ101" s="104">
        <f t="shared" si="41"/>
        <v>0</v>
      </c>
      <c r="AK101" s="104">
        <f t="shared" si="41"/>
        <v>0</v>
      </c>
      <c r="AL101" s="104">
        <f t="shared" si="41"/>
        <v>0</v>
      </c>
      <c r="AM101" s="104">
        <f t="shared" si="41"/>
        <v>0</v>
      </c>
      <c r="AN101" s="104">
        <f t="shared" si="41"/>
        <v>0</v>
      </c>
      <c r="AO101" s="104">
        <f t="shared" si="41"/>
        <v>0</v>
      </c>
      <c r="AP101" s="104">
        <f t="shared" si="41"/>
        <v>0</v>
      </c>
      <c r="AQ101" s="104">
        <f t="shared" si="41"/>
        <v>0</v>
      </c>
      <c r="AR101" s="104">
        <f t="shared" si="41"/>
        <v>0</v>
      </c>
      <c r="AS101" s="104">
        <f t="shared" si="41"/>
        <v>0</v>
      </c>
      <c r="AT101" s="104">
        <f t="shared" si="41"/>
        <v>0</v>
      </c>
      <c r="AU101" s="104">
        <f t="shared" si="41"/>
        <v>0</v>
      </c>
      <c r="AV101" s="104">
        <f t="shared" si="41"/>
        <v>0</v>
      </c>
      <c r="AW101" s="104">
        <f t="shared" si="41"/>
        <v>0</v>
      </c>
      <c r="AX101" s="104">
        <f t="shared" si="41"/>
        <v>0</v>
      </c>
      <c r="AY101" s="104">
        <f t="shared" si="41"/>
        <v>0</v>
      </c>
      <c r="AZ101" s="104">
        <f t="shared" si="41"/>
        <v>0</v>
      </c>
      <c r="BA101" s="104">
        <f t="shared" si="41"/>
        <v>0</v>
      </c>
      <c r="BB101" s="104">
        <f t="shared" si="41"/>
        <v>0</v>
      </c>
      <c r="BC101" s="104">
        <f t="shared" si="41"/>
        <v>0</v>
      </c>
      <c r="BD101" s="104">
        <f t="shared" si="41"/>
        <v>0</v>
      </c>
      <c r="BE101" s="104">
        <f t="shared" si="41"/>
        <v>0</v>
      </c>
      <c r="BF101" s="104">
        <f t="shared" si="41"/>
        <v>0</v>
      </c>
      <c r="BG101" s="104">
        <f t="shared" si="41"/>
        <v>0</v>
      </c>
      <c r="BH101" s="104">
        <f t="shared" si="41"/>
        <v>0</v>
      </c>
      <c r="BI101" s="104">
        <f t="shared" si="41"/>
        <v>0</v>
      </c>
      <c r="BJ101" s="237"/>
      <c r="BK101" s="237"/>
      <c r="BL101" s="237"/>
      <c r="BM101" s="237"/>
    </row>
    <row r="102" spans="1:65" s="190" customFormat="1" ht="12.75" hidden="1" customHeight="1" outlineLevel="2">
      <c r="A102" s="237"/>
      <c r="B102" s="37" t="str">
        <f>C114</f>
        <v>New Capex (Post 2010)</v>
      </c>
      <c r="C102" s="38"/>
      <c r="D102" s="39" t="s">
        <v>58</v>
      </c>
      <c r="E102" s="38"/>
      <c r="F102" s="40"/>
      <c r="G102" s="106">
        <f>IF(G$3&gt;A3remlife,A3value-SUM($F102:F102),IF(A3remlife="N/A","n/a",A3value/A3remlife))</f>
        <v>0</v>
      </c>
      <c r="H102" s="106">
        <f>IF(H$3&gt;A3remlife,A3value-SUM($F102:G102),IF(A3remlife="N/A","n/a",A3value/A3remlife))</f>
        <v>0</v>
      </c>
      <c r="I102" s="106">
        <f>IF(I$3&gt;A3remlife,A3value-SUM($F102:H102),IF(A3remlife="N/A","n/a",A3value/A3remlife))</f>
        <v>0</v>
      </c>
      <c r="J102" s="106">
        <f>IF(J$3&gt;A3remlife,A3value-SUM($F102:I102),IF(A3remlife="N/A","n/a",A3value/A3remlife))</f>
        <v>0</v>
      </c>
      <c r="K102" s="106">
        <f>IF(K$3&gt;A3remlife,A3value-SUM($F102:J102),IF(A3remlife="N/A","n/a",A3value/A3remlife))</f>
        <v>0</v>
      </c>
      <c r="L102" s="106">
        <f>IF(L$3&gt;A3remlife,A3value-SUM($F102:K102),IF(A3remlife="N/A","n/a",A3value/A3remlife))</f>
        <v>0</v>
      </c>
      <c r="M102" s="106">
        <f>IF(M$3&gt;A3remlife,A3value-SUM($F102:L102),IF(A3remlife="N/A","n/a",A3value/A3remlife))</f>
        <v>0</v>
      </c>
      <c r="N102" s="106">
        <f>IF(N$3&gt;A3remlife,A3value-SUM($F102:M102),IF(A3remlife="N/A","n/a",A3value/A3remlife))</f>
        <v>0</v>
      </c>
      <c r="O102" s="106">
        <f>IF(O$3&gt;A3remlife,A3value-SUM($F102:N102),IF(A3remlife="N/A","n/a",A3value/A3remlife))</f>
        <v>0</v>
      </c>
      <c r="P102" s="106">
        <f>IF(P$3&gt;A3remlife,A3value-SUM($F102:O102),IF(A3remlife="N/A","n/a",A3value/A3remlife))</f>
        <v>0</v>
      </c>
      <c r="Q102" s="106">
        <f>IF(Q$3&gt;A3remlife,A3value-SUM($F102:P102),IF(A3remlife="N/A","n/a",A3value/A3remlife))</f>
        <v>0</v>
      </c>
      <c r="R102" s="106">
        <f>IF(R$3&gt;A3remlife,A3value-SUM($F102:Q102),IF(A3remlife="N/A","n/a",A3value/A3remlife))</f>
        <v>0</v>
      </c>
      <c r="S102" s="106">
        <f>IF(S$3&gt;A3remlife,A3value-SUM($F102:R102),IF(A3remlife="N/A","n/a",A3value/A3remlife))</f>
        <v>0</v>
      </c>
      <c r="T102" s="106">
        <f>IF(T$3&gt;A3remlife,A3value-SUM($F102:S102),IF(A3remlife="N/A","n/a",A3value/A3remlife))</f>
        <v>0</v>
      </c>
      <c r="U102" s="106">
        <f>IF(U$3&gt;A3remlife,A3value-SUM($F102:T102),IF(A3remlife="N/A","n/a",A3value/A3remlife))</f>
        <v>0</v>
      </c>
      <c r="V102" s="106">
        <f>IF(V$3&gt;A3remlife,A3value-SUM($F102:U102),IF(A3remlife="N/A","n/a",A3value/A3remlife))</f>
        <v>0</v>
      </c>
      <c r="W102" s="106">
        <f>IF(W$3&gt;A3remlife,A3value-SUM($F102:V102),IF(A3remlife="N/A","n/a",A3value/A3remlife))</f>
        <v>0</v>
      </c>
      <c r="X102" s="106">
        <f>IF(X$3&gt;A3remlife,A3value-SUM($F102:W102),IF(A3remlife="N/A","n/a",A3value/A3remlife))</f>
        <v>0</v>
      </c>
      <c r="Y102" s="106">
        <f>IF(Y$3&gt;A3remlife,A3value-SUM($F102:X102),IF(A3remlife="N/A","n/a",A3value/A3remlife))</f>
        <v>0</v>
      </c>
      <c r="Z102" s="106">
        <f>IF(Z$3&gt;A3remlife,A3value-SUM($F102:Y102),IF(A3remlife="N/A","n/a",A3value/A3remlife))</f>
        <v>0</v>
      </c>
      <c r="AA102" s="106">
        <f>IF(AA$3&gt;A3remlife,A3value-SUM($F102:Z102),IF(A3remlife="N/A","n/a",A3value/A3remlife))</f>
        <v>0</v>
      </c>
      <c r="AB102" s="106">
        <f>IF(AB$3&gt;A3remlife,A3value-SUM($F102:AA102),IF(A3remlife="N/A","n/a",A3value/A3remlife))</f>
        <v>0</v>
      </c>
      <c r="AC102" s="106">
        <f>IF(AC$3&gt;A3remlife,A3value-SUM($F102:AB102),IF(A3remlife="N/A","n/a",A3value/A3remlife))</f>
        <v>0</v>
      </c>
      <c r="AD102" s="106">
        <f>IF(AD$3&gt;A3remlife,A3value-SUM($F102:AC102),IF(A3remlife="N/A","n/a",A3value/A3remlife))</f>
        <v>0</v>
      </c>
      <c r="AE102" s="106">
        <f>IF(AE$3&gt;A3remlife,A3value-SUM($F102:AD102),IF(A3remlife="N/A","n/a",A3value/A3remlife))</f>
        <v>0</v>
      </c>
      <c r="AF102" s="106">
        <f>IF(AF$3&gt;A3remlife,A3value-SUM($F102:AE102),IF(A3remlife="N/A","n/a",A3value/A3remlife))</f>
        <v>0</v>
      </c>
      <c r="AG102" s="106">
        <f>IF(AG$3&gt;A3remlife,A3value-SUM($F102:AF102),IF(A3remlife="N/A","n/a",A3value/A3remlife))</f>
        <v>0</v>
      </c>
      <c r="AH102" s="106">
        <f>IF(AH$3&gt;A3remlife,A3value-SUM($F102:AG102),IF(A3remlife="N/A","n/a",A3value/A3remlife))</f>
        <v>0</v>
      </c>
      <c r="AI102" s="106">
        <f>IF(AI$3&gt;A3remlife,A3value-SUM($F102:AH102),IF(A3remlife="N/A","n/a",A3value/A3remlife))</f>
        <v>0</v>
      </c>
      <c r="AJ102" s="106">
        <f>IF(AJ$3&gt;A3remlife,A3value-SUM($F102:AI102),IF(A3remlife="N/A","n/a",A3value/A3remlife))</f>
        <v>0</v>
      </c>
      <c r="AK102" s="106">
        <f>IF(AK$3&gt;A3remlife,A3value-SUM($F102:AJ102),IF(A3remlife="N/A","n/a",A3value/A3remlife))</f>
        <v>0</v>
      </c>
      <c r="AL102" s="106">
        <f>IF(AL$3&gt;A3remlife,A3value-SUM($F102:AK102),IF(A3remlife="N/A","n/a",A3value/A3remlife))</f>
        <v>0</v>
      </c>
      <c r="AM102" s="106">
        <f>IF(AM$3&gt;A3remlife,A3value-SUM($F102:AL102),IF(A3remlife="N/A","n/a",A3value/A3remlife))</f>
        <v>0</v>
      </c>
      <c r="AN102" s="106">
        <f>IF(AN$3&gt;A3remlife,A3value-SUM($F102:AM102),IF(A3remlife="N/A","n/a",A3value/A3remlife))</f>
        <v>0</v>
      </c>
      <c r="AO102" s="106">
        <f>IF(AO$3&gt;A3remlife,A3value-SUM($F102:AN102),IF(A3remlife="N/A","n/a",A3value/A3remlife))</f>
        <v>0</v>
      </c>
      <c r="AP102" s="106">
        <f>IF(AP$3&gt;A3remlife,A3value-SUM($F102:AO102),IF(A3remlife="N/A","n/a",A3value/A3remlife))</f>
        <v>0</v>
      </c>
      <c r="AQ102" s="106">
        <f>IF(AQ$3&gt;A3remlife,A3value-SUM($F102:AP102),IF(A3remlife="N/A","n/a",A3value/A3remlife))</f>
        <v>0</v>
      </c>
      <c r="AR102" s="106">
        <f>IF(AR$3&gt;A3remlife,A3value-SUM($F102:AQ102),IF(A3remlife="N/A","n/a",A3value/A3remlife))</f>
        <v>0</v>
      </c>
      <c r="AS102" s="106">
        <f>IF(AS$3&gt;A3remlife,A3value-SUM($F102:AR102),IF(A3remlife="N/A","n/a",A3value/A3remlife))</f>
        <v>0</v>
      </c>
      <c r="AT102" s="106">
        <f>IF(AT$3&gt;A3remlife,A3value-SUM($F102:AS102),IF(A3remlife="N/A","n/a",A3value/A3remlife))</f>
        <v>0</v>
      </c>
      <c r="AU102" s="106">
        <f>IF(AU$3&gt;A3remlife,A3value-SUM($F102:AT102),IF(A3remlife="N/A","n/a",A3value/A3remlife))</f>
        <v>0</v>
      </c>
      <c r="AV102" s="106">
        <f>IF(AV$3&gt;A3remlife,A3value-SUM($F102:AU102),IF(A3remlife="N/A","n/a",A3value/A3remlife))</f>
        <v>0</v>
      </c>
      <c r="AW102" s="106">
        <f>IF(AW$3&gt;A3remlife,A3value-SUM($F102:AV102),IF(A3remlife="N/A","n/a",A3value/A3remlife))</f>
        <v>0</v>
      </c>
      <c r="AX102" s="106">
        <f>IF(AX$3&gt;A3remlife,A3value-SUM($F102:AW102),IF(A3remlife="N/A","n/a",A3value/A3remlife))</f>
        <v>0</v>
      </c>
      <c r="AY102" s="106">
        <f>IF(AY$3&gt;A3remlife,A3value-SUM($F102:AX102),IF(A3remlife="N/A","n/a",A3value/A3remlife))</f>
        <v>0</v>
      </c>
      <c r="AZ102" s="106">
        <f>IF(AZ$3&gt;A3remlife,A3value-SUM($F102:AY102),IF(A3remlife="N/A","n/a",A3value/A3remlife))</f>
        <v>0</v>
      </c>
      <c r="BA102" s="106">
        <f>IF(BA$3&gt;A3remlife,A3value-SUM($F102:AZ102),IF(A3remlife="N/A","n/a",A3value/A3remlife))</f>
        <v>0</v>
      </c>
      <c r="BB102" s="106">
        <f>IF(BB$3&gt;A3remlife,A3value-SUM($F102:BA102),IF(A3remlife="N/A","n/a",A3value/A3remlife))</f>
        <v>0</v>
      </c>
      <c r="BC102" s="106">
        <f>IF(BC$3&gt;A3remlife,A3value-SUM($F102:BB102),IF(A3remlife="N/A","n/a",A3value/A3remlife))</f>
        <v>0</v>
      </c>
      <c r="BD102" s="106">
        <f>IF(BD$3&gt;A3remlife,A3value-SUM($F102:BC102),IF(A3remlife="N/A","n/a",A3value/A3remlife))</f>
        <v>0</v>
      </c>
      <c r="BE102" s="106">
        <f>IF(BE$3&gt;A3remlife,A3value-SUM($F102:BD102),IF(A3remlife="N/A","n/a",A3value/A3remlife))</f>
        <v>0</v>
      </c>
      <c r="BF102" s="106">
        <f>IF(BF$3&gt;A3remlife,A3value-SUM($F102:BE102),IF(A3remlife="N/A","n/a",A3value/A3remlife))</f>
        <v>0</v>
      </c>
      <c r="BG102" s="106">
        <f>IF(BG$3&gt;A3remlife,A3value-SUM($F102:BF102),IF(A3remlife="N/A","n/a",A3value/A3remlife))</f>
        <v>0</v>
      </c>
      <c r="BH102" s="106">
        <f>IF(BH$3&gt;A3remlife,A3value-SUM($F102:BG102),IF(A3remlife="N/A","n/a",A3value/A3remlife))</f>
        <v>0</v>
      </c>
      <c r="BI102" s="106">
        <f>IF(BI$3&gt;A3remlife,A3value-SUM($F102:BH102),IF(A3remlife="N/A","n/a",A3value/A3remlife))</f>
        <v>0</v>
      </c>
      <c r="BJ102" s="237"/>
      <c r="BK102" s="237"/>
      <c r="BL102" s="237"/>
      <c r="BM102" s="237"/>
    </row>
    <row r="103" spans="1:65" s="190" customFormat="1" ht="12.75" hidden="1" customHeight="1" outlineLevel="2">
      <c r="A103" s="237"/>
      <c r="B103" s="33"/>
      <c r="C103" s="32"/>
      <c r="D103" s="1618" t="s">
        <v>357</v>
      </c>
      <c r="E103" s="169">
        <v>0</v>
      </c>
      <c r="F103" s="35"/>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237"/>
      <c r="BK103" s="237"/>
      <c r="BL103" s="237"/>
      <c r="BM103" s="237"/>
    </row>
    <row r="104" spans="1:65" s="190" customFormat="1" hidden="1" outlineLevel="2">
      <c r="A104" s="237"/>
      <c r="B104" s="33"/>
      <c r="C104" s="32"/>
      <c r="D104" s="1618"/>
      <c r="E104" s="169">
        <v>1</v>
      </c>
      <c r="F104" s="35"/>
      <c r="G104" s="183"/>
      <c r="H104" s="1479">
        <f>IF(A3stdlife="n/a","n/a",IF(H$3&gt;(A3stdlife+$E104),('PTRM input'!$G$145*(1+rvanilla01)^0.5)-SUM($G104:G104),('PTRM input'!$G$145*(1+rvanilla01)^0.5)/A3stdlife))</f>
        <v>8.8406674359146328E-2</v>
      </c>
      <c r="I104" s="107">
        <f>IF(A3stdlife="n/a","n/a",IF(I$3&gt;(A3stdlife+$E104),('PTRM input'!$G$145*(1+rvanilla01)^0.5)-SUM($G104:H104),('PTRM input'!$G$145*(1+rvanilla01)^0.5)/A3stdlife))</f>
        <v>8.8406674359146328E-2</v>
      </c>
      <c r="J104" s="107">
        <f>IF(A3stdlife="n/a","n/a",IF(J$3&gt;(A3stdlife+$E104),('PTRM input'!$G$145*(1+rvanilla01)^0.5)-SUM($G104:I104),('PTRM input'!$G$145*(1+rvanilla01)^0.5)/A3stdlife))</f>
        <v>8.8406674359146328E-2</v>
      </c>
      <c r="K104" s="107">
        <f>IF(A3stdlife="n/a","n/a",IF(K$3&gt;(A3stdlife+$E104),('PTRM input'!$G$145*(1+rvanilla01)^0.5)-SUM($G104:J104),('PTRM input'!$G$145*(1+rvanilla01)^0.5)/A3stdlife))</f>
        <v>8.8406674359146328E-2</v>
      </c>
      <c r="L104" s="107">
        <f>IF(A3stdlife="n/a","n/a",IF(L$3&gt;(A3stdlife+$E104),('PTRM input'!$G$145*(1+rvanilla01)^0.5)-SUM($G104:K104),('PTRM input'!$G$145*(1+rvanilla01)^0.5)/A3stdlife))</f>
        <v>8.8406674359146328E-2</v>
      </c>
      <c r="M104" s="107">
        <f>IF(A3stdlife="n/a","n/a",IF(M$3&gt;(A3stdlife+$E104),('PTRM input'!$G$145*(1+rvanilla01)^0.5)-SUM($G104:L104),('PTRM input'!$G$145*(1+rvanilla01)^0.5)/A3stdlife))</f>
        <v>8.8406674359146328E-2</v>
      </c>
      <c r="N104" s="107">
        <f>IF(A3stdlife="n/a","n/a",IF(N$3&gt;(A3stdlife+$E104),('PTRM input'!$G$145*(1+rvanilla01)^0.5)-SUM($G104:M104),('PTRM input'!$G$145*(1+rvanilla01)^0.5)/A3stdlife))</f>
        <v>8.8406674359146328E-2</v>
      </c>
      <c r="O104" s="107">
        <f>IF(A3stdlife="n/a","n/a",IF(O$3&gt;(A3stdlife+$E104),('PTRM input'!$G$145*(1+rvanilla01)^0.5)-SUM($G104:N104),('PTRM input'!$G$145*(1+rvanilla01)^0.5)/A3stdlife))</f>
        <v>8.8406674359146328E-2</v>
      </c>
      <c r="P104" s="107">
        <f>IF(A3stdlife="n/a","n/a",IF(P$3&gt;(A3stdlife+$E104),('PTRM input'!$G$145*(1+rvanilla01)^0.5)-SUM($G104:O104),('PTRM input'!$G$145*(1+rvanilla01)^0.5)/A3stdlife))</f>
        <v>8.8406674359146328E-2</v>
      </c>
      <c r="Q104" s="107">
        <f>IF(A3stdlife="n/a","n/a",IF(Q$3&gt;(A3stdlife+$E104),('PTRM input'!$G$145*(1+rvanilla01)^0.5)-SUM($G104:P104),('PTRM input'!$G$145*(1+rvanilla01)^0.5)/A3stdlife))</f>
        <v>8.8406674359146328E-2</v>
      </c>
      <c r="R104" s="107">
        <f>IF(A3stdlife="n/a","n/a",IF(R$3&gt;(A3stdlife+$E104),('PTRM input'!$G$145*(1+rvanilla01)^0.5)-SUM($G104:Q104),('PTRM input'!$G$145*(1+rvanilla01)^0.5)/A3stdlife))</f>
        <v>8.8406674359146328E-2</v>
      </c>
      <c r="S104" s="107">
        <f>IF(A3stdlife="n/a","n/a",IF(S$3&gt;(A3stdlife+$E104),('PTRM input'!$G$145*(1+rvanilla01)^0.5)-SUM($G104:R104),('PTRM input'!$G$145*(1+rvanilla01)^0.5)/A3stdlife))</f>
        <v>8.8406674359146328E-2</v>
      </c>
      <c r="T104" s="107">
        <f>IF(A3stdlife="n/a","n/a",IF(T$3&gt;(A3stdlife+$E104),('PTRM input'!$G$145*(1+rvanilla01)^0.5)-SUM($G104:S104),('PTRM input'!$G$145*(1+rvanilla01)^0.5)/A3stdlife))</f>
        <v>8.8406674359146328E-2</v>
      </c>
      <c r="U104" s="107">
        <f>IF(A3stdlife="n/a","n/a",IF(U$3&gt;(A3stdlife+$E104),('PTRM input'!$G$145*(1+rvanilla01)^0.5)-SUM($G104:T104),('PTRM input'!$G$145*(1+rvanilla01)^0.5)/A3stdlife))</f>
        <v>8.8406674359146328E-2</v>
      </c>
      <c r="V104" s="107">
        <f>IF(A3stdlife="n/a","n/a",IF(V$3&gt;(A3stdlife+$E104),('PTRM input'!$G$145*(1+rvanilla01)^0.5)-SUM($G104:U104),('PTRM input'!$G$145*(1+rvanilla01)^0.5)/A3stdlife))</f>
        <v>8.8406674359146328E-2</v>
      </c>
      <c r="W104" s="107">
        <f>IF(A3stdlife="n/a","n/a",IF(W$3&gt;(A3stdlife+$E104),('PTRM input'!$G$145*(1+rvanilla01)^0.5)-SUM($G104:V104),('PTRM input'!$G$145*(1+rvanilla01)^0.5)/A3stdlife))</f>
        <v>8.8406674359146328E-2</v>
      </c>
      <c r="X104" s="107">
        <f>IF(A3stdlife="n/a","n/a",IF(X$3&gt;(A3stdlife+$E104),('PTRM input'!$G$145*(1+rvanilla01)^0.5)-SUM($G104:W104),('PTRM input'!$G$145*(1+rvanilla01)^0.5)/A3stdlife))</f>
        <v>8.8406674359146328E-2</v>
      </c>
      <c r="Y104" s="107">
        <f>IF(A3stdlife="n/a","n/a",IF(Y$3&gt;(A3stdlife+$E104),('PTRM input'!$G$145*(1+rvanilla01)^0.5)-SUM($G104:X104),('PTRM input'!$G$145*(1+rvanilla01)^0.5)/A3stdlife))</f>
        <v>8.8406674359146328E-2</v>
      </c>
      <c r="Z104" s="107">
        <f>IF(A3stdlife="n/a","n/a",IF(Z$3&gt;(A3stdlife+$E104),('PTRM input'!$G$145*(1+rvanilla01)^0.5)-SUM($G104:Y104),('PTRM input'!$G$145*(1+rvanilla01)^0.5)/A3stdlife))</f>
        <v>8.8406674359146328E-2</v>
      </c>
      <c r="AA104" s="107">
        <f>IF(A3stdlife="n/a","n/a",IF(AA$3&gt;(A3stdlife+$E104),('PTRM input'!$G$145*(1+rvanilla01)^0.5)-SUM($G104:Z104),('PTRM input'!$G$145*(1+rvanilla01)^0.5)/A3stdlife))</f>
        <v>8.8406674359146328E-2</v>
      </c>
      <c r="AB104" s="107">
        <f>IF(A3stdlife="n/a","n/a",IF(AB$3&gt;(A3stdlife+$E104),('PTRM input'!$G$145*(1+rvanilla01)^0.5)-SUM($G104:AA104),('PTRM input'!$G$145*(1+rvanilla01)^0.5)/A3stdlife))</f>
        <v>8.8406674359146328E-2</v>
      </c>
      <c r="AC104" s="107">
        <f>IF(A3stdlife="n/a","n/a",IF(AC$3&gt;(A3stdlife+$E104),('PTRM input'!$G$145*(1+rvanilla01)^0.5)-SUM($G104:AB104),('PTRM input'!$G$145*(1+rvanilla01)^0.5)/A3stdlife))</f>
        <v>8.8406674359146328E-2</v>
      </c>
      <c r="AD104" s="107">
        <f>IF(A3stdlife="n/a","n/a",IF(AD$3&gt;(A3stdlife+$E104),('PTRM input'!$G$145*(1+rvanilla01)^0.5)-SUM($G104:AC104),('PTRM input'!$G$145*(1+rvanilla01)^0.5)/A3stdlife))</f>
        <v>8.8406674359146328E-2</v>
      </c>
      <c r="AE104" s="107">
        <f>IF(A3stdlife="n/a","n/a",IF(AE$3&gt;(A3stdlife+$E104),('PTRM input'!$G$145*(1+rvanilla01)^0.5)-SUM($G104:AD104),('PTRM input'!$G$145*(1+rvanilla01)^0.5)/A3stdlife))</f>
        <v>8.8406674359146328E-2</v>
      </c>
      <c r="AF104" s="107">
        <f>IF(A3stdlife="n/a","n/a",IF(AF$3&gt;(A3stdlife+$E104),('PTRM input'!$G$145*(1+rvanilla01)^0.5)-SUM($G104:AE104),('PTRM input'!$G$145*(1+rvanilla01)^0.5)/A3stdlife))</f>
        <v>8.8406674359146328E-2</v>
      </c>
      <c r="AG104" s="107">
        <f>IF(A3stdlife="n/a","n/a",IF(AG$3&gt;(A3stdlife+$E104),('PTRM input'!$G$145*(1+rvanilla01)^0.5)-SUM($G104:AF104),('PTRM input'!$G$145*(1+rvanilla01)^0.5)/A3stdlife))</f>
        <v>8.8406674359146328E-2</v>
      </c>
      <c r="AH104" s="107">
        <f>IF(A3stdlife="n/a","n/a",IF(AH$3&gt;(A3stdlife+$E104),('PTRM input'!$G$145*(1+rvanilla01)^0.5)-SUM($G104:AG104),('PTRM input'!$G$145*(1+rvanilla01)^0.5)/A3stdlife))</f>
        <v>8.8406674359146328E-2</v>
      </c>
      <c r="AI104" s="107">
        <f>IF(A3stdlife="n/a","n/a",IF(AI$3&gt;(A3stdlife+$E104),('PTRM input'!$G$145*(1+rvanilla01)^0.5)-SUM($G104:AH104),('PTRM input'!$G$145*(1+rvanilla01)^0.5)/A3stdlife))</f>
        <v>8.8406674359146328E-2</v>
      </c>
      <c r="AJ104" s="107">
        <f>IF(A3stdlife="n/a","n/a",IF(AJ$3&gt;(A3stdlife+$E104),('PTRM input'!$G$145*(1+rvanilla01)^0.5)-SUM($G104:AI104),('PTRM input'!$G$145*(1+rvanilla01)^0.5)/A3stdlife))</f>
        <v>8.8817841970012523E-16</v>
      </c>
      <c r="AK104" s="107">
        <f>IF(A3stdlife="n/a","n/a",IF(AK$3&gt;(A3stdlife+$E104),('PTRM input'!$G$145*(1+rvanilla01)^0.5)-SUM($G104:AJ104),('PTRM input'!$G$145*(1+rvanilla01)^0.5)/A3stdlife))</f>
        <v>0</v>
      </c>
      <c r="AL104" s="107">
        <f>IF(A3stdlife="n/a","n/a",IF(AL$3&gt;(A3stdlife+$E104),('PTRM input'!$G$145*(1+rvanilla01)^0.5)-SUM($G104:AK104),('PTRM input'!$G$145*(1+rvanilla01)^0.5)/A3stdlife))</f>
        <v>0</v>
      </c>
      <c r="AM104" s="107">
        <f>IF(A3stdlife="n/a","n/a",IF(AM$3&gt;(A3stdlife+$E104),('PTRM input'!$G$145*(1+rvanilla01)^0.5)-SUM($G104:AL104),('PTRM input'!$G$145*(1+rvanilla01)^0.5)/A3stdlife))</f>
        <v>0</v>
      </c>
      <c r="AN104" s="107">
        <f>IF(A3stdlife="n/a","n/a",IF(AN$3&gt;(A3stdlife+$E104),('PTRM input'!$G$145*(1+rvanilla01)^0.5)-SUM($G104:AM104),('PTRM input'!$G$145*(1+rvanilla01)^0.5)/A3stdlife))</f>
        <v>0</v>
      </c>
      <c r="AO104" s="107">
        <f>IF(A3stdlife="n/a","n/a",IF(AO$3&gt;(A3stdlife+$E104),('PTRM input'!$G$145*(1+rvanilla01)^0.5)-SUM($G104:AN104),('PTRM input'!$G$145*(1+rvanilla01)^0.5)/A3stdlife))</f>
        <v>0</v>
      </c>
      <c r="AP104" s="107">
        <f>IF(A3stdlife="n/a","n/a",IF(AP$3&gt;(A3stdlife+$E104),('PTRM input'!$G$145*(1+rvanilla01)^0.5)-SUM($G104:AO104),('PTRM input'!$G$145*(1+rvanilla01)^0.5)/A3stdlife))</f>
        <v>0</v>
      </c>
      <c r="AQ104" s="107">
        <f>IF(A3stdlife="n/a","n/a",IF(AQ$3&gt;(A3stdlife+$E104),('PTRM input'!$G$145*(1+rvanilla01)^0.5)-SUM($G104:AP104),('PTRM input'!$G$145*(1+rvanilla01)^0.5)/A3stdlife))</f>
        <v>0</v>
      </c>
      <c r="AR104" s="107">
        <f>IF(A3stdlife="n/a","n/a",IF(AR$3&gt;(A3stdlife+$E104),('PTRM input'!$G$145*(1+rvanilla01)^0.5)-SUM($G104:AQ104),('PTRM input'!$G$145*(1+rvanilla01)^0.5)/A3stdlife))</f>
        <v>0</v>
      </c>
      <c r="AS104" s="107">
        <f>IF(A3stdlife="n/a","n/a",IF(AS$3&gt;(A3stdlife+$E104),('PTRM input'!$G$145*(1+rvanilla01)^0.5)-SUM($G104:AR104),('PTRM input'!$G$145*(1+rvanilla01)^0.5)/A3stdlife))</f>
        <v>0</v>
      </c>
      <c r="AT104" s="107">
        <f>IF(A3stdlife="n/a","n/a",IF(AT$3&gt;(A3stdlife+$E104),('PTRM input'!$G$145*(1+rvanilla01)^0.5)-SUM($G104:AS104),('PTRM input'!$G$145*(1+rvanilla01)^0.5)/A3stdlife))</f>
        <v>0</v>
      </c>
      <c r="AU104" s="107">
        <f>IF(A3stdlife="n/a","n/a",IF(AU$3&gt;(A3stdlife+$E104),('PTRM input'!$G$145*(1+rvanilla01)^0.5)-SUM($G104:AT104),('PTRM input'!$G$145*(1+rvanilla01)^0.5)/A3stdlife))</f>
        <v>0</v>
      </c>
      <c r="AV104" s="107">
        <f>IF(A3stdlife="n/a","n/a",IF(AV$3&gt;(A3stdlife+$E104),('PTRM input'!$G$145*(1+rvanilla01)^0.5)-SUM($G104:AU104),('PTRM input'!$G$145*(1+rvanilla01)^0.5)/A3stdlife))</f>
        <v>0</v>
      </c>
      <c r="AW104" s="107">
        <f>IF(A3stdlife="n/a","n/a",IF(AW$3&gt;(A3stdlife+$E104),('PTRM input'!$G$145*(1+rvanilla01)^0.5)-SUM($G104:AV104),('PTRM input'!$G$145*(1+rvanilla01)^0.5)/A3stdlife))</f>
        <v>0</v>
      </c>
      <c r="AX104" s="107">
        <f>IF(A3stdlife="n/a","n/a",IF(AX$3&gt;(A3stdlife+$E104),('PTRM input'!$G$145*(1+rvanilla01)^0.5)-SUM($G104:AW104),('PTRM input'!$G$145*(1+rvanilla01)^0.5)/A3stdlife))</f>
        <v>0</v>
      </c>
      <c r="AY104" s="107">
        <f>IF(A3stdlife="n/a","n/a",IF(AY$3&gt;(A3stdlife+$E104),('PTRM input'!$G$145*(1+rvanilla01)^0.5)-SUM($G104:AX104),('PTRM input'!$G$145*(1+rvanilla01)^0.5)/A3stdlife))</f>
        <v>0</v>
      </c>
      <c r="AZ104" s="107">
        <f>IF(A3stdlife="n/a","n/a",IF(AZ$3&gt;(A3stdlife+$E104),('PTRM input'!$G$145*(1+rvanilla01)^0.5)-SUM($G104:AY104),('PTRM input'!$G$145*(1+rvanilla01)^0.5)/A3stdlife))</f>
        <v>0</v>
      </c>
      <c r="BA104" s="107">
        <f>IF(A3stdlife="n/a","n/a",IF(BA$3&gt;(A3stdlife+$E104),('PTRM input'!$G$145*(1+rvanilla01)^0.5)-SUM($G104:AZ104),('PTRM input'!$G$145*(1+rvanilla01)^0.5)/A3stdlife))</f>
        <v>0</v>
      </c>
      <c r="BB104" s="107">
        <f>IF(A3stdlife="n/a","n/a",IF(BB$3&gt;(A3stdlife+$E104),('PTRM input'!$G$145*(1+rvanilla01)^0.5)-SUM($G104:BA104),('PTRM input'!$G$145*(1+rvanilla01)^0.5)/A3stdlife))</f>
        <v>0</v>
      </c>
      <c r="BC104" s="107">
        <f>IF(A3stdlife="n/a","n/a",IF(BC$3&gt;(A3stdlife+$E104),('PTRM input'!$G$145*(1+rvanilla01)^0.5)-SUM($G104:BB104),('PTRM input'!$G$145*(1+rvanilla01)^0.5)/A3stdlife))</f>
        <v>0</v>
      </c>
      <c r="BD104" s="107">
        <f>IF(A3stdlife="n/a","n/a",IF(BD$3&gt;(A3stdlife+$E104),('PTRM input'!$G$145*(1+rvanilla01)^0.5)-SUM($G104:BC104),('PTRM input'!$G$145*(1+rvanilla01)^0.5)/A3stdlife))</f>
        <v>0</v>
      </c>
      <c r="BE104" s="107">
        <f>IF(A3stdlife="n/a","n/a",IF(BE$3&gt;(A3stdlife+$E104),('PTRM input'!$G$145*(1+rvanilla01)^0.5)-SUM($G104:BD104),('PTRM input'!$G$145*(1+rvanilla01)^0.5)/A3stdlife))</f>
        <v>0</v>
      </c>
      <c r="BF104" s="107">
        <f>IF(A3stdlife="n/a","n/a",IF(BF$3&gt;(A3stdlife+$E104),('PTRM input'!$G$145*(1+rvanilla01)^0.5)-SUM($G104:BE104),('PTRM input'!$G$145*(1+rvanilla01)^0.5)/A3stdlife))</f>
        <v>0</v>
      </c>
      <c r="BG104" s="107">
        <f>IF(A3stdlife="n/a","n/a",IF(BG$3&gt;(A3stdlife+$E104),('PTRM input'!$G$145*(1+rvanilla01)^0.5)-SUM($G104:BF104),('PTRM input'!$G$145*(1+rvanilla01)^0.5)/A3stdlife))</f>
        <v>0</v>
      </c>
      <c r="BH104" s="107">
        <f>IF(A3stdlife="n/a","n/a",IF(BH$3&gt;(A3stdlife+$E104),('PTRM input'!$G$145*(1+rvanilla01)^0.5)-SUM($G104:BG104),('PTRM input'!$G$145*(1+rvanilla01)^0.5)/A3stdlife))</f>
        <v>0</v>
      </c>
      <c r="BI104" s="107">
        <f>IF(A3stdlife="n/a","n/a",IF(BI$3&gt;(A3stdlife+$E104),('PTRM input'!$G$145*(1+rvanilla01)^0.5)-SUM($G104:BH104),('PTRM input'!$G$145*(1+rvanilla01)^0.5)/A3stdlife))</f>
        <v>0</v>
      </c>
      <c r="BJ104" s="237"/>
      <c r="BK104" s="237"/>
      <c r="BL104" s="237"/>
      <c r="BM104" s="237"/>
    </row>
    <row r="105" spans="1:65" s="190" customFormat="1" hidden="1" outlineLevel="2">
      <c r="A105" s="237"/>
      <c r="B105" s="33"/>
      <c r="C105" s="32"/>
      <c r="D105" s="1618"/>
      <c r="E105" s="169">
        <v>2</v>
      </c>
      <c r="F105" s="35"/>
      <c r="G105" s="184"/>
      <c r="H105" s="185"/>
      <c r="I105" s="107">
        <f>IF(A3stdlife="n/a","n/a",IF(I$3&gt;(A3stdlife+$E105),('PTRM input'!$H$145*(1+rvanilla02)^0.5)-SUM($H105:H105),('PTRM input'!$H$145*(1+rvanilla02)^0.5)/A3stdlife))</f>
        <v>0.10117005349725171</v>
      </c>
      <c r="J105" s="107">
        <f>IF(A3stdlife="n/a","n/a",IF(J$3&gt;(A3stdlife+$E105),('PTRM input'!$H$145*(1+rvanilla02)^0.5)-SUM($H105:I105),('PTRM input'!$H$145*(1+rvanilla02)^0.5)/A3stdlife))</f>
        <v>0.10117005349725171</v>
      </c>
      <c r="K105" s="107">
        <f>IF(A3stdlife="n/a","n/a",IF(K$3&gt;(A3stdlife+$E105),('PTRM input'!$H$145*(1+rvanilla02)^0.5)-SUM($H105:J105),('PTRM input'!$H$145*(1+rvanilla02)^0.5)/A3stdlife))</f>
        <v>0.10117005349725171</v>
      </c>
      <c r="L105" s="107">
        <f>IF(A3stdlife="n/a","n/a",IF(L$3&gt;(A3stdlife+$E105),('PTRM input'!$H$145*(1+rvanilla02)^0.5)-SUM($H105:K105),('PTRM input'!$H$145*(1+rvanilla02)^0.5)/A3stdlife))</f>
        <v>0.10117005349725171</v>
      </c>
      <c r="M105" s="107">
        <f>IF(A3stdlife="n/a","n/a",IF(M$3&gt;(A3stdlife+$E105),('PTRM input'!$H$145*(1+rvanilla02)^0.5)-SUM($H105:L105),('PTRM input'!$H$145*(1+rvanilla02)^0.5)/A3stdlife))</f>
        <v>0.10117005349725171</v>
      </c>
      <c r="N105" s="107">
        <f>IF(A3stdlife="n/a","n/a",IF(N$3&gt;(A3stdlife+$E105),('PTRM input'!$H$145*(1+rvanilla02)^0.5)-SUM($H105:M105),('PTRM input'!$H$145*(1+rvanilla02)^0.5)/A3stdlife))</f>
        <v>0.10117005349725171</v>
      </c>
      <c r="O105" s="107">
        <f>IF(A3stdlife="n/a","n/a",IF(O$3&gt;(A3stdlife+$E105),('PTRM input'!$H$145*(1+rvanilla02)^0.5)-SUM($H105:N105),('PTRM input'!$H$145*(1+rvanilla02)^0.5)/A3stdlife))</f>
        <v>0.10117005349725171</v>
      </c>
      <c r="P105" s="107">
        <f>IF(A3stdlife="n/a","n/a",IF(P$3&gt;(A3stdlife+$E105),('PTRM input'!$H$145*(1+rvanilla02)^0.5)-SUM($H105:O105),('PTRM input'!$H$145*(1+rvanilla02)^0.5)/A3stdlife))</f>
        <v>0.10117005349725171</v>
      </c>
      <c r="Q105" s="107">
        <f>IF(A3stdlife="n/a","n/a",IF(Q$3&gt;(A3stdlife+$E105),('PTRM input'!$H$145*(1+rvanilla02)^0.5)-SUM($H105:P105),('PTRM input'!$H$145*(1+rvanilla02)^0.5)/A3stdlife))</f>
        <v>0.10117005349725171</v>
      </c>
      <c r="R105" s="107">
        <f>IF(A3stdlife="n/a","n/a",IF(R$3&gt;(A3stdlife+$E105),('PTRM input'!$H$145*(1+rvanilla02)^0.5)-SUM($H105:Q105),('PTRM input'!$H$145*(1+rvanilla02)^0.5)/A3stdlife))</f>
        <v>0.10117005349725171</v>
      </c>
      <c r="S105" s="107">
        <f>IF(A3stdlife="n/a","n/a",IF(S$3&gt;(A3stdlife+$E105),('PTRM input'!$H$145*(1+rvanilla02)^0.5)-SUM($H105:R105),('PTRM input'!$H$145*(1+rvanilla02)^0.5)/A3stdlife))</f>
        <v>0.10117005349725171</v>
      </c>
      <c r="T105" s="107">
        <f>IF(A3stdlife="n/a","n/a",IF(T$3&gt;(A3stdlife+$E105),('PTRM input'!$H$145*(1+rvanilla02)^0.5)-SUM($H105:S105),('PTRM input'!$H$145*(1+rvanilla02)^0.5)/A3stdlife))</f>
        <v>0.10117005349725171</v>
      </c>
      <c r="U105" s="107">
        <f>IF(A3stdlife="n/a","n/a",IF(U$3&gt;(A3stdlife+$E105),('PTRM input'!$H$145*(1+rvanilla02)^0.5)-SUM($H105:T105),('PTRM input'!$H$145*(1+rvanilla02)^0.5)/A3stdlife))</f>
        <v>0.10117005349725171</v>
      </c>
      <c r="V105" s="107">
        <f>IF(A3stdlife="n/a","n/a",IF(V$3&gt;(A3stdlife+$E105),('PTRM input'!$H$145*(1+rvanilla02)^0.5)-SUM($H105:U105),('PTRM input'!$H$145*(1+rvanilla02)^0.5)/A3stdlife))</f>
        <v>0.10117005349725171</v>
      </c>
      <c r="W105" s="107">
        <f>IF(A3stdlife="n/a","n/a",IF(W$3&gt;(A3stdlife+$E105),('PTRM input'!$H$145*(1+rvanilla02)^0.5)-SUM($H105:V105),('PTRM input'!$H$145*(1+rvanilla02)^0.5)/A3stdlife))</f>
        <v>0.10117005349725171</v>
      </c>
      <c r="X105" s="107">
        <f>IF(A3stdlife="n/a","n/a",IF(X$3&gt;(A3stdlife+$E105),('PTRM input'!$H$145*(1+rvanilla02)^0.5)-SUM($H105:W105),('PTRM input'!$H$145*(1+rvanilla02)^0.5)/A3stdlife))</f>
        <v>0.10117005349725171</v>
      </c>
      <c r="Y105" s="107">
        <f>IF(A3stdlife="n/a","n/a",IF(Y$3&gt;(A3stdlife+$E105),('PTRM input'!$H$145*(1+rvanilla02)^0.5)-SUM($H105:X105),('PTRM input'!$H$145*(1+rvanilla02)^0.5)/A3stdlife))</f>
        <v>0.10117005349725171</v>
      </c>
      <c r="Z105" s="107">
        <f>IF(A3stdlife="n/a","n/a",IF(Z$3&gt;(A3stdlife+$E105),('PTRM input'!$H$145*(1+rvanilla02)^0.5)-SUM($H105:Y105),('PTRM input'!$H$145*(1+rvanilla02)^0.5)/A3stdlife))</f>
        <v>0.10117005349725171</v>
      </c>
      <c r="AA105" s="107">
        <f>IF(A3stdlife="n/a","n/a",IF(AA$3&gt;(A3stdlife+$E105),('PTRM input'!$H$145*(1+rvanilla02)^0.5)-SUM($H105:Z105),('PTRM input'!$H$145*(1+rvanilla02)^0.5)/A3stdlife))</f>
        <v>0.10117005349725171</v>
      </c>
      <c r="AB105" s="107">
        <f>IF(A3stdlife="n/a","n/a",IF(AB$3&gt;(A3stdlife+$E105),('PTRM input'!$H$145*(1+rvanilla02)^0.5)-SUM($H105:AA105),('PTRM input'!$H$145*(1+rvanilla02)^0.5)/A3stdlife))</f>
        <v>0.10117005349725171</v>
      </c>
      <c r="AC105" s="107">
        <f>IF(A3stdlife="n/a","n/a",IF(AC$3&gt;(A3stdlife+$E105),('PTRM input'!$H$145*(1+rvanilla02)^0.5)-SUM($H105:AB105),('PTRM input'!$H$145*(1+rvanilla02)^0.5)/A3stdlife))</f>
        <v>0.10117005349725171</v>
      </c>
      <c r="AD105" s="107">
        <f>IF(A3stdlife="n/a","n/a",IF(AD$3&gt;(A3stdlife+$E105),('PTRM input'!$H$145*(1+rvanilla02)^0.5)-SUM($H105:AC105),('PTRM input'!$H$145*(1+rvanilla02)^0.5)/A3stdlife))</f>
        <v>0.10117005349725171</v>
      </c>
      <c r="AE105" s="107">
        <f>IF(A3stdlife="n/a","n/a",IF(AE$3&gt;(A3stdlife+$E105),('PTRM input'!$H$145*(1+rvanilla02)^0.5)-SUM($H105:AD105),('PTRM input'!$H$145*(1+rvanilla02)^0.5)/A3stdlife))</f>
        <v>0.10117005349725171</v>
      </c>
      <c r="AF105" s="107">
        <f>IF(A3stdlife="n/a","n/a",IF(AF$3&gt;(A3stdlife+$E105),('PTRM input'!$H$145*(1+rvanilla02)^0.5)-SUM($H105:AE105),('PTRM input'!$H$145*(1+rvanilla02)^0.5)/A3stdlife))</f>
        <v>0.10117005349725171</v>
      </c>
      <c r="AG105" s="107">
        <f>IF(A3stdlife="n/a","n/a",IF(AG$3&gt;(A3stdlife+$E105),('PTRM input'!$H$145*(1+rvanilla02)^0.5)-SUM($H105:AF105),('PTRM input'!$H$145*(1+rvanilla02)^0.5)/A3stdlife))</f>
        <v>0.10117005349725171</v>
      </c>
      <c r="AH105" s="107">
        <f>IF(A3stdlife="n/a","n/a",IF(AH$3&gt;(A3stdlife+$E105),('PTRM input'!$H$145*(1+rvanilla02)^0.5)-SUM($H105:AG105),('PTRM input'!$H$145*(1+rvanilla02)^0.5)/A3stdlife))</f>
        <v>0.10117005349725171</v>
      </c>
      <c r="AI105" s="107">
        <f>IF(A3stdlife="n/a","n/a",IF(AI$3&gt;(A3stdlife+$E105),('PTRM input'!$H$145*(1+rvanilla02)^0.5)-SUM($H105:AH105),('PTRM input'!$H$145*(1+rvanilla02)^0.5)/A3stdlife))</f>
        <v>0.10117005349725171</v>
      </c>
      <c r="AJ105" s="107">
        <f>IF(A3stdlife="n/a","n/a",IF(AJ$3&gt;(A3stdlife+$E105),('PTRM input'!$H$145*(1+rvanilla02)^0.5)-SUM($H105:AI105),('PTRM input'!$H$145*(1+rvanilla02)^0.5)/A3stdlife))</f>
        <v>0.10117005349725171</v>
      </c>
      <c r="AK105" s="107">
        <f>IF(A3stdlife="n/a","n/a",IF(AK$3&gt;(A3stdlife+$E105),('PTRM input'!$H$145*(1+rvanilla02)^0.5)-SUM($H105:AJ105),('PTRM input'!$H$145*(1+rvanilla02)^0.5)/A3stdlife))</f>
        <v>0</v>
      </c>
      <c r="AL105" s="107">
        <f>IF(A3stdlife="n/a","n/a",IF(AL$3&gt;(A3stdlife+$E105),('PTRM input'!$H$145*(1+rvanilla02)^0.5)-SUM($H105:AK105),('PTRM input'!$H$145*(1+rvanilla02)^0.5)/A3stdlife))</f>
        <v>0</v>
      </c>
      <c r="AM105" s="107">
        <f>IF(A3stdlife="n/a","n/a",IF(AM$3&gt;(A3stdlife+$E105),('PTRM input'!$H$145*(1+rvanilla02)^0.5)-SUM($H105:AL105),('PTRM input'!$H$145*(1+rvanilla02)^0.5)/A3stdlife))</f>
        <v>0</v>
      </c>
      <c r="AN105" s="107">
        <f>IF(A3stdlife="n/a","n/a",IF(AN$3&gt;(A3stdlife+$E105),('PTRM input'!$H$145*(1+rvanilla02)^0.5)-SUM($H105:AM105),('PTRM input'!$H$145*(1+rvanilla02)^0.5)/A3stdlife))</f>
        <v>0</v>
      </c>
      <c r="AO105" s="107">
        <f>IF(A3stdlife="n/a","n/a",IF(AO$3&gt;(A3stdlife+$E105),('PTRM input'!$H$145*(1+rvanilla02)^0.5)-SUM($H105:AN105),('PTRM input'!$H$145*(1+rvanilla02)^0.5)/A3stdlife))</f>
        <v>0</v>
      </c>
      <c r="AP105" s="107">
        <f>IF(A3stdlife="n/a","n/a",IF(AP$3&gt;(A3stdlife+$E105),('PTRM input'!$H$145*(1+rvanilla02)^0.5)-SUM($H105:AO105),('PTRM input'!$H$145*(1+rvanilla02)^0.5)/A3stdlife))</f>
        <v>0</v>
      </c>
      <c r="AQ105" s="107">
        <f>IF(A3stdlife="n/a","n/a",IF(AQ$3&gt;(A3stdlife+$E105),('PTRM input'!$H$145*(1+rvanilla02)^0.5)-SUM($H105:AP105),('PTRM input'!$H$145*(1+rvanilla02)^0.5)/A3stdlife))</f>
        <v>0</v>
      </c>
      <c r="AR105" s="107">
        <f>IF(A3stdlife="n/a","n/a",IF(AR$3&gt;(A3stdlife+$E105),('PTRM input'!$H$145*(1+rvanilla02)^0.5)-SUM($H105:AQ105),('PTRM input'!$H$145*(1+rvanilla02)^0.5)/A3stdlife))</f>
        <v>0</v>
      </c>
      <c r="AS105" s="107">
        <f>IF(A3stdlife="n/a","n/a",IF(AS$3&gt;(A3stdlife+$E105),('PTRM input'!$H$145*(1+rvanilla02)^0.5)-SUM($H105:AR105),('PTRM input'!$H$145*(1+rvanilla02)^0.5)/A3stdlife))</f>
        <v>0</v>
      </c>
      <c r="AT105" s="107">
        <f>IF(A3stdlife="n/a","n/a",IF(AT$3&gt;(A3stdlife+$E105),('PTRM input'!$H$145*(1+rvanilla02)^0.5)-SUM($H105:AS105),('PTRM input'!$H$145*(1+rvanilla02)^0.5)/A3stdlife))</f>
        <v>0</v>
      </c>
      <c r="AU105" s="107">
        <f>IF(A3stdlife="n/a","n/a",IF(AU$3&gt;(A3stdlife+$E105),('PTRM input'!$H$145*(1+rvanilla02)^0.5)-SUM($H105:AT105),('PTRM input'!$H$145*(1+rvanilla02)^0.5)/A3stdlife))</f>
        <v>0</v>
      </c>
      <c r="AV105" s="107">
        <f>IF(A3stdlife="n/a","n/a",IF(AV$3&gt;(A3stdlife+$E105),('PTRM input'!$H$145*(1+rvanilla02)^0.5)-SUM($H105:AU105),('PTRM input'!$H$145*(1+rvanilla02)^0.5)/A3stdlife))</f>
        <v>0</v>
      </c>
      <c r="AW105" s="107">
        <f>IF(A3stdlife="n/a","n/a",IF(AW$3&gt;(A3stdlife+$E105),('PTRM input'!$H$145*(1+rvanilla02)^0.5)-SUM($H105:AV105),('PTRM input'!$H$145*(1+rvanilla02)^0.5)/A3stdlife))</f>
        <v>0</v>
      </c>
      <c r="AX105" s="107">
        <f>IF(A3stdlife="n/a","n/a",IF(AX$3&gt;(A3stdlife+$E105),('PTRM input'!$H$145*(1+rvanilla02)^0.5)-SUM($H105:AW105),('PTRM input'!$H$145*(1+rvanilla02)^0.5)/A3stdlife))</f>
        <v>0</v>
      </c>
      <c r="AY105" s="107">
        <f>IF(A3stdlife="n/a","n/a",IF(AY$3&gt;(A3stdlife+$E105),('PTRM input'!$H$145*(1+rvanilla02)^0.5)-SUM($H105:AX105),('PTRM input'!$H$145*(1+rvanilla02)^0.5)/A3stdlife))</f>
        <v>0</v>
      </c>
      <c r="AZ105" s="107">
        <f>IF(A3stdlife="n/a","n/a",IF(AZ$3&gt;(A3stdlife+$E105),('PTRM input'!$H$145*(1+rvanilla02)^0.5)-SUM($H105:AY105),('PTRM input'!$H$145*(1+rvanilla02)^0.5)/A3stdlife))</f>
        <v>0</v>
      </c>
      <c r="BA105" s="107">
        <f>IF(A3stdlife="n/a","n/a",IF(BA$3&gt;(A3stdlife+$E105),('PTRM input'!$H$145*(1+rvanilla02)^0.5)-SUM($H105:AZ105),('PTRM input'!$H$145*(1+rvanilla02)^0.5)/A3stdlife))</f>
        <v>0</v>
      </c>
      <c r="BB105" s="107">
        <f>IF(A3stdlife="n/a","n/a",IF(BB$3&gt;(A3stdlife+$E105),('PTRM input'!$H$145*(1+rvanilla02)^0.5)-SUM($H105:BA105),('PTRM input'!$H$145*(1+rvanilla02)^0.5)/A3stdlife))</f>
        <v>0</v>
      </c>
      <c r="BC105" s="107">
        <f>IF(A3stdlife="n/a","n/a",IF(BC$3&gt;(A3stdlife+$E105),('PTRM input'!$H$145*(1+rvanilla02)^0.5)-SUM($H105:BB105),('PTRM input'!$H$145*(1+rvanilla02)^0.5)/A3stdlife))</f>
        <v>0</v>
      </c>
      <c r="BD105" s="107">
        <f>IF(A3stdlife="n/a","n/a",IF(BD$3&gt;(A3stdlife+$E105),('PTRM input'!$H$145*(1+rvanilla02)^0.5)-SUM($H105:BC105),('PTRM input'!$H$145*(1+rvanilla02)^0.5)/A3stdlife))</f>
        <v>0</v>
      </c>
      <c r="BE105" s="107">
        <f>IF(A3stdlife="n/a","n/a",IF(BE$3&gt;(A3stdlife+$E105),('PTRM input'!$H$145*(1+rvanilla02)^0.5)-SUM($H105:BD105),('PTRM input'!$H$145*(1+rvanilla02)^0.5)/A3stdlife))</f>
        <v>0</v>
      </c>
      <c r="BF105" s="107">
        <f>IF(A3stdlife="n/a","n/a",IF(BF$3&gt;(A3stdlife+$E105),('PTRM input'!$H$145*(1+rvanilla02)^0.5)-SUM($H105:BE105),('PTRM input'!$H$145*(1+rvanilla02)^0.5)/A3stdlife))</f>
        <v>0</v>
      </c>
      <c r="BG105" s="107">
        <f>IF(A3stdlife="n/a","n/a",IF(BG$3&gt;(A3stdlife+$E105),('PTRM input'!$H$145*(1+rvanilla02)^0.5)-SUM($H105:BF105),('PTRM input'!$H$145*(1+rvanilla02)^0.5)/A3stdlife))</f>
        <v>0</v>
      </c>
      <c r="BH105" s="107">
        <f>IF(A3stdlife="n/a","n/a",IF(BH$3&gt;(A3stdlife+$E105),('PTRM input'!$H$145*(1+rvanilla02)^0.5)-SUM($H105:BG105),('PTRM input'!$H$145*(1+rvanilla02)^0.5)/A3stdlife))</f>
        <v>0</v>
      </c>
      <c r="BI105" s="107">
        <f>IF(A3stdlife="n/a","n/a",IF(BI$3&gt;(A3stdlife+$E105),('PTRM input'!$H$145*(1+rvanilla02)^0.5)-SUM($H105:BH105),('PTRM input'!$H$145*(1+rvanilla02)^0.5)/A3stdlife))</f>
        <v>0</v>
      </c>
      <c r="BJ105" s="237"/>
      <c r="BK105" s="237"/>
      <c r="BL105" s="237"/>
      <c r="BM105" s="237"/>
    </row>
    <row r="106" spans="1:65" s="190" customFormat="1" hidden="1" outlineLevel="2">
      <c r="A106" s="237"/>
      <c r="B106" s="33"/>
      <c r="C106" s="32"/>
      <c r="D106" s="1618"/>
      <c r="E106" s="169">
        <v>3</v>
      </c>
      <c r="F106" s="35"/>
      <c r="G106" s="184"/>
      <c r="H106" s="186"/>
      <c r="I106" s="185"/>
      <c r="J106" s="107">
        <f>IF(A3stdlife="n/a","n/a",IF(J$3&gt;(A3stdlife+$E106),('PTRM input'!$I$145*(1+rvanilla03)^0.5)-SUM($I106:I106),('PTRM input'!$I$145*(1+rvanilla03)^0.5)/A3stdlife))</f>
        <v>0.10139416327944203</v>
      </c>
      <c r="K106" s="107">
        <f>IF(A3stdlife="n/a","n/a",IF(K$3&gt;(A3stdlife+$E106),('PTRM input'!$I$145*(1+rvanilla03)^0.5)-SUM($I106:J106),('PTRM input'!$I$145*(1+rvanilla03)^0.5)/A3stdlife))</f>
        <v>0.10139416327944203</v>
      </c>
      <c r="L106" s="107">
        <f>IF(A3stdlife="n/a","n/a",IF(L$3&gt;(A3stdlife+$E106),('PTRM input'!$I$145*(1+rvanilla03)^0.5)-SUM($I106:K106),('PTRM input'!$I$145*(1+rvanilla03)^0.5)/A3stdlife))</f>
        <v>0.10139416327944203</v>
      </c>
      <c r="M106" s="107">
        <f>IF(A3stdlife="n/a","n/a",IF(M$3&gt;(A3stdlife+$E106),('PTRM input'!$I$145*(1+rvanilla03)^0.5)-SUM($I106:L106),('PTRM input'!$I$145*(1+rvanilla03)^0.5)/A3stdlife))</f>
        <v>0.10139416327944203</v>
      </c>
      <c r="N106" s="107">
        <f>IF(A3stdlife="n/a","n/a",IF(N$3&gt;(A3stdlife+$E106),('PTRM input'!$I$145*(1+rvanilla03)^0.5)-SUM($I106:M106),('PTRM input'!$I$145*(1+rvanilla03)^0.5)/A3stdlife))</f>
        <v>0.10139416327944203</v>
      </c>
      <c r="O106" s="107">
        <f>IF(A3stdlife="n/a","n/a",IF(O$3&gt;(A3stdlife+$E106),('PTRM input'!$I$145*(1+rvanilla03)^0.5)-SUM($I106:N106),('PTRM input'!$I$145*(1+rvanilla03)^0.5)/A3stdlife))</f>
        <v>0.10139416327944203</v>
      </c>
      <c r="P106" s="107">
        <f>IF(A3stdlife="n/a","n/a",IF(P$3&gt;(A3stdlife+$E106),('PTRM input'!$I$145*(1+rvanilla03)^0.5)-SUM($I106:O106),('PTRM input'!$I$145*(1+rvanilla03)^0.5)/A3stdlife))</f>
        <v>0.10139416327944203</v>
      </c>
      <c r="Q106" s="107">
        <f>IF(A3stdlife="n/a","n/a",IF(Q$3&gt;(A3stdlife+$E106),('PTRM input'!$I$145*(1+rvanilla03)^0.5)-SUM($I106:P106),('PTRM input'!$I$145*(1+rvanilla03)^0.5)/A3stdlife))</f>
        <v>0.10139416327944203</v>
      </c>
      <c r="R106" s="107">
        <f>IF(A3stdlife="n/a","n/a",IF(R$3&gt;(A3stdlife+$E106),('PTRM input'!$I$145*(1+rvanilla03)^0.5)-SUM($I106:Q106),('PTRM input'!$I$145*(1+rvanilla03)^0.5)/A3stdlife))</f>
        <v>0.10139416327944203</v>
      </c>
      <c r="S106" s="107">
        <f>IF(A3stdlife="n/a","n/a",IF(S$3&gt;(A3stdlife+$E106),('PTRM input'!$I$145*(1+rvanilla03)^0.5)-SUM($I106:R106),('PTRM input'!$I$145*(1+rvanilla03)^0.5)/A3stdlife))</f>
        <v>0.10139416327944203</v>
      </c>
      <c r="T106" s="107">
        <f>IF(A3stdlife="n/a","n/a",IF(T$3&gt;(A3stdlife+$E106),('PTRM input'!$I$145*(1+rvanilla03)^0.5)-SUM($I106:S106),('PTRM input'!$I$145*(1+rvanilla03)^0.5)/A3stdlife))</f>
        <v>0.10139416327944203</v>
      </c>
      <c r="U106" s="107">
        <f>IF(A3stdlife="n/a","n/a",IF(U$3&gt;(A3stdlife+$E106),('PTRM input'!$I$145*(1+rvanilla03)^0.5)-SUM($I106:T106),('PTRM input'!$I$145*(1+rvanilla03)^0.5)/A3stdlife))</f>
        <v>0.10139416327944203</v>
      </c>
      <c r="V106" s="107">
        <f>IF(A3stdlife="n/a","n/a",IF(V$3&gt;(A3stdlife+$E106),('PTRM input'!$I$145*(1+rvanilla03)^0.5)-SUM($I106:U106),('PTRM input'!$I$145*(1+rvanilla03)^0.5)/A3stdlife))</f>
        <v>0.10139416327944203</v>
      </c>
      <c r="W106" s="107">
        <f>IF(A3stdlife="n/a","n/a",IF(W$3&gt;(A3stdlife+$E106),('PTRM input'!$I$145*(1+rvanilla03)^0.5)-SUM($I106:V106),('PTRM input'!$I$145*(1+rvanilla03)^0.5)/A3stdlife))</f>
        <v>0.10139416327944203</v>
      </c>
      <c r="X106" s="107">
        <f>IF(A3stdlife="n/a","n/a",IF(X$3&gt;(A3stdlife+$E106),('PTRM input'!$I$145*(1+rvanilla03)^0.5)-SUM($I106:W106),('PTRM input'!$I$145*(1+rvanilla03)^0.5)/A3stdlife))</f>
        <v>0.10139416327944203</v>
      </c>
      <c r="Y106" s="107">
        <f>IF(A3stdlife="n/a","n/a",IF(Y$3&gt;(A3stdlife+$E106),('PTRM input'!$I$145*(1+rvanilla03)^0.5)-SUM($I106:X106),('PTRM input'!$I$145*(1+rvanilla03)^0.5)/A3stdlife))</f>
        <v>0.10139416327944203</v>
      </c>
      <c r="Z106" s="107">
        <f>IF(A3stdlife="n/a","n/a",IF(Z$3&gt;(A3stdlife+$E106),('PTRM input'!$I$145*(1+rvanilla03)^0.5)-SUM($I106:Y106),('PTRM input'!$I$145*(1+rvanilla03)^0.5)/A3stdlife))</f>
        <v>0.10139416327944203</v>
      </c>
      <c r="AA106" s="107">
        <f>IF(A3stdlife="n/a","n/a",IF(AA$3&gt;(A3stdlife+$E106),('PTRM input'!$I$145*(1+rvanilla03)^0.5)-SUM($I106:Z106),('PTRM input'!$I$145*(1+rvanilla03)^0.5)/A3stdlife))</f>
        <v>0.10139416327944203</v>
      </c>
      <c r="AB106" s="107">
        <f>IF(A3stdlife="n/a","n/a",IF(AB$3&gt;(A3stdlife+$E106),('PTRM input'!$I$145*(1+rvanilla03)^0.5)-SUM($I106:AA106),('PTRM input'!$I$145*(1+rvanilla03)^0.5)/A3stdlife))</f>
        <v>0.10139416327944203</v>
      </c>
      <c r="AC106" s="107">
        <f>IF(A3stdlife="n/a","n/a",IF(AC$3&gt;(A3stdlife+$E106),('PTRM input'!$I$145*(1+rvanilla03)^0.5)-SUM($I106:AB106),('PTRM input'!$I$145*(1+rvanilla03)^0.5)/A3stdlife))</f>
        <v>0.10139416327944203</v>
      </c>
      <c r="AD106" s="107">
        <f>IF(A3stdlife="n/a","n/a",IF(AD$3&gt;(A3stdlife+$E106),('PTRM input'!$I$145*(1+rvanilla03)^0.5)-SUM($I106:AC106),('PTRM input'!$I$145*(1+rvanilla03)^0.5)/A3stdlife))</f>
        <v>0.10139416327944203</v>
      </c>
      <c r="AE106" s="107">
        <f>IF(A3stdlife="n/a","n/a",IF(AE$3&gt;(A3stdlife+$E106),('PTRM input'!$I$145*(1+rvanilla03)^0.5)-SUM($I106:AD106),('PTRM input'!$I$145*(1+rvanilla03)^0.5)/A3stdlife))</f>
        <v>0.10139416327944203</v>
      </c>
      <c r="AF106" s="107">
        <f>IF(A3stdlife="n/a","n/a",IF(AF$3&gt;(A3stdlife+$E106),('PTRM input'!$I$145*(1+rvanilla03)^0.5)-SUM($I106:AE106),('PTRM input'!$I$145*(1+rvanilla03)^0.5)/A3stdlife))</f>
        <v>0.10139416327944203</v>
      </c>
      <c r="AG106" s="107">
        <f>IF(A3stdlife="n/a","n/a",IF(AG$3&gt;(A3stdlife+$E106),('PTRM input'!$I$145*(1+rvanilla03)^0.5)-SUM($I106:AF106),('PTRM input'!$I$145*(1+rvanilla03)^0.5)/A3stdlife))</f>
        <v>0.10139416327944203</v>
      </c>
      <c r="AH106" s="107">
        <f>IF(A3stdlife="n/a","n/a",IF(AH$3&gt;(A3stdlife+$E106),('PTRM input'!$I$145*(1+rvanilla03)^0.5)-SUM($I106:AG106),('PTRM input'!$I$145*(1+rvanilla03)^0.5)/A3stdlife))</f>
        <v>0.10139416327944203</v>
      </c>
      <c r="AI106" s="107">
        <f>IF(A3stdlife="n/a","n/a",IF(AI$3&gt;(A3stdlife+$E106),('PTRM input'!$I$145*(1+rvanilla03)^0.5)-SUM($I106:AH106),('PTRM input'!$I$145*(1+rvanilla03)^0.5)/A3stdlife))</f>
        <v>0.10139416327944203</v>
      </c>
      <c r="AJ106" s="107">
        <f>IF(A3stdlife="n/a","n/a",IF(AJ$3&gt;(A3stdlife+$E106),('PTRM input'!$I$145*(1+rvanilla03)^0.5)-SUM($I106:AI106),('PTRM input'!$I$145*(1+rvanilla03)^0.5)/A3stdlife))</f>
        <v>0.10139416327944203</v>
      </c>
      <c r="AK106" s="107">
        <f>IF(A3stdlife="n/a","n/a",IF(AK$3&gt;(A3stdlife+$E106),('PTRM input'!$I$145*(1+rvanilla03)^0.5)-SUM($I106:AJ106),('PTRM input'!$I$145*(1+rvanilla03)^0.5)/A3stdlife))</f>
        <v>0.10139416327944203</v>
      </c>
      <c r="AL106" s="107">
        <f>IF(A3stdlife="n/a","n/a",IF(AL$3&gt;(A3stdlife+$E106),('PTRM input'!$I$145*(1+rvanilla03)^0.5)-SUM($I106:AK106),('PTRM input'!$I$145*(1+rvanilla03)^0.5)/A3stdlife))</f>
        <v>1.3322676295501878E-15</v>
      </c>
      <c r="AM106" s="107">
        <f>IF(A3stdlife="n/a","n/a",IF(AM$3&gt;(A3stdlife+$E106),('PTRM input'!$I$145*(1+rvanilla03)^0.5)-SUM($I106:AL106),('PTRM input'!$I$145*(1+rvanilla03)^0.5)/A3stdlife))</f>
        <v>0</v>
      </c>
      <c r="AN106" s="107">
        <f>IF(A3stdlife="n/a","n/a",IF(AN$3&gt;(A3stdlife+$E106),('PTRM input'!$I$145*(1+rvanilla03)^0.5)-SUM($I106:AM106),('PTRM input'!$I$145*(1+rvanilla03)^0.5)/A3stdlife))</f>
        <v>0</v>
      </c>
      <c r="AO106" s="107">
        <f>IF(A3stdlife="n/a","n/a",IF(AO$3&gt;(A3stdlife+$E106),('PTRM input'!$I$145*(1+rvanilla03)^0.5)-SUM($I106:AN106),('PTRM input'!$I$145*(1+rvanilla03)^0.5)/A3stdlife))</f>
        <v>0</v>
      </c>
      <c r="AP106" s="107">
        <f>IF(A3stdlife="n/a","n/a",IF(AP$3&gt;(A3stdlife+$E106),('PTRM input'!$I$145*(1+rvanilla03)^0.5)-SUM($I106:AO106),('PTRM input'!$I$145*(1+rvanilla03)^0.5)/A3stdlife))</f>
        <v>0</v>
      </c>
      <c r="AQ106" s="107">
        <f>IF(A3stdlife="n/a","n/a",IF(AQ$3&gt;(A3stdlife+$E106),('PTRM input'!$I$145*(1+rvanilla03)^0.5)-SUM($I106:AP106),('PTRM input'!$I$145*(1+rvanilla03)^0.5)/A3stdlife))</f>
        <v>0</v>
      </c>
      <c r="AR106" s="107">
        <f>IF(A3stdlife="n/a","n/a",IF(AR$3&gt;(A3stdlife+$E106),('PTRM input'!$I$145*(1+rvanilla03)^0.5)-SUM($I106:AQ106),('PTRM input'!$I$145*(1+rvanilla03)^0.5)/A3stdlife))</f>
        <v>0</v>
      </c>
      <c r="AS106" s="107">
        <f>IF(A3stdlife="n/a","n/a",IF(AS$3&gt;(A3stdlife+$E106),('PTRM input'!$I$145*(1+rvanilla03)^0.5)-SUM($I106:AR106),('PTRM input'!$I$145*(1+rvanilla03)^0.5)/A3stdlife))</f>
        <v>0</v>
      </c>
      <c r="AT106" s="107">
        <f>IF(A3stdlife="n/a","n/a",IF(AT$3&gt;(A3stdlife+$E106),('PTRM input'!$I$145*(1+rvanilla03)^0.5)-SUM($I106:AS106),('PTRM input'!$I$145*(1+rvanilla03)^0.5)/A3stdlife))</f>
        <v>0</v>
      </c>
      <c r="AU106" s="107">
        <f>IF(A3stdlife="n/a","n/a",IF(AU$3&gt;(A3stdlife+$E106),('PTRM input'!$I$145*(1+rvanilla03)^0.5)-SUM($I106:AT106),('PTRM input'!$I$145*(1+rvanilla03)^0.5)/A3stdlife))</f>
        <v>0</v>
      </c>
      <c r="AV106" s="107">
        <f>IF(A3stdlife="n/a","n/a",IF(AV$3&gt;(A3stdlife+$E106),('PTRM input'!$I$145*(1+rvanilla03)^0.5)-SUM($I106:AU106),('PTRM input'!$I$145*(1+rvanilla03)^0.5)/A3stdlife))</f>
        <v>0</v>
      </c>
      <c r="AW106" s="107">
        <f>IF(A3stdlife="n/a","n/a",IF(AW$3&gt;(A3stdlife+$E106),('PTRM input'!$I$145*(1+rvanilla03)^0.5)-SUM($I106:AV106),('PTRM input'!$I$145*(1+rvanilla03)^0.5)/A3stdlife))</f>
        <v>0</v>
      </c>
      <c r="AX106" s="107">
        <f>IF(A3stdlife="n/a","n/a",IF(AX$3&gt;(A3stdlife+$E106),('PTRM input'!$I$145*(1+rvanilla03)^0.5)-SUM($I106:AW106),('PTRM input'!$I$145*(1+rvanilla03)^0.5)/A3stdlife))</f>
        <v>0</v>
      </c>
      <c r="AY106" s="107">
        <f>IF(A3stdlife="n/a","n/a",IF(AY$3&gt;(A3stdlife+$E106),('PTRM input'!$I$145*(1+rvanilla03)^0.5)-SUM($I106:AX106),('PTRM input'!$I$145*(1+rvanilla03)^0.5)/A3stdlife))</f>
        <v>0</v>
      </c>
      <c r="AZ106" s="107">
        <f>IF(A3stdlife="n/a","n/a",IF(AZ$3&gt;(A3stdlife+$E106),('PTRM input'!$I$145*(1+rvanilla03)^0.5)-SUM($I106:AY106),('PTRM input'!$I$145*(1+rvanilla03)^0.5)/A3stdlife))</f>
        <v>0</v>
      </c>
      <c r="BA106" s="107">
        <f>IF(A3stdlife="n/a","n/a",IF(BA$3&gt;(A3stdlife+$E106),('PTRM input'!$I$145*(1+rvanilla03)^0.5)-SUM($I106:AZ106),('PTRM input'!$I$145*(1+rvanilla03)^0.5)/A3stdlife))</f>
        <v>0</v>
      </c>
      <c r="BB106" s="107">
        <f>IF(A3stdlife="n/a","n/a",IF(BB$3&gt;(A3stdlife+$E106),('PTRM input'!$I$145*(1+rvanilla03)^0.5)-SUM($I106:BA106),('PTRM input'!$I$145*(1+rvanilla03)^0.5)/A3stdlife))</f>
        <v>0</v>
      </c>
      <c r="BC106" s="107">
        <f>IF(A3stdlife="n/a","n/a",IF(BC$3&gt;(A3stdlife+$E106),('PTRM input'!$I$145*(1+rvanilla03)^0.5)-SUM($I106:BB106),('PTRM input'!$I$145*(1+rvanilla03)^0.5)/A3stdlife))</f>
        <v>0</v>
      </c>
      <c r="BD106" s="107">
        <f>IF(A3stdlife="n/a","n/a",IF(BD$3&gt;(A3stdlife+$E106),('PTRM input'!$I$145*(1+rvanilla03)^0.5)-SUM($I106:BC106),('PTRM input'!$I$145*(1+rvanilla03)^0.5)/A3stdlife))</f>
        <v>0</v>
      </c>
      <c r="BE106" s="107">
        <f>IF(A3stdlife="n/a","n/a",IF(BE$3&gt;(A3stdlife+$E106),('PTRM input'!$I$145*(1+rvanilla03)^0.5)-SUM($I106:BD106),('PTRM input'!$I$145*(1+rvanilla03)^0.5)/A3stdlife))</f>
        <v>0</v>
      </c>
      <c r="BF106" s="107">
        <f>IF(A3stdlife="n/a","n/a",IF(BF$3&gt;(A3stdlife+$E106),('PTRM input'!$I$145*(1+rvanilla03)^0.5)-SUM($I106:BE106),('PTRM input'!$I$145*(1+rvanilla03)^0.5)/A3stdlife))</f>
        <v>0</v>
      </c>
      <c r="BG106" s="107">
        <f>IF(A3stdlife="n/a","n/a",IF(BG$3&gt;(A3stdlife+$E106),('PTRM input'!$I$145*(1+rvanilla03)^0.5)-SUM($I106:BF106),('PTRM input'!$I$145*(1+rvanilla03)^0.5)/A3stdlife))</f>
        <v>0</v>
      </c>
      <c r="BH106" s="107">
        <f>IF(A3stdlife="n/a","n/a",IF(BH$3&gt;(A3stdlife+$E106),('PTRM input'!$I$145*(1+rvanilla03)^0.5)-SUM($I106:BG106),('PTRM input'!$I$145*(1+rvanilla03)^0.5)/A3stdlife))</f>
        <v>0</v>
      </c>
      <c r="BI106" s="107">
        <f>IF(A3stdlife="n/a","n/a",IF(BI$3&gt;(A3stdlife+$E106),('PTRM input'!$I$145*(1+rvanilla03)^0.5)-SUM($I106:BH106),('PTRM input'!$I$145*(1+rvanilla03)^0.5)/A3stdlife))</f>
        <v>0</v>
      </c>
      <c r="BJ106" s="237"/>
      <c r="BK106" s="237"/>
      <c r="BL106" s="237"/>
      <c r="BM106" s="237"/>
    </row>
    <row r="107" spans="1:65" s="190" customFormat="1" hidden="1" outlineLevel="2">
      <c r="A107" s="237"/>
      <c r="B107" s="33"/>
      <c r="C107" s="32"/>
      <c r="D107" s="1618"/>
      <c r="E107" s="169">
        <v>4</v>
      </c>
      <c r="F107" s="35"/>
      <c r="G107" s="184"/>
      <c r="H107" s="186"/>
      <c r="I107" s="186"/>
      <c r="J107" s="185"/>
      <c r="K107" s="107">
        <f>IF(A3stdlife="n/a","n/a",IF(K$3&gt;(A3stdlife+$E107),('PTRM input'!$J$145*(1+rvanilla04)^0.5)-SUM($J107:J107),('PTRM input'!$J$145*(1+rvanilla04)^0.5)/A3stdlife))</f>
        <v>8.3215148398563629E-2</v>
      </c>
      <c r="L107" s="107">
        <f>IF(A3stdlife="n/a","n/a",IF(L$3&gt;(A3stdlife+$E107),('PTRM input'!$J$145*(1+rvanilla04)^0.5)-SUM($J107:K107),('PTRM input'!$J$145*(1+rvanilla04)^0.5)/A3stdlife))</f>
        <v>8.3215148398563629E-2</v>
      </c>
      <c r="M107" s="107">
        <f>IF(A3stdlife="n/a","n/a",IF(M$3&gt;(A3stdlife+$E107),('PTRM input'!$J$145*(1+rvanilla04)^0.5)-SUM($J107:L107),('PTRM input'!$J$145*(1+rvanilla04)^0.5)/A3stdlife))</f>
        <v>8.3215148398563629E-2</v>
      </c>
      <c r="N107" s="107">
        <f>IF(A3stdlife="n/a","n/a",IF(N$3&gt;(A3stdlife+$E107),('PTRM input'!$J$145*(1+rvanilla04)^0.5)-SUM($J107:M107),('PTRM input'!$J$145*(1+rvanilla04)^0.5)/A3stdlife))</f>
        <v>8.3215148398563629E-2</v>
      </c>
      <c r="O107" s="107">
        <f>IF(A3stdlife="n/a","n/a",IF(O$3&gt;(A3stdlife+$E107),('PTRM input'!$J$145*(1+rvanilla04)^0.5)-SUM($J107:N107),('PTRM input'!$J$145*(1+rvanilla04)^0.5)/A3stdlife))</f>
        <v>8.3215148398563629E-2</v>
      </c>
      <c r="P107" s="107">
        <f>IF(A3stdlife="n/a","n/a",IF(P$3&gt;(A3stdlife+$E107),('PTRM input'!$J$145*(1+rvanilla04)^0.5)-SUM($J107:O107),('PTRM input'!$J$145*(1+rvanilla04)^0.5)/A3stdlife))</f>
        <v>8.3215148398563629E-2</v>
      </c>
      <c r="Q107" s="107">
        <f>IF(A3stdlife="n/a","n/a",IF(Q$3&gt;(A3stdlife+$E107),('PTRM input'!$J$145*(1+rvanilla04)^0.5)-SUM($J107:P107),('PTRM input'!$J$145*(1+rvanilla04)^0.5)/A3stdlife))</f>
        <v>8.3215148398563629E-2</v>
      </c>
      <c r="R107" s="107">
        <f>IF(A3stdlife="n/a","n/a",IF(R$3&gt;(A3stdlife+$E107),('PTRM input'!$J$145*(1+rvanilla04)^0.5)-SUM($J107:Q107),('PTRM input'!$J$145*(1+rvanilla04)^0.5)/A3stdlife))</f>
        <v>8.3215148398563629E-2</v>
      </c>
      <c r="S107" s="107">
        <f>IF(A3stdlife="n/a","n/a",IF(S$3&gt;(A3stdlife+$E107),('PTRM input'!$J$145*(1+rvanilla04)^0.5)-SUM($J107:R107),('PTRM input'!$J$145*(1+rvanilla04)^0.5)/A3stdlife))</f>
        <v>8.3215148398563629E-2</v>
      </c>
      <c r="T107" s="107">
        <f>IF(A3stdlife="n/a","n/a",IF(T$3&gt;(A3stdlife+$E107),('PTRM input'!$J$145*(1+rvanilla04)^0.5)-SUM($J107:S107),('PTRM input'!$J$145*(1+rvanilla04)^0.5)/A3stdlife))</f>
        <v>8.3215148398563629E-2</v>
      </c>
      <c r="U107" s="107">
        <f>IF(A3stdlife="n/a","n/a",IF(U$3&gt;(A3stdlife+$E107),('PTRM input'!$J$145*(1+rvanilla04)^0.5)-SUM($J107:T107),('PTRM input'!$J$145*(1+rvanilla04)^0.5)/A3stdlife))</f>
        <v>8.3215148398563629E-2</v>
      </c>
      <c r="V107" s="107">
        <f>IF(A3stdlife="n/a","n/a",IF(V$3&gt;(A3stdlife+$E107),('PTRM input'!$J$145*(1+rvanilla04)^0.5)-SUM($J107:U107),('PTRM input'!$J$145*(1+rvanilla04)^0.5)/A3stdlife))</f>
        <v>8.3215148398563629E-2</v>
      </c>
      <c r="W107" s="107">
        <f>IF(A3stdlife="n/a","n/a",IF(W$3&gt;(A3stdlife+$E107),('PTRM input'!$J$145*(1+rvanilla04)^0.5)-SUM($J107:V107),('PTRM input'!$J$145*(1+rvanilla04)^0.5)/A3stdlife))</f>
        <v>8.3215148398563629E-2</v>
      </c>
      <c r="X107" s="107">
        <f>IF(A3stdlife="n/a","n/a",IF(X$3&gt;(A3stdlife+$E107),('PTRM input'!$J$145*(1+rvanilla04)^0.5)-SUM($J107:W107),('PTRM input'!$J$145*(1+rvanilla04)^0.5)/A3stdlife))</f>
        <v>8.3215148398563629E-2</v>
      </c>
      <c r="Y107" s="107">
        <f>IF(A3stdlife="n/a","n/a",IF(Y$3&gt;(A3stdlife+$E107),('PTRM input'!$J$145*(1+rvanilla04)^0.5)-SUM($J107:X107),('PTRM input'!$J$145*(1+rvanilla04)^0.5)/A3stdlife))</f>
        <v>8.3215148398563629E-2</v>
      </c>
      <c r="Z107" s="107">
        <f>IF(A3stdlife="n/a","n/a",IF(Z$3&gt;(A3stdlife+$E107),('PTRM input'!$J$145*(1+rvanilla04)^0.5)-SUM($J107:Y107),('PTRM input'!$J$145*(1+rvanilla04)^0.5)/A3stdlife))</f>
        <v>8.3215148398563629E-2</v>
      </c>
      <c r="AA107" s="107">
        <f>IF(A3stdlife="n/a","n/a",IF(AA$3&gt;(A3stdlife+$E107),('PTRM input'!$J$145*(1+rvanilla04)^0.5)-SUM($J107:Z107),('PTRM input'!$J$145*(1+rvanilla04)^0.5)/A3stdlife))</f>
        <v>8.3215148398563629E-2</v>
      </c>
      <c r="AB107" s="107">
        <f>IF(A3stdlife="n/a","n/a",IF(AB$3&gt;(A3stdlife+$E107),('PTRM input'!$J$145*(1+rvanilla04)^0.5)-SUM($J107:AA107),('PTRM input'!$J$145*(1+rvanilla04)^0.5)/A3stdlife))</f>
        <v>8.3215148398563629E-2</v>
      </c>
      <c r="AC107" s="107">
        <f>IF(A3stdlife="n/a","n/a",IF(AC$3&gt;(A3stdlife+$E107),('PTRM input'!$J$145*(1+rvanilla04)^0.5)-SUM($J107:AB107),('PTRM input'!$J$145*(1+rvanilla04)^0.5)/A3stdlife))</f>
        <v>8.3215148398563629E-2</v>
      </c>
      <c r="AD107" s="107">
        <f>IF(A3stdlife="n/a","n/a",IF(AD$3&gt;(A3stdlife+$E107),('PTRM input'!$J$145*(1+rvanilla04)^0.5)-SUM($J107:AC107),('PTRM input'!$J$145*(1+rvanilla04)^0.5)/A3stdlife))</f>
        <v>8.3215148398563629E-2</v>
      </c>
      <c r="AE107" s="107">
        <f>IF(A3stdlife="n/a","n/a",IF(AE$3&gt;(A3stdlife+$E107),('PTRM input'!$J$145*(1+rvanilla04)^0.5)-SUM($J107:AD107),('PTRM input'!$J$145*(1+rvanilla04)^0.5)/A3stdlife))</f>
        <v>8.3215148398563629E-2</v>
      </c>
      <c r="AF107" s="107">
        <f>IF(A3stdlife="n/a","n/a",IF(AF$3&gt;(A3stdlife+$E107),('PTRM input'!$J$145*(1+rvanilla04)^0.5)-SUM($J107:AE107),('PTRM input'!$J$145*(1+rvanilla04)^0.5)/A3stdlife))</f>
        <v>8.3215148398563629E-2</v>
      </c>
      <c r="AG107" s="107">
        <f>IF(A3stdlife="n/a","n/a",IF(AG$3&gt;(A3stdlife+$E107),('PTRM input'!$J$145*(1+rvanilla04)^0.5)-SUM($J107:AF107),('PTRM input'!$J$145*(1+rvanilla04)^0.5)/A3stdlife))</f>
        <v>8.3215148398563629E-2</v>
      </c>
      <c r="AH107" s="107">
        <f>IF(A3stdlife="n/a","n/a",IF(AH$3&gt;(A3stdlife+$E107),('PTRM input'!$J$145*(1+rvanilla04)^0.5)-SUM($J107:AG107),('PTRM input'!$J$145*(1+rvanilla04)^0.5)/A3stdlife))</f>
        <v>8.3215148398563629E-2</v>
      </c>
      <c r="AI107" s="107">
        <f>IF(A3stdlife="n/a","n/a",IF(AI$3&gt;(A3stdlife+$E107),('PTRM input'!$J$145*(1+rvanilla04)^0.5)-SUM($J107:AH107),('PTRM input'!$J$145*(1+rvanilla04)^0.5)/A3stdlife))</f>
        <v>8.3215148398563629E-2</v>
      </c>
      <c r="AJ107" s="107">
        <f>IF(A3stdlife="n/a","n/a",IF(AJ$3&gt;(A3stdlife+$E107),('PTRM input'!$J$145*(1+rvanilla04)^0.5)-SUM($J107:AI107),('PTRM input'!$J$145*(1+rvanilla04)^0.5)/A3stdlife))</f>
        <v>8.3215148398563629E-2</v>
      </c>
      <c r="AK107" s="107">
        <f>IF(A3stdlife="n/a","n/a",IF(AK$3&gt;(A3stdlife+$E107),('PTRM input'!$J$145*(1+rvanilla04)^0.5)-SUM($J107:AJ107),('PTRM input'!$J$145*(1+rvanilla04)^0.5)/A3stdlife))</f>
        <v>8.3215148398563629E-2</v>
      </c>
      <c r="AL107" s="107">
        <f>IF(A3stdlife="n/a","n/a",IF(AL$3&gt;(A3stdlife+$E107),('PTRM input'!$J$145*(1+rvanilla04)^0.5)-SUM($J107:AK107),('PTRM input'!$J$145*(1+rvanilla04)^0.5)/A3stdlife))</f>
        <v>8.3215148398563629E-2</v>
      </c>
      <c r="AM107" s="107">
        <f>IF(A3stdlife="n/a","n/a",IF(AM$3&gt;(A3stdlife+$E107),('PTRM input'!$J$145*(1+rvanilla04)^0.5)-SUM($J107:AL107),('PTRM input'!$J$145*(1+rvanilla04)^0.5)/A3stdlife))</f>
        <v>-4.4408920985006262E-16</v>
      </c>
      <c r="AN107" s="107">
        <f>IF(A3stdlife="n/a","n/a",IF(AN$3&gt;(A3stdlife+$E107),('PTRM input'!$J$145*(1+rvanilla04)^0.5)-SUM($J107:AM107),('PTRM input'!$J$145*(1+rvanilla04)^0.5)/A3stdlife))</f>
        <v>0</v>
      </c>
      <c r="AO107" s="107">
        <f>IF(A3stdlife="n/a","n/a",IF(AO$3&gt;(A3stdlife+$E107),('PTRM input'!$J$145*(1+rvanilla04)^0.5)-SUM($J107:AN107),('PTRM input'!$J$145*(1+rvanilla04)^0.5)/A3stdlife))</f>
        <v>0</v>
      </c>
      <c r="AP107" s="107">
        <f>IF(A3stdlife="n/a","n/a",IF(AP$3&gt;(A3stdlife+$E107),('PTRM input'!$J$145*(1+rvanilla04)^0.5)-SUM($J107:AO107),('PTRM input'!$J$145*(1+rvanilla04)^0.5)/A3stdlife))</f>
        <v>0</v>
      </c>
      <c r="AQ107" s="107">
        <f>IF(A3stdlife="n/a","n/a",IF(AQ$3&gt;(A3stdlife+$E107),('PTRM input'!$J$145*(1+rvanilla04)^0.5)-SUM($J107:AP107),('PTRM input'!$J$145*(1+rvanilla04)^0.5)/A3stdlife))</f>
        <v>0</v>
      </c>
      <c r="AR107" s="107">
        <f>IF(A3stdlife="n/a","n/a",IF(AR$3&gt;(A3stdlife+$E107),('PTRM input'!$J$145*(1+rvanilla04)^0.5)-SUM($J107:AQ107),('PTRM input'!$J$145*(1+rvanilla04)^0.5)/A3stdlife))</f>
        <v>0</v>
      </c>
      <c r="AS107" s="107">
        <f>IF(A3stdlife="n/a","n/a",IF(AS$3&gt;(A3stdlife+$E107),('PTRM input'!$J$145*(1+rvanilla04)^0.5)-SUM($J107:AR107),('PTRM input'!$J$145*(1+rvanilla04)^0.5)/A3stdlife))</f>
        <v>0</v>
      </c>
      <c r="AT107" s="107">
        <f>IF(A3stdlife="n/a","n/a",IF(AT$3&gt;(A3stdlife+$E107),('PTRM input'!$J$145*(1+rvanilla04)^0.5)-SUM($J107:AS107),('PTRM input'!$J$145*(1+rvanilla04)^0.5)/A3stdlife))</f>
        <v>0</v>
      </c>
      <c r="AU107" s="107">
        <f>IF(A3stdlife="n/a","n/a",IF(AU$3&gt;(A3stdlife+$E107),('PTRM input'!$J$145*(1+rvanilla04)^0.5)-SUM($J107:AT107),('PTRM input'!$J$145*(1+rvanilla04)^0.5)/A3stdlife))</f>
        <v>0</v>
      </c>
      <c r="AV107" s="107">
        <f>IF(A3stdlife="n/a","n/a",IF(AV$3&gt;(A3stdlife+$E107),('PTRM input'!$J$145*(1+rvanilla04)^0.5)-SUM($J107:AU107),('PTRM input'!$J$145*(1+rvanilla04)^0.5)/A3stdlife))</f>
        <v>0</v>
      </c>
      <c r="AW107" s="107">
        <f>IF(A3stdlife="n/a","n/a",IF(AW$3&gt;(A3stdlife+$E107),('PTRM input'!$J$145*(1+rvanilla04)^0.5)-SUM($J107:AV107),('PTRM input'!$J$145*(1+rvanilla04)^0.5)/A3stdlife))</f>
        <v>0</v>
      </c>
      <c r="AX107" s="107">
        <f>IF(A3stdlife="n/a","n/a",IF(AX$3&gt;(A3stdlife+$E107),('PTRM input'!$J$145*(1+rvanilla04)^0.5)-SUM($J107:AW107),('PTRM input'!$J$145*(1+rvanilla04)^0.5)/A3stdlife))</f>
        <v>0</v>
      </c>
      <c r="AY107" s="107">
        <f>IF(A3stdlife="n/a","n/a",IF(AY$3&gt;(A3stdlife+$E107),('PTRM input'!$J$145*(1+rvanilla04)^0.5)-SUM($J107:AX107),('PTRM input'!$J$145*(1+rvanilla04)^0.5)/A3stdlife))</f>
        <v>0</v>
      </c>
      <c r="AZ107" s="107">
        <f>IF(A3stdlife="n/a","n/a",IF(AZ$3&gt;(A3stdlife+$E107),('PTRM input'!$J$145*(1+rvanilla04)^0.5)-SUM($J107:AY107),('PTRM input'!$J$145*(1+rvanilla04)^0.5)/A3stdlife))</f>
        <v>0</v>
      </c>
      <c r="BA107" s="107">
        <f>IF(A3stdlife="n/a","n/a",IF(BA$3&gt;(A3stdlife+$E107),('PTRM input'!$J$145*(1+rvanilla04)^0.5)-SUM($J107:AZ107),('PTRM input'!$J$145*(1+rvanilla04)^0.5)/A3stdlife))</f>
        <v>0</v>
      </c>
      <c r="BB107" s="107">
        <f>IF(A3stdlife="n/a","n/a",IF(BB$3&gt;(A3stdlife+$E107),('PTRM input'!$J$145*(1+rvanilla04)^0.5)-SUM($J107:BA107),('PTRM input'!$J$145*(1+rvanilla04)^0.5)/A3stdlife))</f>
        <v>0</v>
      </c>
      <c r="BC107" s="107">
        <f>IF(A3stdlife="n/a","n/a",IF(BC$3&gt;(A3stdlife+$E107),('PTRM input'!$J$145*(1+rvanilla04)^0.5)-SUM($J107:BB107),('PTRM input'!$J$145*(1+rvanilla04)^0.5)/A3stdlife))</f>
        <v>0</v>
      </c>
      <c r="BD107" s="107">
        <f>IF(A3stdlife="n/a","n/a",IF(BD$3&gt;(A3stdlife+$E107),('PTRM input'!$J$145*(1+rvanilla04)^0.5)-SUM($J107:BC107),('PTRM input'!$J$145*(1+rvanilla04)^0.5)/A3stdlife))</f>
        <v>0</v>
      </c>
      <c r="BE107" s="107">
        <f>IF(A3stdlife="n/a","n/a",IF(BE$3&gt;(A3stdlife+$E107),('PTRM input'!$J$145*(1+rvanilla04)^0.5)-SUM($J107:BD107),('PTRM input'!$J$145*(1+rvanilla04)^0.5)/A3stdlife))</f>
        <v>0</v>
      </c>
      <c r="BF107" s="107">
        <f>IF(A3stdlife="n/a","n/a",IF(BF$3&gt;(A3stdlife+$E107),('PTRM input'!$J$145*(1+rvanilla04)^0.5)-SUM($J107:BE107),('PTRM input'!$J$145*(1+rvanilla04)^0.5)/A3stdlife))</f>
        <v>0</v>
      </c>
      <c r="BG107" s="107">
        <f>IF(A3stdlife="n/a","n/a",IF(BG$3&gt;(A3stdlife+$E107),('PTRM input'!$J$145*(1+rvanilla04)^0.5)-SUM($J107:BF107),('PTRM input'!$J$145*(1+rvanilla04)^0.5)/A3stdlife))</f>
        <v>0</v>
      </c>
      <c r="BH107" s="107">
        <f>IF(A3stdlife="n/a","n/a",IF(BH$3&gt;(A3stdlife+$E107),('PTRM input'!$J$145*(1+rvanilla04)^0.5)-SUM($J107:BG107),('PTRM input'!$J$145*(1+rvanilla04)^0.5)/A3stdlife))</f>
        <v>0</v>
      </c>
      <c r="BI107" s="107">
        <f>IF(A3stdlife="n/a","n/a",IF(BI$3&gt;(A3stdlife+$E107),('PTRM input'!$J$145*(1+rvanilla04)^0.5)-SUM($J107:BH107),('PTRM input'!$J$145*(1+rvanilla04)^0.5)/A3stdlife))</f>
        <v>0</v>
      </c>
      <c r="BJ107" s="237"/>
      <c r="BK107" s="237"/>
      <c r="BL107" s="237"/>
      <c r="BM107" s="237"/>
    </row>
    <row r="108" spans="1:65" s="190" customFormat="1" hidden="1" outlineLevel="2">
      <c r="A108" s="237"/>
      <c r="B108" s="33"/>
      <c r="C108" s="32"/>
      <c r="D108" s="1618"/>
      <c r="E108" s="169">
        <v>5</v>
      </c>
      <c r="F108" s="35"/>
      <c r="G108" s="184"/>
      <c r="H108" s="186"/>
      <c r="I108" s="186"/>
      <c r="J108" s="186"/>
      <c r="K108" s="185"/>
      <c r="L108" s="107">
        <f>IF(A3stdlife="n/a","n/a",IF(L$3&gt;(A3stdlife+$E108),('PTRM input'!$K$145*(1+rvanilla05)^0.5)-SUM($K108:K108),('PTRM input'!$K$145*(1+rvanilla05)^0.5)/A3stdlife))</f>
        <v>0.10795485585234522</v>
      </c>
      <c r="M108" s="107">
        <f>IF(A3stdlife="n/a","n/a",IF(M$3&gt;(A3stdlife+$E108),('PTRM input'!$K$145*(1+rvanilla05)^0.5)-SUM($K108:L108),('PTRM input'!$K$145*(1+rvanilla05)^0.5)/A3stdlife))</f>
        <v>0.10795485585234522</v>
      </c>
      <c r="N108" s="107">
        <f>IF(A3stdlife="n/a","n/a",IF(N$3&gt;(A3stdlife+$E108),('PTRM input'!$K$145*(1+rvanilla05)^0.5)-SUM($K108:M108),('PTRM input'!$K$145*(1+rvanilla05)^0.5)/A3stdlife))</f>
        <v>0.10795485585234522</v>
      </c>
      <c r="O108" s="107">
        <f>IF(A3stdlife="n/a","n/a",IF(O$3&gt;(A3stdlife+$E108),('PTRM input'!$K$145*(1+rvanilla05)^0.5)-SUM($K108:N108),('PTRM input'!$K$145*(1+rvanilla05)^0.5)/A3stdlife))</f>
        <v>0.10795485585234522</v>
      </c>
      <c r="P108" s="107">
        <f>IF(A3stdlife="n/a","n/a",IF(P$3&gt;(A3stdlife+$E108),('PTRM input'!$K$145*(1+rvanilla05)^0.5)-SUM($K108:O108),('PTRM input'!$K$145*(1+rvanilla05)^0.5)/A3stdlife))</f>
        <v>0.10795485585234522</v>
      </c>
      <c r="Q108" s="107">
        <f>IF(A3stdlife="n/a","n/a",IF(Q$3&gt;(A3stdlife+$E108),('PTRM input'!$K$145*(1+rvanilla05)^0.5)-SUM($K108:P108),('PTRM input'!$K$145*(1+rvanilla05)^0.5)/A3stdlife))</f>
        <v>0.10795485585234522</v>
      </c>
      <c r="R108" s="107">
        <f>IF(A3stdlife="n/a","n/a",IF(R$3&gt;(A3stdlife+$E108),('PTRM input'!$K$145*(1+rvanilla05)^0.5)-SUM($K108:Q108),('PTRM input'!$K$145*(1+rvanilla05)^0.5)/A3stdlife))</f>
        <v>0.10795485585234522</v>
      </c>
      <c r="S108" s="107">
        <f>IF(A3stdlife="n/a","n/a",IF(S$3&gt;(A3stdlife+$E108),('PTRM input'!$K$145*(1+rvanilla05)^0.5)-SUM($K108:R108),('PTRM input'!$K$145*(1+rvanilla05)^0.5)/A3stdlife))</f>
        <v>0.10795485585234522</v>
      </c>
      <c r="T108" s="107">
        <f>IF(A3stdlife="n/a","n/a",IF(T$3&gt;(A3stdlife+$E108),('PTRM input'!$K$145*(1+rvanilla05)^0.5)-SUM($K108:S108),('PTRM input'!$K$145*(1+rvanilla05)^0.5)/A3stdlife))</f>
        <v>0.10795485585234522</v>
      </c>
      <c r="U108" s="107">
        <f>IF(A3stdlife="n/a","n/a",IF(U$3&gt;(A3stdlife+$E108),('PTRM input'!$K$145*(1+rvanilla05)^0.5)-SUM($K108:T108),('PTRM input'!$K$145*(1+rvanilla05)^0.5)/A3stdlife))</f>
        <v>0.10795485585234522</v>
      </c>
      <c r="V108" s="107">
        <f>IF(A3stdlife="n/a","n/a",IF(V$3&gt;(A3stdlife+$E108),('PTRM input'!$K$145*(1+rvanilla05)^0.5)-SUM($K108:U108),('PTRM input'!$K$145*(1+rvanilla05)^0.5)/A3stdlife))</f>
        <v>0.10795485585234522</v>
      </c>
      <c r="W108" s="107">
        <f>IF(A3stdlife="n/a","n/a",IF(W$3&gt;(A3stdlife+$E108),('PTRM input'!$K$145*(1+rvanilla05)^0.5)-SUM($K108:V108),('PTRM input'!$K$145*(1+rvanilla05)^0.5)/A3stdlife))</f>
        <v>0.10795485585234522</v>
      </c>
      <c r="X108" s="107">
        <f>IF(A3stdlife="n/a","n/a",IF(X$3&gt;(A3stdlife+$E108),('PTRM input'!$K$145*(1+rvanilla05)^0.5)-SUM($K108:W108),('PTRM input'!$K$145*(1+rvanilla05)^0.5)/A3stdlife))</f>
        <v>0.10795485585234522</v>
      </c>
      <c r="Y108" s="107">
        <f>IF(A3stdlife="n/a","n/a",IF(Y$3&gt;(A3stdlife+$E108),('PTRM input'!$K$145*(1+rvanilla05)^0.5)-SUM($K108:X108),('PTRM input'!$K$145*(1+rvanilla05)^0.5)/A3stdlife))</f>
        <v>0.10795485585234522</v>
      </c>
      <c r="Z108" s="107">
        <f>IF(A3stdlife="n/a","n/a",IF(Z$3&gt;(A3stdlife+$E108),('PTRM input'!$K$145*(1+rvanilla05)^0.5)-SUM($K108:Y108),('PTRM input'!$K$145*(1+rvanilla05)^0.5)/A3stdlife))</f>
        <v>0.10795485585234522</v>
      </c>
      <c r="AA108" s="107">
        <f>IF(A3stdlife="n/a","n/a",IF(AA$3&gt;(A3stdlife+$E108),('PTRM input'!$K$145*(1+rvanilla05)^0.5)-SUM($K108:Z108),('PTRM input'!$K$145*(1+rvanilla05)^0.5)/A3stdlife))</f>
        <v>0.10795485585234522</v>
      </c>
      <c r="AB108" s="107">
        <f>IF(A3stdlife="n/a","n/a",IF(AB$3&gt;(A3stdlife+$E108),('PTRM input'!$K$145*(1+rvanilla05)^0.5)-SUM($K108:AA108),('PTRM input'!$K$145*(1+rvanilla05)^0.5)/A3stdlife))</f>
        <v>0.10795485585234522</v>
      </c>
      <c r="AC108" s="107">
        <f>IF(A3stdlife="n/a","n/a",IF(AC$3&gt;(A3stdlife+$E108),('PTRM input'!$K$145*(1+rvanilla05)^0.5)-SUM($K108:AB108),('PTRM input'!$K$145*(1+rvanilla05)^0.5)/A3stdlife))</f>
        <v>0.10795485585234522</v>
      </c>
      <c r="AD108" s="107">
        <f>IF(A3stdlife="n/a","n/a",IF(AD$3&gt;(A3stdlife+$E108),('PTRM input'!$K$145*(1+rvanilla05)^0.5)-SUM($K108:AC108),('PTRM input'!$K$145*(1+rvanilla05)^0.5)/A3stdlife))</f>
        <v>0.10795485585234522</v>
      </c>
      <c r="AE108" s="107">
        <f>IF(A3stdlife="n/a","n/a",IF(AE$3&gt;(A3stdlife+$E108),('PTRM input'!$K$145*(1+rvanilla05)^0.5)-SUM($K108:AD108),('PTRM input'!$K$145*(1+rvanilla05)^0.5)/A3stdlife))</f>
        <v>0.10795485585234522</v>
      </c>
      <c r="AF108" s="107">
        <f>IF(A3stdlife="n/a","n/a",IF(AF$3&gt;(A3stdlife+$E108),('PTRM input'!$K$145*(1+rvanilla05)^0.5)-SUM($K108:AE108),('PTRM input'!$K$145*(1+rvanilla05)^0.5)/A3stdlife))</f>
        <v>0.10795485585234522</v>
      </c>
      <c r="AG108" s="107">
        <f>IF(A3stdlife="n/a","n/a",IF(AG$3&gt;(A3stdlife+$E108),('PTRM input'!$K$145*(1+rvanilla05)^0.5)-SUM($K108:AF108),('PTRM input'!$K$145*(1+rvanilla05)^0.5)/A3stdlife))</f>
        <v>0.10795485585234522</v>
      </c>
      <c r="AH108" s="107">
        <f>IF(A3stdlife="n/a","n/a",IF(AH$3&gt;(A3stdlife+$E108),('PTRM input'!$K$145*(1+rvanilla05)^0.5)-SUM($K108:AG108),('PTRM input'!$K$145*(1+rvanilla05)^0.5)/A3stdlife))</f>
        <v>0.10795485585234522</v>
      </c>
      <c r="AI108" s="107">
        <f>IF(A3stdlife="n/a","n/a",IF(AI$3&gt;(A3stdlife+$E108),('PTRM input'!$K$145*(1+rvanilla05)^0.5)-SUM($K108:AH108),('PTRM input'!$K$145*(1+rvanilla05)^0.5)/A3stdlife))</f>
        <v>0.10795485585234522</v>
      </c>
      <c r="AJ108" s="107">
        <f>IF(A3stdlife="n/a","n/a",IF(AJ$3&gt;(A3stdlife+$E108),('PTRM input'!$K$145*(1+rvanilla05)^0.5)-SUM($K108:AI108),('PTRM input'!$K$145*(1+rvanilla05)^0.5)/A3stdlife))</f>
        <v>0.10795485585234522</v>
      </c>
      <c r="AK108" s="107">
        <f>IF(A3stdlife="n/a","n/a",IF(AK$3&gt;(A3stdlife+$E108),('PTRM input'!$K$145*(1+rvanilla05)^0.5)-SUM($K108:AJ108),('PTRM input'!$K$145*(1+rvanilla05)^0.5)/A3stdlife))</f>
        <v>0.10795485585234522</v>
      </c>
      <c r="AL108" s="107">
        <f>IF(A3stdlife="n/a","n/a",IF(AL$3&gt;(A3stdlife+$E108),('PTRM input'!$K$145*(1+rvanilla05)^0.5)-SUM($K108:AK108),('PTRM input'!$K$145*(1+rvanilla05)^0.5)/A3stdlife))</f>
        <v>0.10795485585234522</v>
      </c>
      <c r="AM108" s="107">
        <f>IF(A3stdlife="n/a","n/a",IF(AM$3&gt;(A3stdlife+$E108),('PTRM input'!$K$145*(1+rvanilla05)^0.5)-SUM($K108:AL108),('PTRM input'!$K$145*(1+rvanilla05)^0.5)/A3stdlife))</f>
        <v>0.10795485585234522</v>
      </c>
      <c r="AN108" s="107">
        <f>IF(A3stdlife="n/a","n/a",IF(AN$3&gt;(A3stdlife+$E108),('PTRM input'!$K$145*(1+rvanilla05)^0.5)-SUM($K108:AM108),('PTRM input'!$K$145*(1+rvanilla05)^0.5)/A3stdlife))</f>
        <v>-1.7763568394002505E-15</v>
      </c>
      <c r="AO108" s="107">
        <f>IF(A3stdlife="n/a","n/a",IF(AO$3&gt;(A3stdlife+$E108),('PTRM input'!$K$145*(1+rvanilla05)^0.5)-SUM($K108:AN108),('PTRM input'!$K$145*(1+rvanilla05)^0.5)/A3stdlife))</f>
        <v>0</v>
      </c>
      <c r="AP108" s="107">
        <f>IF(A3stdlife="n/a","n/a",IF(AP$3&gt;(A3stdlife+$E108),('PTRM input'!$K$145*(1+rvanilla05)^0.5)-SUM($K108:AO108),('PTRM input'!$K$145*(1+rvanilla05)^0.5)/A3stdlife))</f>
        <v>0</v>
      </c>
      <c r="AQ108" s="107">
        <f>IF(A3stdlife="n/a","n/a",IF(AQ$3&gt;(A3stdlife+$E108),('PTRM input'!$K$145*(1+rvanilla05)^0.5)-SUM($K108:AP108),('PTRM input'!$K$145*(1+rvanilla05)^0.5)/A3stdlife))</f>
        <v>0</v>
      </c>
      <c r="AR108" s="107">
        <f>IF(A3stdlife="n/a","n/a",IF(AR$3&gt;(A3stdlife+$E108),('PTRM input'!$K$145*(1+rvanilla05)^0.5)-SUM($K108:AQ108),('PTRM input'!$K$145*(1+rvanilla05)^0.5)/A3stdlife))</f>
        <v>0</v>
      </c>
      <c r="AS108" s="107">
        <f>IF(A3stdlife="n/a","n/a",IF(AS$3&gt;(A3stdlife+$E108),('PTRM input'!$K$145*(1+rvanilla05)^0.5)-SUM($K108:AR108),('PTRM input'!$K$145*(1+rvanilla05)^0.5)/A3stdlife))</f>
        <v>0</v>
      </c>
      <c r="AT108" s="107">
        <f>IF(A3stdlife="n/a","n/a",IF(AT$3&gt;(A3stdlife+$E108),('PTRM input'!$K$145*(1+rvanilla05)^0.5)-SUM($K108:AS108),('PTRM input'!$K$145*(1+rvanilla05)^0.5)/A3stdlife))</f>
        <v>0</v>
      </c>
      <c r="AU108" s="107">
        <f>IF(A3stdlife="n/a","n/a",IF(AU$3&gt;(A3stdlife+$E108),('PTRM input'!$K$145*(1+rvanilla05)^0.5)-SUM($K108:AT108),('PTRM input'!$K$145*(1+rvanilla05)^0.5)/A3stdlife))</f>
        <v>0</v>
      </c>
      <c r="AV108" s="107">
        <f>IF(A3stdlife="n/a","n/a",IF(AV$3&gt;(A3stdlife+$E108),('PTRM input'!$K$145*(1+rvanilla05)^0.5)-SUM($K108:AU108),('PTRM input'!$K$145*(1+rvanilla05)^0.5)/A3stdlife))</f>
        <v>0</v>
      </c>
      <c r="AW108" s="107">
        <f>IF(A3stdlife="n/a","n/a",IF(AW$3&gt;(A3stdlife+$E108),('PTRM input'!$K$145*(1+rvanilla05)^0.5)-SUM($K108:AV108),('PTRM input'!$K$145*(1+rvanilla05)^0.5)/A3stdlife))</f>
        <v>0</v>
      </c>
      <c r="AX108" s="107">
        <f>IF(A3stdlife="n/a","n/a",IF(AX$3&gt;(A3stdlife+$E108),('PTRM input'!$K$145*(1+rvanilla05)^0.5)-SUM($K108:AW108),('PTRM input'!$K$145*(1+rvanilla05)^0.5)/A3stdlife))</f>
        <v>0</v>
      </c>
      <c r="AY108" s="107">
        <f>IF(A3stdlife="n/a","n/a",IF(AY$3&gt;(A3stdlife+$E108),('PTRM input'!$K$145*(1+rvanilla05)^0.5)-SUM($K108:AX108),('PTRM input'!$K$145*(1+rvanilla05)^0.5)/A3stdlife))</f>
        <v>0</v>
      </c>
      <c r="AZ108" s="107">
        <f>IF(A3stdlife="n/a","n/a",IF(AZ$3&gt;(A3stdlife+$E108),('PTRM input'!$K$145*(1+rvanilla05)^0.5)-SUM($K108:AY108),('PTRM input'!$K$145*(1+rvanilla05)^0.5)/A3stdlife))</f>
        <v>0</v>
      </c>
      <c r="BA108" s="107">
        <f>IF(A3stdlife="n/a","n/a",IF(BA$3&gt;(A3stdlife+$E108),('PTRM input'!$K$145*(1+rvanilla05)^0.5)-SUM($K108:AZ108),('PTRM input'!$K$145*(1+rvanilla05)^0.5)/A3stdlife))</f>
        <v>0</v>
      </c>
      <c r="BB108" s="107">
        <f>IF(A3stdlife="n/a","n/a",IF(BB$3&gt;(A3stdlife+$E108),('PTRM input'!$K$145*(1+rvanilla05)^0.5)-SUM($K108:BA108),('PTRM input'!$K$145*(1+rvanilla05)^0.5)/A3stdlife))</f>
        <v>0</v>
      </c>
      <c r="BC108" s="107">
        <f>IF(A3stdlife="n/a","n/a",IF(BC$3&gt;(A3stdlife+$E108),('PTRM input'!$K$145*(1+rvanilla05)^0.5)-SUM($K108:BB108),('PTRM input'!$K$145*(1+rvanilla05)^0.5)/A3stdlife))</f>
        <v>0</v>
      </c>
      <c r="BD108" s="107">
        <f>IF(A3stdlife="n/a","n/a",IF(BD$3&gt;(A3stdlife+$E108),('PTRM input'!$K$145*(1+rvanilla05)^0.5)-SUM($K108:BC108),('PTRM input'!$K$145*(1+rvanilla05)^0.5)/A3stdlife))</f>
        <v>0</v>
      </c>
      <c r="BE108" s="107">
        <f>IF(A3stdlife="n/a","n/a",IF(BE$3&gt;(A3stdlife+$E108),('PTRM input'!$K$145*(1+rvanilla05)^0.5)-SUM($K108:BD108),('PTRM input'!$K$145*(1+rvanilla05)^0.5)/A3stdlife))</f>
        <v>0</v>
      </c>
      <c r="BF108" s="107">
        <f>IF(A3stdlife="n/a","n/a",IF(BF$3&gt;(A3stdlife+$E108),('PTRM input'!$K$145*(1+rvanilla05)^0.5)-SUM($K108:BE108),('PTRM input'!$K$145*(1+rvanilla05)^0.5)/A3stdlife))</f>
        <v>0</v>
      </c>
      <c r="BG108" s="107">
        <f>IF(A3stdlife="n/a","n/a",IF(BG$3&gt;(A3stdlife+$E108),('PTRM input'!$K$145*(1+rvanilla05)^0.5)-SUM($K108:BF108),('PTRM input'!$K$145*(1+rvanilla05)^0.5)/A3stdlife))</f>
        <v>0</v>
      </c>
      <c r="BH108" s="107">
        <f>IF(A3stdlife="n/a","n/a",IF(BH$3&gt;(A3stdlife+$E108),('PTRM input'!$K$145*(1+rvanilla05)^0.5)-SUM($K108:BG108),('PTRM input'!$K$145*(1+rvanilla05)^0.5)/A3stdlife))</f>
        <v>0</v>
      </c>
      <c r="BI108" s="107">
        <f>IF(A3stdlife="n/a","n/a",IF(BI$3&gt;(A3stdlife+$E108),('PTRM input'!$K$145*(1+rvanilla05)^0.5)-SUM($K108:BH108),('PTRM input'!$K$145*(1+rvanilla05)^0.5)/A3stdlife))</f>
        <v>0</v>
      </c>
      <c r="BJ108" s="237"/>
      <c r="BK108" s="237"/>
      <c r="BL108" s="237"/>
      <c r="BM108" s="237"/>
    </row>
    <row r="109" spans="1:65" s="190" customFormat="1" hidden="1" outlineLevel="2">
      <c r="A109" s="237"/>
      <c r="B109" s="33"/>
      <c r="C109" s="32"/>
      <c r="D109" s="1618"/>
      <c r="E109" s="169">
        <v>6</v>
      </c>
      <c r="F109" s="35"/>
      <c r="G109" s="184"/>
      <c r="H109" s="186"/>
      <c r="I109" s="186"/>
      <c r="J109" s="186"/>
      <c r="K109" s="186"/>
      <c r="L109" s="185"/>
      <c r="M109" s="107">
        <f>IF(A3stdlife="n/a","n/a",IF(M$3&gt;(A3stdlife+$E109),('PTRM input'!$L$145*(1+rvanilla06)^0.5)-SUM($L109:L109),('PTRM input'!$L$145*(1+rvanilla06)^0.5)/A3stdlife))</f>
        <v>0</v>
      </c>
      <c r="N109" s="107">
        <f>IF(A3stdlife="n/a","n/a",IF(N$3&gt;(A3stdlife+$E109),('PTRM input'!$L$145*(1+rvanilla06)^0.5)-SUM($L109:M109),('PTRM input'!$L$145*(1+rvanilla06)^0.5)/A3stdlife))</f>
        <v>0</v>
      </c>
      <c r="O109" s="107">
        <f>IF(A3stdlife="n/a","n/a",IF(O$3&gt;(A3stdlife+$E109),('PTRM input'!$L$145*(1+rvanilla06)^0.5)-SUM($L109:N109),('PTRM input'!$L$145*(1+rvanilla06)^0.5)/A3stdlife))</f>
        <v>0</v>
      </c>
      <c r="P109" s="107">
        <f>IF(A3stdlife="n/a","n/a",IF(P$3&gt;(A3stdlife+$E109),('PTRM input'!$L$145*(1+rvanilla06)^0.5)-SUM($L109:O109),('PTRM input'!$L$145*(1+rvanilla06)^0.5)/A3stdlife))</f>
        <v>0</v>
      </c>
      <c r="Q109" s="107">
        <f>IF(A3stdlife="n/a","n/a",IF(Q$3&gt;(A3stdlife+$E109),('PTRM input'!$L$145*(1+rvanilla06)^0.5)-SUM($L109:P109),('PTRM input'!$L$145*(1+rvanilla06)^0.5)/A3stdlife))</f>
        <v>0</v>
      </c>
      <c r="R109" s="107">
        <f>IF(A3stdlife="n/a","n/a",IF(R$3&gt;(A3stdlife+$E109),('PTRM input'!$L$145*(1+rvanilla06)^0.5)-SUM($L109:Q109),('PTRM input'!$L$145*(1+rvanilla06)^0.5)/A3stdlife))</f>
        <v>0</v>
      </c>
      <c r="S109" s="107">
        <f>IF(A3stdlife="n/a","n/a",IF(S$3&gt;(A3stdlife+$E109),('PTRM input'!$L$145*(1+rvanilla06)^0.5)-SUM($L109:R109),('PTRM input'!$L$145*(1+rvanilla06)^0.5)/A3stdlife))</f>
        <v>0</v>
      </c>
      <c r="T109" s="107">
        <f>IF(A3stdlife="n/a","n/a",IF(T$3&gt;(A3stdlife+$E109),('PTRM input'!$L$145*(1+rvanilla06)^0.5)-SUM($L109:S109),('PTRM input'!$L$145*(1+rvanilla06)^0.5)/A3stdlife))</f>
        <v>0</v>
      </c>
      <c r="U109" s="107">
        <f>IF(A3stdlife="n/a","n/a",IF(U$3&gt;(A3stdlife+$E109),('PTRM input'!$L$145*(1+rvanilla06)^0.5)-SUM($L109:T109),('PTRM input'!$L$145*(1+rvanilla06)^0.5)/A3stdlife))</f>
        <v>0</v>
      </c>
      <c r="V109" s="107">
        <f>IF(A3stdlife="n/a","n/a",IF(V$3&gt;(A3stdlife+$E109),('PTRM input'!$L$145*(1+rvanilla06)^0.5)-SUM($L109:U109),('PTRM input'!$L$145*(1+rvanilla06)^0.5)/A3stdlife))</f>
        <v>0</v>
      </c>
      <c r="W109" s="107">
        <f>IF(A3stdlife="n/a","n/a",IF(W$3&gt;(A3stdlife+$E109),('PTRM input'!$L$145*(1+rvanilla06)^0.5)-SUM($L109:V109),('PTRM input'!$L$145*(1+rvanilla06)^0.5)/A3stdlife))</f>
        <v>0</v>
      </c>
      <c r="X109" s="107">
        <f>IF(A3stdlife="n/a","n/a",IF(X$3&gt;(A3stdlife+$E109),('PTRM input'!$L$145*(1+rvanilla06)^0.5)-SUM($L109:W109),('PTRM input'!$L$145*(1+rvanilla06)^0.5)/A3stdlife))</f>
        <v>0</v>
      </c>
      <c r="Y109" s="107">
        <f>IF(A3stdlife="n/a","n/a",IF(Y$3&gt;(A3stdlife+$E109),('PTRM input'!$L$145*(1+rvanilla06)^0.5)-SUM($L109:X109),('PTRM input'!$L$145*(1+rvanilla06)^0.5)/A3stdlife))</f>
        <v>0</v>
      </c>
      <c r="Z109" s="107">
        <f>IF(A3stdlife="n/a","n/a",IF(Z$3&gt;(A3stdlife+$E109),('PTRM input'!$L$145*(1+rvanilla06)^0.5)-SUM($L109:Y109),('PTRM input'!$L$145*(1+rvanilla06)^0.5)/A3stdlife))</f>
        <v>0</v>
      </c>
      <c r="AA109" s="107">
        <f>IF(A3stdlife="n/a","n/a",IF(AA$3&gt;(A3stdlife+$E109),('PTRM input'!$L$145*(1+rvanilla06)^0.5)-SUM($L109:Z109),('PTRM input'!$L$145*(1+rvanilla06)^0.5)/A3stdlife))</f>
        <v>0</v>
      </c>
      <c r="AB109" s="107">
        <f>IF(A3stdlife="n/a","n/a",IF(AB$3&gt;(A3stdlife+$E109),('PTRM input'!$L$145*(1+rvanilla06)^0.5)-SUM($L109:AA109),('PTRM input'!$L$145*(1+rvanilla06)^0.5)/A3stdlife))</f>
        <v>0</v>
      </c>
      <c r="AC109" s="107">
        <f>IF(A3stdlife="n/a","n/a",IF(AC$3&gt;(A3stdlife+$E109),('PTRM input'!$L$145*(1+rvanilla06)^0.5)-SUM($L109:AB109),('PTRM input'!$L$145*(1+rvanilla06)^0.5)/A3stdlife))</f>
        <v>0</v>
      </c>
      <c r="AD109" s="107">
        <f>IF(A3stdlife="n/a","n/a",IF(AD$3&gt;(A3stdlife+$E109),('PTRM input'!$L$145*(1+rvanilla06)^0.5)-SUM($L109:AC109),('PTRM input'!$L$145*(1+rvanilla06)^0.5)/A3stdlife))</f>
        <v>0</v>
      </c>
      <c r="AE109" s="107">
        <f>IF(A3stdlife="n/a","n/a",IF(AE$3&gt;(A3stdlife+$E109),('PTRM input'!$L$145*(1+rvanilla06)^0.5)-SUM($L109:AD109),('PTRM input'!$L$145*(1+rvanilla06)^0.5)/A3stdlife))</f>
        <v>0</v>
      </c>
      <c r="AF109" s="107">
        <f>IF(A3stdlife="n/a","n/a",IF(AF$3&gt;(A3stdlife+$E109),('PTRM input'!$L$145*(1+rvanilla06)^0.5)-SUM($L109:AE109),('PTRM input'!$L$145*(1+rvanilla06)^0.5)/A3stdlife))</f>
        <v>0</v>
      </c>
      <c r="AG109" s="107">
        <f>IF(A3stdlife="n/a","n/a",IF(AG$3&gt;(A3stdlife+$E109),('PTRM input'!$L$145*(1+rvanilla06)^0.5)-SUM($L109:AF109),('PTRM input'!$L$145*(1+rvanilla06)^0.5)/A3stdlife))</f>
        <v>0</v>
      </c>
      <c r="AH109" s="107">
        <f>IF(A3stdlife="n/a","n/a",IF(AH$3&gt;(A3stdlife+$E109),('PTRM input'!$L$145*(1+rvanilla06)^0.5)-SUM($L109:AG109),('PTRM input'!$L$145*(1+rvanilla06)^0.5)/A3stdlife))</f>
        <v>0</v>
      </c>
      <c r="AI109" s="107">
        <f>IF(A3stdlife="n/a","n/a",IF(AI$3&gt;(A3stdlife+$E109),('PTRM input'!$L$145*(1+rvanilla06)^0.5)-SUM($L109:AH109),('PTRM input'!$L$145*(1+rvanilla06)^0.5)/A3stdlife))</f>
        <v>0</v>
      </c>
      <c r="AJ109" s="107">
        <f>IF(A3stdlife="n/a","n/a",IF(AJ$3&gt;(A3stdlife+$E109),('PTRM input'!$L$145*(1+rvanilla06)^0.5)-SUM($L109:AI109),('PTRM input'!$L$145*(1+rvanilla06)^0.5)/A3stdlife))</f>
        <v>0</v>
      </c>
      <c r="AK109" s="107">
        <f>IF(A3stdlife="n/a","n/a",IF(AK$3&gt;(A3stdlife+$E109),('PTRM input'!$L$145*(1+rvanilla06)^0.5)-SUM($L109:AJ109),('PTRM input'!$L$145*(1+rvanilla06)^0.5)/A3stdlife))</f>
        <v>0</v>
      </c>
      <c r="AL109" s="107">
        <f>IF(A3stdlife="n/a","n/a",IF(AL$3&gt;(A3stdlife+$E109),('PTRM input'!$L$145*(1+rvanilla06)^0.5)-SUM($L109:AK109),('PTRM input'!$L$145*(1+rvanilla06)^0.5)/A3stdlife))</f>
        <v>0</v>
      </c>
      <c r="AM109" s="107">
        <f>IF(A3stdlife="n/a","n/a",IF(AM$3&gt;(A3stdlife+$E109),('PTRM input'!$L$145*(1+rvanilla06)^0.5)-SUM($L109:AL109),('PTRM input'!$L$145*(1+rvanilla06)^0.5)/A3stdlife))</f>
        <v>0</v>
      </c>
      <c r="AN109" s="107">
        <f>IF(A3stdlife="n/a","n/a",IF(AN$3&gt;(A3stdlife+$E109),('PTRM input'!$L$145*(1+rvanilla06)^0.5)-SUM($L109:AM109),('PTRM input'!$L$145*(1+rvanilla06)^0.5)/A3stdlife))</f>
        <v>0</v>
      </c>
      <c r="AO109" s="107">
        <f>IF(A3stdlife="n/a","n/a",IF(AO$3&gt;(A3stdlife+$E109),('PTRM input'!$L$145*(1+rvanilla06)^0.5)-SUM($L109:AN109),('PTRM input'!$L$145*(1+rvanilla06)^0.5)/A3stdlife))</f>
        <v>0</v>
      </c>
      <c r="AP109" s="107">
        <f>IF(A3stdlife="n/a","n/a",IF(AP$3&gt;(A3stdlife+$E109),('PTRM input'!$L$145*(1+rvanilla06)^0.5)-SUM($L109:AO109),('PTRM input'!$L$145*(1+rvanilla06)^0.5)/A3stdlife))</f>
        <v>0</v>
      </c>
      <c r="AQ109" s="107">
        <f>IF(A3stdlife="n/a","n/a",IF(AQ$3&gt;(A3stdlife+$E109),('PTRM input'!$L$145*(1+rvanilla06)^0.5)-SUM($L109:AP109),('PTRM input'!$L$145*(1+rvanilla06)^0.5)/A3stdlife))</f>
        <v>0</v>
      </c>
      <c r="AR109" s="107">
        <f>IF(A3stdlife="n/a","n/a",IF(AR$3&gt;(A3stdlife+$E109),('PTRM input'!$L$145*(1+rvanilla06)^0.5)-SUM($L109:AQ109),('PTRM input'!$L$145*(1+rvanilla06)^0.5)/A3stdlife))</f>
        <v>0</v>
      </c>
      <c r="AS109" s="107">
        <f>IF(A3stdlife="n/a","n/a",IF(AS$3&gt;(A3stdlife+$E109),('PTRM input'!$L$145*(1+rvanilla06)^0.5)-SUM($L109:AR109),('PTRM input'!$L$145*(1+rvanilla06)^0.5)/A3stdlife))</f>
        <v>0</v>
      </c>
      <c r="AT109" s="107">
        <f>IF(A3stdlife="n/a","n/a",IF(AT$3&gt;(A3stdlife+$E109),('PTRM input'!$L$145*(1+rvanilla06)^0.5)-SUM($L109:AS109),('PTRM input'!$L$145*(1+rvanilla06)^0.5)/A3stdlife))</f>
        <v>0</v>
      </c>
      <c r="AU109" s="107">
        <f>IF(A3stdlife="n/a","n/a",IF(AU$3&gt;(A3stdlife+$E109),('PTRM input'!$L$145*(1+rvanilla06)^0.5)-SUM($L109:AT109),('PTRM input'!$L$145*(1+rvanilla06)^0.5)/A3stdlife))</f>
        <v>0</v>
      </c>
      <c r="AV109" s="107">
        <f>IF(A3stdlife="n/a","n/a",IF(AV$3&gt;(A3stdlife+$E109),('PTRM input'!$L$145*(1+rvanilla06)^0.5)-SUM($L109:AU109),('PTRM input'!$L$145*(1+rvanilla06)^0.5)/A3stdlife))</f>
        <v>0</v>
      </c>
      <c r="AW109" s="107">
        <f>IF(A3stdlife="n/a","n/a",IF(AW$3&gt;(A3stdlife+$E109),('PTRM input'!$L$145*(1+rvanilla06)^0.5)-SUM($L109:AV109),('PTRM input'!$L$145*(1+rvanilla06)^0.5)/A3stdlife))</f>
        <v>0</v>
      </c>
      <c r="AX109" s="107">
        <f>IF(A3stdlife="n/a","n/a",IF(AX$3&gt;(A3stdlife+$E109),('PTRM input'!$L$145*(1+rvanilla06)^0.5)-SUM($L109:AW109),('PTRM input'!$L$145*(1+rvanilla06)^0.5)/A3stdlife))</f>
        <v>0</v>
      </c>
      <c r="AY109" s="107">
        <f>IF(A3stdlife="n/a","n/a",IF(AY$3&gt;(A3stdlife+$E109),('PTRM input'!$L$145*(1+rvanilla06)^0.5)-SUM($L109:AX109),('PTRM input'!$L$145*(1+rvanilla06)^0.5)/A3stdlife))</f>
        <v>0</v>
      </c>
      <c r="AZ109" s="107">
        <f>IF(A3stdlife="n/a","n/a",IF(AZ$3&gt;(A3stdlife+$E109),('PTRM input'!$L$145*(1+rvanilla06)^0.5)-SUM($L109:AY109),('PTRM input'!$L$145*(1+rvanilla06)^0.5)/A3stdlife))</f>
        <v>0</v>
      </c>
      <c r="BA109" s="107">
        <f>IF(A3stdlife="n/a","n/a",IF(BA$3&gt;(A3stdlife+$E109),('PTRM input'!$L$145*(1+rvanilla06)^0.5)-SUM($L109:AZ109),('PTRM input'!$L$145*(1+rvanilla06)^0.5)/A3stdlife))</f>
        <v>0</v>
      </c>
      <c r="BB109" s="107">
        <f>IF(A3stdlife="n/a","n/a",IF(BB$3&gt;(A3stdlife+$E109),('PTRM input'!$L$145*(1+rvanilla06)^0.5)-SUM($L109:BA109),('PTRM input'!$L$145*(1+rvanilla06)^0.5)/A3stdlife))</f>
        <v>0</v>
      </c>
      <c r="BC109" s="107">
        <f>IF(A3stdlife="n/a","n/a",IF(BC$3&gt;(A3stdlife+$E109),('PTRM input'!$L$145*(1+rvanilla06)^0.5)-SUM($L109:BB109),('PTRM input'!$L$145*(1+rvanilla06)^0.5)/A3stdlife))</f>
        <v>0</v>
      </c>
      <c r="BD109" s="107">
        <f>IF(A3stdlife="n/a","n/a",IF(BD$3&gt;(A3stdlife+$E109),('PTRM input'!$L$145*(1+rvanilla06)^0.5)-SUM($L109:BC109),('PTRM input'!$L$145*(1+rvanilla06)^0.5)/A3stdlife))</f>
        <v>0</v>
      </c>
      <c r="BE109" s="107">
        <f>IF(A3stdlife="n/a","n/a",IF(BE$3&gt;(A3stdlife+$E109),('PTRM input'!$L$145*(1+rvanilla06)^0.5)-SUM($L109:BD109),('PTRM input'!$L$145*(1+rvanilla06)^0.5)/A3stdlife))</f>
        <v>0</v>
      </c>
      <c r="BF109" s="107">
        <f>IF(A3stdlife="n/a","n/a",IF(BF$3&gt;(A3stdlife+$E109),('PTRM input'!$L$145*(1+rvanilla06)^0.5)-SUM($L109:BE109),('PTRM input'!$L$145*(1+rvanilla06)^0.5)/A3stdlife))</f>
        <v>0</v>
      </c>
      <c r="BG109" s="107">
        <f>IF(A3stdlife="n/a","n/a",IF(BG$3&gt;(A3stdlife+$E109),('PTRM input'!$L$145*(1+rvanilla06)^0.5)-SUM($L109:BF109),('PTRM input'!$L$145*(1+rvanilla06)^0.5)/A3stdlife))</f>
        <v>0</v>
      </c>
      <c r="BH109" s="107">
        <f>IF(A3stdlife="n/a","n/a",IF(BH$3&gt;(A3stdlife+$E109),('PTRM input'!$L$145*(1+rvanilla06)^0.5)-SUM($L109:BG109),('PTRM input'!$L$145*(1+rvanilla06)^0.5)/A3stdlife))</f>
        <v>0</v>
      </c>
      <c r="BI109" s="107">
        <f>IF(A3stdlife="n/a","n/a",IF(BI$3&gt;(A3stdlife+$E109),('PTRM input'!$L$145*(1+rvanilla06)^0.5)-SUM($L109:BH109),('PTRM input'!$L$145*(1+rvanilla06)^0.5)/A3stdlife))</f>
        <v>0</v>
      </c>
      <c r="BJ109" s="237"/>
      <c r="BK109" s="237"/>
      <c r="BL109" s="237"/>
      <c r="BM109" s="237"/>
    </row>
    <row r="110" spans="1:65" s="190" customFormat="1" hidden="1" outlineLevel="2">
      <c r="A110" s="237"/>
      <c r="B110" s="33"/>
      <c r="C110" s="32"/>
      <c r="D110" s="1618"/>
      <c r="E110" s="169">
        <v>7</v>
      </c>
      <c r="F110" s="35"/>
      <c r="G110" s="184"/>
      <c r="H110" s="186"/>
      <c r="I110" s="186"/>
      <c r="J110" s="186"/>
      <c r="K110" s="186"/>
      <c r="L110" s="186"/>
      <c r="M110" s="185"/>
      <c r="N110" s="107">
        <f>IF(A3stdlife="n/a","n/a",IF(N$3&gt;(A3stdlife+$E110),('PTRM input'!$M$145*(1+rvanilla07)^0.5)-SUM($M110:M110),('PTRM input'!$M$145*(1+rvanilla07)^0.5)/A3stdlife))</f>
        <v>0</v>
      </c>
      <c r="O110" s="107">
        <f>IF(A3stdlife="n/a","n/a",IF(O$3&gt;(A3stdlife+$E110),('PTRM input'!$M$145*(1+rvanilla07)^0.5)-SUM($M110:N110),('PTRM input'!$M$145*(1+rvanilla07)^0.5)/A3stdlife))</f>
        <v>0</v>
      </c>
      <c r="P110" s="107">
        <f>IF(A3stdlife="n/a","n/a",IF(P$3&gt;(A3stdlife+$E110),('PTRM input'!$M$145*(1+rvanilla07)^0.5)-SUM($M110:O110),('PTRM input'!$M$145*(1+rvanilla07)^0.5)/A3stdlife))</f>
        <v>0</v>
      </c>
      <c r="Q110" s="107">
        <f>IF(A3stdlife="n/a","n/a",IF(Q$3&gt;(A3stdlife+$E110),('PTRM input'!$M$145*(1+rvanilla07)^0.5)-SUM($M110:P110),('PTRM input'!$M$145*(1+rvanilla07)^0.5)/A3stdlife))</f>
        <v>0</v>
      </c>
      <c r="R110" s="107">
        <f>IF(A3stdlife="n/a","n/a",IF(R$3&gt;(A3stdlife+$E110),('PTRM input'!$M$145*(1+rvanilla07)^0.5)-SUM($M110:Q110),('PTRM input'!$M$145*(1+rvanilla07)^0.5)/A3stdlife))</f>
        <v>0</v>
      </c>
      <c r="S110" s="107">
        <f>IF(A3stdlife="n/a","n/a",IF(S$3&gt;(A3stdlife+$E110),('PTRM input'!$M$145*(1+rvanilla07)^0.5)-SUM($M110:R110),('PTRM input'!$M$145*(1+rvanilla07)^0.5)/A3stdlife))</f>
        <v>0</v>
      </c>
      <c r="T110" s="107">
        <f>IF(A3stdlife="n/a","n/a",IF(T$3&gt;(A3stdlife+$E110),('PTRM input'!$M$145*(1+rvanilla07)^0.5)-SUM($M110:S110),('PTRM input'!$M$145*(1+rvanilla07)^0.5)/A3stdlife))</f>
        <v>0</v>
      </c>
      <c r="U110" s="107">
        <f>IF(A3stdlife="n/a","n/a",IF(U$3&gt;(A3stdlife+$E110),('PTRM input'!$M$145*(1+rvanilla07)^0.5)-SUM($M110:T110),('PTRM input'!$M$145*(1+rvanilla07)^0.5)/A3stdlife))</f>
        <v>0</v>
      </c>
      <c r="V110" s="107">
        <f>IF(A3stdlife="n/a","n/a",IF(V$3&gt;(A3stdlife+$E110),('PTRM input'!$M$145*(1+rvanilla07)^0.5)-SUM($M110:U110),('PTRM input'!$M$145*(1+rvanilla07)^0.5)/A3stdlife))</f>
        <v>0</v>
      </c>
      <c r="W110" s="107">
        <f>IF(A3stdlife="n/a","n/a",IF(W$3&gt;(A3stdlife+$E110),('PTRM input'!$M$145*(1+rvanilla07)^0.5)-SUM($M110:V110),('PTRM input'!$M$145*(1+rvanilla07)^0.5)/A3stdlife))</f>
        <v>0</v>
      </c>
      <c r="X110" s="107">
        <f>IF(A3stdlife="n/a","n/a",IF(X$3&gt;(A3stdlife+$E110),('PTRM input'!$M$145*(1+rvanilla07)^0.5)-SUM($M110:W110),('PTRM input'!$M$145*(1+rvanilla07)^0.5)/A3stdlife))</f>
        <v>0</v>
      </c>
      <c r="Y110" s="107">
        <f>IF(A3stdlife="n/a","n/a",IF(Y$3&gt;(A3stdlife+$E110),('PTRM input'!$M$145*(1+rvanilla07)^0.5)-SUM($M110:X110),('PTRM input'!$M$145*(1+rvanilla07)^0.5)/A3stdlife))</f>
        <v>0</v>
      </c>
      <c r="Z110" s="107">
        <f>IF(A3stdlife="n/a","n/a",IF(Z$3&gt;(A3stdlife+$E110),('PTRM input'!$M$145*(1+rvanilla07)^0.5)-SUM($M110:Y110),('PTRM input'!$M$145*(1+rvanilla07)^0.5)/A3stdlife))</f>
        <v>0</v>
      </c>
      <c r="AA110" s="107">
        <f>IF(A3stdlife="n/a","n/a",IF(AA$3&gt;(A3stdlife+$E110),('PTRM input'!$M$145*(1+rvanilla07)^0.5)-SUM($M110:Z110),('PTRM input'!$M$145*(1+rvanilla07)^0.5)/A3stdlife))</f>
        <v>0</v>
      </c>
      <c r="AB110" s="107">
        <f>IF(A3stdlife="n/a","n/a",IF(AB$3&gt;(A3stdlife+$E110),('PTRM input'!$M$145*(1+rvanilla07)^0.5)-SUM($M110:AA110),('PTRM input'!$M$145*(1+rvanilla07)^0.5)/A3stdlife))</f>
        <v>0</v>
      </c>
      <c r="AC110" s="107">
        <f>IF(A3stdlife="n/a","n/a",IF(AC$3&gt;(A3stdlife+$E110),('PTRM input'!$M$145*(1+rvanilla07)^0.5)-SUM($M110:AB110),('PTRM input'!$M$145*(1+rvanilla07)^0.5)/A3stdlife))</f>
        <v>0</v>
      </c>
      <c r="AD110" s="107">
        <f>IF(A3stdlife="n/a","n/a",IF(AD$3&gt;(A3stdlife+$E110),('PTRM input'!$M$145*(1+rvanilla07)^0.5)-SUM($M110:AC110),('PTRM input'!$M$145*(1+rvanilla07)^0.5)/A3stdlife))</f>
        <v>0</v>
      </c>
      <c r="AE110" s="107">
        <f>IF(A3stdlife="n/a","n/a",IF(AE$3&gt;(A3stdlife+$E110),('PTRM input'!$M$145*(1+rvanilla07)^0.5)-SUM($M110:AD110),('PTRM input'!$M$145*(1+rvanilla07)^0.5)/A3stdlife))</f>
        <v>0</v>
      </c>
      <c r="AF110" s="107">
        <f>IF(A3stdlife="n/a","n/a",IF(AF$3&gt;(A3stdlife+$E110),('PTRM input'!$M$145*(1+rvanilla07)^0.5)-SUM($M110:AE110),('PTRM input'!$M$145*(1+rvanilla07)^0.5)/A3stdlife))</f>
        <v>0</v>
      </c>
      <c r="AG110" s="107">
        <f>IF(A3stdlife="n/a","n/a",IF(AG$3&gt;(A3stdlife+$E110),('PTRM input'!$M$145*(1+rvanilla07)^0.5)-SUM($M110:AF110),('PTRM input'!$M$145*(1+rvanilla07)^0.5)/A3stdlife))</f>
        <v>0</v>
      </c>
      <c r="AH110" s="107">
        <f>IF(A3stdlife="n/a","n/a",IF(AH$3&gt;(A3stdlife+$E110),('PTRM input'!$M$145*(1+rvanilla07)^0.5)-SUM($M110:AG110),('PTRM input'!$M$145*(1+rvanilla07)^0.5)/A3stdlife))</f>
        <v>0</v>
      </c>
      <c r="AI110" s="107">
        <f>IF(A3stdlife="n/a","n/a",IF(AI$3&gt;(A3stdlife+$E110),('PTRM input'!$M$145*(1+rvanilla07)^0.5)-SUM($M110:AH110),('PTRM input'!$M$145*(1+rvanilla07)^0.5)/A3stdlife))</f>
        <v>0</v>
      </c>
      <c r="AJ110" s="107">
        <f>IF(A3stdlife="n/a","n/a",IF(AJ$3&gt;(A3stdlife+$E110),('PTRM input'!$M$145*(1+rvanilla07)^0.5)-SUM($M110:AI110),('PTRM input'!$M$145*(1+rvanilla07)^0.5)/A3stdlife))</f>
        <v>0</v>
      </c>
      <c r="AK110" s="107">
        <f>IF(A3stdlife="n/a","n/a",IF(AK$3&gt;(A3stdlife+$E110),('PTRM input'!$M$145*(1+rvanilla07)^0.5)-SUM($M110:AJ110),('PTRM input'!$M$145*(1+rvanilla07)^0.5)/A3stdlife))</f>
        <v>0</v>
      </c>
      <c r="AL110" s="107">
        <f>IF(A3stdlife="n/a","n/a",IF(AL$3&gt;(A3stdlife+$E110),('PTRM input'!$M$145*(1+rvanilla07)^0.5)-SUM($M110:AK110),('PTRM input'!$M$145*(1+rvanilla07)^0.5)/A3stdlife))</f>
        <v>0</v>
      </c>
      <c r="AM110" s="107">
        <f>IF(A3stdlife="n/a","n/a",IF(AM$3&gt;(A3stdlife+$E110),('PTRM input'!$M$145*(1+rvanilla07)^0.5)-SUM($M110:AL110),('PTRM input'!$M$145*(1+rvanilla07)^0.5)/A3stdlife))</f>
        <v>0</v>
      </c>
      <c r="AN110" s="107">
        <f>IF(A3stdlife="n/a","n/a",IF(AN$3&gt;(A3stdlife+$E110),('PTRM input'!$M$145*(1+rvanilla07)^0.5)-SUM($M110:AM110),('PTRM input'!$M$145*(1+rvanilla07)^0.5)/A3stdlife))</f>
        <v>0</v>
      </c>
      <c r="AO110" s="107">
        <f>IF(A3stdlife="n/a","n/a",IF(AO$3&gt;(A3stdlife+$E110),('PTRM input'!$M$145*(1+rvanilla07)^0.5)-SUM($M110:AN110),('PTRM input'!$M$145*(1+rvanilla07)^0.5)/A3stdlife))</f>
        <v>0</v>
      </c>
      <c r="AP110" s="107">
        <f>IF(A3stdlife="n/a","n/a",IF(AP$3&gt;(A3stdlife+$E110),('PTRM input'!$M$145*(1+rvanilla07)^0.5)-SUM($M110:AO110),('PTRM input'!$M$145*(1+rvanilla07)^0.5)/A3stdlife))</f>
        <v>0</v>
      </c>
      <c r="AQ110" s="107">
        <f>IF(A3stdlife="n/a","n/a",IF(AQ$3&gt;(A3stdlife+$E110),('PTRM input'!$M$145*(1+rvanilla07)^0.5)-SUM($M110:AP110),('PTRM input'!$M$145*(1+rvanilla07)^0.5)/A3stdlife))</f>
        <v>0</v>
      </c>
      <c r="AR110" s="107">
        <f>IF(A3stdlife="n/a","n/a",IF(AR$3&gt;(A3stdlife+$E110),('PTRM input'!$M$145*(1+rvanilla07)^0.5)-SUM($M110:AQ110),('PTRM input'!$M$145*(1+rvanilla07)^0.5)/A3stdlife))</f>
        <v>0</v>
      </c>
      <c r="AS110" s="107">
        <f>IF(A3stdlife="n/a","n/a",IF(AS$3&gt;(A3stdlife+$E110),('PTRM input'!$M$145*(1+rvanilla07)^0.5)-SUM($M110:AR110),('PTRM input'!$M$145*(1+rvanilla07)^0.5)/A3stdlife))</f>
        <v>0</v>
      </c>
      <c r="AT110" s="107">
        <f>IF(A3stdlife="n/a","n/a",IF(AT$3&gt;(A3stdlife+$E110),('PTRM input'!$M$145*(1+rvanilla07)^0.5)-SUM($M110:AS110),('PTRM input'!$M$145*(1+rvanilla07)^0.5)/A3stdlife))</f>
        <v>0</v>
      </c>
      <c r="AU110" s="107">
        <f>IF(A3stdlife="n/a","n/a",IF(AU$3&gt;(A3stdlife+$E110),('PTRM input'!$M$145*(1+rvanilla07)^0.5)-SUM($M110:AT110),('PTRM input'!$M$145*(1+rvanilla07)^0.5)/A3stdlife))</f>
        <v>0</v>
      </c>
      <c r="AV110" s="107">
        <f>IF(A3stdlife="n/a","n/a",IF(AV$3&gt;(A3stdlife+$E110),('PTRM input'!$M$145*(1+rvanilla07)^0.5)-SUM($M110:AU110),('PTRM input'!$M$145*(1+rvanilla07)^0.5)/A3stdlife))</f>
        <v>0</v>
      </c>
      <c r="AW110" s="107">
        <f>IF(A3stdlife="n/a","n/a",IF(AW$3&gt;(A3stdlife+$E110),('PTRM input'!$M$145*(1+rvanilla07)^0.5)-SUM($M110:AV110),('PTRM input'!$M$145*(1+rvanilla07)^0.5)/A3stdlife))</f>
        <v>0</v>
      </c>
      <c r="AX110" s="107">
        <f>IF(A3stdlife="n/a","n/a",IF(AX$3&gt;(A3stdlife+$E110),('PTRM input'!$M$145*(1+rvanilla07)^0.5)-SUM($M110:AW110),('PTRM input'!$M$145*(1+rvanilla07)^0.5)/A3stdlife))</f>
        <v>0</v>
      </c>
      <c r="AY110" s="107">
        <f>IF(A3stdlife="n/a","n/a",IF(AY$3&gt;(A3stdlife+$E110),('PTRM input'!$M$145*(1+rvanilla07)^0.5)-SUM($M110:AX110),('PTRM input'!$M$145*(1+rvanilla07)^0.5)/A3stdlife))</f>
        <v>0</v>
      </c>
      <c r="AZ110" s="107">
        <f>IF(A3stdlife="n/a","n/a",IF(AZ$3&gt;(A3stdlife+$E110),('PTRM input'!$M$145*(1+rvanilla07)^0.5)-SUM($M110:AY110),('PTRM input'!$M$145*(1+rvanilla07)^0.5)/A3stdlife))</f>
        <v>0</v>
      </c>
      <c r="BA110" s="107">
        <f>IF(A3stdlife="n/a","n/a",IF(BA$3&gt;(A3stdlife+$E110),('PTRM input'!$M$145*(1+rvanilla07)^0.5)-SUM($M110:AZ110),('PTRM input'!$M$145*(1+rvanilla07)^0.5)/A3stdlife))</f>
        <v>0</v>
      </c>
      <c r="BB110" s="107">
        <f>IF(A3stdlife="n/a","n/a",IF(BB$3&gt;(A3stdlife+$E110),('PTRM input'!$M$145*(1+rvanilla07)^0.5)-SUM($M110:BA110),('PTRM input'!$M$145*(1+rvanilla07)^0.5)/A3stdlife))</f>
        <v>0</v>
      </c>
      <c r="BC110" s="107">
        <f>IF(A3stdlife="n/a","n/a",IF(BC$3&gt;(A3stdlife+$E110),('PTRM input'!$M$145*(1+rvanilla07)^0.5)-SUM($M110:BB110),('PTRM input'!$M$145*(1+rvanilla07)^0.5)/A3stdlife))</f>
        <v>0</v>
      </c>
      <c r="BD110" s="107">
        <f>IF(A3stdlife="n/a","n/a",IF(BD$3&gt;(A3stdlife+$E110),('PTRM input'!$M$145*(1+rvanilla07)^0.5)-SUM($M110:BC110),('PTRM input'!$M$145*(1+rvanilla07)^0.5)/A3stdlife))</f>
        <v>0</v>
      </c>
      <c r="BE110" s="107">
        <f>IF(A3stdlife="n/a","n/a",IF(BE$3&gt;(A3stdlife+$E110),('PTRM input'!$M$145*(1+rvanilla07)^0.5)-SUM($M110:BD110),('PTRM input'!$M$145*(1+rvanilla07)^0.5)/A3stdlife))</f>
        <v>0</v>
      </c>
      <c r="BF110" s="107">
        <f>IF(A3stdlife="n/a","n/a",IF(BF$3&gt;(A3stdlife+$E110),('PTRM input'!$M$145*(1+rvanilla07)^0.5)-SUM($M110:BE110),('PTRM input'!$M$145*(1+rvanilla07)^0.5)/A3stdlife))</f>
        <v>0</v>
      </c>
      <c r="BG110" s="107">
        <f>IF(A3stdlife="n/a","n/a",IF(BG$3&gt;(A3stdlife+$E110),('PTRM input'!$M$145*(1+rvanilla07)^0.5)-SUM($M110:BF110),('PTRM input'!$M$145*(1+rvanilla07)^0.5)/A3stdlife))</f>
        <v>0</v>
      </c>
      <c r="BH110" s="107">
        <f>IF(A3stdlife="n/a","n/a",IF(BH$3&gt;(A3stdlife+$E110),('PTRM input'!$M$145*(1+rvanilla07)^0.5)-SUM($M110:BG110),('PTRM input'!$M$145*(1+rvanilla07)^0.5)/A3stdlife))</f>
        <v>0</v>
      </c>
      <c r="BI110" s="107">
        <f>IF(A3stdlife="n/a","n/a",IF(BI$3&gt;(A3stdlife+$E110),('PTRM input'!$M$145*(1+rvanilla07)^0.5)-SUM($M110:BH110),('PTRM input'!$M$145*(1+rvanilla07)^0.5)/A3stdlife))</f>
        <v>0</v>
      </c>
      <c r="BJ110" s="237"/>
      <c r="BK110" s="237"/>
      <c r="BL110" s="237"/>
      <c r="BM110" s="237"/>
    </row>
    <row r="111" spans="1:65" s="190" customFormat="1" hidden="1" outlineLevel="2">
      <c r="A111" s="237"/>
      <c r="B111" s="33"/>
      <c r="C111" s="32"/>
      <c r="D111" s="1618"/>
      <c r="E111" s="169">
        <v>8</v>
      </c>
      <c r="F111" s="35"/>
      <c r="G111" s="184"/>
      <c r="H111" s="186"/>
      <c r="I111" s="186"/>
      <c r="J111" s="186"/>
      <c r="K111" s="186"/>
      <c r="L111" s="186"/>
      <c r="M111" s="186"/>
      <c r="N111" s="185"/>
      <c r="O111" s="107">
        <f>IF(A3stdlife="n/a","n/a",IF(O$3&gt;(A3stdlife+$E111),('PTRM input'!$N$145*(1+rvanilla08)^0.5)-SUM($N111:N111),('PTRM input'!$N$145*(1+rvanilla08)^0.5)/A3stdlife))</f>
        <v>0</v>
      </c>
      <c r="P111" s="107">
        <f>IF(A3stdlife="n/a","n/a",IF(P$3&gt;(A3stdlife+$E111),('PTRM input'!$N$145*(1+rvanilla08)^0.5)-SUM($N111:O111),('PTRM input'!$N$145*(1+rvanilla08)^0.5)/A3stdlife))</f>
        <v>0</v>
      </c>
      <c r="Q111" s="107">
        <f>IF(A3stdlife="n/a","n/a",IF(Q$3&gt;(A3stdlife+$E111),('PTRM input'!$N$145*(1+rvanilla08)^0.5)-SUM($N111:P111),('PTRM input'!$N$145*(1+rvanilla08)^0.5)/A3stdlife))</f>
        <v>0</v>
      </c>
      <c r="R111" s="107">
        <f>IF(A3stdlife="n/a","n/a",IF(R$3&gt;(A3stdlife+$E111),('PTRM input'!$N$145*(1+rvanilla08)^0.5)-SUM($N111:Q111),('PTRM input'!$N$145*(1+rvanilla08)^0.5)/A3stdlife))</f>
        <v>0</v>
      </c>
      <c r="S111" s="107">
        <f>IF(A3stdlife="n/a","n/a",IF(S$3&gt;(A3stdlife+$E111),('PTRM input'!$N$145*(1+rvanilla08)^0.5)-SUM($N111:R111),('PTRM input'!$N$145*(1+rvanilla08)^0.5)/A3stdlife))</f>
        <v>0</v>
      </c>
      <c r="T111" s="107">
        <f>IF(A3stdlife="n/a","n/a",IF(T$3&gt;(A3stdlife+$E111),('PTRM input'!$N$145*(1+rvanilla08)^0.5)-SUM($N111:S111),('PTRM input'!$N$145*(1+rvanilla08)^0.5)/A3stdlife))</f>
        <v>0</v>
      </c>
      <c r="U111" s="107">
        <f>IF(A3stdlife="n/a","n/a",IF(U$3&gt;(A3stdlife+$E111),('PTRM input'!$N$145*(1+rvanilla08)^0.5)-SUM($N111:T111),('PTRM input'!$N$145*(1+rvanilla08)^0.5)/A3stdlife))</f>
        <v>0</v>
      </c>
      <c r="V111" s="107">
        <f>IF(A3stdlife="n/a","n/a",IF(V$3&gt;(A3stdlife+$E111),('PTRM input'!$N$145*(1+rvanilla08)^0.5)-SUM($N111:U111),('PTRM input'!$N$145*(1+rvanilla08)^0.5)/A3stdlife))</f>
        <v>0</v>
      </c>
      <c r="W111" s="107">
        <f>IF(A3stdlife="n/a","n/a",IF(W$3&gt;(A3stdlife+$E111),('PTRM input'!$N$145*(1+rvanilla08)^0.5)-SUM($N111:V111),('PTRM input'!$N$145*(1+rvanilla08)^0.5)/A3stdlife))</f>
        <v>0</v>
      </c>
      <c r="X111" s="107">
        <f>IF(A3stdlife="n/a","n/a",IF(X$3&gt;(A3stdlife+$E111),('PTRM input'!$N$145*(1+rvanilla08)^0.5)-SUM($N111:W111),('PTRM input'!$N$145*(1+rvanilla08)^0.5)/A3stdlife))</f>
        <v>0</v>
      </c>
      <c r="Y111" s="107">
        <f>IF(A3stdlife="n/a","n/a",IF(Y$3&gt;(A3stdlife+$E111),('PTRM input'!$N$145*(1+rvanilla08)^0.5)-SUM($N111:X111),('PTRM input'!$N$145*(1+rvanilla08)^0.5)/A3stdlife))</f>
        <v>0</v>
      </c>
      <c r="Z111" s="107">
        <f>IF(A3stdlife="n/a","n/a",IF(Z$3&gt;(A3stdlife+$E111),('PTRM input'!$N$145*(1+rvanilla08)^0.5)-SUM($N111:Y111),('PTRM input'!$N$145*(1+rvanilla08)^0.5)/A3stdlife))</f>
        <v>0</v>
      </c>
      <c r="AA111" s="107">
        <f>IF(A3stdlife="n/a","n/a",IF(AA$3&gt;(A3stdlife+$E111),('PTRM input'!$N$145*(1+rvanilla08)^0.5)-SUM($N111:Z111),('PTRM input'!$N$145*(1+rvanilla08)^0.5)/A3stdlife))</f>
        <v>0</v>
      </c>
      <c r="AB111" s="107">
        <f>IF(A3stdlife="n/a","n/a",IF(AB$3&gt;(A3stdlife+$E111),('PTRM input'!$N$145*(1+rvanilla08)^0.5)-SUM($N111:AA111),('PTRM input'!$N$145*(1+rvanilla08)^0.5)/A3stdlife))</f>
        <v>0</v>
      </c>
      <c r="AC111" s="107">
        <f>IF(A3stdlife="n/a","n/a",IF(AC$3&gt;(A3stdlife+$E111),('PTRM input'!$N$145*(1+rvanilla08)^0.5)-SUM($N111:AB111),('PTRM input'!$N$145*(1+rvanilla08)^0.5)/A3stdlife))</f>
        <v>0</v>
      </c>
      <c r="AD111" s="107">
        <f>IF(A3stdlife="n/a","n/a",IF(AD$3&gt;(A3stdlife+$E111),('PTRM input'!$N$145*(1+rvanilla08)^0.5)-SUM($N111:AC111),('PTRM input'!$N$145*(1+rvanilla08)^0.5)/A3stdlife))</f>
        <v>0</v>
      </c>
      <c r="AE111" s="107">
        <f>IF(A3stdlife="n/a","n/a",IF(AE$3&gt;(A3stdlife+$E111),('PTRM input'!$N$145*(1+rvanilla08)^0.5)-SUM($N111:AD111),('PTRM input'!$N$145*(1+rvanilla08)^0.5)/A3stdlife))</f>
        <v>0</v>
      </c>
      <c r="AF111" s="107">
        <f>IF(A3stdlife="n/a","n/a",IF(AF$3&gt;(A3stdlife+$E111),('PTRM input'!$N$145*(1+rvanilla08)^0.5)-SUM($N111:AE111),('PTRM input'!$N$145*(1+rvanilla08)^0.5)/A3stdlife))</f>
        <v>0</v>
      </c>
      <c r="AG111" s="107">
        <f>IF(A3stdlife="n/a","n/a",IF(AG$3&gt;(A3stdlife+$E111),('PTRM input'!$N$145*(1+rvanilla08)^0.5)-SUM($N111:AF111),('PTRM input'!$N$145*(1+rvanilla08)^0.5)/A3stdlife))</f>
        <v>0</v>
      </c>
      <c r="AH111" s="107">
        <f>IF(A3stdlife="n/a","n/a",IF(AH$3&gt;(A3stdlife+$E111),('PTRM input'!$N$145*(1+rvanilla08)^0.5)-SUM($N111:AG111),('PTRM input'!$N$145*(1+rvanilla08)^0.5)/A3stdlife))</f>
        <v>0</v>
      </c>
      <c r="AI111" s="107">
        <f>IF(A3stdlife="n/a","n/a",IF(AI$3&gt;(A3stdlife+$E111),('PTRM input'!$N$145*(1+rvanilla08)^0.5)-SUM($N111:AH111),('PTRM input'!$N$145*(1+rvanilla08)^0.5)/A3stdlife))</f>
        <v>0</v>
      </c>
      <c r="AJ111" s="107">
        <f>IF(A3stdlife="n/a","n/a",IF(AJ$3&gt;(A3stdlife+$E111),('PTRM input'!$N$145*(1+rvanilla08)^0.5)-SUM($N111:AI111),('PTRM input'!$N$145*(1+rvanilla08)^0.5)/A3stdlife))</f>
        <v>0</v>
      </c>
      <c r="AK111" s="107">
        <f>IF(A3stdlife="n/a","n/a",IF(AK$3&gt;(A3stdlife+$E111),('PTRM input'!$N$145*(1+rvanilla08)^0.5)-SUM($N111:AJ111),('PTRM input'!$N$145*(1+rvanilla08)^0.5)/A3stdlife))</f>
        <v>0</v>
      </c>
      <c r="AL111" s="107">
        <f>IF(A3stdlife="n/a","n/a",IF(AL$3&gt;(A3stdlife+$E111),('PTRM input'!$N$145*(1+rvanilla08)^0.5)-SUM($N111:AK111),('PTRM input'!$N$145*(1+rvanilla08)^0.5)/A3stdlife))</f>
        <v>0</v>
      </c>
      <c r="AM111" s="107">
        <f>IF(A3stdlife="n/a","n/a",IF(AM$3&gt;(A3stdlife+$E111),('PTRM input'!$N$145*(1+rvanilla08)^0.5)-SUM($N111:AL111),('PTRM input'!$N$145*(1+rvanilla08)^0.5)/A3stdlife))</f>
        <v>0</v>
      </c>
      <c r="AN111" s="107">
        <f>IF(A3stdlife="n/a","n/a",IF(AN$3&gt;(A3stdlife+$E111),('PTRM input'!$N$145*(1+rvanilla08)^0.5)-SUM($N111:AM111),('PTRM input'!$N$145*(1+rvanilla08)^0.5)/A3stdlife))</f>
        <v>0</v>
      </c>
      <c r="AO111" s="107">
        <f>IF(A3stdlife="n/a","n/a",IF(AO$3&gt;(A3stdlife+$E111),('PTRM input'!$N$145*(1+rvanilla08)^0.5)-SUM($N111:AN111),('PTRM input'!$N$145*(1+rvanilla08)^0.5)/A3stdlife))</f>
        <v>0</v>
      </c>
      <c r="AP111" s="107">
        <f>IF(A3stdlife="n/a","n/a",IF(AP$3&gt;(A3stdlife+$E111),('PTRM input'!$N$145*(1+rvanilla08)^0.5)-SUM($N111:AO111),('PTRM input'!$N$145*(1+rvanilla08)^0.5)/A3stdlife))</f>
        <v>0</v>
      </c>
      <c r="AQ111" s="107">
        <f>IF(A3stdlife="n/a","n/a",IF(AQ$3&gt;(A3stdlife+$E111),('PTRM input'!$N$145*(1+rvanilla08)^0.5)-SUM($N111:AP111),('PTRM input'!$N$145*(1+rvanilla08)^0.5)/A3stdlife))</f>
        <v>0</v>
      </c>
      <c r="AR111" s="107">
        <f>IF(A3stdlife="n/a","n/a",IF(AR$3&gt;(A3stdlife+$E111),('PTRM input'!$N$145*(1+rvanilla08)^0.5)-SUM($N111:AQ111),('PTRM input'!$N$145*(1+rvanilla08)^0.5)/A3stdlife))</f>
        <v>0</v>
      </c>
      <c r="AS111" s="107">
        <f>IF(A3stdlife="n/a","n/a",IF(AS$3&gt;(A3stdlife+$E111),('PTRM input'!$N$145*(1+rvanilla08)^0.5)-SUM($N111:AR111),('PTRM input'!$N$145*(1+rvanilla08)^0.5)/A3stdlife))</f>
        <v>0</v>
      </c>
      <c r="AT111" s="107">
        <f>IF(A3stdlife="n/a","n/a",IF(AT$3&gt;(A3stdlife+$E111),('PTRM input'!$N$145*(1+rvanilla08)^0.5)-SUM($N111:AS111),('PTRM input'!$N$145*(1+rvanilla08)^0.5)/A3stdlife))</f>
        <v>0</v>
      </c>
      <c r="AU111" s="107">
        <f>IF(A3stdlife="n/a","n/a",IF(AU$3&gt;(A3stdlife+$E111),('PTRM input'!$N$145*(1+rvanilla08)^0.5)-SUM($N111:AT111),('PTRM input'!$N$145*(1+rvanilla08)^0.5)/A3stdlife))</f>
        <v>0</v>
      </c>
      <c r="AV111" s="107">
        <f>IF(A3stdlife="n/a","n/a",IF(AV$3&gt;(A3stdlife+$E111),('PTRM input'!$N$145*(1+rvanilla08)^0.5)-SUM($N111:AU111),('PTRM input'!$N$145*(1+rvanilla08)^0.5)/A3stdlife))</f>
        <v>0</v>
      </c>
      <c r="AW111" s="107">
        <f>IF(A3stdlife="n/a","n/a",IF(AW$3&gt;(A3stdlife+$E111),('PTRM input'!$N$145*(1+rvanilla08)^0.5)-SUM($N111:AV111),('PTRM input'!$N$145*(1+rvanilla08)^0.5)/A3stdlife))</f>
        <v>0</v>
      </c>
      <c r="AX111" s="107">
        <f>IF(A3stdlife="n/a","n/a",IF(AX$3&gt;(A3stdlife+$E111),('PTRM input'!$N$145*(1+rvanilla08)^0.5)-SUM($N111:AW111),('PTRM input'!$N$145*(1+rvanilla08)^0.5)/A3stdlife))</f>
        <v>0</v>
      </c>
      <c r="AY111" s="107">
        <f>IF(A3stdlife="n/a","n/a",IF(AY$3&gt;(A3stdlife+$E111),('PTRM input'!$N$145*(1+rvanilla08)^0.5)-SUM($N111:AX111),('PTRM input'!$N$145*(1+rvanilla08)^0.5)/A3stdlife))</f>
        <v>0</v>
      </c>
      <c r="AZ111" s="107">
        <f>IF(A3stdlife="n/a","n/a",IF(AZ$3&gt;(A3stdlife+$E111),('PTRM input'!$N$145*(1+rvanilla08)^0.5)-SUM($N111:AY111),('PTRM input'!$N$145*(1+rvanilla08)^0.5)/A3stdlife))</f>
        <v>0</v>
      </c>
      <c r="BA111" s="107">
        <f>IF(A3stdlife="n/a","n/a",IF(BA$3&gt;(A3stdlife+$E111),('PTRM input'!$N$145*(1+rvanilla08)^0.5)-SUM($N111:AZ111),('PTRM input'!$N$145*(1+rvanilla08)^0.5)/A3stdlife))</f>
        <v>0</v>
      </c>
      <c r="BB111" s="107">
        <f>IF(A3stdlife="n/a","n/a",IF(BB$3&gt;(A3stdlife+$E111),('PTRM input'!$N$145*(1+rvanilla08)^0.5)-SUM($N111:BA111),('PTRM input'!$N$145*(1+rvanilla08)^0.5)/A3stdlife))</f>
        <v>0</v>
      </c>
      <c r="BC111" s="107">
        <f>IF(A3stdlife="n/a","n/a",IF(BC$3&gt;(A3stdlife+$E111),('PTRM input'!$N$145*(1+rvanilla08)^0.5)-SUM($N111:BB111),('PTRM input'!$N$145*(1+rvanilla08)^0.5)/A3stdlife))</f>
        <v>0</v>
      </c>
      <c r="BD111" s="107">
        <f>IF(A3stdlife="n/a","n/a",IF(BD$3&gt;(A3stdlife+$E111),('PTRM input'!$N$145*(1+rvanilla08)^0.5)-SUM($N111:BC111),('PTRM input'!$N$145*(1+rvanilla08)^0.5)/A3stdlife))</f>
        <v>0</v>
      </c>
      <c r="BE111" s="107">
        <f>IF(A3stdlife="n/a","n/a",IF(BE$3&gt;(A3stdlife+$E111),('PTRM input'!$N$145*(1+rvanilla08)^0.5)-SUM($N111:BD111),('PTRM input'!$N$145*(1+rvanilla08)^0.5)/A3stdlife))</f>
        <v>0</v>
      </c>
      <c r="BF111" s="107">
        <f>IF(A3stdlife="n/a","n/a",IF(BF$3&gt;(A3stdlife+$E111),('PTRM input'!$N$145*(1+rvanilla08)^0.5)-SUM($N111:BE111),('PTRM input'!$N$145*(1+rvanilla08)^0.5)/A3stdlife))</f>
        <v>0</v>
      </c>
      <c r="BG111" s="107">
        <f>IF(A3stdlife="n/a","n/a",IF(BG$3&gt;(A3stdlife+$E111),('PTRM input'!$N$145*(1+rvanilla08)^0.5)-SUM($N111:BF111),('PTRM input'!$N$145*(1+rvanilla08)^0.5)/A3stdlife))</f>
        <v>0</v>
      </c>
      <c r="BH111" s="107">
        <f>IF(A3stdlife="n/a","n/a",IF(BH$3&gt;(A3stdlife+$E111),('PTRM input'!$N$145*(1+rvanilla08)^0.5)-SUM($N111:BG111),('PTRM input'!$N$145*(1+rvanilla08)^0.5)/A3stdlife))</f>
        <v>0</v>
      </c>
      <c r="BI111" s="107">
        <f>IF(A3stdlife="n/a","n/a",IF(BI$3&gt;(A3stdlife+$E111),('PTRM input'!$N$145*(1+rvanilla08)^0.5)-SUM($N111:BH111),('PTRM input'!$N$145*(1+rvanilla08)^0.5)/A3stdlife))</f>
        <v>0</v>
      </c>
      <c r="BJ111" s="237"/>
      <c r="BK111" s="237"/>
      <c r="BL111" s="237"/>
      <c r="BM111" s="237"/>
    </row>
    <row r="112" spans="1:65" s="190" customFormat="1" hidden="1" outlineLevel="2">
      <c r="A112" s="237"/>
      <c r="B112" s="33"/>
      <c r="C112" s="32"/>
      <c r="D112" s="1618"/>
      <c r="E112" s="169">
        <v>9</v>
      </c>
      <c r="F112" s="35"/>
      <c r="G112" s="184"/>
      <c r="H112" s="186"/>
      <c r="I112" s="186"/>
      <c r="J112" s="186"/>
      <c r="K112" s="186"/>
      <c r="L112" s="186"/>
      <c r="M112" s="186"/>
      <c r="N112" s="186"/>
      <c r="O112" s="185"/>
      <c r="P112" s="107">
        <f>IF(A3stdlife="n/a","n/a",IF(P$3&gt;(A3stdlife+$E112),('PTRM input'!$O$145*(1+rvanilla09)^0.5)-SUM($O112:O112),('PTRM input'!$O$145*(1+rvanilla09)^0.5)/A3stdlife))</f>
        <v>0</v>
      </c>
      <c r="Q112" s="107">
        <f>IF(A3stdlife="n/a","n/a",IF(Q$3&gt;(A3stdlife+$E112),('PTRM input'!$O$145*(1+rvanilla09)^0.5)-SUM($O112:P112),('PTRM input'!$O$145*(1+rvanilla09)^0.5)/A3stdlife))</f>
        <v>0</v>
      </c>
      <c r="R112" s="107">
        <f>IF(A3stdlife="n/a","n/a",IF(R$3&gt;(A3stdlife+$E112),('PTRM input'!$O$145*(1+rvanilla09)^0.5)-SUM($O112:Q112),('PTRM input'!$O$145*(1+rvanilla09)^0.5)/A3stdlife))</f>
        <v>0</v>
      </c>
      <c r="S112" s="107">
        <f>IF(A3stdlife="n/a","n/a",IF(S$3&gt;(A3stdlife+$E112),('PTRM input'!$O$145*(1+rvanilla09)^0.5)-SUM($O112:R112),('PTRM input'!$O$145*(1+rvanilla09)^0.5)/A3stdlife))</f>
        <v>0</v>
      </c>
      <c r="T112" s="107">
        <f>IF(A3stdlife="n/a","n/a",IF(T$3&gt;(A3stdlife+$E112),('PTRM input'!$O$145*(1+rvanilla09)^0.5)-SUM($O112:S112),('PTRM input'!$O$145*(1+rvanilla09)^0.5)/A3stdlife))</f>
        <v>0</v>
      </c>
      <c r="U112" s="107">
        <f>IF(A3stdlife="n/a","n/a",IF(U$3&gt;(A3stdlife+$E112),('PTRM input'!$O$145*(1+rvanilla09)^0.5)-SUM($O112:T112),('PTRM input'!$O$145*(1+rvanilla09)^0.5)/A3stdlife))</f>
        <v>0</v>
      </c>
      <c r="V112" s="107">
        <f>IF(A3stdlife="n/a","n/a",IF(V$3&gt;(A3stdlife+$E112),('PTRM input'!$O$145*(1+rvanilla09)^0.5)-SUM($O112:U112),('PTRM input'!$O$145*(1+rvanilla09)^0.5)/A3stdlife))</f>
        <v>0</v>
      </c>
      <c r="W112" s="107">
        <f>IF(A3stdlife="n/a","n/a",IF(W$3&gt;(A3stdlife+$E112),('PTRM input'!$O$145*(1+rvanilla09)^0.5)-SUM($O112:V112),('PTRM input'!$O$145*(1+rvanilla09)^0.5)/A3stdlife))</f>
        <v>0</v>
      </c>
      <c r="X112" s="107">
        <f>IF(A3stdlife="n/a","n/a",IF(X$3&gt;(A3stdlife+$E112),('PTRM input'!$O$145*(1+rvanilla09)^0.5)-SUM($O112:W112),('PTRM input'!$O$145*(1+rvanilla09)^0.5)/A3stdlife))</f>
        <v>0</v>
      </c>
      <c r="Y112" s="107">
        <f>IF(A3stdlife="n/a","n/a",IF(Y$3&gt;(A3stdlife+$E112),('PTRM input'!$O$145*(1+rvanilla09)^0.5)-SUM($O112:X112),('PTRM input'!$O$145*(1+rvanilla09)^0.5)/A3stdlife))</f>
        <v>0</v>
      </c>
      <c r="Z112" s="107">
        <f>IF(A3stdlife="n/a","n/a",IF(Z$3&gt;(A3stdlife+$E112),('PTRM input'!$O$145*(1+rvanilla09)^0.5)-SUM($O112:Y112),('PTRM input'!$O$145*(1+rvanilla09)^0.5)/A3stdlife))</f>
        <v>0</v>
      </c>
      <c r="AA112" s="107">
        <f>IF(A3stdlife="n/a","n/a",IF(AA$3&gt;(A3stdlife+$E112),('PTRM input'!$O$145*(1+rvanilla09)^0.5)-SUM($O112:Z112),('PTRM input'!$O$145*(1+rvanilla09)^0.5)/A3stdlife))</f>
        <v>0</v>
      </c>
      <c r="AB112" s="107">
        <f>IF(A3stdlife="n/a","n/a",IF(AB$3&gt;(A3stdlife+$E112),('PTRM input'!$O$145*(1+rvanilla09)^0.5)-SUM($O112:AA112),('PTRM input'!$O$145*(1+rvanilla09)^0.5)/A3stdlife))</f>
        <v>0</v>
      </c>
      <c r="AC112" s="107">
        <f>IF(A3stdlife="n/a","n/a",IF(AC$3&gt;(A3stdlife+$E112),('PTRM input'!$O$145*(1+rvanilla09)^0.5)-SUM($O112:AB112),('PTRM input'!$O$145*(1+rvanilla09)^0.5)/A3stdlife))</f>
        <v>0</v>
      </c>
      <c r="AD112" s="107">
        <f>IF(A3stdlife="n/a","n/a",IF(AD$3&gt;(A3stdlife+$E112),('PTRM input'!$O$145*(1+rvanilla09)^0.5)-SUM($O112:AC112),('PTRM input'!$O$145*(1+rvanilla09)^0.5)/A3stdlife))</f>
        <v>0</v>
      </c>
      <c r="AE112" s="107">
        <f>IF(A3stdlife="n/a","n/a",IF(AE$3&gt;(A3stdlife+$E112),('PTRM input'!$O$145*(1+rvanilla09)^0.5)-SUM($O112:AD112),('PTRM input'!$O$145*(1+rvanilla09)^0.5)/A3stdlife))</f>
        <v>0</v>
      </c>
      <c r="AF112" s="107">
        <f>IF(A3stdlife="n/a","n/a",IF(AF$3&gt;(A3stdlife+$E112),('PTRM input'!$O$145*(1+rvanilla09)^0.5)-SUM($O112:AE112),('PTRM input'!$O$145*(1+rvanilla09)^0.5)/A3stdlife))</f>
        <v>0</v>
      </c>
      <c r="AG112" s="107">
        <f>IF(A3stdlife="n/a","n/a",IF(AG$3&gt;(A3stdlife+$E112),('PTRM input'!$O$145*(1+rvanilla09)^0.5)-SUM($O112:AF112),('PTRM input'!$O$145*(1+rvanilla09)^0.5)/A3stdlife))</f>
        <v>0</v>
      </c>
      <c r="AH112" s="107">
        <f>IF(A3stdlife="n/a","n/a",IF(AH$3&gt;(A3stdlife+$E112),('PTRM input'!$O$145*(1+rvanilla09)^0.5)-SUM($O112:AG112),('PTRM input'!$O$145*(1+rvanilla09)^0.5)/A3stdlife))</f>
        <v>0</v>
      </c>
      <c r="AI112" s="107">
        <f>IF(A3stdlife="n/a","n/a",IF(AI$3&gt;(A3stdlife+$E112),('PTRM input'!$O$145*(1+rvanilla09)^0.5)-SUM($O112:AH112),('PTRM input'!$O$145*(1+rvanilla09)^0.5)/A3stdlife))</f>
        <v>0</v>
      </c>
      <c r="AJ112" s="107">
        <f>IF(A3stdlife="n/a","n/a",IF(AJ$3&gt;(A3stdlife+$E112),('PTRM input'!$O$145*(1+rvanilla09)^0.5)-SUM($O112:AI112),('PTRM input'!$O$145*(1+rvanilla09)^0.5)/A3stdlife))</f>
        <v>0</v>
      </c>
      <c r="AK112" s="107">
        <f>IF(A3stdlife="n/a","n/a",IF(AK$3&gt;(A3stdlife+$E112),('PTRM input'!$O$145*(1+rvanilla09)^0.5)-SUM($O112:AJ112),('PTRM input'!$O$145*(1+rvanilla09)^0.5)/A3stdlife))</f>
        <v>0</v>
      </c>
      <c r="AL112" s="107">
        <f>IF(A3stdlife="n/a","n/a",IF(AL$3&gt;(A3stdlife+$E112),('PTRM input'!$O$145*(1+rvanilla09)^0.5)-SUM($O112:AK112),('PTRM input'!$O$145*(1+rvanilla09)^0.5)/A3stdlife))</f>
        <v>0</v>
      </c>
      <c r="AM112" s="107">
        <f>IF(A3stdlife="n/a","n/a",IF(AM$3&gt;(A3stdlife+$E112),('PTRM input'!$O$145*(1+rvanilla09)^0.5)-SUM($O112:AL112),('PTRM input'!$O$145*(1+rvanilla09)^0.5)/A3stdlife))</f>
        <v>0</v>
      </c>
      <c r="AN112" s="107">
        <f>IF(A3stdlife="n/a","n/a",IF(AN$3&gt;(A3stdlife+$E112),('PTRM input'!$O$145*(1+rvanilla09)^0.5)-SUM($O112:AM112),('PTRM input'!$O$145*(1+rvanilla09)^0.5)/A3stdlife))</f>
        <v>0</v>
      </c>
      <c r="AO112" s="107">
        <f>IF(A3stdlife="n/a","n/a",IF(AO$3&gt;(A3stdlife+$E112),('PTRM input'!$O$145*(1+rvanilla09)^0.5)-SUM($O112:AN112),('PTRM input'!$O$145*(1+rvanilla09)^0.5)/A3stdlife))</f>
        <v>0</v>
      </c>
      <c r="AP112" s="107">
        <f>IF(A3stdlife="n/a","n/a",IF(AP$3&gt;(A3stdlife+$E112),('PTRM input'!$O$145*(1+rvanilla09)^0.5)-SUM($O112:AO112),('PTRM input'!$O$145*(1+rvanilla09)^0.5)/A3stdlife))</f>
        <v>0</v>
      </c>
      <c r="AQ112" s="107">
        <f>IF(A3stdlife="n/a","n/a",IF(AQ$3&gt;(A3stdlife+$E112),('PTRM input'!$O$145*(1+rvanilla09)^0.5)-SUM($O112:AP112),('PTRM input'!$O$145*(1+rvanilla09)^0.5)/A3stdlife))</f>
        <v>0</v>
      </c>
      <c r="AR112" s="107">
        <f>IF(A3stdlife="n/a","n/a",IF(AR$3&gt;(A3stdlife+$E112),('PTRM input'!$O$145*(1+rvanilla09)^0.5)-SUM($O112:AQ112),('PTRM input'!$O$145*(1+rvanilla09)^0.5)/A3stdlife))</f>
        <v>0</v>
      </c>
      <c r="AS112" s="107">
        <f>IF(A3stdlife="n/a","n/a",IF(AS$3&gt;(A3stdlife+$E112),('PTRM input'!$O$145*(1+rvanilla09)^0.5)-SUM($O112:AR112),('PTRM input'!$O$145*(1+rvanilla09)^0.5)/A3stdlife))</f>
        <v>0</v>
      </c>
      <c r="AT112" s="107">
        <f>IF(A3stdlife="n/a","n/a",IF(AT$3&gt;(A3stdlife+$E112),('PTRM input'!$O$145*(1+rvanilla09)^0.5)-SUM($O112:AS112),('PTRM input'!$O$145*(1+rvanilla09)^0.5)/A3stdlife))</f>
        <v>0</v>
      </c>
      <c r="AU112" s="107">
        <f>IF(A3stdlife="n/a","n/a",IF(AU$3&gt;(A3stdlife+$E112),('PTRM input'!$O$145*(1+rvanilla09)^0.5)-SUM($O112:AT112),('PTRM input'!$O$145*(1+rvanilla09)^0.5)/A3stdlife))</f>
        <v>0</v>
      </c>
      <c r="AV112" s="107">
        <f>IF(A3stdlife="n/a","n/a",IF(AV$3&gt;(A3stdlife+$E112),('PTRM input'!$O$145*(1+rvanilla09)^0.5)-SUM($O112:AU112),('PTRM input'!$O$145*(1+rvanilla09)^0.5)/A3stdlife))</f>
        <v>0</v>
      </c>
      <c r="AW112" s="107">
        <f>IF(A3stdlife="n/a","n/a",IF(AW$3&gt;(A3stdlife+$E112),('PTRM input'!$O$145*(1+rvanilla09)^0.5)-SUM($O112:AV112),('PTRM input'!$O$145*(1+rvanilla09)^0.5)/A3stdlife))</f>
        <v>0</v>
      </c>
      <c r="AX112" s="107">
        <f>IF(A3stdlife="n/a","n/a",IF(AX$3&gt;(A3stdlife+$E112),('PTRM input'!$O$145*(1+rvanilla09)^0.5)-SUM($O112:AW112),('PTRM input'!$O$145*(1+rvanilla09)^0.5)/A3stdlife))</f>
        <v>0</v>
      </c>
      <c r="AY112" s="107">
        <f>IF(A3stdlife="n/a","n/a",IF(AY$3&gt;(A3stdlife+$E112),('PTRM input'!$O$145*(1+rvanilla09)^0.5)-SUM($O112:AX112),('PTRM input'!$O$145*(1+rvanilla09)^0.5)/A3stdlife))</f>
        <v>0</v>
      </c>
      <c r="AZ112" s="107">
        <f>IF(A3stdlife="n/a","n/a",IF(AZ$3&gt;(A3stdlife+$E112),('PTRM input'!$O$145*(1+rvanilla09)^0.5)-SUM($O112:AY112),('PTRM input'!$O$145*(1+rvanilla09)^0.5)/A3stdlife))</f>
        <v>0</v>
      </c>
      <c r="BA112" s="107">
        <f>IF(A3stdlife="n/a","n/a",IF(BA$3&gt;(A3stdlife+$E112),('PTRM input'!$O$145*(1+rvanilla09)^0.5)-SUM($O112:AZ112),('PTRM input'!$O$145*(1+rvanilla09)^0.5)/A3stdlife))</f>
        <v>0</v>
      </c>
      <c r="BB112" s="107">
        <f>IF(A3stdlife="n/a","n/a",IF(BB$3&gt;(A3stdlife+$E112),('PTRM input'!$O$145*(1+rvanilla09)^0.5)-SUM($O112:BA112),('PTRM input'!$O$145*(1+rvanilla09)^0.5)/A3stdlife))</f>
        <v>0</v>
      </c>
      <c r="BC112" s="107">
        <f>IF(A3stdlife="n/a","n/a",IF(BC$3&gt;(A3stdlife+$E112),('PTRM input'!$O$145*(1+rvanilla09)^0.5)-SUM($O112:BB112),('PTRM input'!$O$145*(1+rvanilla09)^0.5)/A3stdlife))</f>
        <v>0</v>
      </c>
      <c r="BD112" s="107">
        <f>IF(A3stdlife="n/a","n/a",IF(BD$3&gt;(A3stdlife+$E112),('PTRM input'!$O$145*(1+rvanilla09)^0.5)-SUM($O112:BC112),('PTRM input'!$O$145*(1+rvanilla09)^0.5)/A3stdlife))</f>
        <v>0</v>
      </c>
      <c r="BE112" s="107">
        <f>IF(A3stdlife="n/a","n/a",IF(BE$3&gt;(A3stdlife+$E112),('PTRM input'!$O$145*(1+rvanilla09)^0.5)-SUM($O112:BD112),('PTRM input'!$O$145*(1+rvanilla09)^0.5)/A3stdlife))</f>
        <v>0</v>
      </c>
      <c r="BF112" s="107">
        <f>IF(A3stdlife="n/a","n/a",IF(BF$3&gt;(A3stdlife+$E112),('PTRM input'!$O$145*(1+rvanilla09)^0.5)-SUM($O112:BE112),('PTRM input'!$O$145*(1+rvanilla09)^0.5)/A3stdlife))</f>
        <v>0</v>
      </c>
      <c r="BG112" s="107">
        <f>IF(A3stdlife="n/a","n/a",IF(BG$3&gt;(A3stdlife+$E112),('PTRM input'!$O$145*(1+rvanilla09)^0.5)-SUM($O112:BF112),('PTRM input'!$O$145*(1+rvanilla09)^0.5)/A3stdlife))</f>
        <v>0</v>
      </c>
      <c r="BH112" s="107">
        <f>IF(A3stdlife="n/a","n/a",IF(BH$3&gt;(A3stdlife+$E112),('PTRM input'!$O$145*(1+rvanilla09)^0.5)-SUM($O112:BG112),('PTRM input'!$O$145*(1+rvanilla09)^0.5)/A3stdlife))</f>
        <v>0</v>
      </c>
      <c r="BI112" s="107">
        <f>IF(A3stdlife="n/a","n/a",IF(BI$3&gt;(A3stdlife+$E112),('PTRM input'!$O$145*(1+rvanilla09)^0.5)-SUM($O112:BH112),('PTRM input'!$O$145*(1+rvanilla09)^0.5)/A3stdlife))</f>
        <v>0</v>
      </c>
      <c r="BJ112" s="237"/>
      <c r="BK112" s="237"/>
      <c r="BL112" s="237"/>
      <c r="BM112" s="237"/>
    </row>
    <row r="113" spans="1:65" s="190" customFormat="1" hidden="1" outlineLevel="2">
      <c r="A113" s="237"/>
      <c r="B113" s="33"/>
      <c r="C113" s="32"/>
      <c r="D113" s="1618"/>
      <c r="E113" s="170">
        <v>10</v>
      </c>
      <c r="F113" s="35"/>
      <c r="G113" s="184"/>
      <c r="H113" s="186"/>
      <c r="I113" s="186"/>
      <c r="J113" s="186"/>
      <c r="K113" s="186"/>
      <c r="L113" s="186"/>
      <c r="M113" s="186"/>
      <c r="N113" s="186"/>
      <c r="O113" s="186"/>
      <c r="P113" s="185"/>
      <c r="Q113" s="107">
        <f>IF(A3stdlife="n/a","n/a",IF(Q$3&gt;(A3stdlife+$E113),('PTRM input'!$P$145*(1+rvanilla10)^0.5)-SUM($P113:P113),('PTRM input'!$P$145*(1+rvanilla10)^0.5)/A3stdlife))</f>
        <v>0</v>
      </c>
      <c r="R113" s="107">
        <f>IF(A3stdlife="n/a","n/a",IF(R$3&gt;(A3stdlife+$E113),('PTRM input'!$P$145*(1+rvanilla10)^0.5)-SUM($P113:Q113),('PTRM input'!$P$145*(1+rvanilla10)^0.5)/A3stdlife))</f>
        <v>0</v>
      </c>
      <c r="S113" s="107">
        <f>IF(A3stdlife="n/a","n/a",IF(S$3&gt;(A3stdlife+$E113),('PTRM input'!$P$145*(1+rvanilla10)^0.5)-SUM($P113:R113),('PTRM input'!$P$145*(1+rvanilla10)^0.5)/A3stdlife))</f>
        <v>0</v>
      </c>
      <c r="T113" s="107">
        <f>IF(A3stdlife="n/a","n/a",IF(T$3&gt;(A3stdlife+$E113),('PTRM input'!$P$145*(1+rvanilla10)^0.5)-SUM($P113:S113),('PTRM input'!$P$145*(1+rvanilla10)^0.5)/A3stdlife))</f>
        <v>0</v>
      </c>
      <c r="U113" s="107">
        <f>IF(A3stdlife="n/a","n/a",IF(U$3&gt;(A3stdlife+$E113),('PTRM input'!$P$145*(1+rvanilla10)^0.5)-SUM($P113:T113),('PTRM input'!$P$145*(1+rvanilla10)^0.5)/A3stdlife))</f>
        <v>0</v>
      </c>
      <c r="V113" s="107">
        <f>IF(A3stdlife="n/a","n/a",IF(V$3&gt;(A3stdlife+$E113),('PTRM input'!$P$145*(1+rvanilla10)^0.5)-SUM($P113:U113),('PTRM input'!$P$145*(1+rvanilla10)^0.5)/A3stdlife))</f>
        <v>0</v>
      </c>
      <c r="W113" s="107">
        <f>IF(A3stdlife="n/a","n/a",IF(W$3&gt;(A3stdlife+$E113),('PTRM input'!$P$145*(1+rvanilla10)^0.5)-SUM($P113:V113),('PTRM input'!$P$145*(1+rvanilla10)^0.5)/A3stdlife))</f>
        <v>0</v>
      </c>
      <c r="X113" s="107">
        <f>IF(A3stdlife="n/a","n/a",IF(X$3&gt;(A3stdlife+$E113),('PTRM input'!$P$145*(1+rvanilla10)^0.5)-SUM($P113:W113),('PTRM input'!$P$145*(1+rvanilla10)^0.5)/A3stdlife))</f>
        <v>0</v>
      </c>
      <c r="Y113" s="107">
        <f>IF(A3stdlife="n/a","n/a",IF(Y$3&gt;(A3stdlife+$E113),('PTRM input'!$P$145*(1+rvanilla10)^0.5)-SUM($P113:X113),('PTRM input'!$P$145*(1+rvanilla10)^0.5)/A3stdlife))</f>
        <v>0</v>
      </c>
      <c r="Z113" s="107">
        <f>IF(A3stdlife="n/a","n/a",IF(Z$3&gt;(A3stdlife+$E113),('PTRM input'!$P$145*(1+rvanilla10)^0.5)-SUM($P113:Y113),('PTRM input'!$P$145*(1+rvanilla10)^0.5)/A3stdlife))</f>
        <v>0</v>
      </c>
      <c r="AA113" s="107">
        <f>IF(A3stdlife="n/a","n/a",IF(AA$3&gt;(A3stdlife+$E113),('PTRM input'!$P$145*(1+rvanilla10)^0.5)-SUM($P113:Z113),('PTRM input'!$P$145*(1+rvanilla10)^0.5)/A3stdlife))</f>
        <v>0</v>
      </c>
      <c r="AB113" s="107">
        <f>IF(A3stdlife="n/a","n/a",IF(AB$3&gt;(A3stdlife+$E113),('PTRM input'!$P$145*(1+rvanilla10)^0.5)-SUM($P113:AA113),('PTRM input'!$P$145*(1+rvanilla10)^0.5)/A3stdlife))</f>
        <v>0</v>
      </c>
      <c r="AC113" s="107">
        <f>IF(A3stdlife="n/a","n/a",IF(AC$3&gt;(A3stdlife+$E113),('PTRM input'!$P$145*(1+rvanilla10)^0.5)-SUM($P113:AB113),('PTRM input'!$P$145*(1+rvanilla10)^0.5)/A3stdlife))</f>
        <v>0</v>
      </c>
      <c r="AD113" s="107">
        <f>IF(A3stdlife="n/a","n/a",IF(AD$3&gt;(A3stdlife+$E113),('PTRM input'!$P$145*(1+rvanilla10)^0.5)-SUM($P113:AC113),('PTRM input'!$P$145*(1+rvanilla10)^0.5)/A3stdlife))</f>
        <v>0</v>
      </c>
      <c r="AE113" s="107">
        <f>IF(A3stdlife="n/a","n/a",IF(AE$3&gt;(A3stdlife+$E113),('PTRM input'!$P$145*(1+rvanilla10)^0.5)-SUM($P113:AD113),('PTRM input'!$P$145*(1+rvanilla10)^0.5)/A3stdlife))</f>
        <v>0</v>
      </c>
      <c r="AF113" s="107">
        <f>IF(A3stdlife="n/a","n/a",IF(AF$3&gt;(A3stdlife+$E113),('PTRM input'!$P$145*(1+rvanilla10)^0.5)-SUM($P113:AE113),('PTRM input'!$P$145*(1+rvanilla10)^0.5)/A3stdlife))</f>
        <v>0</v>
      </c>
      <c r="AG113" s="107">
        <f>IF(A3stdlife="n/a","n/a",IF(AG$3&gt;(A3stdlife+$E113),('PTRM input'!$P$145*(1+rvanilla10)^0.5)-SUM($P113:AF113),('PTRM input'!$P$145*(1+rvanilla10)^0.5)/A3stdlife))</f>
        <v>0</v>
      </c>
      <c r="AH113" s="107">
        <f>IF(A3stdlife="n/a","n/a",IF(AH$3&gt;(A3stdlife+$E113),('PTRM input'!$P$145*(1+rvanilla10)^0.5)-SUM($P113:AG113),('PTRM input'!$P$145*(1+rvanilla10)^0.5)/A3stdlife))</f>
        <v>0</v>
      </c>
      <c r="AI113" s="107">
        <f>IF(A3stdlife="n/a","n/a",IF(AI$3&gt;(A3stdlife+$E113),('PTRM input'!$P$145*(1+rvanilla10)^0.5)-SUM($P113:AH113),('PTRM input'!$P$145*(1+rvanilla10)^0.5)/A3stdlife))</f>
        <v>0</v>
      </c>
      <c r="AJ113" s="107">
        <f>IF(A3stdlife="n/a","n/a",IF(AJ$3&gt;(A3stdlife+$E113),('PTRM input'!$P$145*(1+rvanilla10)^0.5)-SUM($P113:AI113),('PTRM input'!$P$145*(1+rvanilla10)^0.5)/A3stdlife))</f>
        <v>0</v>
      </c>
      <c r="AK113" s="107">
        <f>IF(A3stdlife="n/a","n/a",IF(AK$3&gt;(A3stdlife+$E113),('PTRM input'!$P$145*(1+rvanilla10)^0.5)-SUM($P113:AJ113),('PTRM input'!$P$145*(1+rvanilla10)^0.5)/A3stdlife))</f>
        <v>0</v>
      </c>
      <c r="AL113" s="107">
        <f>IF(A3stdlife="n/a","n/a",IF(AL$3&gt;(A3stdlife+$E113),('PTRM input'!$P$145*(1+rvanilla10)^0.5)-SUM($P113:AK113),('PTRM input'!$P$145*(1+rvanilla10)^0.5)/A3stdlife))</f>
        <v>0</v>
      </c>
      <c r="AM113" s="107">
        <f>IF(A3stdlife="n/a","n/a",IF(AM$3&gt;(A3stdlife+$E113),('PTRM input'!$P$145*(1+rvanilla10)^0.5)-SUM($P113:AL113),('PTRM input'!$P$145*(1+rvanilla10)^0.5)/A3stdlife))</f>
        <v>0</v>
      </c>
      <c r="AN113" s="107">
        <f>IF(A3stdlife="n/a","n/a",IF(AN$3&gt;(A3stdlife+$E113),('PTRM input'!$P$145*(1+rvanilla10)^0.5)-SUM($P113:AM113),('PTRM input'!$P$145*(1+rvanilla10)^0.5)/A3stdlife))</f>
        <v>0</v>
      </c>
      <c r="AO113" s="107">
        <f>IF(A3stdlife="n/a","n/a",IF(AO$3&gt;(A3stdlife+$E113),('PTRM input'!$P$145*(1+rvanilla10)^0.5)-SUM($P113:AN113),('PTRM input'!$P$145*(1+rvanilla10)^0.5)/A3stdlife))</f>
        <v>0</v>
      </c>
      <c r="AP113" s="107">
        <f>IF(A3stdlife="n/a","n/a",IF(AP$3&gt;(A3stdlife+$E113),('PTRM input'!$P$145*(1+rvanilla10)^0.5)-SUM($P113:AO113),('PTRM input'!$P$145*(1+rvanilla10)^0.5)/A3stdlife))</f>
        <v>0</v>
      </c>
      <c r="AQ113" s="107">
        <f>IF(A3stdlife="n/a","n/a",IF(AQ$3&gt;(A3stdlife+$E113),('PTRM input'!$P$145*(1+rvanilla10)^0.5)-SUM($P113:AP113),('PTRM input'!$P$145*(1+rvanilla10)^0.5)/A3stdlife))</f>
        <v>0</v>
      </c>
      <c r="AR113" s="107">
        <f>IF(A3stdlife="n/a","n/a",IF(AR$3&gt;(A3stdlife+$E113),('PTRM input'!$P$145*(1+rvanilla10)^0.5)-SUM($P113:AQ113),('PTRM input'!$P$145*(1+rvanilla10)^0.5)/A3stdlife))</f>
        <v>0</v>
      </c>
      <c r="AS113" s="107">
        <f>IF(A3stdlife="n/a","n/a",IF(AS$3&gt;(A3stdlife+$E113),('PTRM input'!$P$145*(1+rvanilla10)^0.5)-SUM($P113:AR113),('PTRM input'!$P$145*(1+rvanilla10)^0.5)/A3stdlife))</f>
        <v>0</v>
      </c>
      <c r="AT113" s="107">
        <f>IF(A3stdlife="n/a","n/a",IF(AT$3&gt;(A3stdlife+$E113),('PTRM input'!$P$145*(1+rvanilla10)^0.5)-SUM($P113:AS113),('PTRM input'!$P$145*(1+rvanilla10)^0.5)/A3stdlife))</f>
        <v>0</v>
      </c>
      <c r="AU113" s="107">
        <f>IF(A3stdlife="n/a","n/a",IF(AU$3&gt;(A3stdlife+$E113),('PTRM input'!$P$145*(1+rvanilla10)^0.5)-SUM($P113:AT113),('PTRM input'!$P$145*(1+rvanilla10)^0.5)/A3stdlife))</f>
        <v>0</v>
      </c>
      <c r="AV113" s="107">
        <f>IF(A3stdlife="n/a","n/a",IF(AV$3&gt;(A3stdlife+$E113),('PTRM input'!$P$145*(1+rvanilla10)^0.5)-SUM($P113:AU113),('PTRM input'!$P$145*(1+rvanilla10)^0.5)/A3stdlife))</f>
        <v>0</v>
      </c>
      <c r="AW113" s="107">
        <f>IF(A3stdlife="n/a","n/a",IF(AW$3&gt;(A3stdlife+$E113),('PTRM input'!$P$145*(1+rvanilla10)^0.5)-SUM($P113:AV113),('PTRM input'!$P$145*(1+rvanilla10)^0.5)/A3stdlife))</f>
        <v>0</v>
      </c>
      <c r="AX113" s="107">
        <f>IF(A3stdlife="n/a","n/a",IF(AX$3&gt;(A3stdlife+$E113),('PTRM input'!$P$145*(1+rvanilla10)^0.5)-SUM($P113:AW113),('PTRM input'!$P$145*(1+rvanilla10)^0.5)/A3stdlife))</f>
        <v>0</v>
      </c>
      <c r="AY113" s="107">
        <f>IF(A3stdlife="n/a","n/a",IF(AY$3&gt;(A3stdlife+$E113),('PTRM input'!$P$145*(1+rvanilla10)^0.5)-SUM($P113:AX113),('PTRM input'!$P$145*(1+rvanilla10)^0.5)/A3stdlife))</f>
        <v>0</v>
      </c>
      <c r="AZ113" s="107">
        <f>IF(A3stdlife="n/a","n/a",IF(AZ$3&gt;(A3stdlife+$E113),('PTRM input'!$P$145*(1+rvanilla10)^0.5)-SUM($P113:AY113),('PTRM input'!$P$145*(1+rvanilla10)^0.5)/A3stdlife))</f>
        <v>0</v>
      </c>
      <c r="BA113" s="107">
        <f>IF(A3stdlife="n/a","n/a",IF(BA$3&gt;(A3stdlife+$E113),('PTRM input'!$P$145*(1+rvanilla10)^0.5)-SUM($P113:AZ113),('PTRM input'!$P$145*(1+rvanilla10)^0.5)/A3stdlife))</f>
        <v>0</v>
      </c>
      <c r="BB113" s="107">
        <f>IF(A3stdlife="n/a","n/a",IF(BB$3&gt;(A3stdlife+$E113),('PTRM input'!$P$145*(1+rvanilla10)^0.5)-SUM($P113:BA113),('PTRM input'!$P$145*(1+rvanilla10)^0.5)/A3stdlife))</f>
        <v>0</v>
      </c>
      <c r="BC113" s="107">
        <f>IF(A3stdlife="n/a","n/a",IF(BC$3&gt;(A3stdlife+$E113),('PTRM input'!$P$145*(1+rvanilla10)^0.5)-SUM($P113:BB113),('PTRM input'!$P$145*(1+rvanilla10)^0.5)/A3stdlife))</f>
        <v>0</v>
      </c>
      <c r="BD113" s="107">
        <f>IF(A3stdlife="n/a","n/a",IF(BD$3&gt;(A3stdlife+$E113),('PTRM input'!$P$145*(1+rvanilla10)^0.5)-SUM($P113:BC113),('PTRM input'!$P$145*(1+rvanilla10)^0.5)/A3stdlife))</f>
        <v>0</v>
      </c>
      <c r="BE113" s="107">
        <f>IF(A3stdlife="n/a","n/a",IF(BE$3&gt;(A3stdlife+$E113),('PTRM input'!$P$145*(1+rvanilla10)^0.5)-SUM($P113:BD113),('PTRM input'!$P$145*(1+rvanilla10)^0.5)/A3stdlife))</f>
        <v>0</v>
      </c>
      <c r="BF113" s="107">
        <f>IF(A3stdlife="n/a","n/a",IF(BF$3&gt;(A3stdlife+$E113),('PTRM input'!$P$145*(1+rvanilla10)^0.5)-SUM($P113:BE113),('PTRM input'!$P$145*(1+rvanilla10)^0.5)/A3stdlife))</f>
        <v>0</v>
      </c>
      <c r="BG113" s="107">
        <f>IF(A3stdlife="n/a","n/a",IF(BG$3&gt;(A3stdlife+$E113),('PTRM input'!$P$145*(1+rvanilla10)^0.5)-SUM($P113:BF113),('PTRM input'!$P$145*(1+rvanilla10)^0.5)/A3stdlife))</f>
        <v>0</v>
      </c>
      <c r="BH113" s="107">
        <f>IF(A3stdlife="n/a","n/a",IF(BH$3&gt;(A3stdlife+$E113),('PTRM input'!$P$145*(1+rvanilla10)^0.5)-SUM($P113:BG113),('PTRM input'!$P$145*(1+rvanilla10)^0.5)/A3stdlife))</f>
        <v>0</v>
      </c>
      <c r="BI113" s="107">
        <f>IF(A3stdlife="n/a","n/a",IF(BI$3&gt;(A3stdlife+$E113),('PTRM input'!$P$145*(1+rvanilla10)^0.5)-SUM($P113:BH113),('PTRM input'!$P$145*(1+rvanilla10)^0.5)/A3stdlife))</f>
        <v>0</v>
      </c>
      <c r="BJ113" s="237"/>
      <c r="BK113" s="237"/>
      <c r="BL113" s="237"/>
      <c r="BM113" s="237"/>
    </row>
    <row r="114" spans="1:65" s="190" customFormat="1" hidden="1" outlineLevel="1">
      <c r="A114" s="237"/>
      <c r="B114" s="18"/>
      <c r="C114" s="33" t="str">
        <f>Asset3</f>
        <v>New Capex (Post 2010)</v>
      </c>
      <c r="D114" s="18"/>
      <c r="E114" s="18"/>
      <c r="F114" s="31"/>
      <c r="G114" s="104">
        <f>SUM(G102:G113)</f>
        <v>0</v>
      </c>
      <c r="H114" s="104">
        <f t="shared" ref="H114:BI114" si="42">SUM(H102:H113)</f>
        <v>8.8406674359146328E-2</v>
      </c>
      <c r="I114" s="104">
        <f t="shared" si="42"/>
        <v>0.18957672785639804</v>
      </c>
      <c r="J114" s="104">
        <f t="shared" si="42"/>
        <v>0.29097089113584007</v>
      </c>
      <c r="K114" s="104">
        <f t="shared" si="42"/>
        <v>0.37418603953440371</v>
      </c>
      <c r="L114" s="104">
        <f t="shared" si="42"/>
        <v>0.48214089538674892</v>
      </c>
      <c r="M114" s="104">
        <f t="shared" si="42"/>
        <v>0.48214089538674892</v>
      </c>
      <c r="N114" s="104">
        <f t="shared" si="42"/>
        <v>0.48214089538674892</v>
      </c>
      <c r="O114" s="104">
        <f t="shared" si="42"/>
        <v>0.48214089538674892</v>
      </c>
      <c r="P114" s="104">
        <f t="shared" si="42"/>
        <v>0.48214089538674892</v>
      </c>
      <c r="Q114" s="104">
        <f t="shared" si="42"/>
        <v>0.48214089538674892</v>
      </c>
      <c r="R114" s="104">
        <f t="shared" si="42"/>
        <v>0.48214089538674892</v>
      </c>
      <c r="S114" s="104">
        <f t="shared" si="42"/>
        <v>0.48214089538674892</v>
      </c>
      <c r="T114" s="104">
        <f t="shared" si="42"/>
        <v>0.48214089538674892</v>
      </c>
      <c r="U114" s="104">
        <f t="shared" si="42"/>
        <v>0.48214089538674892</v>
      </c>
      <c r="V114" s="104">
        <f t="shared" si="42"/>
        <v>0.48214089538674892</v>
      </c>
      <c r="W114" s="104">
        <f t="shared" si="42"/>
        <v>0.48214089538674892</v>
      </c>
      <c r="X114" s="104">
        <f t="shared" si="42"/>
        <v>0.48214089538674892</v>
      </c>
      <c r="Y114" s="104">
        <f t="shared" si="42"/>
        <v>0.48214089538674892</v>
      </c>
      <c r="Z114" s="104">
        <f t="shared" si="42"/>
        <v>0.48214089538674892</v>
      </c>
      <c r="AA114" s="104">
        <f t="shared" si="42"/>
        <v>0.48214089538674892</v>
      </c>
      <c r="AB114" s="104">
        <f t="shared" si="42"/>
        <v>0.48214089538674892</v>
      </c>
      <c r="AC114" s="104">
        <f t="shared" si="42"/>
        <v>0.48214089538674892</v>
      </c>
      <c r="AD114" s="104">
        <f t="shared" si="42"/>
        <v>0.48214089538674892</v>
      </c>
      <c r="AE114" s="104">
        <f t="shared" si="42"/>
        <v>0.48214089538674892</v>
      </c>
      <c r="AF114" s="104">
        <f t="shared" si="42"/>
        <v>0.48214089538674892</v>
      </c>
      <c r="AG114" s="104">
        <f t="shared" si="42"/>
        <v>0.48214089538674892</v>
      </c>
      <c r="AH114" s="104">
        <f t="shared" si="42"/>
        <v>0.48214089538674892</v>
      </c>
      <c r="AI114" s="104">
        <f t="shared" si="42"/>
        <v>0.48214089538674892</v>
      </c>
      <c r="AJ114" s="104">
        <f t="shared" si="42"/>
        <v>0.39373422102760347</v>
      </c>
      <c r="AK114" s="104">
        <f t="shared" si="42"/>
        <v>0.29256416753035086</v>
      </c>
      <c r="AL114" s="104">
        <f t="shared" si="42"/>
        <v>0.19117000425091019</v>
      </c>
      <c r="AM114" s="104">
        <f t="shared" si="42"/>
        <v>0.10795485585234478</v>
      </c>
      <c r="AN114" s="104">
        <f t="shared" si="42"/>
        <v>-1.7763568394002505E-15</v>
      </c>
      <c r="AO114" s="104">
        <f t="shared" si="42"/>
        <v>0</v>
      </c>
      <c r="AP114" s="104">
        <f t="shared" si="42"/>
        <v>0</v>
      </c>
      <c r="AQ114" s="104">
        <f t="shared" si="42"/>
        <v>0</v>
      </c>
      <c r="AR114" s="104">
        <f t="shared" si="42"/>
        <v>0</v>
      </c>
      <c r="AS114" s="104">
        <f t="shared" si="42"/>
        <v>0</v>
      </c>
      <c r="AT114" s="104">
        <f t="shared" si="42"/>
        <v>0</v>
      </c>
      <c r="AU114" s="104">
        <f t="shared" si="42"/>
        <v>0</v>
      </c>
      <c r="AV114" s="104">
        <f t="shared" si="42"/>
        <v>0</v>
      </c>
      <c r="AW114" s="104">
        <f t="shared" si="42"/>
        <v>0</v>
      </c>
      <c r="AX114" s="104">
        <f t="shared" si="42"/>
        <v>0</v>
      </c>
      <c r="AY114" s="104">
        <f t="shared" si="42"/>
        <v>0</v>
      </c>
      <c r="AZ114" s="104">
        <f t="shared" si="42"/>
        <v>0</v>
      </c>
      <c r="BA114" s="104">
        <f t="shared" si="42"/>
        <v>0</v>
      </c>
      <c r="BB114" s="104">
        <f t="shared" si="42"/>
        <v>0</v>
      </c>
      <c r="BC114" s="104">
        <f t="shared" si="42"/>
        <v>0</v>
      </c>
      <c r="BD114" s="104">
        <f t="shared" si="42"/>
        <v>0</v>
      </c>
      <c r="BE114" s="104">
        <f t="shared" si="42"/>
        <v>0</v>
      </c>
      <c r="BF114" s="104">
        <f t="shared" si="42"/>
        <v>0</v>
      </c>
      <c r="BG114" s="104">
        <f t="shared" si="42"/>
        <v>0</v>
      </c>
      <c r="BH114" s="104">
        <f t="shared" si="42"/>
        <v>0</v>
      </c>
      <c r="BI114" s="104">
        <f t="shared" si="42"/>
        <v>0</v>
      </c>
      <c r="BJ114" s="237"/>
      <c r="BK114" s="237"/>
      <c r="BL114" s="237"/>
      <c r="BM114" s="237"/>
    </row>
    <row r="115" spans="1:65" s="190" customFormat="1" ht="12.75" hidden="1" customHeight="1" outlineLevel="2">
      <c r="A115" s="237"/>
      <c r="B115" s="37">
        <f>C127</f>
        <v>0</v>
      </c>
      <c r="C115" s="38"/>
      <c r="D115" s="39" t="s">
        <v>58</v>
      </c>
      <c r="E115" s="38"/>
      <c r="F115" s="40"/>
      <c r="G115" s="106">
        <f>IF(G$3&gt;A4remlife,A4value-SUM($F115:F115),IF(A4remlife="N/A","n/a",A4value/A4remlife))</f>
        <v>0</v>
      </c>
      <c r="H115" s="106">
        <f>IF(H$3&gt;A4remlife,A4value-SUM($F115:G115),IF(A4remlife="N/A","n/a",A4value/A4remlife))</f>
        <v>0</v>
      </c>
      <c r="I115" s="106">
        <f>IF(I$3&gt;A4remlife,A4value-SUM($F115:H115),IF(A4remlife="N/A","n/a",A4value/A4remlife))</f>
        <v>0</v>
      </c>
      <c r="J115" s="106">
        <f>IF(J$3&gt;A4remlife,A4value-SUM($F115:I115),IF(A4remlife="N/A","n/a",A4value/A4remlife))</f>
        <v>0</v>
      </c>
      <c r="K115" s="106">
        <f>IF(K$3&gt;A4remlife,A4value-SUM($F115:J115),IF(A4remlife="N/A","n/a",A4value/A4remlife))</f>
        <v>0</v>
      </c>
      <c r="L115" s="106">
        <f>IF(L$3&gt;A4remlife,A4value-SUM($F115:K115),IF(A4remlife="N/A","n/a",A4value/A4remlife))</f>
        <v>0</v>
      </c>
      <c r="M115" s="106">
        <f>IF(M$3&gt;A4remlife,A4value-SUM($F115:L115),IF(A4remlife="N/A","n/a",A4value/A4remlife))</f>
        <v>0</v>
      </c>
      <c r="N115" s="106">
        <f>IF(N$3&gt;A4remlife,A4value-SUM($F115:M115),IF(A4remlife="N/A","n/a",A4value/A4remlife))</f>
        <v>0</v>
      </c>
      <c r="O115" s="106">
        <f>IF(O$3&gt;A4remlife,A4value-SUM($F115:N115),IF(A4remlife="N/A","n/a",A4value/A4remlife))</f>
        <v>0</v>
      </c>
      <c r="P115" s="106">
        <f>IF(P$3&gt;A4remlife,A4value-SUM($F115:O115),IF(A4remlife="N/A","n/a",A4value/A4remlife))</f>
        <v>0</v>
      </c>
      <c r="Q115" s="106">
        <f>IF(Q$3&gt;A4remlife,A4value-SUM($F115:P115),IF(A4remlife="N/A","n/a",A4value/A4remlife))</f>
        <v>0</v>
      </c>
      <c r="R115" s="106">
        <f>IF(R$3&gt;A4remlife,A4value-SUM($F115:Q115),IF(A4remlife="N/A","n/a",A4value/A4remlife))</f>
        <v>0</v>
      </c>
      <c r="S115" s="106">
        <f>IF(S$3&gt;A4remlife,A4value-SUM($F115:R115),IF(A4remlife="N/A","n/a",A4value/A4remlife))</f>
        <v>0</v>
      </c>
      <c r="T115" s="106">
        <f>IF(T$3&gt;A4remlife,A4value-SUM($F115:S115),IF(A4remlife="N/A","n/a",A4value/A4remlife))</f>
        <v>0</v>
      </c>
      <c r="U115" s="106">
        <f>IF(U$3&gt;A4remlife,A4value-SUM($F115:T115),IF(A4remlife="N/A","n/a",A4value/A4remlife))</f>
        <v>0</v>
      </c>
      <c r="V115" s="106">
        <f>IF(V$3&gt;A4remlife,A4value-SUM($F115:U115),IF(A4remlife="N/A","n/a",A4value/A4remlife))</f>
        <v>0</v>
      </c>
      <c r="W115" s="106">
        <f>IF(W$3&gt;A4remlife,A4value-SUM($F115:V115),IF(A4remlife="N/A","n/a",A4value/A4remlife))</f>
        <v>0</v>
      </c>
      <c r="X115" s="106">
        <f>IF(X$3&gt;A4remlife,A4value-SUM($F115:W115),IF(A4remlife="N/A","n/a",A4value/A4remlife))</f>
        <v>0</v>
      </c>
      <c r="Y115" s="106">
        <f>IF(Y$3&gt;A4remlife,A4value-SUM($F115:X115),IF(A4remlife="N/A","n/a",A4value/A4remlife))</f>
        <v>0</v>
      </c>
      <c r="Z115" s="106">
        <f>IF(Z$3&gt;A4remlife,A4value-SUM($F115:Y115),IF(A4remlife="N/A","n/a",A4value/A4remlife))</f>
        <v>0</v>
      </c>
      <c r="AA115" s="106">
        <f>IF(AA$3&gt;A4remlife,A4value-SUM($F115:Z115),IF(A4remlife="N/A","n/a",A4value/A4remlife))</f>
        <v>0</v>
      </c>
      <c r="AB115" s="106">
        <f>IF(AB$3&gt;A4remlife,A4value-SUM($F115:AA115),IF(A4remlife="N/A","n/a",A4value/A4remlife))</f>
        <v>0</v>
      </c>
      <c r="AC115" s="106">
        <f>IF(AC$3&gt;A4remlife,A4value-SUM($F115:AB115),IF(A4remlife="N/A","n/a",A4value/A4remlife))</f>
        <v>0</v>
      </c>
      <c r="AD115" s="106">
        <f>IF(AD$3&gt;A4remlife,A4value-SUM($F115:AC115),IF(A4remlife="N/A","n/a",A4value/A4remlife))</f>
        <v>0</v>
      </c>
      <c r="AE115" s="106">
        <f>IF(AE$3&gt;A4remlife,A4value-SUM($F115:AD115),IF(A4remlife="N/A","n/a",A4value/A4remlife))</f>
        <v>0</v>
      </c>
      <c r="AF115" s="106">
        <f>IF(AF$3&gt;A4remlife,A4value-SUM($F115:AE115),IF(A4remlife="N/A","n/a",A4value/A4remlife))</f>
        <v>0</v>
      </c>
      <c r="AG115" s="106">
        <f>IF(AG$3&gt;A4remlife,A4value-SUM($F115:AF115),IF(A4remlife="N/A","n/a",A4value/A4remlife))</f>
        <v>0</v>
      </c>
      <c r="AH115" s="106">
        <f>IF(AH$3&gt;A4remlife,A4value-SUM($F115:AG115),IF(A4remlife="N/A","n/a",A4value/A4remlife))</f>
        <v>0</v>
      </c>
      <c r="AI115" s="106">
        <f>IF(AI$3&gt;A4remlife,A4value-SUM($F115:AH115),IF(A4remlife="N/A","n/a",A4value/A4remlife))</f>
        <v>0</v>
      </c>
      <c r="AJ115" s="106">
        <f>IF(AJ$3&gt;A4remlife,A4value-SUM($F115:AI115),IF(A4remlife="N/A","n/a",A4value/A4remlife))</f>
        <v>0</v>
      </c>
      <c r="AK115" s="106">
        <f>IF(AK$3&gt;A4remlife,A4value-SUM($F115:AJ115),IF(A4remlife="N/A","n/a",A4value/A4remlife))</f>
        <v>0</v>
      </c>
      <c r="AL115" s="106">
        <f>IF(AL$3&gt;A4remlife,A4value-SUM($F115:AK115),IF(A4remlife="N/A","n/a",A4value/A4remlife))</f>
        <v>0</v>
      </c>
      <c r="AM115" s="106">
        <f>IF(AM$3&gt;A4remlife,A4value-SUM($F115:AL115),IF(A4remlife="N/A","n/a",A4value/A4remlife))</f>
        <v>0</v>
      </c>
      <c r="AN115" s="106">
        <f>IF(AN$3&gt;A4remlife,A4value-SUM($F115:AM115),IF(A4remlife="N/A","n/a",A4value/A4remlife))</f>
        <v>0</v>
      </c>
      <c r="AO115" s="106">
        <f>IF(AO$3&gt;A4remlife,A4value-SUM($F115:AN115),IF(A4remlife="N/A","n/a",A4value/A4remlife))</f>
        <v>0</v>
      </c>
      <c r="AP115" s="106">
        <f>IF(AP$3&gt;A4remlife,A4value-SUM($F115:AO115),IF(A4remlife="N/A","n/a",A4value/A4remlife))</f>
        <v>0</v>
      </c>
      <c r="AQ115" s="106">
        <f>IF(AQ$3&gt;A4remlife,A4value-SUM($F115:AP115),IF(A4remlife="N/A","n/a",A4value/A4remlife))</f>
        <v>0</v>
      </c>
      <c r="AR115" s="106">
        <f>IF(AR$3&gt;A4remlife,A4value-SUM($F115:AQ115),IF(A4remlife="N/A","n/a",A4value/A4remlife))</f>
        <v>0</v>
      </c>
      <c r="AS115" s="106">
        <f>IF(AS$3&gt;A4remlife,A4value-SUM($F115:AR115),IF(A4remlife="N/A","n/a",A4value/A4remlife))</f>
        <v>0</v>
      </c>
      <c r="AT115" s="106">
        <f>IF(AT$3&gt;A4remlife,A4value-SUM($F115:AS115),IF(A4remlife="N/A","n/a",A4value/A4remlife))</f>
        <v>0</v>
      </c>
      <c r="AU115" s="106">
        <f>IF(AU$3&gt;A4remlife,A4value-SUM($F115:AT115),IF(A4remlife="N/A","n/a",A4value/A4remlife))</f>
        <v>0</v>
      </c>
      <c r="AV115" s="106">
        <f>IF(AV$3&gt;A4remlife,A4value-SUM($F115:AU115),IF(A4remlife="N/A","n/a",A4value/A4remlife))</f>
        <v>0</v>
      </c>
      <c r="AW115" s="106">
        <f>IF(AW$3&gt;A4remlife,A4value-SUM($F115:AV115),IF(A4remlife="N/A","n/a",A4value/A4remlife))</f>
        <v>0</v>
      </c>
      <c r="AX115" s="106">
        <f>IF(AX$3&gt;A4remlife,A4value-SUM($F115:AW115),IF(A4remlife="N/A","n/a",A4value/A4remlife))</f>
        <v>0</v>
      </c>
      <c r="AY115" s="106">
        <f>IF(AY$3&gt;A4remlife,A4value-SUM($F115:AX115),IF(A4remlife="N/A","n/a",A4value/A4remlife))</f>
        <v>0</v>
      </c>
      <c r="AZ115" s="106">
        <f>IF(AZ$3&gt;A4remlife,A4value-SUM($F115:AY115),IF(A4remlife="N/A","n/a",A4value/A4remlife))</f>
        <v>0</v>
      </c>
      <c r="BA115" s="106">
        <f>IF(BA$3&gt;A4remlife,A4value-SUM($F115:AZ115),IF(A4remlife="N/A","n/a",A4value/A4remlife))</f>
        <v>0</v>
      </c>
      <c r="BB115" s="106">
        <f>IF(BB$3&gt;A4remlife,A4value-SUM($F115:BA115),IF(A4remlife="N/A","n/a",A4value/A4remlife))</f>
        <v>0</v>
      </c>
      <c r="BC115" s="106">
        <f>IF(BC$3&gt;A4remlife,A4value-SUM($F115:BB115),IF(A4remlife="N/A","n/a",A4value/A4remlife))</f>
        <v>0</v>
      </c>
      <c r="BD115" s="106">
        <f>IF(BD$3&gt;A4remlife,A4value-SUM($F115:BC115),IF(A4remlife="N/A","n/a",A4value/A4remlife))</f>
        <v>0</v>
      </c>
      <c r="BE115" s="106">
        <f>IF(BE$3&gt;A4remlife,A4value-SUM($F115:BD115),IF(A4remlife="N/A","n/a",A4value/A4remlife))</f>
        <v>0</v>
      </c>
      <c r="BF115" s="106">
        <f>IF(BF$3&gt;A4remlife,A4value-SUM($F115:BE115),IF(A4remlife="N/A","n/a",A4value/A4remlife))</f>
        <v>0</v>
      </c>
      <c r="BG115" s="106">
        <f>IF(BG$3&gt;A4remlife,A4value-SUM($F115:BF115),IF(A4remlife="N/A","n/a",A4value/A4remlife))</f>
        <v>0</v>
      </c>
      <c r="BH115" s="106">
        <f>IF(BH$3&gt;A4remlife,A4value-SUM($F115:BG115),IF(A4remlife="N/A","n/a",A4value/A4remlife))</f>
        <v>0</v>
      </c>
      <c r="BI115" s="106">
        <f>IF(BI$3&gt;A4remlife,A4value-SUM($F115:BH115),IF(A4remlife="N/A","n/a",A4value/A4remlife))</f>
        <v>0</v>
      </c>
      <c r="BJ115" s="237"/>
      <c r="BK115" s="237"/>
      <c r="BL115" s="237"/>
      <c r="BM115" s="237"/>
    </row>
    <row r="116" spans="1:65" s="190" customFormat="1" ht="12.75" hidden="1" customHeight="1" outlineLevel="2">
      <c r="A116" s="237"/>
      <c r="B116" s="33"/>
      <c r="C116" s="32"/>
      <c r="D116" s="1618" t="s">
        <v>357</v>
      </c>
      <c r="E116" s="169">
        <v>0</v>
      </c>
      <c r="F116" s="35"/>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237"/>
      <c r="BK116" s="237"/>
      <c r="BL116" s="237"/>
      <c r="BM116" s="237"/>
    </row>
    <row r="117" spans="1:65" s="190" customFormat="1" hidden="1" outlineLevel="2">
      <c r="A117" s="237"/>
      <c r="B117" s="33"/>
      <c r="C117" s="32"/>
      <c r="D117" s="1618"/>
      <c r="E117" s="169">
        <v>1</v>
      </c>
      <c r="F117" s="35"/>
      <c r="G117" s="183"/>
      <c r="H117" s="107">
        <f>IF(A4stdlife="n/a","n/a",IF(H$3&gt;(A4stdlife+$E117),('PTRM input'!$G$146*(1+rvanilla01)^0.5)-SUM($G117:G117),('PTRM input'!$G$146*(1+rvanilla01)^0.5)/A4stdlife))</f>
        <v>0</v>
      </c>
      <c r="I117" s="107">
        <f>IF(A4stdlife="n/a","n/a",IF(I$3&gt;(A4stdlife+$E117),('PTRM input'!$G$146*(1+rvanilla01)^0.5)-SUM($G117:H117),('PTRM input'!$G$146*(1+rvanilla01)^0.5)/A4stdlife))</f>
        <v>0</v>
      </c>
      <c r="J117" s="107">
        <f>IF(A4stdlife="n/a","n/a",IF(J$3&gt;(A4stdlife+$E117),('PTRM input'!$G$146*(1+rvanilla01)^0.5)-SUM($G117:I117),('PTRM input'!$G$146*(1+rvanilla01)^0.5)/A4stdlife))</f>
        <v>0</v>
      </c>
      <c r="K117" s="107">
        <f>IF(A4stdlife="n/a","n/a",IF(K$3&gt;(A4stdlife+$E117),('PTRM input'!$G$146*(1+rvanilla01)^0.5)-SUM($G117:J117),('PTRM input'!$G$146*(1+rvanilla01)^0.5)/A4stdlife))</f>
        <v>0</v>
      </c>
      <c r="L117" s="107">
        <f>IF(A4stdlife="n/a","n/a",IF(L$3&gt;(A4stdlife+$E117),('PTRM input'!$G$146*(1+rvanilla01)^0.5)-SUM($G117:K117),('PTRM input'!$G$146*(1+rvanilla01)^0.5)/A4stdlife))</f>
        <v>0</v>
      </c>
      <c r="M117" s="107">
        <f>IF(A4stdlife="n/a","n/a",IF(M$3&gt;(A4stdlife+$E117),('PTRM input'!$G$146*(1+rvanilla01)^0.5)-SUM($G117:L117),('PTRM input'!$G$146*(1+rvanilla01)^0.5)/A4stdlife))</f>
        <v>0</v>
      </c>
      <c r="N117" s="107">
        <f>IF(A4stdlife="n/a","n/a",IF(N$3&gt;(A4stdlife+$E117),('PTRM input'!$G$146*(1+rvanilla01)^0.5)-SUM($G117:M117),('PTRM input'!$G$146*(1+rvanilla01)^0.5)/A4stdlife))</f>
        <v>0</v>
      </c>
      <c r="O117" s="107">
        <f>IF(A4stdlife="n/a","n/a",IF(O$3&gt;(A4stdlife+$E117),('PTRM input'!$G$146*(1+rvanilla01)^0.5)-SUM($G117:N117),('PTRM input'!$G$146*(1+rvanilla01)^0.5)/A4stdlife))</f>
        <v>0</v>
      </c>
      <c r="P117" s="107">
        <f>IF(A4stdlife="n/a","n/a",IF(P$3&gt;(A4stdlife+$E117),('PTRM input'!$G$146*(1+rvanilla01)^0.5)-SUM($G117:O117),('PTRM input'!$G$146*(1+rvanilla01)^0.5)/A4stdlife))</f>
        <v>0</v>
      </c>
      <c r="Q117" s="107">
        <f>IF(A4stdlife="n/a","n/a",IF(Q$3&gt;(A4stdlife+$E117),('PTRM input'!$G$146*(1+rvanilla01)^0.5)-SUM($G117:P117),('PTRM input'!$G$146*(1+rvanilla01)^0.5)/A4stdlife))</f>
        <v>0</v>
      </c>
      <c r="R117" s="107">
        <f>IF(A4stdlife="n/a","n/a",IF(R$3&gt;(A4stdlife+$E117),('PTRM input'!$G$146*(1+rvanilla01)^0.5)-SUM($G117:Q117),('PTRM input'!$G$146*(1+rvanilla01)^0.5)/A4stdlife))</f>
        <v>0</v>
      </c>
      <c r="S117" s="107">
        <f>IF(A4stdlife="n/a","n/a",IF(S$3&gt;(A4stdlife+$E117),('PTRM input'!$G$146*(1+rvanilla01)^0.5)-SUM($G117:R117),('PTRM input'!$G$146*(1+rvanilla01)^0.5)/A4stdlife))</f>
        <v>0</v>
      </c>
      <c r="T117" s="107">
        <f>IF(A4stdlife="n/a","n/a",IF(T$3&gt;(A4stdlife+$E117),('PTRM input'!$G$146*(1+rvanilla01)^0.5)-SUM($G117:S117),('PTRM input'!$G$146*(1+rvanilla01)^0.5)/A4stdlife))</f>
        <v>0</v>
      </c>
      <c r="U117" s="107">
        <f>IF(A4stdlife="n/a","n/a",IF(U$3&gt;(A4stdlife+$E117),('PTRM input'!$G$146*(1+rvanilla01)^0.5)-SUM($G117:T117),('PTRM input'!$G$146*(1+rvanilla01)^0.5)/A4stdlife))</f>
        <v>0</v>
      </c>
      <c r="V117" s="107">
        <f>IF(A4stdlife="n/a","n/a",IF(V$3&gt;(A4stdlife+$E117),('PTRM input'!$G$146*(1+rvanilla01)^0.5)-SUM($G117:U117),('PTRM input'!$G$146*(1+rvanilla01)^0.5)/A4stdlife))</f>
        <v>0</v>
      </c>
      <c r="W117" s="107">
        <f>IF(A4stdlife="n/a","n/a",IF(W$3&gt;(A4stdlife+$E117),('PTRM input'!$G$146*(1+rvanilla01)^0.5)-SUM($G117:V117),('PTRM input'!$G$146*(1+rvanilla01)^0.5)/A4stdlife))</f>
        <v>0</v>
      </c>
      <c r="X117" s="107">
        <f>IF(A4stdlife="n/a","n/a",IF(X$3&gt;(A4stdlife+$E117),('PTRM input'!$G$146*(1+rvanilla01)^0.5)-SUM($G117:W117),('PTRM input'!$G$146*(1+rvanilla01)^0.5)/A4stdlife))</f>
        <v>0</v>
      </c>
      <c r="Y117" s="107">
        <f>IF(A4stdlife="n/a","n/a",IF(Y$3&gt;(A4stdlife+$E117),('PTRM input'!$G$146*(1+rvanilla01)^0.5)-SUM($G117:X117),('PTRM input'!$G$146*(1+rvanilla01)^0.5)/A4stdlife))</f>
        <v>0</v>
      </c>
      <c r="Z117" s="107">
        <f>IF(A4stdlife="n/a","n/a",IF(Z$3&gt;(A4stdlife+$E117),('PTRM input'!$G$146*(1+rvanilla01)^0.5)-SUM($G117:Y117),('PTRM input'!$G$146*(1+rvanilla01)^0.5)/A4stdlife))</f>
        <v>0</v>
      </c>
      <c r="AA117" s="107">
        <f>IF(A4stdlife="n/a","n/a",IF(AA$3&gt;(A4stdlife+$E117),('PTRM input'!$G$146*(1+rvanilla01)^0.5)-SUM($G117:Z117),('PTRM input'!$G$146*(1+rvanilla01)^0.5)/A4stdlife))</f>
        <v>0</v>
      </c>
      <c r="AB117" s="107">
        <f>IF(A4stdlife="n/a","n/a",IF(AB$3&gt;(A4stdlife+$E117),('PTRM input'!$G$146*(1+rvanilla01)^0.5)-SUM($G117:AA117),('PTRM input'!$G$146*(1+rvanilla01)^0.5)/A4stdlife))</f>
        <v>0</v>
      </c>
      <c r="AC117" s="107">
        <f>IF(A4stdlife="n/a","n/a",IF(AC$3&gt;(A4stdlife+$E117),('PTRM input'!$G$146*(1+rvanilla01)^0.5)-SUM($G117:AB117),('PTRM input'!$G$146*(1+rvanilla01)^0.5)/A4stdlife))</f>
        <v>0</v>
      </c>
      <c r="AD117" s="107">
        <f>IF(A4stdlife="n/a","n/a",IF(AD$3&gt;(A4stdlife+$E117),('PTRM input'!$G$146*(1+rvanilla01)^0.5)-SUM($G117:AC117),('PTRM input'!$G$146*(1+rvanilla01)^0.5)/A4stdlife))</f>
        <v>0</v>
      </c>
      <c r="AE117" s="107">
        <f>IF(A4stdlife="n/a","n/a",IF(AE$3&gt;(A4stdlife+$E117),('PTRM input'!$G$146*(1+rvanilla01)^0.5)-SUM($G117:AD117),('PTRM input'!$G$146*(1+rvanilla01)^0.5)/A4stdlife))</f>
        <v>0</v>
      </c>
      <c r="AF117" s="107">
        <f>IF(A4stdlife="n/a","n/a",IF(AF$3&gt;(A4stdlife+$E117),('PTRM input'!$G$146*(1+rvanilla01)^0.5)-SUM($G117:AE117),('PTRM input'!$G$146*(1+rvanilla01)^0.5)/A4stdlife))</f>
        <v>0</v>
      </c>
      <c r="AG117" s="107">
        <f>IF(A4stdlife="n/a","n/a",IF(AG$3&gt;(A4stdlife+$E117),('PTRM input'!$G$146*(1+rvanilla01)^0.5)-SUM($G117:AF117),('PTRM input'!$G$146*(1+rvanilla01)^0.5)/A4stdlife))</f>
        <v>0</v>
      </c>
      <c r="AH117" s="107">
        <f>IF(A4stdlife="n/a","n/a",IF(AH$3&gt;(A4stdlife+$E117),('PTRM input'!$G$146*(1+rvanilla01)^0.5)-SUM($G117:AG117),('PTRM input'!$G$146*(1+rvanilla01)^0.5)/A4stdlife))</f>
        <v>0</v>
      </c>
      <c r="AI117" s="107">
        <f>IF(A4stdlife="n/a","n/a",IF(AI$3&gt;(A4stdlife+$E117),('PTRM input'!$G$146*(1+rvanilla01)^0.5)-SUM($G117:AH117),('PTRM input'!$G$146*(1+rvanilla01)^0.5)/A4stdlife))</f>
        <v>0</v>
      </c>
      <c r="AJ117" s="107">
        <f>IF(A4stdlife="n/a","n/a",IF(AJ$3&gt;(A4stdlife+$E117),('PTRM input'!$G$146*(1+rvanilla01)^0.5)-SUM($G117:AI117),('PTRM input'!$G$146*(1+rvanilla01)^0.5)/A4stdlife))</f>
        <v>0</v>
      </c>
      <c r="AK117" s="107">
        <f>IF(A4stdlife="n/a","n/a",IF(AK$3&gt;(A4stdlife+$E117),('PTRM input'!$G$146*(1+rvanilla01)^0.5)-SUM($G117:AJ117),('PTRM input'!$G$146*(1+rvanilla01)^0.5)/A4stdlife))</f>
        <v>0</v>
      </c>
      <c r="AL117" s="107">
        <f>IF(A4stdlife="n/a","n/a",IF(AL$3&gt;(A4stdlife+$E117),('PTRM input'!$G$146*(1+rvanilla01)^0.5)-SUM($G117:AK117),('PTRM input'!$G$146*(1+rvanilla01)^0.5)/A4stdlife))</f>
        <v>0</v>
      </c>
      <c r="AM117" s="107">
        <f>IF(A4stdlife="n/a","n/a",IF(AM$3&gt;(A4stdlife+$E117),('PTRM input'!$G$146*(1+rvanilla01)^0.5)-SUM($G117:AL117),('PTRM input'!$G$146*(1+rvanilla01)^0.5)/A4stdlife))</f>
        <v>0</v>
      </c>
      <c r="AN117" s="107">
        <f>IF(A4stdlife="n/a","n/a",IF(AN$3&gt;(A4stdlife+$E117),('PTRM input'!$G$146*(1+rvanilla01)^0.5)-SUM($G117:AM117),('PTRM input'!$G$146*(1+rvanilla01)^0.5)/A4stdlife))</f>
        <v>0</v>
      </c>
      <c r="AO117" s="107">
        <f>IF(A4stdlife="n/a","n/a",IF(AO$3&gt;(A4stdlife+$E117),('PTRM input'!$G$146*(1+rvanilla01)^0.5)-SUM($G117:AN117),('PTRM input'!$G$146*(1+rvanilla01)^0.5)/A4stdlife))</f>
        <v>0</v>
      </c>
      <c r="AP117" s="107">
        <f>IF(A4stdlife="n/a","n/a",IF(AP$3&gt;(A4stdlife+$E117),('PTRM input'!$G$146*(1+rvanilla01)^0.5)-SUM($G117:AO117),('PTRM input'!$G$146*(1+rvanilla01)^0.5)/A4stdlife))</f>
        <v>0</v>
      </c>
      <c r="AQ117" s="107">
        <f>IF(A4stdlife="n/a","n/a",IF(AQ$3&gt;(A4stdlife+$E117),('PTRM input'!$G$146*(1+rvanilla01)^0.5)-SUM($G117:AP117),('PTRM input'!$G$146*(1+rvanilla01)^0.5)/A4stdlife))</f>
        <v>0</v>
      </c>
      <c r="AR117" s="107">
        <f>IF(A4stdlife="n/a","n/a",IF(AR$3&gt;(A4stdlife+$E117),('PTRM input'!$G$146*(1+rvanilla01)^0.5)-SUM($G117:AQ117),('PTRM input'!$G$146*(1+rvanilla01)^0.5)/A4stdlife))</f>
        <v>0</v>
      </c>
      <c r="AS117" s="107">
        <f>IF(A4stdlife="n/a","n/a",IF(AS$3&gt;(A4stdlife+$E117),('PTRM input'!$G$146*(1+rvanilla01)^0.5)-SUM($G117:AR117),('PTRM input'!$G$146*(1+rvanilla01)^0.5)/A4stdlife))</f>
        <v>0</v>
      </c>
      <c r="AT117" s="107">
        <f>IF(A4stdlife="n/a","n/a",IF(AT$3&gt;(A4stdlife+$E117),('PTRM input'!$G$146*(1+rvanilla01)^0.5)-SUM($G117:AS117),('PTRM input'!$G$146*(1+rvanilla01)^0.5)/A4stdlife))</f>
        <v>0</v>
      </c>
      <c r="AU117" s="107">
        <f>IF(A4stdlife="n/a","n/a",IF(AU$3&gt;(A4stdlife+$E117),('PTRM input'!$G$146*(1+rvanilla01)^0.5)-SUM($G117:AT117),('PTRM input'!$G$146*(1+rvanilla01)^0.5)/A4stdlife))</f>
        <v>0</v>
      </c>
      <c r="AV117" s="107">
        <f>IF(A4stdlife="n/a","n/a",IF(AV$3&gt;(A4stdlife+$E117),('PTRM input'!$G$146*(1+rvanilla01)^0.5)-SUM($G117:AU117),('PTRM input'!$G$146*(1+rvanilla01)^0.5)/A4stdlife))</f>
        <v>0</v>
      </c>
      <c r="AW117" s="107">
        <f>IF(A4stdlife="n/a","n/a",IF(AW$3&gt;(A4stdlife+$E117),('PTRM input'!$G$146*(1+rvanilla01)^0.5)-SUM($G117:AV117),('PTRM input'!$G$146*(1+rvanilla01)^0.5)/A4stdlife))</f>
        <v>0</v>
      </c>
      <c r="AX117" s="107">
        <f>IF(A4stdlife="n/a","n/a",IF(AX$3&gt;(A4stdlife+$E117),('PTRM input'!$G$146*(1+rvanilla01)^0.5)-SUM($G117:AW117),('PTRM input'!$G$146*(1+rvanilla01)^0.5)/A4stdlife))</f>
        <v>0</v>
      </c>
      <c r="AY117" s="107">
        <f>IF(A4stdlife="n/a","n/a",IF(AY$3&gt;(A4stdlife+$E117),('PTRM input'!$G$146*(1+rvanilla01)^0.5)-SUM($G117:AX117),('PTRM input'!$G$146*(1+rvanilla01)^0.5)/A4stdlife))</f>
        <v>0</v>
      </c>
      <c r="AZ117" s="107">
        <f>IF(A4stdlife="n/a","n/a",IF(AZ$3&gt;(A4stdlife+$E117),('PTRM input'!$G$146*(1+rvanilla01)^0.5)-SUM($G117:AY117),('PTRM input'!$G$146*(1+rvanilla01)^0.5)/A4stdlife))</f>
        <v>0</v>
      </c>
      <c r="BA117" s="107">
        <f>IF(A4stdlife="n/a","n/a",IF(BA$3&gt;(A4stdlife+$E117),('PTRM input'!$G$146*(1+rvanilla01)^0.5)-SUM($G117:AZ117),('PTRM input'!$G$146*(1+rvanilla01)^0.5)/A4stdlife))</f>
        <v>0</v>
      </c>
      <c r="BB117" s="107">
        <f>IF(A4stdlife="n/a","n/a",IF(BB$3&gt;(A4stdlife+$E117),('PTRM input'!$G$146*(1+rvanilla01)^0.5)-SUM($G117:BA117),('PTRM input'!$G$146*(1+rvanilla01)^0.5)/A4stdlife))</f>
        <v>0</v>
      </c>
      <c r="BC117" s="107">
        <f>IF(A4stdlife="n/a","n/a",IF(BC$3&gt;(A4stdlife+$E117),('PTRM input'!$G$146*(1+rvanilla01)^0.5)-SUM($G117:BB117),('PTRM input'!$G$146*(1+rvanilla01)^0.5)/A4stdlife))</f>
        <v>0</v>
      </c>
      <c r="BD117" s="107">
        <f>IF(A4stdlife="n/a","n/a",IF(BD$3&gt;(A4stdlife+$E117),('PTRM input'!$G$146*(1+rvanilla01)^0.5)-SUM($G117:BC117),('PTRM input'!$G$146*(1+rvanilla01)^0.5)/A4stdlife))</f>
        <v>0</v>
      </c>
      <c r="BE117" s="107">
        <f>IF(A4stdlife="n/a","n/a",IF(BE$3&gt;(A4stdlife+$E117),('PTRM input'!$G$146*(1+rvanilla01)^0.5)-SUM($G117:BD117),('PTRM input'!$G$146*(1+rvanilla01)^0.5)/A4stdlife))</f>
        <v>0</v>
      </c>
      <c r="BF117" s="107">
        <f>IF(A4stdlife="n/a","n/a",IF(BF$3&gt;(A4stdlife+$E117),('PTRM input'!$G$146*(1+rvanilla01)^0.5)-SUM($G117:BE117),('PTRM input'!$G$146*(1+rvanilla01)^0.5)/A4stdlife))</f>
        <v>0</v>
      </c>
      <c r="BG117" s="107">
        <f>IF(A4stdlife="n/a","n/a",IF(BG$3&gt;(A4stdlife+$E117),('PTRM input'!$G$146*(1+rvanilla01)^0.5)-SUM($G117:BF117),('PTRM input'!$G$146*(1+rvanilla01)^0.5)/A4stdlife))</f>
        <v>0</v>
      </c>
      <c r="BH117" s="107">
        <f>IF(A4stdlife="n/a","n/a",IF(BH$3&gt;(A4stdlife+$E117),('PTRM input'!$G$146*(1+rvanilla01)^0.5)-SUM($G117:BG117),('PTRM input'!$G$146*(1+rvanilla01)^0.5)/A4stdlife))</f>
        <v>0</v>
      </c>
      <c r="BI117" s="107">
        <f>IF(A4stdlife="n/a","n/a",IF(BI$3&gt;(A4stdlife+$E117),('PTRM input'!$G$146*(1+rvanilla01)^0.5)-SUM($G117:BH117),('PTRM input'!$G$146*(1+rvanilla01)^0.5)/A4stdlife))</f>
        <v>0</v>
      </c>
      <c r="BJ117" s="237"/>
      <c r="BK117" s="237"/>
      <c r="BL117" s="237"/>
      <c r="BM117" s="237"/>
    </row>
    <row r="118" spans="1:65" s="190" customFormat="1" hidden="1" outlineLevel="2">
      <c r="A118" s="237"/>
      <c r="B118" s="33"/>
      <c r="C118" s="32"/>
      <c r="D118" s="1618"/>
      <c r="E118" s="169">
        <v>2</v>
      </c>
      <c r="F118" s="35"/>
      <c r="G118" s="184"/>
      <c r="H118" s="185"/>
      <c r="I118" s="107">
        <f>IF(A4stdlife="n/a","n/a",IF(I$3&gt;(A4stdlife+$E118),('PTRM input'!$H$146*(1+rvanilla02)^0.5)-SUM($H118:H118),('PTRM input'!$H$146*(1+rvanilla02)^0.5)/A4stdlife))</f>
        <v>0</v>
      </c>
      <c r="J118" s="107">
        <f>IF(A4stdlife="n/a","n/a",IF(J$3&gt;(A4stdlife+$E118),('PTRM input'!$H$146*(1+rvanilla02)^0.5)-SUM($H118:I118),('PTRM input'!$H$146*(1+rvanilla02)^0.5)/A4stdlife))</f>
        <v>0</v>
      </c>
      <c r="K118" s="107">
        <f>IF(A4stdlife="n/a","n/a",IF(K$3&gt;(A4stdlife+$E118),('PTRM input'!$H$146*(1+rvanilla02)^0.5)-SUM($H118:J118),('PTRM input'!$H$146*(1+rvanilla02)^0.5)/A4stdlife))</f>
        <v>0</v>
      </c>
      <c r="L118" s="107">
        <f>IF(A4stdlife="n/a","n/a",IF(L$3&gt;(A4stdlife+$E118),('PTRM input'!$H$146*(1+rvanilla02)^0.5)-SUM($H118:K118),('PTRM input'!$H$146*(1+rvanilla02)^0.5)/A4stdlife))</f>
        <v>0</v>
      </c>
      <c r="M118" s="107">
        <f>IF(A4stdlife="n/a","n/a",IF(M$3&gt;(A4stdlife+$E118),('PTRM input'!$H$146*(1+rvanilla02)^0.5)-SUM($H118:L118),('PTRM input'!$H$146*(1+rvanilla02)^0.5)/A4stdlife))</f>
        <v>0</v>
      </c>
      <c r="N118" s="107">
        <f>IF(A4stdlife="n/a","n/a",IF(N$3&gt;(A4stdlife+$E118),('PTRM input'!$H$146*(1+rvanilla02)^0.5)-SUM($H118:M118),('PTRM input'!$H$146*(1+rvanilla02)^0.5)/A4stdlife))</f>
        <v>0</v>
      </c>
      <c r="O118" s="107">
        <f>IF(A4stdlife="n/a","n/a",IF(O$3&gt;(A4stdlife+$E118),('PTRM input'!$H$146*(1+rvanilla02)^0.5)-SUM($H118:N118),('PTRM input'!$H$146*(1+rvanilla02)^0.5)/A4stdlife))</f>
        <v>0</v>
      </c>
      <c r="P118" s="107">
        <f>IF(A4stdlife="n/a","n/a",IF(P$3&gt;(A4stdlife+$E118),('PTRM input'!$H$146*(1+rvanilla02)^0.5)-SUM($H118:O118),('PTRM input'!$H$146*(1+rvanilla02)^0.5)/A4stdlife))</f>
        <v>0</v>
      </c>
      <c r="Q118" s="107">
        <f>IF(A4stdlife="n/a","n/a",IF(Q$3&gt;(A4stdlife+$E118),('PTRM input'!$H$146*(1+rvanilla02)^0.5)-SUM($H118:P118),('PTRM input'!$H$146*(1+rvanilla02)^0.5)/A4stdlife))</f>
        <v>0</v>
      </c>
      <c r="R118" s="107">
        <f>IF(A4stdlife="n/a","n/a",IF(R$3&gt;(A4stdlife+$E118),('PTRM input'!$H$146*(1+rvanilla02)^0.5)-SUM($H118:Q118),('PTRM input'!$H$146*(1+rvanilla02)^0.5)/A4stdlife))</f>
        <v>0</v>
      </c>
      <c r="S118" s="107">
        <f>IF(A4stdlife="n/a","n/a",IF(S$3&gt;(A4stdlife+$E118),('PTRM input'!$H$146*(1+rvanilla02)^0.5)-SUM($H118:R118),('PTRM input'!$H$146*(1+rvanilla02)^0.5)/A4stdlife))</f>
        <v>0</v>
      </c>
      <c r="T118" s="107">
        <f>IF(A4stdlife="n/a","n/a",IF(T$3&gt;(A4stdlife+$E118),('PTRM input'!$H$146*(1+rvanilla02)^0.5)-SUM($H118:S118),('PTRM input'!$H$146*(1+rvanilla02)^0.5)/A4stdlife))</f>
        <v>0</v>
      </c>
      <c r="U118" s="107">
        <f>IF(A4stdlife="n/a","n/a",IF(U$3&gt;(A4stdlife+$E118),('PTRM input'!$H$146*(1+rvanilla02)^0.5)-SUM($H118:T118),('PTRM input'!$H$146*(1+rvanilla02)^0.5)/A4stdlife))</f>
        <v>0</v>
      </c>
      <c r="V118" s="107">
        <f>IF(A4stdlife="n/a","n/a",IF(V$3&gt;(A4stdlife+$E118),('PTRM input'!$H$146*(1+rvanilla02)^0.5)-SUM($H118:U118),('PTRM input'!$H$146*(1+rvanilla02)^0.5)/A4stdlife))</f>
        <v>0</v>
      </c>
      <c r="W118" s="107">
        <f>IF(A4stdlife="n/a","n/a",IF(W$3&gt;(A4stdlife+$E118),('PTRM input'!$H$146*(1+rvanilla02)^0.5)-SUM($H118:V118),('PTRM input'!$H$146*(1+rvanilla02)^0.5)/A4stdlife))</f>
        <v>0</v>
      </c>
      <c r="X118" s="107">
        <f>IF(A4stdlife="n/a","n/a",IF(X$3&gt;(A4stdlife+$E118),('PTRM input'!$H$146*(1+rvanilla02)^0.5)-SUM($H118:W118),('PTRM input'!$H$146*(1+rvanilla02)^0.5)/A4stdlife))</f>
        <v>0</v>
      </c>
      <c r="Y118" s="107">
        <f>IF(A4stdlife="n/a","n/a",IF(Y$3&gt;(A4stdlife+$E118),('PTRM input'!$H$146*(1+rvanilla02)^0.5)-SUM($H118:X118),('PTRM input'!$H$146*(1+rvanilla02)^0.5)/A4stdlife))</f>
        <v>0</v>
      </c>
      <c r="Z118" s="107">
        <f>IF(A4stdlife="n/a","n/a",IF(Z$3&gt;(A4stdlife+$E118),('PTRM input'!$H$146*(1+rvanilla02)^0.5)-SUM($H118:Y118),('PTRM input'!$H$146*(1+rvanilla02)^0.5)/A4stdlife))</f>
        <v>0</v>
      </c>
      <c r="AA118" s="107">
        <f>IF(A4stdlife="n/a","n/a",IF(AA$3&gt;(A4stdlife+$E118),('PTRM input'!$H$146*(1+rvanilla02)^0.5)-SUM($H118:Z118),('PTRM input'!$H$146*(1+rvanilla02)^0.5)/A4stdlife))</f>
        <v>0</v>
      </c>
      <c r="AB118" s="107">
        <f>IF(A4stdlife="n/a","n/a",IF(AB$3&gt;(A4stdlife+$E118),('PTRM input'!$H$146*(1+rvanilla02)^0.5)-SUM($H118:AA118),('PTRM input'!$H$146*(1+rvanilla02)^0.5)/A4stdlife))</f>
        <v>0</v>
      </c>
      <c r="AC118" s="107">
        <f>IF(A4stdlife="n/a","n/a",IF(AC$3&gt;(A4stdlife+$E118),('PTRM input'!$H$146*(1+rvanilla02)^0.5)-SUM($H118:AB118),('PTRM input'!$H$146*(1+rvanilla02)^0.5)/A4stdlife))</f>
        <v>0</v>
      </c>
      <c r="AD118" s="107">
        <f>IF(A4stdlife="n/a","n/a",IF(AD$3&gt;(A4stdlife+$E118),('PTRM input'!$H$146*(1+rvanilla02)^0.5)-SUM($H118:AC118),('PTRM input'!$H$146*(1+rvanilla02)^0.5)/A4stdlife))</f>
        <v>0</v>
      </c>
      <c r="AE118" s="107">
        <f>IF(A4stdlife="n/a","n/a",IF(AE$3&gt;(A4stdlife+$E118),('PTRM input'!$H$146*(1+rvanilla02)^0.5)-SUM($H118:AD118),('PTRM input'!$H$146*(1+rvanilla02)^0.5)/A4stdlife))</f>
        <v>0</v>
      </c>
      <c r="AF118" s="107">
        <f>IF(A4stdlife="n/a","n/a",IF(AF$3&gt;(A4stdlife+$E118),('PTRM input'!$H$146*(1+rvanilla02)^0.5)-SUM($H118:AE118),('PTRM input'!$H$146*(1+rvanilla02)^0.5)/A4stdlife))</f>
        <v>0</v>
      </c>
      <c r="AG118" s="107">
        <f>IF(A4stdlife="n/a","n/a",IF(AG$3&gt;(A4stdlife+$E118),('PTRM input'!$H$146*(1+rvanilla02)^0.5)-SUM($H118:AF118),('PTRM input'!$H$146*(1+rvanilla02)^0.5)/A4stdlife))</f>
        <v>0</v>
      </c>
      <c r="AH118" s="107">
        <f>IF(A4stdlife="n/a","n/a",IF(AH$3&gt;(A4stdlife+$E118),('PTRM input'!$H$146*(1+rvanilla02)^0.5)-SUM($H118:AG118),('PTRM input'!$H$146*(1+rvanilla02)^0.5)/A4stdlife))</f>
        <v>0</v>
      </c>
      <c r="AI118" s="107">
        <f>IF(A4stdlife="n/a","n/a",IF(AI$3&gt;(A4stdlife+$E118),('PTRM input'!$H$146*(1+rvanilla02)^0.5)-SUM($H118:AH118),('PTRM input'!$H$146*(1+rvanilla02)^0.5)/A4stdlife))</f>
        <v>0</v>
      </c>
      <c r="AJ118" s="107">
        <f>IF(A4stdlife="n/a","n/a",IF(AJ$3&gt;(A4stdlife+$E118),('PTRM input'!$H$146*(1+rvanilla02)^0.5)-SUM($H118:AI118),('PTRM input'!$H$146*(1+rvanilla02)^0.5)/A4stdlife))</f>
        <v>0</v>
      </c>
      <c r="AK118" s="107">
        <f>IF(A4stdlife="n/a","n/a",IF(AK$3&gt;(A4stdlife+$E118),('PTRM input'!$H$146*(1+rvanilla02)^0.5)-SUM($H118:AJ118),('PTRM input'!$H$146*(1+rvanilla02)^0.5)/A4stdlife))</f>
        <v>0</v>
      </c>
      <c r="AL118" s="107">
        <f>IF(A4stdlife="n/a","n/a",IF(AL$3&gt;(A4stdlife+$E118),('PTRM input'!$H$146*(1+rvanilla02)^0.5)-SUM($H118:AK118),('PTRM input'!$H$146*(1+rvanilla02)^0.5)/A4stdlife))</f>
        <v>0</v>
      </c>
      <c r="AM118" s="107">
        <f>IF(A4stdlife="n/a","n/a",IF(AM$3&gt;(A4stdlife+$E118),('PTRM input'!$H$146*(1+rvanilla02)^0.5)-SUM($H118:AL118),('PTRM input'!$H$146*(1+rvanilla02)^0.5)/A4stdlife))</f>
        <v>0</v>
      </c>
      <c r="AN118" s="107">
        <f>IF(A4stdlife="n/a","n/a",IF(AN$3&gt;(A4stdlife+$E118),('PTRM input'!$H$146*(1+rvanilla02)^0.5)-SUM($H118:AM118),('PTRM input'!$H$146*(1+rvanilla02)^0.5)/A4stdlife))</f>
        <v>0</v>
      </c>
      <c r="AO118" s="107">
        <f>IF(A4stdlife="n/a","n/a",IF(AO$3&gt;(A4stdlife+$E118),('PTRM input'!$H$146*(1+rvanilla02)^0.5)-SUM($H118:AN118),('PTRM input'!$H$146*(1+rvanilla02)^0.5)/A4stdlife))</f>
        <v>0</v>
      </c>
      <c r="AP118" s="107">
        <f>IF(A4stdlife="n/a","n/a",IF(AP$3&gt;(A4stdlife+$E118),('PTRM input'!$H$146*(1+rvanilla02)^0.5)-SUM($H118:AO118),('PTRM input'!$H$146*(1+rvanilla02)^0.5)/A4stdlife))</f>
        <v>0</v>
      </c>
      <c r="AQ118" s="107">
        <f>IF(A4stdlife="n/a","n/a",IF(AQ$3&gt;(A4stdlife+$E118),('PTRM input'!$H$146*(1+rvanilla02)^0.5)-SUM($H118:AP118),('PTRM input'!$H$146*(1+rvanilla02)^0.5)/A4stdlife))</f>
        <v>0</v>
      </c>
      <c r="AR118" s="107">
        <f>IF(A4stdlife="n/a","n/a",IF(AR$3&gt;(A4stdlife+$E118),('PTRM input'!$H$146*(1+rvanilla02)^0.5)-SUM($H118:AQ118),('PTRM input'!$H$146*(1+rvanilla02)^0.5)/A4stdlife))</f>
        <v>0</v>
      </c>
      <c r="AS118" s="107">
        <f>IF(A4stdlife="n/a","n/a",IF(AS$3&gt;(A4stdlife+$E118),('PTRM input'!$H$146*(1+rvanilla02)^0.5)-SUM($H118:AR118),('PTRM input'!$H$146*(1+rvanilla02)^0.5)/A4stdlife))</f>
        <v>0</v>
      </c>
      <c r="AT118" s="107">
        <f>IF(A4stdlife="n/a","n/a",IF(AT$3&gt;(A4stdlife+$E118),('PTRM input'!$H$146*(1+rvanilla02)^0.5)-SUM($H118:AS118),('PTRM input'!$H$146*(1+rvanilla02)^0.5)/A4stdlife))</f>
        <v>0</v>
      </c>
      <c r="AU118" s="107">
        <f>IF(A4stdlife="n/a","n/a",IF(AU$3&gt;(A4stdlife+$E118),('PTRM input'!$H$146*(1+rvanilla02)^0.5)-SUM($H118:AT118),('PTRM input'!$H$146*(1+rvanilla02)^0.5)/A4stdlife))</f>
        <v>0</v>
      </c>
      <c r="AV118" s="107">
        <f>IF(A4stdlife="n/a","n/a",IF(AV$3&gt;(A4stdlife+$E118),('PTRM input'!$H$146*(1+rvanilla02)^0.5)-SUM($H118:AU118),('PTRM input'!$H$146*(1+rvanilla02)^0.5)/A4stdlife))</f>
        <v>0</v>
      </c>
      <c r="AW118" s="107">
        <f>IF(A4stdlife="n/a","n/a",IF(AW$3&gt;(A4stdlife+$E118),('PTRM input'!$H$146*(1+rvanilla02)^0.5)-SUM($H118:AV118),('PTRM input'!$H$146*(1+rvanilla02)^0.5)/A4stdlife))</f>
        <v>0</v>
      </c>
      <c r="AX118" s="107">
        <f>IF(A4stdlife="n/a","n/a",IF(AX$3&gt;(A4stdlife+$E118),('PTRM input'!$H$146*(1+rvanilla02)^0.5)-SUM($H118:AW118),('PTRM input'!$H$146*(1+rvanilla02)^0.5)/A4stdlife))</f>
        <v>0</v>
      </c>
      <c r="AY118" s="107">
        <f>IF(A4stdlife="n/a","n/a",IF(AY$3&gt;(A4stdlife+$E118),('PTRM input'!$H$146*(1+rvanilla02)^0.5)-SUM($H118:AX118),('PTRM input'!$H$146*(1+rvanilla02)^0.5)/A4stdlife))</f>
        <v>0</v>
      </c>
      <c r="AZ118" s="107">
        <f>IF(A4stdlife="n/a","n/a",IF(AZ$3&gt;(A4stdlife+$E118),('PTRM input'!$H$146*(1+rvanilla02)^0.5)-SUM($H118:AY118),('PTRM input'!$H$146*(1+rvanilla02)^0.5)/A4stdlife))</f>
        <v>0</v>
      </c>
      <c r="BA118" s="107">
        <f>IF(A4stdlife="n/a","n/a",IF(BA$3&gt;(A4stdlife+$E118),('PTRM input'!$H$146*(1+rvanilla02)^0.5)-SUM($H118:AZ118),('PTRM input'!$H$146*(1+rvanilla02)^0.5)/A4stdlife))</f>
        <v>0</v>
      </c>
      <c r="BB118" s="107">
        <f>IF(A4stdlife="n/a","n/a",IF(BB$3&gt;(A4stdlife+$E118),('PTRM input'!$H$146*(1+rvanilla02)^0.5)-SUM($H118:BA118),('PTRM input'!$H$146*(1+rvanilla02)^0.5)/A4stdlife))</f>
        <v>0</v>
      </c>
      <c r="BC118" s="107">
        <f>IF(A4stdlife="n/a","n/a",IF(BC$3&gt;(A4stdlife+$E118),('PTRM input'!$H$146*(1+rvanilla02)^0.5)-SUM($H118:BB118),('PTRM input'!$H$146*(1+rvanilla02)^0.5)/A4stdlife))</f>
        <v>0</v>
      </c>
      <c r="BD118" s="107">
        <f>IF(A4stdlife="n/a","n/a",IF(BD$3&gt;(A4stdlife+$E118),('PTRM input'!$H$146*(1+rvanilla02)^0.5)-SUM($H118:BC118),('PTRM input'!$H$146*(1+rvanilla02)^0.5)/A4stdlife))</f>
        <v>0</v>
      </c>
      <c r="BE118" s="107">
        <f>IF(A4stdlife="n/a","n/a",IF(BE$3&gt;(A4stdlife+$E118),('PTRM input'!$H$146*(1+rvanilla02)^0.5)-SUM($H118:BD118),('PTRM input'!$H$146*(1+rvanilla02)^0.5)/A4stdlife))</f>
        <v>0</v>
      </c>
      <c r="BF118" s="107">
        <f>IF(A4stdlife="n/a","n/a",IF(BF$3&gt;(A4stdlife+$E118),('PTRM input'!$H$146*(1+rvanilla02)^0.5)-SUM($H118:BE118),('PTRM input'!$H$146*(1+rvanilla02)^0.5)/A4stdlife))</f>
        <v>0</v>
      </c>
      <c r="BG118" s="107">
        <f>IF(A4stdlife="n/a","n/a",IF(BG$3&gt;(A4stdlife+$E118),('PTRM input'!$H$146*(1+rvanilla02)^0.5)-SUM($H118:BF118),('PTRM input'!$H$146*(1+rvanilla02)^0.5)/A4stdlife))</f>
        <v>0</v>
      </c>
      <c r="BH118" s="107">
        <f>IF(A4stdlife="n/a","n/a",IF(BH$3&gt;(A4stdlife+$E118),('PTRM input'!$H$146*(1+rvanilla02)^0.5)-SUM($H118:BG118),('PTRM input'!$H$146*(1+rvanilla02)^0.5)/A4stdlife))</f>
        <v>0</v>
      </c>
      <c r="BI118" s="107">
        <f>IF(A4stdlife="n/a","n/a",IF(BI$3&gt;(A4stdlife+$E118),('PTRM input'!$H$146*(1+rvanilla02)^0.5)-SUM($H118:BH118),('PTRM input'!$H$146*(1+rvanilla02)^0.5)/A4stdlife))</f>
        <v>0</v>
      </c>
      <c r="BJ118" s="237"/>
      <c r="BK118" s="237"/>
      <c r="BL118" s="237"/>
      <c r="BM118" s="237"/>
    </row>
    <row r="119" spans="1:65" s="190" customFormat="1" hidden="1" outlineLevel="2">
      <c r="A119" s="237"/>
      <c r="B119" s="33"/>
      <c r="C119" s="32"/>
      <c r="D119" s="1618"/>
      <c r="E119" s="169">
        <v>3</v>
      </c>
      <c r="F119" s="35"/>
      <c r="G119" s="184"/>
      <c r="H119" s="186"/>
      <c r="I119" s="185"/>
      <c r="J119" s="107">
        <f>IF(A4stdlife="n/a","n/a",IF(J$3&gt;(A4stdlife+$E119),('PTRM input'!$I$146*(1+rvanilla03)^0.5)-SUM($I119:I119),('PTRM input'!$I$146*(1+rvanilla03)^0.5)/A4stdlife))</f>
        <v>0</v>
      </c>
      <c r="K119" s="107">
        <f>IF(A4stdlife="n/a","n/a",IF(K$3&gt;(A4stdlife+$E119),('PTRM input'!$I$146*(1+rvanilla03)^0.5)-SUM($I119:J119),('PTRM input'!$I$146*(1+rvanilla03)^0.5)/A4stdlife))</f>
        <v>0</v>
      </c>
      <c r="L119" s="107">
        <f>IF(A4stdlife="n/a","n/a",IF(L$3&gt;(A4stdlife+$E119),('PTRM input'!$I$146*(1+rvanilla03)^0.5)-SUM($I119:K119),('PTRM input'!$I$146*(1+rvanilla03)^0.5)/A4stdlife))</f>
        <v>0</v>
      </c>
      <c r="M119" s="107">
        <f>IF(A4stdlife="n/a","n/a",IF(M$3&gt;(A4stdlife+$E119),('PTRM input'!$I$146*(1+rvanilla03)^0.5)-SUM($I119:L119),('PTRM input'!$I$146*(1+rvanilla03)^0.5)/A4stdlife))</f>
        <v>0</v>
      </c>
      <c r="N119" s="107">
        <f>IF(A4stdlife="n/a","n/a",IF(N$3&gt;(A4stdlife+$E119),('PTRM input'!$I$146*(1+rvanilla03)^0.5)-SUM($I119:M119),('PTRM input'!$I$146*(1+rvanilla03)^0.5)/A4stdlife))</f>
        <v>0</v>
      </c>
      <c r="O119" s="107">
        <f>IF(A4stdlife="n/a","n/a",IF(O$3&gt;(A4stdlife+$E119),('PTRM input'!$I$146*(1+rvanilla03)^0.5)-SUM($I119:N119),('PTRM input'!$I$146*(1+rvanilla03)^0.5)/A4stdlife))</f>
        <v>0</v>
      </c>
      <c r="P119" s="107">
        <f>IF(A4stdlife="n/a","n/a",IF(P$3&gt;(A4stdlife+$E119),('PTRM input'!$I$146*(1+rvanilla03)^0.5)-SUM($I119:O119),('PTRM input'!$I$146*(1+rvanilla03)^0.5)/A4stdlife))</f>
        <v>0</v>
      </c>
      <c r="Q119" s="107">
        <f>IF(A4stdlife="n/a","n/a",IF(Q$3&gt;(A4stdlife+$E119),('PTRM input'!$I$146*(1+rvanilla03)^0.5)-SUM($I119:P119),('PTRM input'!$I$146*(1+rvanilla03)^0.5)/A4stdlife))</f>
        <v>0</v>
      </c>
      <c r="R119" s="107">
        <f>IF(A4stdlife="n/a","n/a",IF(R$3&gt;(A4stdlife+$E119),('PTRM input'!$I$146*(1+rvanilla03)^0.5)-SUM($I119:Q119),('PTRM input'!$I$146*(1+rvanilla03)^0.5)/A4stdlife))</f>
        <v>0</v>
      </c>
      <c r="S119" s="107">
        <f>IF(A4stdlife="n/a","n/a",IF(S$3&gt;(A4stdlife+$E119),('PTRM input'!$I$146*(1+rvanilla03)^0.5)-SUM($I119:R119),('PTRM input'!$I$146*(1+rvanilla03)^0.5)/A4stdlife))</f>
        <v>0</v>
      </c>
      <c r="T119" s="107">
        <f>IF(A4stdlife="n/a","n/a",IF(T$3&gt;(A4stdlife+$E119),('PTRM input'!$I$146*(1+rvanilla03)^0.5)-SUM($I119:S119),('PTRM input'!$I$146*(1+rvanilla03)^0.5)/A4stdlife))</f>
        <v>0</v>
      </c>
      <c r="U119" s="107">
        <f>IF(A4stdlife="n/a","n/a",IF(U$3&gt;(A4stdlife+$E119),('PTRM input'!$I$146*(1+rvanilla03)^0.5)-SUM($I119:T119),('PTRM input'!$I$146*(1+rvanilla03)^0.5)/A4stdlife))</f>
        <v>0</v>
      </c>
      <c r="V119" s="107">
        <f>IF(A4stdlife="n/a","n/a",IF(V$3&gt;(A4stdlife+$E119),('PTRM input'!$I$146*(1+rvanilla03)^0.5)-SUM($I119:U119),('PTRM input'!$I$146*(1+rvanilla03)^0.5)/A4stdlife))</f>
        <v>0</v>
      </c>
      <c r="W119" s="107">
        <f>IF(A4stdlife="n/a","n/a",IF(W$3&gt;(A4stdlife+$E119),('PTRM input'!$I$146*(1+rvanilla03)^0.5)-SUM($I119:V119),('PTRM input'!$I$146*(1+rvanilla03)^0.5)/A4stdlife))</f>
        <v>0</v>
      </c>
      <c r="X119" s="107">
        <f>IF(A4stdlife="n/a","n/a",IF(X$3&gt;(A4stdlife+$E119),('PTRM input'!$I$146*(1+rvanilla03)^0.5)-SUM($I119:W119),('PTRM input'!$I$146*(1+rvanilla03)^0.5)/A4stdlife))</f>
        <v>0</v>
      </c>
      <c r="Y119" s="107">
        <f>IF(A4stdlife="n/a","n/a",IF(Y$3&gt;(A4stdlife+$E119),('PTRM input'!$I$146*(1+rvanilla03)^0.5)-SUM($I119:X119),('PTRM input'!$I$146*(1+rvanilla03)^0.5)/A4stdlife))</f>
        <v>0</v>
      </c>
      <c r="Z119" s="107">
        <f>IF(A4stdlife="n/a","n/a",IF(Z$3&gt;(A4stdlife+$E119),('PTRM input'!$I$146*(1+rvanilla03)^0.5)-SUM($I119:Y119),('PTRM input'!$I$146*(1+rvanilla03)^0.5)/A4stdlife))</f>
        <v>0</v>
      </c>
      <c r="AA119" s="107">
        <f>IF(A4stdlife="n/a","n/a",IF(AA$3&gt;(A4stdlife+$E119),('PTRM input'!$I$146*(1+rvanilla03)^0.5)-SUM($I119:Z119),('PTRM input'!$I$146*(1+rvanilla03)^0.5)/A4stdlife))</f>
        <v>0</v>
      </c>
      <c r="AB119" s="107">
        <f>IF(A4stdlife="n/a","n/a",IF(AB$3&gt;(A4stdlife+$E119),('PTRM input'!$I$146*(1+rvanilla03)^0.5)-SUM($I119:AA119),('PTRM input'!$I$146*(1+rvanilla03)^0.5)/A4stdlife))</f>
        <v>0</v>
      </c>
      <c r="AC119" s="107">
        <f>IF(A4stdlife="n/a","n/a",IF(AC$3&gt;(A4stdlife+$E119),('PTRM input'!$I$146*(1+rvanilla03)^0.5)-SUM($I119:AB119),('PTRM input'!$I$146*(1+rvanilla03)^0.5)/A4stdlife))</f>
        <v>0</v>
      </c>
      <c r="AD119" s="107">
        <f>IF(A4stdlife="n/a","n/a",IF(AD$3&gt;(A4stdlife+$E119),('PTRM input'!$I$146*(1+rvanilla03)^0.5)-SUM($I119:AC119),('PTRM input'!$I$146*(1+rvanilla03)^0.5)/A4stdlife))</f>
        <v>0</v>
      </c>
      <c r="AE119" s="107">
        <f>IF(A4stdlife="n/a","n/a",IF(AE$3&gt;(A4stdlife+$E119),('PTRM input'!$I$146*(1+rvanilla03)^0.5)-SUM($I119:AD119),('PTRM input'!$I$146*(1+rvanilla03)^0.5)/A4stdlife))</f>
        <v>0</v>
      </c>
      <c r="AF119" s="107">
        <f>IF(A4stdlife="n/a","n/a",IF(AF$3&gt;(A4stdlife+$E119),('PTRM input'!$I$146*(1+rvanilla03)^0.5)-SUM($I119:AE119),('PTRM input'!$I$146*(1+rvanilla03)^0.5)/A4stdlife))</f>
        <v>0</v>
      </c>
      <c r="AG119" s="107">
        <f>IF(A4stdlife="n/a","n/a",IF(AG$3&gt;(A4stdlife+$E119),('PTRM input'!$I$146*(1+rvanilla03)^0.5)-SUM($I119:AF119),('PTRM input'!$I$146*(1+rvanilla03)^0.5)/A4stdlife))</f>
        <v>0</v>
      </c>
      <c r="AH119" s="107">
        <f>IF(A4stdlife="n/a","n/a",IF(AH$3&gt;(A4stdlife+$E119),('PTRM input'!$I$146*(1+rvanilla03)^0.5)-SUM($I119:AG119),('PTRM input'!$I$146*(1+rvanilla03)^0.5)/A4stdlife))</f>
        <v>0</v>
      </c>
      <c r="AI119" s="107">
        <f>IF(A4stdlife="n/a","n/a",IF(AI$3&gt;(A4stdlife+$E119),('PTRM input'!$I$146*(1+rvanilla03)^0.5)-SUM($I119:AH119),('PTRM input'!$I$146*(1+rvanilla03)^0.5)/A4stdlife))</f>
        <v>0</v>
      </c>
      <c r="AJ119" s="107">
        <f>IF(A4stdlife="n/a","n/a",IF(AJ$3&gt;(A4stdlife+$E119),('PTRM input'!$I$146*(1+rvanilla03)^0.5)-SUM($I119:AI119),('PTRM input'!$I$146*(1+rvanilla03)^0.5)/A4stdlife))</f>
        <v>0</v>
      </c>
      <c r="AK119" s="107">
        <f>IF(A4stdlife="n/a","n/a",IF(AK$3&gt;(A4stdlife+$E119),('PTRM input'!$I$146*(1+rvanilla03)^0.5)-SUM($I119:AJ119),('PTRM input'!$I$146*(1+rvanilla03)^0.5)/A4stdlife))</f>
        <v>0</v>
      </c>
      <c r="AL119" s="107">
        <f>IF(A4stdlife="n/a","n/a",IF(AL$3&gt;(A4stdlife+$E119),('PTRM input'!$I$146*(1+rvanilla03)^0.5)-SUM($I119:AK119),('PTRM input'!$I$146*(1+rvanilla03)^0.5)/A4stdlife))</f>
        <v>0</v>
      </c>
      <c r="AM119" s="107">
        <f>IF(A4stdlife="n/a","n/a",IF(AM$3&gt;(A4stdlife+$E119),('PTRM input'!$I$146*(1+rvanilla03)^0.5)-SUM($I119:AL119),('PTRM input'!$I$146*(1+rvanilla03)^0.5)/A4stdlife))</f>
        <v>0</v>
      </c>
      <c r="AN119" s="107">
        <f>IF(A4stdlife="n/a","n/a",IF(AN$3&gt;(A4stdlife+$E119),('PTRM input'!$I$146*(1+rvanilla03)^0.5)-SUM($I119:AM119),('PTRM input'!$I$146*(1+rvanilla03)^0.5)/A4stdlife))</f>
        <v>0</v>
      </c>
      <c r="AO119" s="107">
        <f>IF(A4stdlife="n/a","n/a",IF(AO$3&gt;(A4stdlife+$E119),('PTRM input'!$I$146*(1+rvanilla03)^0.5)-SUM($I119:AN119),('PTRM input'!$I$146*(1+rvanilla03)^0.5)/A4stdlife))</f>
        <v>0</v>
      </c>
      <c r="AP119" s="107">
        <f>IF(A4stdlife="n/a","n/a",IF(AP$3&gt;(A4stdlife+$E119),('PTRM input'!$I$146*(1+rvanilla03)^0.5)-SUM($I119:AO119),('PTRM input'!$I$146*(1+rvanilla03)^0.5)/A4stdlife))</f>
        <v>0</v>
      </c>
      <c r="AQ119" s="107">
        <f>IF(A4stdlife="n/a","n/a",IF(AQ$3&gt;(A4stdlife+$E119),('PTRM input'!$I$146*(1+rvanilla03)^0.5)-SUM($I119:AP119),('PTRM input'!$I$146*(1+rvanilla03)^0.5)/A4stdlife))</f>
        <v>0</v>
      </c>
      <c r="AR119" s="107">
        <f>IF(A4stdlife="n/a","n/a",IF(AR$3&gt;(A4stdlife+$E119),('PTRM input'!$I$146*(1+rvanilla03)^0.5)-SUM($I119:AQ119),('PTRM input'!$I$146*(1+rvanilla03)^0.5)/A4stdlife))</f>
        <v>0</v>
      </c>
      <c r="AS119" s="107">
        <f>IF(A4stdlife="n/a","n/a",IF(AS$3&gt;(A4stdlife+$E119),('PTRM input'!$I$146*(1+rvanilla03)^0.5)-SUM($I119:AR119),('PTRM input'!$I$146*(1+rvanilla03)^0.5)/A4stdlife))</f>
        <v>0</v>
      </c>
      <c r="AT119" s="107">
        <f>IF(A4stdlife="n/a","n/a",IF(AT$3&gt;(A4stdlife+$E119),('PTRM input'!$I$146*(1+rvanilla03)^0.5)-SUM($I119:AS119),('PTRM input'!$I$146*(1+rvanilla03)^0.5)/A4stdlife))</f>
        <v>0</v>
      </c>
      <c r="AU119" s="107">
        <f>IF(A4stdlife="n/a","n/a",IF(AU$3&gt;(A4stdlife+$E119),('PTRM input'!$I$146*(1+rvanilla03)^0.5)-SUM($I119:AT119),('PTRM input'!$I$146*(1+rvanilla03)^0.5)/A4stdlife))</f>
        <v>0</v>
      </c>
      <c r="AV119" s="107">
        <f>IF(A4stdlife="n/a","n/a",IF(AV$3&gt;(A4stdlife+$E119),('PTRM input'!$I$146*(1+rvanilla03)^0.5)-SUM($I119:AU119),('PTRM input'!$I$146*(1+rvanilla03)^0.5)/A4stdlife))</f>
        <v>0</v>
      </c>
      <c r="AW119" s="107">
        <f>IF(A4stdlife="n/a","n/a",IF(AW$3&gt;(A4stdlife+$E119),('PTRM input'!$I$146*(1+rvanilla03)^0.5)-SUM($I119:AV119),('PTRM input'!$I$146*(1+rvanilla03)^0.5)/A4stdlife))</f>
        <v>0</v>
      </c>
      <c r="AX119" s="107">
        <f>IF(A4stdlife="n/a","n/a",IF(AX$3&gt;(A4stdlife+$E119),('PTRM input'!$I$146*(1+rvanilla03)^0.5)-SUM($I119:AW119),('PTRM input'!$I$146*(1+rvanilla03)^0.5)/A4stdlife))</f>
        <v>0</v>
      </c>
      <c r="AY119" s="107">
        <f>IF(A4stdlife="n/a","n/a",IF(AY$3&gt;(A4stdlife+$E119),('PTRM input'!$I$146*(1+rvanilla03)^0.5)-SUM($I119:AX119),('PTRM input'!$I$146*(1+rvanilla03)^0.5)/A4stdlife))</f>
        <v>0</v>
      </c>
      <c r="AZ119" s="107">
        <f>IF(A4stdlife="n/a","n/a",IF(AZ$3&gt;(A4stdlife+$E119),('PTRM input'!$I$146*(1+rvanilla03)^0.5)-SUM($I119:AY119),('PTRM input'!$I$146*(1+rvanilla03)^0.5)/A4stdlife))</f>
        <v>0</v>
      </c>
      <c r="BA119" s="107">
        <f>IF(A4stdlife="n/a","n/a",IF(BA$3&gt;(A4stdlife+$E119),('PTRM input'!$I$146*(1+rvanilla03)^0.5)-SUM($I119:AZ119),('PTRM input'!$I$146*(1+rvanilla03)^0.5)/A4stdlife))</f>
        <v>0</v>
      </c>
      <c r="BB119" s="107">
        <f>IF(A4stdlife="n/a","n/a",IF(BB$3&gt;(A4stdlife+$E119),('PTRM input'!$I$146*(1+rvanilla03)^0.5)-SUM($I119:BA119),('PTRM input'!$I$146*(1+rvanilla03)^0.5)/A4stdlife))</f>
        <v>0</v>
      </c>
      <c r="BC119" s="107">
        <f>IF(A4stdlife="n/a","n/a",IF(BC$3&gt;(A4stdlife+$E119),('PTRM input'!$I$146*(1+rvanilla03)^0.5)-SUM($I119:BB119),('PTRM input'!$I$146*(1+rvanilla03)^0.5)/A4stdlife))</f>
        <v>0</v>
      </c>
      <c r="BD119" s="107">
        <f>IF(A4stdlife="n/a","n/a",IF(BD$3&gt;(A4stdlife+$E119),('PTRM input'!$I$146*(1+rvanilla03)^0.5)-SUM($I119:BC119),('PTRM input'!$I$146*(1+rvanilla03)^0.5)/A4stdlife))</f>
        <v>0</v>
      </c>
      <c r="BE119" s="107">
        <f>IF(A4stdlife="n/a","n/a",IF(BE$3&gt;(A4stdlife+$E119),('PTRM input'!$I$146*(1+rvanilla03)^0.5)-SUM($I119:BD119),('PTRM input'!$I$146*(1+rvanilla03)^0.5)/A4stdlife))</f>
        <v>0</v>
      </c>
      <c r="BF119" s="107">
        <f>IF(A4stdlife="n/a","n/a",IF(BF$3&gt;(A4stdlife+$E119),('PTRM input'!$I$146*(1+rvanilla03)^0.5)-SUM($I119:BE119),('PTRM input'!$I$146*(1+rvanilla03)^0.5)/A4stdlife))</f>
        <v>0</v>
      </c>
      <c r="BG119" s="107">
        <f>IF(A4stdlife="n/a","n/a",IF(BG$3&gt;(A4stdlife+$E119),('PTRM input'!$I$146*(1+rvanilla03)^0.5)-SUM($I119:BF119),('PTRM input'!$I$146*(1+rvanilla03)^0.5)/A4stdlife))</f>
        <v>0</v>
      </c>
      <c r="BH119" s="107">
        <f>IF(A4stdlife="n/a","n/a",IF(BH$3&gt;(A4stdlife+$E119),('PTRM input'!$I$146*(1+rvanilla03)^0.5)-SUM($I119:BG119),('PTRM input'!$I$146*(1+rvanilla03)^0.5)/A4stdlife))</f>
        <v>0</v>
      </c>
      <c r="BI119" s="107">
        <f>IF(A4stdlife="n/a","n/a",IF(BI$3&gt;(A4stdlife+$E119),('PTRM input'!$I$146*(1+rvanilla03)^0.5)-SUM($I119:BH119),('PTRM input'!$I$146*(1+rvanilla03)^0.5)/A4stdlife))</f>
        <v>0</v>
      </c>
      <c r="BJ119" s="237"/>
      <c r="BK119" s="237"/>
      <c r="BL119" s="237"/>
      <c r="BM119" s="237"/>
    </row>
    <row r="120" spans="1:65" s="190" customFormat="1" hidden="1" outlineLevel="2">
      <c r="A120" s="237"/>
      <c r="B120" s="33"/>
      <c r="C120" s="32"/>
      <c r="D120" s="1618"/>
      <c r="E120" s="169">
        <v>4</v>
      </c>
      <c r="F120" s="35"/>
      <c r="G120" s="184"/>
      <c r="H120" s="186"/>
      <c r="I120" s="186"/>
      <c r="J120" s="185"/>
      <c r="K120" s="107">
        <f>IF(A4stdlife="n/a","n/a",IF(K$3&gt;(A4stdlife+$E120),('PTRM input'!$J$146*(1+rvanilla04)^0.5)-SUM($J120:J120),('PTRM input'!$J$146*(1+rvanilla04)^0.5)/A4stdlife))</f>
        <v>0</v>
      </c>
      <c r="L120" s="107">
        <f>IF(A4stdlife="n/a","n/a",IF(L$3&gt;(A4stdlife+$E120),('PTRM input'!$J$146*(1+rvanilla04)^0.5)-SUM($J120:K120),('PTRM input'!$J$146*(1+rvanilla04)^0.5)/A4stdlife))</f>
        <v>0</v>
      </c>
      <c r="M120" s="107">
        <f>IF(A4stdlife="n/a","n/a",IF(M$3&gt;(A4stdlife+$E120),('PTRM input'!$J$146*(1+rvanilla04)^0.5)-SUM($J120:L120),('PTRM input'!$J$146*(1+rvanilla04)^0.5)/A4stdlife))</f>
        <v>0</v>
      </c>
      <c r="N120" s="107">
        <f>IF(A4stdlife="n/a","n/a",IF(N$3&gt;(A4stdlife+$E120),('PTRM input'!$J$146*(1+rvanilla04)^0.5)-SUM($J120:M120),('PTRM input'!$J$146*(1+rvanilla04)^0.5)/A4stdlife))</f>
        <v>0</v>
      </c>
      <c r="O120" s="107">
        <f>IF(A4stdlife="n/a","n/a",IF(O$3&gt;(A4stdlife+$E120),('PTRM input'!$J$146*(1+rvanilla04)^0.5)-SUM($J120:N120),('PTRM input'!$J$146*(1+rvanilla04)^0.5)/A4stdlife))</f>
        <v>0</v>
      </c>
      <c r="P120" s="107">
        <f>IF(A4stdlife="n/a","n/a",IF(P$3&gt;(A4stdlife+$E120),('PTRM input'!$J$146*(1+rvanilla04)^0.5)-SUM($J120:O120),('PTRM input'!$J$146*(1+rvanilla04)^0.5)/A4stdlife))</f>
        <v>0</v>
      </c>
      <c r="Q120" s="107">
        <f>IF(A4stdlife="n/a","n/a",IF(Q$3&gt;(A4stdlife+$E120),('PTRM input'!$J$146*(1+rvanilla04)^0.5)-SUM($J120:P120),('PTRM input'!$J$146*(1+rvanilla04)^0.5)/A4stdlife))</f>
        <v>0</v>
      </c>
      <c r="R120" s="107">
        <f>IF(A4stdlife="n/a","n/a",IF(R$3&gt;(A4stdlife+$E120),('PTRM input'!$J$146*(1+rvanilla04)^0.5)-SUM($J120:Q120),('PTRM input'!$J$146*(1+rvanilla04)^0.5)/A4stdlife))</f>
        <v>0</v>
      </c>
      <c r="S120" s="107">
        <f>IF(A4stdlife="n/a","n/a",IF(S$3&gt;(A4stdlife+$E120),('PTRM input'!$J$146*(1+rvanilla04)^0.5)-SUM($J120:R120),('PTRM input'!$J$146*(1+rvanilla04)^0.5)/A4stdlife))</f>
        <v>0</v>
      </c>
      <c r="T120" s="107">
        <f>IF(A4stdlife="n/a","n/a",IF(T$3&gt;(A4stdlife+$E120),('PTRM input'!$J$146*(1+rvanilla04)^0.5)-SUM($J120:S120),('PTRM input'!$J$146*(1+rvanilla04)^0.5)/A4stdlife))</f>
        <v>0</v>
      </c>
      <c r="U120" s="107">
        <f>IF(A4stdlife="n/a","n/a",IF(U$3&gt;(A4stdlife+$E120),('PTRM input'!$J$146*(1+rvanilla04)^0.5)-SUM($J120:T120),('PTRM input'!$J$146*(1+rvanilla04)^0.5)/A4stdlife))</f>
        <v>0</v>
      </c>
      <c r="V120" s="107">
        <f>IF(A4stdlife="n/a","n/a",IF(V$3&gt;(A4stdlife+$E120),('PTRM input'!$J$146*(1+rvanilla04)^0.5)-SUM($J120:U120),('PTRM input'!$J$146*(1+rvanilla04)^0.5)/A4stdlife))</f>
        <v>0</v>
      </c>
      <c r="W120" s="107">
        <f>IF(A4stdlife="n/a","n/a",IF(W$3&gt;(A4stdlife+$E120),('PTRM input'!$J$146*(1+rvanilla04)^0.5)-SUM($J120:V120),('PTRM input'!$J$146*(1+rvanilla04)^0.5)/A4stdlife))</f>
        <v>0</v>
      </c>
      <c r="X120" s="107">
        <f>IF(A4stdlife="n/a","n/a",IF(X$3&gt;(A4stdlife+$E120),('PTRM input'!$J$146*(1+rvanilla04)^0.5)-SUM($J120:W120),('PTRM input'!$J$146*(1+rvanilla04)^0.5)/A4stdlife))</f>
        <v>0</v>
      </c>
      <c r="Y120" s="107">
        <f>IF(A4stdlife="n/a","n/a",IF(Y$3&gt;(A4stdlife+$E120),('PTRM input'!$J$146*(1+rvanilla04)^0.5)-SUM($J120:X120),('PTRM input'!$J$146*(1+rvanilla04)^0.5)/A4stdlife))</f>
        <v>0</v>
      </c>
      <c r="Z120" s="107">
        <f>IF(A4stdlife="n/a","n/a",IF(Z$3&gt;(A4stdlife+$E120),('PTRM input'!$J$146*(1+rvanilla04)^0.5)-SUM($J120:Y120),('PTRM input'!$J$146*(1+rvanilla04)^0.5)/A4stdlife))</f>
        <v>0</v>
      </c>
      <c r="AA120" s="107">
        <f>IF(A4stdlife="n/a","n/a",IF(AA$3&gt;(A4stdlife+$E120),('PTRM input'!$J$146*(1+rvanilla04)^0.5)-SUM($J120:Z120),('PTRM input'!$J$146*(1+rvanilla04)^0.5)/A4stdlife))</f>
        <v>0</v>
      </c>
      <c r="AB120" s="107">
        <f>IF(A4stdlife="n/a","n/a",IF(AB$3&gt;(A4stdlife+$E120),('PTRM input'!$J$146*(1+rvanilla04)^0.5)-SUM($J120:AA120),('PTRM input'!$J$146*(1+rvanilla04)^0.5)/A4stdlife))</f>
        <v>0</v>
      </c>
      <c r="AC120" s="107">
        <f>IF(A4stdlife="n/a","n/a",IF(AC$3&gt;(A4stdlife+$E120),('PTRM input'!$J$146*(1+rvanilla04)^0.5)-SUM($J120:AB120),('PTRM input'!$J$146*(1+rvanilla04)^0.5)/A4stdlife))</f>
        <v>0</v>
      </c>
      <c r="AD120" s="107">
        <f>IF(A4stdlife="n/a","n/a",IF(AD$3&gt;(A4stdlife+$E120),('PTRM input'!$J$146*(1+rvanilla04)^0.5)-SUM($J120:AC120),('PTRM input'!$J$146*(1+rvanilla04)^0.5)/A4stdlife))</f>
        <v>0</v>
      </c>
      <c r="AE120" s="107">
        <f>IF(A4stdlife="n/a","n/a",IF(AE$3&gt;(A4stdlife+$E120),('PTRM input'!$J$146*(1+rvanilla04)^0.5)-SUM($J120:AD120),('PTRM input'!$J$146*(1+rvanilla04)^0.5)/A4stdlife))</f>
        <v>0</v>
      </c>
      <c r="AF120" s="107">
        <f>IF(A4stdlife="n/a","n/a",IF(AF$3&gt;(A4stdlife+$E120),('PTRM input'!$J$146*(1+rvanilla04)^0.5)-SUM($J120:AE120),('PTRM input'!$J$146*(1+rvanilla04)^0.5)/A4stdlife))</f>
        <v>0</v>
      </c>
      <c r="AG120" s="107">
        <f>IF(A4stdlife="n/a","n/a",IF(AG$3&gt;(A4stdlife+$E120),('PTRM input'!$J$146*(1+rvanilla04)^0.5)-SUM($J120:AF120),('PTRM input'!$J$146*(1+rvanilla04)^0.5)/A4stdlife))</f>
        <v>0</v>
      </c>
      <c r="AH120" s="107">
        <f>IF(A4stdlife="n/a","n/a",IF(AH$3&gt;(A4stdlife+$E120),('PTRM input'!$J$146*(1+rvanilla04)^0.5)-SUM($J120:AG120),('PTRM input'!$J$146*(1+rvanilla04)^0.5)/A4stdlife))</f>
        <v>0</v>
      </c>
      <c r="AI120" s="107">
        <f>IF(A4stdlife="n/a","n/a",IF(AI$3&gt;(A4stdlife+$E120),('PTRM input'!$J$146*(1+rvanilla04)^0.5)-SUM($J120:AH120),('PTRM input'!$J$146*(1+rvanilla04)^0.5)/A4stdlife))</f>
        <v>0</v>
      </c>
      <c r="AJ120" s="107">
        <f>IF(A4stdlife="n/a","n/a",IF(AJ$3&gt;(A4stdlife+$E120),('PTRM input'!$J$146*(1+rvanilla04)^0.5)-SUM($J120:AI120),('PTRM input'!$J$146*(1+rvanilla04)^0.5)/A4stdlife))</f>
        <v>0</v>
      </c>
      <c r="AK120" s="107">
        <f>IF(A4stdlife="n/a","n/a",IF(AK$3&gt;(A4stdlife+$E120),('PTRM input'!$J$146*(1+rvanilla04)^0.5)-SUM($J120:AJ120),('PTRM input'!$J$146*(1+rvanilla04)^0.5)/A4stdlife))</f>
        <v>0</v>
      </c>
      <c r="AL120" s="107">
        <f>IF(A4stdlife="n/a","n/a",IF(AL$3&gt;(A4stdlife+$E120),('PTRM input'!$J$146*(1+rvanilla04)^0.5)-SUM($J120:AK120),('PTRM input'!$J$146*(1+rvanilla04)^0.5)/A4stdlife))</f>
        <v>0</v>
      </c>
      <c r="AM120" s="107">
        <f>IF(A4stdlife="n/a","n/a",IF(AM$3&gt;(A4stdlife+$E120),('PTRM input'!$J$146*(1+rvanilla04)^0.5)-SUM($J120:AL120),('PTRM input'!$J$146*(1+rvanilla04)^0.5)/A4stdlife))</f>
        <v>0</v>
      </c>
      <c r="AN120" s="107">
        <f>IF(A4stdlife="n/a","n/a",IF(AN$3&gt;(A4stdlife+$E120),('PTRM input'!$J$146*(1+rvanilla04)^0.5)-SUM($J120:AM120),('PTRM input'!$J$146*(1+rvanilla04)^0.5)/A4stdlife))</f>
        <v>0</v>
      </c>
      <c r="AO120" s="107">
        <f>IF(A4stdlife="n/a","n/a",IF(AO$3&gt;(A4stdlife+$E120),('PTRM input'!$J$146*(1+rvanilla04)^0.5)-SUM($J120:AN120),('PTRM input'!$J$146*(1+rvanilla04)^0.5)/A4stdlife))</f>
        <v>0</v>
      </c>
      <c r="AP120" s="107">
        <f>IF(A4stdlife="n/a","n/a",IF(AP$3&gt;(A4stdlife+$E120),('PTRM input'!$J$146*(1+rvanilla04)^0.5)-SUM($J120:AO120),('PTRM input'!$J$146*(1+rvanilla04)^0.5)/A4stdlife))</f>
        <v>0</v>
      </c>
      <c r="AQ120" s="107">
        <f>IF(A4stdlife="n/a","n/a",IF(AQ$3&gt;(A4stdlife+$E120),('PTRM input'!$J$146*(1+rvanilla04)^0.5)-SUM($J120:AP120),('PTRM input'!$J$146*(1+rvanilla04)^0.5)/A4stdlife))</f>
        <v>0</v>
      </c>
      <c r="AR120" s="107">
        <f>IF(A4stdlife="n/a","n/a",IF(AR$3&gt;(A4stdlife+$E120),('PTRM input'!$J$146*(1+rvanilla04)^0.5)-SUM($J120:AQ120),('PTRM input'!$J$146*(1+rvanilla04)^0.5)/A4stdlife))</f>
        <v>0</v>
      </c>
      <c r="AS120" s="107">
        <f>IF(A4stdlife="n/a","n/a",IF(AS$3&gt;(A4stdlife+$E120),('PTRM input'!$J$146*(1+rvanilla04)^0.5)-SUM($J120:AR120),('PTRM input'!$J$146*(1+rvanilla04)^0.5)/A4stdlife))</f>
        <v>0</v>
      </c>
      <c r="AT120" s="107">
        <f>IF(A4stdlife="n/a","n/a",IF(AT$3&gt;(A4stdlife+$E120),('PTRM input'!$J$146*(1+rvanilla04)^0.5)-SUM($J120:AS120),('PTRM input'!$J$146*(1+rvanilla04)^0.5)/A4stdlife))</f>
        <v>0</v>
      </c>
      <c r="AU120" s="107">
        <f>IF(A4stdlife="n/a","n/a",IF(AU$3&gt;(A4stdlife+$E120),('PTRM input'!$J$146*(1+rvanilla04)^0.5)-SUM($J120:AT120),('PTRM input'!$J$146*(1+rvanilla04)^0.5)/A4stdlife))</f>
        <v>0</v>
      </c>
      <c r="AV120" s="107">
        <f>IF(A4stdlife="n/a","n/a",IF(AV$3&gt;(A4stdlife+$E120),('PTRM input'!$J$146*(1+rvanilla04)^0.5)-SUM($J120:AU120),('PTRM input'!$J$146*(1+rvanilla04)^0.5)/A4stdlife))</f>
        <v>0</v>
      </c>
      <c r="AW120" s="107">
        <f>IF(A4stdlife="n/a","n/a",IF(AW$3&gt;(A4stdlife+$E120),('PTRM input'!$J$146*(1+rvanilla04)^0.5)-SUM($J120:AV120),('PTRM input'!$J$146*(1+rvanilla04)^0.5)/A4stdlife))</f>
        <v>0</v>
      </c>
      <c r="AX120" s="107">
        <f>IF(A4stdlife="n/a","n/a",IF(AX$3&gt;(A4stdlife+$E120),('PTRM input'!$J$146*(1+rvanilla04)^0.5)-SUM($J120:AW120),('PTRM input'!$J$146*(1+rvanilla04)^0.5)/A4stdlife))</f>
        <v>0</v>
      </c>
      <c r="AY120" s="107">
        <f>IF(A4stdlife="n/a","n/a",IF(AY$3&gt;(A4stdlife+$E120),('PTRM input'!$J$146*(1+rvanilla04)^0.5)-SUM($J120:AX120),('PTRM input'!$J$146*(1+rvanilla04)^0.5)/A4stdlife))</f>
        <v>0</v>
      </c>
      <c r="AZ120" s="107">
        <f>IF(A4stdlife="n/a","n/a",IF(AZ$3&gt;(A4stdlife+$E120),('PTRM input'!$J$146*(1+rvanilla04)^0.5)-SUM($J120:AY120),('PTRM input'!$J$146*(1+rvanilla04)^0.5)/A4stdlife))</f>
        <v>0</v>
      </c>
      <c r="BA120" s="107">
        <f>IF(A4stdlife="n/a","n/a",IF(BA$3&gt;(A4stdlife+$E120),('PTRM input'!$J$146*(1+rvanilla04)^0.5)-SUM($J120:AZ120),('PTRM input'!$J$146*(1+rvanilla04)^0.5)/A4stdlife))</f>
        <v>0</v>
      </c>
      <c r="BB120" s="107">
        <f>IF(A4stdlife="n/a","n/a",IF(BB$3&gt;(A4stdlife+$E120),('PTRM input'!$J$146*(1+rvanilla04)^0.5)-SUM($J120:BA120),('PTRM input'!$J$146*(1+rvanilla04)^0.5)/A4stdlife))</f>
        <v>0</v>
      </c>
      <c r="BC120" s="107">
        <f>IF(A4stdlife="n/a","n/a",IF(BC$3&gt;(A4stdlife+$E120),('PTRM input'!$J$146*(1+rvanilla04)^0.5)-SUM($J120:BB120),('PTRM input'!$J$146*(1+rvanilla04)^0.5)/A4stdlife))</f>
        <v>0</v>
      </c>
      <c r="BD120" s="107">
        <f>IF(A4stdlife="n/a","n/a",IF(BD$3&gt;(A4stdlife+$E120),('PTRM input'!$J$146*(1+rvanilla04)^0.5)-SUM($J120:BC120),('PTRM input'!$J$146*(1+rvanilla04)^0.5)/A4stdlife))</f>
        <v>0</v>
      </c>
      <c r="BE120" s="107">
        <f>IF(A4stdlife="n/a","n/a",IF(BE$3&gt;(A4stdlife+$E120),('PTRM input'!$J$146*(1+rvanilla04)^0.5)-SUM($J120:BD120),('PTRM input'!$J$146*(1+rvanilla04)^0.5)/A4stdlife))</f>
        <v>0</v>
      </c>
      <c r="BF120" s="107">
        <f>IF(A4stdlife="n/a","n/a",IF(BF$3&gt;(A4stdlife+$E120),('PTRM input'!$J$146*(1+rvanilla04)^0.5)-SUM($J120:BE120),('PTRM input'!$J$146*(1+rvanilla04)^0.5)/A4stdlife))</f>
        <v>0</v>
      </c>
      <c r="BG120" s="107">
        <f>IF(A4stdlife="n/a","n/a",IF(BG$3&gt;(A4stdlife+$E120),('PTRM input'!$J$146*(1+rvanilla04)^0.5)-SUM($J120:BF120),('PTRM input'!$J$146*(1+rvanilla04)^0.5)/A4stdlife))</f>
        <v>0</v>
      </c>
      <c r="BH120" s="107">
        <f>IF(A4stdlife="n/a","n/a",IF(BH$3&gt;(A4stdlife+$E120),('PTRM input'!$J$146*(1+rvanilla04)^0.5)-SUM($J120:BG120),('PTRM input'!$J$146*(1+rvanilla04)^0.5)/A4stdlife))</f>
        <v>0</v>
      </c>
      <c r="BI120" s="107">
        <f>IF(A4stdlife="n/a","n/a",IF(BI$3&gt;(A4stdlife+$E120),('PTRM input'!$J$146*(1+rvanilla04)^0.5)-SUM($J120:BH120),('PTRM input'!$J$146*(1+rvanilla04)^0.5)/A4stdlife))</f>
        <v>0</v>
      </c>
      <c r="BJ120" s="237"/>
      <c r="BK120" s="237"/>
      <c r="BL120" s="237"/>
      <c r="BM120" s="237"/>
    </row>
    <row r="121" spans="1:65" s="190" customFormat="1" hidden="1" outlineLevel="2">
      <c r="A121" s="237"/>
      <c r="B121" s="33"/>
      <c r="C121" s="32"/>
      <c r="D121" s="1618"/>
      <c r="E121" s="169">
        <v>5</v>
      </c>
      <c r="F121" s="35"/>
      <c r="G121" s="184"/>
      <c r="H121" s="186"/>
      <c r="I121" s="186"/>
      <c r="J121" s="186"/>
      <c r="K121" s="185"/>
      <c r="L121" s="107">
        <f>IF(A4stdlife="n/a","n/a",IF(L$3&gt;(A4stdlife+$E121),('PTRM input'!$K$146*(1+rvanilla05)^0.5)-SUM($K121:K121),('PTRM input'!$K$146*(1+rvanilla05)^0.5)/A4stdlife))</f>
        <v>0</v>
      </c>
      <c r="M121" s="107">
        <f>IF(A4stdlife="n/a","n/a",IF(M$3&gt;(A4stdlife+$E121),('PTRM input'!$K$146*(1+rvanilla05)^0.5)-SUM($K121:L121),('PTRM input'!$K$146*(1+rvanilla05)^0.5)/A4stdlife))</f>
        <v>0</v>
      </c>
      <c r="N121" s="107">
        <f>IF(A4stdlife="n/a","n/a",IF(N$3&gt;(A4stdlife+$E121),('PTRM input'!$K$146*(1+rvanilla05)^0.5)-SUM($K121:M121),('PTRM input'!$K$146*(1+rvanilla05)^0.5)/A4stdlife))</f>
        <v>0</v>
      </c>
      <c r="O121" s="107">
        <f>IF(A4stdlife="n/a","n/a",IF(O$3&gt;(A4stdlife+$E121),('PTRM input'!$K$146*(1+rvanilla05)^0.5)-SUM($K121:N121),('PTRM input'!$K$146*(1+rvanilla05)^0.5)/A4stdlife))</f>
        <v>0</v>
      </c>
      <c r="P121" s="107">
        <f>IF(A4stdlife="n/a","n/a",IF(P$3&gt;(A4stdlife+$E121),('PTRM input'!$K$146*(1+rvanilla05)^0.5)-SUM($K121:O121),('PTRM input'!$K$146*(1+rvanilla05)^0.5)/A4stdlife))</f>
        <v>0</v>
      </c>
      <c r="Q121" s="107">
        <f>IF(A4stdlife="n/a","n/a",IF(Q$3&gt;(A4stdlife+$E121),('PTRM input'!$K$146*(1+rvanilla05)^0.5)-SUM($K121:P121),('PTRM input'!$K$146*(1+rvanilla05)^0.5)/A4stdlife))</f>
        <v>0</v>
      </c>
      <c r="R121" s="107">
        <f>IF(A4stdlife="n/a","n/a",IF(R$3&gt;(A4stdlife+$E121),('PTRM input'!$K$146*(1+rvanilla05)^0.5)-SUM($K121:Q121),('PTRM input'!$K$146*(1+rvanilla05)^0.5)/A4stdlife))</f>
        <v>0</v>
      </c>
      <c r="S121" s="107">
        <f>IF(A4stdlife="n/a","n/a",IF(S$3&gt;(A4stdlife+$E121),('PTRM input'!$K$146*(1+rvanilla05)^0.5)-SUM($K121:R121),('PTRM input'!$K$146*(1+rvanilla05)^0.5)/A4stdlife))</f>
        <v>0</v>
      </c>
      <c r="T121" s="107">
        <f>IF(A4stdlife="n/a","n/a",IF(T$3&gt;(A4stdlife+$E121),('PTRM input'!$K$146*(1+rvanilla05)^0.5)-SUM($K121:S121),('PTRM input'!$K$146*(1+rvanilla05)^0.5)/A4stdlife))</f>
        <v>0</v>
      </c>
      <c r="U121" s="107">
        <f>IF(A4stdlife="n/a","n/a",IF(U$3&gt;(A4stdlife+$E121),('PTRM input'!$K$146*(1+rvanilla05)^0.5)-SUM($K121:T121),('PTRM input'!$K$146*(1+rvanilla05)^0.5)/A4stdlife))</f>
        <v>0</v>
      </c>
      <c r="V121" s="107">
        <f>IF(A4stdlife="n/a","n/a",IF(V$3&gt;(A4stdlife+$E121),('PTRM input'!$K$146*(1+rvanilla05)^0.5)-SUM($K121:U121),('PTRM input'!$K$146*(1+rvanilla05)^0.5)/A4stdlife))</f>
        <v>0</v>
      </c>
      <c r="W121" s="107">
        <f>IF(A4stdlife="n/a","n/a",IF(W$3&gt;(A4stdlife+$E121),('PTRM input'!$K$146*(1+rvanilla05)^0.5)-SUM($K121:V121),('PTRM input'!$K$146*(1+rvanilla05)^0.5)/A4stdlife))</f>
        <v>0</v>
      </c>
      <c r="X121" s="107">
        <f>IF(A4stdlife="n/a","n/a",IF(X$3&gt;(A4stdlife+$E121),('PTRM input'!$K$146*(1+rvanilla05)^0.5)-SUM($K121:W121),('PTRM input'!$K$146*(1+rvanilla05)^0.5)/A4stdlife))</f>
        <v>0</v>
      </c>
      <c r="Y121" s="107">
        <f>IF(A4stdlife="n/a","n/a",IF(Y$3&gt;(A4stdlife+$E121),('PTRM input'!$K$146*(1+rvanilla05)^0.5)-SUM($K121:X121),('PTRM input'!$K$146*(1+rvanilla05)^0.5)/A4stdlife))</f>
        <v>0</v>
      </c>
      <c r="Z121" s="107">
        <f>IF(A4stdlife="n/a","n/a",IF(Z$3&gt;(A4stdlife+$E121),('PTRM input'!$K$146*(1+rvanilla05)^0.5)-SUM($K121:Y121),('PTRM input'!$K$146*(1+rvanilla05)^0.5)/A4stdlife))</f>
        <v>0</v>
      </c>
      <c r="AA121" s="107">
        <f>IF(A4stdlife="n/a","n/a",IF(AA$3&gt;(A4stdlife+$E121),('PTRM input'!$K$146*(1+rvanilla05)^0.5)-SUM($K121:Z121),('PTRM input'!$K$146*(1+rvanilla05)^0.5)/A4stdlife))</f>
        <v>0</v>
      </c>
      <c r="AB121" s="107">
        <f>IF(A4stdlife="n/a","n/a",IF(AB$3&gt;(A4stdlife+$E121),('PTRM input'!$K$146*(1+rvanilla05)^0.5)-SUM($K121:AA121),('PTRM input'!$K$146*(1+rvanilla05)^0.5)/A4stdlife))</f>
        <v>0</v>
      </c>
      <c r="AC121" s="107">
        <f>IF(A4stdlife="n/a","n/a",IF(AC$3&gt;(A4stdlife+$E121),('PTRM input'!$K$146*(1+rvanilla05)^0.5)-SUM($K121:AB121),('PTRM input'!$K$146*(1+rvanilla05)^0.5)/A4stdlife))</f>
        <v>0</v>
      </c>
      <c r="AD121" s="107">
        <f>IF(A4stdlife="n/a","n/a",IF(AD$3&gt;(A4stdlife+$E121),('PTRM input'!$K$146*(1+rvanilla05)^0.5)-SUM($K121:AC121),('PTRM input'!$K$146*(1+rvanilla05)^0.5)/A4stdlife))</f>
        <v>0</v>
      </c>
      <c r="AE121" s="107">
        <f>IF(A4stdlife="n/a","n/a",IF(AE$3&gt;(A4stdlife+$E121),('PTRM input'!$K$146*(1+rvanilla05)^0.5)-SUM($K121:AD121),('PTRM input'!$K$146*(1+rvanilla05)^0.5)/A4stdlife))</f>
        <v>0</v>
      </c>
      <c r="AF121" s="107">
        <f>IF(A4stdlife="n/a","n/a",IF(AF$3&gt;(A4stdlife+$E121),('PTRM input'!$K$146*(1+rvanilla05)^0.5)-SUM($K121:AE121),('PTRM input'!$K$146*(1+rvanilla05)^0.5)/A4stdlife))</f>
        <v>0</v>
      </c>
      <c r="AG121" s="107">
        <f>IF(A4stdlife="n/a","n/a",IF(AG$3&gt;(A4stdlife+$E121),('PTRM input'!$K$146*(1+rvanilla05)^0.5)-SUM($K121:AF121),('PTRM input'!$K$146*(1+rvanilla05)^0.5)/A4stdlife))</f>
        <v>0</v>
      </c>
      <c r="AH121" s="107">
        <f>IF(A4stdlife="n/a","n/a",IF(AH$3&gt;(A4stdlife+$E121),('PTRM input'!$K$146*(1+rvanilla05)^0.5)-SUM($K121:AG121),('PTRM input'!$K$146*(1+rvanilla05)^0.5)/A4stdlife))</f>
        <v>0</v>
      </c>
      <c r="AI121" s="107">
        <f>IF(A4stdlife="n/a","n/a",IF(AI$3&gt;(A4stdlife+$E121),('PTRM input'!$K$146*(1+rvanilla05)^0.5)-SUM($K121:AH121),('PTRM input'!$K$146*(1+rvanilla05)^0.5)/A4stdlife))</f>
        <v>0</v>
      </c>
      <c r="AJ121" s="107">
        <f>IF(A4stdlife="n/a","n/a",IF(AJ$3&gt;(A4stdlife+$E121),('PTRM input'!$K$146*(1+rvanilla05)^0.5)-SUM($K121:AI121),('PTRM input'!$K$146*(1+rvanilla05)^0.5)/A4stdlife))</f>
        <v>0</v>
      </c>
      <c r="AK121" s="107">
        <f>IF(A4stdlife="n/a","n/a",IF(AK$3&gt;(A4stdlife+$E121),('PTRM input'!$K$146*(1+rvanilla05)^0.5)-SUM($K121:AJ121),('PTRM input'!$K$146*(1+rvanilla05)^0.5)/A4stdlife))</f>
        <v>0</v>
      </c>
      <c r="AL121" s="107">
        <f>IF(A4stdlife="n/a","n/a",IF(AL$3&gt;(A4stdlife+$E121),('PTRM input'!$K$146*(1+rvanilla05)^0.5)-SUM($K121:AK121),('PTRM input'!$K$146*(1+rvanilla05)^0.5)/A4stdlife))</f>
        <v>0</v>
      </c>
      <c r="AM121" s="107">
        <f>IF(A4stdlife="n/a","n/a",IF(AM$3&gt;(A4stdlife+$E121),('PTRM input'!$K$146*(1+rvanilla05)^0.5)-SUM($K121:AL121),('PTRM input'!$K$146*(1+rvanilla05)^0.5)/A4stdlife))</f>
        <v>0</v>
      </c>
      <c r="AN121" s="107">
        <f>IF(A4stdlife="n/a","n/a",IF(AN$3&gt;(A4stdlife+$E121),('PTRM input'!$K$146*(1+rvanilla05)^0.5)-SUM($K121:AM121),('PTRM input'!$K$146*(1+rvanilla05)^0.5)/A4stdlife))</f>
        <v>0</v>
      </c>
      <c r="AO121" s="107">
        <f>IF(A4stdlife="n/a","n/a",IF(AO$3&gt;(A4stdlife+$E121),('PTRM input'!$K$146*(1+rvanilla05)^0.5)-SUM($K121:AN121),('PTRM input'!$K$146*(1+rvanilla05)^0.5)/A4stdlife))</f>
        <v>0</v>
      </c>
      <c r="AP121" s="107">
        <f>IF(A4stdlife="n/a","n/a",IF(AP$3&gt;(A4stdlife+$E121),('PTRM input'!$K$146*(1+rvanilla05)^0.5)-SUM($K121:AO121),('PTRM input'!$K$146*(1+rvanilla05)^0.5)/A4stdlife))</f>
        <v>0</v>
      </c>
      <c r="AQ121" s="107">
        <f>IF(A4stdlife="n/a","n/a",IF(AQ$3&gt;(A4stdlife+$E121),('PTRM input'!$K$146*(1+rvanilla05)^0.5)-SUM($K121:AP121),('PTRM input'!$K$146*(1+rvanilla05)^0.5)/A4stdlife))</f>
        <v>0</v>
      </c>
      <c r="AR121" s="107">
        <f>IF(A4stdlife="n/a","n/a",IF(AR$3&gt;(A4stdlife+$E121),('PTRM input'!$K$146*(1+rvanilla05)^0.5)-SUM($K121:AQ121),('PTRM input'!$K$146*(1+rvanilla05)^0.5)/A4stdlife))</f>
        <v>0</v>
      </c>
      <c r="AS121" s="107">
        <f>IF(A4stdlife="n/a","n/a",IF(AS$3&gt;(A4stdlife+$E121),('PTRM input'!$K$146*(1+rvanilla05)^0.5)-SUM($K121:AR121),('PTRM input'!$K$146*(1+rvanilla05)^0.5)/A4stdlife))</f>
        <v>0</v>
      </c>
      <c r="AT121" s="107">
        <f>IF(A4stdlife="n/a","n/a",IF(AT$3&gt;(A4stdlife+$E121),('PTRM input'!$K$146*(1+rvanilla05)^0.5)-SUM($K121:AS121),('PTRM input'!$K$146*(1+rvanilla05)^0.5)/A4stdlife))</f>
        <v>0</v>
      </c>
      <c r="AU121" s="107">
        <f>IF(A4stdlife="n/a","n/a",IF(AU$3&gt;(A4stdlife+$E121),('PTRM input'!$K$146*(1+rvanilla05)^0.5)-SUM($K121:AT121),('PTRM input'!$K$146*(1+rvanilla05)^0.5)/A4stdlife))</f>
        <v>0</v>
      </c>
      <c r="AV121" s="107">
        <f>IF(A4stdlife="n/a","n/a",IF(AV$3&gt;(A4stdlife+$E121),('PTRM input'!$K$146*(1+rvanilla05)^0.5)-SUM($K121:AU121),('PTRM input'!$K$146*(1+rvanilla05)^0.5)/A4stdlife))</f>
        <v>0</v>
      </c>
      <c r="AW121" s="107">
        <f>IF(A4stdlife="n/a","n/a",IF(AW$3&gt;(A4stdlife+$E121),('PTRM input'!$K$146*(1+rvanilla05)^0.5)-SUM($K121:AV121),('PTRM input'!$K$146*(1+rvanilla05)^0.5)/A4stdlife))</f>
        <v>0</v>
      </c>
      <c r="AX121" s="107">
        <f>IF(A4stdlife="n/a","n/a",IF(AX$3&gt;(A4stdlife+$E121),('PTRM input'!$K$146*(1+rvanilla05)^0.5)-SUM($K121:AW121),('PTRM input'!$K$146*(1+rvanilla05)^0.5)/A4stdlife))</f>
        <v>0</v>
      </c>
      <c r="AY121" s="107">
        <f>IF(A4stdlife="n/a","n/a",IF(AY$3&gt;(A4stdlife+$E121),('PTRM input'!$K$146*(1+rvanilla05)^0.5)-SUM($K121:AX121),('PTRM input'!$K$146*(1+rvanilla05)^0.5)/A4stdlife))</f>
        <v>0</v>
      </c>
      <c r="AZ121" s="107">
        <f>IF(A4stdlife="n/a","n/a",IF(AZ$3&gt;(A4stdlife+$E121),('PTRM input'!$K$146*(1+rvanilla05)^0.5)-SUM($K121:AY121),('PTRM input'!$K$146*(1+rvanilla05)^0.5)/A4stdlife))</f>
        <v>0</v>
      </c>
      <c r="BA121" s="107">
        <f>IF(A4stdlife="n/a","n/a",IF(BA$3&gt;(A4stdlife+$E121),('PTRM input'!$K$146*(1+rvanilla05)^0.5)-SUM($K121:AZ121),('PTRM input'!$K$146*(1+rvanilla05)^0.5)/A4stdlife))</f>
        <v>0</v>
      </c>
      <c r="BB121" s="107">
        <f>IF(A4stdlife="n/a","n/a",IF(BB$3&gt;(A4stdlife+$E121),('PTRM input'!$K$146*(1+rvanilla05)^0.5)-SUM($K121:BA121),('PTRM input'!$K$146*(1+rvanilla05)^0.5)/A4stdlife))</f>
        <v>0</v>
      </c>
      <c r="BC121" s="107">
        <f>IF(A4stdlife="n/a","n/a",IF(BC$3&gt;(A4stdlife+$E121),('PTRM input'!$K$146*(1+rvanilla05)^0.5)-SUM($K121:BB121),('PTRM input'!$K$146*(1+rvanilla05)^0.5)/A4stdlife))</f>
        <v>0</v>
      </c>
      <c r="BD121" s="107">
        <f>IF(A4stdlife="n/a","n/a",IF(BD$3&gt;(A4stdlife+$E121),('PTRM input'!$K$146*(1+rvanilla05)^0.5)-SUM($K121:BC121),('PTRM input'!$K$146*(1+rvanilla05)^0.5)/A4stdlife))</f>
        <v>0</v>
      </c>
      <c r="BE121" s="107">
        <f>IF(A4stdlife="n/a","n/a",IF(BE$3&gt;(A4stdlife+$E121),('PTRM input'!$K$146*(1+rvanilla05)^0.5)-SUM($K121:BD121),('PTRM input'!$K$146*(1+rvanilla05)^0.5)/A4stdlife))</f>
        <v>0</v>
      </c>
      <c r="BF121" s="107">
        <f>IF(A4stdlife="n/a","n/a",IF(BF$3&gt;(A4stdlife+$E121),('PTRM input'!$K$146*(1+rvanilla05)^0.5)-SUM($K121:BE121),('PTRM input'!$K$146*(1+rvanilla05)^0.5)/A4stdlife))</f>
        <v>0</v>
      </c>
      <c r="BG121" s="107">
        <f>IF(A4stdlife="n/a","n/a",IF(BG$3&gt;(A4stdlife+$E121),('PTRM input'!$K$146*(1+rvanilla05)^0.5)-SUM($K121:BF121),('PTRM input'!$K$146*(1+rvanilla05)^0.5)/A4stdlife))</f>
        <v>0</v>
      </c>
      <c r="BH121" s="107">
        <f>IF(A4stdlife="n/a","n/a",IF(BH$3&gt;(A4stdlife+$E121),('PTRM input'!$K$146*(1+rvanilla05)^0.5)-SUM($K121:BG121),('PTRM input'!$K$146*(1+rvanilla05)^0.5)/A4stdlife))</f>
        <v>0</v>
      </c>
      <c r="BI121" s="107">
        <f>IF(A4stdlife="n/a","n/a",IF(BI$3&gt;(A4stdlife+$E121),('PTRM input'!$K$146*(1+rvanilla05)^0.5)-SUM($K121:BH121),('PTRM input'!$K$146*(1+rvanilla05)^0.5)/A4stdlife))</f>
        <v>0</v>
      </c>
      <c r="BJ121" s="237"/>
      <c r="BK121" s="237"/>
      <c r="BL121" s="237"/>
      <c r="BM121" s="237"/>
    </row>
    <row r="122" spans="1:65" s="190" customFormat="1" hidden="1" outlineLevel="2">
      <c r="A122" s="237"/>
      <c r="B122" s="33"/>
      <c r="C122" s="32"/>
      <c r="D122" s="1618"/>
      <c r="E122" s="169">
        <v>6</v>
      </c>
      <c r="F122" s="35"/>
      <c r="G122" s="184"/>
      <c r="H122" s="186"/>
      <c r="I122" s="186"/>
      <c r="J122" s="186"/>
      <c r="K122" s="186"/>
      <c r="L122" s="185"/>
      <c r="M122" s="107">
        <f>IF(A4stdlife="n/a","n/a",IF(M$3&gt;(A4stdlife+$E122),('PTRM input'!$L$146*(1+rvanilla06)^0.5)-SUM($L122:L122),('PTRM input'!$L$146*(1+rvanilla06)^0.5)/A4stdlife))</f>
        <v>0</v>
      </c>
      <c r="N122" s="107">
        <f>IF(A4stdlife="n/a","n/a",IF(N$3&gt;(A4stdlife+$E122),('PTRM input'!$L$146*(1+rvanilla06)^0.5)-SUM($L122:M122),('PTRM input'!$L$146*(1+rvanilla06)^0.5)/A4stdlife))</f>
        <v>0</v>
      </c>
      <c r="O122" s="107">
        <f>IF(A4stdlife="n/a","n/a",IF(O$3&gt;(A4stdlife+$E122),('PTRM input'!$L$146*(1+rvanilla06)^0.5)-SUM($L122:N122),('PTRM input'!$L$146*(1+rvanilla06)^0.5)/A4stdlife))</f>
        <v>0</v>
      </c>
      <c r="P122" s="107">
        <f>IF(A4stdlife="n/a","n/a",IF(P$3&gt;(A4stdlife+$E122),('PTRM input'!$L$146*(1+rvanilla06)^0.5)-SUM($L122:O122),('PTRM input'!$L$146*(1+rvanilla06)^0.5)/A4stdlife))</f>
        <v>0</v>
      </c>
      <c r="Q122" s="107">
        <f>IF(A4stdlife="n/a","n/a",IF(Q$3&gt;(A4stdlife+$E122),('PTRM input'!$L$146*(1+rvanilla06)^0.5)-SUM($L122:P122),('PTRM input'!$L$146*(1+rvanilla06)^0.5)/A4stdlife))</f>
        <v>0</v>
      </c>
      <c r="R122" s="107">
        <f>IF(A4stdlife="n/a","n/a",IF(R$3&gt;(A4stdlife+$E122),('PTRM input'!$L$146*(1+rvanilla06)^0.5)-SUM($L122:Q122),('PTRM input'!$L$146*(1+rvanilla06)^0.5)/A4stdlife))</f>
        <v>0</v>
      </c>
      <c r="S122" s="107">
        <f>IF(A4stdlife="n/a","n/a",IF(S$3&gt;(A4stdlife+$E122),('PTRM input'!$L$146*(1+rvanilla06)^0.5)-SUM($L122:R122),('PTRM input'!$L$146*(1+rvanilla06)^0.5)/A4stdlife))</f>
        <v>0</v>
      </c>
      <c r="T122" s="107">
        <f>IF(A4stdlife="n/a","n/a",IF(T$3&gt;(A4stdlife+$E122),('PTRM input'!$L$146*(1+rvanilla06)^0.5)-SUM($L122:S122),('PTRM input'!$L$146*(1+rvanilla06)^0.5)/A4stdlife))</f>
        <v>0</v>
      </c>
      <c r="U122" s="107">
        <f>IF(A4stdlife="n/a","n/a",IF(U$3&gt;(A4stdlife+$E122),('PTRM input'!$L$146*(1+rvanilla06)^0.5)-SUM($L122:T122),('PTRM input'!$L$146*(1+rvanilla06)^0.5)/A4stdlife))</f>
        <v>0</v>
      </c>
      <c r="V122" s="107">
        <f>IF(A4stdlife="n/a","n/a",IF(V$3&gt;(A4stdlife+$E122),('PTRM input'!$L$146*(1+rvanilla06)^0.5)-SUM($L122:U122),('PTRM input'!$L$146*(1+rvanilla06)^0.5)/A4stdlife))</f>
        <v>0</v>
      </c>
      <c r="W122" s="107">
        <f>IF(A4stdlife="n/a","n/a",IF(W$3&gt;(A4stdlife+$E122),('PTRM input'!$L$146*(1+rvanilla06)^0.5)-SUM($L122:V122),('PTRM input'!$L$146*(1+rvanilla06)^0.5)/A4stdlife))</f>
        <v>0</v>
      </c>
      <c r="X122" s="107">
        <f>IF(A4stdlife="n/a","n/a",IF(X$3&gt;(A4stdlife+$E122),('PTRM input'!$L$146*(1+rvanilla06)^0.5)-SUM($L122:W122),('PTRM input'!$L$146*(1+rvanilla06)^0.5)/A4stdlife))</f>
        <v>0</v>
      </c>
      <c r="Y122" s="107">
        <f>IF(A4stdlife="n/a","n/a",IF(Y$3&gt;(A4stdlife+$E122),('PTRM input'!$L$146*(1+rvanilla06)^0.5)-SUM($L122:X122),('PTRM input'!$L$146*(1+rvanilla06)^0.5)/A4stdlife))</f>
        <v>0</v>
      </c>
      <c r="Z122" s="107">
        <f>IF(A4stdlife="n/a","n/a",IF(Z$3&gt;(A4stdlife+$E122),('PTRM input'!$L$146*(1+rvanilla06)^0.5)-SUM($L122:Y122),('PTRM input'!$L$146*(1+rvanilla06)^0.5)/A4stdlife))</f>
        <v>0</v>
      </c>
      <c r="AA122" s="107">
        <f>IF(A4stdlife="n/a","n/a",IF(AA$3&gt;(A4stdlife+$E122),('PTRM input'!$L$146*(1+rvanilla06)^0.5)-SUM($L122:Z122),('PTRM input'!$L$146*(1+rvanilla06)^0.5)/A4stdlife))</f>
        <v>0</v>
      </c>
      <c r="AB122" s="107">
        <f>IF(A4stdlife="n/a","n/a",IF(AB$3&gt;(A4stdlife+$E122),('PTRM input'!$L$146*(1+rvanilla06)^0.5)-SUM($L122:AA122),('PTRM input'!$L$146*(1+rvanilla06)^0.5)/A4stdlife))</f>
        <v>0</v>
      </c>
      <c r="AC122" s="107">
        <f>IF(A4stdlife="n/a","n/a",IF(AC$3&gt;(A4stdlife+$E122),('PTRM input'!$L$146*(1+rvanilla06)^0.5)-SUM($L122:AB122),('PTRM input'!$L$146*(1+rvanilla06)^0.5)/A4stdlife))</f>
        <v>0</v>
      </c>
      <c r="AD122" s="107">
        <f>IF(A4stdlife="n/a","n/a",IF(AD$3&gt;(A4stdlife+$E122),('PTRM input'!$L$146*(1+rvanilla06)^0.5)-SUM($L122:AC122),('PTRM input'!$L$146*(1+rvanilla06)^0.5)/A4stdlife))</f>
        <v>0</v>
      </c>
      <c r="AE122" s="107">
        <f>IF(A4stdlife="n/a","n/a",IF(AE$3&gt;(A4stdlife+$E122),('PTRM input'!$L$146*(1+rvanilla06)^0.5)-SUM($L122:AD122),('PTRM input'!$L$146*(1+rvanilla06)^0.5)/A4stdlife))</f>
        <v>0</v>
      </c>
      <c r="AF122" s="107">
        <f>IF(A4stdlife="n/a","n/a",IF(AF$3&gt;(A4stdlife+$E122),('PTRM input'!$L$146*(1+rvanilla06)^0.5)-SUM($L122:AE122),('PTRM input'!$L$146*(1+rvanilla06)^0.5)/A4stdlife))</f>
        <v>0</v>
      </c>
      <c r="AG122" s="107">
        <f>IF(A4stdlife="n/a","n/a",IF(AG$3&gt;(A4stdlife+$E122),('PTRM input'!$L$146*(1+rvanilla06)^0.5)-SUM($L122:AF122),('PTRM input'!$L$146*(1+rvanilla06)^0.5)/A4stdlife))</f>
        <v>0</v>
      </c>
      <c r="AH122" s="107">
        <f>IF(A4stdlife="n/a","n/a",IF(AH$3&gt;(A4stdlife+$E122),('PTRM input'!$L$146*(1+rvanilla06)^0.5)-SUM($L122:AG122),('PTRM input'!$L$146*(1+rvanilla06)^0.5)/A4stdlife))</f>
        <v>0</v>
      </c>
      <c r="AI122" s="107">
        <f>IF(A4stdlife="n/a","n/a",IF(AI$3&gt;(A4stdlife+$E122),('PTRM input'!$L$146*(1+rvanilla06)^0.5)-SUM($L122:AH122),('PTRM input'!$L$146*(1+rvanilla06)^0.5)/A4stdlife))</f>
        <v>0</v>
      </c>
      <c r="AJ122" s="107">
        <f>IF(A4stdlife="n/a","n/a",IF(AJ$3&gt;(A4stdlife+$E122),('PTRM input'!$L$146*(1+rvanilla06)^0.5)-SUM($L122:AI122),('PTRM input'!$L$146*(1+rvanilla06)^0.5)/A4stdlife))</f>
        <v>0</v>
      </c>
      <c r="AK122" s="107">
        <f>IF(A4stdlife="n/a","n/a",IF(AK$3&gt;(A4stdlife+$E122),('PTRM input'!$L$146*(1+rvanilla06)^0.5)-SUM($L122:AJ122),('PTRM input'!$L$146*(1+rvanilla06)^0.5)/A4stdlife))</f>
        <v>0</v>
      </c>
      <c r="AL122" s="107">
        <f>IF(A4stdlife="n/a","n/a",IF(AL$3&gt;(A4stdlife+$E122),('PTRM input'!$L$146*(1+rvanilla06)^0.5)-SUM($L122:AK122),('PTRM input'!$L$146*(1+rvanilla06)^0.5)/A4stdlife))</f>
        <v>0</v>
      </c>
      <c r="AM122" s="107">
        <f>IF(A4stdlife="n/a","n/a",IF(AM$3&gt;(A4stdlife+$E122),('PTRM input'!$L$146*(1+rvanilla06)^0.5)-SUM($L122:AL122),('PTRM input'!$L$146*(1+rvanilla06)^0.5)/A4stdlife))</f>
        <v>0</v>
      </c>
      <c r="AN122" s="107">
        <f>IF(A4stdlife="n/a","n/a",IF(AN$3&gt;(A4stdlife+$E122),('PTRM input'!$L$146*(1+rvanilla06)^0.5)-SUM($L122:AM122),('PTRM input'!$L$146*(1+rvanilla06)^0.5)/A4stdlife))</f>
        <v>0</v>
      </c>
      <c r="AO122" s="107">
        <f>IF(A4stdlife="n/a","n/a",IF(AO$3&gt;(A4stdlife+$E122),('PTRM input'!$L$146*(1+rvanilla06)^0.5)-SUM($L122:AN122),('PTRM input'!$L$146*(1+rvanilla06)^0.5)/A4stdlife))</f>
        <v>0</v>
      </c>
      <c r="AP122" s="107">
        <f>IF(A4stdlife="n/a","n/a",IF(AP$3&gt;(A4stdlife+$E122),('PTRM input'!$L$146*(1+rvanilla06)^0.5)-SUM($L122:AO122),('PTRM input'!$L$146*(1+rvanilla06)^0.5)/A4stdlife))</f>
        <v>0</v>
      </c>
      <c r="AQ122" s="107">
        <f>IF(A4stdlife="n/a","n/a",IF(AQ$3&gt;(A4stdlife+$E122),('PTRM input'!$L$146*(1+rvanilla06)^0.5)-SUM($L122:AP122),('PTRM input'!$L$146*(1+rvanilla06)^0.5)/A4stdlife))</f>
        <v>0</v>
      </c>
      <c r="AR122" s="107">
        <f>IF(A4stdlife="n/a","n/a",IF(AR$3&gt;(A4stdlife+$E122),('PTRM input'!$L$146*(1+rvanilla06)^0.5)-SUM($L122:AQ122),('PTRM input'!$L$146*(1+rvanilla06)^0.5)/A4stdlife))</f>
        <v>0</v>
      </c>
      <c r="AS122" s="107">
        <f>IF(A4stdlife="n/a","n/a",IF(AS$3&gt;(A4stdlife+$E122),('PTRM input'!$L$146*(1+rvanilla06)^0.5)-SUM($L122:AR122),('PTRM input'!$L$146*(1+rvanilla06)^0.5)/A4stdlife))</f>
        <v>0</v>
      </c>
      <c r="AT122" s="107">
        <f>IF(A4stdlife="n/a","n/a",IF(AT$3&gt;(A4stdlife+$E122),('PTRM input'!$L$146*(1+rvanilla06)^0.5)-SUM($L122:AS122),('PTRM input'!$L$146*(1+rvanilla06)^0.5)/A4stdlife))</f>
        <v>0</v>
      </c>
      <c r="AU122" s="107">
        <f>IF(A4stdlife="n/a","n/a",IF(AU$3&gt;(A4stdlife+$E122),('PTRM input'!$L$146*(1+rvanilla06)^0.5)-SUM($L122:AT122),('PTRM input'!$L$146*(1+rvanilla06)^0.5)/A4stdlife))</f>
        <v>0</v>
      </c>
      <c r="AV122" s="107">
        <f>IF(A4stdlife="n/a","n/a",IF(AV$3&gt;(A4stdlife+$E122),('PTRM input'!$L$146*(1+rvanilla06)^0.5)-SUM($L122:AU122),('PTRM input'!$L$146*(1+rvanilla06)^0.5)/A4stdlife))</f>
        <v>0</v>
      </c>
      <c r="AW122" s="107">
        <f>IF(A4stdlife="n/a","n/a",IF(AW$3&gt;(A4stdlife+$E122),('PTRM input'!$L$146*(1+rvanilla06)^0.5)-SUM($L122:AV122),('PTRM input'!$L$146*(1+rvanilla06)^0.5)/A4stdlife))</f>
        <v>0</v>
      </c>
      <c r="AX122" s="107">
        <f>IF(A4stdlife="n/a","n/a",IF(AX$3&gt;(A4stdlife+$E122),('PTRM input'!$L$146*(1+rvanilla06)^0.5)-SUM($L122:AW122),('PTRM input'!$L$146*(1+rvanilla06)^0.5)/A4stdlife))</f>
        <v>0</v>
      </c>
      <c r="AY122" s="107">
        <f>IF(A4stdlife="n/a","n/a",IF(AY$3&gt;(A4stdlife+$E122),('PTRM input'!$L$146*(1+rvanilla06)^0.5)-SUM($L122:AX122),('PTRM input'!$L$146*(1+rvanilla06)^0.5)/A4stdlife))</f>
        <v>0</v>
      </c>
      <c r="AZ122" s="107">
        <f>IF(A4stdlife="n/a","n/a",IF(AZ$3&gt;(A4stdlife+$E122),('PTRM input'!$L$146*(1+rvanilla06)^0.5)-SUM($L122:AY122),('PTRM input'!$L$146*(1+rvanilla06)^0.5)/A4stdlife))</f>
        <v>0</v>
      </c>
      <c r="BA122" s="107">
        <f>IF(A4stdlife="n/a","n/a",IF(BA$3&gt;(A4stdlife+$E122),('PTRM input'!$L$146*(1+rvanilla06)^0.5)-SUM($L122:AZ122),('PTRM input'!$L$146*(1+rvanilla06)^0.5)/A4stdlife))</f>
        <v>0</v>
      </c>
      <c r="BB122" s="107">
        <f>IF(A4stdlife="n/a","n/a",IF(BB$3&gt;(A4stdlife+$E122),('PTRM input'!$L$146*(1+rvanilla06)^0.5)-SUM($L122:BA122),('PTRM input'!$L$146*(1+rvanilla06)^0.5)/A4stdlife))</f>
        <v>0</v>
      </c>
      <c r="BC122" s="107">
        <f>IF(A4stdlife="n/a","n/a",IF(BC$3&gt;(A4stdlife+$E122),('PTRM input'!$L$146*(1+rvanilla06)^0.5)-SUM($L122:BB122),('PTRM input'!$L$146*(1+rvanilla06)^0.5)/A4stdlife))</f>
        <v>0</v>
      </c>
      <c r="BD122" s="107">
        <f>IF(A4stdlife="n/a","n/a",IF(BD$3&gt;(A4stdlife+$E122),('PTRM input'!$L$146*(1+rvanilla06)^0.5)-SUM($L122:BC122),('PTRM input'!$L$146*(1+rvanilla06)^0.5)/A4stdlife))</f>
        <v>0</v>
      </c>
      <c r="BE122" s="107">
        <f>IF(A4stdlife="n/a","n/a",IF(BE$3&gt;(A4stdlife+$E122),('PTRM input'!$L$146*(1+rvanilla06)^0.5)-SUM($L122:BD122),('PTRM input'!$L$146*(1+rvanilla06)^0.5)/A4stdlife))</f>
        <v>0</v>
      </c>
      <c r="BF122" s="107">
        <f>IF(A4stdlife="n/a","n/a",IF(BF$3&gt;(A4stdlife+$E122),('PTRM input'!$L$146*(1+rvanilla06)^0.5)-SUM($L122:BE122),('PTRM input'!$L$146*(1+rvanilla06)^0.5)/A4stdlife))</f>
        <v>0</v>
      </c>
      <c r="BG122" s="107">
        <f>IF(A4stdlife="n/a","n/a",IF(BG$3&gt;(A4stdlife+$E122),('PTRM input'!$L$146*(1+rvanilla06)^0.5)-SUM($L122:BF122),('PTRM input'!$L$146*(1+rvanilla06)^0.5)/A4stdlife))</f>
        <v>0</v>
      </c>
      <c r="BH122" s="107">
        <f>IF(A4stdlife="n/a","n/a",IF(BH$3&gt;(A4stdlife+$E122),('PTRM input'!$L$146*(1+rvanilla06)^0.5)-SUM($L122:BG122),('PTRM input'!$L$146*(1+rvanilla06)^0.5)/A4stdlife))</f>
        <v>0</v>
      </c>
      <c r="BI122" s="107">
        <f>IF(A4stdlife="n/a","n/a",IF(BI$3&gt;(A4stdlife+$E122),('PTRM input'!$L$146*(1+rvanilla06)^0.5)-SUM($L122:BH122),('PTRM input'!$L$146*(1+rvanilla06)^0.5)/A4stdlife))</f>
        <v>0</v>
      </c>
      <c r="BJ122" s="237"/>
      <c r="BK122" s="237"/>
      <c r="BL122" s="237"/>
      <c r="BM122" s="237"/>
    </row>
    <row r="123" spans="1:65" s="190" customFormat="1" hidden="1" outlineLevel="2">
      <c r="A123" s="237"/>
      <c r="B123" s="33"/>
      <c r="C123" s="32"/>
      <c r="D123" s="1618"/>
      <c r="E123" s="169">
        <v>7</v>
      </c>
      <c r="F123" s="35"/>
      <c r="G123" s="184"/>
      <c r="H123" s="186"/>
      <c r="I123" s="186"/>
      <c r="J123" s="186"/>
      <c r="K123" s="186"/>
      <c r="L123" s="186"/>
      <c r="M123" s="185"/>
      <c r="N123" s="107">
        <f>IF(A4stdlife="n/a","n/a",IF(N$3&gt;(A4stdlife+$E123),('PTRM input'!$M$146*(1+rvanilla07)^0.5)-SUM($M123:M123),('PTRM input'!$M$146*(1+rvanilla07)^0.5)/A4stdlife))</f>
        <v>0</v>
      </c>
      <c r="O123" s="107">
        <f>IF(A4stdlife="n/a","n/a",IF(O$3&gt;(A4stdlife+$E123),('PTRM input'!$M$146*(1+rvanilla07)^0.5)-SUM($M123:N123),('PTRM input'!$M$146*(1+rvanilla07)^0.5)/A4stdlife))</f>
        <v>0</v>
      </c>
      <c r="P123" s="107">
        <f>IF(A4stdlife="n/a","n/a",IF(P$3&gt;(A4stdlife+$E123),('PTRM input'!$M$146*(1+rvanilla07)^0.5)-SUM($M123:O123),('PTRM input'!$M$146*(1+rvanilla07)^0.5)/A4stdlife))</f>
        <v>0</v>
      </c>
      <c r="Q123" s="107">
        <f>IF(A4stdlife="n/a","n/a",IF(Q$3&gt;(A4stdlife+$E123),('PTRM input'!$M$146*(1+rvanilla07)^0.5)-SUM($M123:P123),('PTRM input'!$M$146*(1+rvanilla07)^0.5)/A4stdlife))</f>
        <v>0</v>
      </c>
      <c r="R123" s="107">
        <f>IF(A4stdlife="n/a","n/a",IF(R$3&gt;(A4stdlife+$E123),('PTRM input'!$M$146*(1+rvanilla07)^0.5)-SUM($M123:Q123),('PTRM input'!$M$146*(1+rvanilla07)^0.5)/A4stdlife))</f>
        <v>0</v>
      </c>
      <c r="S123" s="107">
        <f>IF(A4stdlife="n/a","n/a",IF(S$3&gt;(A4stdlife+$E123),('PTRM input'!$M$146*(1+rvanilla07)^0.5)-SUM($M123:R123),('PTRM input'!$M$146*(1+rvanilla07)^0.5)/A4stdlife))</f>
        <v>0</v>
      </c>
      <c r="T123" s="107">
        <f>IF(A4stdlife="n/a","n/a",IF(T$3&gt;(A4stdlife+$E123),('PTRM input'!$M$146*(1+rvanilla07)^0.5)-SUM($M123:S123),('PTRM input'!$M$146*(1+rvanilla07)^0.5)/A4stdlife))</f>
        <v>0</v>
      </c>
      <c r="U123" s="107">
        <f>IF(A4stdlife="n/a","n/a",IF(U$3&gt;(A4stdlife+$E123),('PTRM input'!$M$146*(1+rvanilla07)^0.5)-SUM($M123:T123),('PTRM input'!$M$146*(1+rvanilla07)^0.5)/A4stdlife))</f>
        <v>0</v>
      </c>
      <c r="V123" s="107">
        <f>IF(A4stdlife="n/a","n/a",IF(V$3&gt;(A4stdlife+$E123),('PTRM input'!$M$146*(1+rvanilla07)^0.5)-SUM($M123:U123),('PTRM input'!$M$146*(1+rvanilla07)^0.5)/A4stdlife))</f>
        <v>0</v>
      </c>
      <c r="W123" s="107">
        <f>IF(A4stdlife="n/a","n/a",IF(W$3&gt;(A4stdlife+$E123),('PTRM input'!$M$146*(1+rvanilla07)^0.5)-SUM($M123:V123),('PTRM input'!$M$146*(1+rvanilla07)^0.5)/A4stdlife))</f>
        <v>0</v>
      </c>
      <c r="X123" s="107">
        <f>IF(A4stdlife="n/a","n/a",IF(X$3&gt;(A4stdlife+$E123),('PTRM input'!$M$146*(1+rvanilla07)^0.5)-SUM($M123:W123),('PTRM input'!$M$146*(1+rvanilla07)^0.5)/A4stdlife))</f>
        <v>0</v>
      </c>
      <c r="Y123" s="107">
        <f>IF(A4stdlife="n/a","n/a",IF(Y$3&gt;(A4stdlife+$E123),('PTRM input'!$M$146*(1+rvanilla07)^0.5)-SUM($M123:X123),('PTRM input'!$M$146*(1+rvanilla07)^0.5)/A4stdlife))</f>
        <v>0</v>
      </c>
      <c r="Z123" s="107">
        <f>IF(A4stdlife="n/a","n/a",IF(Z$3&gt;(A4stdlife+$E123),('PTRM input'!$M$146*(1+rvanilla07)^0.5)-SUM($M123:Y123),('PTRM input'!$M$146*(1+rvanilla07)^0.5)/A4stdlife))</f>
        <v>0</v>
      </c>
      <c r="AA123" s="107">
        <f>IF(A4stdlife="n/a","n/a",IF(AA$3&gt;(A4stdlife+$E123),('PTRM input'!$M$146*(1+rvanilla07)^0.5)-SUM($M123:Z123),('PTRM input'!$M$146*(1+rvanilla07)^0.5)/A4stdlife))</f>
        <v>0</v>
      </c>
      <c r="AB123" s="107">
        <f>IF(A4stdlife="n/a","n/a",IF(AB$3&gt;(A4stdlife+$E123),('PTRM input'!$M$146*(1+rvanilla07)^0.5)-SUM($M123:AA123),('PTRM input'!$M$146*(1+rvanilla07)^0.5)/A4stdlife))</f>
        <v>0</v>
      </c>
      <c r="AC123" s="107">
        <f>IF(A4stdlife="n/a","n/a",IF(AC$3&gt;(A4stdlife+$E123),('PTRM input'!$M$146*(1+rvanilla07)^0.5)-SUM($M123:AB123),('PTRM input'!$M$146*(1+rvanilla07)^0.5)/A4stdlife))</f>
        <v>0</v>
      </c>
      <c r="AD123" s="107">
        <f>IF(A4stdlife="n/a","n/a",IF(AD$3&gt;(A4stdlife+$E123),('PTRM input'!$M$146*(1+rvanilla07)^0.5)-SUM($M123:AC123),('PTRM input'!$M$146*(1+rvanilla07)^0.5)/A4stdlife))</f>
        <v>0</v>
      </c>
      <c r="AE123" s="107">
        <f>IF(A4stdlife="n/a","n/a",IF(AE$3&gt;(A4stdlife+$E123),('PTRM input'!$M$146*(1+rvanilla07)^0.5)-SUM($M123:AD123),('PTRM input'!$M$146*(1+rvanilla07)^0.5)/A4stdlife))</f>
        <v>0</v>
      </c>
      <c r="AF123" s="107">
        <f>IF(A4stdlife="n/a","n/a",IF(AF$3&gt;(A4stdlife+$E123),('PTRM input'!$M$146*(1+rvanilla07)^0.5)-SUM($M123:AE123),('PTRM input'!$M$146*(1+rvanilla07)^0.5)/A4stdlife))</f>
        <v>0</v>
      </c>
      <c r="AG123" s="107">
        <f>IF(A4stdlife="n/a","n/a",IF(AG$3&gt;(A4stdlife+$E123),('PTRM input'!$M$146*(1+rvanilla07)^0.5)-SUM($M123:AF123),('PTRM input'!$M$146*(1+rvanilla07)^0.5)/A4stdlife))</f>
        <v>0</v>
      </c>
      <c r="AH123" s="107">
        <f>IF(A4stdlife="n/a","n/a",IF(AH$3&gt;(A4stdlife+$E123),('PTRM input'!$M$146*(1+rvanilla07)^0.5)-SUM($M123:AG123),('PTRM input'!$M$146*(1+rvanilla07)^0.5)/A4stdlife))</f>
        <v>0</v>
      </c>
      <c r="AI123" s="107">
        <f>IF(A4stdlife="n/a","n/a",IF(AI$3&gt;(A4stdlife+$E123),('PTRM input'!$M$146*(1+rvanilla07)^0.5)-SUM($M123:AH123),('PTRM input'!$M$146*(1+rvanilla07)^0.5)/A4stdlife))</f>
        <v>0</v>
      </c>
      <c r="AJ123" s="107">
        <f>IF(A4stdlife="n/a","n/a",IF(AJ$3&gt;(A4stdlife+$E123),('PTRM input'!$M$146*(1+rvanilla07)^0.5)-SUM($M123:AI123),('PTRM input'!$M$146*(1+rvanilla07)^0.5)/A4stdlife))</f>
        <v>0</v>
      </c>
      <c r="AK123" s="107">
        <f>IF(A4stdlife="n/a","n/a",IF(AK$3&gt;(A4stdlife+$E123),('PTRM input'!$M$146*(1+rvanilla07)^0.5)-SUM($M123:AJ123),('PTRM input'!$M$146*(1+rvanilla07)^0.5)/A4stdlife))</f>
        <v>0</v>
      </c>
      <c r="AL123" s="107">
        <f>IF(A4stdlife="n/a","n/a",IF(AL$3&gt;(A4stdlife+$E123),('PTRM input'!$M$146*(1+rvanilla07)^0.5)-SUM($M123:AK123),('PTRM input'!$M$146*(1+rvanilla07)^0.5)/A4stdlife))</f>
        <v>0</v>
      </c>
      <c r="AM123" s="107">
        <f>IF(A4stdlife="n/a","n/a",IF(AM$3&gt;(A4stdlife+$E123),('PTRM input'!$M$146*(1+rvanilla07)^0.5)-SUM($M123:AL123),('PTRM input'!$M$146*(1+rvanilla07)^0.5)/A4stdlife))</f>
        <v>0</v>
      </c>
      <c r="AN123" s="107">
        <f>IF(A4stdlife="n/a","n/a",IF(AN$3&gt;(A4stdlife+$E123),('PTRM input'!$M$146*(1+rvanilla07)^0.5)-SUM($M123:AM123),('PTRM input'!$M$146*(1+rvanilla07)^0.5)/A4stdlife))</f>
        <v>0</v>
      </c>
      <c r="AO123" s="107">
        <f>IF(A4stdlife="n/a","n/a",IF(AO$3&gt;(A4stdlife+$E123),('PTRM input'!$M$146*(1+rvanilla07)^0.5)-SUM($M123:AN123),('PTRM input'!$M$146*(1+rvanilla07)^0.5)/A4stdlife))</f>
        <v>0</v>
      </c>
      <c r="AP123" s="107">
        <f>IF(A4stdlife="n/a","n/a",IF(AP$3&gt;(A4stdlife+$E123),('PTRM input'!$M$146*(1+rvanilla07)^0.5)-SUM($M123:AO123),('PTRM input'!$M$146*(1+rvanilla07)^0.5)/A4stdlife))</f>
        <v>0</v>
      </c>
      <c r="AQ123" s="107">
        <f>IF(A4stdlife="n/a","n/a",IF(AQ$3&gt;(A4stdlife+$E123),('PTRM input'!$M$146*(1+rvanilla07)^0.5)-SUM($M123:AP123),('PTRM input'!$M$146*(1+rvanilla07)^0.5)/A4stdlife))</f>
        <v>0</v>
      </c>
      <c r="AR123" s="107">
        <f>IF(A4stdlife="n/a","n/a",IF(AR$3&gt;(A4stdlife+$E123),('PTRM input'!$M$146*(1+rvanilla07)^0.5)-SUM($M123:AQ123),('PTRM input'!$M$146*(1+rvanilla07)^0.5)/A4stdlife))</f>
        <v>0</v>
      </c>
      <c r="AS123" s="107">
        <f>IF(A4stdlife="n/a","n/a",IF(AS$3&gt;(A4stdlife+$E123),('PTRM input'!$M$146*(1+rvanilla07)^0.5)-SUM($M123:AR123),('PTRM input'!$M$146*(1+rvanilla07)^0.5)/A4stdlife))</f>
        <v>0</v>
      </c>
      <c r="AT123" s="107">
        <f>IF(A4stdlife="n/a","n/a",IF(AT$3&gt;(A4stdlife+$E123),('PTRM input'!$M$146*(1+rvanilla07)^0.5)-SUM($M123:AS123),('PTRM input'!$M$146*(1+rvanilla07)^0.5)/A4stdlife))</f>
        <v>0</v>
      </c>
      <c r="AU123" s="107">
        <f>IF(A4stdlife="n/a","n/a",IF(AU$3&gt;(A4stdlife+$E123),('PTRM input'!$M$146*(1+rvanilla07)^0.5)-SUM($M123:AT123),('PTRM input'!$M$146*(1+rvanilla07)^0.5)/A4stdlife))</f>
        <v>0</v>
      </c>
      <c r="AV123" s="107">
        <f>IF(A4stdlife="n/a","n/a",IF(AV$3&gt;(A4stdlife+$E123),('PTRM input'!$M$146*(1+rvanilla07)^0.5)-SUM($M123:AU123),('PTRM input'!$M$146*(1+rvanilla07)^0.5)/A4stdlife))</f>
        <v>0</v>
      </c>
      <c r="AW123" s="107">
        <f>IF(A4stdlife="n/a","n/a",IF(AW$3&gt;(A4stdlife+$E123),('PTRM input'!$M$146*(1+rvanilla07)^0.5)-SUM($M123:AV123),('PTRM input'!$M$146*(1+rvanilla07)^0.5)/A4stdlife))</f>
        <v>0</v>
      </c>
      <c r="AX123" s="107">
        <f>IF(A4stdlife="n/a","n/a",IF(AX$3&gt;(A4stdlife+$E123),('PTRM input'!$M$146*(1+rvanilla07)^0.5)-SUM($M123:AW123),('PTRM input'!$M$146*(1+rvanilla07)^0.5)/A4stdlife))</f>
        <v>0</v>
      </c>
      <c r="AY123" s="107">
        <f>IF(A4stdlife="n/a","n/a",IF(AY$3&gt;(A4stdlife+$E123),('PTRM input'!$M$146*(1+rvanilla07)^0.5)-SUM($M123:AX123),('PTRM input'!$M$146*(1+rvanilla07)^0.5)/A4stdlife))</f>
        <v>0</v>
      </c>
      <c r="AZ123" s="107">
        <f>IF(A4stdlife="n/a","n/a",IF(AZ$3&gt;(A4stdlife+$E123),('PTRM input'!$M$146*(1+rvanilla07)^0.5)-SUM($M123:AY123),('PTRM input'!$M$146*(1+rvanilla07)^0.5)/A4stdlife))</f>
        <v>0</v>
      </c>
      <c r="BA123" s="107">
        <f>IF(A4stdlife="n/a","n/a",IF(BA$3&gt;(A4stdlife+$E123),('PTRM input'!$M$146*(1+rvanilla07)^0.5)-SUM($M123:AZ123),('PTRM input'!$M$146*(1+rvanilla07)^0.5)/A4stdlife))</f>
        <v>0</v>
      </c>
      <c r="BB123" s="107">
        <f>IF(A4stdlife="n/a","n/a",IF(BB$3&gt;(A4stdlife+$E123),('PTRM input'!$M$146*(1+rvanilla07)^0.5)-SUM($M123:BA123),('PTRM input'!$M$146*(1+rvanilla07)^0.5)/A4stdlife))</f>
        <v>0</v>
      </c>
      <c r="BC123" s="107">
        <f>IF(A4stdlife="n/a","n/a",IF(BC$3&gt;(A4stdlife+$E123),('PTRM input'!$M$146*(1+rvanilla07)^0.5)-SUM($M123:BB123),('PTRM input'!$M$146*(1+rvanilla07)^0.5)/A4stdlife))</f>
        <v>0</v>
      </c>
      <c r="BD123" s="107">
        <f>IF(A4stdlife="n/a","n/a",IF(BD$3&gt;(A4stdlife+$E123),('PTRM input'!$M$146*(1+rvanilla07)^0.5)-SUM($M123:BC123),('PTRM input'!$M$146*(1+rvanilla07)^0.5)/A4stdlife))</f>
        <v>0</v>
      </c>
      <c r="BE123" s="107">
        <f>IF(A4stdlife="n/a","n/a",IF(BE$3&gt;(A4stdlife+$E123),('PTRM input'!$M$146*(1+rvanilla07)^0.5)-SUM($M123:BD123),('PTRM input'!$M$146*(1+rvanilla07)^0.5)/A4stdlife))</f>
        <v>0</v>
      </c>
      <c r="BF123" s="107">
        <f>IF(A4stdlife="n/a","n/a",IF(BF$3&gt;(A4stdlife+$E123),('PTRM input'!$M$146*(1+rvanilla07)^0.5)-SUM($M123:BE123),('PTRM input'!$M$146*(1+rvanilla07)^0.5)/A4stdlife))</f>
        <v>0</v>
      </c>
      <c r="BG123" s="107">
        <f>IF(A4stdlife="n/a","n/a",IF(BG$3&gt;(A4stdlife+$E123),('PTRM input'!$M$146*(1+rvanilla07)^0.5)-SUM($M123:BF123),('PTRM input'!$M$146*(1+rvanilla07)^0.5)/A4stdlife))</f>
        <v>0</v>
      </c>
      <c r="BH123" s="107">
        <f>IF(A4stdlife="n/a","n/a",IF(BH$3&gt;(A4stdlife+$E123),('PTRM input'!$M$146*(1+rvanilla07)^0.5)-SUM($M123:BG123),('PTRM input'!$M$146*(1+rvanilla07)^0.5)/A4stdlife))</f>
        <v>0</v>
      </c>
      <c r="BI123" s="107">
        <f>IF(A4stdlife="n/a","n/a",IF(BI$3&gt;(A4stdlife+$E123),('PTRM input'!$M$146*(1+rvanilla07)^0.5)-SUM($M123:BH123),('PTRM input'!$M$146*(1+rvanilla07)^0.5)/A4stdlife))</f>
        <v>0</v>
      </c>
      <c r="BJ123" s="237"/>
      <c r="BK123" s="237"/>
      <c r="BL123" s="237"/>
      <c r="BM123" s="237"/>
    </row>
    <row r="124" spans="1:65" s="190" customFormat="1" hidden="1" outlineLevel="2">
      <c r="A124" s="237"/>
      <c r="B124" s="33"/>
      <c r="C124" s="32"/>
      <c r="D124" s="1618"/>
      <c r="E124" s="169">
        <v>8</v>
      </c>
      <c r="F124" s="35"/>
      <c r="G124" s="184"/>
      <c r="H124" s="186"/>
      <c r="I124" s="186"/>
      <c r="J124" s="186"/>
      <c r="K124" s="186"/>
      <c r="L124" s="186"/>
      <c r="M124" s="186"/>
      <c r="N124" s="185"/>
      <c r="O124" s="107">
        <f>IF(A4stdlife="n/a","n/a",IF(O$3&gt;(A4stdlife+$E124),('PTRM input'!$N$146*(1+rvanilla08)^0.5)-SUM($N124:N124),('PTRM input'!$N$146*(1+rvanilla08)^0.5)/A4stdlife))</f>
        <v>0</v>
      </c>
      <c r="P124" s="107">
        <f>IF(A4stdlife="n/a","n/a",IF(P$3&gt;(A4stdlife+$E124),('PTRM input'!$N$146*(1+rvanilla08)^0.5)-SUM($N124:O124),('PTRM input'!$N$146*(1+rvanilla08)^0.5)/A4stdlife))</f>
        <v>0</v>
      </c>
      <c r="Q124" s="107">
        <f>IF(A4stdlife="n/a","n/a",IF(Q$3&gt;(A4stdlife+$E124),('PTRM input'!$N$146*(1+rvanilla08)^0.5)-SUM($N124:P124),('PTRM input'!$N$146*(1+rvanilla08)^0.5)/A4stdlife))</f>
        <v>0</v>
      </c>
      <c r="R124" s="107">
        <f>IF(A4stdlife="n/a","n/a",IF(R$3&gt;(A4stdlife+$E124),('PTRM input'!$N$146*(1+rvanilla08)^0.5)-SUM($N124:Q124),('PTRM input'!$N$146*(1+rvanilla08)^0.5)/A4stdlife))</f>
        <v>0</v>
      </c>
      <c r="S124" s="107">
        <f>IF(A4stdlife="n/a","n/a",IF(S$3&gt;(A4stdlife+$E124),('PTRM input'!$N$146*(1+rvanilla08)^0.5)-SUM($N124:R124),('PTRM input'!$N$146*(1+rvanilla08)^0.5)/A4stdlife))</f>
        <v>0</v>
      </c>
      <c r="T124" s="107">
        <f>IF(A4stdlife="n/a","n/a",IF(T$3&gt;(A4stdlife+$E124),('PTRM input'!$N$146*(1+rvanilla08)^0.5)-SUM($N124:S124),('PTRM input'!$N$146*(1+rvanilla08)^0.5)/A4stdlife))</f>
        <v>0</v>
      </c>
      <c r="U124" s="107">
        <f>IF(A4stdlife="n/a","n/a",IF(U$3&gt;(A4stdlife+$E124),('PTRM input'!$N$146*(1+rvanilla08)^0.5)-SUM($N124:T124),('PTRM input'!$N$146*(1+rvanilla08)^0.5)/A4stdlife))</f>
        <v>0</v>
      </c>
      <c r="V124" s="107">
        <f>IF(A4stdlife="n/a","n/a",IF(V$3&gt;(A4stdlife+$E124),('PTRM input'!$N$146*(1+rvanilla08)^0.5)-SUM($N124:U124),('PTRM input'!$N$146*(1+rvanilla08)^0.5)/A4stdlife))</f>
        <v>0</v>
      </c>
      <c r="W124" s="107">
        <f>IF(A4stdlife="n/a","n/a",IF(W$3&gt;(A4stdlife+$E124),('PTRM input'!$N$146*(1+rvanilla08)^0.5)-SUM($N124:V124),('PTRM input'!$N$146*(1+rvanilla08)^0.5)/A4stdlife))</f>
        <v>0</v>
      </c>
      <c r="X124" s="107">
        <f>IF(A4stdlife="n/a","n/a",IF(X$3&gt;(A4stdlife+$E124),('PTRM input'!$N$146*(1+rvanilla08)^0.5)-SUM($N124:W124),('PTRM input'!$N$146*(1+rvanilla08)^0.5)/A4stdlife))</f>
        <v>0</v>
      </c>
      <c r="Y124" s="107">
        <f>IF(A4stdlife="n/a","n/a",IF(Y$3&gt;(A4stdlife+$E124),('PTRM input'!$N$146*(1+rvanilla08)^0.5)-SUM($N124:X124),('PTRM input'!$N$146*(1+rvanilla08)^0.5)/A4stdlife))</f>
        <v>0</v>
      </c>
      <c r="Z124" s="107">
        <f>IF(A4stdlife="n/a","n/a",IF(Z$3&gt;(A4stdlife+$E124),('PTRM input'!$N$146*(1+rvanilla08)^0.5)-SUM($N124:Y124),('PTRM input'!$N$146*(1+rvanilla08)^0.5)/A4stdlife))</f>
        <v>0</v>
      </c>
      <c r="AA124" s="107">
        <f>IF(A4stdlife="n/a","n/a",IF(AA$3&gt;(A4stdlife+$E124),('PTRM input'!$N$146*(1+rvanilla08)^0.5)-SUM($N124:Z124),('PTRM input'!$N$146*(1+rvanilla08)^0.5)/A4stdlife))</f>
        <v>0</v>
      </c>
      <c r="AB124" s="107">
        <f>IF(A4stdlife="n/a","n/a",IF(AB$3&gt;(A4stdlife+$E124),('PTRM input'!$N$146*(1+rvanilla08)^0.5)-SUM($N124:AA124),('PTRM input'!$N$146*(1+rvanilla08)^0.5)/A4stdlife))</f>
        <v>0</v>
      </c>
      <c r="AC124" s="107">
        <f>IF(A4stdlife="n/a","n/a",IF(AC$3&gt;(A4stdlife+$E124),('PTRM input'!$N$146*(1+rvanilla08)^0.5)-SUM($N124:AB124),('PTRM input'!$N$146*(1+rvanilla08)^0.5)/A4stdlife))</f>
        <v>0</v>
      </c>
      <c r="AD124" s="107">
        <f>IF(A4stdlife="n/a","n/a",IF(AD$3&gt;(A4stdlife+$E124),('PTRM input'!$N$146*(1+rvanilla08)^0.5)-SUM($N124:AC124),('PTRM input'!$N$146*(1+rvanilla08)^0.5)/A4stdlife))</f>
        <v>0</v>
      </c>
      <c r="AE124" s="107">
        <f>IF(A4stdlife="n/a","n/a",IF(AE$3&gt;(A4stdlife+$E124),('PTRM input'!$N$146*(1+rvanilla08)^0.5)-SUM($N124:AD124),('PTRM input'!$N$146*(1+rvanilla08)^0.5)/A4stdlife))</f>
        <v>0</v>
      </c>
      <c r="AF124" s="107">
        <f>IF(A4stdlife="n/a","n/a",IF(AF$3&gt;(A4stdlife+$E124),('PTRM input'!$N$146*(1+rvanilla08)^0.5)-SUM($N124:AE124),('PTRM input'!$N$146*(1+rvanilla08)^0.5)/A4stdlife))</f>
        <v>0</v>
      </c>
      <c r="AG124" s="107">
        <f>IF(A4stdlife="n/a","n/a",IF(AG$3&gt;(A4stdlife+$E124),('PTRM input'!$N$146*(1+rvanilla08)^0.5)-SUM($N124:AF124),('PTRM input'!$N$146*(1+rvanilla08)^0.5)/A4stdlife))</f>
        <v>0</v>
      </c>
      <c r="AH124" s="107">
        <f>IF(A4stdlife="n/a","n/a",IF(AH$3&gt;(A4stdlife+$E124),('PTRM input'!$N$146*(1+rvanilla08)^0.5)-SUM($N124:AG124),('PTRM input'!$N$146*(1+rvanilla08)^0.5)/A4stdlife))</f>
        <v>0</v>
      </c>
      <c r="AI124" s="107">
        <f>IF(A4stdlife="n/a","n/a",IF(AI$3&gt;(A4stdlife+$E124),('PTRM input'!$N$146*(1+rvanilla08)^0.5)-SUM($N124:AH124),('PTRM input'!$N$146*(1+rvanilla08)^0.5)/A4stdlife))</f>
        <v>0</v>
      </c>
      <c r="AJ124" s="107">
        <f>IF(A4stdlife="n/a","n/a",IF(AJ$3&gt;(A4stdlife+$E124),('PTRM input'!$N$146*(1+rvanilla08)^0.5)-SUM($N124:AI124),('PTRM input'!$N$146*(1+rvanilla08)^0.5)/A4stdlife))</f>
        <v>0</v>
      </c>
      <c r="AK124" s="107">
        <f>IF(A4stdlife="n/a","n/a",IF(AK$3&gt;(A4stdlife+$E124),('PTRM input'!$N$146*(1+rvanilla08)^0.5)-SUM($N124:AJ124),('PTRM input'!$N$146*(1+rvanilla08)^0.5)/A4stdlife))</f>
        <v>0</v>
      </c>
      <c r="AL124" s="107">
        <f>IF(A4stdlife="n/a","n/a",IF(AL$3&gt;(A4stdlife+$E124),('PTRM input'!$N$146*(1+rvanilla08)^0.5)-SUM($N124:AK124),('PTRM input'!$N$146*(1+rvanilla08)^0.5)/A4stdlife))</f>
        <v>0</v>
      </c>
      <c r="AM124" s="107">
        <f>IF(A4stdlife="n/a","n/a",IF(AM$3&gt;(A4stdlife+$E124),('PTRM input'!$N$146*(1+rvanilla08)^0.5)-SUM($N124:AL124),('PTRM input'!$N$146*(1+rvanilla08)^0.5)/A4stdlife))</f>
        <v>0</v>
      </c>
      <c r="AN124" s="107">
        <f>IF(A4stdlife="n/a","n/a",IF(AN$3&gt;(A4stdlife+$E124),('PTRM input'!$N$146*(1+rvanilla08)^0.5)-SUM($N124:AM124),('PTRM input'!$N$146*(1+rvanilla08)^0.5)/A4stdlife))</f>
        <v>0</v>
      </c>
      <c r="AO124" s="107">
        <f>IF(A4stdlife="n/a","n/a",IF(AO$3&gt;(A4stdlife+$E124),('PTRM input'!$N$146*(1+rvanilla08)^0.5)-SUM($N124:AN124),('PTRM input'!$N$146*(1+rvanilla08)^0.5)/A4stdlife))</f>
        <v>0</v>
      </c>
      <c r="AP124" s="107">
        <f>IF(A4stdlife="n/a","n/a",IF(AP$3&gt;(A4stdlife+$E124),('PTRM input'!$N$146*(1+rvanilla08)^0.5)-SUM($N124:AO124),('PTRM input'!$N$146*(1+rvanilla08)^0.5)/A4stdlife))</f>
        <v>0</v>
      </c>
      <c r="AQ124" s="107">
        <f>IF(A4stdlife="n/a","n/a",IF(AQ$3&gt;(A4stdlife+$E124),('PTRM input'!$N$146*(1+rvanilla08)^0.5)-SUM($N124:AP124),('PTRM input'!$N$146*(1+rvanilla08)^0.5)/A4stdlife))</f>
        <v>0</v>
      </c>
      <c r="AR124" s="107">
        <f>IF(A4stdlife="n/a","n/a",IF(AR$3&gt;(A4stdlife+$E124),('PTRM input'!$N$146*(1+rvanilla08)^0.5)-SUM($N124:AQ124),('PTRM input'!$N$146*(1+rvanilla08)^0.5)/A4stdlife))</f>
        <v>0</v>
      </c>
      <c r="AS124" s="107">
        <f>IF(A4stdlife="n/a","n/a",IF(AS$3&gt;(A4stdlife+$E124),('PTRM input'!$N$146*(1+rvanilla08)^0.5)-SUM($N124:AR124),('PTRM input'!$N$146*(1+rvanilla08)^0.5)/A4stdlife))</f>
        <v>0</v>
      </c>
      <c r="AT124" s="107">
        <f>IF(A4stdlife="n/a","n/a",IF(AT$3&gt;(A4stdlife+$E124),('PTRM input'!$N$146*(1+rvanilla08)^0.5)-SUM($N124:AS124),('PTRM input'!$N$146*(1+rvanilla08)^0.5)/A4stdlife))</f>
        <v>0</v>
      </c>
      <c r="AU124" s="107">
        <f>IF(A4stdlife="n/a","n/a",IF(AU$3&gt;(A4stdlife+$E124),('PTRM input'!$N$146*(1+rvanilla08)^0.5)-SUM($N124:AT124),('PTRM input'!$N$146*(1+rvanilla08)^0.5)/A4stdlife))</f>
        <v>0</v>
      </c>
      <c r="AV124" s="107">
        <f>IF(A4stdlife="n/a","n/a",IF(AV$3&gt;(A4stdlife+$E124),('PTRM input'!$N$146*(1+rvanilla08)^0.5)-SUM($N124:AU124),('PTRM input'!$N$146*(1+rvanilla08)^0.5)/A4stdlife))</f>
        <v>0</v>
      </c>
      <c r="AW124" s="107">
        <f>IF(A4stdlife="n/a","n/a",IF(AW$3&gt;(A4stdlife+$E124),('PTRM input'!$N$146*(1+rvanilla08)^0.5)-SUM($N124:AV124),('PTRM input'!$N$146*(1+rvanilla08)^0.5)/A4stdlife))</f>
        <v>0</v>
      </c>
      <c r="AX124" s="107">
        <f>IF(A4stdlife="n/a","n/a",IF(AX$3&gt;(A4stdlife+$E124),('PTRM input'!$N$146*(1+rvanilla08)^0.5)-SUM($N124:AW124),('PTRM input'!$N$146*(1+rvanilla08)^0.5)/A4stdlife))</f>
        <v>0</v>
      </c>
      <c r="AY124" s="107">
        <f>IF(A4stdlife="n/a","n/a",IF(AY$3&gt;(A4stdlife+$E124),('PTRM input'!$N$146*(1+rvanilla08)^0.5)-SUM($N124:AX124),('PTRM input'!$N$146*(1+rvanilla08)^0.5)/A4stdlife))</f>
        <v>0</v>
      </c>
      <c r="AZ124" s="107">
        <f>IF(A4stdlife="n/a","n/a",IF(AZ$3&gt;(A4stdlife+$E124),('PTRM input'!$N$146*(1+rvanilla08)^0.5)-SUM($N124:AY124),('PTRM input'!$N$146*(1+rvanilla08)^0.5)/A4stdlife))</f>
        <v>0</v>
      </c>
      <c r="BA124" s="107">
        <f>IF(A4stdlife="n/a","n/a",IF(BA$3&gt;(A4stdlife+$E124),('PTRM input'!$N$146*(1+rvanilla08)^0.5)-SUM($N124:AZ124),('PTRM input'!$N$146*(1+rvanilla08)^0.5)/A4stdlife))</f>
        <v>0</v>
      </c>
      <c r="BB124" s="107">
        <f>IF(A4stdlife="n/a","n/a",IF(BB$3&gt;(A4stdlife+$E124),('PTRM input'!$N$146*(1+rvanilla08)^0.5)-SUM($N124:BA124),('PTRM input'!$N$146*(1+rvanilla08)^0.5)/A4stdlife))</f>
        <v>0</v>
      </c>
      <c r="BC124" s="107">
        <f>IF(A4stdlife="n/a","n/a",IF(BC$3&gt;(A4stdlife+$E124),('PTRM input'!$N$146*(1+rvanilla08)^0.5)-SUM($N124:BB124),('PTRM input'!$N$146*(1+rvanilla08)^0.5)/A4stdlife))</f>
        <v>0</v>
      </c>
      <c r="BD124" s="107">
        <f>IF(A4stdlife="n/a","n/a",IF(BD$3&gt;(A4stdlife+$E124),('PTRM input'!$N$146*(1+rvanilla08)^0.5)-SUM($N124:BC124),('PTRM input'!$N$146*(1+rvanilla08)^0.5)/A4stdlife))</f>
        <v>0</v>
      </c>
      <c r="BE124" s="107">
        <f>IF(A4stdlife="n/a","n/a",IF(BE$3&gt;(A4stdlife+$E124),('PTRM input'!$N$146*(1+rvanilla08)^0.5)-SUM($N124:BD124),('PTRM input'!$N$146*(1+rvanilla08)^0.5)/A4stdlife))</f>
        <v>0</v>
      </c>
      <c r="BF124" s="107">
        <f>IF(A4stdlife="n/a","n/a",IF(BF$3&gt;(A4stdlife+$E124),('PTRM input'!$N$146*(1+rvanilla08)^0.5)-SUM($N124:BE124),('PTRM input'!$N$146*(1+rvanilla08)^0.5)/A4stdlife))</f>
        <v>0</v>
      </c>
      <c r="BG124" s="107">
        <f>IF(A4stdlife="n/a","n/a",IF(BG$3&gt;(A4stdlife+$E124),('PTRM input'!$N$146*(1+rvanilla08)^0.5)-SUM($N124:BF124),('PTRM input'!$N$146*(1+rvanilla08)^0.5)/A4stdlife))</f>
        <v>0</v>
      </c>
      <c r="BH124" s="107">
        <f>IF(A4stdlife="n/a","n/a",IF(BH$3&gt;(A4stdlife+$E124),('PTRM input'!$N$146*(1+rvanilla08)^0.5)-SUM($N124:BG124),('PTRM input'!$N$146*(1+rvanilla08)^0.5)/A4stdlife))</f>
        <v>0</v>
      </c>
      <c r="BI124" s="107">
        <f>IF(A4stdlife="n/a","n/a",IF(BI$3&gt;(A4stdlife+$E124),('PTRM input'!$N$146*(1+rvanilla08)^0.5)-SUM($N124:BH124),('PTRM input'!$N$146*(1+rvanilla08)^0.5)/A4stdlife))</f>
        <v>0</v>
      </c>
      <c r="BJ124" s="237"/>
      <c r="BK124" s="237"/>
      <c r="BL124" s="237"/>
      <c r="BM124" s="237"/>
    </row>
    <row r="125" spans="1:65" s="190" customFormat="1" hidden="1" outlineLevel="2">
      <c r="A125" s="237"/>
      <c r="B125" s="33"/>
      <c r="C125" s="32"/>
      <c r="D125" s="1618"/>
      <c r="E125" s="169">
        <v>9</v>
      </c>
      <c r="F125" s="35"/>
      <c r="G125" s="184"/>
      <c r="H125" s="186"/>
      <c r="I125" s="186"/>
      <c r="J125" s="186"/>
      <c r="K125" s="186"/>
      <c r="L125" s="186"/>
      <c r="M125" s="186"/>
      <c r="N125" s="186"/>
      <c r="O125" s="185"/>
      <c r="P125" s="107">
        <f>IF(A4stdlife="n/a","n/a",IF(P$3&gt;(A4stdlife+$E125),('PTRM input'!$O$146*(1+rvanilla09)^0.5)-SUM($O125:O125),('PTRM input'!$O$146*(1+rvanilla09)^0.5)/A4stdlife))</f>
        <v>0</v>
      </c>
      <c r="Q125" s="107">
        <f>IF(A4stdlife="n/a","n/a",IF(Q$3&gt;(A4stdlife+$E125),('PTRM input'!$O$146*(1+rvanilla09)^0.5)-SUM($O125:P125),('PTRM input'!$O$146*(1+rvanilla09)^0.5)/A4stdlife))</f>
        <v>0</v>
      </c>
      <c r="R125" s="107">
        <f>IF(A4stdlife="n/a","n/a",IF(R$3&gt;(A4stdlife+$E125),('PTRM input'!$O$146*(1+rvanilla09)^0.5)-SUM($O125:Q125),('PTRM input'!$O$146*(1+rvanilla09)^0.5)/A4stdlife))</f>
        <v>0</v>
      </c>
      <c r="S125" s="107">
        <f>IF(A4stdlife="n/a","n/a",IF(S$3&gt;(A4stdlife+$E125),('PTRM input'!$O$146*(1+rvanilla09)^0.5)-SUM($O125:R125),('PTRM input'!$O$146*(1+rvanilla09)^0.5)/A4stdlife))</f>
        <v>0</v>
      </c>
      <c r="T125" s="107">
        <f>IF(A4stdlife="n/a","n/a",IF(T$3&gt;(A4stdlife+$E125),('PTRM input'!$O$146*(1+rvanilla09)^0.5)-SUM($O125:S125),('PTRM input'!$O$146*(1+rvanilla09)^0.5)/A4stdlife))</f>
        <v>0</v>
      </c>
      <c r="U125" s="107">
        <f>IF(A4stdlife="n/a","n/a",IF(U$3&gt;(A4stdlife+$E125),('PTRM input'!$O$146*(1+rvanilla09)^0.5)-SUM($O125:T125),('PTRM input'!$O$146*(1+rvanilla09)^0.5)/A4stdlife))</f>
        <v>0</v>
      </c>
      <c r="V125" s="107">
        <f>IF(A4stdlife="n/a","n/a",IF(V$3&gt;(A4stdlife+$E125),('PTRM input'!$O$146*(1+rvanilla09)^0.5)-SUM($O125:U125),('PTRM input'!$O$146*(1+rvanilla09)^0.5)/A4stdlife))</f>
        <v>0</v>
      </c>
      <c r="W125" s="107">
        <f>IF(A4stdlife="n/a","n/a",IF(W$3&gt;(A4stdlife+$E125),('PTRM input'!$O$146*(1+rvanilla09)^0.5)-SUM($O125:V125),('PTRM input'!$O$146*(1+rvanilla09)^0.5)/A4stdlife))</f>
        <v>0</v>
      </c>
      <c r="X125" s="107">
        <f>IF(A4stdlife="n/a","n/a",IF(X$3&gt;(A4stdlife+$E125),('PTRM input'!$O$146*(1+rvanilla09)^0.5)-SUM($O125:W125),('PTRM input'!$O$146*(1+rvanilla09)^0.5)/A4stdlife))</f>
        <v>0</v>
      </c>
      <c r="Y125" s="107">
        <f>IF(A4stdlife="n/a","n/a",IF(Y$3&gt;(A4stdlife+$E125),('PTRM input'!$O$146*(1+rvanilla09)^0.5)-SUM($O125:X125),('PTRM input'!$O$146*(1+rvanilla09)^0.5)/A4stdlife))</f>
        <v>0</v>
      </c>
      <c r="Z125" s="107">
        <f>IF(A4stdlife="n/a","n/a",IF(Z$3&gt;(A4stdlife+$E125),('PTRM input'!$O$146*(1+rvanilla09)^0.5)-SUM($O125:Y125),('PTRM input'!$O$146*(1+rvanilla09)^0.5)/A4stdlife))</f>
        <v>0</v>
      </c>
      <c r="AA125" s="107">
        <f>IF(A4stdlife="n/a","n/a",IF(AA$3&gt;(A4stdlife+$E125),('PTRM input'!$O$146*(1+rvanilla09)^0.5)-SUM($O125:Z125),('PTRM input'!$O$146*(1+rvanilla09)^0.5)/A4stdlife))</f>
        <v>0</v>
      </c>
      <c r="AB125" s="107">
        <f>IF(A4stdlife="n/a","n/a",IF(AB$3&gt;(A4stdlife+$E125),('PTRM input'!$O$146*(1+rvanilla09)^0.5)-SUM($O125:AA125),('PTRM input'!$O$146*(1+rvanilla09)^0.5)/A4stdlife))</f>
        <v>0</v>
      </c>
      <c r="AC125" s="107">
        <f>IF(A4stdlife="n/a","n/a",IF(AC$3&gt;(A4stdlife+$E125),('PTRM input'!$O$146*(1+rvanilla09)^0.5)-SUM($O125:AB125),('PTRM input'!$O$146*(1+rvanilla09)^0.5)/A4stdlife))</f>
        <v>0</v>
      </c>
      <c r="AD125" s="107">
        <f>IF(A4stdlife="n/a","n/a",IF(AD$3&gt;(A4stdlife+$E125),('PTRM input'!$O$146*(1+rvanilla09)^0.5)-SUM($O125:AC125),('PTRM input'!$O$146*(1+rvanilla09)^0.5)/A4stdlife))</f>
        <v>0</v>
      </c>
      <c r="AE125" s="107">
        <f>IF(A4stdlife="n/a","n/a",IF(AE$3&gt;(A4stdlife+$E125),('PTRM input'!$O$146*(1+rvanilla09)^0.5)-SUM($O125:AD125),('PTRM input'!$O$146*(1+rvanilla09)^0.5)/A4stdlife))</f>
        <v>0</v>
      </c>
      <c r="AF125" s="107">
        <f>IF(A4stdlife="n/a","n/a",IF(AF$3&gt;(A4stdlife+$E125),('PTRM input'!$O$146*(1+rvanilla09)^0.5)-SUM($O125:AE125),('PTRM input'!$O$146*(1+rvanilla09)^0.5)/A4stdlife))</f>
        <v>0</v>
      </c>
      <c r="AG125" s="107">
        <f>IF(A4stdlife="n/a","n/a",IF(AG$3&gt;(A4stdlife+$E125),('PTRM input'!$O$146*(1+rvanilla09)^0.5)-SUM($O125:AF125),('PTRM input'!$O$146*(1+rvanilla09)^0.5)/A4stdlife))</f>
        <v>0</v>
      </c>
      <c r="AH125" s="107">
        <f>IF(A4stdlife="n/a","n/a",IF(AH$3&gt;(A4stdlife+$E125),('PTRM input'!$O$146*(1+rvanilla09)^0.5)-SUM($O125:AG125),('PTRM input'!$O$146*(1+rvanilla09)^0.5)/A4stdlife))</f>
        <v>0</v>
      </c>
      <c r="AI125" s="107">
        <f>IF(A4stdlife="n/a","n/a",IF(AI$3&gt;(A4stdlife+$E125),('PTRM input'!$O$146*(1+rvanilla09)^0.5)-SUM($O125:AH125),('PTRM input'!$O$146*(1+rvanilla09)^0.5)/A4stdlife))</f>
        <v>0</v>
      </c>
      <c r="AJ125" s="107">
        <f>IF(A4stdlife="n/a","n/a",IF(AJ$3&gt;(A4stdlife+$E125),('PTRM input'!$O$146*(1+rvanilla09)^0.5)-SUM($O125:AI125),('PTRM input'!$O$146*(1+rvanilla09)^0.5)/A4stdlife))</f>
        <v>0</v>
      </c>
      <c r="AK125" s="107">
        <f>IF(A4stdlife="n/a","n/a",IF(AK$3&gt;(A4stdlife+$E125),('PTRM input'!$O$146*(1+rvanilla09)^0.5)-SUM($O125:AJ125),('PTRM input'!$O$146*(1+rvanilla09)^0.5)/A4stdlife))</f>
        <v>0</v>
      </c>
      <c r="AL125" s="107">
        <f>IF(A4stdlife="n/a","n/a",IF(AL$3&gt;(A4stdlife+$E125),('PTRM input'!$O$146*(1+rvanilla09)^0.5)-SUM($O125:AK125),('PTRM input'!$O$146*(1+rvanilla09)^0.5)/A4stdlife))</f>
        <v>0</v>
      </c>
      <c r="AM125" s="107">
        <f>IF(A4stdlife="n/a","n/a",IF(AM$3&gt;(A4stdlife+$E125),('PTRM input'!$O$146*(1+rvanilla09)^0.5)-SUM($O125:AL125),('PTRM input'!$O$146*(1+rvanilla09)^0.5)/A4stdlife))</f>
        <v>0</v>
      </c>
      <c r="AN125" s="107">
        <f>IF(A4stdlife="n/a","n/a",IF(AN$3&gt;(A4stdlife+$E125),('PTRM input'!$O$146*(1+rvanilla09)^0.5)-SUM($O125:AM125),('PTRM input'!$O$146*(1+rvanilla09)^0.5)/A4stdlife))</f>
        <v>0</v>
      </c>
      <c r="AO125" s="107">
        <f>IF(A4stdlife="n/a","n/a",IF(AO$3&gt;(A4stdlife+$E125),('PTRM input'!$O$146*(1+rvanilla09)^0.5)-SUM($O125:AN125),('PTRM input'!$O$146*(1+rvanilla09)^0.5)/A4stdlife))</f>
        <v>0</v>
      </c>
      <c r="AP125" s="107">
        <f>IF(A4stdlife="n/a","n/a",IF(AP$3&gt;(A4stdlife+$E125),('PTRM input'!$O$146*(1+rvanilla09)^0.5)-SUM($O125:AO125),('PTRM input'!$O$146*(1+rvanilla09)^0.5)/A4stdlife))</f>
        <v>0</v>
      </c>
      <c r="AQ125" s="107">
        <f>IF(A4stdlife="n/a","n/a",IF(AQ$3&gt;(A4stdlife+$E125),('PTRM input'!$O$146*(1+rvanilla09)^0.5)-SUM($O125:AP125),('PTRM input'!$O$146*(1+rvanilla09)^0.5)/A4stdlife))</f>
        <v>0</v>
      </c>
      <c r="AR125" s="107">
        <f>IF(A4stdlife="n/a","n/a",IF(AR$3&gt;(A4stdlife+$E125),('PTRM input'!$O$146*(1+rvanilla09)^0.5)-SUM($O125:AQ125),('PTRM input'!$O$146*(1+rvanilla09)^0.5)/A4stdlife))</f>
        <v>0</v>
      </c>
      <c r="AS125" s="107">
        <f>IF(A4stdlife="n/a","n/a",IF(AS$3&gt;(A4stdlife+$E125),('PTRM input'!$O$146*(1+rvanilla09)^0.5)-SUM($O125:AR125),('PTRM input'!$O$146*(1+rvanilla09)^0.5)/A4stdlife))</f>
        <v>0</v>
      </c>
      <c r="AT125" s="107">
        <f>IF(A4stdlife="n/a","n/a",IF(AT$3&gt;(A4stdlife+$E125),('PTRM input'!$O$146*(1+rvanilla09)^0.5)-SUM($O125:AS125),('PTRM input'!$O$146*(1+rvanilla09)^0.5)/A4stdlife))</f>
        <v>0</v>
      </c>
      <c r="AU125" s="107">
        <f>IF(A4stdlife="n/a","n/a",IF(AU$3&gt;(A4stdlife+$E125),('PTRM input'!$O$146*(1+rvanilla09)^0.5)-SUM($O125:AT125),('PTRM input'!$O$146*(1+rvanilla09)^0.5)/A4stdlife))</f>
        <v>0</v>
      </c>
      <c r="AV125" s="107">
        <f>IF(A4stdlife="n/a","n/a",IF(AV$3&gt;(A4stdlife+$E125),('PTRM input'!$O$146*(1+rvanilla09)^0.5)-SUM($O125:AU125),('PTRM input'!$O$146*(1+rvanilla09)^0.5)/A4stdlife))</f>
        <v>0</v>
      </c>
      <c r="AW125" s="107">
        <f>IF(A4stdlife="n/a","n/a",IF(AW$3&gt;(A4stdlife+$E125),('PTRM input'!$O$146*(1+rvanilla09)^0.5)-SUM($O125:AV125),('PTRM input'!$O$146*(1+rvanilla09)^0.5)/A4stdlife))</f>
        <v>0</v>
      </c>
      <c r="AX125" s="107">
        <f>IF(A4stdlife="n/a","n/a",IF(AX$3&gt;(A4stdlife+$E125),('PTRM input'!$O$146*(1+rvanilla09)^0.5)-SUM($O125:AW125),('PTRM input'!$O$146*(1+rvanilla09)^0.5)/A4stdlife))</f>
        <v>0</v>
      </c>
      <c r="AY125" s="107">
        <f>IF(A4stdlife="n/a","n/a",IF(AY$3&gt;(A4stdlife+$E125),('PTRM input'!$O$146*(1+rvanilla09)^0.5)-SUM($O125:AX125),('PTRM input'!$O$146*(1+rvanilla09)^0.5)/A4stdlife))</f>
        <v>0</v>
      </c>
      <c r="AZ125" s="107">
        <f>IF(A4stdlife="n/a","n/a",IF(AZ$3&gt;(A4stdlife+$E125),('PTRM input'!$O$146*(1+rvanilla09)^0.5)-SUM($O125:AY125),('PTRM input'!$O$146*(1+rvanilla09)^0.5)/A4stdlife))</f>
        <v>0</v>
      </c>
      <c r="BA125" s="107">
        <f>IF(A4stdlife="n/a","n/a",IF(BA$3&gt;(A4stdlife+$E125),('PTRM input'!$O$146*(1+rvanilla09)^0.5)-SUM($O125:AZ125),('PTRM input'!$O$146*(1+rvanilla09)^0.5)/A4stdlife))</f>
        <v>0</v>
      </c>
      <c r="BB125" s="107">
        <f>IF(A4stdlife="n/a","n/a",IF(BB$3&gt;(A4stdlife+$E125),('PTRM input'!$O$146*(1+rvanilla09)^0.5)-SUM($O125:BA125),('PTRM input'!$O$146*(1+rvanilla09)^0.5)/A4stdlife))</f>
        <v>0</v>
      </c>
      <c r="BC125" s="107">
        <f>IF(A4stdlife="n/a","n/a",IF(BC$3&gt;(A4stdlife+$E125),('PTRM input'!$O$146*(1+rvanilla09)^0.5)-SUM($O125:BB125),('PTRM input'!$O$146*(1+rvanilla09)^0.5)/A4stdlife))</f>
        <v>0</v>
      </c>
      <c r="BD125" s="107">
        <f>IF(A4stdlife="n/a","n/a",IF(BD$3&gt;(A4stdlife+$E125),('PTRM input'!$O$146*(1+rvanilla09)^0.5)-SUM($O125:BC125),('PTRM input'!$O$146*(1+rvanilla09)^0.5)/A4stdlife))</f>
        <v>0</v>
      </c>
      <c r="BE125" s="107">
        <f>IF(A4stdlife="n/a","n/a",IF(BE$3&gt;(A4stdlife+$E125),('PTRM input'!$O$146*(1+rvanilla09)^0.5)-SUM($O125:BD125),('PTRM input'!$O$146*(1+rvanilla09)^0.5)/A4stdlife))</f>
        <v>0</v>
      </c>
      <c r="BF125" s="107">
        <f>IF(A4stdlife="n/a","n/a",IF(BF$3&gt;(A4stdlife+$E125),('PTRM input'!$O$146*(1+rvanilla09)^0.5)-SUM($O125:BE125),('PTRM input'!$O$146*(1+rvanilla09)^0.5)/A4stdlife))</f>
        <v>0</v>
      </c>
      <c r="BG125" s="107">
        <f>IF(A4stdlife="n/a","n/a",IF(BG$3&gt;(A4stdlife+$E125),('PTRM input'!$O$146*(1+rvanilla09)^0.5)-SUM($O125:BF125),('PTRM input'!$O$146*(1+rvanilla09)^0.5)/A4stdlife))</f>
        <v>0</v>
      </c>
      <c r="BH125" s="107">
        <f>IF(A4stdlife="n/a","n/a",IF(BH$3&gt;(A4stdlife+$E125),('PTRM input'!$O$146*(1+rvanilla09)^0.5)-SUM($O125:BG125),('PTRM input'!$O$146*(1+rvanilla09)^0.5)/A4stdlife))</f>
        <v>0</v>
      </c>
      <c r="BI125" s="107">
        <f>IF(A4stdlife="n/a","n/a",IF(BI$3&gt;(A4stdlife+$E125),('PTRM input'!$O$146*(1+rvanilla09)^0.5)-SUM($O125:BH125),('PTRM input'!$O$146*(1+rvanilla09)^0.5)/A4stdlife))</f>
        <v>0</v>
      </c>
      <c r="BJ125" s="237"/>
      <c r="BK125" s="237"/>
      <c r="BL125" s="237"/>
      <c r="BM125" s="237"/>
    </row>
    <row r="126" spans="1:65" s="190" customFormat="1" hidden="1" outlineLevel="2">
      <c r="A126" s="237"/>
      <c r="B126" s="33"/>
      <c r="C126" s="32"/>
      <c r="D126" s="1618"/>
      <c r="E126" s="170">
        <v>10</v>
      </c>
      <c r="F126" s="35"/>
      <c r="G126" s="184"/>
      <c r="H126" s="186"/>
      <c r="I126" s="186"/>
      <c r="J126" s="186"/>
      <c r="K126" s="186"/>
      <c r="L126" s="186"/>
      <c r="M126" s="186"/>
      <c r="N126" s="186"/>
      <c r="O126" s="186"/>
      <c r="P126" s="185"/>
      <c r="Q126" s="107">
        <f>IF(A4stdlife="n/a","n/a",IF(Q$3&gt;(A4stdlife+$E126),('PTRM input'!$P$146*(1+rvanilla10)^0.5)-SUM($P126:P126),('PTRM input'!$P$146*(1+rvanilla10)^0.5)/A4stdlife))</f>
        <v>0</v>
      </c>
      <c r="R126" s="107">
        <f>IF(A4stdlife="n/a","n/a",IF(R$3&gt;(A4stdlife+$E126),('PTRM input'!$P$146*(1+rvanilla10)^0.5)-SUM($P126:Q126),('PTRM input'!$P$146*(1+rvanilla10)^0.5)/A4stdlife))</f>
        <v>0</v>
      </c>
      <c r="S126" s="107">
        <f>IF(A4stdlife="n/a","n/a",IF(S$3&gt;(A4stdlife+$E126),('PTRM input'!$P$146*(1+rvanilla10)^0.5)-SUM($P126:R126),('PTRM input'!$P$146*(1+rvanilla10)^0.5)/A4stdlife))</f>
        <v>0</v>
      </c>
      <c r="T126" s="107">
        <f>IF(A4stdlife="n/a","n/a",IF(T$3&gt;(A4stdlife+$E126),('PTRM input'!$P$146*(1+rvanilla10)^0.5)-SUM($P126:S126),('PTRM input'!$P$146*(1+rvanilla10)^0.5)/A4stdlife))</f>
        <v>0</v>
      </c>
      <c r="U126" s="107">
        <f>IF(A4stdlife="n/a","n/a",IF(U$3&gt;(A4stdlife+$E126),('PTRM input'!$P$146*(1+rvanilla10)^0.5)-SUM($P126:T126),('PTRM input'!$P$146*(1+rvanilla10)^0.5)/A4stdlife))</f>
        <v>0</v>
      </c>
      <c r="V126" s="107">
        <f>IF(A4stdlife="n/a","n/a",IF(V$3&gt;(A4stdlife+$E126),('PTRM input'!$P$146*(1+rvanilla10)^0.5)-SUM($P126:U126),('PTRM input'!$P$146*(1+rvanilla10)^0.5)/A4stdlife))</f>
        <v>0</v>
      </c>
      <c r="W126" s="107">
        <f>IF(A4stdlife="n/a","n/a",IF(W$3&gt;(A4stdlife+$E126),('PTRM input'!$P$146*(1+rvanilla10)^0.5)-SUM($P126:V126),('PTRM input'!$P$146*(1+rvanilla10)^0.5)/A4stdlife))</f>
        <v>0</v>
      </c>
      <c r="X126" s="107">
        <f>IF(A4stdlife="n/a","n/a",IF(X$3&gt;(A4stdlife+$E126),('PTRM input'!$P$146*(1+rvanilla10)^0.5)-SUM($P126:W126),('PTRM input'!$P$146*(1+rvanilla10)^0.5)/A4stdlife))</f>
        <v>0</v>
      </c>
      <c r="Y126" s="107">
        <f>IF(A4stdlife="n/a","n/a",IF(Y$3&gt;(A4stdlife+$E126),('PTRM input'!$P$146*(1+rvanilla10)^0.5)-SUM($P126:X126),('PTRM input'!$P$146*(1+rvanilla10)^0.5)/A4stdlife))</f>
        <v>0</v>
      </c>
      <c r="Z126" s="107">
        <f>IF(A4stdlife="n/a","n/a",IF(Z$3&gt;(A4stdlife+$E126),('PTRM input'!$P$146*(1+rvanilla10)^0.5)-SUM($P126:Y126),('PTRM input'!$P$146*(1+rvanilla10)^0.5)/A4stdlife))</f>
        <v>0</v>
      </c>
      <c r="AA126" s="107">
        <f>IF(A4stdlife="n/a","n/a",IF(AA$3&gt;(A4stdlife+$E126),('PTRM input'!$P$146*(1+rvanilla10)^0.5)-SUM($P126:Z126),('PTRM input'!$P$146*(1+rvanilla10)^0.5)/A4stdlife))</f>
        <v>0</v>
      </c>
      <c r="AB126" s="107">
        <f>IF(A4stdlife="n/a","n/a",IF(AB$3&gt;(A4stdlife+$E126),('PTRM input'!$P$146*(1+rvanilla10)^0.5)-SUM($P126:AA126),('PTRM input'!$P$146*(1+rvanilla10)^0.5)/A4stdlife))</f>
        <v>0</v>
      </c>
      <c r="AC126" s="107">
        <f>IF(A4stdlife="n/a","n/a",IF(AC$3&gt;(A4stdlife+$E126),('PTRM input'!$P$146*(1+rvanilla10)^0.5)-SUM($P126:AB126),('PTRM input'!$P$146*(1+rvanilla10)^0.5)/A4stdlife))</f>
        <v>0</v>
      </c>
      <c r="AD126" s="107">
        <f>IF(A4stdlife="n/a","n/a",IF(AD$3&gt;(A4stdlife+$E126),('PTRM input'!$P$146*(1+rvanilla10)^0.5)-SUM($P126:AC126),('PTRM input'!$P$146*(1+rvanilla10)^0.5)/A4stdlife))</f>
        <v>0</v>
      </c>
      <c r="AE126" s="107">
        <f>IF(A4stdlife="n/a","n/a",IF(AE$3&gt;(A4stdlife+$E126),('PTRM input'!$P$146*(1+rvanilla10)^0.5)-SUM($P126:AD126),('PTRM input'!$P$146*(1+rvanilla10)^0.5)/A4stdlife))</f>
        <v>0</v>
      </c>
      <c r="AF126" s="107">
        <f>IF(A4stdlife="n/a","n/a",IF(AF$3&gt;(A4stdlife+$E126),('PTRM input'!$P$146*(1+rvanilla10)^0.5)-SUM($P126:AE126),('PTRM input'!$P$146*(1+rvanilla10)^0.5)/A4stdlife))</f>
        <v>0</v>
      </c>
      <c r="AG126" s="107">
        <f>IF(A4stdlife="n/a","n/a",IF(AG$3&gt;(A4stdlife+$E126),('PTRM input'!$P$146*(1+rvanilla10)^0.5)-SUM($P126:AF126),('PTRM input'!$P$146*(1+rvanilla10)^0.5)/A4stdlife))</f>
        <v>0</v>
      </c>
      <c r="AH126" s="107">
        <f>IF(A4stdlife="n/a","n/a",IF(AH$3&gt;(A4stdlife+$E126),('PTRM input'!$P$146*(1+rvanilla10)^0.5)-SUM($P126:AG126),('PTRM input'!$P$146*(1+rvanilla10)^0.5)/A4stdlife))</f>
        <v>0</v>
      </c>
      <c r="AI126" s="107">
        <f>IF(A4stdlife="n/a","n/a",IF(AI$3&gt;(A4stdlife+$E126),('PTRM input'!$P$146*(1+rvanilla10)^0.5)-SUM($P126:AH126),('PTRM input'!$P$146*(1+rvanilla10)^0.5)/A4stdlife))</f>
        <v>0</v>
      </c>
      <c r="AJ126" s="107">
        <f>IF(A4stdlife="n/a","n/a",IF(AJ$3&gt;(A4stdlife+$E126),('PTRM input'!$P$146*(1+rvanilla10)^0.5)-SUM($P126:AI126),('PTRM input'!$P$146*(1+rvanilla10)^0.5)/A4stdlife))</f>
        <v>0</v>
      </c>
      <c r="AK126" s="107">
        <f>IF(A4stdlife="n/a","n/a",IF(AK$3&gt;(A4stdlife+$E126),('PTRM input'!$P$146*(1+rvanilla10)^0.5)-SUM($P126:AJ126),('PTRM input'!$P$146*(1+rvanilla10)^0.5)/A4stdlife))</f>
        <v>0</v>
      </c>
      <c r="AL126" s="107">
        <f>IF(A4stdlife="n/a","n/a",IF(AL$3&gt;(A4stdlife+$E126),('PTRM input'!$P$146*(1+rvanilla10)^0.5)-SUM($P126:AK126),('PTRM input'!$P$146*(1+rvanilla10)^0.5)/A4stdlife))</f>
        <v>0</v>
      </c>
      <c r="AM126" s="107">
        <f>IF(A4stdlife="n/a","n/a",IF(AM$3&gt;(A4stdlife+$E126),('PTRM input'!$P$146*(1+rvanilla10)^0.5)-SUM($P126:AL126),('PTRM input'!$P$146*(1+rvanilla10)^0.5)/A4stdlife))</f>
        <v>0</v>
      </c>
      <c r="AN126" s="107">
        <f>IF(A4stdlife="n/a","n/a",IF(AN$3&gt;(A4stdlife+$E126),('PTRM input'!$P$146*(1+rvanilla10)^0.5)-SUM($P126:AM126),('PTRM input'!$P$146*(1+rvanilla10)^0.5)/A4stdlife))</f>
        <v>0</v>
      </c>
      <c r="AO126" s="107">
        <f>IF(A4stdlife="n/a","n/a",IF(AO$3&gt;(A4stdlife+$E126),('PTRM input'!$P$146*(1+rvanilla10)^0.5)-SUM($P126:AN126),('PTRM input'!$P$146*(1+rvanilla10)^0.5)/A4stdlife))</f>
        <v>0</v>
      </c>
      <c r="AP126" s="107">
        <f>IF(A4stdlife="n/a","n/a",IF(AP$3&gt;(A4stdlife+$E126),('PTRM input'!$P$146*(1+rvanilla10)^0.5)-SUM($P126:AO126),('PTRM input'!$P$146*(1+rvanilla10)^0.5)/A4stdlife))</f>
        <v>0</v>
      </c>
      <c r="AQ126" s="107">
        <f>IF(A4stdlife="n/a","n/a",IF(AQ$3&gt;(A4stdlife+$E126),('PTRM input'!$P$146*(1+rvanilla10)^0.5)-SUM($P126:AP126),('PTRM input'!$P$146*(1+rvanilla10)^0.5)/A4stdlife))</f>
        <v>0</v>
      </c>
      <c r="AR126" s="107">
        <f>IF(A4stdlife="n/a","n/a",IF(AR$3&gt;(A4stdlife+$E126),('PTRM input'!$P$146*(1+rvanilla10)^0.5)-SUM($P126:AQ126),('PTRM input'!$P$146*(1+rvanilla10)^0.5)/A4stdlife))</f>
        <v>0</v>
      </c>
      <c r="AS126" s="107">
        <f>IF(A4stdlife="n/a","n/a",IF(AS$3&gt;(A4stdlife+$E126),('PTRM input'!$P$146*(1+rvanilla10)^0.5)-SUM($P126:AR126),('PTRM input'!$P$146*(1+rvanilla10)^0.5)/A4stdlife))</f>
        <v>0</v>
      </c>
      <c r="AT126" s="107">
        <f>IF(A4stdlife="n/a","n/a",IF(AT$3&gt;(A4stdlife+$E126),('PTRM input'!$P$146*(1+rvanilla10)^0.5)-SUM($P126:AS126),('PTRM input'!$P$146*(1+rvanilla10)^0.5)/A4stdlife))</f>
        <v>0</v>
      </c>
      <c r="AU126" s="107">
        <f>IF(A4stdlife="n/a","n/a",IF(AU$3&gt;(A4stdlife+$E126),('PTRM input'!$P$146*(1+rvanilla10)^0.5)-SUM($P126:AT126),('PTRM input'!$P$146*(1+rvanilla10)^0.5)/A4stdlife))</f>
        <v>0</v>
      </c>
      <c r="AV126" s="107">
        <f>IF(A4stdlife="n/a","n/a",IF(AV$3&gt;(A4stdlife+$E126),('PTRM input'!$P$146*(1+rvanilla10)^0.5)-SUM($P126:AU126),('PTRM input'!$P$146*(1+rvanilla10)^0.5)/A4stdlife))</f>
        <v>0</v>
      </c>
      <c r="AW126" s="107">
        <f>IF(A4stdlife="n/a","n/a",IF(AW$3&gt;(A4stdlife+$E126),('PTRM input'!$P$146*(1+rvanilla10)^0.5)-SUM($P126:AV126),('PTRM input'!$P$146*(1+rvanilla10)^0.5)/A4stdlife))</f>
        <v>0</v>
      </c>
      <c r="AX126" s="107">
        <f>IF(A4stdlife="n/a","n/a",IF(AX$3&gt;(A4stdlife+$E126),('PTRM input'!$P$146*(1+rvanilla10)^0.5)-SUM($P126:AW126),('PTRM input'!$P$146*(1+rvanilla10)^0.5)/A4stdlife))</f>
        <v>0</v>
      </c>
      <c r="AY126" s="107">
        <f>IF(A4stdlife="n/a","n/a",IF(AY$3&gt;(A4stdlife+$E126),('PTRM input'!$P$146*(1+rvanilla10)^0.5)-SUM($P126:AX126),('PTRM input'!$P$146*(1+rvanilla10)^0.5)/A4stdlife))</f>
        <v>0</v>
      </c>
      <c r="AZ126" s="107">
        <f>IF(A4stdlife="n/a","n/a",IF(AZ$3&gt;(A4stdlife+$E126),('PTRM input'!$P$146*(1+rvanilla10)^0.5)-SUM($P126:AY126),('PTRM input'!$P$146*(1+rvanilla10)^0.5)/A4stdlife))</f>
        <v>0</v>
      </c>
      <c r="BA126" s="107">
        <f>IF(A4stdlife="n/a","n/a",IF(BA$3&gt;(A4stdlife+$E126),('PTRM input'!$P$146*(1+rvanilla10)^0.5)-SUM($P126:AZ126),('PTRM input'!$P$146*(1+rvanilla10)^0.5)/A4stdlife))</f>
        <v>0</v>
      </c>
      <c r="BB126" s="107">
        <f>IF(A4stdlife="n/a","n/a",IF(BB$3&gt;(A4stdlife+$E126),('PTRM input'!$P$146*(1+rvanilla10)^0.5)-SUM($P126:BA126),('PTRM input'!$P$146*(1+rvanilla10)^0.5)/A4stdlife))</f>
        <v>0</v>
      </c>
      <c r="BC126" s="107">
        <f>IF(A4stdlife="n/a","n/a",IF(BC$3&gt;(A4stdlife+$E126),('PTRM input'!$P$146*(1+rvanilla10)^0.5)-SUM($P126:BB126),('PTRM input'!$P$146*(1+rvanilla10)^0.5)/A4stdlife))</f>
        <v>0</v>
      </c>
      <c r="BD126" s="107">
        <f>IF(A4stdlife="n/a","n/a",IF(BD$3&gt;(A4stdlife+$E126),('PTRM input'!$P$146*(1+rvanilla10)^0.5)-SUM($P126:BC126),('PTRM input'!$P$146*(1+rvanilla10)^0.5)/A4stdlife))</f>
        <v>0</v>
      </c>
      <c r="BE126" s="107">
        <f>IF(A4stdlife="n/a","n/a",IF(BE$3&gt;(A4stdlife+$E126),('PTRM input'!$P$146*(1+rvanilla10)^0.5)-SUM($P126:BD126),('PTRM input'!$P$146*(1+rvanilla10)^0.5)/A4stdlife))</f>
        <v>0</v>
      </c>
      <c r="BF126" s="107">
        <f>IF(A4stdlife="n/a","n/a",IF(BF$3&gt;(A4stdlife+$E126),('PTRM input'!$P$146*(1+rvanilla10)^0.5)-SUM($P126:BE126),('PTRM input'!$P$146*(1+rvanilla10)^0.5)/A4stdlife))</f>
        <v>0</v>
      </c>
      <c r="BG126" s="107">
        <f>IF(A4stdlife="n/a","n/a",IF(BG$3&gt;(A4stdlife+$E126),('PTRM input'!$P$146*(1+rvanilla10)^0.5)-SUM($P126:BF126),('PTRM input'!$P$146*(1+rvanilla10)^0.5)/A4stdlife))</f>
        <v>0</v>
      </c>
      <c r="BH126" s="107">
        <f>IF(A4stdlife="n/a","n/a",IF(BH$3&gt;(A4stdlife+$E126),('PTRM input'!$P$146*(1+rvanilla10)^0.5)-SUM($P126:BG126),('PTRM input'!$P$146*(1+rvanilla10)^0.5)/A4stdlife))</f>
        <v>0</v>
      </c>
      <c r="BI126" s="107">
        <f>IF(A4stdlife="n/a","n/a",IF(BI$3&gt;(A4stdlife+$E126),('PTRM input'!$P$146*(1+rvanilla10)^0.5)-SUM($P126:BH126),('PTRM input'!$P$146*(1+rvanilla10)^0.5)/A4stdlife))</f>
        <v>0</v>
      </c>
      <c r="BJ126" s="237"/>
      <c r="BK126" s="237"/>
      <c r="BL126" s="237"/>
      <c r="BM126" s="237"/>
    </row>
    <row r="127" spans="1:65" s="190" customFormat="1" hidden="1" outlineLevel="1">
      <c r="A127" s="237"/>
      <c r="B127" s="18"/>
      <c r="C127" s="33">
        <f>Asset4</f>
        <v>0</v>
      </c>
      <c r="D127" s="18"/>
      <c r="E127" s="18"/>
      <c r="F127" s="31"/>
      <c r="G127" s="104">
        <f t="shared" ref="G127:AL127" si="43">SUM(G115:G126)</f>
        <v>0</v>
      </c>
      <c r="H127" s="104">
        <f t="shared" si="43"/>
        <v>0</v>
      </c>
      <c r="I127" s="104">
        <f t="shared" si="43"/>
        <v>0</v>
      </c>
      <c r="J127" s="104">
        <f t="shared" si="43"/>
        <v>0</v>
      </c>
      <c r="K127" s="104">
        <f t="shared" si="43"/>
        <v>0</v>
      </c>
      <c r="L127" s="104">
        <f t="shared" si="43"/>
        <v>0</v>
      </c>
      <c r="M127" s="104">
        <f t="shared" si="43"/>
        <v>0</v>
      </c>
      <c r="N127" s="104">
        <f t="shared" si="43"/>
        <v>0</v>
      </c>
      <c r="O127" s="104">
        <f t="shared" si="43"/>
        <v>0</v>
      </c>
      <c r="P127" s="104">
        <f t="shared" si="43"/>
        <v>0</v>
      </c>
      <c r="Q127" s="104">
        <f t="shared" si="43"/>
        <v>0</v>
      </c>
      <c r="R127" s="104">
        <f t="shared" si="43"/>
        <v>0</v>
      </c>
      <c r="S127" s="104">
        <f t="shared" si="43"/>
        <v>0</v>
      </c>
      <c r="T127" s="104">
        <f t="shared" si="43"/>
        <v>0</v>
      </c>
      <c r="U127" s="104">
        <f t="shared" si="43"/>
        <v>0</v>
      </c>
      <c r="V127" s="104">
        <f t="shared" si="43"/>
        <v>0</v>
      </c>
      <c r="W127" s="104">
        <f t="shared" si="43"/>
        <v>0</v>
      </c>
      <c r="X127" s="104">
        <f t="shared" si="43"/>
        <v>0</v>
      </c>
      <c r="Y127" s="104">
        <f t="shared" si="43"/>
        <v>0</v>
      </c>
      <c r="Z127" s="104">
        <f t="shared" si="43"/>
        <v>0</v>
      </c>
      <c r="AA127" s="104">
        <f t="shared" si="43"/>
        <v>0</v>
      </c>
      <c r="AB127" s="104">
        <f t="shared" si="43"/>
        <v>0</v>
      </c>
      <c r="AC127" s="104">
        <f t="shared" si="43"/>
        <v>0</v>
      </c>
      <c r="AD127" s="104">
        <f t="shared" si="43"/>
        <v>0</v>
      </c>
      <c r="AE127" s="104">
        <f t="shared" si="43"/>
        <v>0</v>
      </c>
      <c r="AF127" s="104">
        <f t="shared" si="43"/>
        <v>0</v>
      </c>
      <c r="AG127" s="104">
        <f t="shared" si="43"/>
        <v>0</v>
      </c>
      <c r="AH127" s="104">
        <f t="shared" si="43"/>
        <v>0</v>
      </c>
      <c r="AI127" s="104">
        <f t="shared" si="43"/>
        <v>0</v>
      </c>
      <c r="AJ127" s="104">
        <f t="shared" si="43"/>
        <v>0</v>
      </c>
      <c r="AK127" s="104">
        <f t="shared" si="43"/>
        <v>0</v>
      </c>
      <c r="AL127" s="104">
        <f t="shared" si="43"/>
        <v>0</v>
      </c>
      <c r="AM127" s="104">
        <f t="shared" ref="AM127:BI127" si="44">SUM(AM115:AM126)</f>
        <v>0</v>
      </c>
      <c r="AN127" s="104">
        <f t="shared" si="44"/>
        <v>0</v>
      </c>
      <c r="AO127" s="104">
        <f t="shared" si="44"/>
        <v>0</v>
      </c>
      <c r="AP127" s="104">
        <f t="shared" si="44"/>
        <v>0</v>
      </c>
      <c r="AQ127" s="104">
        <f t="shared" si="44"/>
        <v>0</v>
      </c>
      <c r="AR127" s="104">
        <f t="shared" si="44"/>
        <v>0</v>
      </c>
      <c r="AS127" s="104">
        <f t="shared" si="44"/>
        <v>0</v>
      </c>
      <c r="AT127" s="104">
        <f t="shared" si="44"/>
        <v>0</v>
      </c>
      <c r="AU127" s="104">
        <f t="shared" si="44"/>
        <v>0</v>
      </c>
      <c r="AV127" s="104">
        <f t="shared" si="44"/>
        <v>0</v>
      </c>
      <c r="AW127" s="104">
        <f t="shared" si="44"/>
        <v>0</v>
      </c>
      <c r="AX127" s="104">
        <f t="shared" si="44"/>
        <v>0</v>
      </c>
      <c r="AY127" s="104">
        <f t="shared" si="44"/>
        <v>0</v>
      </c>
      <c r="AZ127" s="104">
        <f t="shared" si="44"/>
        <v>0</v>
      </c>
      <c r="BA127" s="104">
        <f t="shared" si="44"/>
        <v>0</v>
      </c>
      <c r="BB127" s="104">
        <f t="shared" si="44"/>
        <v>0</v>
      </c>
      <c r="BC127" s="104">
        <f t="shared" si="44"/>
        <v>0</v>
      </c>
      <c r="BD127" s="104">
        <f t="shared" si="44"/>
        <v>0</v>
      </c>
      <c r="BE127" s="104">
        <f t="shared" si="44"/>
        <v>0</v>
      </c>
      <c r="BF127" s="104">
        <f t="shared" si="44"/>
        <v>0</v>
      </c>
      <c r="BG127" s="104">
        <f t="shared" si="44"/>
        <v>0</v>
      </c>
      <c r="BH127" s="104">
        <f t="shared" si="44"/>
        <v>0</v>
      </c>
      <c r="BI127" s="104">
        <f t="shared" si="44"/>
        <v>0</v>
      </c>
      <c r="BJ127" s="237"/>
      <c r="BK127" s="237"/>
      <c r="BL127" s="237"/>
      <c r="BM127" s="237"/>
    </row>
    <row r="128" spans="1:65" s="190" customFormat="1" ht="12.75" hidden="1" customHeight="1" outlineLevel="2">
      <c r="A128" s="237"/>
      <c r="B128" s="37">
        <f>C140</f>
        <v>0</v>
      </c>
      <c r="C128" s="38"/>
      <c r="D128" s="39" t="s">
        <v>58</v>
      </c>
      <c r="E128" s="38"/>
      <c r="F128" s="40"/>
      <c r="G128" s="106">
        <f>IF(G$3&gt;A5remlife,A5value-SUM($F128:F128),IF(A5remlife="N/A","n/a",A5value/A5remlife))</f>
        <v>0</v>
      </c>
      <c r="H128" s="106">
        <f>IF(H$3&gt;A5remlife,A5value-SUM($F128:G128),IF(A5remlife="N/A","n/a",A5value/A5remlife))</f>
        <v>0</v>
      </c>
      <c r="I128" s="106">
        <f>IF(I$3&gt;A5remlife,A5value-SUM($F128:H128),IF(A5remlife="N/A","n/a",A5value/A5remlife))</f>
        <v>0</v>
      </c>
      <c r="J128" s="106">
        <f>IF(J$3&gt;A5remlife,A5value-SUM($F128:I128),IF(A5remlife="N/A","n/a",A5value/A5remlife))</f>
        <v>0</v>
      </c>
      <c r="K128" s="106">
        <f>IF(K$3&gt;A5remlife,A5value-SUM($F128:J128),IF(A5remlife="N/A","n/a",A5value/A5remlife))</f>
        <v>0</v>
      </c>
      <c r="L128" s="106">
        <f>IF(L$3&gt;A5remlife,A5value-SUM($F128:K128),IF(A5remlife="N/A","n/a",A5value/A5remlife))</f>
        <v>0</v>
      </c>
      <c r="M128" s="106">
        <f>IF(M$3&gt;A5remlife,A5value-SUM($F128:L128),IF(A5remlife="N/A","n/a",A5value/A5remlife))</f>
        <v>0</v>
      </c>
      <c r="N128" s="106">
        <f>IF(N$3&gt;A5remlife,A5value-SUM($F128:M128),IF(A5remlife="N/A","n/a",A5value/A5remlife))</f>
        <v>0</v>
      </c>
      <c r="O128" s="106">
        <f>IF(O$3&gt;A5remlife,A5value-SUM($F128:N128),IF(A5remlife="N/A","n/a",A5value/A5remlife))</f>
        <v>0</v>
      </c>
      <c r="P128" s="106">
        <f>IF(P$3&gt;A5remlife,A5value-SUM($F128:O128),IF(A5remlife="N/A","n/a",A5value/A5remlife))</f>
        <v>0</v>
      </c>
      <c r="Q128" s="106">
        <f>IF(Q$3&gt;A5remlife,A5value-SUM($F128:P128),IF(A5remlife="N/A","n/a",A5value/A5remlife))</f>
        <v>0</v>
      </c>
      <c r="R128" s="106">
        <f>IF(R$3&gt;A5remlife,A5value-SUM($F128:Q128),IF(A5remlife="N/A","n/a",A5value/A5remlife))</f>
        <v>0</v>
      </c>
      <c r="S128" s="106">
        <f>IF(S$3&gt;A5remlife,A5value-SUM($F128:R128),IF(A5remlife="N/A","n/a",A5value/A5remlife))</f>
        <v>0</v>
      </c>
      <c r="T128" s="106">
        <f>IF(T$3&gt;A5remlife,A5value-SUM($F128:S128),IF(A5remlife="N/A","n/a",A5value/A5remlife))</f>
        <v>0</v>
      </c>
      <c r="U128" s="106">
        <f>IF(U$3&gt;A5remlife,A5value-SUM($F128:T128),IF(A5remlife="N/A","n/a",A5value/A5remlife))</f>
        <v>0</v>
      </c>
      <c r="V128" s="106">
        <f>IF(V$3&gt;A5remlife,A5value-SUM($F128:U128),IF(A5remlife="N/A","n/a",A5value/A5remlife))</f>
        <v>0</v>
      </c>
      <c r="W128" s="106">
        <f>IF(W$3&gt;A5remlife,A5value-SUM($F128:V128),IF(A5remlife="N/A","n/a",A5value/A5remlife))</f>
        <v>0</v>
      </c>
      <c r="X128" s="106">
        <f>IF(X$3&gt;A5remlife,A5value-SUM($F128:W128),IF(A5remlife="N/A","n/a",A5value/A5remlife))</f>
        <v>0</v>
      </c>
      <c r="Y128" s="106">
        <f>IF(Y$3&gt;A5remlife,A5value-SUM($F128:X128),IF(A5remlife="N/A","n/a",A5value/A5remlife))</f>
        <v>0</v>
      </c>
      <c r="Z128" s="106">
        <f>IF(Z$3&gt;A5remlife,A5value-SUM($F128:Y128),IF(A5remlife="N/A","n/a",A5value/A5remlife))</f>
        <v>0</v>
      </c>
      <c r="AA128" s="106">
        <f>IF(AA$3&gt;A5remlife,A5value-SUM($F128:Z128),IF(A5remlife="N/A","n/a",A5value/A5remlife))</f>
        <v>0</v>
      </c>
      <c r="AB128" s="106">
        <f>IF(AB$3&gt;A5remlife,A5value-SUM($F128:AA128),IF(A5remlife="N/A","n/a",A5value/A5remlife))</f>
        <v>0</v>
      </c>
      <c r="AC128" s="106">
        <f>IF(AC$3&gt;A5remlife,A5value-SUM($F128:AB128),IF(A5remlife="N/A","n/a",A5value/A5remlife))</f>
        <v>0</v>
      </c>
      <c r="AD128" s="106">
        <f>IF(AD$3&gt;A5remlife,A5value-SUM($F128:AC128),IF(A5remlife="N/A","n/a",A5value/A5remlife))</f>
        <v>0</v>
      </c>
      <c r="AE128" s="106">
        <f>IF(AE$3&gt;A5remlife,A5value-SUM($F128:AD128),IF(A5remlife="N/A","n/a",A5value/A5remlife))</f>
        <v>0</v>
      </c>
      <c r="AF128" s="106">
        <f>IF(AF$3&gt;A5remlife,A5value-SUM($F128:AE128),IF(A5remlife="N/A","n/a",A5value/A5remlife))</f>
        <v>0</v>
      </c>
      <c r="AG128" s="106">
        <f>IF(AG$3&gt;A5remlife,A5value-SUM($F128:AF128),IF(A5remlife="N/A","n/a",A5value/A5remlife))</f>
        <v>0</v>
      </c>
      <c r="AH128" s="106">
        <f>IF(AH$3&gt;A5remlife,A5value-SUM($F128:AG128),IF(A5remlife="N/A","n/a",A5value/A5remlife))</f>
        <v>0</v>
      </c>
      <c r="AI128" s="106">
        <f>IF(AI$3&gt;A5remlife,A5value-SUM($F128:AH128),IF(A5remlife="N/A","n/a",A5value/A5remlife))</f>
        <v>0</v>
      </c>
      <c r="AJ128" s="106">
        <f>IF(AJ$3&gt;A5remlife,A5value-SUM($F128:AI128),IF(A5remlife="N/A","n/a",A5value/A5remlife))</f>
        <v>0</v>
      </c>
      <c r="AK128" s="106">
        <f>IF(AK$3&gt;A5remlife,A5value-SUM($F128:AJ128),IF(A5remlife="N/A","n/a",A5value/A5remlife))</f>
        <v>0</v>
      </c>
      <c r="AL128" s="106">
        <f>IF(AL$3&gt;A5remlife,A5value-SUM($F128:AK128),IF(A5remlife="N/A","n/a",A5value/A5remlife))</f>
        <v>0</v>
      </c>
      <c r="AM128" s="106">
        <f>IF(AM$3&gt;A5remlife,A5value-SUM($F128:AL128),IF(A5remlife="N/A","n/a",A5value/A5remlife))</f>
        <v>0</v>
      </c>
      <c r="AN128" s="106">
        <f>IF(AN$3&gt;A5remlife,A5value-SUM($F128:AM128),IF(A5remlife="N/A","n/a",A5value/A5remlife))</f>
        <v>0</v>
      </c>
      <c r="AO128" s="106">
        <f>IF(AO$3&gt;A5remlife,A5value-SUM($F128:AN128),IF(A5remlife="N/A","n/a",A5value/A5remlife))</f>
        <v>0</v>
      </c>
      <c r="AP128" s="106">
        <f>IF(AP$3&gt;A5remlife,A5value-SUM($F128:AO128),IF(A5remlife="N/A","n/a",A5value/A5remlife))</f>
        <v>0</v>
      </c>
      <c r="AQ128" s="106">
        <f>IF(AQ$3&gt;A5remlife,A5value-SUM($F128:AP128),IF(A5remlife="N/A","n/a",A5value/A5remlife))</f>
        <v>0</v>
      </c>
      <c r="AR128" s="106">
        <f>IF(AR$3&gt;A5remlife,A5value-SUM($F128:AQ128),IF(A5remlife="N/A","n/a",A5value/A5remlife))</f>
        <v>0</v>
      </c>
      <c r="AS128" s="106">
        <f>IF(AS$3&gt;A5remlife,A5value-SUM($F128:AR128),IF(A5remlife="N/A","n/a",A5value/A5remlife))</f>
        <v>0</v>
      </c>
      <c r="AT128" s="106">
        <f>IF(AT$3&gt;A5remlife,A5value-SUM($F128:AS128),IF(A5remlife="N/A","n/a",A5value/A5remlife))</f>
        <v>0</v>
      </c>
      <c r="AU128" s="106">
        <f>IF(AU$3&gt;A5remlife,A5value-SUM($F128:AT128),IF(A5remlife="N/A","n/a",A5value/A5remlife))</f>
        <v>0</v>
      </c>
      <c r="AV128" s="106">
        <f>IF(AV$3&gt;A5remlife,A5value-SUM($F128:AU128),IF(A5remlife="N/A","n/a",A5value/A5remlife))</f>
        <v>0</v>
      </c>
      <c r="AW128" s="106">
        <f>IF(AW$3&gt;A5remlife,A5value-SUM($F128:AV128),IF(A5remlife="N/A","n/a",A5value/A5remlife))</f>
        <v>0</v>
      </c>
      <c r="AX128" s="106">
        <f>IF(AX$3&gt;A5remlife,A5value-SUM($F128:AW128),IF(A5remlife="N/A","n/a",A5value/A5remlife))</f>
        <v>0</v>
      </c>
      <c r="AY128" s="106">
        <f>IF(AY$3&gt;A5remlife,A5value-SUM($F128:AX128),IF(A5remlife="N/A","n/a",A5value/A5remlife))</f>
        <v>0</v>
      </c>
      <c r="AZ128" s="106">
        <f>IF(AZ$3&gt;A5remlife,A5value-SUM($F128:AY128),IF(A5remlife="N/A","n/a",A5value/A5remlife))</f>
        <v>0</v>
      </c>
      <c r="BA128" s="106">
        <f>IF(BA$3&gt;A5remlife,A5value-SUM($F128:AZ128),IF(A5remlife="N/A","n/a",A5value/A5remlife))</f>
        <v>0</v>
      </c>
      <c r="BB128" s="106">
        <f>IF(BB$3&gt;A5remlife,A5value-SUM($F128:BA128),IF(A5remlife="N/A","n/a",A5value/A5remlife))</f>
        <v>0</v>
      </c>
      <c r="BC128" s="106">
        <f>IF(BC$3&gt;A5remlife,A5value-SUM($F128:BB128),IF(A5remlife="N/A","n/a",A5value/A5remlife))</f>
        <v>0</v>
      </c>
      <c r="BD128" s="106">
        <f>IF(BD$3&gt;A5remlife,A5value-SUM($F128:BC128),IF(A5remlife="N/A","n/a",A5value/A5remlife))</f>
        <v>0</v>
      </c>
      <c r="BE128" s="106">
        <f>IF(BE$3&gt;A5remlife,A5value-SUM($F128:BD128),IF(A5remlife="N/A","n/a",A5value/A5remlife))</f>
        <v>0</v>
      </c>
      <c r="BF128" s="106">
        <f>IF(BF$3&gt;A5remlife,A5value-SUM($F128:BE128),IF(A5remlife="N/A","n/a",A5value/A5remlife))</f>
        <v>0</v>
      </c>
      <c r="BG128" s="106">
        <f>IF(BG$3&gt;A5remlife,A5value-SUM($F128:BF128),IF(A5remlife="N/A","n/a",A5value/A5remlife))</f>
        <v>0</v>
      </c>
      <c r="BH128" s="106">
        <f>IF(BH$3&gt;A5remlife,A5value-SUM($F128:BG128),IF(A5remlife="N/A","n/a",A5value/A5remlife))</f>
        <v>0</v>
      </c>
      <c r="BI128" s="106">
        <f>IF(BI$3&gt;A5remlife,A5value-SUM($F128:BH128),IF(A5remlife="N/A","n/a",A5value/A5remlife))</f>
        <v>0</v>
      </c>
      <c r="BJ128" s="237"/>
      <c r="BK128" s="237"/>
      <c r="BL128" s="237"/>
      <c r="BM128" s="237"/>
    </row>
    <row r="129" spans="1:65" s="190" customFormat="1" ht="12.75" hidden="1" customHeight="1" outlineLevel="2">
      <c r="A129" s="237"/>
      <c r="B129" s="33"/>
      <c r="C129" s="32"/>
      <c r="D129" s="1618" t="s">
        <v>357</v>
      </c>
      <c r="E129" s="169">
        <v>0</v>
      </c>
      <c r="F129" s="35"/>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237"/>
      <c r="BK129" s="237"/>
      <c r="BL129" s="237"/>
      <c r="BM129" s="237"/>
    </row>
    <row r="130" spans="1:65" s="190" customFormat="1" hidden="1" outlineLevel="2">
      <c r="A130" s="237"/>
      <c r="B130" s="33"/>
      <c r="C130" s="32"/>
      <c r="D130" s="1618"/>
      <c r="E130" s="169">
        <v>1</v>
      </c>
      <c r="F130" s="35"/>
      <c r="G130" s="183"/>
      <c r="H130" s="107">
        <f>IF(A5stdlife="n/a","n/a",IF(H$3&gt;(A5stdlife+$E130),('PTRM input'!$G$147*(1+rvanilla01)^0.5)-SUM($G130:G130),('PTRM input'!$G$147*(1+rvanilla01)^0.5)/A5stdlife))</f>
        <v>0</v>
      </c>
      <c r="I130" s="107">
        <f>IF(A5stdlife="n/a","n/a",IF(I$3&gt;(A5stdlife+$E130),('PTRM input'!$G$147*(1+rvanilla01)^0.5)-SUM($G130:H130),('PTRM input'!$G$147*(1+rvanilla01)^0.5)/A5stdlife))</f>
        <v>0</v>
      </c>
      <c r="J130" s="107">
        <f>IF(A5stdlife="n/a","n/a",IF(J$3&gt;(A5stdlife+$E130),('PTRM input'!$G$147*(1+rvanilla01)^0.5)-SUM($G130:I130),('PTRM input'!$G$147*(1+rvanilla01)^0.5)/A5stdlife))</f>
        <v>0</v>
      </c>
      <c r="K130" s="107">
        <f>IF(A5stdlife="n/a","n/a",IF(K$3&gt;(A5stdlife+$E130),('PTRM input'!$G$147*(1+rvanilla01)^0.5)-SUM($G130:J130),('PTRM input'!$G$147*(1+rvanilla01)^0.5)/A5stdlife))</f>
        <v>0</v>
      </c>
      <c r="L130" s="107">
        <f>IF(A5stdlife="n/a","n/a",IF(L$3&gt;(A5stdlife+$E130),('PTRM input'!$G$147*(1+rvanilla01)^0.5)-SUM($G130:K130),('PTRM input'!$G$147*(1+rvanilla01)^0.5)/A5stdlife))</f>
        <v>0</v>
      </c>
      <c r="M130" s="107">
        <f>IF(A5stdlife="n/a","n/a",IF(M$3&gt;(A5stdlife+$E130),('PTRM input'!$G$147*(1+rvanilla01)^0.5)-SUM($G130:L130),('PTRM input'!$G$147*(1+rvanilla01)^0.5)/A5stdlife))</f>
        <v>0</v>
      </c>
      <c r="N130" s="107">
        <f>IF(A5stdlife="n/a","n/a",IF(N$3&gt;(A5stdlife+$E130),('PTRM input'!$G$147*(1+rvanilla01)^0.5)-SUM($G130:M130),('PTRM input'!$G$147*(1+rvanilla01)^0.5)/A5stdlife))</f>
        <v>0</v>
      </c>
      <c r="O130" s="107">
        <f>IF(A5stdlife="n/a","n/a",IF(O$3&gt;(A5stdlife+$E130),('PTRM input'!$G$147*(1+rvanilla01)^0.5)-SUM($G130:N130),('PTRM input'!$G$147*(1+rvanilla01)^0.5)/A5stdlife))</f>
        <v>0</v>
      </c>
      <c r="P130" s="107">
        <f>IF(A5stdlife="n/a","n/a",IF(P$3&gt;(A5stdlife+$E130),('PTRM input'!$G$147*(1+rvanilla01)^0.5)-SUM($G130:O130),('PTRM input'!$G$147*(1+rvanilla01)^0.5)/A5stdlife))</f>
        <v>0</v>
      </c>
      <c r="Q130" s="107">
        <f>IF(A5stdlife="n/a","n/a",IF(Q$3&gt;(A5stdlife+$E130),('PTRM input'!$G$147*(1+rvanilla01)^0.5)-SUM($G130:P130),('PTRM input'!$G$147*(1+rvanilla01)^0.5)/A5stdlife))</f>
        <v>0</v>
      </c>
      <c r="R130" s="107">
        <f>IF(A5stdlife="n/a","n/a",IF(R$3&gt;(A5stdlife+$E130),('PTRM input'!$G$147*(1+rvanilla01)^0.5)-SUM($G130:Q130),('PTRM input'!$G$147*(1+rvanilla01)^0.5)/A5stdlife))</f>
        <v>0</v>
      </c>
      <c r="S130" s="107">
        <f>IF(A5stdlife="n/a","n/a",IF(S$3&gt;(A5stdlife+$E130),('PTRM input'!$G$147*(1+rvanilla01)^0.5)-SUM($G130:R130),('PTRM input'!$G$147*(1+rvanilla01)^0.5)/A5stdlife))</f>
        <v>0</v>
      </c>
      <c r="T130" s="107">
        <f>IF(A5stdlife="n/a","n/a",IF(T$3&gt;(A5stdlife+$E130),('PTRM input'!$G$147*(1+rvanilla01)^0.5)-SUM($G130:S130),('PTRM input'!$G$147*(1+rvanilla01)^0.5)/A5stdlife))</f>
        <v>0</v>
      </c>
      <c r="U130" s="107">
        <f>IF(A5stdlife="n/a","n/a",IF(U$3&gt;(A5stdlife+$E130),('PTRM input'!$G$147*(1+rvanilla01)^0.5)-SUM($G130:T130),('PTRM input'!$G$147*(1+rvanilla01)^0.5)/A5stdlife))</f>
        <v>0</v>
      </c>
      <c r="V130" s="107">
        <f>IF(A5stdlife="n/a","n/a",IF(V$3&gt;(A5stdlife+$E130),('PTRM input'!$G$147*(1+rvanilla01)^0.5)-SUM($G130:U130),('PTRM input'!$G$147*(1+rvanilla01)^0.5)/A5stdlife))</f>
        <v>0</v>
      </c>
      <c r="W130" s="107">
        <f>IF(A5stdlife="n/a","n/a",IF(W$3&gt;(A5stdlife+$E130),('PTRM input'!$G$147*(1+rvanilla01)^0.5)-SUM($G130:V130),('PTRM input'!$G$147*(1+rvanilla01)^0.5)/A5stdlife))</f>
        <v>0</v>
      </c>
      <c r="X130" s="107">
        <f>IF(A5stdlife="n/a","n/a",IF(X$3&gt;(A5stdlife+$E130),('PTRM input'!$G$147*(1+rvanilla01)^0.5)-SUM($G130:W130),('PTRM input'!$G$147*(1+rvanilla01)^0.5)/A5stdlife))</f>
        <v>0</v>
      </c>
      <c r="Y130" s="107">
        <f>IF(A5stdlife="n/a","n/a",IF(Y$3&gt;(A5stdlife+$E130),('PTRM input'!$G$147*(1+rvanilla01)^0.5)-SUM($G130:X130),('PTRM input'!$G$147*(1+rvanilla01)^0.5)/A5stdlife))</f>
        <v>0</v>
      </c>
      <c r="Z130" s="107">
        <f>IF(A5stdlife="n/a","n/a",IF(Z$3&gt;(A5stdlife+$E130),('PTRM input'!$G$147*(1+rvanilla01)^0.5)-SUM($G130:Y130),('PTRM input'!$G$147*(1+rvanilla01)^0.5)/A5stdlife))</f>
        <v>0</v>
      </c>
      <c r="AA130" s="107">
        <f>IF(A5stdlife="n/a","n/a",IF(AA$3&gt;(A5stdlife+$E130),('PTRM input'!$G$147*(1+rvanilla01)^0.5)-SUM($G130:Z130),('PTRM input'!$G$147*(1+rvanilla01)^0.5)/A5stdlife))</f>
        <v>0</v>
      </c>
      <c r="AB130" s="107">
        <f>IF(A5stdlife="n/a","n/a",IF(AB$3&gt;(A5stdlife+$E130),('PTRM input'!$G$147*(1+rvanilla01)^0.5)-SUM($G130:AA130),('PTRM input'!$G$147*(1+rvanilla01)^0.5)/A5stdlife))</f>
        <v>0</v>
      </c>
      <c r="AC130" s="107">
        <f>IF(A5stdlife="n/a","n/a",IF(AC$3&gt;(A5stdlife+$E130),('PTRM input'!$G$147*(1+rvanilla01)^0.5)-SUM($G130:AB130),('PTRM input'!$G$147*(1+rvanilla01)^0.5)/A5stdlife))</f>
        <v>0</v>
      </c>
      <c r="AD130" s="107">
        <f>IF(A5stdlife="n/a","n/a",IF(AD$3&gt;(A5stdlife+$E130),('PTRM input'!$G$147*(1+rvanilla01)^0.5)-SUM($G130:AC130),('PTRM input'!$G$147*(1+rvanilla01)^0.5)/A5stdlife))</f>
        <v>0</v>
      </c>
      <c r="AE130" s="107">
        <f>IF(A5stdlife="n/a","n/a",IF(AE$3&gt;(A5stdlife+$E130),('PTRM input'!$G$147*(1+rvanilla01)^0.5)-SUM($G130:AD130),('PTRM input'!$G$147*(1+rvanilla01)^0.5)/A5stdlife))</f>
        <v>0</v>
      </c>
      <c r="AF130" s="107">
        <f>IF(A5stdlife="n/a","n/a",IF(AF$3&gt;(A5stdlife+$E130),('PTRM input'!$G$147*(1+rvanilla01)^0.5)-SUM($G130:AE130),('PTRM input'!$G$147*(1+rvanilla01)^0.5)/A5stdlife))</f>
        <v>0</v>
      </c>
      <c r="AG130" s="107">
        <f>IF(A5stdlife="n/a","n/a",IF(AG$3&gt;(A5stdlife+$E130),('PTRM input'!$G$147*(1+rvanilla01)^0.5)-SUM($G130:AF130),('PTRM input'!$G$147*(1+rvanilla01)^0.5)/A5stdlife))</f>
        <v>0</v>
      </c>
      <c r="AH130" s="107">
        <f>IF(A5stdlife="n/a","n/a",IF(AH$3&gt;(A5stdlife+$E130),('PTRM input'!$G$147*(1+rvanilla01)^0.5)-SUM($G130:AG130),('PTRM input'!$G$147*(1+rvanilla01)^0.5)/A5stdlife))</f>
        <v>0</v>
      </c>
      <c r="AI130" s="107">
        <f>IF(A5stdlife="n/a","n/a",IF(AI$3&gt;(A5stdlife+$E130),('PTRM input'!$G$147*(1+rvanilla01)^0.5)-SUM($G130:AH130),('PTRM input'!$G$147*(1+rvanilla01)^0.5)/A5stdlife))</f>
        <v>0</v>
      </c>
      <c r="AJ130" s="107">
        <f>IF(A5stdlife="n/a","n/a",IF(AJ$3&gt;(A5stdlife+$E130),('PTRM input'!$G$147*(1+rvanilla01)^0.5)-SUM($G130:AI130),('PTRM input'!$G$147*(1+rvanilla01)^0.5)/A5stdlife))</f>
        <v>0</v>
      </c>
      <c r="AK130" s="107">
        <f>IF(A5stdlife="n/a","n/a",IF(AK$3&gt;(A5stdlife+$E130),('PTRM input'!$G$147*(1+rvanilla01)^0.5)-SUM($G130:AJ130),('PTRM input'!$G$147*(1+rvanilla01)^0.5)/A5stdlife))</f>
        <v>0</v>
      </c>
      <c r="AL130" s="107">
        <f>IF(A5stdlife="n/a","n/a",IF(AL$3&gt;(A5stdlife+$E130),('PTRM input'!$G$147*(1+rvanilla01)^0.5)-SUM($G130:AK130),('PTRM input'!$G$147*(1+rvanilla01)^0.5)/A5stdlife))</f>
        <v>0</v>
      </c>
      <c r="AM130" s="107">
        <f>IF(A5stdlife="n/a","n/a",IF(AM$3&gt;(A5stdlife+$E130),('PTRM input'!$G$147*(1+rvanilla01)^0.5)-SUM($G130:AL130),('PTRM input'!$G$147*(1+rvanilla01)^0.5)/A5stdlife))</f>
        <v>0</v>
      </c>
      <c r="AN130" s="107">
        <f>IF(A5stdlife="n/a","n/a",IF(AN$3&gt;(A5stdlife+$E130),('PTRM input'!$G$147*(1+rvanilla01)^0.5)-SUM($G130:AM130),('PTRM input'!$G$147*(1+rvanilla01)^0.5)/A5stdlife))</f>
        <v>0</v>
      </c>
      <c r="AO130" s="107">
        <f>IF(A5stdlife="n/a","n/a",IF(AO$3&gt;(A5stdlife+$E130),('PTRM input'!$G$147*(1+rvanilla01)^0.5)-SUM($G130:AN130),('PTRM input'!$G$147*(1+rvanilla01)^0.5)/A5stdlife))</f>
        <v>0</v>
      </c>
      <c r="AP130" s="107">
        <f>IF(A5stdlife="n/a","n/a",IF(AP$3&gt;(A5stdlife+$E130),('PTRM input'!$G$147*(1+rvanilla01)^0.5)-SUM($G130:AO130),('PTRM input'!$G$147*(1+rvanilla01)^0.5)/A5stdlife))</f>
        <v>0</v>
      </c>
      <c r="AQ130" s="107">
        <f>IF(A5stdlife="n/a","n/a",IF(AQ$3&gt;(A5stdlife+$E130),('PTRM input'!$G$147*(1+rvanilla01)^0.5)-SUM($G130:AP130),('PTRM input'!$G$147*(1+rvanilla01)^0.5)/A5stdlife))</f>
        <v>0</v>
      </c>
      <c r="AR130" s="107">
        <f>IF(A5stdlife="n/a","n/a",IF(AR$3&gt;(A5stdlife+$E130),('PTRM input'!$G$147*(1+rvanilla01)^0.5)-SUM($G130:AQ130),('PTRM input'!$G$147*(1+rvanilla01)^0.5)/A5stdlife))</f>
        <v>0</v>
      </c>
      <c r="AS130" s="107">
        <f>IF(A5stdlife="n/a","n/a",IF(AS$3&gt;(A5stdlife+$E130),('PTRM input'!$G$147*(1+rvanilla01)^0.5)-SUM($G130:AR130),('PTRM input'!$G$147*(1+rvanilla01)^0.5)/A5stdlife))</f>
        <v>0</v>
      </c>
      <c r="AT130" s="107">
        <f>IF(A5stdlife="n/a","n/a",IF(AT$3&gt;(A5stdlife+$E130),('PTRM input'!$G$147*(1+rvanilla01)^0.5)-SUM($G130:AS130),('PTRM input'!$G$147*(1+rvanilla01)^0.5)/A5stdlife))</f>
        <v>0</v>
      </c>
      <c r="AU130" s="107">
        <f>IF(A5stdlife="n/a","n/a",IF(AU$3&gt;(A5stdlife+$E130),('PTRM input'!$G$147*(1+rvanilla01)^0.5)-SUM($G130:AT130),('PTRM input'!$G$147*(1+rvanilla01)^0.5)/A5stdlife))</f>
        <v>0</v>
      </c>
      <c r="AV130" s="107">
        <f>IF(A5stdlife="n/a","n/a",IF(AV$3&gt;(A5stdlife+$E130),('PTRM input'!$G$147*(1+rvanilla01)^0.5)-SUM($G130:AU130),('PTRM input'!$G$147*(1+rvanilla01)^0.5)/A5stdlife))</f>
        <v>0</v>
      </c>
      <c r="AW130" s="107">
        <f>IF(A5stdlife="n/a","n/a",IF(AW$3&gt;(A5stdlife+$E130),('PTRM input'!$G$147*(1+rvanilla01)^0.5)-SUM($G130:AV130),('PTRM input'!$G$147*(1+rvanilla01)^0.5)/A5stdlife))</f>
        <v>0</v>
      </c>
      <c r="AX130" s="107">
        <f>IF(A5stdlife="n/a","n/a",IF(AX$3&gt;(A5stdlife+$E130),('PTRM input'!$G$147*(1+rvanilla01)^0.5)-SUM($G130:AW130),('PTRM input'!$G$147*(1+rvanilla01)^0.5)/A5stdlife))</f>
        <v>0</v>
      </c>
      <c r="AY130" s="107">
        <f>IF(A5stdlife="n/a","n/a",IF(AY$3&gt;(A5stdlife+$E130),('PTRM input'!$G$147*(1+rvanilla01)^0.5)-SUM($G130:AX130),('PTRM input'!$G$147*(1+rvanilla01)^0.5)/A5stdlife))</f>
        <v>0</v>
      </c>
      <c r="AZ130" s="107">
        <f>IF(A5stdlife="n/a","n/a",IF(AZ$3&gt;(A5stdlife+$E130),('PTRM input'!$G$147*(1+rvanilla01)^0.5)-SUM($G130:AY130),('PTRM input'!$G$147*(1+rvanilla01)^0.5)/A5stdlife))</f>
        <v>0</v>
      </c>
      <c r="BA130" s="107">
        <f>IF(A5stdlife="n/a","n/a",IF(BA$3&gt;(A5stdlife+$E130),('PTRM input'!$G$147*(1+rvanilla01)^0.5)-SUM($G130:AZ130),('PTRM input'!$G$147*(1+rvanilla01)^0.5)/A5stdlife))</f>
        <v>0</v>
      </c>
      <c r="BB130" s="107">
        <f>IF(A5stdlife="n/a","n/a",IF(BB$3&gt;(A5stdlife+$E130),('PTRM input'!$G$147*(1+rvanilla01)^0.5)-SUM($G130:BA130),('PTRM input'!$G$147*(1+rvanilla01)^0.5)/A5stdlife))</f>
        <v>0</v>
      </c>
      <c r="BC130" s="107">
        <f>IF(A5stdlife="n/a","n/a",IF(BC$3&gt;(A5stdlife+$E130),('PTRM input'!$G$147*(1+rvanilla01)^0.5)-SUM($G130:BB130),('PTRM input'!$G$147*(1+rvanilla01)^0.5)/A5stdlife))</f>
        <v>0</v>
      </c>
      <c r="BD130" s="107">
        <f>IF(A5stdlife="n/a","n/a",IF(BD$3&gt;(A5stdlife+$E130),('PTRM input'!$G$147*(1+rvanilla01)^0.5)-SUM($G130:BC130),('PTRM input'!$G$147*(1+rvanilla01)^0.5)/A5stdlife))</f>
        <v>0</v>
      </c>
      <c r="BE130" s="107">
        <f>IF(A5stdlife="n/a","n/a",IF(BE$3&gt;(A5stdlife+$E130),('PTRM input'!$G$147*(1+rvanilla01)^0.5)-SUM($G130:BD130),('PTRM input'!$G$147*(1+rvanilla01)^0.5)/A5stdlife))</f>
        <v>0</v>
      </c>
      <c r="BF130" s="107">
        <f>IF(A5stdlife="n/a","n/a",IF(BF$3&gt;(A5stdlife+$E130),('PTRM input'!$G$147*(1+rvanilla01)^0.5)-SUM($G130:BE130),('PTRM input'!$G$147*(1+rvanilla01)^0.5)/A5stdlife))</f>
        <v>0</v>
      </c>
      <c r="BG130" s="107">
        <f>IF(A5stdlife="n/a","n/a",IF(BG$3&gt;(A5stdlife+$E130),('PTRM input'!$G$147*(1+rvanilla01)^0.5)-SUM($G130:BF130),('PTRM input'!$G$147*(1+rvanilla01)^0.5)/A5stdlife))</f>
        <v>0</v>
      </c>
      <c r="BH130" s="107">
        <f>IF(A5stdlife="n/a","n/a",IF(BH$3&gt;(A5stdlife+$E130),('PTRM input'!$G$147*(1+rvanilla01)^0.5)-SUM($G130:BG130),('PTRM input'!$G$147*(1+rvanilla01)^0.5)/A5stdlife))</f>
        <v>0</v>
      </c>
      <c r="BI130" s="107">
        <f>IF(A5stdlife="n/a","n/a",IF(BI$3&gt;(A5stdlife+$E130),('PTRM input'!$G$147*(1+rvanilla01)^0.5)-SUM($G130:BH130),('PTRM input'!$G$147*(1+rvanilla01)^0.5)/A5stdlife))</f>
        <v>0</v>
      </c>
      <c r="BJ130" s="237"/>
      <c r="BK130" s="237"/>
      <c r="BL130" s="237"/>
      <c r="BM130" s="237"/>
    </row>
    <row r="131" spans="1:65" s="190" customFormat="1" hidden="1" outlineLevel="2">
      <c r="A131" s="237"/>
      <c r="B131" s="33"/>
      <c r="C131" s="32"/>
      <c r="D131" s="1618"/>
      <c r="E131" s="169">
        <v>2</v>
      </c>
      <c r="F131" s="35"/>
      <c r="G131" s="184"/>
      <c r="H131" s="185"/>
      <c r="I131" s="107">
        <f>IF(A5stdlife="n/a","n/a",IF(I$3&gt;(A5stdlife+$E131),('PTRM input'!$H$147*(1+rvanilla02)^0.5)-SUM($H131:H131),('PTRM input'!$H$147*(1+rvanilla02)^0.5)/A5stdlife))</f>
        <v>0</v>
      </c>
      <c r="J131" s="107">
        <f>IF(A5stdlife="n/a","n/a",IF(J$3&gt;(A5stdlife+$E131),('PTRM input'!$H$147*(1+rvanilla02)^0.5)-SUM($H131:I131),('PTRM input'!$H$147*(1+rvanilla02)^0.5)/A5stdlife))</f>
        <v>0</v>
      </c>
      <c r="K131" s="107">
        <f>IF(A5stdlife="n/a","n/a",IF(K$3&gt;(A5stdlife+$E131),('PTRM input'!$H$147*(1+rvanilla02)^0.5)-SUM($H131:J131),('PTRM input'!$H$147*(1+rvanilla02)^0.5)/A5stdlife))</f>
        <v>0</v>
      </c>
      <c r="L131" s="107">
        <f>IF(A5stdlife="n/a","n/a",IF(L$3&gt;(A5stdlife+$E131),('PTRM input'!$H$147*(1+rvanilla02)^0.5)-SUM($H131:K131),('PTRM input'!$H$147*(1+rvanilla02)^0.5)/A5stdlife))</f>
        <v>0</v>
      </c>
      <c r="M131" s="107">
        <f>IF(A5stdlife="n/a","n/a",IF(M$3&gt;(A5stdlife+$E131),('PTRM input'!$H$147*(1+rvanilla02)^0.5)-SUM($H131:L131),('PTRM input'!$H$147*(1+rvanilla02)^0.5)/A5stdlife))</f>
        <v>0</v>
      </c>
      <c r="N131" s="107">
        <f>IF(A5stdlife="n/a","n/a",IF(N$3&gt;(A5stdlife+$E131),('PTRM input'!$H$147*(1+rvanilla02)^0.5)-SUM($H131:M131),('PTRM input'!$H$147*(1+rvanilla02)^0.5)/A5stdlife))</f>
        <v>0</v>
      </c>
      <c r="O131" s="107">
        <f>IF(A5stdlife="n/a","n/a",IF(O$3&gt;(A5stdlife+$E131),('PTRM input'!$H$147*(1+rvanilla02)^0.5)-SUM($H131:N131),('PTRM input'!$H$147*(1+rvanilla02)^0.5)/A5stdlife))</f>
        <v>0</v>
      </c>
      <c r="P131" s="107">
        <f>IF(A5stdlife="n/a","n/a",IF(P$3&gt;(A5stdlife+$E131),('PTRM input'!$H$147*(1+rvanilla02)^0.5)-SUM($H131:O131),('PTRM input'!$H$147*(1+rvanilla02)^0.5)/A5stdlife))</f>
        <v>0</v>
      </c>
      <c r="Q131" s="107">
        <f>IF(A5stdlife="n/a","n/a",IF(Q$3&gt;(A5stdlife+$E131),('PTRM input'!$H$147*(1+rvanilla02)^0.5)-SUM($H131:P131),('PTRM input'!$H$147*(1+rvanilla02)^0.5)/A5stdlife))</f>
        <v>0</v>
      </c>
      <c r="R131" s="107">
        <f>IF(A5stdlife="n/a","n/a",IF(R$3&gt;(A5stdlife+$E131),('PTRM input'!$H$147*(1+rvanilla02)^0.5)-SUM($H131:Q131),('PTRM input'!$H$147*(1+rvanilla02)^0.5)/A5stdlife))</f>
        <v>0</v>
      </c>
      <c r="S131" s="107">
        <f>IF(A5stdlife="n/a","n/a",IF(S$3&gt;(A5stdlife+$E131),('PTRM input'!$H$147*(1+rvanilla02)^0.5)-SUM($H131:R131),('PTRM input'!$H$147*(1+rvanilla02)^0.5)/A5stdlife))</f>
        <v>0</v>
      </c>
      <c r="T131" s="107">
        <f>IF(A5stdlife="n/a","n/a",IF(T$3&gt;(A5stdlife+$E131),('PTRM input'!$H$147*(1+rvanilla02)^0.5)-SUM($H131:S131),('PTRM input'!$H$147*(1+rvanilla02)^0.5)/A5stdlife))</f>
        <v>0</v>
      </c>
      <c r="U131" s="107">
        <f>IF(A5stdlife="n/a","n/a",IF(U$3&gt;(A5stdlife+$E131),('PTRM input'!$H$147*(1+rvanilla02)^0.5)-SUM($H131:T131),('PTRM input'!$H$147*(1+rvanilla02)^0.5)/A5stdlife))</f>
        <v>0</v>
      </c>
      <c r="V131" s="107">
        <f>IF(A5stdlife="n/a","n/a",IF(V$3&gt;(A5stdlife+$E131),('PTRM input'!$H$147*(1+rvanilla02)^0.5)-SUM($H131:U131),('PTRM input'!$H$147*(1+rvanilla02)^0.5)/A5stdlife))</f>
        <v>0</v>
      </c>
      <c r="W131" s="107">
        <f>IF(A5stdlife="n/a","n/a",IF(W$3&gt;(A5stdlife+$E131),('PTRM input'!$H$147*(1+rvanilla02)^0.5)-SUM($H131:V131),('PTRM input'!$H$147*(1+rvanilla02)^0.5)/A5stdlife))</f>
        <v>0</v>
      </c>
      <c r="X131" s="107">
        <f>IF(A5stdlife="n/a","n/a",IF(X$3&gt;(A5stdlife+$E131),('PTRM input'!$H$147*(1+rvanilla02)^0.5)-SUM($H131:W131),('PTRM input'!$H$147*(1+rvanilla02)^0.5)/A5stdlife))</f>
        <v>0</v>
      </c>
      <c r="Y131" s="107">
        <f>IF(A5stdlife="n/a","n/a",IF(Y$3&gt;(A5stdlife+$E131),('PTRM input'!$H$147*(1+rvanilla02)^0.5)-SUM($H131:X131),('PTRM input'!$H$147*(1+rvanilla02)^0.5)/A5stdlife))</f>
        <v>0</v>
      </c>
      <c r="Z131" s="107">
        <f>IF(A5stdlife="n/a","n/a",IF(Z$3&gt;(A5stdlife+$E131),('PTRM input'!$H$147*(1+rvanilla02)^0.5)-SUM($H131:Y131),('PTRM input'!$H$147*(1+rvanilla02)^0.5)/A5stdlife))</f>
        <v>0</v>
      </c>
      <c r="AA131" s="107">
        <f>IF(A5stdlife="n/a","n/a",IF(AA$3&gt;(A5stdlife+$E131),('PTRM input'!$H$147*(1+rvanilla02)^0.5)-SUM($H131:Z131),('PTRM input'!$H$147*(1+rvanilla02)^0.5)/A5stdlife))</f>
        <v>0</v>
      </c>
      <c r="AB131" s="107">
        <f>IF(A5stdlife="n/a","n/a",IF(AB$3&gt;(A5stdlife+$E131),('PTRM input'!$H$147*(1+rvanilla02)^0.5)-SUM($H131:AA131),('PTRM input'!$H$147*(1+rvanilla02)^0.5)/A5stdlife))</f>
        <v>0</v>
      </c>
      <c r="AC131" s="107">
        <f>IF(A5stdlife="n/a","n/a",IF(AC$3&gt;(A5stdlife+$E131),('PTRM input'!$H$147*(1+rvanilla02)^0.5)-SUM($H131:AB131),('PTRM input'!$H$147*(1+rvanilla02)^0.5)/A5stdlife))</f>
        <v>0</v>
      </c>
      <c r="AD131" s="107">
        <f>IF(A5stdlife="n/a","n/a",IF(AD$3&gt;(A5stdlife+$E131),('PTRM input'!$H$147*(1+rvanilla02)^0.5)-SUM($H131:AC131),('PTRM input'!$H$147*(1+rvanilla02)^0.5)/A5stdlife))</f>
        <v>0</v>
      </c>
      <c r="AE131" s="107">
        <f>IF(A5stdlife="n/a","n/a",IF(AE$3&gt;(A5stdlife+$E131),('PTRM input'!$H$147*(1+rvanilla02)^0.5)-SUM($H131:AD131),('PTRM input'!$H$147*(1+rvanilla02)^0.5)/A5stdlife))</f>
        <v>0</v>
      </c>
      <c r="AF131" s="107">
        <f>IF(A5stdlife="n/a","n/a",IF(AF$3&gt;(A5stdlife+$E131),('PTRM input'!$H$147*(1+rvanilla02)^0.5)-SUM($H131:AE131),('PTRM input'!$H$147*(1+rvanilla02)^0.5)/A5stdlife))</f>
        <v>0</v>
      </c>
      <c r="AG131" s="107">
        <f>IF(A5stdlife="n/a","n/a",IF(AG$3&gt;(A5stdlife+$E131),('PTRM input'!$H$147*(1+rvanilla02)^0.5)-SUM($H131:AF131),('PTRM input'!$H$147*(1+rvanilla02)^0.5)/A5stdlife))</f>
        <v>0</v>
      </c>
      <c r="AH131" s="107">
        <f>IF(A5stdlife="n/a","n/a",IF(AH$3&gt;(A5stdlife+$E131),('PTRM input'!$H$147*(1+rvanilla02)^0.5)-SUM($H131:AG131),('PTRM input'!$H$147*(1+rvanilla02)^0.5)/A5stdlife))</f>
        <v>0</v>
      </c>
      <c r="AI131" s="107">
        <f>IF(A5stdlife="n/a","n/a",IF(AI$3&gt;(A5stdlife+$E131),('PTRM input'!$H$147*(1+rvanilla02)^0.5)-SUM($H131:AH131),('PTRM input'!$H$147*(1+rvanilla02)^0.5)/A5stdlife))</f>
        <v>0</v>
      </c>
      <c r="AJ131" s="107">
        <f>IF(A5stdlife="n/a","n/a",IF(AJ$3&gt;(A5stdlife+$E131),('PTRM input'!$H$147*(1+rvanilla02)^0.5)-SUM($H131:AI131),('PTRM input'!$H$147*(1+rvanilla02)^0.5)/A5stdlife))</f>
        <v>0</v>
      </c>
      <c r="AK131" s="107">
        <f>IF(A5stdlife="n/a","n/a",IF(AK$3&gt;(A5stdlife+$E131),('PTRM input'!$H$147*(1+rvanilla02)^0.5)-SUM($H131:AJ131),('PTRM input'!$H$147*(1+rvanilla02)^0.5)/A5stdlife))</f>
        <v>0</v>
      </c>
      <c r="AL131" s="107">
        <f>IF(A5stdlife="n/a","n/a",IF(AL$3&gt;(A5stdlife+$E131),('PTRM input'!$H$147*(1+rvanilla02)^0.5)-SUM($H131:AK131),('PTRM input'!$H$147*(1+rvanilla02)^0.5)/A5stdlife))</f>
        <v>0</v>
      </c>
      <c r="AM131" s="107">
        <f>IF(A5stdlife="n/a","n/a",IF(AM$3&gt;(A5stdlife+$E131),('PTRM input'!$H$147*(1+rvanilla02)^0.5)-SUM($H131:AL131),('PTRM input'!$H$147*(1+rvanilla02)^0.5)/A5stdlife))</f>
        <v>0</v>
      </c>
      <c r="AN131" s="107">
        <f>IF(A5stdlife="n/a","n/a",IF(AN$3&gt;(A5stdlife+$E131),('PTRM input'!$H$147*(1+rvanilla02)^0.5)-SUM($H131:AM131),('PTRM input'!$H$147*(1+rvanilla02)^0.5)/A5stdlife))</f>
        <v>0</v>
      </c>
      <c r="AO131" s="107">
        <f>IF(A5stdlife="n/a","n/a",IF(AO$3&gt;(A5stdlife+$E131),('PTRM input'!$H$147*(1+rvanilla02)^0.5)-SUM($H131:AN131),('PTRM input'!$H$147*(1+rvanilla02)^0.5)/A5stdlife))</f>
        <v>0</v>
      </c>
      <c r="AP131" s="107">
        <f>IF(A5stdlife="n/a","n/a",IF(AP$3&gt;(A5stdlife+$E131),('PTRM input'!$H$147*(1+rvanilla02)^0.5)-SUM($H131:AO131),('PTRM input'!$H$147*(1+rvanilla02)^0.5)/A5stdlife))</f>
        <v>0</v>
      </c>
      <c r="AQ131" s="107">
        <f>IF(A5stdlife="n/a","n/a",IF(AQ$3&gt;(A5stdlife+$E131),('PTRM input'!$H$147*(1+rvanilla02)^0.5)-SUM($H131:AP131),('PTRM input'!$H$147*(1+rvanilla02)^0.5)/A5stdlife))</f>
        <v>0</v>
      </c>
      <c r="AR131" s="107">
        <f>IF(A5stdlife="n/a","n/a",IF(AR$3&gt;(A5stdlife+$E131),('PTRM input'!$H$147*(1+rvanilla02)^0.5)-SUM($H131:AQ131),('PTRM input'!$H$147*(1+rvanilla02)^0.5)/A5stdlife))</f>
        <v>0</v>
      </c>
      <c r="AS131" s="107">
        <f>IF(A5stdlife="n/a","n/a",IF(AS$3&gt;(A5stdlife+$E131),('PTRM input'!$H$147*(1+rvanilla02)^0.5)-SUM($H131:AR131),('PTRM input'!$H$147*(1+rvanilla02)^0.5)/A5stdlife))</f>
        <v>0</v>
      </c>
      <c r="AT131" s="107">
        <f>IF(A5stdlife="n/a","n/a",IF(AT$3&gt;(A5stdlife+$E131),('PTRM input'!$H$147*(1+rvanilla02)^0.5)-SUM($H131:AS131),('PTRM input'!$H$147*(1+rvanilla02)^0.5)/A5stdlife))</f>
        <v>0</v>
      </c>
      <c r="AU131" s="107">
        <f>IF(A5stdlife="n/a","n/a",IF(AU$3&gt;(A5stdlife+$E131),('PTRM input'!$H$147*(1+rvanilla02)^0.5)-SUM($H131:AT131),('PTRM input'!$H$147*(1+rvanilla02)^0.5)/A5stdlife))</f>
        <v>0</v>
      </c>
      <c r="AV131" s="107">
        <f>IF(A5stdlife="n/a","n/a",IF(AV$3&gt;(A5stdlife+$E131),('PTRM input'!$H$147*(1+rvanilla02)^0.5)-SUM($H131:AU131),('PTRM input'!$H$147*(1+rvanilla02)^0.5)/A5stdlife))</f>
        <v>0</v>
      </c>
      <c r="AW131" s="107">
        <f>IF(A5stdlife="n/a","n/a",IF(AW$3&gt;(A5stdlife+$E131),('PTRM input'!$H$147*(1+rvanilla02)^0.5)-SUM($H131:AV131),('PTRM input'!$H$147*(1+rvanilla02)^0.5)/A5stdlife))</f>
        <v>0</v>
      </c>
      <c r="AX131" s="107">
        <f>IF(A5stdlife="n/a","n/a",IF(AX$3&gt;(A5stdlife+$E131),('PTRM input'!$H$147*(1+rvanilla02)^0.5)-SUM($H131:AW131),('PTRM input'!$H$147*(1+rvanilla02)^0.5)/A5stdlife))</f>
        <v>0</v>
      </c>
      <c r="AY131" s="107">
        <f>IF(A5stdlife="n/a","n/a",IF(AY$3&gt;(A5stdlife+$E131),('PTRM input'!$H$147*(1+rvanilla02)^0.5)-SUM($H131:AX131),('PTRM input'!$H$147*(1+rvanilla02)^0.5)/A5stdlife))</f>
        <v>0</v>
      </c>
      <c r="AZ131" s="107">
        <f>IF(A5stdlife="n/a","n/a",IF(AZ$3&gt;(A5stdlife+$E131),('PTRM input'!$H$147*(1+rvanilla02)^0.5)-SUM($H131:AY131),('PTRM input'!$H$147*(1+rvanilla02)^0.5)/A5stdlife))</f>
        <v>0</v>
      </c>
      <c r="BA131" s="107">
        <f>IF(A5stdlife="n/a","n/a",IF(BA$3&gt;(A5stdlife+$E131),('PTRM input'!$H$147*(1+rvanilla02)^0.5)-SUM($H131:AZ131),('PTRM input'!$H$147*(1+rvanilla02)^0.5)/A5stdlife))</f>
        <v>0</v>
      </c>
      <c r="BB131" s="107">
        <f>IF(A5stdlife="n/a","n/a",IF(BB$3&gt;(A5stdlife+$E131),('PTRM input'!$H$147*(1+rvanilla02)^0.5)-SUM($H131:BA131),('PTRM input'!$H$147*(1+rvanilla02)^0.5)/A5stdlife))</f>
        <v>0</v>
      </c>
      <c r="BC131" s="107">
        <f>IF(A5stdlife="n/a","n/a",IF(BC$3&gt;(A5stdlife+$E131),('PTRM input'!$H$147*(1+rvanilla02)^0.5)-SUM($H131:BB131),('PTRM input'!$H$147*(1+rvanilla02)^0.5)/A5stdlife))</f>
        <v>0</v>
      </c>
      <c r="BD131" s="107">
        <f>IF(A5stdlife="n/a","n/a",IF(BD$3&gt;(A5stdlife+$E131),('PTRM input'!$H$147*(1+rvanilla02)^0.5)-SUM($H131:BC131),('PTRM input'!$H$147*(1+rvanilla02)^0.5)/A5stdlife))</f>
        <v>0</v>
      </c>
      <c r="BE131" s="107">
        <f>IF(A5stdlife="n/a","n/a",IF(BE$3&gt;(A5stdlife+$E131),('PTRM input'!$H$147*(1+rvanilla02)^0.5)-SUM($H131:BD131),('PTRM input'!$H$147*(1+rvanilla02)^0.5)/A5stdlife))</f>
        <v>0</v>
      </c>
      <c r="BF131" s="107">
        <f>IF(A5stdlife="n/a","n/a",IF(BF$3&gt;(A5stdlife+$E131),('PTRM input'!$H$147*(1+rvanilla02)^0.5)-SUM($H131:BE131),('PTRM input'!$H$147*(1+rvanilla02)^0.5)/A5stdlife))</f>
        <v>0</v>
      </c>
      <c r="BG131" s="107">
        <f>IF(A5stdlife="n/a","n/a",IF(BG$3&gt;(A5stdlife+$E131),('PTRM input'!$H$147*(1+rvanilla02)^0.5)-SUM($H131:BF131),('PTRM input'!$H$147*(1+rvanilla02)^0.5)/A5stdlife))</f>
        <v>0</v>
      </c>
      <c r="BH131" s="107">
        <f>IF(A5stdlife="n/a","n/a",IF(BH$3&gt;(A5stdlife+$E131),('PTRM input'!$H$147*(1+rvanilla02)^0.5)-SUM($H131:BG131),('PTRM input'!$H$147*(1+rvanilla02)^0.5)/A5stdlife))</f>
        <v>0</v>
      </c>
      <c r="BI131" s="107">
        <f>IF(A5stdlife="n/a","n/a",IF(BI$3&gt;(A5stdlife+$E131),('PTRM input'!$H$147*(1+rvanilla02)^0.5)-SUM($H131:BH131),('PTRM input'!$H$147*(1+rvanilla02)^0.5)/A5stdlife))</f>
        <v>0</v>
      </c>
      <c r="BJ131" s="237"/>
      <c r="BK131" s="237"/>
      <c r="BL131" s="237"/>
      <c r="BM131" s="237"/>
    </row>
    <row r="132" spans="1:65" s="190" customFormat="1" hidden="1" outlineLevel="2">
      <c r="A132" s="237"/>
      <c r="B132" s="33"/>
      <c r="C132" s="32"/>
      <c r="D132" s="1618"/>
      <c r="E132" s="169">
        <v>3</v>
      </c>
      <c r="F132" s="35"/>
      <c r="G132" s="184"/>
      <c r="H132" s="186"/>
      <c r="I132" s="185"/>
      <c r="J132" s="107">
        <f>IF(A5stdlife="n/a","n/a",IF(J$3&gt;(A5stdlife+$E132),('PTRM input'!$I$147*(1+rvanilla03)^0.5)-SUM($I132:I132),('PTRM input'!$I$147*(1+rvanilla03)^0.5)/A5stdlife))</f>
        <v>0</v>
      </c>
      <c r="K132" s="107">
        <f>IF(A5stdlife="n/a","n/a",IF(K$3&gt;(A5stdlife+$E132),('PTRM input'!$I$147*(1+rvanilla03)^0.5)-SUM($I132:J132),('PTRM input'!$I$147*(1+rvanilla03)^0.5)/A5stdlife))</f>
        <v>0</v>
      </c>
      <c r="L132" s="107">
        <f>IF(A5stdlife="n/a","n/a",IF(L$3&gt;(A5stdlife+$E132),('PTRM input'!$I$147*(1+rvanilla03)^0.5)-SUM($I132:K132),('PTRM input'!$I$147*(1+rvanilla03)^0.5)/A5stdlife))</f>
        <v>0</v>
      </c>
      <c r="M132" s="107">
        <f>IF(A5stdlife="n/a","n/a",IF(M$3&gt;(A5stdlife+$E132),('PTRM input'!$I$147*(1+rvanilla03)^0.5)-SUM($I132:L132),('PTRM input'!$I$147*(1+rvanilla03)^0.5)/A5stdlife))</f>
        <v>0</v>
      </c>
      <c r="N132" s="107">
        <f>IF(A5stdlife="n/a","n/a",IF(N$3&gt;(A5stdlife+$E132),('PTRM input'!$I$147*(1+rvanilla03)^0.5)-SUM($I132:M132),('PTRM input'!$I$147*(1+rvanilla03)^0.5)/A5stdlife))</f>
        <v>0</v>
      </c>
      <c r="O132" s="107">
        <f>IF(A5stdlife="n/a","n/a",IF(O$3&gt;(A5stdlife+$E132),('PTRM input'!$I$147*(1+rvanilla03)^0.5)-SUM($I132:N132),('PTRM input'!$I$147*(1+rvanilla03)^0.5)/A5stdlife))</f>
        <v>0</v>
      </c>
      <c r="P132" s="107">
        <f>IF(A5stdlife="n/a","n/a",IF(P$3&gt;(A5stdlife+$E132),('PTRM input'!$I$147*(1+rvanilla03)^0.5)-SUM($I132:O132),('PTRM input'!$I$147*(1+rvanilla03)^0.5)/A5stdlife))</f>
        <v>0</v>
      </c>
      <c r="Q132" s="107">
        <f>IF(A5stdlife="n/a","n/a",IF(Q$3&gt;(A5stdlife+$E132),('PTRM input'!$I$147*(1+rvanilla03)^0.5)-SUM($I132:P132),('PTRM input'!$I$147*(1+rvanilla03)^0.5)/A5stdlife))</f>
        <v>0</v>
      </c>
      <c r="R132" s="107">
        <f>IF(A5stdlife="n/a","n/a",IF(R$3&gt;(A5stdlife+$E132),('PTRM input'!$I$147*(1+rvanilla03)^0.5)-SUM($I132:Q132),('PTRM input'!$I$147*(1+rvanilla03)^0.5)/A5stdlife))</f>
        <v>0</v>
      </c>
      <c r="S132" s="107">
        <f>IF(A5stdlife="n/a","n/a",IF(S$3&gt;(A5stdlife+$E132),('PTRM input'!$I$147*(1+rvanilla03)^0.5)-SUM($I132:R132),('PTRM input'!$I$147*(1+rvanilla03)^0.5)/A5stdlife))</f>
        <v>0</v>
      </c>
      <c r="T132" s="107">
        <f>IF(A5stdlife="n/a","n/a",IF(T$3&gt;(A5stdlife+$E132),('PTRM input'!$I$147*(1+rvanilla03)^0.5)-SUM($I132:S132),('PTRM input'!$I$147*(1+rvanilla03)^0.5)/A5stdlife))</f>
        <v>0</v>
      </c>
      <c r="U132" s="107">
        <f>IF(A5stdlife="n/a","n/a",IF(U$3&gt;(A5stdlife+$E132),('PTRM input'!$I$147*(1+rvanilla03)^0.5)-SUM($I132:T132),('PTRM input'!$I$147*(1+rvanilla03)^0.5)/A5stdlife))</f>
        <v>0</v>
      </c>
      <c r="V132" s="107">
        <f>IF(A5stdlife="n/a","n/a",IF(V$3&gt;(A5stdlife+$E132),('PTRM input'!$I$147*(1+rvanilla03)^0.5)-SUM($I132:U132),('PTRM input'!$I$147*(1+rvanilla03)^0.5)/A5stdlife))</f>
        <v>0</v>
      </c>
      <c r="W132" s="107">
        <f>IF(A5stdlife="n/a","n/a",IF(W$3&gt;(A5stdlife+$E132),('PTRM input'!$I$147*(1+rvanilla03)^0.5)-SUM($I132:V132),('PTRM input'!$I$147*(1+rvanilla03)^0.5)/A5stdlife))</f>
        <v>0</v>
      </c>
      <c r="X132" s="107">
        <f>IF(A5stdlife="n/a","n/a",IF(X$3&gt;(A5stdlife+$E132),('PTRM input'!$I$147*(1+rvanilla03)^0.5)-SUM($I132:W132),('PTRM input'!$I$147*(1+rvanilla03)^0.5)/A5stdlife))</f>
        <v>0</v>
      </c>
      <c r="Y132" s="107">
        <f>IF(A5stdlife="n/a","n/a",IF(Y$3&gt;(A5stdlife+$E132),('PTRM input'!$I$147*(1+rvanilla03)^0.5)-SUM($I132:X132),('PTRM input'!$I$147*(1+rvanilla03)^0.5)/A5stdlife))</f>
        <v>0</v>
      </c>
      <c r="Z132" s="107">
        <f>IF(A5stdlife="n/a","n/a",IF(Z$3&gt;(A5stdlife+$E132),('PTRM input'!$I$147*(1+rvanilla03)^0.5)-SUM($I132:Y132),('PTRM input'!$I$147*(1+rvanilla03)^0.5)/A5stdlife))</f>
        <v>0</v>
      </c>
      <c r="AA132" s="107">
        <f>IF(A5stdlife="n/a","n/a",IF(AA$3&gt;(A5stdlife+$E132),('PTRM input'!$I$147*(1+rvanilla03)^0.5)-SUM($I132:Z132),('PTRM input'!$I$147*(1+rvanilla03)^0.5)/A5stdlife))</f>
        <v>0</v>
      </c>
      <c r="AB132" s="107">
        <f>IF(A5stdlife="n/a","n/a",IF(AB$3&gt;(A5stdlife+$E132),('PTRM input'!$I$147*(1+rvanilla03)^0.5)-SUM($I132:AA132),('PTRM input'!$I$147*(1+rvanilla03)^0.5)/A5stdlife))</f>
        <v>0</v>
      </c>
      <c r="AC132" s="107">
        <f>IF(A5stdlife="n/a","n/a",IF(AC$3&gt;(A5stdlife+$E132),('PTRM input'!$I$147*(1+rvanilla03)^0.5)-SUM($I132:AB132),('PTRM input'!$I$147*(1+rvanilla03)^0.5)/A5stdlife))</f>
        <v>0</v>
      </c>
      <c r="AD132" s="107">
        <f>IF(A5stdlife="n/a","n/a",IF(AD$3&gt;(A5stdlife+$E132),('PTRM input'!$I$147*(1+rvanilla03)^0.5)-SUM($I132:AC132),('PTRM input'!$I$147*(1+rvanilla03)^0.5)/A5stdlife))</f>
        <v>0</v>
      </c>
      <c r="AE132" s="107">
        <f>IF(A5stdlife="n/a","n/a",IF(AE$3&gt;(A5stdlife+$E132),('PTRM input'!$I$147*(1+rvanilla03)^0.5)-SUM($I132:AD132),('PTRM input'!$I$147*(1+rvanilla03)^0.5)/A5stdlife))</f>
        <v>0</v>
      </c>
      <c r="AF132" s="107">
        <f>IF(A5stdlife="n/a","n/a",IF(AF$3&gt;(A5stdlife+$E132),('PTRM input'!$I$147*(1+rvanilla03)^0.5)-SUM($I132:AE132),('PTRM input'!$I$147*(1+rvanilla03)^0.5)/A5stdlife))</f>
        <v>0</v>
      </c>
      <c r="AG132" s="107">
        <f>IF(A5stdlife="n/a","n/a",IF(AG$3&gt;(A5stdlife+$E132),('PTRM input'!$I$147*(1+rvanilla03)^0.5)-SUM($I132:AF132),('PTRM input'!$I$147*(1+rvanilla03)^0.5)/A5stdlife))</f>
        <v>0</v>
      </c>
      <c r="AH132" s="107">
        <f>IF(A5stdlife="n/a","n/a",IF(AH$3&gt;(A5stdlife+$E132),('PTRM input'!$I$147*(1+rvanilla03)^0.5)-SUM($I132:AG132),('PTRM input'!$I$147*(1+rvanilla03)^0.5)/A5stdlife))</f>
        <v>0</v>
      </c>
      <c r="AI132" s="107">
        <f>IF(A5stdlife="n/a","n/a",IF(AI$3&gt;(A5stdlife+$E132),('PTRM input'!$I$147*(1+rvanilla03)^0.5)-SUM($I132:AH132),('PTRM input'!$I$147*(1+rvanilla03)^0.5)/A5stdlife))</f>
        <v>0</v>
      </c>
      <c r="AJ132" s="107">
        <f>IF(A5stdlife="n/a","n/a",IF(AJ$3&gt;(A5stdlife+$E132),('PTRM input'!$I$147*(1+rvanilla03)^0.5)-SUM($I132:AI132),('PTRM input'!$I$147*(1+rvanilla03)^0.5)/A5stdlife))</f>
        <v>0</v>
      </c>
      <c r="AK132" s="107">
        <f>IF(A5stdlife="n/a","n/a",IF(AK$3&gt;(A5stdlife+$E132),('PTRM input'!$I$147*(1+rvanilla03)^0.5)-SUM($I132:AJ132),('PTRM input'!$I$147*(1+rvanilla03)^0.5)/A5stdlife))</f>
        <v>0</v>
      </c>
      <c r="AL132" s="107">
        <f>IF(A5stdlife="n/a","n/a",IF(AL$3&gt;(A5stdlife+$E132),('PTRM input'!$I$147*(1+rvanilla03)^0.5)-SUM($I132:AK132),('PTRM input'!$I$147*(1+rvanilla03)^0.5)/A5stdlife))</f>
        <v>0</v>
      </c>
      <c r="AM132" s="107">
        <f>IF(A5stdlife="n/a","n/a",IF(AM$3&gt;(A5stdlife+$E132),('PTRM input'!$I$147*(1+rvanilla03)^0.5)-SUM($I132:AL132),('PTRM input'!$I$147*(1+rvanilla03)^0.5)/A5stdlife))</f>
        <v>0</v>
      </c>
      <c r="AN132" s="107">
        <f>IF(A5stdlife="n/a","n/a",IF(AN$3&gt;(A5stdlife+$E132),('PTRM input'!$I$147*(1+rvanilla03)^0.5)-SUM($I132:AM132),('PTRM input'!$I$147*(1+rvanilla03)^0.5)/A5stdlife))</f>
        <v>0</v>
      </c>
      <c r="AO132" s="107">
        <f>IF(A5stdlife="n/a","n/a",IF(AO$3&gt;(A5stdlife+$E132),('PTRM input'!$I$147*(1+rvanilla03)^0.5)-SUM($I132:AN132),('PTRM input'!$I$147*(1+rvanilla03)^0.5)/A5stdlife))</f>
        <v>0</v>
      </c>
      <c r="AP132" s="107">
        <f>IF(A5stdlife="n/a","n/a",IF(AP$3&gt;(A5stdlife+$E132),('PTRM input'!$I$147*(1+rvanilla03)^0.5)-SUM($I132:AO132),('PTRM input'!$I$147*(1+rvanilla03)^0.5)/A5stdlife))</f>
        <v>0</v>
      </c>
      <c r="AQ132" s="107">
        <f>IF(A5stdlife="n/a","n/a",IF(AQ$3&gt;(A5stdlife+$E132),('PTRM input'!$I$147*(1+rvanilla03)^0.5)-SUM($I132:AP132),('PTRM input'!$I$147*(1+rvanilla03)^0.5)/A5stdlife))</f>
        <v>0</v>
      </c>
      <c r="AR132" s="107">
        <f>IF(A5stdlife="n/a","n/a",IF(AR$3&gt;(A5stdlife+$E132),('PTRM input'!$I$147*(1+rvanilla03)^0.5)-SUM($I132:AQ132),('PTRM input'!$I$147*(1+rvanilla03)^0.5)/A5stdlife))</f>
        <v>0</v>
      </c>
      <c r="AS132" s="107">
        <f>IF(A5stdlife="n/a","n/a",IF(AS$3&gt;(A5stdlife+$E132),('PTRM input'!$I$147*(1+rvanilla03)^0.5)-SUM($I132:AR132),('PTRM input'!$I$147*(1+rvanilla03)^0.5)/A5stdlife))</f>
        <v>0</v>
      </c>
      <c r="AT132" s="107">
        <f>IF(A5stdlife="n/a","n/a",IF(AT$3&gt;(A5stdlife+$E132),('PTRM input'!$I$147*(1+rvanilla03)^0.5)-SUM($I132:AS132),('PTRM input'!$I$147*(1+rvanilla03)^0.5)/A5stdlife))</f>
        <v>0</v>
      </c>
      <c r="AU132" s="107">
        <f>IF(A5stdlife="n/a","n/a",IF(AU$3&gt;(A5stdlife+$E132),('PTRM input'!$I$147*(1+rvanilla03)^0.5)-SUM($I132:AT132),('PTRM input'!$I$147*(1+rvanilla03)^0.5)/A5stdlife))</f>
        <v>0</v>
      </c>
      <c r="AV132" s="107">
        <f>IF(A5stdlife="n/a","n/a",IF(AV$3&gt;(A5stdlife+$E132),('PTRM input'!$I$147*(1+rvanilla03)^0.5)-SUM($I132:AU132),('PTRM input'!$I$147*(1+rvanilla03)^0.5)/A5stdlife))</f>
        <v>0</v>
      </c>
      <c r="AW132" s="107">
        <f>IF(A5stdlife="n/a","n/a",IF(AW$3&gt;(A5stdlife+$E132),('PTRM input'!$I$147*(1+rvanilla03)^0.5)-SUM($I132:AV132),('PTRM input'!$I$147*(1+rvanilla03)^0.5)/A5stdlife))</f>
        <v>0</v>
      </c>
      <c r="AX132" s="107">
        <f>IF(A5stdlife="n/a","n/a",IF(AX$3&gt;(A5stdlife+$E132),('PTRM input'!$I$147*(1+rvanilla03)^0.5)-SUM($I132:AW132),('PTRM input'!$I$147*(1+rvanilla03)^0.5)/A5stdlife))</f>
        <v>0</v>
      </c>
      <c r="AY132" s="107">
        <f>IF(A5stdlife="n/a","n/a",IF(AY$3&gt;(A5stdlife+$E132),('PTRM input'!$I$147*(1+rvanilla03)^0.5)-SUM($I132:AX132),('PTRM input'!$I$147*(1+rvanilla03)^0.5)/A5stdlife))</f>
        <v>0</v>
      </c>
      <c r="AZ132" s="107">
        <f>IF(A5stdlife="n/a","n/a",IF(AZ$3&gt;(A5stdlife+$E132),('PTRM input'!$I$147*(1+rvanilla03)^0.5)-SUM($I132:AY132),('PTRM input'!$I$147*(1+rvanilla03)^0.5)/A5stdlife))</f>
        <v>0</v>
      </c>
      <c r="BA132" s="107">
        <f>IF(A5stdlife="n/a","n/a",IF(BA$3&gt;(A5stdlife+$E132),('PTRM input'!$I$147*(1+rvanilla03)^0.5)-SUM($I132:AZ132),('PTRM input'!$I$147*(1+rvanilla03)^0.5)/A5stdlife))</f>
        <v>0</v>
      </c>
      <c r="BB132" s="107">
        <f>IF(A5stdlife="n/a","n/a",IF(BB$3&gt;(A5stdlife+$E132),('PTRM input'!$I$147*(1+rvanilla03)^0.5)-SUM($I132:BA132),('PTRM input'!$I$147*(1+rvanilla03)^0.5)/A5stdlife))</f>
        <v>0</v>
      </c>
      <c r="BC132" s="107">
        <f>IF(A5stdlife="n/a","n/a",IF(BC$3&gt;(A5stdlife+$E132),('PTRM input'!$I$147*(1+rvanilla03)^0.5)-SUM($I132:BB132),('PTRM input'!$I$147*(1+rvanilla03)^0.5)/A5stdlife))</f>
        <v>0</v>
      </c>
      <c r="BD132" s="107">
        <f>IF(A5stdlife="n/a","n/a",IF(BD$3&gt;(A5stdlife+$E132),('PTRM input'!$I$147*(1+rvanilla03)^0.5)-SUM($I132:BC132),('PTRM input'!$I$147*(1+rvanilla03)^0.5)/A5stdlife))</f>
        <v>0</v>
      </c>
      <c r="BE132" s="107">
        <f>IF(A5stdlife="n/a","n/a",IF(BE$3&gt;(A5stdlife+$E132),('PTRM input'!$I$147*(1+rvanilla03)^0.5)-SUM($I132:BD132),('PTRM input'!$I$147*(1+rvanilla03)^0.5)/A5stdlife))</f>
        <v>0</v>
      </c>
      <c r="BF132" s="107">
        <f>IF(A5stdlife="n/a","n/a",IF(BF$3&gt;(A5stdlife+$E132),('PTRM input'!$I$147*(1+rvanilla03)^0.5)-SUM($I132:BE132),('PTRM input'!$I$147*(1+rvanilla03)^0.5)/A5stdlife))</f>
        <v>0</v>
      </c>
      <c r="BG132" s="107">
        <f>IF(A5stdlife="n/a","n/a",IF(BG$3&gt;(A5stdlife+$E132),('PTRM input'!$I$147*(1+rvanilla03)^0.5)-SUM($I132:BF132),('PTRM input'!$I$147*(1+rvanilla03)^0.5)/A5stdlife))</f>
        <v>0</v>
      </c>
      <c r="BH132" s="107">
        <f>IF(A5stdlife="n/a","n/a",IF(BH$3&gt;(A5stdlife+$E132),('PTRM input'!$I$147*(1+rvanilla03)^0.5)-SUM($I132:BG132),('PTRM input'!$I$147*(1+rvanilla03)^0.5)/A5stdlife))</f>
        <v>0</v>
      </c>
      <c r="BI132" s="107">
        <f>IF(A5stdlife="n/a","n/a",IF(BI$3&gt;(A5stdlife+$E132),('PTRM input'!$I$147*(1+rvanilla03)^0.5)-SUM($I132:BH132),('PTRM input'!$I$147*(1+rvanilla03)^0.5)/A5stdlife))</f>
        <v>0</v>
      </c>
      <c r="BJ132" s="237"/>
      <c r="BK132" s="237"/>
      <c r="BL132" s="237"/>
      <c r="BM132" s="237"/>
    </row>
    <row r="133" spans="1:65" s="190" customFormat="1" hidden="1" outlineLevel="2">
      <c r="A133" s="237"/>
      <c r="B133" s="33"/>
      <c r="C133" s="32"/>
      <c r="D133" s="1618"/>
      <c r="E133" s="169">
        <v>4</v>
      </c>
      <c r="F133" s="35"/>
      <c r="G133" s="184"/>
      <c r="H133" s="186"/>
      <c r="I133" s="186"/>
      <c r="J133" s="185"/>
      <c r="K133" s="107">
        <f>IF(A5stdlife="n/a","n/a",IF(K$3&gt;(A5stdlife+$E133),('PTRM input'!$J$147*(1+rvanilla04)^0.5)-SUM($J133:J133),('PTRM input'!$J$147*(1+rvanilla04)^0.5)/A5stdlife))</f>
        <v>0</v>
      </c>
      <c r="L133" s="107">
        <f>IF(A5stdlife="n/a","n/a",IF(L$3&gt;(A5stdlife+$E133),('PTRM input'!$J$147*(1+rvanilla04)^0.5)-SUM($J133:K133),('PTRM input'!$J$147*(1+rvanilla04)^0.5)/A5stdlife))</f>
        <v>0</v>
      </c>
      <c r="M133" s="107">
        <f>IF(A5stdlife="n/a","n/a",IF(M$3&gt;(A5stdlife+$E133),('PTRM input'!$J$147*(1+rvanilla04)^0.5)-SUM($J133:L133),('PTRM input'!$J$147*(1+rvanilla04)^0.5)/A5stdlife))</f>
        <v>0</v>
      </c>
      <c r="N133" s="107">
        <f>IF(A5stdlife="n/a","n/a",IF(N$3&gt;(A5stdlife+$E133),('PTRM input'!$J$147*(1+rvanilla04)^0.5)-SUM($J133:M133),('PTRM input'!$J$147*(1+rvanilla04)^0.5)/A5stdlife))</f>
        <v>0</v>
      </c>
      <c r="O133" s="107">
        <f>IF(A5stdlife="n/a","n/a",IF(O$3&gt;(A5stdlife+$E133),('PTRM input'!$J$147*(1+rvanilla04)^0.5)-SUM($J133:N133),('PTRM input'!$J$147*(1+rvanilla04)^0.5)/A5stdlife))</f>
        <v>0</v>
      </c>
      <c r="P133" s="107">
        <f>IF(A5stdlife="n/a","n/a",IF(P$3&gt;(A5stdlife+$E133),('PTRM input'!$J$147*(1+rvanilla04)^0.5)-SUM($J133:O133),('PTRM input'!$J$147*(1+rvanilla04)^0.5)/A5stdlife))</f>
        <v>0</v>
      </c>
      <c r="Q133" s="107">
        <f>IF(A5stdlife="n/a","n/a",IF(Q$3&gt;(A5stdlife+$E133),('PTRM input'!$J$147*(1+rvanilla04)^0.5)-SUM($J133:P133),('PTRM input'!$J$147*(1+rvanilla04)^0.5)/A5stdlife))</f>
        <v>0</v>
      </c>
      <c r="R133" s="107">
        <f>IF(A5stdlife="n/a","n/a",IF(R$3&gt;(A5stdlife+$E133),('PTRM input'!$J$147*(1+rvanilla04)^0.5)-SUM($J133:Q133),('PTRM input'!$J$147*(1+rvanilla04)^0.5)/A5stdlife))</f>
        <v>0</v>
      </c>
      <c r="S133" s="107">
        <f>IF(A5stdlife="n/a","n/a",IF(S$3&gt;(A5stdlife+$E133),('PTRM input'!$J$147*(1+rvanilla04)^0.5)-SUM($J133:R133),('PTRM input'!$J$147*(1+rvanilla04)^0.5)/A5stdlife))</f>
        <v>0</v>
      </c>
      <c r="T133" s="107">
        <f>IF(A5stdlife="n/a","n/a",IF(T$3&gt;(A5stdlife+$E133),('PTRM input'!$J$147*(1+rvanilla04)^0.5)-SUM($J133:S133),('PTRM input'!$J$147*(1+rvanilla04)^0.5)/A5stdlife))</f>
        <v>0</v>
      </c>
      <c r="U133" s="107">
        <f>IF(A5stdlife="n/a","n/a",IF(U$3&gt;(A5stdlife+$E133),('PTRM input'!$J$147*(1+rvanilla04)^0.5)-SUM($J133:T133),('PTRM input'!$J$147*(1+rvanilla04)^0.5)/A5stdlife))</f>
        <v>0</v>
      </c>
      <c r="V133" s="107">
        <f>IF(A5stdlife="n/a","n/a",IF(V$3&gt;(A5stdlife+$E133),('PTRM input'!$J$147*(1+rvanilla04)^0.5)-SUM($J133:U133),('PTRM input'!$J$147*(1+rvanilla04)^0.5)/A5stdlife))</f>
        <v>0</v>
      </c>
      <c r="W133" s="107">
        <f>IF(A5stdlife="n/a","n/a",IF(W$3&gt;(A5stdlife+$E133),('PTRM input'!$J$147*(1+rvanilla04)^0.5)-SUM($J133:V133),('PTRM input'!$J$147*(1+rvanilla04)^0.5)/A5stdlife))</f>
        <v>0</v>
      </c>
      <c r="X133" s="107">
        <f>IF(A5stdlife="n/a","n/a",IF(X$3&gt;(A5stdlife+$E133),('PTRM input'!$J$147*(1+rvanilla04)^0.5)-SUM($J133:W133),('PTRM input'!$J$147*(1+rvanilla04)^0.5)/A5stdlife))</f>
        <v>0</v>
      </c>
      <c r="Y133" s="107">
        <f>IF(A5stdlife="n/a","n/a",IF(Y$3&gt;(A5stdlife+$E133),('PTRM input'!$J$147*(1+rvanilla04)^0.5)-SUM($J133:X133),('PTRM input'!$J$147*(1+rvanilla04)^0.5)/A5stdlife))</f>
        <v>0</v>
      </c>
      <c r="Z133" s="107">
        <f>IF(A5stdlife="n/a","n/a",IF(Z$3&gt;(A5stdlife+$E133),('PTRM input'!$J$147*(1+rvanilla04)^0.5)-SUM($J133:Y133),('PTRM input'!$J$147*(1+rvanilla04)^0.5)/A5stdlife))</f>
        <v>0</v>
      </c>
      <c r="AA133" s="107">
        <f>IF(A5stdlife="n/a","n/a",IF(AA$3&gt;(A5stdlife+$E133),('PTRM input'!$J$147*(1+rvanilla04)^0.5)-SUM($J133:Z133),('PTRM input'!$J$147*(1+rvanilla04)^0.5)/A5stdlife))</f>
        <v>0</v>
      </c>
      <c r="AB133" s="107">
        <f>IF(A5stdlife="n/a","n/a",IF(AB$3&gt;(A5stdlife+$E133),('PTRM input'!$J$147*(1+rvanilla04)^0.5)-SUM($J133:AA133),('PTRM input'!$J$147*(1+rvanilla04)^0.5)/A5stdlife))</f>
        <v>0</v>
      </c>
      <c r="AC133" s="107">
        <f>IF(A5stdlife="n/a","n/a",IF(AC$3&gt;(A5stdlife+$E133),('PTRM input'!$J$147*(1+rvanilla04)^0.5)-SUM($J133:AB133),('PTRM input'!$J$147*(1+rvanilla04)^0.5)/A5stdlife))</f>
        <v>0</v>
      </c>
      <c r="AD133" s="107">
        <f>IF(A5stdlife="n/a","n/a",IF(AD$3&gt;(A5stdlife+$E133),('PTRM input'!$J$147*(1+rvanilla04)^0.5)-SUM($J133:AC133),('PTRM input'!$J$147*(1+rvanilla04)^0.5)/A5stdlife))</f>
        <v>0</v>
      </c>
      <c r="AE133" s="107">
        <f>IF(A5stdlife="n/a","n/a",IF(AE$3&gt;(A5stdlife+$E133),('PTRM input'!$J$147*(1+rvanilla04)^0.5)-SUM($J133:AD133),('PTRM input'!$J$147*(1+rvanilla04)^0.5)/A5stdlife))</f>
        <v>0</v>
      </c>
      <c r="AF133" s="107">
        <f>IF(A5stdlife="n/a","n/a",IF(AF$3&gt;(A5stdlife+$E133),('PTRM input'!$J$147*(1+rvanilla04)^0.5)-SUM($J133:AE133),('PTRM input'!$J$147*(1+rvanilla04)^0.5)/A5stdlife))</f>
        <v>0</v>
      </c>
      <c r="AG133" s="107">
        <f>IF(A5stdlife="n/a","n/a",IF(AG$3&gt;(A5stdlife+$E133),('PTRM input'!$J$147*(1+rvanilla04)^0.5)-SUM($J133:AF133),('PTRM input'!$J$147*(1+rvanilla04)^0.5)/A5stdlife))</f>
        <v>0</v>
      </c>
      <c r="AH133" s="107">
        <f>IF(A5stdlife="n/a","n/a",IF(AH$3&gt;(A5stdlife+$E133),('PTRM input'!$J$147*(1+rvanilla04)^0.5)-SUM($J133:AG133),('PTRM input'!$J$147*(1+rvanilla04)^0.5)/A5stdlife))</f>
        <v>0</v>
      </c>
      <c r="AI133" s="107">
        <f>IF(A5stdlife="n/a","n/a",IF(AI$3&gt;(A5stdlife+$E133),('PTRM input'!$J$147*(1+rvanilla04)^0.5)-SUM($J133:AH133),('PTRM input'!$J$147*(1+rvanilla04)^0.5)/A5stdlife))</f>
        <v>0</v>
      </c>
      <c r="AJ133" s="107">
        <f>IF(A5stdlife="n/a","n/a",IF(AJ$3&gt;(A5stdlife+$E133),('PTRM input'!$J$147*(1+rvanilla04)^0.5)-SUM($J133:AI133),('PTRM input'!$J$147*(1+rvanilla04)^0.5)/A5stdlife))</f>
        <v>0</v>
      </c>
      <c r="AK133" s="107">
        <f>IF(A5stdlife="n/a","n/a",IF(AK$3&gt;(A5stdlife+$E133),('PTRM input'!$J$147*(1+rvanilla04)^0.5)-SUM($J133:AJ133),('PTRM input'!$J$147*(1+rvanilla04)^0.5)/A5stdlife))</f>
        <v>0</v>
      </c>
      <c r="AL133" s="107">
        <f>IF(A5stdlife="n/a","n/a",IF(AL$3&gt;(A5stdlife+$E133),('PTRM input'!$J$147*(1+rvanilla04)^0.5)-SUM($J133:AK133),('PTRM input'!$J$147*(1+rvanilla04)^0.5)/A5stdlife))</f>
        <v>0</v>
      </c>
      <c r="AM133" s="107">
        <f>IF(A5stdlife="n/a","n/a",IF(AM$3&gt;(A5stdlife+$E133),('PTRM input'!$J$147*(1+rvanilla04)^0.5)-SUM($J133:AL133),('PTRM input'!$J$147*(1+rvanilla04)^0.5)/A5stdlife))</f>
        <v>0</v>
      </c>
      <c r="AN133" s="107">
        <f>IF(A5stdlife="n/a","n/a",IF(AN$3&gt;(A5stdlife+$E133),('PTRM input'!$J$147*(1+rvanilla04)^0.5)-SUM($J133:AM133),('PTRM input'!$J$147*(1+rvanilla04)^0.5)/A5stdlife))</f>
        <v>0</v>
      </c>
      <c r="AO133" s="107">
        <f>IF(A5stdlife="n/a","n/a",IF(AO$3&gt;(A5stdlife+$E133),('PTRM input'!$J$147*(1+rvanilla04)^0.5)-SUM($J133:AN133),('PTRM input'!$J$147*(1+rvanilla04)^0.5)/A5stdlife))</f>
        <v>0</v>
      </c>
      <c r="AP133" s="107">
        <f>IF(A5stdlife="n/a","n/a",IF(AP$3&gt;(A5stdlife+$E133),('PTRM input'!$J$147*(1+rvanilla04)^0.5)-SUM($J133:AO133),('PTRM input'!$J$147*(1+rvanilla04)^0.5)/A5stdlife))</f>
        <v>0</v>
      </c>
      <c r="AQ133" s="107">
        <f>IF(A5stdlife="n/a","n/a",IF(AQ$3&gt;(A5stdlife+$E133),('PTRM input'!$J$147*(1+rvanilla04)^0.5)-SUM($J133:AP133),('PTRM input'!$J$147*(1+rvanilla04)^0.5)/A5stdlife))</f>
        <v>0</v>
      </c>
      <c r="AR133" s="107">
        <f>IF(A5stdlife="n/a","n/a",IF(AR$3&gt;(A5stdlife+$E133),('PTRM input'!$J$147*(1+rvanilla04)^0.5)-SUM($J133:AQ133),('PTRM input'!$J$147*(1+rvanilla04)^0.5)/A5stdlife))</f>
        <v>0</v>
      </c>
      <c r="AS133" s="107">
        <f>IF(A5stdlife="n/a","n/a",IF(AS$3&gt;(A5stdlife+$E133),('PTRM input'!$J$147*(1+rvanilla04)^0.5)-SUM($J133:AR133),('PTRM input'!$J$147*(1+rvanilla04)^0.5)/A5stdlife))</f>
        <v>0</v>
      </c>
      <c r="AT133" s="107">
        <f>IF(A5stdlife="n/a","n/a",IF(AT$3&gt;(A5stdlife+$E133),('PTRM input'!$J$147*(1+rvanilla04)^0.5)-SUM($J133:AS133),('PTRM input'!$J$147*(1+rvanilla04)^0.5)/A5stdlife))</f>
        <v>0</v>
      </c>
      <c r="AU133" s="107">
        <f>IF(A5stdlife="n/a","n/a",IF(AU$3&gt;(A5stdlife+$E133),('PTRM input'!$J$147*(1+rvanilla04)^0.5)-SUM($J133:AT133),('PTRM input'!$J$147*(1+rvanilla04)^0.5)/A5stdlife))</f>
        <v>0</v>
      </c>
      <c r="AV133" s="107">
        <f>IF(A5stdlife="n/a","n/a",IF(AV$3&gt;(A5stdlife+$E133),('PTRM input'!$J$147*(1+rvanilla04)^0.5)-SUM($J133:AU133),('PTRM input'!$J$147*(1+rvanilla04)^0.5)/A5stdlife))</f>
        <v>0</v>
      </c>
      <c r="AW133" s="107">
        <f>IF(A5stdlife="n/a","n/a",IF(AW$3&gt;(A5stdlife+$E133),('PTRM input'!$J$147*(1+rvanilla04)^0.5)-SUM($J133:AV133),('PTRM input'!$J$147*(1+rvanilla04)^0.5)/A5stdlife))</f>
        <v>0</v>
      </c>
      <c r="AX133" s="107">
        <f>IF(A5stdlife="n/a","n/a",IF(AX$3&gt;(A5stdlife+$E133),('PTRM input'!$J$147*(1+rvanilla04)^0.5)-SUM($J133:AW133),('PTRM input'!$J$147*(1+rvanilla04)^0.5)/A5stdlife))</f>
        <v>0</v>
      </c>
      <c r="AY133" s="107">
        <f>IF(A5stdlife="n/a","n/a",IF(AY$3&gt;(A5stdlife+$E133),('PTRM input'!$J$147*(1+rvanilla04)^0.5)-SUM($J133:AX133),('PTRM input'!$J$147*(1+rvanilla04)^0.5)/A5stdlife))</f>
        <v>0</v>
      </c>
      <c r="AZ133" s="107">
        <f>IF(A5stdlife="n/a","n/a",IF(AZ$3&gt;(A5stdlife+$E133),('PTRM input'!$J$147*(1+rvanilla04)^0.5)-SUM($J133:AY133),('PTRM input'!$J$147*(1+rvanilla04)^0.5)/A5stdlife))</f>
        <v>0</v>
      </c>
      <c r="BA133" s="107">
        <f>IF(A5stdlife="n/a","n/a",IF(BA$3&gt;(A5stdlife+$E133),('PTRM input'!$J$147*(1+rvanilla04)^0.5)-SUM($J133:AZ133),('PTRM input'!$J$147*(1+rvanilla04)^0.5)/A5stdlife))</f>
        <v>0</v>
      </c>
      <c r="BB133" s="107">
        <f>IF(A5stdlife="n/a","n/a",IF(BB$3&gt;(A5stdlife+$E133),('PTRM input'!$J$147*(1+rvanilla04)^0.5)-SUM($J133:BA133),('PTRM input'!$J$147*(1+rvanilla04)^0.5)/A5stdlife))</f>
        <v>0</v>
      </c>
      <c r="BC133" s="107">
        <f>IF(A5stdlife="n/a","n/a",IF(BC$3&gt;(A5stdlife+$E133),('PTRM input'!$J$147*(1+rvanilla04)^0.5)-SUM($J133:BB133),('PTRM input'!$J$147*(1+rvanilla04)^0.5)/A5stdlife))</f>
        <v>0</v>
      </c>
      <c r="BD133" s="107">
        <f>IF(A5stdlife="n/a","n/a",IF(BD$3&gt;(A5stdlife+$E133),('PTRM input'!$J$147*(1+rvanilla04)^0.5)-SUM($J133:BC133),('PTRM input'!$J$147*(1+rvanilla04)^0.5)/A5stdlife))</f>
        <v>0</v>
      </c>
      <c r="BE133" s="107">
        <f>IF(A5stdlife="n/a","n/a",IF(BE$3&gt;(A5stdlife+$E133),('PTRM input'!$J$147*(1+rvanilla04)^0.5)-SUM($J133:BD133),('PTRM input'!$J$147*(1+rvanilla04)^0.5)/A5stdlife))</f>
        <v>0</v>
      </c>
      <c r="BF133" s="107">
        <f>IF(A5stdlife="n/a","n/a",IF(BF$3&gt;(A5stdlife+$E133),('PTRM input'!$J$147*(1+rvanilla04)^0.5)-SUM($J133:BE133),('PTRM input'!$J$147*(1+rvanilla04)^0.5)/A5stdlife))</f>
        <v>0</v>
      </c>
      <c r="BG133" s="107">
        <f>IF(A5stdlife="n/a","n/a",IF(BG$3&gt;(A5stdlife+$E133),('PTRM input'!$J$147*(1+rvanilla04)^0.5)-SUM($J133:BF133),('PTRM input'!$J$147*(1+rvanilla04)^0.5)/A5stdlife))</f>
        <v>0</v>
      </c>
      <c r="BH133" s="107">
        <f>IF(A5stdlife="n/a","n/a",IF(BH$3&gt;(A5stdlife+$E133),('PTRM input'!$J$147*(1+rvanilla04)^0.5)-SUM($J133:BG133),('PTRM input'!$J$147*(1+rvanilla04)^0.5)/A5stdlife))</f>
        <v>0</v>
      </c>
      <c r="BI133" s="107">
        <f>IF(A5stdlife="n/a","n/a",IF(BI$3&gt;(A5stdlife+$E133),('PTRM input'!$J$147*(1+rvanilla04)^0.5)-SUM($J133:BH133),('PTRM input'!$J$147*(1+rvanilla04)^0.5)/A5stdlife))</f>
        <v>0</v>
      </c>
      <c r="BJ133" s="237"/>
      <c r="BK133" s="237"/>
      <c r="BL133" s="237"/>
      <c r="BM133" s="237"/>
    </row>
    <row r="134" spans="1:65" s="190" customFormat="1" hidden="1" outlineLevel="2">
      <c r="A134" s="237"/>
      <c r="B134" s="33"/>
      <c r="C134" s="32"/>
      <c r="D134" s="1618"/>
      <c r="E134" s="169">
        <v>5</v>
      </c>
      <c r="F134" s="35"/>
      <c r="G134" s="184"/>
      <c r="H134" s="186"/>
      <c r="I134" s="186"/>
      <c r="J134" s="186"/>
      <c r="K134" s="185"/>
      <c r="L134" s="107">
        <f>IF(A5stdlife="n/a","n/a",IF(L$3&gt;(A5stdlife+$E134),('PTRM input'!$K$147*(1+rvanilla05)^0.5)-SUM($K134:K134),('PTRM input'!$K$147*(1+rvanilla05)^0.5)/A5stdlife))</f>
        <v>0</v>
      </c>
      <c r="M134" s="107">
        <f>IF(A5stdlife="n/a","n/a",IF(M$3&gt;(A5stdlife+$E134),('PTRM input'!$K$147*(1+rvanilla05)^0.5)-SUM($K134:L134),('PTRM input'!$K$147*(1+rvanilla05)^0.5)/A5stdlife))</f>
        <v>0</v>
      </c>
      <c r="N134" s="107">
        <f>IF(A5stdlife="n/a","n/a",IF(N$3&gt;(A5stdlife+$E134),('PTRM input'!$K$147*(1+rvanilla05)^0.5)-SUM($K134:M134),('PTRM input'!$K$147*(1+rvanilla05)^0.5)/A5stdlife))</f>
        <v>0</v>
      </c>
      <c r="O134" s="107">
        <f>IF(A5stdlife="n/a","n/a",IF(O$3&gt;(A5stdlife+$E134),('PTRM input'!$K$147*(1+rvanilla05)^0.5)-SUM($K134:N134),('PTRM input'!$K$147*(1+rvanilla05)^0.5)/A5stdlife))</f>
        <v>0</v>
      </c>
      <c r="P134" s="107">
        <f>IF(A5stdlife="n/a","n/a",IF(P$3&gt;(A5stdlife+$E134),('PTRM input'!$K$147*(1+rvanilla05)^0.5)-SUM($K134:O134),('PTRM input'!$K$147*(1+rvanilla05)^0.5)/A5stdlife))</f>
        <v>0</v>
      </c>
      <c r="Q134" s="107">
        <f>IF(A5stdlife="n/a","n/a",IF(Q$3&gt;(A5stdlife+$E134),('PTRM input'!$K$147*(1+rvanilla05)^0.5)-SUM($K134:P134),('PTRM input'!$K$147*(1+rvanilla05)^0.5)/A5stdlife))</f>
        <v>0</v>
      </c>
      <c r="R134" s="107">
        <f>IF(A5stdlife="n/a","n/a",IF(R$3&gt;(A5stdlife+$E134),('PTRM input'!$K$147*(1+rvanilla05)^0.5)-SUM($K134:Q134),('PTRM input'!$K$147*(1+rvanilla05)^0.5)/A5stdlife))</f>
        <v>0</v>
      </c>
      <c r="S134" s="107">
        <f>IF(A5stdlife="n/a","n/a",IF(S$3&gt;(A5stdlife+$E134),('PTRM input'!$K$147*(1+rvanilla05)^0.5)-SUM($K134:R134),('PTRM input'!$K$147*(1+rvanilla05)^0.5)/A5stdlife))</f>
        <v>0</v>
      </c>
      <c r="T134" s="107">
        <f>IF(A5stdlife="n/a","n/a",IF(T$3&gt;(A5stdlife+$E134),('PTRM input'!$K$147*(1+rvanilla05)^0.5)-SUM($K134:S134),('PTRM input'!$K$147*(1+rvanilla05)^0.5)/A5stdlife))</f>
        <v>0</v>
      </c>
      <c r="U134" s="107">
        <f>IF(A5stdlife="n/a","n/a",IF(U$3&gt;(A5stdlife+$E134),('PTRM input'!$K$147*(1+rvanilla05)^0.5)-SUM($K134:T134),('PTRM input'!$K$147*(1+rvanilla05)^0.5)/A5stdlife))</f>
        <v>0</v>
      </c>
      <c r="V134" s="107">
        <f>IF(A5stdlife="n/a","n/a",IF(V$3&gt;(A5stdlife+$E134),('PTRM input'!$K$147*(1+rvanilla05)^0.5)-SUM($K134:U134),('PTRM input'!$K$147*(1+rvanilla05)^0.5)/A5stdlife))</f>
        <v>0</v>
      </c>
      <c r="W134" s="107">
        <f>IF(A5stdlife="n/a","n/a",IF(W$3&gt;(A5stdlife+$E134),('PTRM input'!$K$147*(1+rvanilla05)^0.5)-SUM($K134:V134),('PTRM input'!$K$147*(1+rvanilla05)^0.5)/A5stdlife))</f>
        <v>0</v>
      </c>
      <c r="X134" s="107">
        <f>IF(A5stdlife="n/a","n/a",IF(X$3&gt;(A5stdlife+$E134),('PTRM input'!$K$147*(1+rvanilla05)^0.5)-SUM($K134:W134),('PTRM input'!$K$147*(1+rvanilla05)^0.5)/A5stdlife))</f>
        <v>0</v>
      </c>
      <c r="Y134" s="107">
        <f>IF(A5stdlife="n/a","n/a",IF(Y$3&gt;(A5stdlife+$E134),('PTRM input'!$K$147*(1+rvanilla05)^0.5)-SUM($K134:X134),('PTRM input'!$K$147*(1+rvanilla05)^0.5)/A5stdlife))</f>
        <v>0</v>
      </c>
      <c r="Z134" s="107">
        <f>IF(A5stdlife="n/a","n/a",IF(Z$3&gt;(A5stdlife+$E134),('PTRM input'!$K$147*(1+rvanilla05)^0.5)-SUM($K134:Y134),('PTRM input'!$K$147*(1+rvanilla05)^0.5)/A5stdlife))</f>
        <v>0</v>
      </c>
      <c r="AA134" s="107">
        <f>IF(A5stdlife="n/a","n/a",IF(AA$3&gt;(A5stdlife+$E134),('PTRM input'!$K$147*(1+rvanilla05)^0.5)-SUM($K134:Z134),('PTRM input'!$K$147*(1+rvanilla05)^0.5)/A5stdlife))</f>
        <v>0</v>
      </c>
      <c r="AB134" s="107">
        <f>IF(A5stdlife="n/a","n/a",IF(AB$3&gt;(A5stdlife+$E134),('PTRM input'!$K$147*(1+rvanilla05)^0.5)-SUM($K134:AA134),('PTRM input'!$K$147*(1+rvanilla05)^0.5)/A5stdlife))</f>
        <v>0</v>
      </c>
      <c r="AC134" s="107">
        <f>IF(A5stdlife="n/a","n/a",IF(AC$3&gt;(A5stdlife+$E134),('PTRM input'!$K$147*(1+rvanilla05)^0.5)-SUM($K134:AB134),('PTRM input'!$K$147*(1+rvanilla05)^0.5)/A5stdlife))</f>
        <v>0</v>
      </c>
      <c r="AD134" s="107">
        <f>IF(A5stdlife="n/a","n/a",IF(AD$3&gt;(A5stdlife+$E134),('PTRM input'!$K$147*(1+rvanilla05)^0.5)-SUM($K134:AC134),('PTRM input'!$K$147*(1+rvanilla05)^0.5)/A5stdlife))</f>
        <v>0</v>
      </c>
      <c r="AE134" s="107">
        <f>IF(A5stdlife="n/a","n/a",IF(AE$3&gt;(A5stdlife+$E134),('PTRM input'!$K$147*(1+rvanilla05)^0.5)-SUM($K134:AD134),('PTRM input'!$K$147*(1+rvanilla05)^0.5)/A5stdlife))</f>
        <v>0</v>
      </c>
      <c r="AF134" s="107">
        <f>IF(A5stdlife="n/a","n/a",IF(AF$3&gt;(A5stdlife+$E134),('PTRM input'!$K$147*(1+rvanilla05)^0.5)-SUM($K134:AE134),('PTRM input'!$K$147*(1+rvanilla05)^0.5)/A5stdlife))</f>
        <v>0</v>
      </c>
      <c r="AG134" s="107">
        <f>IF(A5stdlife="n/a","n/a",IF(AG$3&gt;(A5stdlife+$E134),('PTRM input'!$K$147*(1+rvanilla05)^0.5)-SUM($K134:AF134),('PTRM input'!$K$147*(1+rvanilla05)^0.5)/A5stdlife))</f>
        <v>0</v>
      </c>
      <c r="AH134" s="107">
        <f>IF(A5stdlife="n/a","n/a",IF(AH$3&gt;(A5stdlife+$E134),('PTRM input'!$K$147*(1+rvanilla05)^0.5)-SUM($K134:AG134),('PTRM input'!$K$147*(1+rvanilla05)^0.5)/A5stdlife))</f>
        <v>0</v>
      </c>
      <c r="AI134" s="107">
        <f>IF(A5stdlife="n/a","n/a",IF(AI$3&gt;(A5stdlife+$E134),('PTRM input'!$K$147*(1+rvanilla05)^0.5)-SUM($K134:AH134),('PTRM input'!$K$147*(1+rvanilla05)^0.5)/A5stdlife))</f>
        <v>0</v>
      </c>
      <c r="AJ134" s="107">
        <f>IF(A5stdlife="n/a","n/a",IF(AJ$3&gt;(A5stdlife+$E134),('PTRM input'!$K$147*(1+rvanilla05)^0.5)-SUM($K134:AI134),('PTRM input'!$K$147*(1+rvanilla05)^0.5)/A5stdlife))</f>
        <v>0</v>
      </c>
      <c r="AK134" s="107">
        <f>IF(A5stdlife="n/a","n/a",IF(AK$3&gt;(A5stdlife+$E134),('PTRM input'!$K$147*(1+rvanilla05)^0.5)-SUM($K134:AJ134),('PTRM input'!$K$147*(1+rvanilla05)^0.5)/A5stdlife))</f>
        <v>0</v>
      </c>
      <c r="AL134" s="107">
        <f>IF(A5stdlife="n/a","n/a",IF(AL$3&gt;(A5stdlife+$E134),('PTRM input'!$K$147*(1+rvanilla05)^0.5)-SUM($K134:AK134),('PTRM input'!$K$147*(1+rvanilla05)^0.5)/A5stdlife))</f>
        <v>0</v>
      </c>
      <c r="AM134" s="107">
        <f>IF(A5stdlife="n/a","n/a",IF(AM$3&gt;(A5stdlife+$E134),('PTRM input'!$K$147*(1+rvanilla05)^0.5)-SUM($K134:AL134),('PTRM input'!$K$147*(1+rvanilla05)^0.5)/A5stdlife))</f>
        <v>0</v>
      </c>
      <c r="AN134" s="107">
        <f>IF(A5stdlife="n/a","n/a",IF(AN$3&gt;(A5stdlife+$E134),('PTRM input'!$K$147*(1+rvanilla05)^0.5)-SUM($K134:AM134),('PTRM input'!$K$147*(1+rvanilla05)^0.5)/A5stdlife))</f>
        <v>0</v>
      </c>
      <c r="AO134" s="107">
        <f>IF(A5stdlife="n/a","n/a",IF(AO$3&gt;(A5stdlife+$E134),('PTRM input'!$K$147*(1+rvanilla05)^0.5)-SUM($K134:AN134),('PTRM input'!$K$147*(1+rvanilla05)^0.5)/A5stdlife))</f>
        <v>0</v>
      </c>
      <c r="AP134" s="107">
        <f>IF(A5stdlife="n/a","n/a",IF(AP$3&gt;(A5stdlife+$E134),('PTRM input'!$K$147*(1+rvanilla05)^0.5)-SUM($K134:AO134),('PTRM input'!$K$147*(1+rvanilla05)^0.5)/A5stdlife))</f>
        <v>0</v>
      </c>
      <c r="AQ134" s="107">
        <f>IF(A5stdlife="n/a","n/a",IF(AQ$3&gt;(A5stdlife+$E134),('PTRM input'!$K$147*(1+rvanilla05)^0.5)-SUM($K134:AP134),('PTRM input'!$K$147*(1+rvanilla05)^0.5)/A5stdlife))</f>
        <v>0</v>
      </c>
      <c r="AR134" s="107">
        <f>IF(A5stdlife="n/a","n/a",IF(AR$3&gt;(A5stdlife+$E134),('PTRM input'!$K$147*(1+rvanilla05)^0.5)-SUM($K134:AQ134),('PTRM input'!$K$147*(1+rvanilla05)^0.5)/A5stdlife))</f>
        <v>0</v>
      </c>
      <c r="AS134" s="107">
        <f>IF(A5stdlife="n/a","n/a",IF(AS$3&gt;(A5stdlife+$E134),('PTRM input'!$K$147*(1+rvanilla05)^0.5)-SUM($K134:AR134),('PTRM input'!$K$147*(1+rvanilla05)^0.5)/A5stdlife))</f>
        <v>0</v>
      </c>
      <c r="AT134" s="107">
        <f>IF(A5stdlife="n/a","n/a",IF(AT$3&gt;(A5stdlife+$E134),('PTRM input'!$K$147*(1+rvanilla05)^0.5)-SUM($K134:AS134),('PTRM input'!$K$147*(1+rvanilla05)^0.5)/A5stdlife))</f>
        <v>0</v>
      </c>
      <c r="AU134" s="107">
        <f>IF(A5stdlife="n/a","n/a",IF(AU$3&gt;(A5stdlife+$E134),('PTRM input'!$K$147*(1+rvanilla05)^0.5)-SUM($K134:AT134),('PTRM input'!$K$147*(1+rvanilla05)^0.5)/A5stdlife))</f>
        <v>0</v>
      </c>
      <c r="AV134" s="107">
        <f>IF(A5stdlife="n/a","n/a",IF(AV$3&gt;(A5stdlife+$E134),('PTRM input'!$K$147*(1+rvanilla05)^0.5)-SUM($K134:AU134),('PTRM input'!$K$147*(1+rvanilla05)^0.5)/A5stdlife))</f>
        <v>0</v>
      </c>
      <c r="AW134" s="107">
        <f>IF(A5stdlife="n/a","n/a",IF(AW$3&gt;(A5stdlife+$E134),('PTRM input'!$K$147*(1+rvanilla05)^0.5)-SUM($K134:AV134),('PTRM input'!$K$147*(1+rvanilla05)^0.5)/A5stdlife))</f>
        <v>0</v>
      </c>
      <c r="AX134" s="107">
        <f>IF(A5stdlife="n/a","n/a",IF(AX$3&gt;(A5stdlife+$E134),('PTRM input'!$K$147*(1+rvanilla05)^0.5)-SUM($K134:AW134),('PTRM input'!$K$147*(1+rvanilla05)^0.5)/A5stdlife))</f>
        <v>0</v>
      </c>
      <c r="AY134" s="107">
        <f>IF(A5stdlife="n/a","n/a",IF(AY$3&gt;(A5stdlife+$E134),('PTRM input'!$K$147*(1+rvanilla05)^0.5)-SUM($K134:AX134),('PTRM input'!$K$147*(1+rvanilla05)^0.5)/A5stdlife))</f>
        <v>0</v>
      </c>
      <c r="AZ134" s="107">
        <f>IF(A5stdlife="n/a","n/a",IF(AZ$3&gt;(A5stdlife+$E134),('PTRM input'!$K$147*(1+rvanilla05)^0.5)-SUM($K134:AY134),('PTRM input'!$K$147*(1+rvanilla05)^0.5)/A5stdlife))</f>
        <v>0</v>
      </c>
      <c r="BA134" s="107">
        <f>IF(A5stdlife="n/a","n/a",IF(BA$3&gt;(A5stdlife+$E134),('PTRM input'!$K$147*(1+rvanilla05)^0.5)-SUM($K134:AZ134),('PTRM input'!$K$147*(1+rvanilla05)^0.5)/A5stdlife))</f>
        <v>0</v>
      </c>
      <c r="BB134" s="107">
        <f>IF(A5stdlife="n/a","n/a",IF(BB$3&gt;(A5stdlife+$E134),('PTRM input'!$K$147*(1+rvanilla05)^0.5)-SUM($K134:BA134),('PTRM input'!$K$147*(1+rvanilla05)^0.5)/A5stdlife))</f>
        <v>0</v>
      </c>
      <c r="BC134" s="107">
        <f>IF(A5stdlife="n/a","n/a",IF(BC$3&gt;(A5stdlife+$E134),('PTRM input'!$K$147*(1+rvanilla05)^0.5)-SUM($K134:BB134),('PTRM input'!$K$147*(1+rvanilla05)^0.5)/A5stdlife))</f>
        <v>0</v>
      </c>
      <c r="BD134" s="107">
        <f>IF(A5stdlife="n/a","n/a",IF(BD$3&gt;(A5stdlife+$E134),('PTRM input'!$K$147*(1+rvanilla05)^0.5)-SUM($K134:BC134),('PTRM input'!$K$147*(1+rvanilla05)^0.5)/A5stdlife))</f>
        <v>0</v>
      </c>
      <c r="BE134" s="107">
        <f>IF(A5stdlife="n/a","n/a",IF(BE$3&gt;(A5stdlife+$E134),('PTRM input'!$K$147*(1+rvanilla05)^0.5)-SUM($K134:BD134),('PTRM input'!$K$147*(1+rvanilla05)^0.5)/A5stdlife))</f>
        <v>0</v>
      </c>
      <c r="BF134" s="107">
        <f>IF(A5stdlife="n/a","n/a",IF(BF$3&gt;(A5stdlife+$E134),('PTRM input'!$K$147*(1+rvanilla05)^0.5)-SUM($K134:BE134),('PTRM input'!$K$147*(1+rvanilla05)^0.5)/A5stdlife))</f>
        <v>0</v>
      </c>
      <c r="BG134" s="107">
        <f>IF(A5stdlife="n/a","n/a",IF(BG$3&gt;(A5stdlife+$E134),('PTRM input'!$K$147*(1+rvanilla05)^0.5)-SUM($K134:BF134),('PTRM input'!$K$147*(1+rvanilla05)^0.5)/A5stdlife))</f>
        <v>0</v>
      </c>
      <c r="BH134" s="107">
        <f>IF(A5stdlife="n/a","n/a",IF(BH$3&gt;(A5stdlife+$E134),('PTRM input'!$K$147*(1+rvanilla05)^0.5)-SUM($K134:BG134),('PTRM input'!$K$147*(1+rvanilla05)^0.5)/A5stdlife))</f>
        <v>0</v>
      </c>
      <c r="BI134" s="107">
        <f>IF(A5stdlife="n/a","n/a",IF(BI$3&gt;(A5stdlife+$E134),('PTRM input'!$K$147*(1+rvanilla05)^0.5)-SUM($K134:BH134),('PTRM input'!$K$147*(1+rvanilla05)^0.5)/A5stdlife))</f>
        <v>0</v>
      </c>
      <c r="BJ134" s="237"/>
      <c r="BK134" s="237"/>
      <c r="BL134" s="237"/>
      <c r="BM134" s="237"/>
    </row>
    <row r="135" spans="1:65" s="190" customFormat="1" hidden="1" outlineLevel="2">
      <c r="A135" s="237"/>
      <c r="B135" s="33"/>
      <c r="C135" s="32"/>
      <c r="D135" s="1618"/>
      <c r="E135" s="169">
        <v>6</v>
      </c>
      <c r="F135" s="35"/>
      <c r="G135" s="184"/>
      <c r="H135" s="186"/>
      <c r="I135" s="186"/>
      <c r="J135" s="186"/>
      <c r="K135" s="186"/>
      <c r="L135" s="185"/>
      <c r="M135" s="107">
        <f>IF(A5stdlife="n/a","n/a",IF(M$3&gt;(A5stdlife+$E135),('PTRM input'!$L$147*(1+rvanilla06)^0.5)-SUM($L135:L135),('PTRM input'!$L$147*(1+rvanilla06)^0.5)/A5stdlife))</f>
        <v>0</v>
      </c>
      <c r="N135" s="107">
        <f>IF(A5stdlife="n/a","n/a",IF(N$3&gt;(A5stdlife+$E135),('PTRM input'!$L$147*(1+rvanilla06)^0.5)-SUM($L135:M135),('PTRM input'!$L$147*(1+rvanilla06)^0.5)/A5stdlife))</f>
        <v>0</v>
      </c>
      <c r="O135" s="107">
        <f>IF(A5stdlife="n/a","n/a",IF(O$3&gt;(A5stdlife+$E135),('PTRM input'!$L$147*(1+rvanilla06)^0.5)-SUM($L135:N135),('PTRM input'!$L$147*(1+rvanilla06)^0.5)/A5stdlife))</f>
        <v>0</v>
      </c>
      <c r="P135" s="107">
        <f>IF(A5stdlife="n/a","n/a",IF(P$3&gt;(A5stdlife+$E135),('PTRM input'!$L$147*(1+rvanilla06)^0.5)-SUM($L135:O135),('PTRM input'!$L$147*(1+rvanilla06)^0.5)/A5stdlife))</f>
        <v>0</v>
      </c>
      <c r="Q135" s="107">
        <f>IF(A5stdlife="n/a","n/a",IF(Q$3&gt;(A5stdlife+$E135),('PTRM input'!$L$147*(1+rvanilla06)^0.5)-SUM($L135:P135),('PTRM input'!$L$147*(1+rvanilla06)^0.5)/A5stdlife))</f>
        <v>0</v>
      </c>
      <c r="R135" s="107">
        <f>IF(A5stdlife="n/a","n/a",IF(R$3&gt;(A5stdlife+$E135),('PTRM input'!$L$147*(1+rvanilla06)^0.5)-SUM($L135:Q135),('PTRM input'!$L$147*(1+rvanilla06)^0.5)/A5stdlife))</f>
        <v>0</v>
      </c>
      <c r="S135" s="107">
        <f>IF(A5stdlife="n/a","n/a",IF(S$3&gt;(A5stdlife+$E135),('PTRM input'!$L$147*(1+rvanilla06)^0.5)-SUM($L135:R135),('PTRM input'!$L$147*(1+rvanilla06)^0.5)/A5stdlife))</f>
        <v>0</v>
      </c>
      <c r="T135" s="107">
        <f>IF(A5stdlife="n/a","n/a",IF(T$3&gt;(A5stdlife+$E135),('PTRM input'!$L$147*(1+rvanilla06)^0.5)-SUM($L135:S135),('PTRM input'!$L$147*(1+rvanilla06)^0.5)/A5stdlife))</f>
        <v>0</v>
      </c>
      <c r="U135" s="107">
        <f>IF(A5stdlife="n/a","n/a",IF(U$3&gt;(A5stdlife+$E135),('PTRM input'!$L$147*(1+rvanilla06)^0.5)-SUM($L135:T135),('PTRM input'!$L$147*(1+rvanilla06)^0.5)/A5stdlife))</f>
        <v>0</v>
      </c>
      <c r="V135" s="107">
        <f>IF(A5stdlife="n/a","n/a",IF(V$3&gt;(A5stdlife+$E135),('PTRM input'!$L$147*(1+rvanilla06)^0.5)-SUM($L135:U135),('PTRM input'!$L$147*(1+rvanilla06)^0.5)/A5stdlife))</f>
        <v>0</v>
      </c>
      <c r="W135" s="107">
        <f>IF(A5stdlife="n/a","n/a",IF(W$3&gt;(A5stdlife+$E135),('PTRM input'!$L$147*(1+rvanilla06)^0.5)-SUM($L135:V135),('PTRM input'!$L$147*(1+rvanilla06)^0.5)/A5stdlife))</f>
        <v>0</v>
      </c>
      <c r="X135" s="107">
        <f>IF(A5stdlife="n/a","n/a",IF(X$3&gt;(A5stdlife+$E135),('PTRM input'!$L$147*(1+rvanilla06)^0.5)-SUM($L135:W135),('PTRM input'!$L$147*(1+rvanilla06)^0.5)/A5stdlife))</f>
        <v>0</v>
      </c>
      <c r="Y135" s="107">
        <f>IF(A5stdlife="n/a","n/a",IF(Y$3&gt;(A5stdlife+$E135),('PTRM input'!$L$147*(1+rvanilla06)^0.5)-SUM($L135:X135),('PTRM input'!$L$147*(1+rvanilla06)^0.5)/A5stdlife))</f>
        <v>0</v>
      </c>
      <c r="Z135" s="107">
        <f>IF(A5stdlife="n/a","n/a",IF(Z$3&gt;(A5stdlife+$E135),('PTRM input'!$L$147*(1+rvanilla06)^0.5)-SUM($L135:Y135),('PTRM input'!$L$147*(1+rvanilla06)^0.5)/A5stdlife))</f>
        <v>0</v>
      </c>
      <c r="AA135" s="107">
        <f>IF(A5stdlife="n/a","n/a",IF(AA$3&gt;(A5stdlife+$E135),('PTRM input'!$L$147*(1+rvanilla06)^0.5)-SUM($L135:Z135),('PTRM input'!$L$147*(1+rvanilla06)^0.5)/A5stdlife))</f>
        <v>0</v>
      </c>
      <c r="AB135" s="107">
        <f>IF(A5stdlife="n/a","n/a",IF(AB$3&gt;(A5stdlife+$E135),('PTRM input'!$L$147*(1+rvanilla06)^0.5)-SUM($L135:AA135),('PTRM input'!$L$147*(1+rvanilla06)^0.5)/A5stdlife))</f>
        <v>0</v>
      </c>
      <c r="AC135" s="107">
        <f>IF(A5stdlife="n/a","n/a",IF(AC$3&gt;(A5stdlife+$E135),('PTRM input'!$L$147*(1+rvanilla06)^0.5)-SUM($L135:AB135),('PTRM input'!$L$147*(1+rvanilla06)^0.5)/A5stdlife))</f>
        <v>0</v>
      </c>
      <c r="AD135" s="107">
        <f>IF(A5stdlife="n/a","n/a",IF(AD$3&gt;(A5stdlife+$E135),('PTRM input'!$L$147*(1+rvanilla06)^0.5)-SUM($L135:AC135),('PTRM input'!$L$147*(1+rvanilla06)^0.5)/A5stdlife))</f>
        <v>0</v>
      </c>
      <c r="AE135" s="107">
        <f>IF(A5stdlife="n/a","n/a",IF(AE$3&gt;(A5stdlife+$E135),('PTRM input'!$L$147*(1+rvanilla06)^0.5)-SUM($L135:AD135),('PTRM input'!$L$147*(1+rvanilla06)^0.5)/A5stdlife))</f>
        <v>0</v>
      </c>
      <c r="AF135" s="107">
        <f>IF(A5stdlife="n/a","n/a",IF(AF$3&gt;(A5stdlife+$E135),('PTRM input'!$L$147*(1+rvanilla06)^0.5)-SUM($L135:AE135),('PTRM input'!$L$147*(1+rvanilla06)^0.5)/A5stdlife))</f>
        <v>0</v>
      </c>
      <c r="AG135" s="107">
        <f>IF(A5stdlife="n/a","n/a",IF(AG$3&gt;(A5stdlife+$E135),('PTRM input'!$L$147*(1+rvanilla06)^0.5)-SUM($L135:AF135),('PTRM input'!$L$147*(1+rvanilla06)^0.5)/A5stdlife))</f>
        <v>0</v>
      </c>
      <c r="AH135" s="107">
        <f>IF(A5stdlife="n/a","n/a",IF(AH$3&gt;(A5stdlife+$E135),('PTRM input'!$L$147*(1+rvanilla06)^0.5)-SUM($L135:AG135),('PTRM input'!$L$147*(1+rvanilla06)^0.5)/A5stdlife))</f>
        <v>0</v>
      </c>
      <c r="AI135" s="107">
        <f>IF(A5stdlife="n/a","n/a",IF(AI$3&gt;(A5stdlife+$E135),('PTRM input'!$L$147*(1+rvanilla06)^0.5)-SUM($L135:AH135),('PTRM input'!$L$147*(1+rvanilla06)^0.5)/A5stdlife))</f>
        <v>0</v>
      </c>
      <c r="AJ135" s="107">
        <f>IF(A5stdlife="n/a","n/a",IF(AJ$3&gt;(A5stdlife+$E135),('PTRM input'!$L$147*(1+rvanilla06)^0.5)-SUM($L135:AI135),('PTRM input'!$L$147*(1+rvanilla06)^0.5)/A5stdlife))</f>
        <v>0</v>
      </c>
      <c r="AK135" s="107">
        <f>IF(A5stdlife="n/a","n/a",IF(AK$3&gt;(A5stdlife+$E135),('PTRM input'!$L$147*(1+rvanilla06)^0.5)-SUM($L135:AJ135),('PTRM input'!$L$147*(1+rvanilla06)^0.5)/A5stdlife))</f>
        <v>0</v>
      </c>
      <c r="AL135" s="107">
        <f>IF(A5stdlife="n/a","n/a",IF(AL$3&gt;(A5stdlife+$E135),('PTRM input'!$L$147*(1+rvanilla06)^0.5)-SUM($L135:AK135),('PTRM input'!$L$147*(1+rvanilla06)^0.5)/A5stdlife))</f>
        <v>0</v>
      </c>
      <c r="AM135" s="107">
        <f>IF(A5stdlife="n/a","n/a",IF(AM$3&gt;(A5stdlife+$E135),('PTRM input'!$L$147*(1+rvanilla06)^0.5)-SUM($L135:AL135),('PTRM input'!$L$147*(1+rvanilla06)^0.5)/A5stdlife))</f>
        <v>0</v>
      </c>
      <c r="AN135" s="107">
        <f>IF(A5stdlife="n/a","n/a",IF(AN$3&gt;(A5stdlife+$E135),('PTRM input'!$L$147*(1+rvanilla06)^0.5)-SUM($L135:AM135),('PTRM input'!$L$147*(1+rvanilla06)^0.5)/A5stdlife))</f>
        <v>0</v>
      </c>
      <c r="AO135" s="107">
        <f>IF(A5stdlife="n/a","n/a",IF(AO$3&gt;(A5stdlife+$E135),('PTRM input'!$L$147*(1+rvanilla06)^0.5)-SUM($L135:AN135),('PTRM input'!$L$147*(1+rvanilla06)^0.5)/A5stdlife))</f>
        <v>0</v>
      </c>
      <c r="AP135" s="107">
        <f>IF(A5stdlife="n/a","n/a",IF(AP$3&gt;(A5stdlife+$E135),('PTRM input'!$L$147*(1+rvanilla06)^0.5)-SUM($L135:AO135),('PTRM input'!$L$147*(1+rvanilla06)^0.5)/A5stdlife))</f>
        <v>0</v>
      </c>
      <c r="AQ135" s="107">
        <f>IF(A5stdlife="n/a","n/a",IF(AQ$3&gt;(A5stdlife+$E135),('PTRM input'!$L$147*(1+rvanilla06)^0.5)-SUM($L135:AP135),('PTRM input'!$L$147*(1+rvanilla06)^0.5)/A5stdlife))</f>
        <v>0</v>
      </c>
      <c r="AR135" s="107">
        <f>IF(A5stdlife="n/a","n/a",IF(AR$3&gt;(A5stdlife+$E135),('PTRM input'!$L$147*(1+rvanilla06)^0.5)-SUM($L135:AQ135),('PTRM input'!$L$147*(1+rvanilla06)^0.5)/A5stdlife))</f>
        <v>0</v>
      </c>
      <c r="AS135" s="107">
        <f>IF(A5stdlife="n/a","n/a",IF(AS$3&gt;(A5stdlife+$E135),('PTRM input'!$L$147*(1+rvanilla06)^0.5)-SUM($L135:AR135),('PTRM input'!$L$147*(1+rvanilla06)^0.5)/A5stdlife))</f>
        <v>0</v>
      </c>
      <c r="AT135" s="107">
        <f>IF(A5stdlife="n/a","n/a",IF(AT$3&gt;(A5stdlife+$E135),('PTRM input'!$L$147*(1+rvanilla06)^0.5)-SUM($L135:AS135),('PTRM input'!$L$147*(1+rvanilla06)^0.5)/A5stdlife))</f>
        <v>0</v>
      </c>
      <c r="AU135" s="107">
        <f>IF(A5stdlife="n/a","n/a",IF(AU$3&gt;(A5stdlife+$E135),('PTRM input'!$L$147*(1+rvanilla06)^0.5)-SUM($L135:AT135),('PTRM input'!$L$147*(1+rvanilla06)^0.5)/A5stdlife))</f>
        <v>0</v>
      </c>
      <c r="AV135" s="107">
        <f>IF(A5stdlife="n/a","n/a",IF(AV$3&gt;(A5stdlife+$E135),('PTRM input'!$L$147*(1+rvanilla06)^0.5)-SUM($L135:AU135),('PTRM input'!$L$147*(1+rvanilla06)^0.5)/A5stdlife))</f>
        <v>0</v>
      </c>
      <c r="AW135" s="107">
        <f>IF(A5stdlife="n/a","n/a",IF(AW$3&gt;(A5stdlife+$E135),('PTRM input'!$L$147*(1+rvanilla06)^0.5)-SUM($L135:AV135),('PTRM input'!$L$147*(1+rvanilla06)^0.5)/A5stdlife))</f>
        <v>0</v>
      </c>
      <c r="AX135" s="107">
        <f>IF(A5stdlife="n/a","n/a",IF(AX$3&gt;(A5stdlife+$E135),('PTRM input'!$L$147*(1+rvanilla06)^0.5)-SUM($L135:AW135),('PTRM input'!$L$147*(1+rvanilla06)^0.5)/A5stdlife))</f>
        <v>0</v>
      </c>
      <c r="AY135" s="107">
        <f>IF(A5stdlife="n/a","n/a",IF(AY$3&gt;(A5stdlife+$E135),('PTRM input'!$L$147*(1+rvanilla06)^0.5)-SUM($L135:AX135),('PTRM input'!$L$147*(1+rvanilla06)^0.5)/A5stdlife))</f>
        <v>0</v>
      </c>
      <c r="AZ135" s="107">
        <f>IF(A5stdlife="n/a","n/a",IF(AZ$3&gt;(A5stdlife+$E135),('PTRM input'!$L$147*(1+rvanilla06)^0.5)-SUM($L135:AY135),('PTRM input'!$L$147*(1+rvanilla06)^0.5)/A5stdlife))</f>
        <v>0</v>
      </c>
      <c r="BA135" s="107">
        <f>IF(A5stdlife="n/a","n/a",IF(BA$3&gt;(A5stdlife+$E135),('PTRM input'!$L$147*(1+rvanilla06)^0.5)-SUM($L135:AZ135),('PTRM input'!$L$147*(1+rvanilla06)^0.5)/A5stdlife))</f>
        <v>0</v>
      </c>
      <c r="BB135" s="107">
        <f>IF(A5stdlife="n/a","n/a",IF(BB$3&gt;(A5stdlife+$E135),('PTRM input'!$L$147*(1+rvanilla06)^0.5)-SUM($L135:BA135),('PTRM input'!$L$147*(1+rvanilla06)^0.5)/A5stdlife))</f>
        <v>0</v>
      </c>
      <c r="BC135" s="107">
        <f>IF(A5stdlife="n/a","n/a",IF(BC$3&gt;(A5stdlife+$E135),('PTRM input'!$L$147*(1+rvanilla06)^0.5)-SUM($L135:BB135),('PTRM input'!$L$147*(1+rvanilla06)^0.5)/A5stdlife))</f>
        <v>0</v>
      </c>
      <c r="BD135" s="107">
        <f>IF(A5stdlife="n/a","n/a",IF(BD$3&gt;(A5stdlife+$E135),('PTRM input'!$L$147*(1+rvanilla06)^0.5)-SUM($L135:BC135),('PTRM input'!$L$147*(1+rvanilla06)^0.5)/A5stdlife))</f>
        <v>0</v>
      </c>
      <c r="BE135" s="107">
        <f>IF(A5stdlife="n/a","n/a",IF(BE$3&gt;(A5stdlife+$E135),('PTRM input'!$L$147*(1+rvanilla06)^0.5)-SUM($L135:BD135),('PTRM input'!$L$147*(1+rvanilla06)^0.5)/A5stdlife))</f>
        <v>0</v>
      </c>
      <c r="BF135" s="107">
        <f>IF(A5stdlife="n/a","n/a",IF(BF$3&gt;(A5stdlife+$E135),('PTRM input'!$L$147*(1+rvanilla06)^0.5)-SUM($L135:BE135),('PTRM input'!$L$147*(1+rvanilla06)^0.5)/A5stdlife))</f>
        <v>0</v>
      </c>
      <c r="BG135" s="107">
        <f>IF(A5stdlife="n/a","n/a",IF(BG$3&gt;(A5stdlife+$E135),('PTRM input'!$L$147*(1+rvanilla06)^0.5)-SUM($L135:BF135),('PTRM input'!$L$147*(1+rvanilla06)^0.5)/A5stdlife))</f>
        <v>0</v>
      </c>
      <c r="BH135" s="107">
        <f>IF(A5stdlife="n/a","n/a",IF(BH$3&gt;(A5stdlife+$E135),('PTRM input'!$L$147*(1+rvanilla06)^0.5)-SUM($L135:BG135),('PTRM input'!$L$147*(1+rvanilla06)^0.5)/A5stdlife))</f>
        <v>0</v>
      </c>
      <c r="BI135" s="107">
        <f>IF(A5stdlife="n/a","n/a",IF(BI$3&gt;(A5stdlife+$E135),('PTRM input'!$L$147*(1+rvanilla06)^0.5)-SUM($L135:BH135),('PTRM input'!$L$147*(1+rvanilla06)^0.5)/A5stdlife))</f>
        <v>0</v>
      </c>
      <c r="BJ135" s="237"/>
      <c r="BK135" s="237"/>
      <c r="BL135" s="237"/>
      <c r="BM135" s="237"/>
    </row>
    <row r="136" spans="1:65" s="190" customFormat="1" hidden="1" outlineLevel="2">
      <c r="A136" s="237"/>
      <c r="B136" s="33"/>
      <c r="C136" s="32"/>
      <c r="D136" s="1618"/>
      <c r="E136" s="169">
        <v>7</v>
      </c>
      <c r="F136" s="35"/>
      <c r="G136" s="184"/>
      <c r="H136" s="186"/>
      <c r="I136" s="186"/>
      <c r="J136" s="186"/>
      <c r="K136" s="186"/>
      <c r="L136" s="186"/>
      <c r="M136" s="185"/>
      <c r="N136" s="107">
        <f>IF(A5stdlife="n/a","n/a",IF(N$3&gt;(A5stdlife+$E136),('PTRM input'!$M$147*(1+rvanilla07)^0.5)-SUM($M136:M136),('PTRM input'!$M$147*(1+rvanilla07)^0.5)/A5stdlife))</f>
        <v>0</v>
      </c>
      <c r="O136" s="107">
        <f>IF(A5stdlife="n/a","n/a",IF(O$3&gt;(A5stdlife+$E136),('PTRM input'!$M$147*(1+rvanilla07)^0.5)-SUM($M136:N136),('PTRM input'!$M$147*(1+rvanilla07)^0.5)/A5stdlife))</f>
        <v>0</v>
      </c>
      <c r="P136" s="107">
        <f>IF(A5stdlife="n/a","n/a",IF(P$3&gt;(A5stdlife+$E136),('PTRM input'!$M$147*(1+rvanilla07)^0.5)-SUM($M136:O136),('PTRM input'!$M$147*(1+rvanilla07)^0.5)/A5stdlife))</f>
        <v>0</v>
      </c>
      <c r="Q136" s="107">
        <f>IF(A5stdlife="n/a","n/a",IF(Q$3&gt;(A5stdlife+$E136),('PTRM input'!$M$147*(1+rvanilla07)^0.5)-SUM($M136:P136),('PTRM input'!$M$147*(1+rvanilla07)^0.5)/A5stdlife))</f>
        <v>0</v>
      </c>
      <c r="R136" s="107">
        <f>IF(A5stdlife="n/a","n/a",IF(R$3&gt;(A5stdlife+$E136),('PTRM input'!$M$147*(1+rvanilla07)^0.5)-SUM($M136:Q136),('PTRM input'!$M$147*(1+rvanilla07)^0.5)/A5stdlife))</f>
        <v>0</v>
      </c>
      <c r="S136" s="107">
        <f>IF(A5stdlife="n/a","n/a",IF(S$3&gt;(A5stdlife+$E136),('PTRM input'!$M$147*(1+rvanilla07)^0.5)-SUM($M136:R136),('PTRM input'!$M$147*(1+rvanilla07)^0.5)/A5stdlife))</f>
        <v>0</v>
      </c>
      <c r="T136" s="107">
        <f>IF(A5stdlife="n/a","n/a",IF(T$3&gt;(A5stdlife+$E136),('PTRM input'!$M$147*(1+rvanilla07)^0.5)-SUM($M136:S136),('PTRM input'!$M$147*(1+rvanilla07)^0.5)/A5stdlife))</f>
        <v>0</v>
      </c>
      <c r="U136" s="107">
        <f>IF(A5stdlife="n/a","n/a",IF(U$3&gt;(A5stdlife+$E136),('PTRM input'!$M$147*(1+rvanilla07)^0.5)-SUM($M136:T136),('PTRM input'!$M$147*(1+rvanilla07)^0.5)/A5stdlife))</f>
        <v>0</v>
      </c>
      <c r="V136" s="107">
        <f>IF(A5stdlife="n/a","n/a",IF(V$3&gt;(A5stdlife+$E136),('PTRM input'!$M$147*(1+rvanilla07)^0.5)-SUM($M136:U136),('PTRM input'!$M$147*(1+rvanilla07)^0.5)/A5stdlife))</f>
        <v>0</v>
      </c>
      <c r="W136" s="107">
        <f>IF(A5stdlife="n/a","n/a",IF(W$3&gt;(A5stdlife+$E136),('PTRM input'!$M$147*(1+rvanilla07)^0.5)-SUM($M136:V136),('PTRM input'!$M$147*(1+rvanilla07)^0.5)/A5stdlife))</f>
        <v>0</v>
      </c>
      <c r="X136" s="107">
        <f>IF(A5stdlife="n/a","n/a",IF(X$3&gt;(A5stdlife+$E136),('PTRM input'!$M$147*(1+rvanilla07)^0.5)-SUM($M136:W136),('PTRM input'!$M$147*(1+rvanilla07)^0.5)/A5stdlife))</f>
        <v>0</v>
      </c>
      <c r="Y136" s="107">
        <f>IF(A5stdlife="n/a","n/a",IF(Y$3&gt;(A5stdlife+$E136),('PTRM input'!$M$147*(1+rvanilla07)^0.5)-SUM($M136:X136),('PTRM input'!$M$147*(1+rvanilla07)^0.5)/A5stdlife))</f>
        <v>0</v>
      </c>
      <c r="Z136" s="107">
        <f>IF(A5stdlife="n/a","n/a",IF(Z$3&gt;(A5stdlife+$E136),('PTRM input'!$M$147*(1+rvanilla07)^0.5)-SUM($M136:Y136),('PTRM input'!$M$147*(1+rvanilla07)^0.5)/A5stdlife))</f>
        <v>0</v>
      </c>
      <c r="AA136" s="107">
        <f>IF(A5stdlife="n/a","n/a",IF(AA$3&gt;(A5stdlife+$E136),('PTRM input'!$M$147*(1+rvanilla07)^0.5)-SUM($M136:Z136),('PTRM input'!$M$147*(1+rvanilla07)^0.5)/A5stdlife))</f>
        <v>0</v>
      </c>
      <c r="AB136" s="107">
        <f>IF(A5stdlife="n/a","n/a",IF(AB$3&gt;(A5stdlife+$E136),('PTRM input'!$M$147*(1+rvanilla07)^0.5)-SUM($M136:AA136),('PTRM input'!$M$147*(1+rvanilla07)^0.5)/A5stdlife))</f>
        <v>0</v>
      </c>
      <c r="AC136" s="107">
        <f>IF(A5stdlife="n/a","n/a",IF(AC$3&gt;(A5stdlife+$E136),('PTRM input'!$M$147*(1+rvanilla07)^0.5)-SUM($M136:AB136),('PTRM input'!$M$147*(1+rvanilla07)^0.5)/A5stdlife))</f>
        <v>0</v>
      </c>
      <c r="AD136" s="107">
        <f>IF(A5stdlife="n/a","n/a",IF(AD$3&gt;(A5stdlife+$E136),('PTRM input'!$M$147*(1+rvanilla07)^0.5)-SUM($M136:AC136),('PTRM input'!$M$147*(1+rvanilla07)^0.5)/A5stdlife))</f>
        <v>0</v>
      </c>
      <c r="AE136" s="107">
        <f>IF(A5stdlife="n/a","n/a",IF(AE$3&gt;(A5stdlife+$E136),('PTRM input'!$M$147*(1+rvanilla07)^0.5)-SUM($M136:AD136),('PTRM input'!$M$147*(1+rvanilla07)^0.5)/A5stdlife))</f>
        <v>0</v>
      </c>
      <c r="AF136" s="107">
        <f>IF(A5stdlife="n/a","n/a",IF(AF$3&gt;(A5stdlife+$E136),('PTRM input'!$M$147*(1+rvanilla07)^0.5)-SUM($M136:AE136),('PTRM input'!$M$147*(1+rvanilla07)^0.5)/A5stdlife))</f>
        <v>0</v>
      </c>
      <c r="AG136" s="107">
        <f>IF(A5stdlife="n/a","n/a",IF(AG$3&gt;(A5stdlife+$E136),('PTRM input'!$M$147*(1+rvanilla07)^0.5)-SUM($M136:AF136),('PTRM input'!$M$147*(1+rvanilla07)^0.5)/A5stdlife))</f>
        <v>0</v>
      </c>
      <c r="AH136" s="107">
        <f>IF(A5stdlife="n/a","n/a",IF(AH$3&gt;(A5stdlife+$E136),('PTRM input'!$M$147*(1+rvanilla07)^0.5)-SUM($M136:AG136),('PTRM input'!$M$147*(1+rvanilla07)^0.5)/A5stdlife))</f>
        <v>0</v>
      </c>
      <c r="AI136" s="107">
        <f>IF(A5stdlife="n/a","n/a",IF(AI$3&gt;(A5stdlife+$E136),('PTRM input'!$M$147*(1+rvanilla07)^0.5)-SUM($M136:AH136),('PTRM input'!$M$147*(1+rvanilla07)^0.5)/A5stdlife))</f>
        <v>0</v>
      </c>
      <c r="AJ136" s="107">
        <f>IF(A5stdlife="n/a","n/a",IF(AJ$3&gt;(A5stdlife+$E136),('PTRM input'!$M$147*(1+rvanilla07)^0.5)-SUM($M136:AI136),('PTRM input'!$M$147*(1+rvanilla07)^0.5)/A5stdlife))</f>
        <v>0</v>
      </c>
      <c r="AK136" s="107">
        <f>IF(A5stdlife="n/a","n/a",IF(AK$3&gt;(A5stdlife+$E136),('PTRM input'!$M$147*(1+rvanilla07)^0.5)-SUM($M136:AJ136),('PTRM input'!$M$147*(1+rvanilla07)^0.5)/A5stdlife))</f>
        <v>0</v>
      </c>
      <c r="AL136" s="107">
        <f>IF(A5stdlife="n/a","n/a",IF(AL$3&gt;(A5stdlife+$E136),('PTRM input'!$M$147*(1+rvanilla07)^0.5)-SUM($M136:AK136),('PTRM input'!$M$147*(1+rvanilla07)^0.5)/A5stdlife))</f>
        <v>0</v>
      </c>
      <c r="AM136" s="107">
        <f>IF(A5stdlife="n/a","n/a",IF(AM$3&gt;(A5stdlife+$E136),('PTRM input'!$M$147*(1+rvanilla07)^0.5)-SUM($M136:AL136),('PTRM input'!$M$147*(1+rvanilla07)^0.5)/A5stdlife))</f>
        <v>0</v>
      </c>
      <c r="AN136" s="107">
        <f>IF(A5stdlife="n/a","n/a",IF(AN$3&gt;(A5stdlife+$E136),('PTRM input'!$M$147*(1+rvanilla07)^0.5)-SUM($M136:AM136),('PTRM input'!$M$147*(1+rvanilla07)^0.5)/A5stdlife))</f>
        <v>0</v>
      </c>
      <c r="AO136" s="107">
        <f>IF(A5stdlife="n/a","n/a",IF(AO$3&gt;(A5stdlife+$E136),('PTRM input'!$M$147*(1+rvanilla07)^0.5)-SUM($M136:AN136),('PTRM input'!$M$147*(1+rvanilla07)^0.5)/A5stdlife))</f>
        <v>0</v>
      </c>
      <c r="AP136" s="107">
        <f>IF(A5stdlife="n/a","n/a",IF(AP$3&gt;(A5stdlife+$E136),('PTRM input'!$M$147*(1+rvanilla07)^0.5)-SUM($M136:AO136),('PTRM input'!$M$147*(1+rvanilla07)^0.5)/A5stdlife))</f>
        <v>0</v>
      </c>
      <c r="AQ136" s="107">
        <f>IF(A5stdlife="n/a","n/a",IF(AQ$3&gt;(A5stdlife+$E136),('PTRM input'!$M$147*(1+rvanilla07)^0.5)-SUM($M136:AP136),('PTRM input'!$M$147*(1+rvanilla07)^0.5)/A5stdlife))</f>
        <v>0</v>
      </c>
      <c r="AR136" s="107">
        <f>IF(A5stdlife="n/a","n/a",IF(AR$3&gt;(A5stdlife+$E136),('PTRM input'!$M$147*(1+rvanilla07)^0.5)-SUM($M136:AQ136),('PTRM input'!$M$147*(1+rvanilla07)^0.5)/A5stdlife))</f>
        <v>0</v>
      </c>
      <c r="AS136" s="107">
        <f>IF(A5stdlife="n/a","n/a",IF(AS$3&gt;(A5stdlife+$E136),('PTRM input'!$M$147*(1+rvanilla07)^0.5)-SUM($M136:AR136),('PTRM input'!$M$147*(1+rvanilla07)^0.5)/A5stdlife))</f>
        <v>0</v>
      </c>
      <c r="AT136" s="107">
        <f>IF(A5stdlife="n/a","n/a",IF(AT$3&gt;(A5stdlife+$E136),('PTRM input'!$M$147*(1+rvanilla07)^0.5)-SUM($M136:AS136),('PTRM input'!$M$147*(1+rvanilla07)^0.5)/A5stdlife))</f>
        <v>0</v>
      </c>
      <c r="AU136" s="107">
        <f>IF(A5stdlife="n/a","n/a",IF(AU$3&gt;(A5stdlife+$E136),('PTRM input'!$M$147*(1+rvanilla07)^0.5)-SUM($M136:AT136),('PTRM input'!$M$147*(1+rvanilla07)^0.5)/A5stdlife))</f>
        <v>0</v>
      </c>
      <c r="AV136" s="107">
        <f>IF(A5stdlife="n/a","n/a",IF(AV$3&gt;(A5stdlife+$E136),('PTRM input'!$M$147*(1+rvanilla07)^0.5)-SUM($M136:AU136),('PTRM input'!$M$147*(1+rvanilla07)^0.5)/A5stdlife))</f>
        <v>0</v>
      </c>
      <c r="AW136" s="107">
        <f>IF(A5stdlife="n/a","n/a",IF(AW$3&gt;(A5stdlife+$E136),('PTRM input'!$M$147*(1+rvanilla07)^0.5)-SUM($M136:AV136),('PTRM input'!$M$147*(1+rvanilla07)^0.5)/A5stdlife))</f>
        <v>0</v>
      </c>
      <c r="AX136" s="107">
        <f>IF(A5stdlife="n/a","n/a",IF(AX$3&gt;(A5stdlife+$E136),('PTRM input'!$M$147*(1+rvanilla07)^0.5)-SUM($M136:AW136),('PTRM input'!$M$147*(1+rvanilla07)^0.5)/A5stdlife))</f>
        <v>0</v>
      </c>
      <c r="AY136" s="107">
        <f>IF(A5stdlife="n/a","n/a",IF(AY$3&gt;(A5stdlife+$E136),('PTRM input'!$M$147*(1+rvanilla07)^0.5)-SUM($M136:AX136),('PTRM input'!$M$147*(1+rvanilla07)^0.5)/A5stdlife))</f>
        <v>0</v>
      </c>
      <c r="AZ136" s="107">
        <f>IF(A5stdlife="n/a","n/a",IF(AZ$3&gt;(A5stdlife+$E136),('PTRM input'!$M$147*(1+rvanilla07)^0.5)-SUM($M136:AY136),('PTRM input'!$M$147*(1+rvanilla07)^0.5)/A5stdlife))</f>
        <v>0</v>
      </c>
      <c r="BA136" s="107">
        <f>IF(A5stdlife="n/a","n/a",IF(BA$3&gt;(A5stdlife+$E136),('PTRM input'!$M$147*(1+rvanilla07)^0.5)-SUM($M136:AZ136),('PTRM input'!$M$147*(1+rvanilla07)^0.5)/A5stdlife))</f>
        <v>0</v>
      </c>
      <c r="BB136" s="107">
        <f>IF(A5stdlife="n/a","n/a",IF(BB$3&gt;(A5stdlife+$E136),('PTRM input'!$M$147*(1+rvanilla07)^0.5)-SUM($M136:BA136),('PTRM input'!$M$147*(1+rvanilla07)^0.5)/A5stdlife))</f>
        <v>0</v>
      </c>
      <c r="BC136" s="107">
        <f>IF(A5stdlife="n/a","n/a",IF(BC$3&gt;(A5stdlife+$E136),('PTRM input'!$M$147*(1+rvanilla07)^0.5)-SUM($M136:BB136),('PTRM input'!$M$147*(1+rvanilla07)^0.5)/A5stdlife))</f>
        <v>0</v>
      </c>
      <c r="BD136" s="107">
        <f>IF(A5stdlife="n/a","n/a",IF(BD$3&gt;(A5stdlife+$E136),('PTRM input'!$M$147*(1+rvanilla07)^0.5)-SUM($M136:BC136),('PTRM input'!$M$147*(1+rvanilla07)^0.5)/A5stdlife))</f>
        <v>0</v>
      </c>
      <c r="BE136" s="107">
        <f>IF(A5stdlife="n/a","n/a",IF(BE$3&gt;(A5stdlife+$E136),('PTRM input'!$M$147*(1+rvanilla07)^0.5)-SUM($M136:BD136),('PTRM input'!$M$147*(1+rvanilla07)^0.5)/A5stdlife))</f>
        <v>0</v>
      </c>
      <c r="BF136" s="107">
        <f>IF(A5stdlife="n/a","n/a",IF(BF$3&gt;(A5stdlife+$E136),('PTRM input'!$M$147*(1+rvanilla07)^0.5)-SUM($M136:BE136),('PTRM input'!$M$147*(1+rvanilla07)^0.5)/A5stdlife))</f>
        <v>0</v>
      </c>
      <c r="BG136" s="107">
        <f>IF(A5stdlife="n/a","n/a",IF(BG$3&gt;(A5stdlife+$E136),('PTRM input'!$M$147*(1+rvanilla07)^0.5)-SUM($M136:BF136),('PTRM input'!$M$147*(1+rvanilla07)^0.5)/A5stdlife))</f>
        <v>0</v>
      </c>
      <c r="BH136" s="107">
        <f>IF(A5stdlife="n/a","n/a",IF(BH$3&gt;(A5stdlife+$E136),('PTRM input'!$M$147*(1+rvanilla07)^0.5)-SUM($M136:BG136),('PTRM input'!$M$147*(1+rvanilla07)^0.5)/A5stdlife))</f>
        <v>0</v>
      </c>
      <c r="BI136" s="107">
        <f>IF(A5stdlife="n/a","n/a",IF(BI$3&gt;(A5stdlife+$E136),('PTRM input'!$M$147*(1+rvanilla07)^0.5)-SUM($M136:BH136),('PTRM input'!$M$147*(1+rvanilla07)^0.5)/A5stdlife))</f>
        <v>0</v>
      </c>
      <c r="BJ136" s="237"/>
      <c r="BK136" s="237"/>
      <c r="BL136" s="237"/>
      <c r="BM136" s="237"/>
    </row>
    <row r="137" spans="1:65" s="190" customFormat="1" hidden="1" outlineLevel="2">
      <c r="A137" s="237"/>
      <c r="B137" s="33"/>
      <c r="C137" s="32"/>
      <c r="D137" s="1618"/>
      <c r="E137" s="169">
        <v>8</v>
      </c>
      <c r="F137" s="35"/>
      <c r="G137" s="184"/>
      <c r="H137" s="186"/>
      <c r="I137" s="186"/>
      <c r="J137" s="186"/>
      <c r="K137" s="186"/>
      <c r="L137" s="186"/>
      <c r="M137" s="186"/>
      <c r="N137" s="185"/>
      <c r="O137" s="107">
        <f>IF(A5stdlife="n/a","n/a",IF(O$3&gt;(A5stdlife+$E137),('PTRM input'!$N$147*(1+rvanilla08)^0.5)-SUM($N137:N137),('PTRM input'!$N$147*(1+rvanilla08)^0.5)/A5stdlife))</f>
        <v>0</v>
      </c>
      <c r="P137" s="107">
        <f>IF(A5stdlife="n/a","n/a",IF(P$3&gt;(A5stdlife+$E137),('PTRM input'!$N$147*(1+rvanilla08)^0.5)-SUM($N137:O137),('PTRM input'!$N$147*(1+rvanilla08)^0.5)/A5stdlife))</f>
        <v>0</v>
      </c>
      <c r="Q137" s="107">
        <f>IF(A5stdlife="n/a","n/a",IF(Q$3&gt;(A5stdlife+$E137),('PTRM input'!$N$147*(1+rvanilla08)^0.5)-SUM($N137:P137),('PTRM input'!$N$147*(1+rvanilla08)^0.5)/A5stdlife))</f>
        <v>0</v>
      </c>
      <c r="R137" s="107">
        <f>IF(A5stdlife="n/a","n/a",IF(R$3&gt;(A5stdlife+$E137),('PTRM input'!$N$147*(1+rvanilla08)^0.5)-SUM($N137:Q137),('PTRM input'!$N$147*(1+rvanilla08)^0.5)/A5stdlife))</f>
        <v>0</v>
      </c>
      <c r="S137" s="107">
        <f>IF(A5stdlife="n/a","n/a",IF(S$3&gt;(A5stdlife+$E137),('PTRM input'!$N$147*(1+rvanilla08)^0.5)-SUM($N137:R137),('PTRM input'!$N$147*(1+rvanilla08)^0.5)/A5stdlife))</f>
        <v>0</v>
      </c>
      <c r="T137" s="107">
        <f>IF(A5stdlife="n/a","n/a",IF(T$3&gt;(A5stdlife+$E137),('PTRM input'!$N$147*(1+rvanilla08)^0.5)-SUM($N137:S137),('PTRM input'!$N$147*(1+rvanilla08)^0.5)/A5stdlife))</f>
        <v>0</v>
      </c>
      <c r="U137" s="107">
        <f>IF(A5stdlife="n/a","n/a",IF(U$3&gt;(A5stdlife+$E137),('PTRM input'!$N$147*(1+rvanilla08)^0.5)-SUM($N137:T137),('PTRM input'!$N$147*(1+rvanilla08)^0.5)/A5stdlife))</f>
        <v>0</v>
      </c>
      <c r="V137" s="107">
        <f>IF(A5stdlife="n/a","n/a",IF(V$3&gt;(A5stdlife+$E137),('PTRM input'!$N$147*(1+rvanilla08)^0.5)-SUM($N137:U137),('PTRM input'!$N$147*(1+rvanilla08)^0.5)/A5stdlife))</f>
        <v>0</v>
      </c>
      <c r="W137" s="107">
        <f>IF(A5stdlife="n/a","n/a",IF(W$3&gt;(A5stdlife+$E137),('PTRM input'!$N$147*(1+rvanilla08)^0.5)-SUM($N137:V137),('PTRM input'!$N$147*(1+rvanilla08)^0.5)/A5stdlife))</f>
        <v>0</v>
      </c>
      <c r="X137" s="107">
        <f>IF(A5stdlife="n/a","n/a",IF(X$3&gt;(A5stdlife+$E137),('PTRM input'!$N$147*(1+rvanilla08)^0.5)-SUM($N137:W137),('PTRM input'!$N$147*(1+rvanilla08)^0.5)/A5stdlife))</f>
        <v>0</v>
      </c>
      <c r="Y137" s="107">
        <f>IF(A5stdlife="n/a","n/a",IF(Y$3&gt;(A5stdlife+$E137),('PTRM input'!$N$147*(1+rvanilla08)^0.5)-SUM($N137:X137),('PTRM input'!$N$147*(1+rvanilla08)^0.5)/A5stdlife))</f>
        <v>0</v>
      </c>
      <c r="Z137" s="107">
        <f>IF(A5stdlife="n/a","n/a",IF(Z$3&gt;(A5stdlife+$E137),('PTRM input'!$N$147*(1+rvanilla08)^0.5)-SUM($N137:Y137),('PTRM input'!$N$147*(1+rvanilla08)^0.5)/A5stdlife))</f>
        <v>0</v>
      </c>
      <c r="AA137" s="107">
        <f>IF(A5stdlife="n/a","n/a",IF(AA$3&gt;(A5stdlife+$E137),('PTRM input'!$N$147*(1+rvanilla08)^0.5)-SUM($N137:Z137),('PTRM input'!$N$147*(1+rvanilla08)^0.5)/A5stdlife))</f>
        <v>0</v>
      </c>
      <c r="AB137" s="107">
        <f>IF(A5stdlife="n/a","n/a",IF(AB$3&gt;(A5stdlife+$E137),('PTRM input'!$N$147*(1+rvanilla08)^0.5)-SUM($N137:AA137),('PTRM input'!$N$147*(1+rvanilla08)^0.5)/A5stdlife))</f>
        <v>0</v>
      </c>
      <c r="AC137" s="107">
        <f>IF(A5stdlife="n/a","n/a",IF(AC$3&gt;(A5stdlife+$E137),('PTRM input'!$N$147*(1+rvanilla08)^0.5)-SUM($N137:AB137),('PTRM input'!$N$147*(1+rvanilla08)^0.5)/A5stdlife))</f>
        <v>0</v>
      </c>
      <c r="AD137" s="107">
        <f>IF(A5stdlife="n/a","n/a",IF(AD$3&gt;(A5stdlife+$E137),('PTRM input'!$N$147*(1+rvanilla08)^0.5)-SUM($N137:AC137),('PTRM input'!$N$147*(1+rvanilla08)^0.5)/A5stdlife))</f>
        <v>0</v>
      </c>
      <c r="AE137" s="107">
        <f>IF(A5stdlife="n/a","n/a",IF(AE$3&gt;(A5stdlife+$E137),('PTRM input'!$N$147*(1+rvanilla08)^0.5)-SUM($N137:AD137),('PTRM input'!$N$147*(1+rvanilla08)^0.5)/A5stdlife))</f>
        <v>0</v>
      </c>
      <c r="AF137" s="107">
        <f>IF(A5stdlife="n/a","n/a",IF(AF$3&gt;(A5stdlife+$E137),('PTRM input'!$N$147*(1+rvanilla08)^0.5)-SUM($N137:AE137),('PTRM input'!$N$147*(1+rvanilla08)^0.5)/A5stdlife))</f>
        <v>0</v>
      </c>
      <c r="AG137" s="107">
        <f>IF(A5stdlife="n/a","n/a",IF(AG$3&gt;(A5stdlife+$E137),('PTRM input'!$N$147*(1+rvanilla08)^0.5)-SUM($N137:AF137),('PTRM input'!$N$147*(1+rvanilla08)^0.5)/A5stdlife))</f>
        <v>0</v>
      </c>
      <c r="AH137" s="107">
        <f>IF(A5stdlife="n/a","n/a",IF(AH$3&gt;(A5stdlife+$E137),('PTRM input'!$N$147*(1+rvanilla08)^0.5)-SUM($N137:AG137),('PTRM input'!$N$147*(1+rvanilla08)^0.5)/A5stdlife))</f>
        <v>0</v>
      </c>
      <c r="AI137" s="107">
        <f>IF(A5stdlife="n/a","n/a",IF(AI$3&gt;(A5stdlife+$E137),('PTRM input'!$N$147*(1+rvanilla08)^0.5)-SUM($N137:AH137),('PTRM input'!$N$147*(1+rvanilla08)^0.5)/A5stdlife))</f>
        <v>0</v>
      </c>
      <c r="AJ137" s="107">
        <f>IF(A5stdlife="n/a","n/a",IF(AJ$3&gt;(A5stdlife+$E137),('PTRM input'!$N$147*(1+rvanilla08)^0.5)-SUM($N137:AI137),('PTRM input'!$N$147*(1+rvanilla08)^0.5)/A5stdlife))</f>
        <v>0</v>
      </c>
      <c r="AK137" s="107">
        <f>IF(A5stdlife="n/a","n/a",IF(AK$3&gt;(A5stdlife+$E137),('PTRM input'!$N$147*(1+rvanilla08)^0.5)-SUM($N137:AJ137),('PTRM input'!$N$147*(1+rvanilla08)^0.5)/A5stdlife))</f>
        <v>0</v>
      </c>
      <c r="AL137" s="107">
        <f>IF(A5stdlife="n/a","n/a",IF(AL$3&gt;(A5stdlife+$E137),('PTRM input'!$N$147*(1+rvanilla08)^0.5)-SUM($N137:AK137),('PTRM input'!$N$147*(1+rvanilla08)^0.5)/A5stdlife))</f>
        <v>0</v>
      </c>
      <c r="AM137" s="107">
        <f>IF(A5stdlife="n/a","n/a",IF(AM$3&gt;(A5stdlife+$E137),('PTRM input'!$N$147*(1+rvanilla08)^0.5)-SUM($N137:AL137),('PTRM input'!$N$147*(1+rvanilla08)^0.5)/A5stdlife))</f>
        <v>0</v>
      </c>
      <c r="AN137" s="107">
        <f>IF(A5stdlife="n/a","n/a",IF(AN$3&gt;(A5stdlife+$E137),('PTRM input'!$N$147*(1+rvanilla08)^0.5)-SUM($N137:AM137),('PTRM input'!$N$147*(1+rvanilla08)^0.5)/A5stdlife))</f>
        <v>0</v>
      </c>
      <c r="AO137" s="107">
        <f>IF(A5stdlife="n/a","n/a",IF(AO$3&gt;(A5stdlife+$E137),('PTRM input'!$N$147*(1+rvanilla08)^0.5)-SUM($N137:AN137),('PTRM input'!$N$147*(1+rvanilla08)^0.5)/A5stdlife))</f>
        <v>0</v>
      </c>
      <c r="AP137" s="107">
        <f>IF(A5stdlife="n/a","n/a",IF(AP$3&gt;(A5stdlife+$E137),('PTRM input'!$N$147*(1+rvanilla08)^0.5)-SUM($N137:AO137),('PTRM input'!$N$147*(1+rvanilla08)^0.5)/A5stdlife))</f>
        <v>0</v>
      </c>
      <c r="AQ137" s="107">
        <f>IF(A5stdlife="n/a","n/a",IF(AQ$3&gt;(A5stdlife+$E137),('PTRM input'!$N$147*(1+rvanilla08)^0.5)-SUM($N137:AP137),('PTRM input'!$N$147*(1+rvanilla08)^0.5)/A5stdlife))</f>
        <v>0</v>
      </c>
      <c r="AR137" s="107">
        <f>IF(A5stdlife="n/a","n/a",IF(AR$3&gt;(A5stdlife+$E137),('PTRM input'!$N$147*(1+rvanilla08)^0.5)-SUM($N137:AQ137),('PTRM input'!$N$147*(1+rvanilla08)^0.5)/A5stdlife))</f>
        <v>0</v>
      </c>
      <c r="AS137" s="107">
        <f>IF(A5stdlife="n/a","n/a",IF(AS$3&gt;(A5stdlife+$E137),('PTRM input'!$N$147*(1+rvanilla08)^0.5)-SUM($N137:AR137),('PTRM input'!$N$147*(1+rvanilla08)^0.5)/A5stdlife))</f>
        <v>0</v>
      </c>
      <c r="AT137" s="107">
        <f>IF(A5stdlife="n/a","n/a",IF(AT$3&gt;(A5stdlife+$E137),('PTRM input'!$N$147*(1+rvanilla08)^0.5)-SUM($N137:AS137),('PTRM input'!$N$147*(1+rvanilla08)^0.5)/A5stdlife))</f>
        <v>0</v>
      </c>
      <c r="AU137" s="107">
        <f>IF(A5stdlife="n/a","n/a",IF(AU$3&gt;(A5stdlife+$E137),('PTRM input'!$N$147*(1+rvanilla08)^0.5)-SUM($N137:AT137),('PTRM input'!$N$147*(1+rvanilla08)^0.5)/A5stdlife))</f>
        <v>0</v>
      </c>
      <c r="AV137" s="107">
        <f>IF(A5stdlife="n/a","n/a",IF(AV$3&gt;(A5stdlife+$E137),('PTRM input'!$N$147*(1+rvanilla08)^0.5)-SUM($N137:AU137),('PTRM input'!$N$147*(1+rvanilla08)^0.5)/A5stdlife))</f>
        <v>0</v>
      </c>
      <c r="AW137" s="107">
        <f>IF(A5stdlife="n/a","n/a",IF(AW$3&gt;(A5stdlife+$E137),('PTRM input'!$N$147*(1+rvanilla08)^0.5)-SUM($N137:AV137),('PTRM input'!$N$147*(1+rvanilla08)^0.5)/A5stdlife))</f>
        <v>0</v>
      </c>
      <c r="AX137" s="107">
        <f>IF(A5stdlife="n/a","n/a",IF(AX$3&gt;(A5stdlife+$E137),('PTRM input'!$N$147*(1+rvanilla08)^0.5)-SUM($N137:AW137),('PTRM input'!$N$147*(1+rvanilla08)^0.5)/A5stdlife))</f>
        <v>0</v>
      </c>
      <c r="AY137" s="107">
        <f>IF(A5stdlife="n/a","n/a",IF(AY$3&gt;(A5stdlife+$E137),('PTRM input'!$N$147*(1+rvanilla08)^0.5)-SUM($N137:AX137),('PTRM input'!$N$147*(1+rvanilla08)^0.5)/A5stdlife))</f>
        <v>0</v>
      </c>
      <c r="AZ137" s="107">
        <f>IF(A5stdlife="n/a","n/a",IF(AZ$3&gt;(A5stdlife+$E137),('PTRM input'!$N$147*(1+rvanilla08)^0.5)-SUM($N137:AY137),('PTRM input'!$N$147*(1+rvanilla08)^0.5)/A5stdlife))</f>
        <v>0</v>
      </c>
      <c r="BA137" s="107">
        <f>IF(A5stdlife="n/a","n/a",IF(BA$3&gt;(A5stdlife+$E137),('PTRM input'!$N$147*(1+rvanilla08)^0.5)-SUM($N137:AZ137),('PTRM input'!$N$147*(1+rvanilla08)^0.5)/A5stdlife))</f>
        <v>0</v>
      </c>
      <c r="BB137" s="107">
        <f>IF(A5stdlife="n/a","n/a",IF(BB$3&gt;(A5stdlife+$E137),('PTRM input'!$N$147*(1+rvanilla08)^0.5)-SUM($N137:BA137),('PTRM input'!$N$147*(1+rvanilla08)^0.5)/A5stdlife))</f>
        <v>0</v>
      </c>
      <c r="BC137" s="107">
        <f>IF(A5stdlife="n/a","n/a",IF(BC$3&gt;(A5stdlife+$E137),('PTRM input'!$N$147*(1+rvanilla08)^0.5)-SUM($N137:BB137),('PTRM input'!$N$147*(1+rvanilla08)^0.5)/A5stdlife))</f>
        <v>0</v>
      </c>
      <c r="BD137" s="107">
        <f>IF(A5stdlife="n/a","n/a",IF(BD$3&gt;(A5stdlife+$E137),('PTRM input'!$N$147*(1+rvanilla08)^0.5)-SUM($N137:BC137),('PTRM input'!$N$147*(1+rvanilla08)^0.5)/A5stdlife))</f>
        <v>0</v>
      </c>
      <c r="BE137" s="107">
        <f>IF(A5stdlife="n/a","n/a",IF(BE$3&gt;(A5stdlife+$E137),('PTRM input'!$N$147*(1+rvanilla08)^0.5)-SUM($N137:BD137),('PTRM input'!$N$147*(1+rvanilla08)^0.5)/A5stdlife))</f>
        <v>0</v>
      </c>
      <c r="BF137" s="107">
        <f>IF(A5stdlife="n/a","n/a",IF(BF$3&gt;(A5stdlife+$E137),('PTRM input'!$N$147*(1+rvanilla08)^0.5)-SUM($N137:BE137),('PTRM input'!$N$147*(1+rvanilla08)^0.5)/A5stdlife))</f>
        <v>0</v>
      </c>
      <c r="BG137" s="107">
        <f>IF(A5stdlife="n/a","n/a",IF(BG$3&gt;(A5stdlife+$E137),('PTRM input'!$N$147*(1+rvanilla08)^0.5)-SUM($N137:BF137),('PTRM input'!$N$147*(1+rvanilla08)^0.5)/A5stdlife))</f>
        <v>0</v>
      </c>
      <c r="BH137" s="107">
        <f>IF(A5stdlife="n/a","n/a",IF(BH$3&gt;(A5stdlife+$E137),('PTRM input'!$N$147*(1+rvanilla08)^0.5)-SUM($N137:BG137),('PTRM input'!$N$147*(1+rvanilla08)^0.5)/A5stdlife))</f>
        <v>0</v>
      </c>
      <c r="BI137" s="107">
        <f>IF(A5stdlife="n/a","n/a",IF(BI$3&gt;(A5stdlife+$E137),('PTRM input'!$N$147*(1+rvanilla08)^0.5)-SUM($N137:BH137),('PTRM input'!$N$147*(1+rvanilla08)^0.5)/A5stdlife))</f>
        <v>0</v>
      </c>
      <c r="BJ137" s="237"/>
      <c r="BK137" s="237"/>
      <c r="BL137" s="237"/>
      <c r="BM137" s="237"/>
    </row>
    <row r="138" spans="1:65" s="190" customFormat="1" hidden="1" outlineLevel="2">
      <c r="A138" s="237"/>
      <c r="B138" s="33"/>
      <c r="C138" s="32"/>
      <c r="D138" s="1618"/>
      <c r="E138" s="169">
        <v>9</v>
      </c>
      <c r="F138" s="35"/>
      <c r="G138" s="184"/>
      <c r="H138" s="186"/>
      <c r="I138" s="186"/>
      <c r="J138" s="186"/>
      <c r="K138" s="186"/>
      <c r="L138" s="186"/>
      <c r="M138" s="186"/>
      <c r="N138" s="186"/>
      <c r="O138" s="185"/>
      <c r="P138" s="107">
        <f>IF(A5stdlife="n/a","n/a",IF(P$3&gt;(A5stdlife+$E138),('PTRM input'!$O$147*(1+rvanilla09)^0.5)-SUM($O138:O138),('PTRM input'!$O$147*(1+rvanilla09)^0.5)/A5stdlife))</f>
        <v>0</v>
      </c>
      <c r="Q138" s="107">
        <f>IF(A5stdlife="n/a","n/a",IF(Q$3&gt;(A5stdlife+$E138),('PTRM input'!$O$147*(1+rvanilla09)^0.5)-SUM($O138:P138),('PTRM input'!$O$147*(1+rvanilla09)^0.5)/A5stdlife))</f>
        <v>0</v>
      </c>
      <c r="R138" s="107">
        <f>IF(A5stdlife="n/a","n/a",IF(R$3&gt;(A5stdlife+$E138),('PTRM input'!$O$147*(1+rvanilla09)^0.5)-SUM($O138:Q138),('PTRM input'!$O$147*(1+rvanilla09)^0.5)/A5stdlife))</f>
        <v>0</v>
      </c>
      <c r="S138" s="107">
        <f>IF(A5stdlife="n/a","n/a",IF(S$3&gt;(A5stdlife+$E138),('PTRM input'!$O$147*(1+rvanilla09)^0.5)-SUM($O138:R138),('PTRM input'!$O$147*(1+rvanilla09)^0.5)/A5stdlife))</f>
        <v>0</v>
      </c>
      <c r="T138" s="107">
        <f>IF(A5stdlife="n/a","n/a",IF(T$3&gt;(A5stdlife+$E138),('PTRM input'!$O$147*(1+rvanilla09)^0.5)-SUM($O138:S138),('PTRM input'!$O$147*(1+rvanilla09)^0.5)/A5stdlife))</f>
        <v>0</v>
      </c>
      <c r="U138" s="107">
        <f>IF(A5stdlife="n/a","n/a",IF(U$3&gt;(A5stdlife+$E138),('PTRM input'!$O$147*(1+rvanilla09)^0.5)-SUM($O138:T138),('PTRM input'!$O$147*(1+rvanilla09)^0.5)/A5stdlife))</f>
        <v>0</v>
      </c>
      <c r="V138" s="107">
        <f>IF(A5stdlife="n/a","n/a",IF(V$3&gt;(A5stdlife+$E138),('PTRM input'!$O$147*(1+rvanilla09)^0.5)-SUM($O138:U138),('PTRM input'!$O$147*(1+rvanilla09)^0.5)/A5stdlife))</f>
        <v>0</v>
      </c>
      <c r="W138" s="107">
        <f>IF(A5stdlife="n/a","n/a",IF(W$3&gt;(A5stdlife+$E138),('PTRM input'!$O$147*(1+rvanilla09)^0.5)-SUM($O138:V138),('PTRM input'!$O$147*(1+rvanilla09)^0.5)/A5stdlife))</f>
        <v>0</v>
      </c>
      <c r="X138" s="107">
        <f>IF(A5stdlife="n/a","n/a",IF(X$3&gt;(A5stdlife+$E138),('PTRM input'!$O$147*(1+rvanilla09)^0.5)-SUM($O138:W138),('PTRM input'!$O$147*(1+rvanilla09)^0.5)/A5stdlife))</f>
        <v>0</v>
      </c>
      <c r="Y138" s="107">
        <f>IF(A5stdlife="n/a","n/a",IF(Y$3&gt;(A5stdlife+$E138),('PTRM input'!$O$147*(1+rvanilla09)^0.5)-SUM($O138:X138),('PTRM input'!$O$147*(1+rvanilla09)^0.5)/A5stdlife))</f>
        <v>0</v>
      </c>
      <c r="Z138" s="107">
        <f>IF(A5stdlife="n/a","n/a",IF(Z$3&gt;(A5stdlife+$E138),('PTRM input'!$O$147*(1+rvanilla09)^0.5)-SUM($O138:Y138),('PTRM input'!$O$147*(1+rvanilla09)^0.5)/A5stdlife))</f>
        <v>0</v>
      </c>
      <c r="AA138" s="107">
        <f>IF(A5stdlife="n/a","n/a",IF(AA$3&gt;(A5stdlife+$E138),('PTRM input'!$O$147*(1+rvanilla09)^0.5)-SUM($O138:Z138),('PTRM input'!$O$147*(1+rvanilla09)^0.5)/A5stdlife))</f>
        <v>0</v>
      </c>
      <c r="AB138" s="107">
        <f>IF(A5stdlife="n/a","n/a",IF(AB$3&gt;(A5stdlife+$E138),('PTRM input'!$O$147*(1+rvanilla09)^0.5)-SUM($O138:AA138),('PTRM input'!$O$147*(1+rvanilla09)^0.5)/A5stdlife))</f>
        <v>0</v>
      </c>
      <c r="AC138" s="107">
        <f>IF(A5stdlife="n/a","n/a",IF(AC$3&gt;(A5stdlife+$E138),('PTRM input'!$O$147*(1+rvanilla09)^0.5)-SUM($O138:AB138),('PTRM input'!$O$147*(1+rvanilla09)^0.5)/A5stdlife))</f>
        <v>0</v>
      </c>
      <c r="AD138" s="107">
        <f>IF(A5stdlife="n/a","n/a",IF(AD$3&gt;(A5stdlife+$E138),('PTRM input'!$O$147*(1+rvanilla09)^0.5)-SUM($O138:AC138),('PTRM input'!$O$147*(1+rvanilla09)^0.5)/A5stdlife))</f>
        <v>0</v>
      </c>
      <c r="AE138" s="107">
        <f>IF(A5stdlife="n/a","n/a",IF(AE$3&gt;(A5stdlife+$E138),('PTRM input'!$O$147*(1+rvanilla09)^0.5)-SUM($O138:AD138),('PTRM input'!$O$147*(1+rvanilla09)^0.5)/A5stdlife))</f>
        <v>0</v>
      </c>
      <c r="AF138" s="107">
        <f>IF(A5stdlife="n/a","n/a",IF(AF$3&gt;(A5stdlife+$E138),('PTRM input'!$O$147*(1+rvanilla09)^0.5)-SUM($O138:AE138),('PTRM input'!$O$147*(1+rvanilla09)^0.5)/A5stdlife))</f>
        <v>0</v>
      </c>
      <c r="AG138" s="107">
        <f>IF(A5stdlife="n/a","n/a",IF(AG$3&gt;(A5stdlife+$E138),('PTRM input'!$O$147*(1+rvanilla09)^0.5)-SUM($O138:AF138),('PTRM input'!$O$147*(1+rvanilla09)^0.5)/A5stdlife))</f>
        <v>0</v>
      </c>
      <c r="AH138" s="107">
        <f>IF(A5stdlife="n/a","n/a",IF(AH$3&gt;(A5stdlife+$E138),('PTRM input'!$O$147*(1+rvanilla09)^0.5)-SUM($O138:AG138),('PTRM input'!$O$147*(1+rvanilla09)^0.5)/A5stdlife))</f>
        <v>0</v>
      </c>
      <c r="AI138" s="107">
        <f>IF(A5stdlife="n/a","n/a",IF(AI$3&gt;(A5stdlife+$E138),('PTRM input'!$O$147*(1+rvanilla09)^0.5)-SUM($O138:AH138),('PTRM input'!$O$147*(1+rvanilla09)^0.5)/A5stdlife))</f>
        <v>0</v>
      </c>
      <c r="AJ138" s="107">
        <f>IF(A5stdlife="n/a","n/a",IF(AJ$3&gt;(A5stdlife+$E138),('PTRM input'!$O$147*(1+rvanilla09)^0.5)-SUM($O138:AI138),('PTRM input'!$O$147*(1+rvanilla09)^0.5)/A5stdlife))</f>
        <v>0</v>
      </c>
      <c r="AK138" s="107">
        <f>IF(A5stdlife="n/a","n/a",IF(AK$3&gt;(A5stdlife+$E138),('PTRM input'!$O$147*(1+rvanilla09)^0.5)-SUM($O138:AJ138),('PTRM input'!$O$147*(1+rvanilla09)^0.5)/A5stdlife))</f>
        <v>0</v>
      </c>
      <c r="AL138" s="107">
        <f>IF(A5stdlife="n/a","n/a",IF(AL$3&gt;(A5stdlife+$E138),('PTRM input'!$O$147*(1+rvanilla09)^0.5)-SUM($O138:AK138),('PTRM input'!$O$147*(1+rvanilla09)^0.5)/A5stdlife))</f>
        <v>0</v>
      </c>
      <c r="AM138" s="107">
        <f>IF(A5stdlife="n/a","n/a",IF(AM$3&gt;(A5stdlife+$E138),('PTRM input'!$O$147*(1+rvanilla09)^0.5)-SUM($O138:AL138),('PTRM input'!$O$147*(1+rvanilla09)^0.5)/A5stdlife))</f>
        <v>0</v>
      </c>
      <c r="AN138" s="107">
        <f>IF(A5stdlife="n/a","n/a",IF(AN$3&gt;(A5stdlife+$E138),('PTRM input'!$O$147*(1+rvanilla09)^0.5)-SUM($O138:AM138),('PTRM input'!$O$147*(1+rvanilla09)^0.5)/A5stdlife))</f>
        <v>0</v>
      </c>
      <c r="AO138" s="107">
        <f>IF(A5stdlife="n/a","n/a",IF(AO$3&gt;(A5stdlife+$E138),('PTRM input'!$O$147*(1+rvanilla09)^0.5)-SUM($O138:AN138),('PTRM input'!$O$147*(1+rvanilla09)^0.5)/A5stdlife))</f>
        <v>0</v>
      </c>
      <c r="AP138" s="107">
        <f>IF(A5stdlife="n/a","n/a",IF(AP$3&gt;(A5stdlife+$E138),('PTRM input'!$O$147*(1+rvanilla09)^0.5)-SUM($O138:AO138),('PTRM input'!$O$147*(1+rvanilla09)^0.5)/A5stdlife))</f>
        <v>0</v>
      </c>
      <c r="AQ138" s="107">
        <f>IF(A5stdlife="n/a","n/a",IF(AQ$3&gt;(A5stdlife+$E138),('PTRM input'!$O$147*(1+rvanilla09)^0.5)-SUM($O138:AP138),('PTRM input'!$O$147*(1+rvanilla09)^0.5)/A5stdlife))</f>
        <v>0</v>
      </c>
      <c r="AR138" s="107">
        <f>IF(A5stdlife="n/a","n/a",IF(AR$3&gt;(A5stdlife+$E138),('PTRM input'!$O$147*(1+rvanilla09)^0.5)-SUM($O138:AQ138),('PTRM input'!$O$147*(1+rvanilla09)^0.5)/A5stdlife))</f>
        <v>0</v>
      </c>
      <c r="AS138" s="107">
        <f>IF(A5stdlife="n/a","n/a",IF(AS$3&gt;(A5stdlife+$E138),('PTRM input'!$O$147*(1+rvanilla09)^0.5)-SUM($O138:AR138),('PTRM input'!$O$147*(1+rvanilla09)^0.5)/A5stdlife))</f>
        <v>0</v>
      </c>
      <c r="AT138" s="107">
        <f>IF(A5stdlife="n/a","n/a",IF(AT$3&gt;(A5stdlife+$E138),('PTRM input'!$O$147*(1+rvanilla09)^0.5)-SUM($O138:AS138),('PTRM input'!$O$147*(1+rvanilla09)^0.5)/A5stdlife))</f>
        <v>0</v>
      </c>
      <c r="AU138" s="107">
        <f>IF(A5stdlife="n/a","n/a",IF(AU$3&gt;(A5stdlife+$E138),('PTRM input'!$O$147*(1+rvanilla09)^0.5)-SUM($O138:AT138),('PTRM input'!$O$147*(1+rvanilla09)^0.5)/A5stdlife))</f>
        <v>0</v>
      </c>
      <c r="AV138" s="107">
        <f>IF(A5stdlife="n/a","n/a",IF(AV$3&gt;(A5stdlife+$E138),('PTRM input'!$O$147*(1+rvanilla09)^0.5)-SUM($O138:AU138),('PTRM input'!$O$147*(1+rvanilla09)^0.5)/A5stdlife))</f>
        <v>0</v>
      </c>
      <c r="AW138" s="107">
        <f>IF(A5stdlife="n/a","n/a",IF(AW$3&gt;(A5stdlife+$E138),('PTRM input'!$O$147*(1+rvanilla09)^0.5)-SUM($O138:AV138),('PTRM input'!$O$147*(1+rvanilla09)^0.5)/A5stdlife))</f>
        <v>0</v>
      </c>
      <c r="AX138" s="107">
        <f>IF(A5stdlife="n/a","n/a",IF(AX$3&gt;(A5stdlife+$E138),('PTRM input'!$O$147*(1+rvanilla09)^0.5)-SUM($O138:AW138),('PTRM input'!$O$147*(1+rvanilla09)^0.5)/A5stdlife))</f>
        <v>0</v>
      </c>
      <c r="AY138" s="107">
        <f>IF(A5stdlife="n/a","n/a",IF(AY$3&gt;(A5stdlife+$E138),('PTRM input'!$O$147*(1+rvanilla09)^0.5)-SUM($O138:AX138),('PTRM input'!$O$147*(1+rvanilla09)^0.5)/A5stdlife))</f>
        <v>0</v>
      </c>
      <c r="AZ138" s="107">
        <f>IF(A5stdlife="n/a","n/a",IF(AZ$3&gt;(A5stdlife+$E138),('PTRM input'!$O$147*(1+rvanilla09)^0.5)-SUM($O138:AY138),('PTRM input'!$O$147*(1+rvanilla09)^0.5)/A5stdlife))</f>
        <v>0</v>
      </c>
      <c r="BA138" s="107">
        <f>IF(A5stdlife="n/a","n/a",IF(BA$3&gt;(A5stdlife+$E138),('PTRM input'!$O$147*(1+rvanilla09)^0.5)-SUM($O138:AZ138),('PTRM input'!$O$147*(1+rvanilla09)^0.5)/A5stdlife))</f>
        <v>0</v>
      </c>
      <c r="BB138" s="107">
        <f>IF(A5stdlife="n/a","n/a",IF(BB$3&gt;(A5stdlife+$E138),('PTRM input'!$O$147*(1+rvanilla09)^0.5)-SUM($O138:BA138),('PTRM input'!$O$147*(1+rvanilla09)^0.5)/A5stdlife))</f>
        <v>0</v>
      </c>
      <c r="BC138" s="107">
        <f>IF(A5stdlife="n/a","n/a",IF(BC$3&gt;(A5stdlife+$E138),('PTRM input'!$O$147*(1+rvanilla09)^0.5)-SUM($O138:BB138),('PTRM input'!$O$147*(1+rvanilla09)^0.5)/A5stdlife))</f>
        <v>0</v>
      </c>
      <c r="BD138" s="107">
        <f>IF(A5stdlife="n/a","n/a",IF(BD$3&gt;(A5stdlife+$E138),('PTRM input'!$O$147*(1+rvanilla09)^0.5)-SUM($O138:BC138),('PTRM input'!$O$147*(1+rvanilla09)^0.5)/A5stdlife))</f>
        <v>0</v>
      </c>
      <c r="BE138" s="107">
        <f>IF(A5stdlife="n/a","n/a",IF(BE$3&gt;(A5stdlife+$E138),('PTRM input'!$O$147*(1+rvanilla09)^0.5)-SUM($O138:BD138),('PTRM input'!$O$147*(1+rvanilla09)^0.5)/A5stdlife))</f>
        <v>0</v>
      </c>
      <c r="BF138" s="107">
        <f>IF(A5stdlife="n/a","n/a",IF(BF$3&gt;(A5stdlife+$E138),('PTRM input'!$O$147*(1+rvanilla09)^0.5)-SUM($O138:BE138),('PTRM input'!$O$147*(1+rvanilla09)^0.5)/A5stdlife))</f>
        <v>0</v>
      </c>
      <c r="BG138" s="107">
        <f>IF(A5stdlife="n/a","n/a",IF(BG$3&gt;(A5stdlife+$E138),('PTRM input'!$O$147*(1+rvanilla09)^0.5)-SUM($O138:BF138),('PTRM input'!$O$147*(1+rvanilla09)^0.5)/A5stdlife))</f>
        <v>0</v>
      </c>
      <c r="BH138" s="107">
        <f>IF(A5stdlife="n/a","n/a",IF(BH$3&gt;(A5stdlife+$E138),('PTRM input'!$O$147*(1+rvanilla09)^0.5)-SUM($O138:BG138),('PTRM input'!$O$147*(1+rvanilla09)^0.5)/A5stdlife))</f>
        <v>0</v>
      </c>
      <c r="BI138" s="107">
        <f>IF(A5stdlife="n/a","n/a",IF(BI$3&gt;(A5stdlife+$E138),('PTRM input'!$O$147*(1+rvanilla09)^0.5)-SUM($O138:BH138),('PTRM input'!$O$147*(1+rvanilla09)^0.5)/A5stdlife))</f>
        <v>0</v>
      </c>
      <c r="BJ138" s="237"/>
      <c r="BK138" s="237"/>
      <c r="BL138" s="237"/>
      <c r="BM138" s="237"/>
    </row>
    <row r="139" spans="1:65" s="190" customFormat="1" hidden="1" outlineLevel="2">
      <c r="A139" s="237"/>
      <c r="B139" s="33"/>
      <c r="C139" s="32"/>
      <c r="D139" s="1618"/>
      <c r="E139" s="170">
        <v>10</v>
      </c>
      <c r="F139" s="35"/>
      <c r="G139" s="184"/>
      <c r="H139" s="186"/>
      <c r="I139" s="186"/>
      <c r="J139" s="186"/>
      <c r="K139" s="186"/>
      <c r="L139" s="186"/>
      <c r="M139" s="186"/>
      <c r="N139" s="186"/>
      <c r="O139" s="186"/>
      <c r="P139" s="185"/>
      <c r="Q139" s="107">
        <f>IF(A5stdlife="n/a","n/a",IF(Q$3&gt;(A5stdlife+$E139),('PTRM input'!$P$147*(1+rvanilla10)^0.5)-SUM($P139:P139),('PTRM input'!$P$147*(1+rvanilla10)^0.5)/A5stdlife))</f>
        <v>0</v>
      </c>
      <c r="R139" s="107">
        <f>IF(A5stdlife="n/a","n/a",IF(R$3&gt;(A5stdlife+$E139),('PTRM input'!$P$147*(1+rvanilla10)^0.5)-SUM($P139:Q139),('PTRM input'!$P$147*(1+rvanilla10)^0.5)/A5stdlife))</f>
        <v>0</v>
      </c>
      <c r="S139" s="107">
        <f>IF(A5stdlife="n/a","n/a",IF(S$3&gt;(A5stdlife+$E139),('PTRM input'!$P$147*(1+rvanilla10)^0.5)-SUM($P139:R139),('PTRM input'!$P$147*(1+rvanilla10)^0.5)/A5stdlife))</f>
        <v>0</v>
      </c>
      <c r="T139" s="107">
        <f>IF(A5stdlife="n/a","n/a",IF(T$3&gt;(A5stdlife+$E139),('PTRM input'!$P$147*(1+rvanilla10)^0.5)-SUM($P139:S139),('PTRM input'!$P$147*(1+rvanilla10)^0.5)/A5stdlife))</f>
        <v>0</v>
      </c>
      <c r="U139" s="107">
        <f>IF(A5stdlife="n/a","n/a",IF(U$3&gt;(A5stdlife+$E139),('PTRM input'!$P$147*(1+rvanilla10)^0.5)-SUM($P139:T139),('PTRM input'!$P$147*(1+rvanilla10)^0.5)/A5stdlife))</f>
        <v>0</v>
      </c>
      <c r="V139" s="107">
        <f>IF(A5stdlife="n/a","n/a",IF(V$3&gt;(A5stdlife+$E139),('PTRM input'!$P$147*(1+rvanilla10)^0.5)-SUM($P139:U139),('PTRM input'!$P$147*(1+rvanilla10)^0.5)/A5stdlife))</f>
        <v>0</v>
      </c>
      <c r="W139" s="107">
        <f>IF(A5stdlife="n/a","n/a",IF(W$3&gt;(A5stdlife+$E139),('PTRM input'!$P$147*(1+rvanilla10)^0.5)-SUM($P139:V139),('PTRM input'!$P$147*(1+rvanilla10)^0.5)/A5stdlife))</f>
        <v>0</v>
      </c>
      <c r="X139" s="107">
        <f>IF(A5stdlife="n/a","n/a",IF(X$3&gt;(A5stdlife+$E139),('PTRM input'!$P$147*(1+rvanilla10)^0.5)-SUM($P139:W139),('PTRM input'!$P$147*(1+rvanilla10)^0.5)/A5stdlife))</f>
        <v>0</v>
      </c>
      <c r="Y139" s="107">
        <f>IF(A5stdlife="n/a","n/a",IF(Y$3&gt;(A5stdlife+$E139),('PTRM input'!$P$147*(1+rvanilla10)^0.5)-SUM($P139:X139),('PTRM input'!$P$147*(1+rvanilla10)^0.5)/A5stdlife))</f>
        <v>0</v>
      </c>
      <c r="Z139" s="107">
        <f>IF(A5stdlife="n/a","n/a",IF(Z$3&gt;(A5stdlife+$E139),('PTRM input'!$P$147*(1+rvanilla10)^0.5)-SUM($P139:Y139),('PTRM input'!$P$147*(1+rvanilla10)^0.5)/A5stdlife))</f>
        <v>0</v>
      </c>
      <c r="AA139" s="107">
        <f>IF(A5stdlife="n/a","n/a",IF(AA$3&gt;(A5stdlife+$E139),('PTRM input'!$P$147*(1+rvanilla10)^0.5)-SUM($P139:Z139),('PTRM input'!$P$147*(1+rvanilla10)^0.5)/A5stdlife))</f>
        <v>0</v>
      </c>
      <c r="AB139" s="107">
        <f>IF(A5stdlife="n/a","n/a",IF(AB$3&gt;(A5stdlife+$E139),('PTRM input'!$P$147*(1+rvanilla10)^0.5)-SUM($P139:AA139),('PTRM input'!$P$147*(1+rvanilla10)^0.5)/A5stdlife))</f>
        <v>0</v>
      </c>
      <c r="AC139" s="107">
        <f>IF(A5stdlife="n/a","n/a",IF(AC$3&gt;(A5stdlife+$E139),('PTRM input'!$P$147*(1+rvanilla10)^0.5)-SUM($P139:AB139),('PTRM input'!$P$147*(1+rvanilla10)^0.5)/A5stdlife))</f>
        <v>0</v>
      </c>
      <c r="AD139" s="107">
        <f>IF(A5stdlife="n/a","n/a",IF(AD$3&gt;(A5stdlife+$E139),('PTRM input'!$P$147*(1+rvanilla10)^0.5)-SUM($P139:AC139),('PTRM input'!$P$147*(1+rvanilla10)^0.5)/A5stdlife))</f>
        <v>0</v>
      </c>
      <c r="AE139" s="107">
        <f>IF(A5stdlife="n/a","n/a",IF(AE$3&gt;(A5stdlife+$E139),('PTRM input'!$P$147*(1+rvanilla10)^0.5)-SUM($P139:AD139),('PTRM input'!$P$147*(1+rvanilla10)^0.5)/A5stdlife))</f>
        <v>0</v>
      </c>
      <c r="AF139" s="107">
        <f>IF(A5stdlife="n/a","n/a",IF(AF$3&gt;(A5stdlife+$E139),('PTRM input'!$P$147*(1+rvanilla10)^0.5)-SUM($P139:AE139),('PTRM input'!$P$147*(1+rvanilla10)^0.5)/A5stdlife))</f>
        <v>0</v>
      </c>
      <c r="AG139" s="107">
        <f>IF(A5stdlife="n/a","n/a",IF(AG$3&gt;(A5stdlife+$E139),('PTRM input'!$P$147*(1+rvanilla10)^0.5)-SUM($P139:AF139),('PTRM input'!$P$147*(1+rvanilla10)^0.5)/A5stdlife))</f>
        <v>0</v>
      </c>
      <c r="AH139" s="107">
        <f>IF(A5stdlife="n/a","n/a",IF(AH$3&gt;(A5stdlife+$E139),('PTRM input'!$P$147*(1+rvanilla10)^0.5)-SUM($P139:AG139),('PTRM input'!$P$147*(1+rvanilla10)^0.5)/A5stdlife))</f>
        <v>0</v>
      </c>
      <c r="AI139" s="107">
        <f>IF(A5stdlife="n/a","n/a",IF(AI$3&gt;(A5stdlife+$E139),('PTRM input'!$P$147*(1+rvanilla10)^0.5)-SUM($P139:AH139),('PTRM input'!$P$147*(1+rvanilla10)^0.5)/A5stdlife))</f>
        <v>0</v>
      </c>
      <c r="AJ139" s="107">
        <f>IF(A5stdlife="n/a","n/a",IF(AJ$3&gt;(A5stdlife+$E139),('PTRM input'!$P$147*(1+rvanilla10)^0.5)-SUM($P139:AI139),('PTRM input'!$P$147*(1+rvanilla10)^0.5)/A5stdlife))</f>
        <v>0</v>
      </c>
      <c r="AK139" s="107">
        <f>IF(A5stdlife="n/a","n/a",IF(AK$3&gt;(A5stdlife+$E139),('PTRM input'!$P$147*(1+rvanilla10)^0.5)-SUM($P139:AJ139),('PTRM input'!$P$147*(1+rvanilla10)^0.5)/A5stdlife))</f>
        <v>0</v>
      </c>
      <c r="AL139" s="107">
        <f>IF(A5stdlife="n/a","n/a",IF(AL$3&gt;(A5stdlife+$E139),('PTRM input'!$P$147*(1+rvanilla10)^0.5)-SUM($P139:AK139),('PTRM input'!$P$147*(1+rvanilla10)^0.5)/A5stdlife))</f>
        <v>0</v>
      </c>
      <c r="AM139" s="107">
        <f>IF(A5stdlife="n/a","n/a",IF(AM$3&gt;(A5stdlife+$E139),('PTRM input'!$P$147*(1+rvanilla10)^0.5)-SUM($P139:AL139),('PTRM input'!$P$147*(1+rvanilla10)^0.5)/A5stdlife))</f>
        <v>0</v>
      </c>
      <c r="AN139" s="107">
        <f>IF(A5stdlife="n/a","n/a",IF(AN$3&gt;(A5stdlife+$E139),('PTRM input'!$P$147*(1+rvanilla10)^0.5)-SUM($P139:AM139),('PTRM input'!$P$147*(1+rvanilla10)^0.5)/A5stdlife))</f>
        <v>0</v>
      </c>
      <c r="AO139" s="107">
        <f>IF(A5stdlife="n/a","n/a",IF(AO$3&gt;(A5stdlife+$E139),('PTRM input'!$P$147*(1+rvanilla10)^0.5)-SUM($P139:AN139),('PTRM input'!$P$147*(1+rvanilla10)^0.5)/A5stdlife))</f>
        <v>0</v>
      </c>
      <c r="AP139" s="107">
        <f>IF(A5stdlife="n/a","n/a",IF(AP$3&gt;(A5stdlife+$E139),('PTRM input'!$P$147*(1+rvanilla10)^0.5)-SUM($P139:AO139),('PTRM input'!$P$147*(1+rvanilla10)^0.5)/A5stdlife))</f>
        <v>0</v>
      </c>
      <c r="AQ139" s="107">
        <f>IF(A5stdlife="n/a","n/a",IF(AQ$3&gt;(A5stdlife+$E139),('PTRM input'!$P$147*(1+rvanilla10)^0.5)-SUM($P139:AP139),('PTRM input'!$P$147*(1+rvanilla10)^0.5)/A5stdlife))</f>
        <v>0</v>
      </c>
      <c r="AR139" s="107">
        <f>IF(A5stdlife="n/a","n/a",IF(AR$3&gt;(A5stdlife+$E139),('PTRM input'!$P$147*(1+rvanilla10)^0.5)-SUM($P139:AQ139),('PTRM input'!$P$147*(1+rvanilla10)^0.5)/A5stdlife))</f>
        <v>0</v>
      </c>
      <c r="AS139" s="107">
        <f>IF(A5stdlife="n/a","n/a",IF(AS$3&gt;(A5stdlife+$E139),('PTRM input'!$P$147*(1+rvanilla10)^0.5)-SUM($P139:AR139),('PTRM input'!$P$147*(1+rvanilla10)^0.5)/A5stdlife))</f>
        <v>0</v>
      </c>
      <c r="AT139" s="107">
        <f>IF(A5stdlife="n/a","n/a",IF(AT$3&gt;(A5stdlife+$E139),('PTRM input'!$P$147*(1+rvanilla10)^0.5)-SUM($P139:AS139),('PTRM input'!$P$147*(1+rvanilla10)^0.5)/A5stdlife))</f>
        <v>0</v>
      </c>
      <c r="AU139" s="107">
        <f>IF(A5stdlife="n/a","n/a",IF(AU$3&gt;(A5stdlife+$E139),('PTRM input'!$P$147*(1+rvanilla10)^0.5)-SUM($P139:AT139),('PTRM input'!$P$147*(1+rvanilla10)^0.5)/A5stdlife))</f>
        <v>0</v>
      </c>
      <c r="AV139" s="107">
        <f>IF(A5stdlife="n/a","n/a",IF(AV$3&gt;(A5stdlife+$E139),('PTRM input'!$P$147*(1+rvanilla10)^0.5)-SUM($P139:AU139),('PTRM input'!$P$147*(1+rvanilla10)^0.5)/A5stdlife))</f>
        <v>0</v>
      </c>
      <c r="AW139" s="107">
        <f>IF(A5stdlife="n/a","n/a",IF(AW$3&gt;(A5stdlife+$E139),('PTRM input'!$P$147*(1+rvanilla10)^0.5)-SUM($P139:AV139),('PTRM input'!$P$147*(1+rvanilla10)^0.5)/A5stdlife))</f>
        <v>0</v>
      </c>
      <c r="AX139" s="107">
        <f>IF(A5stdlife="n/a","n/a",IF(AX$3&gt;(A5stdlife+$E139),('PTRM input'!$P$147*(1+rvanilla10)^0.5)-SUM($P139:AW139),('PTRM input'!$P$147*(1+rvanilla10)^0.5)/A5stdlife))</f>
        <v>0</v>
      </c>
      <c r="AY139" s="107">
        <f>IF(A5stdlife="n/a","n/a",IF(AY$3&gt;(A5stdlife+$E139),('PTRM input'!$P$147*(1+rvanilla10)^0.5)-SUM($P139:AX139),('PTRM input'!$P$147*(1+rvanilla10)^0.5)/A5stdlife))</f>
        <v>0</v>
      </c>
      <c r="AZ139" s="107">
        <f>IF(A5stdlife="n/a","n/a",IF(AZ$3&gt;(A5stdlife+$E139),('PTRM input'!$P$147*(1+rvanilla10)^0.5)-SUM($P139:AY139),('PTRM input'!$P$147*(1+rvanilla10)^0.5)/A5stdlife))</f>
        <v>0</v>
      </c>
      <c r="BA139" s="107">
        <f>IF(A5stdlife="n/a","n/a",IF(BA$3&gt;(A5stdlife+$E139),('PTRM input'!$P$147*(1+rvanilla10)^0.5)-SUM($P139:AZ139),('PTRM input'!$P$147*(1+rvanilla10)^0.5)/A5stdlife))</f>
        <v>0</v>
      </c>
      <c r="BB139" s="107">
        <f>IF(A5stdlife="n/a","n/a",IF(BB$3&gt;(A5stdlife+$E139),('PTRM input'!$P$147*(1+rvanilla10)^0.5)-SUM($P139:BA139),('PTRM input'!$P$147*(1+rvanilla10)^0.5)/A5stdlife))</f>
        <v>0</v>
      </c>
      <c r="BC139" s="107">
        <f>IF(A5stdlife="n/a","n/a",IF(BC$3&gt;(A5stdlife+$E139),('PTRM input'!$P$147*(1+rvanilla10)^0.5)-SUM($P139:BB139),('PTRM input'!$P$147*(1+rvanilla10)^0.5)/A5stdlife))</f>
        <v>0</v>
      </c>
      <c r="BD139" s="107">
        <f>IF(A5stdlife="n/a","n/a",IF(BD$3&gt;(A5stdlife+$E139),('PTRM input'!$P$147*(1+rvanilla10)^0.5)-SUM($P139:BC139),('PTRM input'!$P$147*(1+rvanilla10)^0.5)/A5stdlife))</f>
        <v>0</v>
      </c>
      <c r="BE139" s="107">
        <f>IF(A5stdlife="n/a","n/a",IF(BE$3&gt;(A5stdlife+$E139),('PTRM input'!$P$147*(1+rvanilla10)^0.5)-SUM($P139:BD139),('PTRM input'!$P$147*(1+rvanilla10)^0.5)/A5stdlife))</f>
        <v>0</v>
      </c>
      <c r="BF139" s="107">
        <f>IF(A5stdlife="n/a","n/a",IF(BF$3&gt;(A5stdlife+$E139),('PTRM input'!$P$147*(1+rvanilla10)^0.5)-SUM($P139:BE139),('PTRM input'!$P$147*(1+rvanilla10)^0.5)/A5stdlife))</f>
        <v>0</v>
      </c>
      <c r="BG139" s="107">
        <f>IF(A5stdlife="n/a","n/a",IF(BG$3&gt;(A5stdlife+$E139),('PTRM input'!$P$147*(1+rvanilla10)^0.5)-SUM($P139:BF139),('PTRM input'!$P$147*(1+rvanilla10)^0.5)/A5stdlife))</f>
        <v>0</v>
      </c>
      <c r="BH139" s="107">
        <f>IF(A5stdlife="n/a","n/a",IF(BH$3&gt;(A5stdlife+$E139),('PTRM input'!$P$147*(1+rvanilla10)^0.5)-SUM($P139:BG139),('PTRM input'!$P$147*(1+rvanilla10)^0.5)/A5stdlife))</f>
        <v>0</v>
      </c>
      <c r="BI139" s="107">
        <f>IF(A5stdlife="n/a","n/a",IF(BI$3&gt;(A5stdlife+$E139),('PTRM input'!$P$147*(1+rvanilla10)^0.5)-SUM($P139:BH139),('PTRM input'!$P$147*(1+rvanilla10)^0.5)/A5stdlife))</f>
        <v>0</v>
      </c>
      <c r="BJ139" s="237"/>
      <c r="BK139" s="237"/>
      <c r="BL139" s="237"/>
      <c r="BM139" s="237"/>
    </row>
    <row r="140" spans="1:65" s="190" customFormat="1" hidden="1" outlineLevel="1">
      <c r="A140" s="237"/>
      <c r="B140" s="18"/>
      <c r="C140" s="33">
        <f>Asset5</f>
        <v>0</v>
      </c>
      <c r="D140" s="18"/>
      <c r="E140" s="18"/>
      <c r="F140" s="31"/>
      <c r="G140" s="104">
        <f t="shared" ref="G140:AL140" si="45">SUM(G128:G139)</f>
        <v>0</v>
      </c>
      <c r="H140" s="104">
        <f t="shared" si="45"/>
        <v>0</v>
      </c>
      <c r="I140" s="104">
        <f t="shared" si="45"/>
        <v>0</v>
      </c>
      <c r="J140" s="104">
        <f t="shared" si="45"/>
        <v>0</v>
      </c>
      <c r="K140" s="104">
        <f t="shared" si="45"/>
        <v>0</v>
      </c>
      <c r="L140" s="104">
        <f t="shared" si="45"/>
        <v>0</v>
      </c>
      <c r="M140" s="104">
        <f t="shared" si="45"/>
        <v>0</v>
      </c>
      <c r="N140" s="104">
        <f t="shared" si="45"/>
        <v>0</v>
      </c>
      <c r="O140" s="104">
        <f t="shared" si="45"/>
        <v>0</v>
      </c>
      <c r="P140" s="104">
        <f t="shared" si="45"/>
        <v>0</v>
      </c>
      <c r="Q140" s="104">
        <f t="shared" si="45"/>
        <v>0</v>
      </c>
      <c r="R140" s="104">
        <f t="shared" si="45"/>
        <v>0</v>
      </c>
      <c r="S140" s="104">
        <f t="shared" si="45"/>
        <v>0</v>
      </c>
      <c r="T140" s="104">
        <f t="shared" si="45"/>
        <v>0</v>
      </c>
      <c r="U140" s="104">
        <f t="shared" si="45"/>
        <v>0</v>
      </c>
      <c r="V140" s="104">
        <f t="shared" si="45"/>
        <v>0</v>
      </c>
      <c r="W140" s="104">
        <f t="shared" si="45"/>
        <v>0</v>
      </c>
      <c r="X140" s="104">
        <f t="shared" si="45"/>
        <v>0</v>
      </c>
      <c r="Y140" s="104">
        <f t="shared" si="45"/>
        <v>0</v>
      </c>
      <c r="Z140" s="104">
        <f t="shared" si="45"/>
        <v>0</v>
      </c>
      <c r="AA140" s="104">
        <f t="shared" si="45"/>
        <v>0</v>
      </c>
      <c r="AB140" s="104">
        <f t="shared" si="45"/>
        <v>0</v>
      </c>
      <c r="AC140" s="104">
        <f t="shared" si="45"/>
        <v>0</v>
      </c>
      <c r="AD140" s="104">
        <f t="shared" si="45"/>
        <v>0</v>
      </c>
      <c r="AE140" s="104">
        <f t="shared" si="45"/>
        <v>0</v>
      </c>
      <c r="AF140" s="104">
        <f t="shared" si="45"/>
        <v>0</v>
      </c>
      <c r="AG140" s="104">
        <f t="shared" si="45"/>
        <v>0</v>
      </c>
      <c r="AH140" s="104">
        <f t="shared" si="45"/>
        <v>0</v>
      </c>
      <c r="AI140" s="104">
        <f t="shared" si="45"/>
        <v>0</v>
      </c>
      <c r="AJ140" s="104">
        <f t="shared" si="45"/>
        <v>0</v>
      </c>
      <c r="AK140" s="104">
        <f t="shared" si="45"/>
        <v>0</v>
      </c>
      <c r="AL140" s="104">
        <f t="shared" si="45"/>
        <v>0</v>
      </c>
      <c r="AM140" s="104">
        <f t="shared" ref="AM140:BI140" si="46">SUM(AM128:AM139)</f>
        <v>0</v>
      </c>
      <c r="AN140" s="104">
        <f t="shared" si="46"/>
        <v>0</v>
      </c>
      <c r="AO140" s="104">
        <f t="shared" si="46"/>
        <v>0</v>
      </c>
      <c r="AP140" s="104">
        <f t="shared" si="46"/>
        <v>0</v>
      </c>
      <c r="AQ140" s="104">
        <f t="shared" si="46"/>
        <v>0</v>
      </c>
      <c r="AR140" s="104">
        <f t="shared" si="46"/>
        <v>0</v>
      </c>
      <c r="AS140" s="104">
        <f t="shared" si="46"/>
        <v>0</v>
      </c>
      <c r="AT140" s="104">
        <f t="shared" si="46"/>
        <v>0</v>
      </c>
      <c r="AU140" s="104">
        <f t="shared" si="46"/>
        <v>0</v>
      </c>
      <c r="AV140" s="104">
        <f t="shared" si="46"/>
        <v>0</v>
      </c>
      <c r="AW140" s="104">
        <f t="shared" si="46"/>
        <v>0</v>
      </c>
      <c r="AX140" s="104">
        <f t="shared" si="46"/>
        <v>0</v>
      </c>
      <c r="AY140" s="104">
        <f t="shared" si="46"/>
        <v>0</v>
      </c>
      <c r="AZ140" s="104">
        <f t="shared" si="46"/>
        <v>0</v>
      </c>
      <c r="BA140" s="104">
        <f t="shared" si="46"/>
        <v>0</v>
      </c>
      <c r="BB140" s="104">
        <f t="shared" si="46"/>
        <v>0</v>
      </c>
      <c r="BC140" s="104">
        <f t="shared" si="46"/>
        <v>0</v>
      </c>
      <c r="BD140" s="104">
        <f t="shared" si="46"/>
        <v>0</v>
      </c>
      <c r="BE140" s="104">
        <f t="shared" si="46"/>
        <v>0</v>
      </c>
      <c r="BF140" s="104">
        <f t="shared" si="46"/>
        <v>0</v>
      </c>
      <c r="BG140" s="104">
        <f t="shared" si="46"/>
        <v>0</v>
      </c>
      <c r="BH140" s="104">
        <f t="shared" si="46"/>
        <v>0</v>
      </c>
      <c r="BI140" s="104">
        <f t="shared" si="46"/>
        <v>0</v>
      </c>
      <c r="BJ140" s="237"/>
      <c r="BK140" s="237"/>
      <c r="BL140" s="237"/>
      <c r="BM140" s="237"/>
    </row>
    <row r="141" spans="1:65" s="190" customFormat="1" ht="12.75" hidden="1" customHeight="1" outlineLevel="2">
      <c r="A141" s="237"/>
      <c r="B141" s="37">
        <f>C153</f>
        <v>0</v>
      </c>
      <c r="C141" s="38"/>
      <c r="D141" s="39" t="s">
        <v>58</v>
      </c>
      <c r="E141" s="38"/>
      <c r="F141" s="40"/>
      <c r="G141" s="106">
        <f>IF(G$3&gt;A6remlife,A6value-SUM($F141:F141),IF(A6remlife="N/A","n/a",A6value/A6remlife))</f>
        <v>0</v>
      </c>
      <c r="H141" s="106">
        <f>IF(H$3&gt;A6remlife,A6value-SUM($F141:G141),IF(A6remlife="N/A","n/a",A6value/A6remlife))</f>
        <v>0</v>
      </c>
      <c r="I141" s="106">
        <f>IF(I$3&gt;A6remlife,A6value-SUM($F141:H141),IF(A6remlife="N/A","n/a",A6value/A6remlife))</f>
        <v>0</v>
      </c>
      <c r="J141" s="106">
        <f>IF(J$3&gt;A6remlife,A6value-SUM($F141:I141),IF(A6remlife="N/A","n/a",A6value/A6remlife))</f>
        <v>0</v>
      </c>
      <c r="K141" s="106">
        <f>IF(K$3&gt;A6remlife,A6value-SUM($F141:J141),IF(A6remlife="N/A","n/a",A6value/A6remlife))</f>
        <v>0</v>
      </c>
      <c r="L141" s="106">
        <f>IF(L$3&gt;A6remlife,A6value-SUM($F141:K141),IF(A6remlife="N/A","n/a",A6value/A6remlife))</f>
        <v>0</v>
      </c>
      <c r="M141" s="106">
        <f>IF(M$3&gt;A6remlife,A6value-SUM($F141:L141),IF(A6remlife="N/A","n/a",A6value/A6remlife))</f>
        <v>0</v>
      </c>
      <c r="N141" s="106">
        <f>IF(N$3&gt;A6remlife,A6value-SUM($F141:M141),IF(A6remlife="N/A","n/a",A6value/A6remlife))</f>
        <v>0</v>
      </c>
      <c r="O141" s="106">
        <f>IF(O$3&gt;A6remlife,A6value-SUM($F141:N141),IF(A6remlife="N/A","n/a",A6value/A6remlife))</f>
        <v>0</v>
      </c>
      <c r="P141" s="106">
        <f>IF(P$3&gt;A6remlife,A6value-SUM($F141:O141),IF(A6remlife="N/A","n/a",A6value/A6remlife))</f>
        <v>0</v>
      </c>
      <c r="Q141" s="106">
        <f>IF(Q$3&gt;A6remlife,A6value-SUM($F141:P141),IF(A6remlife="N/A","n/a",A6value/A6remlife))</f>
        <v>0</v>
      </c>
      <c r="R141" s="106">
        <f>IF(R$3&gt;A6remlife,A6value-SUM($F141:Q141),IF(A6remlife="N/A","n/a",A6value/A6remlife))</f>
        <v>0</v>
      </c>
      <c r="S141" s="106">
        <f>IF(S$3&gt;A6remlife,A6value-SUM($F141:R141),IF(A6remlife="N/A","n/a",A6value/A6remlife))</f>
        <v>0</v>
      </c>
      <c r="T141" s="106">
        <f>IF(T$3&gt;A6remlife,A6value-SUM($F141:S141),IF(A6remlife="N/A","n/a",A6value/A6remlife))</f>
        <v>0</v>
      </c>
      <c r="U141" s="106">
        <f>IF(U$3&gt;A6remlife,A6value-SUM($F141:T141),IF(A6remlife="N/A","n/a",A6value/A6remlife))</f>
        <v>0</v>
      </c>
      <c r="V141" s="106">
        <f>IF(V$3&gt;A6remlife,A6value-SUM($F141:U141),IF(A6remlife="N/A","n/a",A6value/A6remlife))</f>
        <v>0</v>
      </c>
      <c r="W141" s="106">
        <f>IF(W$3&gt;A6remlife,A6value-SUM($F141:V141),IF(A6remlife="N/A","n/a",A6value/A6remlife))</f>
        <v>0</v>
      </c>
      <c r="X141" s="106">
        <f>IF(X$3&gt;A6remlife,A6value-SUM($F141:W141),IF(A6remlife="N/A","n/a",A6value/A6remlife))</f>
        <v>0</v>
      </c>
      <c r="Y141" s="106">
        <f>IF(Y$3&gt;A6remlife,A6value-SUM($F141:X141),IF(A6remlife="N/A","n/a",A6value/A6remlife))</f>
        <v>0</v>
      </c>
      <c r="Z141" s="106">
        <f>IF(Z$3&gt;A6remlife,A6value-SUM($F141:Y141),IF(A6remlife="N/A","n/a",A6value/A6remlife))</f>
        <v>0</v>
      </c>
      <c r="AA141" s="106">
        <f>IF(AA$3&gt;A6remlife,A6value-SUM($F141:Z141),IF(A6remlife="N/A","n/a",A6value/A6remlife))</f>
        <v>0</v>
      </c>
      <c r="AB141" s="106">
        <f>IF(AB$3&gt;A6remlife,A6value-SUM($F141:AA141),IF(A6remlife="N/A","n/a",A6value/A6remlife))</f>
        <v>0</v>
      </c>
      <c r="AC141" s="106">
        <f>IF(AC$3&gt;A6remlife,A6value-SUM($F141:AB141),IF(A6remlife="N/A","n/a",A6value/A6remlife))</f>
        <v>0</v>
      </c>
      <c r="AD141" s="106">
        <f>IF(AD$3&gt;A6remlife,A6value-SUM($F141:AC141),IF(A6remlife="N/A","n/a",A6value/A6remlife))</f>
        <v>0</v>
      </c>
      <c r="AE141" s="106">
        <f>IF(AE$3&gt;A6remlife,A6value-SUM($F141:AD141),IF(A6remlife="N/A","n/a",A6value/A6remlife))</f>
        <v>0</v>
      </c>
      <c r="AF141" s="106">
        <f>IF(AF$3&gt;A6remlife,A6value-SUM($F141:AE141),IF(A6remlife="N/A","n/a",A6value/A6remlife))</f>
        <v>0</v>
      </c>
      <c r="AG141" s="106">
        <f>IF(AG$3&gt;A6remlife,A6value-SUM($F141:AF141),IF(A6remlife="N/A","n/a",A6value/A6remlife))</f>
        <v>0</v>
      </c>
      <c r="AH141" s="106">
        <f>IF(AH$3&gt;A6remlife,A6value-SUM($F141:AG141),IF(A6remlife="N/A","n/a",A6value/A6remlife))</f>
        <v>0</v>
      </c>
      <c r="AI141" s="106">
        <f>IF(AI$3&gt;A6remlife,A6value-SUM($F141:AH141),IF(A6remlife="N/A","n/a",A6value/A6remlife))</f>
        <v>0</v>
      </c>
      <c r="AJ141" s="106">
        <f>IF(AJ$3&gt;A6remlife,A6value-SUM($F141:AI141),IF(A6remlife="N/A","n/a",A6value/A6remlife))</f>
        <v>0</v>
      </c>
      <c r="AK141" s="106">
        <f>IF(AK$3&gt;A6remlife,A6value-SUM($F141:AJ141),IF(A6remlife="N/A","n/a",A6value/A6remlife))</f>
        <v>0</v>
      </c>
      <c r="AL141" s="106">
        <f>IF(AL$3&gt;A6remlife,A6value-SUM($F141:AK141),IF(A6remlife="N/A","n/a",A6value/A6remlife))</f>
        <v>0</v>
      </c>
      <c r="AM141" s="106">
        <f>IF(AM$3&gt;A6remlife,A6value-SUM($F141:AL141),IF(A6remlife="N/A","n/a",A6value/A6remlife))</f>
        <v>0</v>
      </c>
      <c r="AN141" s="106">
        <f>IF(AN$3&gt;A6remlife,A6value-SUM($F141:AM141),IF(A6remlife="N/A","n/a",A6value/A6remlife))</f>
        <v>0</v>
      </c>
      <c r="AO141" s="106">
        <f>IF(AO$3&gt;A6remlife,A6value-SUM($F141:AN141),IF(A6remlife="N/A","n/a",A6value/A6remlife))</f>
        <v>0</v>
      </c>
      <c r="AP141" s="106">
        <f>IF(AP$3&gt;A6remlife,A6value-SUM($F141:AO141),IF(A6remlife="N/A","n/a",A6value/A6remlife))</f>
        <v>0</v>
      </c>
      <c r="AQ141" s="106">
        <f>IF(AQ$3&gt;A6remlife,A6value-SUM($F141:AP141),IF(A6remlife="N/A","n/a",A6value/A6remlife))</f>
        <v>0</v>
      </c>
      <c r="AR141" s="106">
        <f>IF(AR$3&gt;A6remlife,A6value-SUM($F141:AQ141),IF(A6remlife="N/A","n/a",A6value/A6remlife))</f>
        <v>0</v>
      </c>
      <c r="AS141" s="106">
        <f>IF(AS$3&gt;A6remlife,A6value-SUM($F141:AR141),IF(A6remlife="N/A","n/a",A6value/A6remlife))</f>
        <v>0</v>
      </c>
      <c r="AT141" s="106">
        <f>IF(AT$3&gt;A6remlife,A6value-SUM($F141:AS141),IF(A6remlife="N/A","n/a",A6value/A6remlife))</f>
        <v>0</v>
      </c>
      <c r="AU141" s="106">
        <f>IF(AU$3&gt;A6remlife,A6value-SUM($F141:AT141),IF(A6remlife="N/A","n/a",A6value/A6remlife))</f>
        <v>0</v>
      </c>
      <c r="AV141" s="106">
        <f>IF(AV$3&gt;A6remlife,A6value-SUM($F141:AU141),IF(A6remlife="N/A","n/a",A6value/A6remlife))</f>
        <v>0</v>
      </c>
      <c r="AW141" s="106">
        <f>IF(AW$3&gt;A6remlife,A6value-SUM($F141:AV141),IF(A6remlife="N/A","n/a",A6value/A6remlife))</f>
        <v>0</v>
      </c>
      <c r="AX141" s="106">
        <f>IF(AX$3&gt;A6remlife,A6value-SUM($F141:AW141),IF(A6remlife="N/A","n/a",A6value/A6remlife))</f>
        <v>0</v>
      </c>
      <c r="AY141" s="106">
        <f>IF(AY$3&gt;A6remlife,A6value-SUM($F141:AX141),IF(A6remlife="N/A","n/a",A6value/A6remlife))</f>
        <v>0</v>
      </c>
      <c r="AZ141" s="106">
        <f>IF(AZ$3&gt;A6remlife,A6value-SUM($F141:AY141),IF(A6remlife="N/A","n/a",A6value/A6remlife))</f>
        <v>0</v>
      </c>
      <c r="BA141" s="106">
        <f>IF(BA$3&gt;A6remlife,A6value-SUM($F141:AZ141),IF(A6remlife="N/A","n/a",A6value/A6remlife))</f>
        <v>0</v>
      </c>
      <c r="BB141" s="106">
        <f>IF(BB$3&gt;A6remlife,A6value-SUM($F141:BA141),IF(A6remlife="N/A","n/a",A6value/A6remlife))</f>
        <v>0</v>
      </c>
      <c r="BC141" s="106">
        <f>IF(BC$3&gt;A6remlife,A6value-SUM($F141:BB141),IF(A6remlife="N/A","n/a",A6value/A6remlife))</f>
        <v>0</v>
      </c>
      <c r="BD141" s="106">
        <f>IF(BD$3&gt;A6remlife,A6value-SUM($F141:BC141),IF(A6remlife="N/A","n/a",A6value/A6remlife))</f>
        <v>0</v>
      </c>
      <c r="BE141" s="106">
        <f>IF(BE$3&gt;A6remlife,A6value-SUM($F141:BD141),IF(A6remlife="N/A","n/a",A6value/A6remlife))</f>
        <v>0</v>
      </c>
      <c r="BF141" s="106">
        <f>IF(BF$3&gt;A6remlife,A6value-SUM($F141:BE141),IF(A6remlife="N/A","n/a",A6value/A6remlife))</f>
        <v>0</v>
      </c>
      <c r="BG141" s="106">
        <f>IF(BG$3&gt;A6remlife,A6value-SUM($F141:BF141),IF(A6remlife="N/A","n/a",A6value/A6remlife))</f>
        <v>0</v>
      </c>
      <c r="BH141" s="106">
        <f>IF(BH$3&gt;A6remlife,A6value-SUM($F141:BG141),IF(A6remlife="N/A","n/a",A6value/A6remlife))</f>
        <v>0</v>
      </c>
      <c r="BI141" s="106">
        <f>IF(BI$3&gt;A6remlife,A6value-SUM($F141:BH141),IF(A6remlife="N/A","n/a",A6value/A6remlife))</f>
        <v>0</v>
      </c>
      <c r="BJ141" s="237"/>
      <c r="BK141" s="237"/>
      <c r="BL141" s="237"/>
      <c r="BM141" s="237"/>
    </row>
    <row r="142" spans="1:65" s="190" customFormat="1" ht="12.75" hidden="1" customHeight="1" outlineLevel="2">
      <c r="A142" s="237"/>
      <c r="B142" s="33"/>
      <c r="C142" s="32"/>
      <c r="D142" s="1618" t="s">
        <v>357</v>
      </c>
      <c r="E142" s="169">
        <v>0</v>
      </c>
      <c r="F142" s="35"/>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237"/>
      <c r="BK142" s="237"/>
      <c r="BL142" s="237"/>
      <c r="BM142" s="237"/>
    </row>
    <row r="143" spans="1:65" s="190" customFormat="1" hidden="1" outlineLevel="2">
      <c r="A143" s="237"/>
      <c r="B143" s="33"/>
      <c r="C143" s="32"/>
      <c r="D143" s="1618"/>
      <c r="E143" s="169">
        <v>1</v>
      </c>
      <c r="F143" s="35"/>
      <c r="G143" s="183"/>
      <c r="H143" s="107">
        <f>IF(A6stdlife="n/a","n/a",IF(H$3&gt;(A6stdlife+$E143),('PTRM input'!$G$148*(1+rvanilla01)^0.5)-SUM($G143:G143),('PTRM input'!$G$148*(1+rvanilla01)^0.5)/A6stdlife))</f>
        <v>0</v>
      </c>
      <c r="I143" s="107">
        <f>IF(A6stdlife="n/a","n/a",IF(I$3&gt;(A6stdlife+$E143),('PTRM input'!$G$148*(1+rvanilla01)^0.5)-SUM($G143:H143),('PTRM input'!$G$148*(1+rvanilla01)^0.5)/A6stdlife))</f>
        <v>0</v>
      </c>
      <c r="J143" s="107">
        <f>IF(A6stdlife="n/a","n/a",IF(J$3&gt;(A6stdlife+$E143),('PTRM input'!$G$148*(1+rvanilla01)^0.5)-SUM($G143:I143),('PTRM input'!$G$148*(1+rvanilla01)^0.5)/A6stdlife))</f>
        <v>0</v>
      </c>
      <c r="K143" s="107">
        <f>IF(A6stdlife="n/a","n/a",IF(K$3&gt;(A6stdlife+$E143),('PTRM input'!$G$148*(1+rvanilla01)^0.5)-SUM($G143:J143),('PTRM input'!$G$148*(1+rvanilla01)^0.5)/A6stdlife))</f>
        <v>0</v>
      </c>
      <c r="L143" s="107">
        <f>IF(A6stdlife="n/a","n/a",IF(L$3&gt;(A6stdlife+$E143),('PTRM input'!$G$148*(1+rvanilla01)^0.5)-SUM($G143:K143),('PTRM input'!$G$148*(1+rvanilla01)^0.5)/A6stdlife))</f>
        <v>0</v>
      </c>
      <c r="M143" s="107">
        <f>IF(A6stdlife="n/a","n/a",IF(M$3&gt;(A6stdlife+$E143),('PTRM input'!$G$148*(1+rvanilla01)^0.5)-SUM($G143:L143),('PTRM input'!$G$148*(1+rvanilla01)^0.5)/A6stdlife))</f>
        <v>0</v>
      </c>
      <c r="N143" s="107">
        <f>IF(A6stdlife="n/a","n/a",IF(N$3&gt;(A6stdlife+$E143),('PTRM input'!$G$148*(1+rvanilla01)^0.5)-SUM($G143:M143),('PTRM input'!$G$148*(1+rvanilla01)^0.5)/A6stdlife))</f>
        <v>0</v>
      </c>
      <c r="O143" s="107">
        <f>IF(A6stdlife="n/a","n/a",IF(O$3&gt;(A6stdlife+$E143),('PTRM input'!$G$148*(1+rvanilla01)^0.5)-SUM($G143:N143),('PTRM input'!$G$148*(1+rvanilla01)^0.5)/A6stdlife))</f>
        <v>0</v>
      </c>
      <c r="P143" s="107">
        <f>IF(A6stdlife="n/a","n/a",IF(P$3&gt;(A6stdlife+$E143),('PTRM input'!$G$148*(1+rvanilla01)^0.5)-SUM($G143:O143),('PTRM input'!$G$148*(1+rvanilla01)^0.5)/A6stdlife))</f>
        <v>0</v>
      </c>
      <c r="Q143" s="107">
        <f>IF(A6stdlife="n/a","n/a",IF(Q$3&gt;(A6stdlife+$E143),('PTRM input'!$G$148*(1+rvanilla01)^0.5)-SUM($G143:P143),('PTRM input'!$G$148*(1+rvanilla01)^0.5)/A6stdlife))</f>
        <v>0</v>
      </c>
      <c r="R143" s="107">
        <f>IF(A6stdlife="n/a","n/a",IF(R$3&gt;(A6stdlife+$E143),('PTRM input'!$G$148*(1+rvanilla01)^0.5)-SUM($G143:Q143),('PTRM input'!$G$148*(1+rvanilla01)^0.5)/A6stdlife))</f>
        <v>0</v>
      </c>
      <c r="S143" s="107">
        <f>IF(A6stdlife="n/a","n/a",IF(S$3&gt;(A6stdlife+$E143),('PTRM input'!$G$148*(1+rvanilla01)^0.5)-SUM($G143:R143),('PTRM input'!$G$148*(1+rvanilla01)^0.5)/A6stdlife))</f>
        <v>0</v>
      </c>
      <c r="T143" s="107">
        <f>IF(A6stdlife="n/a","n/a",IF(T$3&gt;(A6stdlife+$E143),('PTRM input'!$G$148*(1+rvanilla01)^0.5)-SUM($G143:S143),('PTRM input'!$G$148*(1+rvanilla01)^0.5)/A6stdlife))</f>
        <v>0</v>
      </c>
      <c r="U143" s="107">
        <f>IF(A6stdlife="n/a","n/a",IF(U$3&gt;(A6stdlife+$E143),('PTRM input'!$G$148*(1+rvanilla01)^0.5)-SUM($G143:T143),('PTRM input'!$G$148*(1+rvanilla01)^0.5)/A6stdlife))</f>
        <v>0</v>
      </c>
      <c r="V143" s="107">
        <f>IF(A6stdlife="n/a","n/a",IF(V$3&gt;(A6stdlife+$E143),('PTRM input'!$G$148*(1+rvanilla01)^0.5)-SUM($G143:U143),('PTRM input'!$G$148*(1+rvanilla01)^0.5)/A6stdlife))</f>
        <v>0</v>
      </c>
      <c r="W143" s="107">
        <f>IF(A6stdlife="n/a","n/a",IF(W$3&gt;(A6stdlife+$E143),('PTRM input'!$G$148*(1+rvanilla01)^0.5)-SUM($G143:V143),('PTRM input'!$G$148*(1+rvanilla01)^0.5)/A6stdlife))</f>
        <v>0</v>
      </c>
      <c r="X143" s="107">
        <f>IF(A6stdlife="n/a","n/a",IF(X$3&gt;(A6stdlife+$E143),('PTRM input'!$G$148*(1+rvanilla01)^0.5)-SUM($G143:W143),('PTRM input'!$G$148*(1+rvanilla01)^0.5)/A6stdlife))</f>
        <v>0</v>
      </c>
      <c r="Y143" s="107">
        <f>IF(A6stdlife="n/a","n/a",IF(Y$3&gt;(A6stdlife+$E143),('PTRM input'!$G$148*(1+rvanilla01)^0.5)-SUM($G143:X143),('PTRM input'!$G$148*(1+rvanilla01)^0.5)/A6stdlife))</f>
        <v>0</v>
      </c>
      <c r="Z143" s="107">
        <f>IF(A6stdlife="n/a","n/a",IF(Z$3&gt;(A6stdlife+$E143),('PTRM input'!$G$148*(1+rvanilla01)^0.5)-SUM($G143:Y143),('PTRM input'!$G$148*(1+rvanilla01)^0.5)/A6stdlife))</f>
        <v>0</v>
      </c>
      <c r="AA143" s="107">
        <f>IF(A6stdlife="n/a","n/a",IF(AA$3&gt;(A6stdlife+$E143),('PTRM input'!$G$148*(1+rvanilla01)^0.5)-SUM($G143:Z143),('PTRM input'!$G$148*(1+rvanilla01)^0.5)/A6stdlife))</f>
        <v>0</v>
      </c>
      <c r="AB143" s="107">
        <f>IF(A6stdlife="n/a","n/a",IF(AB$3&gt;(A6stdlife+$E143),('PTRM input'!$G$148*(1+rvanilla01)^0.5)-SUM($G143:AA143),('PTRM input'!$G$148*(1+rvanilla01)^0.5)/A6stdlife))</f>
        <v>0</v>
      </c>
      <c r="AC143" s="107">
        <f>IF(A6stdlife="n/a","n/a",IF(AC$3&gt;(A6stdlife+$E143),('PTRM input'!$G$148*(1+rvanilla01)^0.5)-SUM($G143:AB143),('PTRM input'!$G$148*(1+rvanilla01)^0.5)/A6stdlife))</f>
        <v>0</v>
      </c>
      <c r="AD143" s="107">
        <f>IF(A6stdlife="n/a","n/a",IF(AD$3&gt;(A6stdlife+$E143),('PTRM input'!$G$148*(1+rvanilla01)^0.5)-SUM($G143:AC143),('PTRM input'!$G$148*(1+rvanilla01)^0.5)/A6stdlife))</f>
        <v>0</v>
      </c>
      <c r="AE143" s="107">
        <f>IF(A6stdlife="n/a","n/a",IF(AE$3&gt;(A6stdlife+$E143),('PTRM input'!$G$148*(1+rvanilla01)^0.5)-SUM($G143:AD143),('PTRM input'!$G$148*(1+rvanilla01)^0.5)/A6stdlife))</f>
        <v>0</v>
      </c>
      <c r="AF143" s="107">
        <f>IF(A6stdlife="n/a","n/a",IF(AF$3&gt;(A6stdlife+$E143),('PTRM input'!$G$148*(1+rvanilla01)^0.5)-SUM($G143:AE143),('PTRM input'!$G$148*(1+rvanilla01)^0.5)/A6stdlife))</f>
        <v>0</v>
      </c>
      <c r="AG143" s="107">
        <f>IF(A6stdlife="n/a","n/a",IF(AG$3&gt;(A6stdlife+$E143),('PTRM input'!$G$148*(1+rvanilla01)^0.5)-SUM($G143:AF143),('PTRM input'!$G$148*(1+rvanilla01)^0.5)/A6stdlife))</f>
        <v>0</v>
      </c>
      <c r="AH143" s="107">
        <f>IF(A6stdlife="n/a","n/a",IF(AH$3&gt;(A6stdlife+$E143),('PTRM input'!$G$148*(1+rvanilla01)^0.5)-SUM($G143:AG143),('PTRM input'!$G$148*(1+rvanilla01)^0.5)/A6stdlife))</f>
        <v>0</v>
      </c>
      <c r="AI143" s="107">
        <f>IF(A6stdlife="n/a","n/a",IF(AI$3&gt;(A6stdlife+$E143),('PTRM input'!$G$148*(1+rvanilla01)^0.5)-SUM($G143:AH143),('PTRM input'!$G$148*(1+rvanilla01)^0.5)/A6stdlife))</f>
        <v>0</v>
      </c>
      <c r="AJ143" s="107">
        <f>IF(A6stdlife="n/a","n/a",IF(AJ$3&gt;(A6stdlife+$E143),('PTRM input'!$G$148*(1+rvanilla01)^0.5)-SUM($G143:AI143),('PTRM input'!$G$148*(1+rvanilla01)^0.5)/A6stdlife))</f>
        <v>0</v>
      </c>
      <c r="AK143" s="107">
        <f>IF(A6stdlife="n/a","n/a",IF(AK$3&gt;(A6stdlife+$E143),('PTRM input'!$G$148*(1+rvanilla01)^0.5)-SUM($G143:AJ143),('PTRM input'!$G$148*(1+rvanilla01)^0.5)/A6stdlife))</f>
        <v>0</v>
      </c>
      <c r="AL143" s="107">
        <f>IF(A6stdlife="n/a","n/a",IF(AL$3&gt;(A6stdlife+$E143),('PTRM input'!$G$148*(1+rvanilla01)^0.5)-SUM($G143:AK143),('PTRM input'!$G$148*(1+rvanilla01)^0.5)/A6stdlife))</f>
        <v>0</v>
      </c>
      <c r="AM143" s="107">
        <f>IF(A6stdlife="n/a","n/a",IF(AM$3&gt;(A6stdlife+$E143),('PTRM input'!$G$148*(1+rvanilla01)^0.5)-SUM($G143:AL143),('PTRM input'!$G$148*(1+rvanilla01)^0.5)/A6stdlife))</f>
        <v>0</v>
      </c>
      <c r="AN143" s="107">
        <f>IF(A6stdlife="n/a","n/a",IF(AN$3&gt;(A6stdlife+$E143),('PTRM input'!$G$148*(1+rvanilla01)^0.5)-SUM($G143:AM143),('PTRM input'!$G$148*(1+rvanilla01)^0.5)/A6stdlife))</f>
        <v>0</v>
      </c>
      <c r="AO143" s="107">
        <f>IF(A6stdlife="n/a","n/a",IF(AO$3&gt;(A6stdlife+$E143),('PTRM input'!$G$148*(1+rvanilla01)^0.5)-SUM($G143:AN143),('PTRM input'!$G$148*(1+rvanilla01)^0.5)/A6stdlife))</f>
        <v>0</v>
      </c>
      <c r="AP143" s="107">
        <f>IF(A6stdlife="n/a","n/a",IF(AP$3&gt;(A6stdlife+$E143),('PTRM input'!$G$148*(1+rvanilla01)^0.5)-SUM($G143:AO143),('PTRM input'!$G$148*(1+rvanilla01)^0.5)/A6stdlife))</f>
        <v>0</v>
      </c>
      <c r="AQ143" s="107">
        <f>IF(A6stdlife="n/a","n/a",IF(AQ$3&gt;(A6stdlife+$E143),('PTRM input'!$G$148*(1+rvanilla01)^0.5)-SUM($G143:AP143),('PTRM input'!$G$148*(1+rvanilla01)^0.5)/A6stdlife))</f>
        <v>0</v>
      </c>
      <c r="AR143" s="107">
        <f>IF(A6stdlife="n/a","n/a",IF(AR$3&gt;(A6stdlife+$E143),('PTRM input'!$G$148*(1+rvanilla01)^0.5)-SUM($G143:AQ143),('PTRM input'!$G$148*(1+rvanilla01)^0.5)/A6stdlife))</f>
        <v>0</v>
      </c>
      <c r="AS143" s="107">
        <f>IF(A6stdlife="n/a","n/a",IF(AS$3&gt;(A6stdlife+$E143),('PTRM input'!$G$148*(1+rvanilla01)^0.5)-SUM($G143:AR143),('PTRM input'!$G$148*(1+rvanilla01)^0.5)/A6stdlife))</f>
        <v>0</v>
      </c>
      <c r="AT143" s="107">
        <f>IF(A6stdlife="n/a","n/a",IF(AT$3&gt;(A6stdlife+$E143),('PTRM input'!$G$148*(1+rvanilla01)^0.5)-SUM($G143:AS143),('PTRM input'!$G$148*(1+rvanilla01)^0.5)/A6stdlife))</f>
        <v>0</v>
      </c>
      <c r="AU143" s="107">
        <f>IF(A6stdlife="n/a","n/a",IF(AU$3&gt;(A6stdlife+$E143),('PTRM input'!$G$148*(1+rvanilla01)^0.5)-SUM($G143:AT143),('PTRM input'!$G$148*(1+rvanilla01)^0.5)/A6stdlife))</f>
        <v>0</v>
      </c>
      <c r="AV143" s="107">
        <f>IF(A6stdlife="n/a","n/a",IF(AV$3&gt;(A6stdlife+$E143),('PTRM input'!$G$148*(1+rvanilla01)^0.5)-SUM($G143:AU143),('PTRM input'!$G$148*(1+rvanilla01)^0.5)/A6stdlife))</f>
        <v>0</v>
      </c>
      <c r="AW143" s="107">
        <f>IF(A6stdlife="n/a","n/a",IF(AW$3&gt;(A6stdlife+$E143),('PTRM input'!$G$148*(1+rvanilla01)^0.5)-SUM($G143:AV143),('PTRM input'!$G$148*(1+rvanilla01)^0.5)/A6stdlife))</f>
        <v>0</v>
      </c>
      <c r="AX143" s="107">
        <f>IF(A6stdlife="n/a","n/a",IF(AX$3&gt;(A6stdlife+$E143),('PTRM input'!$G$148*(1+rvanilla01)^0.5)-SUM($G143:AW143),('PTRM input'!$G$148*(1+rvanilla01)^0.5)/A6stdlife))</f>
        <v>0</v>
      </c>
      <c r="AY143" s="107">
        <f>IF(A6stdlife="n/a","n/a",IF(AY$3&gt;(A6stdlife+$E143),('PTRM input'!$G$148*(1+rvanilla01)^0.5)-SUM($G143:AX143),('PTRM input'!$G$148*(1+rvanilla01)^0.5)/A6stdlife))</f>
        <v>0</v>
      </c>
      <c r="AZ143" s="107">
        <f>IF(A6stdlife="n/a","n/a",IF(AZ$3&gt;(A6stdlife+$E143),('PTRM input'!$G$148*(1+rvanilla01)^0.5)-SUM($G143:AY143),('PTRM input'!$G$148*(1+rvanilla01)^0.5)/A6stdlife))</f>
        <v>0</v>
      </c>
      <c r="BA143" s="107">
        <f>IF(A6stdlife="n/a","n/a",IF(BA$3&gt;(A6stdlife+$E143),('PTRM input'!$G$148*(1+rvanilla01)^0.5)-SUM($G143:AZ143),('PTRM input'!$G$148*(1+rvanilla01)^0.5)/A6stdlife))</f>
        <v>0</v>
      </c>
      <c r="BB143" s="107">
        <f>IF(A6stdlife="n/a","n/a",IF(BB$3&gt;(A6stdlife+$E143),('PTRM input'!$G$148*(1+rvanilla01)^0.5)-SUM($G143:BA143),('PTRM input'!$G$148*(1+rvanilla01)^0.5)/A6stdlife))</f>
        <v>0</v>
      </c>
      <c r="BC143" s="107">
        <f>IF(A6stdlife="n/a","n/a",IF(BC$3&gt;(A6stdlife+$E143),('PTRM input'!$G$148*(1+rvanilla01)^0.5)-SUM($G143:BB143),('PTRM input'!$G$148*(1+rvanilla01)^0.5)/A6stdlife))</f>
        <v>0</v>
      </c>
      <c r="BD143" s="107">
        <f>IF(A6stdlife="n/a","n/a",IF(BD$3&gt;(A6stdlife+$E143),('PTRM input'!$G$148*(1+rvanilla01)^0.5)-SUM($G143:BC143),('PTRM input'!$G$148*(1+rvanilla01)^0.5)/A6stdlife))</f>
        <v>0</v>
      </c>
      <c r="BE143" s="107">
        <f>IF(A6stdlife="n/a","n/a",IF(BE$3&gt;(A6stdlife+$E143),('PTRM input'!$G$148*(1+rvanilla01)^0.5)-SUM($G143:BD143),('PTRM input'!$G$148*(1+rvanilla01)^0.5)/A6stdlife))</f>
        <v>0</v>
      </c>
      <c r="BF143" s="107">
        <f>IF(A6stdlife="n/a","n/a",IF(BF$3&gt;(A6stdlife+$E143),('PTRM input'!$G$148*(1+rvanilla01)^0.5)-SUM($G143:BE143),('PTRM input'!$G$148*(1+rvanilla01)^0.5)/A6stdlife))</f>
        <v>0</v>
      </c>
      <c r="BG143" s="107">
        <f>IF(A6stdlife="n/a","n/a",IF(BG$3&gt;(A6stdlife+$E143),('PTRM input'!$G$148*(1+rvanilla01)^0.5)-SUM($G143:BF143),('PTRM input'!$G$148*(1+rvanilla01)^0.5)/A6stdlife))</f>
        <v>0</v>
      </c>
      <c r="BH143" s="107">
        <f>IF(A6stdlife="n/a","n/a",IF(BH$3&gt;(A6stdlife+$E143),('PTRM input'!$G$148*(1+rvanilla01)^0.5)-SUM($G143:BG143),('PTRM input'!$G$148*(1+rvanilla01)^0.5)/A6stdlife))</f>
        <v>0</v>
      </c>
      <c r="BI143" s="107">
        <f>IF(A6stdlife="n/a","n/a",IF(BI$3&gt;(A6stdlife+$E143),('PTRM input'!$G$148*(1+rvanilla01)^0.5)-SUM($G143:BH143),('PTRM input'!$G$148*(1+rvanilla01)^0.5)/A6stdlife))</f>
        <v>0</v>
      </c>
      <c r="BJ143" s="237"/>
      <c r="BK143" s="237"/>
      <c r="BL143" s="237"/>
      <c r="BM143" s="237"/>
    </row>
    <row r="144" spans="1:65" s="190" customFormat="1" hidden="1" outlineLevel="2">
      <c r="A144" s="237"/>
      <c r="B144" s="33"/>
      <c r="C144" s="32"/>
      <c r="D144" s="1618"/>
      <c r="E144" s="169">
        <v>2</v>
      </c>
      <c r="F144" s="35"/>
      <c r="G144" s="184"/>
      <c r="H144" s="185"/>
      <c r="I144" s="107">
        <f>IF(A6stdlife="n/a","n/a",IF(I$3&gt;(A6stdlife+$E144),('PTRM input'!$H$148*(1+rvanilla02)^0.5)-SUM($H144:H144),('PTRM input'!$H$148*(1+rvanilla02)^0.5)/A6stdlife))</f>
        <v>0</v>
      </c>
      <c r="J144" s="107">
        <f>IF(A6stdlife="n/a","n/a",IF(J$3&gt;(A6stdlife+$E144),('PTRM input'!$H$148*(1+rvanilla02)^0.5)-SUM($H144:I144),('PTRM input'!$H$148*(1+rvanilla02)^0.5)/A6stdlife))</f>
        <v>0</v>
      </c>
      <c r="K144" s="107">
        <f>IF(A6stdlife="n/a","n/a",IF(K$3&gt;(A6stdlife+$E144),('PTRM input'!$H$148*(1+rvanilla02)^0.5)-SUM($H144:J144),('PTRM input'!$H$148*(1+rvanilla02)^0.5)/A6stdlife))</f>
        <v>0</v>
      </c>
      <c r="L144" s="107">
        <f>IF(A6stdlife="n/a","n/a",IF(L$3&gt;(A6stdlife+$E144),('PTRM input'!$H$148*(1+rvanilla02)^0.5)-SUM($H144:K144),('PTRM input'!$H$148*(1+rvanilla02)^0.5)/A6stdlife))</f>
        <v>0</v>
      </c>
      <c r="M144" s="107">
        <f>IF(A6stdlife="n/a","n/a",IF(M$3&gt;(A6stdlife+$E144),('PTRM input'!$H$148*(1+rvanilla02)^0.5)-SUM($H144:L144),('PTRM input'!$H$148*(1+rvanilla02)^0.5)/A6stdlife))</f>
        <v>0</v>
      </c>
      <c r="N144" s="107">
        <f>IF(A6stdlife="n/a","n/a",IF(N$3&gt;(A6stdlife+$E144),('PTRM input'!$H$148*(1+rvanilla02)^0.5)-SUM($H144:M144),('PTRM input'!$H$148*(1+rvanilla02)^0.5)/A6stdlife))</f>
        <v>0</v>
      </c>
      <c r="O144" s="107">
        <f>IF(A6stdlife="n/a","n/a",IF(O$3&gt;(A6stdlife+$E144),('PTRM input'!$H$148*(1+rvanilla02)^0.5)-SUM($H144:N144),('PTRM input'!$H$148*(1+rvanilla02)^0.5)/A6stdlife))</f>
        <v>0</v>
      </c>
      <c r="P144" s="107">
        <f>IF(A6stdlife="n/a","n/a",IF(P$3&gt;(A6stdlife+$E144),('PTRM input'!$H$148*(1+rvanilla02)^0.5)-SUM($H144:O144),('PTRM input'!$H$148*(1+rvanilla02)^0.5)/A6stdlife))</f>
        <v>0</v>
      </c>
      <c r="Q144" s="107">
        <f>IF(A6stdlife="n/a","n/a",IF(Q$3&gt;(A6stdlife+$E144),('PTRM input'!$H$148*(1+rvanilla02)^0.5)-SUM($H144:P144),('PTRM input'!$H$148*(1+rvanilla02)^0.5)/A6stdlife))</f>
        <v>0</v>
      </c>
      <c r="R144" s="107">
        <f>IF(A6stdlife="n/a","n/a",IF(R$3&gt;(A6stdlife+$E144),('PTRM input'!$H$148*(1+rvanilla02)^0.5)-SUM($H144:Q144),('PTRM input'!$H$148*(1+rvanilla02)^0.5)/A6stdlife))</f>
        <v>0</v>
      </c>
      <c r="S144" s="107">
        <f>IF(A6stdlife="n/a","n/a",IF(S$3&gt;(A6stdlife+$E144),('PTRM input'!$H$148*(1+rvanilla02)^0.5)-SUM($H144:R144),('PTRM input'!$H$148*(1+rvanilla02)^0.5)/A6stdlife))</f>
        <v>0</v>
      </c>
      <c r="T144" s="107">
        <f>IF(A6stdlife="n/a","n/a",IF(T$3&gt;(A6stdlife+$E144),('PTRM input'!$H$148*(1+rvanilla02)^0.5)-SUM($H144:S144),('PTRM input'!$H$148*(1+rvanilla02)^0.5)/A6stdlife))</f>
        <v>0</v>
      </c>
      <c r="U144" s="107">
        <f>IF(A6stdlife="n/a","n/a",IF(U$3&gt;(A6stdlife+$E144),('PTRM input'!$H$148*(1+rvanilla02)^0.5)-SUM($H144:T144),('PTRM input'!$H$148*(1+rvanilla02)^0.5)/A6stdlife))</f>
        <v>0</v>
      </c>
      <c r="V144" s="107">
        <f>IF(A6stdlife="n/a","n/a",IF(V$3&gt;(A6stdlife+$E144),('PTRM input'!$H$148*(1+rvanilla02)^0.5)-SUM($H144:U144),('PTRM input'!$H$148*(1+rvanilla02)^0.5)/A6stdlife))</f>
        <v>0</v>
      </c>
      <c r="W144" s="107">
        <f>IF(A6stdlife="n/a","n/a",IF(W$3&gt;(A6stdlife+$E144),('PTRM input'!$H$148*(1+rvanilla02)^0.5)-SUM($H144:V144),('PTRM input'!$H$148*(1+rvanilla02)^0.5)/A6stdlife))</f>
        <v>0</v>
      </c>
      <c r="X144" s="107">
        <f>IF(A6stdlife="n/a","n/a",IF(X$3&gt;(A6stdlife+$E144),('PTRM input'!$H$148*(1+rvanilla02)^0.5)-SUM($H144:W144),('PTRM input'!$H$148*(1+rvanilla02)^0.5)/A6stdlife))</f>
        <v>0</v>
      </c>
      <c r="Y144" s="107">
        <f>IF(A6stdlife="n/a","n/a",IF(Y$3&gt;(A6stdlife+$E144),('PTRM input'!$H$148*(1+rvanilla02)^0.5)-SUM($H144:X144),('PTRM input'!$H$148*(1+rvanilla02)^0.5)/A6stdlife))</f>
        <v>0</v>
      </c>
      <c r="Z144" s="107">
        <f>IF(A6stdlife="n/a","n/a",IF(Z$3&gt;(A6stdlife+$E144),('PTRM input'!$H$148*(1+rvanilla02)^0.5)-SUM($H144:Y144),('PTRM input'!$H$148*(1+rvanilla02)^0.5)/A6stdlife))</f>
        <v>0</v>
      </c>
      <c r="AA144" s="107">
        <f>IF(A6stdlife="n/a","n/a",IF(AA$3&gt;(A6stdlife+$E144),('PTRM input'!$H$148*(1+rvanilla02)^0.5)-SUM($H144:Z144),('PTRM input'!$H$148*(1+rvanilla02)^0.5)/A6stdlife))</f>
        <v>0</v>
      </c>
      <c r="AB144" s="107">
        <f>IF(A6stdlife="n/a","n/a",IF(AB$3&gt;(A6stdlife+$E144),('PTRM input'!$H$148*(1+rvanilla02)^0.5)-SUM($H144:AA144),('PTRM input'!$H$148*(1+rvanilla02)^0.5)/A6stdlife))</f>
        <v>0</v>
      </c>
      <c r="AC144" s="107">
        <f>IF(A6stdlife="n/a","n/a",IF(AC$3&gt;(A6stdlife+$E144),('PTRM input'!$H$148*(1+rvanilla02)^0.5)-SUM($H144:AB144),('PTRM input'!$H$148*(1+rvanilla02)^0.5)/A6stdlife))</f>
        <v>0</v>
      </c>
      <c r="AD144" s="107">
        <f>IF(A6stdlife="n/a","n/a",IF(AD$3&gt;(A6stdlife+$E144),('PTRM input'!$H$148*(1+rvanilla02)^0.5)-SUM($H144:AC144),('PTRM input'!$H$148*(1+rvanilla02)^0.5)/A6stdlife))</f>
        <v>0</v>
      </c>
      <c r="AE144" s="107">
        <f>IF(A6stdlife="n/a","n/a",IF(AE$3&gt;(A6stdlife+$E144),('PTRM input'!$H$148*(1+rvanilla02)^0.5)-SUM($H144:AD144),('PTRM input'!$H$148*(1+rvanilla02)^0.5)/A6stdlife))</f>
        <v>0</v>
      </c>
      <c r="AF144" s="107">
        <f>IF(A6stdlife="n/a","n/a",IF(AF$3&gt;(A6stdlife+$E144),('PTRM input'!$H$148*(1+rvanilla02)^0.5)-SUM($H144:AE144),('PTRM input'!$H$148*(1+rvanilla02)^0.5)/A6stdlife))</f>
        <v>0</v>
      </c>
      <c r="AG144" s="107">
        <f>IF(A6stdlife="n/a","n/a",IF(AG$3&gt;(A6stdlife+$E144),('PTRM input'!$H$148*(1+rvanilla02)^0.5)-SUM($H144:AF144),('PTRM input'!$H$148*(1+rvanilla02)^0.5)/A6stdlife))</f>
        <v>0</v>
      </c>
      <c r="AH144" s="107">
        <f>IF(A6stdlife="n/a","n/a",IF(AH$3&gt;(A6stdlife+$E144),('PTRM input'!$H$148*(1+rvanilla02)^0.5)-SUM($H144:AG144),('PTRM input'!$H$148*(1+rvanilla02)^0.5)/A6stdlife))</f>
        <v>0</v>
      </c>
      <c r="AI144" s="107">
        <f>IF(A6stdlife="n/a","n/a",IF(AI$3&gt;(A6stdlife+$E144),('PTRM input'!$H$148*(1+rvanilla02)^0.5)-SUM($H144:AH144),('PTRM input'!$H$148*(1+rvanilla02)^0.5)/A6stdlife))</f>
        <v>0</v>
      </c>
      <c r="AJ144" s="107">
        <f>IF(A6stdlife="n/a","n/a",IF(AJ$3&gt;(A6stdlife+$E144),('PTRM input'!$H$148*(1+rvanilla02)^0.5)-SUM($H144:AI144),('PTRM input'!$H$148*(1+rvanilla02)^0.5)/A6stdlife))</f>
        <v>0</v>
      </c>
      <c r="AK144" s="107">
        <f>IF(A6stdlife="n/a","n/a",IF(AK$3&gt;(A6stdlife+$E144),('PTRM input'!$H$148*(1+rvanilla02)^0.5)-SUM($H144:AJ144),('PTRM input'!$H$148*(1+rvanilla02)^0.5)/A6stdlife))</f>
        <v>0</v>
      </c>
      <c r="AL144" s="107">
        <f>IF(A6stdlife="n/a","n/a",IF(AL$3&gt;(A6stdlife+$E144),('PTRM input'!$H$148*(1+rvanilla02)^0.5)-SUM($H144:AK144),('PTRM input'!$H$148*(1+rvanilla02)^0.5)/A6stdlife))</f>
        <v>0</v>
      </c>
      <c r="AM144" s="107">
        <f>IF(A6stdlife="n/a","n/a",IF(AM$3&gt;(A6stdlife+$E144),('PTRM input'!$H$148*(1+rvanilla02)^0.5)-SUM($H144:AL144),('PTRM input'!$H$148*(1+rvanilla02)^0.5)/A6stdlife))</f>
        <v>0</v>
      </c>
      <c r="AN144" s="107">
        <f>IF(A6stdlife="n/a","n/a",IF(AN$3&gt;(A6stdlife+$E144),('PTRM input'!$H$148*(1+rvanilla02)^0.5)-SUM($H144:AM144),('PTRM input'!$H$148*(1+rvanilla02)^0.5)/A6stdlife))</f>
        <v>0</v>
      </c>
      <c r="AO144" s="107">
        <f>IF(A6stdlife="n/a","n/a",IF(AO$3&gt;(A6stdlife+$E144),('PTRM input'!$H$148*(1+rvanilla02)^0.5)-SUM($H144:AN144),('PTRM input'!$H$148*(1+rvanilla02)^0.5)/A6stdlife))</f>
        <v>0</v>
      </c>
      <c r="AP144" s="107">
        <f>IF(A6stdlife="n/a","n/a",IF(AP$3&gt;(A6stdlife+$E144),('PTRM input'!$H$148*(1+rvanilla02)^0.5)-SUM($H144:AO144),('PTRM input'!$H$148*(1+rvanilla02)^0.5)/A6stdlife))</f>
        <v>0</v>
      </c>
      <c r="AQ144" s="107">
        <f>IF(A6stdlife="n/a","n/a",IF(AQ$3&gt;(A6stdlife+$E144),('PTRM input'!$H$148*(1+rvanilla02)^0.5)-SUM($H144:AP144),('PTRM input'!$H$148*(1+rvanilla02)^0.5)/A6stdlife))</f>
        <v>0</v>
      </c>
      <c r="AR144" s="107">
        <f>IF(A6stdlife="n/a","n/a",IF(AR$3&gt;(A6stdlife+$E144),('PTRM input'!$H$148*(1+rvanilla02)^0.5)-SUM($H144:AQ144),('PTRM input'!$H$148*(1+rvanilla02)^0.5)/A6stdlife))</f>
        <v>0</v>
      </c>
      <c r="AS144" s="107">
        <f>IF(A6stdlife="n/a","n/a",IF(AS$3&gt;(A6stdlife+$E144),('PTRM input'!$H$148*(1+rvanilla02)^0.5)-SUM($H144:AR144),('PTRM input'!$H$148*(1+rvanilla02)^0.5)/A6stdlife))</f>
        <v>0</v>
      </c>
      <c r="AT144" s="107">
        <f>IF(A6stdlife="n/a","n/a",IF(AT$3&gt;(A6stdlife+$E144),('PTRM input'!$H$148*(1+rvanilla02)^0.5)-SUM($H144:AS144),('PTRM input'!$H$148*(1+rvanilla02)^0.5)/A6stdlife))</f>
        <v>0</v>
      </c>
      <c r="AU144" s="107">
        <f>IF(A6stdlife="n/a","n/a",IF(AU$3&gt;(A6stdlife+$E144),('PTRM input'!$H$148*(1+rvanilla02)^0.5)-SUM($H144:AT144),('PTRM input'!$H$148*(1+rvanilla02)^0.5)/A6stdlife))</f>
        <v>0</v>
      </c>
      <c r="AV144" s="107">
        <f>IF(A6stdlife="n/a","n/a",IF(AV$3&gt;(A6stdlife+$E144),('PTRM input'!$H$148*(1+rvanilla02)^0.5)-SUM($H144:AU144),('PTRM input'!$H$148*(1+rvanilla02)^0.5)/A6stdlife))</f>
        <v>0</v>
      </c>
      <c r="AW144" s="107">
        <f>IF(A6stdlife="n/a","n/a",IF(AW$3&gt;(A6stdlife+$E144),('PTRM input'!$H$148*(1+rvanilla02)^0.5)-SUM($H144:AV144),('PTRM input'!$H$148*(1+rvanilla02)^0.5)/A6stdlife))</f>
        <v>0</v>
      </c>
      <c r="AX144" s="107">
        <f>IF(A6stdlife="n/a","n/a",IF(AX$3&gt;(A6stdlife+$E144),('PTRM input'!$H$148*(1+rvanilla02)^0.5)-SUM($H144:AW144),('PTRM input'!$H$148*(1+rvanilla02)^0.5)/A6stdlife))</f>
        <v>0</v>
      </c>
      <c r="AY144" s="107">
        <f>IF(A6stdlife="n/a","n/a",IF(AY$3&gt;(A6stdlife+$E144),('PTRM input'!$H$148*(1+rvanilla02)^0.5)-SUM($H144:AX144),('PTRM input'!$H$148*(1+rvanilla02)^0.5)/A6stdlife))</f>
        <v>0</v>
      </c>
      <c r="AZ144" s="107">
        <f>IF(A6stdlife="n/a","n/a",IF(AZ$3&gt;(A6stdlife+$E144),('PTRM input'!$H$148*(1+rvanilla02)^0.5)-SUM($H144:AY144),('PTRM input'!$H$148*(1+rvanilla02)^0.5)/A6stdlife))</f>
        <v>0</v>
      </c>
      <c r="BA144" s="107">
        <f>IF(A6stdlife="n/a","n/a",IF(BA$3&gt;(A6stdlife+$E144),('PTRM input'!$H$148*(1+rvanilla02)^0.5)-SUM($H144:AZ144),('PTRM input'!$H$148*(1+rvanilla02)^0.5)/A6stdlife))</f>
        <v>0</v>
      </c>
      <c r="BB144" s="107">
        <f>IF(A6stdlife="n/a","n/a",IF(BB$3&gt;(A6stdlife+$E144),('PTRM input'!$H$148*(1+rvanilla02)^0.5)-SUM($H144:BA144),('PTRM input'!$H$148*(1+rvanilla02)^0.5)/A6stdlife))</f>
        <v>0</v>
      </c>
      <c r="BC144" s="107">
        <f>IF(A6stdlife="n/a","n/a",IF(BC$3&gt;(A6stdlife+$E144),('PTRM input'!$H$148*(1+rvanilla02)^0.5)-SUM($H144:BB144),('PTRM input'!$H$148*(1+rvanilla02)^0.5)/A6stdlife))</f>
        <v>0</v>
      </c>
      <c r="BD144" s="107">
        <f>IF(A6stdlife="n/a","n/a",IF(BD$3&gt;(A6stdlife+$E144),('PTRM input'!$H$148*(1+rvanilla02)^0.5)-SUM($H144:BC144),('PTRM input'!$H$148*(1+rvanilla02)^0.5)/A6stdlife))</f>
        <v>0</v>
      </c>
      <c r="BE144" s="107">
        <f>IF(A6stdlife="n/a","n/a",IF(BE$3&gt;(A6stdlife+$E144),('PTRM input'!$H$148*(1+rvanilla02)^0.5)-SUM($H144:BD144),('PTRM input'!$H$148*(1+rvanilla02)^0.5)/A6stdlife))</f>
        <v>0</v>
      </c>
      <c r="BF144" s="107">
        <f>IF(A6stdlife="n/a","n/a",IF(BF$3&gt;(A6stdlife+$E144),('PTRM input'!$H$148*(1+rvanilla02)^0.5)-SUM($H144:BE144),('PTRM input'!$H$148*(1+rvanilla02)^0.5)/A6stdlife))</f>
        <v>0</v>
      </c>
      <c r="BG144" s="107">
        <f>IF(A6stdlife="n/a","n/a",IF(BG$3&gt;(A6stdlife+$E144),('PTRM input'!$H$148*(1+rvanilla02)^0.5)-SUM($H144:BF144),('PTRM input'!$H$148*(1+rvanilla02)^0.5)/A6stdlife))</f>
        <v>0</v>
      </c>
      <c r="BH144" s="107">
        <f>IF(A6stdlife="n/a","n/a",IF(BH$3&gt;(A6stdlife+$E144),('PTRM input'!$H$148*(1+rvanilla02)^0.5)-SUM($H144:BG144),('PTRM input'!$H$148*(1+rvanilla02)^0.5)/A6stdlife))</f>
        <v>0</v>
      </c>
      <c r="BI144" s="107">
        <f>IF(A6stdlife="n/a","n/a",IF(BI$3&gt;(A6stdlife+$E144),('PTRM input'!$H$148*(1+rvanilla02)^0.5)-SUM($H144:BH144),('PTRM input'!$H$148*(1+rvanilla02)^0.5)/A6stdlife))</f>
        <v>0</v>
      </c>
      <c r="BJ144" s="237"/>
      <c r="BK144" s="237"/>
      <c r="BL144" s="237"/>
      <c r="BM144" s="237"/>
    </row>
    <row r="145" spans="1:65" s="190" customFormat="1" hidden="1" outlineLevel="2">
      <c r="A145" s="237"/>
      <c r="B145" s="33"/>
      <c r="C145" s="32"/>
      <c r="D145" s="1618"/>
      <c r="E145" s="169">
        <v>3</v>
      </c>
      <c r="F145" s="35"/>
      <c r="G145" s="184"/>
      <c r="H145" s="186"/>
      <c r="I145" s="185"/>
      <c r="J145" s="107">
        <f>IF(A6stdlife="n/a","n/a",IF(J$3&gt;(A6stdlife+$E145),('PTRM input'!$I$148*(1+rvanilla03)^0.5)-SUM($I145:I145),('PTRM input'!$I$148*(1+rvanilla03)^0.5)/A6stdlife))</f>
        <v>0</v>
      </c>
      <c r="K145" s="107">
        <f>IF(A6stdlife="n/a","n/a",IF(K$3&gt;(A6stdlife+$E145),('PTRM input'!$I$148*(1+rvanilla03)^0.5)-SUM($I145:J145),('PTRM input'!$I$148*(1+rvanilla03)^0.5)/A6stdlife))</f>
        <v>0</v>
      </c>
      <c r="L145" s="107">
        <f>IF(A6stdlife="n/a","n/a",IF(L$3&gt;(A6stdlife+$E145),('PTRM input'!$I$148*(1+rvanilla03)^0.5)-SUM($I145:K145),('PTRM input'!$I$148*(1+rvanilla03)^0.5)/A6stdlife))</f>
        <v>0</v>
      </c>
      <c r="M145" s="107">
        <f>IF(A6stdlife="n/a","n/a",IF(M$3&gt;(A6stdlife+$E145),('PTRM input'!$I$148*(1+rvanilla03)^0.5)-SUM($I145:L145),('PTRM input'!$I$148*(1+rvanilla03)^0.5)/A6stdlife))</f>
        <v>0</v>
      </c>
      <c r="N145" s="107">
        <f>IF(A6stdlife="n/a","n/a",IF(N$3&gt;(A6stdlife+$E145),('PTRM input'!$I$148*(1+rvanilla03)^0.5)-SUM($I145:M145),('PTRM input'!$I$148*(1+rvanilla03)^0.5)/A6stdlife))</f>
        <v>0</v>
      </c>
      <c r="O145" s="107">
        <f>IF(A6stdlife="n/a","n/a",IF(O$3&gt;(A6stdlife+$E145),('PTRM input'!$I$148*(1+rvanilla03)^0.5)-SUM($I145:N145),('PTRM input'!$I$148*(1+rvanilla03)^0.5)/A6stdlife))</f>
        <v>0</v>
      </c>
      <c r="P145" s="107">
        <f>IF(A6stdlife="n/a","n/a",IF(P$3&gt;(A6stdlife+$E145),('PTRM input'!$I$148*(1+rvanilla03)^0.5)-SUM($I145:O145),('PTRM input'!$I$148*(1+rvanilla03)^0.5)/A6stdlife))</f>
        <v>0</v>
      </c>
      <c r="Q145" s="107">
        <f>IF(A6stdlife="n/a","n/a",IF(Q$3&gt;(A6stdlife+$E145),('PTRM input'!$I$148*(1+rvanilla03)^0.5)-SUM($I145:P145),('PTRM input'!$I$148*(1+rvanilla03)^0.5)/A6stdlife))</f>
        <v>0</v>
      </c>
      <c r="R145" s="107">
        <f>IF(A6stdlife="n/a","n/a",IF(R$3&gt;(A6stdlife+$E145),('PTRM input'!$I$148*(1+rvanilla03)^0.5)-SUM($I145:Q145),('PTRM input'!$I$148*(1+rvanilla03)^0.5)/A6stdlife))</f>
        <v>0</v>
      </c>
      <c r="S145" s="107">
        <f>IF(A6stdlife="n/a","n/a",IF(S$3&gt;(A6stdlife+$E145),('PTRM input'!$I$148*(1+rvanilla03)^0.5)-SUM($I145:R145),('PTRM input'!$I$148*(1+rvanilla03)^0.5)/A6stdlife))</f>
        <v>0</v>
      </c>
      <c r="T145" s="107">
        <f>IF(A6stdlife="n/a","n/a",IF(T$3&gt;(A6stdlife+$E145),('PTRM input'!$I$148*(1+rvanilla03)^0.5)-SUM($I145:S145),('PTRM input'!$I$148*(1+rvanilla03)^0.5)/A6stdlife))</f>
        <v>0</v>
      </c>
      <c r="U145" s="107">
        <f>IF(A6stdlife="n/a","n/a",IF(U$3&gt;(A6stdlife+$E145),('PTRM input'!$I$148*(1+rvanilla03)^0.5)-SUM($I145:T145),('PTRM input'!$I$148*(1+rvanilla03)^0.5)/A6stdlife))</f>
        <v>0</v>
      </c>
      <c r="V145" s="107">
        <f>IF(A6stdlife="n/a","n/a",IF(V$3&gt;(A6stdlife+$E145),('PTRM input'!$I$148*(1+rvanilla03)^0.5)-SUM($I145:U145),('PTRM input'!$I$148*(1+rvanilla03)^0.5)/A6stdlife))</f>
        <v>0</v>
      </c>
      <c r="W145" s="107">
        <f>IF(A6stdlife="n/a","n/a",IF(W$3&gt;(A6stdlife+$E145),('PTRM input'!$I$148*(1+rvanilla03)^0.5)-SUM($I145:V145),('PTRM input'!$I$148*(1+rvanilla03)^0.5)/A6stdlife))</f>
        <v>0</v>
      </c>
      <c r="X145" s="107">
        <f>IF(A6stdlife="n/a","n/a",IF(X$3&gt;(A6stdlife+$E145),('PTRM input'!$I$148*(1+rvanilla03)^0.5)-SUM($I145:W145),('PTRM input'!$I$148*(1+rvanilla03)^0.5)/A6stdlife))</f>
        <v>0</v>
      </c>
      <c r="Y145" s="107">
        <f>IF(A6stdlife="n/a","n/a",IF(Y$3&gt;(A6stdlife+$E145),('PTRM input'!$I$148*(1+rvanilla03)^0.5)-SUM($I145:X145),('PTRM input'!$I$148*(1+rvanilla03)^0.5)/A6stdlife))</f>
        <v>0</v>
      </c>
      <c r="Z145" s="107">
        <f>IF(A6stdlife="n/a","n/a",IF(Z$3&gt;(A6stdlife+$E145),('PTRM input'!$I$148*(1+rvanilla03)^0.5)-SUM($I145:Y145),('PTRM input'!$I$148*(1+rvanilla03)^0.5)/A6stdlife))</f>
        <v>0</v>
      </c>
      <c r="AA145" s="107">
        <f>IF(A6stdlife="n/a","n/a",IF(AA$3&gt;(A6stdlife+$E145),('PTRM input'!$I$148*(1+rvanilla03)^0.5)-SUM($I145:Z145),('PTRM input'!$I$148*(1+rvanilla03)^0.5)/A6stdlife))</f>
        <v>0</v>
      </c>
      <c r="AB145" s="107">
        <f>IF(A6stdlife="n/a","n/a",IF(AB$3&gt;(A6stdlife+$E145),('PTRM input'!$I$148*(1+rvanilla03)^0.5)-SUM($I145:AA145),('PTRM input'!$I$148*(1+rvanilla03)^0.5)/A6stdlife))</f>
        <v>0</v>
      </c>
      <c r="AC145" s="107">
        <f>IF(A6stdlife="n/a","n/a",IF(AC$3&gt;(A6stdlife+$E145),('PTRM input'!$I$148*(1+rvanilla03)^0.5)-SUM($I145:AB145),('PTRM input'!$I$148*(1+rvanilla03)^0.5)/A6stdlife))</f>
        <v>0</v>
      </c>
      <c r="AD145" s="107">
        <f>IF(A6stdlife="n/a","n/a",IF(AD$3&gt;(A6stdlife+$E145),('PTRM input'!$I$148*(1+rvanilla03)^0.5)-SUM($I145:AC145),('PTRM input'!$I$148*(1+rvanilla03)^0.5)/A6stdlife))</f>
        <v>0</v>
      </c>
      <c r="AE145" s="107">
        <f>IF(A6stdlife="n/a","n/a",IF(AE$3&gt;(A6stdlife+$E145),('PTRM input'!$I$148*(1+rvanilla03)^0.5)-SUM($I145:AD145),('PTRM input'!$I$148*(1+rvanilla03)^0.5)/A6stdlife))</f>
        <v>0</v>
      </c>
      <c r="AF145" s="107">
        <f>IF(A6stdlife="n/a","n/a",IF(AF$3&gt;(A6stdlife+$E145),('PTRM input'!$I$148*(1+rvanilla03)^0.5)-SUM($I145:AE145),('PTRM input'!$I$148*(1+rvanilla03)^0.5)/A6stdlife))</f>
        <v>0</v>
      </c>
      <c r="AG145" s="107">
        <f>IF(A6stdlife="n/a","n/a",IF(AG$3&gt;(A6stdlife+$E145),('PTRM input'!$I$148*(1+rvanilla03)^0.5)-SUM($I145:AF145),('PTRM input'!$I$148*(1+rvanilla03)^0.5)/A6stdlife))</f>
        <v>0</v>
      </c>
      <c r="AH145" s="107">
        <f>IF(A6stdlife="n/a","n/a",IF(AH$3&gt;(A6stdlife+$E145),('PTRM input'!$I$148*(1+rvanilla03)^0.5)-SUM($I145:AG145),('PTRM input'!$I$148*(1+rvanilla03)^0.5)/A6stdlife))</f>
        <v>0</v>
      </c>
      <c r="AI145" s="107">
        <f>IF(A6stdlife="n/a","n/a",IF(AI$3&gt;(A6stdlife+$E145),('PTRM input'!$I$148*(1+rvanilla03)^0.5)-SUM($I145:AH145),('PTRM input'!$I$148*(1+rvanilla03)^0.5)/A6stdlife))</f>
        <v>0</v>
      </c>
      <c r="AJ145" s="107">
        <f>IF(A6stdlife="n/a","n/a",IF(AJ$3&gt;(A6stdlife+$E145),('PTRM input'!$I$148*(1+rvanilla03)^0.5)-SUM($I145:AI145),('PTRM input'!$I$148*(1+rvanilla03)^0.5)/A6stdlife))</f>
        <v>0</v>
      </c>
      <c r="AK145" s="107">
        <f>IF(A6stdlife="n/a","n/a",IF(AK$3&gt;(A6stdlife+$E145),('PTRM input'!$I$148*(1+rvanilla03)^0.5)-SUM($I145:AJ145),('PTRM input'!$I$148*(1+rvanilla03)^0.5)/A6stdlife))</f>
        <v>0</v>
      </c>
      <c r="AL145" s="107">
        <f>IF(A6stdlife="n/a","n/a",IF(AL$3&gt;(A6stdlife+$E145),('PTRM input'!$I$148*(1+rvanilla03)^0.5)-SUM($I145:AK145),('PTRM input'!$I$148*(1+rvanilla03)^0.5)/A6stdlife))</f>
        <v>0</v>
      </c>
      <c r="AM145" s="107">
        <f>IF(A6stdlife="n/a","n/a",IF(AM$3&gt;(A6stdlife+$E145),('PTRM input'!$I$148*(1+rvanilla03)^0.5)-SUM($I145:AL145),('PTRM input'!$I$148*(1+rvanilla03)^0.5)/A6stdlife))</f>
        <v>0</v>
      </c>
      <c r="AN145" s="107">
        <f>IF(A6stdlife="n/a","n/a",IF(AN$3&gt;(A6stdlife+$E145),('PTRM input'!$I$148*(1+rvanilla03)^0.5)-SUM($I145:AM145),('PTRM input'!$I$148*(1+rvanilla03)^0.5)/A6stdlife))</f>
        <v>0</v>
      </c>
      <c r="AO145" s="107">
        <f>IF(A6stdlife="n/a","n/a",IF(AO$3&gt;(A6stdlife+$E145),('PTRM input'!$I$148*(1+rvanilla03)^0.5)-SUM($I145:AN145),('PTRM input'!$I$148*(1+rvanilla03)^0.5)/A6stdlife))</f>
        <v>0</v>
      </c>
      <c r="AP145" s="107">
        <f>IF(A6stdlife="n/a","n/a",IF(AP$3&gt;(A6stdlife+$E145),('PTRM input'!$I$148*(1+rvanilla03)^0.5)-SUM($I145:AO145),('PTRM input'!$I$148*(1+rvanilla03)^0.5)/A6stdlife))</f>
        <v>0</v>
      </c>
      <c r="AQ145" s="107">
        <f>IF(A6stdlife="n/a","n/a",IF(AQ$3&gt;(A6stdlife+$E145),('PTRM input'!$I$148*(1+rvanilla03)^0.5)-SUM($I145:AP145),('PTRM input'!$I$148*(1+rvanilla03)^0.5)/A6stdlife))</f>
        <v>0</v>
      </c>
      <c r="AR145" s="107">
        <f>IF(A6stdlife="n/a","n/a",IF(AR$3&gt;(A6stdlife+$E145),('PTRM input'!$I$148*(1+rvanilla03)^0.5)-SUM($I145:AQ145),('PTRM input'!$I$148*(1+rvanilla03)^0.5)/A6stdlife))</f>
        <v>0</v>
      </c>
      <c r="AS145" s="107">
        <f>IF(A6stdlife="n/a","n/a",IF(AS$3&gt;(A6stdlife+$E145),('PTRM input'!$I$148*(1+rvanilla03)^0.5)-SUM($I145:AR145),('PTRM input'!$I$148*(1+rvanilla03)^0.5)/A6stdlife))</f>
        <v>0</v>
      </c>
      <c r="AT145" s="107">
        <f>IF(A6stdlife="n/a","n/a",IF(AT$3&gt;(A6stdlife+$E145),('PTRM input'!$I$148*(1+rvanilla03)^0.5)-SUM($I145:AS145),('PTRM input'!$I$148*(1+rvanilla03)^0.5)/A6stdlife))</f>
        <v>0</v>
      </c>
      <c r="AU145" s="107">
        <f>IF(A6stdlife="n/a","n/a",IF(AU$3&gt;(A6stdlife+$E145),('PTRM input'!$I$148*(1+rvanilla03)^0.5)-SUM($I145:AT145),('PTRM input'!$I$148*(1+rvanilla03)^0.5)/A6stdlife))</f>
        <v>0</v>
      </c>
      <c r="AV145" s="107">
        <f>IF(A6stdlife="n/a","n/a",IF(AV$3&gt;(A6stdlife+$E145),('PTRM input'!$I$148*(1+rvanilla03)^0.5)-SUM($I145:AU145),('PTRM input'!$I$148*(1+rvanilla03)^0.5)/A6stdlife))</f>
        <v>0</v>
      </c>
      <c r="AW145" s="107">
        <f>IF(A6stdlife="n/a","n/a",IF(AW$3&gt;(A6stdlife+$E145),('PTRM input'!$I$148*(1+rvanilla03)^0.5)-SUM($I145:AV145),('PTRM input'!$I$148*(1+rvanilla03)^0.5)/A6stdlife))</f>
        <v>0</v>
      </c>
      <c r="AX145" s="107">
        <f>IF(A6stdlife="n/a","n/a",IF(AX$3&gt;(A6stdlife+$E145),('PTRM input'!$I$148*(1+rvanilla03)^0.5)-SUM($I145:AW145),('PTRM input'!$I$148*(1+rvanilla03)^0.5)/A6stdlife))</f>
        <v>0</v>
      </c>
      <c r="AY145" s="107">
        <f>IF(A6stdlife="n/a","n/a",IF(AY$3&gt;(A6stdlife+$E145),('PTRM input'!$I$148*(1+rvanilla03)^0.5)-SUM($I145:AX145),('PTRM input'!$I$148*(1+rvanilla03)^0.5)/A6stdlife))</f>
        <v>0</v>
      </c>
      <c r="AZ145" s="107">
        <f>IF(A6stdlife="n/a","n/a",IF(AZ$3&gt;(A6stdlife+$E145),('PTRM input'!$I$148*(1+rvanilla03)^0.5)-SUM($I145:AY145),('PTRM input'!$I$148*(1+rvanilla03)^0.5)/A6stdlife))</f>
        <v>0</v>
      </c>
      <c r="BA145" s="107">
        <f>IF(A6stdlife="n/a","n/a",IF(BA$3&gt;(A6stdlife+$E145),('PTRM input'!$I$148*(1+rvanilla03)^0.5)-SUM($I145:AZ145),('PTRM input'!$I$148*(1+rvanilla03)^0.5)/A6stdlife))</f>
        <v>0</v>
      </c>
      <c r="BB145" s="107">
        <f>IF(A6stdlife="n/a","n/a",IF(BB$3&gt;(A6stdlife+$E145),('PTRM input'!$I$148*(1+rvanilla03)^0.5)-SUM($I145:BA145),('PTRM input'!$I$148*(1+rvanilla03)^0.5)/A6stdlife))</f>
        <v>0</v>
      </c>
      <c r="BC145" s="107">
        <f>IF(A6stdlife="n/a","n/a",IF(BC$3&gt;(A6stdlife+$E145),('PTRM input'!$I$148*(1+rvanilla03)^0.5)-SUM($I145:BB145),('PTRM input'!$I$148*(1+rvanilla03)^0.5)/A6stdlife))</f>
        <v>0</v>
      </c>
      <c r="BD145" s="107">
        <f>IF(A6stdlife="n/a","n/a",IF(BD$3&gt;(A6stdlife+$E145),('PTRM input'!$I$148*(1+rvanilla03)^0.5)-SUM($I145:BC145),('PTRM input'!$I$148*(1+rvanilla03)^0.5)/A6stdlife))</f>
        <v>0</v>
      </c>
      <c r="BE145" s="107">
        <f>IF(A6stdlife="n/a","n/a",IF(BE$3&gt;(A6stdlife+$E145),('PTRM input'!$I$148*(1+rvanilla03)^0.5)-SUM($I145:BD145),('PTRM input'!$I$148*(1+rvanilla03)^0.5)/A6stdlife))</f>
        <v>0</v>
      </c>
      <c r="BF145" s="107">
        <f>IF(A6stdlife="n/a","n/a",IF(BF$3&gt;(A6stdlife+$E145),('PTRM input'!$I$148*(1+rvanilla03)^0.5)-SUM($I145:BE145),('PTRM input'!$I$148*(1+rvanilla03)^0.5)/A6stdlife))</f>
        <v>0</v>
      </c>
      <c r="BG145" s="107">
        <f>IF(A6stdlife="n/a","n/a",IF(BG$3&gt;(A6stdlife+$E145),('PTRM input'!$I$148*(1+rvanilla03)^0.5)-SUM($I145:BF145),('PTRM input'!$I$148*(1+rvanilla03)^0.5)/A6stdlife))</f>
        <v>0</v>
      </c>
      <c r="BH145" s="107">
        <f>IF(A6stdlife="n/a","n/a",IF(BH$3&gt;(A6stdlife+$E145),('PTRM input'!$I$148*(1+rvanilla03)^0.5)-SUM($I145:BG145),('PTRM input'!$I$148*(1+rvanilla03)^0.5)/A6stdlife))</f>
        <v>0</v>
      </c>
      <c r="BI145" s="107">
        <f>IF(A6stdlife="n/a","n/a",IF(BI$3&gt;(A6stdlife+$E145),('PTRM input'!$I$148*(1+rvanilla03)^0.5)-SUM($I145:BH145),('PTRM input'!$I$148*(1+rvanilla03)^0.5)/A6stdlife))</f>
        <v>0</v>
      </c>
      <c r="BJ145" s="237"/>
      <c r="BK145" s="237"/>
      <c r="BL145" s="237"/>
      <c r="BM145" s="237"/>
    </row>
    <row r="146" spans="1:65" s="190" customFormat="1" hidden="1" outlineLevel="2">
      <c r="A146" s="237"/>
      <c r="B146" s="33"/>
      <c r="C146" s="32"/>
      <c r="D146" s="1618"/>
      <c r="E146" s="169">
        <v>4</v>
      </c>
      <c r="F146" s="35"/>
      <c r="G146" s="184"/>
      <c r="H146" s="186"/>
      <c r="I146" s="186"/>
      <c r="J146" s="185"/>
      <c r="K146" s="107">
        <f>IF(A6stdlife="n/a","n/a",IF(K$3&gt;(A6stdlife+$E146),('PTRM input'!$J$148*(1+rvanilla04)^0.5)-SUM($J146:J146),('PTRM input'!$J$148*(1+rvanilla04)^0.5)/A6stdlife))</f>
        <v>0</v>
      </c>
      <c r="L146" s="107">
        <f>IF(A6stdlife="n/a","n/a",IF(L$3&gt;(A6stdlife+$E146),('PTRM input'!$J$148*(1+rvanilla04)^0.5)-SUM($J146:K146),('PTRM input'!$J$148*(1+rvanilla04)^0.5)/A6stdlife))</f>
        <v>0</v>
      </c>
      <c r="M146" s="107">
        <f>IF(A6stdlife="n/a","n/a",IF(M$3&gt;(A6stdlife+$E146),('PTRM input'!$J$148*(1+rvanilla04)^0.5)-SUM($J146:L146),('PTRM input'!$J$148*(1+rvanilla04)^0.5)/A6stdlife))</f>
        <v>0</v>
      </c>
      <c r="N146" s="107">
        <f>IF(A6stdlife="n/a","n/a",IF(N$3&gt;(A6stdlife+$E146),('PTRM input'!$J$148*(1+rvanilla04)^0.5)-SUM($J146:M146),('PTRM input'!$J$148*(1+rvanilla04)^0.5)/A6stdlife))</f>
        <v>0</v>
      </c>
      <c r="O146" s="107">
        <f>IF(A6stdlife="n/a","n/a",IF(O$3&gt;(A6stdlife+$E146),('PTRM input'!$J$148*(1+rvanilla04)^0.5)-SUM($J146:N146),('PTRM input'!$J$148*(1+rvanilla04)^0.5)/A6stdlife))</f>
        <v>0</v>
      </c>
      <c r="P146" s="107">
        <f>IF(A6stdlife="n/a","n/a",IF(P$3&gt;(A6stdlife+$E146),('PTRM input'!$J$148*(1+rvanilla04)^0.5)-SUM($J146:O146),('PTRM input'!$J$148*(1+rvanilla04)^0.5)/A6stdlife))</f>
        <v>0</v>
      </c>
      <c r="Q146" s="107">
        <f>IF(A6stdlife="n/a","n/a",IF(Q$3&gt;(A6stdlife+$E146),('PTRM input'!$J$148*(1+rvanilla04)^0.5)-SUM($J146:P146),('PTRM input'!$J$148*(1+rvanilla04)^0.5)/A6stdlife))</f>
        <v>0</v>
      </c>
      <c r="R146" s="107">
        <f>IF(A6stdlife="n/a","n/a",IF(R$3&gt;(A6stdlife+$E146),('PTRM input'!$J$148*(1+rvanilla04)^0.5)-SUM($J146:Q146),('PTRM input'!$J$148*(1+rvanilla04)^0.5)/A6stdlife))</f>
        <v>0</v>
      </c>
      <c r="S146" s="107">
        <f>IF(A6stdlife="n/a","n/a",IF(S$3&gt;(A6stdlife+$E146),('PTRM input'!$J$148*(1+rvanilla04)^0.5)-SUM($J146:R146),('PTRM input'!$J$148*(1+rvanilla04)^0.5)/A6stdlife))</f>
        <v>0</v>
      </c>
      <c r="T146" s="107">
        <f>IF(A6stdlife="n/a","n/a",IF(T$3&gt;(A6stdlife+$E146),('PTRM input'!$J$148*(1+rvanilla04)^0.5)-SUM($J146:S146),('PTRM input'!$J$148*(1+rvanilla04)^0.5)/A6stdlife))</f>
        <v>0</v>
      </c>
      <c r="U146" s="107">
        <f>IF(A6stdlife="n/a","n/a",IF(U$3&gt;(A6stdlife+$E146),('PTRM input'!$J$148*(1+rvanilla04)^0.5)-SUM($J146:T146),('PTRM input'!$J$148*(1+rvanilla04)^0.5)/A6stdlife))</f>
        <v>0</v>
      </c>
      <c r="V146" s="107">
        <f>IF(A6stdlife="n/a","n/a",IF(V$3&gt;(A6stdlife+$E146),('PTRM input'!$J$148*(1+rvanilla04)^0.5)-SUM($J146:U146),('PTRM input'!$J$148*(1+rvanilla04)^0.5)/A6stdlife))</f>
        <v>0</v>
      </c>
      <c r="W146" s="107">
        <f>IF(A6stdlife="n/a","n/a",IF(W$3&gt;(A6stdlife+$E146),('PTRM input'!$J$148*(1+rvanilla04)^0.5)-SUM($J146:V146),('PTRM input'!$J$148*(1+rvanilla04)^0.5)/A6stdlife))</f>
        <v>0</v>
      </c>
      <c r="X146" s="107">
        <f>IF(A6stdlife="n/a","n/a",IF(X$3&gt;(A6stdlife+$E146),('PTRM input'!$J$148*(1+rvanilla04)^0.5)-SUM($J146:W146),('PTRM input'!$J$148*(1+rvanilla04)^0.5)/A6stdlife))</f>
        <v>0</v>
      </c>
      <c r="Y146" s="107">
        <f>IF(A6stdlife="n/a","n/a",IF(Y$3&gt;(A6stdlife+$E146),('PTRM input'!$J$148*(1+rvanilla04)^0.5)-SUM($J146:X146),('PTRM input'!$J$148*(1+rvanilla04)^0.5)/A6stdlife))</f>
        <v>0</v>
      </c>
      <c r="Z146" s="107">
        <f>IF(A6stdlife="n/a","n/a",IF(Z$3&gt;(A6stdlife+$E146),('PTRM input'!$J$148*(1+rvanilla04)^0.5)-SUM($J146:Y146),('PTRM input'!$J$148*(1+rvanilla04)^0.5)/A6stdlife))</f>
        <v>0</v>
      </c>
      <c r="AA146" s="107">
        <f>IF(A6stdlife="n/a","n/a",IF(AA$3&gt;(A6stdlife+$E146),('PTRM input'!$J$148*(1+rvanilla04)^0.5)-SUM($J146:Z146),('PTRM input'!$J$148*(1+rvanilla04)^0.5)/A6stdlife))</f>
        <v>0</v>
      </c>
      <c r="AB146" s="107">
        <f>IF(A6stdlife="n/a","n/a",IF(AB$3&gt;(A6stdlife+$E146),('PTRM input'!$J$148*(1+rvanilla04)^0.5)-SUM($J146:AA146),('PTRM input'!$J$148*(1+rvanilla04)^0.5)/A6stdlife))</f>
        <v>0</v>
      </c>
      <c r="AC146" s="107">
        <f>IF(A6stdlife="n/a","n/a",IF(AC$3&gt;(A6stdlife+$E146),('PTRM input'!$J$148*(1+rvanilla04)^0.5)-SUM($J146:AB146),('PTRM input'!$J$148*(1+rvanilla04)^0.5)/A6stdlife))</f>
        <v>0</v>
      </c>
      <c r="AD146" s="107">
        <f>IF(A6stdlife="n/a","n/a",IF(AD$3&gt;(A6stdlife+$E146),('PTRM input'!$J$148*(1+rvanilla04)^0.5)-SUM($J146:AC146),('PTRM input'!$J$148*(1+rvanilla04)^0.5)/A6stdlife))</f>
        <v>0</v>
      </c>
      <c r="AE146" s="107">
        <f>IF(A6stdlife="n/a","n/a",IF(AE$3&gt;(A6stdlife+$E146),('PTRM input'!$J$148*(1+rvanilla04)^0.5)-SUM($J146:AD146),('PTRM input'!$J$148*(1+rvanilla04)^0.5)/A6stdlife))</f>
        <v>0</v>
      </c>
      <c r="AF146" s="107">
        <f>IF(A6stdlife="n/a","n/a",IF(AF$3&gt;(A6stdlife+$E146),('PTRM input'!$J$148*(1+rvanilla04)^0.5)-SUM($J146:AE146),('PTRM input'!$J$148*(1+rvanilla04)^0.5)/A6stdlife))</f>
        <v>0</v>
      </c>
      <c r="AG146" s="107">
        <f>IF(A6stdlife="n/a","n/a",IF(AG$3&gt;(A6stdlife+$E146),('PTRM input'!$J$148*(1+rvanilla04)^0.5)-SUM($J146:AF146),('PTRM input'!$J$148*(1+rvanilla04)^0.5)/A6stdlife))</f>
        <v>0</v>
      </c>
      <c r="AH146" s="107">
        <f>IF(A6stdlife="n/a","n/a",IF(AH$3&gt;(A6stdlife+$E146),('PTRM input'!$J$148*(1+rvanilla04)^0.5)-SUM($J146:AG146),('PTRM input'!$J$148*(1+rvanilla04)^0.5)/A6stdlife))</f>
        <v>0</v>
      </c>
      <c r="AI146" s="107">
        <f>IF(A6stdlife="n/a","n/a",IF(AI$3&gt;(A6stdlife+$E146),('PTRM input'!$J$148*(1+rvanilla04)^0.5)-SUM($J146:AH146),('PTRM input'!$J$148*(1+rvanilla04)^0.5)/A6stdlife))</f>
        <v>0</v>
      </c>
      <c r="AJ146" s="107">
        <f>IF(A6stdlife="n/a","n/a",IF(AJ$3&gt;(A6stdlife+$E146),('PTRM input'!$J$148*(1+rvanilla04)^0.5)-SUM($J146:AI146),('PTRM input'!$J$148*(1+rvanilla04)^0.5)/A6stdlife))</f>
        <v>0</v>
      </c>
      <c r="AK146" s="107">
        <f>IF(A6stdlife="n/a","n/a",IF(AK$3&gt;(A6stdlife+$E146),('PTRM input'!$J$148*(1+rvanilla04)^0.5)-SUM($J146:AJ146),('PTRM input'!$J$148*(1+rvanilla04)^0.5)/A6stdlife))</f>
        <v>0</v>
      </c>
      <c r="AL146" s="107">
        <f>IF(A6stdlife="n/a","n/a",IF(AL$3&gt;(A6stdlife+$E146),('PTRM input'!$J$148*(1+rvanilla04)^0.5)-SUM($J146:AK146),('PTRM input'!$J$148*(1+rvanilla04)^0.5)/A6stdlife))</f>
        <v>0</v>
      </c>
      <c r="AM146" s="107">
        <f>IF(A6stdlife="n/a","n/a",IF(AM$3&gt;(A6stdlife+$E146),('PTRM input'!$J$148*(1+rvanilla04)^0.5)-SUM($J146:AL146),('PTRM input'!$J$148*(1+rvanilla04)^0.5)/A6stdlife))</f>
        <v>0</v>
      </c>
      <c r="AN146" s="107">
        <f>IF(A6stdlife="n/a","n/a",IF(AN$3&gt;(A6stdlife+$E146),('PTRM input'!$J$148*(1+rvanilla04)^0.5)-SUM($J146:AM146),('PTRM input'!$J$148*(1+rvanilla04)^0.5)/A6stdlife))</f>
        <v>0</v>
      </c>
      <c r="AO146" s="107">
        <f>IF(A6stdlife="n/a","n/a",IF(AO$3&gt;(A6stdlife+$E146),('PTRM input'!$J$148*(1+rvanilla04)^0.5)-SUM($J146:AN146),('PTRM input'!$J$148*(1+rvanilla04)^0.5)/A6stdlife))</f>
        <v>0</v>
      </c>
      <c r="AP146" s="107">
        <f>IF(A6stdlife="n/a","n/a",IF(AP$3&gt;(A6stdlife+$E146),('PTRM input'!$J$148*(1+rvanilla04)^0.5)-SUM($J146:AO146),('PTRM input'!$J$148*(1+rvanilla04)^0.5)/A6stdlife))</f>
        <v>0</v>
      </c>
      <c r="AQ146" s="107">
        <f>IF(A6stdlife="n/a","n/a",IF(AQ$3&gt;(A6stdlife+$E146),('PTRM input'!$J$148*(1+rvanilla04)^0.5)-SUM($J146:AP146),('PTRM input'!$J$148*(1+rvanilla04)^0.5)/A6stdlife))</f>
        <v>0</v>
      </c>
      <c r="AR146" s="107">
        <f>IF(A6stdlife="n/a","n/a",IF(AR$3&gt;(A6stdlife+$E146),('PTRM input'!$J$148*(1+rvanilla04)^0.5)-SUM($J146:AQ146),('PTRM input'!$J$148*(1+rvanilla04)^0.5)/A6stdlife))</f>
        <v>0</v>
      </c>
      <c r="AS146" s="107">
        <f>IF(A6stdlife="n/a","n/a",IF(AS$3&gt;(A6stdlife+$E146),('PTRM input'!$J$148*(1+rvanilla04)^0.5)-SUM($J146:AR146),('PTRM input'!$J$148*(1+rvanilla04)^0.5)/A6stdlife))</f>
        <v>0</v>
      </c>
      <c r="AT146" s="107">
        <f>IF(A6stdlife="n/a","n/a",IF(AT$3&gt;(A6stdlife+$E146),('PTRM input'!$J$148*(1+rvanilla04)^0.5)-SUM($J146:AS146),('PTRM input'!$J$148*(1+rvanilla04)^0.5)/A6stdlife))</f>
        <v>0</v>
      </c>
      <c r="AU146" s="107">
        <f>IF(A6stdlife="n/a","n/a",IF(AU$3&gt;(A6stdlife+$E146),('PTRM input'!$J$148*(1+rvanilla04)^0.5)-SUM($J146:AT146),('PTRM input'!$J$148*(1+rvanilla04)^0.5)/A6stdlife))</f>
        <v>0</v>
      </c>
      <c r="AV146" s="107">
        <f>IF(A6stdlife="n/a","n/a",IF(AV$3&gt;(A6stdlife+$E146),('PTRM input'!$J$148*(1+rvanilla04)^0.5)-SUM($J146:AU146),('PTRM input'!$J$148*(1+rvanilla04)^0.5)/A6stdlife))</f>
        <v>0</v>
      </c>
      <c r="AW146" s="107">
        <f>IF(A6stdlife="n/a","n/a",IF(AW$3&gt;(A6stdlife+$E146),('PTRM input'!$J$148*(1+rvanilla04)^0.5)-SUM($J146:AV146),('PTRM input'!$J$148*(1+rvanilla04)^0.5)/A6stdlife))</f>
        <v>0</v>
      </c>
      <c r="AX146" s="107">
        <f>IF(A6stdlife="n/a","n/a",IF(AX$3&gt;(A6stdlife+$E146),('PTRM input'!$J$148*(1+rvanilla04)^0.5)-SUM($J146:AW146),('PTRM input'!$J$148*(1+rvanilla04)^0.5)/A6stdlife))</f>
        <v>0</v>
      </c>
      <c r="AY146" s="107">
        <f>IF(A6stdlife="n/a","n/a",IF(AY$3&gt;(A6stdlife+$E146),('PTRM input'!$J$148*(1+rvanilla04)^0.5)-SUM($J146:AX146),('PTRM input'!$J$148*(1+rvanilla04)^0.5)/A6stdlife))</f>
        <v>0</v>
      </c>
      <c r="AZ146" s="107">
        <f>IF(A6stdlife="n/a","n/a",IF(AZ$3&gt;(A6stdlife+$E146),('PTRM input'!$J$148*(1+rvanilla04)^0.5)-SUM($J146:AY146),('PTRM input'!$J$148*(1+rvanilla04)^0.5)/A6stdlife))</f>
        <v>0</v>
      </c>
      <c r="BA146" s="107">
        <f>IF(A6stdlife="n/a","n/a",IF(BA$3&gt;(A6stdlife+$E146),('PTRM input'!$J$148*(1+rvanilla04)^0.5)-SUM($J146:AZ146),('PTRM input'!$J$148*(1+rvanilla04)^0.5)/A6stdlife))</f>
        <v>0</v>
      </c>
      <c r="BB146" s="107">
        <f>IF(A6stdlife="n/a","n/a",IF(BB$3&gt;(A6stdlife+$E146),('PTRM input'!$J$148*(1+rvanilla04)^0.5)-SUM($J146:BA146),('PTRM input'!$J$148*(1+rvanilla04)^0.5)/A6stdlife))</f>
        <v>0</v>
      </c>
      <c r="BC146" s="107">
        <f>IF(A6stdlife="n/a","n/a",IF(BC$3&gt;(A6stdlife+$E146),('PTRM input'!$J$148*(1+rvanilla04)^0.5)-SUM($J146:BB146),('PTRM input'!$J$148*(1+rvanilla04)^0.5)/A6stdlife))</f>
        <v>0</v>
      </c>
      <c r="BD146" s="107">
        <f>IF(A6stdlife="n/a","n/a",IF(BD$3&gt;(A6stdlife+$E146),('PTRM input'!$J$148*(1+rvanilla04)^0.5)-SUM($J146:BC146),('PTRM input'!$J$148*(1+rvanilla04)^0.5)/A6stdlife))</f>
        <v>0</v>
      </c>
      <c r="BE146" s="107">
        <f>IF(A6stdlife="n/a","n/a",IF(BE$3&gt;(A6stdlife+$E146),('PTRM input'!$J$148*(1+rvanilla04)^0.5)-SUM($J146:BD146),('PTRM input'!$J$148*(1+rvanilla04)^0.5)/A6stdlife))</f>
        <v>0</v>
      </c>
      <c r="BF146" s="107">
        <f>IF(A6stdlife="n/a","n/a",IF(BF$3&gt;(A6stdlife+$E146),('PTRM input'!$J$148*(1+rvanilla04)^0.5)-SUM($J146:BE146),('PTRM input'!$J$148*(1+rvanilla04)^0.5)/A6stdlife))</f>
        <v>0</v>
      </c>
      <c r="BG146" s="107">
        <f>IF(A6stdlife="n/a","n/a",IF(BG$3&gt;(A6stdlife+$E146),('PTRM input'!$J$148*(1+rvanilla04)^0.5)-SUM($J146:BF146),('PTRM input'!$J$148*(1+rvanilla04)^0.5)/A6stdlife))</f>
        <v>0</v>
      </c>
      <c r="BH146" s="107">
        <f>IF(A6stdlife="n/a","n/a",IF(BH$3&gt;(A6stdlife+$E146),('PTRM input'!$J$148*(1+rvanilla04)^0.5)-SUM($J146:BG146),('PTRM input'!$J$148*(1+rvanilla04)^0.5)/A6stdlife))</f>
        <v>0</v>
      </c>
      <c r="BI146" s="107">
        <f>IF(A6stdlife="n/a","n/a",IF(BI$3&gt;(A6stdlife+$E146),('PTRM input'!$J$148*(1+rvanilla04)^0.5)-SUM($J146:BH146),('PTRM input'!$J$148*(1+rvanilla04)^0.5)/A6stdlife))</f>
        <v>0</v>
      </c>
      <c r="BJ146" s="237"/>
      <c r="BK146" s="237"/>
      <c r="BL146" s="237"/>
      <c r="BM146" s="237"/>
    </row>
    <row r="147" spans="1:65" s="190" customFormat="1" hidden="1" outlineLevel="2">
      <c r="A147" s="237"/>
      <c r="B147" s="33"/>
      <c r="C147" s="32"/>
      <c r="D147" s="1618"/>
      <c r="E147" s="169">
        <v>5</v>
      </c>
      <c r="F147" s="35"/>
      <c r="G147" s="184"/>
      <c r="H147" s="186"/>
      <c r="I147" s="186"/>
      <c r="J147" s="186"/>
      <c r="K147" s="185"/>
      <c r="L147" s="107">
        <f>IF(A6stdlife="n/a","n/a",IF(L$3&gt;(A6stdlife+$E147),('PTRM input'!$K$148*(1+rvanilla05)^0.5)-SUM($K147:K147),('PTRM input'!$K$148*(1+rvanilla05)^0.5)/A6stdlife))</f>
        <v>0</v>
      </c>
      <c r="M147" s="107">
        <f>IF(A6stdlife="n/a","n/a",IF(M$3&gt;(A6stdlife+$E147),('PTRM input'!$K$148*(1+rvanilla05)^0.5)-SUM($K147:L147),('PTRM input'!$K$148*(1+rvanilla05)^0.5)/A6stdlife))</f>
        <v>0</v>
      </c>
      <c r="N147" s="107">
        <f>IF(A6stdlife="n/a","n/a",IF(N$3&gt;(A6stdlife+$E147),('PTRM input'!$K$148*(1+rvanilla05)^0.5)-SUM($K147:M147),('PTRM input'!$K$148*(1+rvanilla05)^0.5)/A6stdlife))</f>
        <v>0</v>
      </c>
      <c r="O147" s="107">
        <f>IF(A6stdlife="n/a","n/a",IF(O$3&gt;(A6stdlife+$E147),('PTRM input'!$K$148*(1+rvanilla05)^0.5)-SUM($K147:N147),('PTRM input'!$K$148*(1+rvanilla05)^0.5)/A6stdlife))</f>
        <v>0</v>
      </c>
      <c r="P147" s="107">
        <f>IF(A6stdlife="n/a","n/a",IF(P$3&gt;(A6stdlife+$E147),('PTRM input'!$K$148*(1+rvanilla05)^0.5)-SUM($K147:O147),('PTRM input'!$K$148*(1+rvanilla05)^0.5)/A6stdlife))</f>
        <v>0</v>
      </c>
      <c r="Q147" s="107">
        <f>IF(A6stdlife="n/a","n/a",IF(Q$3&gt;(A6stdlife+$E147),('PTRM input'!$K$148*(1+rvanilla05)^0.5)-SUM($K147:P147),('PTRM input'!$K$148*(1+rvanilla05)^0.5)/A6stdlife))</f>
        <v>0</v>
      </c>
      <c r="R147" s="107">
        <f>IF(A6stdlife="n/a","n/a",IF(R$3&gt;(A6stdlife+$E147),('PTRM input'!$K$148*(1+rvanilla05)^0.5)-SUM($K147:Q147),('PTRM input'!$K$148*(1+rvanilla05)^0.5)/A6stdlife))</f>
        <v>0</v>
      </c>
      <c r="S147" s="107">
        <f>IF(A6stdlife="n/a","n/a",IF(S$3&gt;(A6stdlife+$E147),('PTRM input'!$K$148*(1+rvanilla05)^0.5)-SUM($K147:R147),('PTRM input'!$K$148*(1+rvanilla05)^0.5)/A6stdlife))</f>
        <v>0</v>
      </c>
      <c r="T147" s="107">
        <f>IF(A6stdlife="n/a","n/a",IF(T$3&gt;(A6stdlife+$E147),('PTRM input'!$K$148*(1+rvanilla05)^0.5)-SUM($K147:S147),('PTRM input'!$K$148*(1+rvanilla05)^0.5)/A6stdlife))</f>
        <v>0</v>
      </c>
      <c r="U147" s="107">
        <f>IF(A6stdlife="n/a","n/a",IF(U$3&gt;(A6stdlife+$E147),('PTRM input'!$K$148*(1+rvanilla05)^0.5)-SUM($K147:T147),('PTRM input'!$K$148*(1+rvanilla05)^0.5)/A6stdlife))</f>
        <v>0</v>
      </c>
      <c r="V147" s="107">
        <f>IF(A6stdlife="n/a","n/a",IF(V$3&gt;(A6stdlife+$E147),('PTRM input'!$K$148*(1+rvanilla05)^0.5)-SUM($K147:U147),('PTRM input'!$K$148*(1+rvanilla05)^0.5)/A6stdlife))</f>
        <v>0</v>
      </c>
      <c r="W147" s="107">
        <f>IF(A6stdlife="n/a","n/a",IF(W$3&gt;(A6stdlife+$E147),('PTRM input'!$K$148*(1+rvanilla05)^0.5)-SUM($K147:V147),('PTRM input'!$K$148*(1+rvanilla05)^0.5)/A6stdlife))</f>
        <v>0</v>
      </c>
      <c r="X147" s="107">
        <f>IF(A6stdlife="n/a","n/a",IF(X$3&gt;(A6stdlife+$E147),('PTRM input'!$K$148*(1+rvanilla05)^0.5)-SUM($K147:W147),('PTRM input'!$K$148*(1+rvanilla05)^0.5)/A6stdlife))</f>
        <v>0</v>
      </c>
      <c r="Y147" s="107">
        <f>IF(A6stdlife="n/a","n/a",IF(Y$3&gt;(A6stdlife+$E147),('PTRM input'!$K$148*(1+rvanilla05)^0.5)-SUM($K147:X147),('PTRM input'!$K$148*(1+rvanilla05)^0.5)/A6stdlife))</f>
        <v>0</v>
      </c>
      <c r="Z147" s="107">
        <f>IF(A6stdlife="n/a","n/a",IF(Z$3&gt;(A6stdlife+$E147),('PTRM input'!$K$148*(1+rvanilla05)^0.5)-SUM($K147:Y147),('PTRM input'!$K$148*(1+rvanilla05)^0.5)/A6stdlife))</f>
        <v>0</v>
      </c>
      <c r="AA147" s="107">
        <f>IF(A6stdlife="n/a","n/a",IF(AA$3&gt;(A6stdlife+$E147),('PTRM input'!$K$148*(1+rvanilla05)^0.5)-SUM($K147:Z147),('PTRM input'!$K$148*(1+rvanilla05)^0.5)/A6stdlife))</f>
        <v>0</v>
      </c>
      <c r="AB147" s="107">
        <f>IF(A6stdlife="n/a","n/a",IF(AB$3&gt;(A6stdlife+$E147),('PTRM input'!$K$148*(1+rvanilla05)^0.5)-SUM($K147:AA147),('PTRM input'!$K$148*(1+rvanilla05)^0.5)/A6stdlife))</f>
        <v>0</v>
      </c>
      <c r="AC147" s="107">
        <f>IF(A6stdlife="n/a","n/a",IF(AC$3&gt;(A6stdlife+$E147),('PTRM input'!$K$148*(1+rvanilla05)^0.5)-SUM($K147:AB147),('PTRM input'!$K$148*(1+rvanilla05)^0.5)/A6stdlife))</f>
        <v>0</v>
      </c>
      <c r="AD147" s="107">
        <f>IF(A6stdlife="n/a","n/a",IF(AD$3&gt;(A6stdlife+$E147),('PTRM input'!$K$148*(1+rvanilla05)^0.5)-SUM($K147:AC147),('PTRM input'!$K$148*(1+rvanilla05)^0.5)/A6stdlife))</f>
        <v>0</v>
      </c>
      <c r="AE147" s="107">
        <f>IF(A6stdlife="n/a","n/a",IF(AE$3&gt;(A6stdlife+$E147),('PTRM input'!$K$148*(1+rvanilla05)^0.5)-SUM($K147:AD147),('PTRM input'!$K$148*(1+rvanilla05)^0.5)/A6stdlife))</f>
        <v>0</v>
      </c>
      <c r="AF147" s="107">
        <f>IF(A6stdlife="n/a","n/a",IF(AF$3&gt;(A6stdlife+$E147),('PTRM input'!$K$148*(1+rvanilla05)^0.5)-SUM($K147:AE147),('PTRM input'!$K$148*(1+rvanilla05)^0.5)/A6stdlife))</f>
        <v>0</v>
      </c>
      <c r="AG147" s="107">
        <f>IF(A6stdlife="n/a","n/a",IF(AG$3&gt;(A6stdlife+$E147),('PTRM input'!$K$148*(1+rvanilla05)^0.5)-SUM($K147:AF147),('PTRM input'!$K$148*(1+rvanilla05)^0.5)/A6stdlife))</f>
        <v>0</v>
      </c>
      <c r="AH147" s="107">
        <f>IF(A6stdlife="n/a","n/a",IF(AH$3&gt;(A6stdlife+$E147),('PTRM input'!$K$148*(1+rvanilla05)^0.5)-SUM($K147:AG147),('PTRM input'!$K$148*(1+rvanilla05)^0.5)/A6stdlife))</f>
        <v>0</v>
      </c>
      <c r="AI147" s="107">
        <f>IF(A6stdlife="n/a","n/a",IF(AI$3&gt;(A6stdlife+$E147),('PTRM input'!$K$148*(1+rvanilla05)^0.5)-SUM($K147:AH147),('PTRM input'!$K$148*(1+rvanilla05)^0.5)/A6stdlife))</f>
        <v>0</v>
      </c>
      <c r="AJ147" s="107">
        <f>IF(A6stdlife="n/a","n/a",IF(AJ$3&gt;(A6stdlife+$E147),('PTRM input'!$K$148*(1+rvanilla05)^0.5)-SUM($K147:AI147),('PTRM input'!$K$148*(1+rvanilla05)^0.5)/A6stdlife))</f>
        <v>0</v>
      </c>
      <c r="AK147" s="107">
        <f>IF(A6stdlife="n/a","n/a",IF(AK$3&gt;(A6stdlife+$E147),('PTRM input'!$K$148*(1+rvanilla05)^0.5)-SUM($K147:AJ147),('PTRM input'!$K$148*(1+rvanilla05)^0.5)/A6stdlife))</f>
        <v>0</v>
      </c>
      <c r="AL147" s="107">
        <f>IF(A6stdlife="n/a","n/a",IF(AL$3&gt;(A6stdlife+$E147),('PTRM input'!$K$148*(1+rvanilla05)^0.5)-SUM($K147:AK147),('PTRM input'!$K$148*(1+rvanilla05)^0.5)/A6stdlife))</f>
        <v>0</v>
      </c>
      <c r="AM147" s="107">
        <f>IF(A6stdlife="n/a","n/a",IF(AM$3&gt;(A6stdlife+$E147),('PTRM input'!$K$148*(1+rvanilla05)^0.5)-SUM($K147:AL147),('PTRM input'!$K$148*(1+rvanilla05)^0.5)/A6stdlife))</f>
        <v>0</v>
      </c>
      <c r="AN147" s="107">
        <f>IF(A6stdlife="n/a","n/a",IF(AN$3&gt;(A6stdlife+$E147),('PTRM input'!$K$148*(1+rvanilla05)^0.5)-SUM($K147:AM147),('PTRM input'!$K$148*(1+rvanilla05)^0.5)/A6stdlife))</f>
        <v>0</v>
      </c>
      <c r="AO147" s="107">
        <f>IF(A6stdlife="n/a","n/a",IF(AO$3&gt;(A6stdlife+$E147),('PTRM input'!$K$148*(1+rvanilla05)^0.5)-SUM($K147:AN147),('PTRM input'!$K$148*(1+rvanilla05)^0.5)/A6stdlife))</f>
        <v>0</v>
      </c>
      <c r="AP147" s="107">
        <f>IF(A6stdlife="n/a","n/a",IF(AP$3&gt;(A6stdlife+$E147),('PTRM input'!$K$148*(1+rvanilla05)^0.5)-SUM($K147:AO147),('PTRM input'!$K$148*(1+rvanilla05)^0.5)/A6stdlife))</f>
        <v>0</v>
      </c>
      <c r="AQ147" s="107">
        <f>IF(A6stdlife="n/a","n/a",IF(AQ$3&gt;(A6stdlife+$E147),('PTRM input'!$K$148*(1+rvanilla05)^0.5)-SUM($K147:AP147),('PTRM input'!$K$148*(1+rvanilla05)^0.5)/A6stdlife))</f>
        <v>0</v>
      </c>
      <c r="AR147" s="107">
        <f>IF(A6stdlife="n/a","n/a",IF(AR$3&gt;(A6stdlife+$E147),('PTRM input'!$K$148*(1+rvanilla05)^0.5)-SUM($K147:AQ147),('PTRM input'!$K$148*(1+rvanilla05)^0.5)/A6stdlife))</f>
        <v>0</v>
      </c>
      <c r="AS147" s="107">
        <f>IF(A6stdlife="n/a","n/a",IF(AS$3&gt;(A6stdlife+$E147),('PTRM input'!$K$148*(1+rvanilla05)^0.5)-SUM($K147:AR147),('PTRM input'!$K$148*(1+rvanilla05)^0.5)/A6stdlife))</f>
        <v>0</v>
      </c>
      <c r="AT147" s="107">
        <f>IF(A6stdlife="n/a","n/a",IF(AT$3&gt;(A6stdlife+$E147),('PTRM input'!$K$148*(1+rvanilla05)^0.5)-SUM($K147:AS147),('PTRM input'!$K$148*(1+rvanilla05)^0.5)/A6stdlife))</f>
        <v>0</v>
      </c>
      <c r="AU147" s="107">
        <f>IF(A6stdlife="n/a","n/a",IF(AU$3&gt;(A6stdlife+$E147),('PTRM input'!$K$148*(1+rvanilla05)^0.5)-SUM($K147:AT147),('PTRM input'!$K$148*(1+rvanilla05)^0.5)/A6stdlife))</f>
        <v>0</v>
      </c>
      <c r="AV147" s="107">
        <f>IF(A6stdlife="n/a","n/a",IF(AV$3&gt;(A6stdlife+$E147),('PTRM input'!$K$148*(1+rvanilla05)^0.5)-SUM($K147:AU147),('PTRM input'!$K$148*(1+rvanilla05)^0.5)/A6stdlife))</f>
        <v>0</v>
      </c>
      <c r="AW147" s="107">
        <f>IF(A6stdlife="n/a","n/a",IF(AW$3&gt;(A6stdlife+$E147),('PTRM input'!$K$148*(1+rvanilla05)^0.5)-SUM($K147:AV147),('PTRM input'!$K$148*(1+rvanilla05)^0.5)/A6stdlife))</f>
        <v>0</v>
      </c>
      <c r="AX147" s="107">
        <f>IF(A6stdlife="n/a","n/a",IF(AX$3&gt;(A6stdlife+$E147),('PTRM input'!$K$148*(1+rvanilla05)^0.5)-SUM($K147:AW147),('PTRM input'!$K$148*(1+rvanilla05)^0.5)/A6stdlife))</f>
        <v>0</v>
      </c>
      <c r="AY147" s="107">
        <f>IF(A6stdlife="n/a","n/a",IF(AY$3&gt;(A6stdlife+$E147),('PTRM input'!$K$148*(1+rvanilla05)^0.5)-SUM($K147:AX147),('PTRM input'!$K$148*(1+rvanilla05)^0.5)/A6stdlife))</f>
        <v>0</v>
      </c>
      <c r="AZ147" s="107">
        <f>IF(A6stdlife="n/a","n/a",IF(AZ$3&gt;(A6stdlife+$E147),('PTRM input'!$K$148*(1+rvanilla05)^0.5)-SUM($K147:AY147),('PTRM input'!$K$148*(1+rvanilla05)^0.5)/A6stdlife))</f>
        <v>0</v>
      </c>
      <c r="BA147" s="107">
        <f>IF(A6stdlife="n/a","n/a",IF(BA$3&gt;(A6stdlife+$E147),('PTRM input'!$K$148*(1+rvanilla05)^0.5)-SUM($K147:AZ147),('PTRM input'!$K$148*(1+rvanilla05)^0.5)/A6stdlife))</f>
        <v>0</v>
      </c>
      <c r="BB147" s="107">
        <f>IF(A6stdlife="n/a","n/a",IF(BB$3&gt;(A6stdlife+$E147),('PTRM input'!$K$148*(1+rvanilla05)^0.5)-SUM($K147:BA147),('PTRM input'!$K$148*(1+rvanilla05)^0.5)/A6stdlife))</f>
        <v>0</v>
      </c>
      <c r="BC147" s="107">
        <f>IF(A6stdlife="n/a","n/a",IF(BC$3&gt;(A6stdlife+$E147),('PTRM input'!$K$148*(1+rvanilla05)^0.5)-SUM($K147:BB147),('PTRM input'!$K$148*(1+rvanilla05)^0.5)/A6stdlife))</f>
        <v>0</v>
      </c>
      <c r="BD147" s="107">
        <f>IF(A6stdlife="n/a","n/a",IF(BD$3&gt;(A6stdlife+$E147),('PTRM input'!$K$148*(1+rvanilla05)^0.5)-SUM($K147:BC147),('PTRM input'!$K$148*(1+rvanilla05)^0.5)/A6stdlife))</f>
        <v>0</v>
      </c>
      <c r="BE147" s="107">
        <f>IF(A6stdlife="n/a","n/a",IF(BE$3&gt;(A6stdlife+$E147),('PTRM input'!$K$148*(1+rvanilla05)^0.5)-SUM($K147:BD147),('PTRM input'!$K$148*(1+rvanilla05)^0.5)/A6stdlife))</f>
        <v>0</v>
      </c>
      <c r="BF147" s="107">
        <f>IF(A6stdlife="n/a","n/a",IF(BF$3&gt;(A6stdlife+$E147),('PTRM input'!$K$148*(1+rvanilla05)^0.5)-SUM($K147:BE147),('PTRM input'!$K$148*(1+rvanilla05)^0.5)/A6stdlife))</f>
        <v>0</v>
      </c>
      <c r="BG147" s="107">
        <f>IF(A6stdlife="n/a","n/a",IF(BG$3&gt;(A6stdlife+$E147),('PTRM input'!$K$148*(1+rvanilla05)^0.5)-SUM($K147:BF147),('PTRM input'!$K$148*(1+rvanilla05)^0.5)/A6stdlife))</f>
        <v>0</v>
      </c>
      <c r="BH147" s="107">
        <f>IF(A6stdlife="n/a","n/a",IF(BH$3&gt;(A6stdlife+$E147),('PTRM input'!$K$148*(1+rvanilla05)^0.5)-SUM($K147:BG147),('PTRM input'!$K$148*(1+rvanilla05)^0.5)/A6stdlife))</f>
        <v>0</v>
      </c>
      <c r="BI147" s="107">
        <f>IF(A6stdlife="n/a","n/a",IF(BI$3&gt;(A6stdlife+$E147),('PTRM input'!$K$148*(1+rvanilla05)^0.5)-SUM($K147:BH147),('PTRM input'!$K$148*(1+rvanilla05)^0.5)/A6stdlife))</f>
        <v>0</v>
      </c>
      <c r="BJ147" s="237"/>
      <c r="BK147" s="237"/>
      <c r="BL147" s="237"/>
      <c r="BM147" s="237"/>
    </row>
    <row r="148" spans="1:65" s="190" customFormat="1" hidden="1" outlineLevel="2">
      <c r="A148" s="237"/>
      <c r="B148" s="33"/>
      <c r="C148" s="32"/>
      <c r="D148" s="1618"/>
      <c r="E148" s="169">
        <v>6</v>
      </c>
      <c r="F148" s="35"/>
      <c r="G148" s="184"/>
      <c r="H148" s="186"/>
      <c r="I148" s="186"/>
      <c r="J148" s="186"/>
      <c r="K148" s="186"/>
      <c r="L148" s="185"/>
      <c r="M148" s="107">
        <f>IF(A6stdlife="n/a","n/a",IF(M$3&gt;(A6stdlife+$E148),('PTRM input'!$L$148*(1+rvanilla06)^0.5)-SUM($L148:L148),('PTRM input'!$L$148*(1+rvanilla06)^0.5)/A6stdlife))</f>
        <v>0</v>
      </c>
      <c r="N148" s="107">
        <f>IF(A6stdlife="n/a","n/a",IF(N$3&gt;(A6stdlife+$E148),('PTRM input'!$L$148*(1+rvanilla06)^0.5)-SUM($L148:M148),('PTRM input'!$L$148*(1+rvanilla06)^0.5)/A6stdlife))</f>
        <v>0</v>
      </c>
      <c r="O148" s="107">
        <f>IF(A6stdlife="n/a","n/a",IF(O$3&gt;(A6stdlife+$E148),('PTRM input'!$L$148*(1+rvanilla06)^0.5)-SUM($L148:N148),('PTRM input'!$L$148*(1+rvanilla06)^0.5)/A6stdlife))</f>
        <v>0</v>
      </c>
      <c r="P148" s="107">
        <f>IF(A6stdlife="n/a","n/a",IF(P$3&gt;(A6stdlife+$E148),('PTRM input'!$L$148*(1+rvanilla06)^0.5)-SUM($L148:O148),('PTRM input'!$L$148*(1+rvanilla06)^0.5)/A6stdlife))</f>
        <v>0</v>
      </c>
      <c r="Q148" s="107">
        <f>IF(A6stdlife="n/a","n/a",IF(Q$3&gt;(A6stdlife+$E148),('PTRM input'!$L$148*(1+rvanilla06)^0.5)-SUM($L148:P148),('PTRM input'!$L$148*(1+rvanilla06)^0.5)/A6stdlife))</f>
        <v>0</v>
      </c>
      <c r="R148" s="107">
        <f>IF(A6stdlife="n/a","n/a",IF(R$3&gt;(A6stdlife+$E148),('PTRM input'!$L$148*(1+rvanilla06)^0.5)-SUM($L148:Q148),('PTRM input'!$L$148*(1+rvanilla06)^0.5)/A6stdlife))</f>
        <v>0</v>
      </c>
      <c r="S148" s="107">
        <f>IF(A6stdlife="n/a","n/a",IF(S$3&gt;(A6stdlife+$E148),('PTRM input'!$L$148*(1+rvanilla06)^0.5)-SUM($L148:R148),('PTRM input'!$L$148*(1+rvanilla06)^0.5)/A6stdlife))</f>
        <v>0</v>
      </c>
      <c r="T148" s="107">
        <f>IF(A6stdlife="n/a","n/a",IF(T$3&gt;(A6stdlife+$E148),('PTRM input'!$L$148*(1+rvanilla06)^0.5)-SUM($L148:S148),('PTRM input'!$L$148*(1+rvanilla06)^0.5)/A6stdlife))</f>
        <v>0</v>
      </c>
      <c r="U148" s="107">
        <f>IF(A6stdlife="n/a","n/a",IF(U$3&gt;(A6stdlife+$E148),('PTRM input'!$L$148*(1+rvanilla06)^0.5)-SUM($L148:T148),('PTRM input'!$L$148*(1+rvanilla06)^0.5)/A6stdlife))</f>
        <v>0</v>
      </c>
      <c r="V148" s="107">
        <f>IF(A6stdlife="n/a","n/a",IF(V$3&gt;(A6stdlife+$E148),('PTRM input'!$L$148*(1+rvanilla06)^0.5)-SUM($L148:U148),('PTRM input'!$L$148*(1+rvanilla06)^0.5)/A6stdlife))</f>
        <v>0</v>
      </c>
      <c r="W148" s="107">
        <f>IF(A6stdlife="n/a","n/a",IF(W$3&gt;(A6stdlife+$E148),('PTRM input'!$L$148*(1+rvanilla06)^0.5)-SUM($L148:V148),('PTRM input'!$L$148*(1+rvanilla06)^0.5)/A6stdlife))</f>
        <v>0</v>
      </c>
      <c r="X148" s="107">
        <f>IF(A6stdlife="n/a","n/a",IF(X$3&gt;(A6stdlife+$E148),('PTRM input'!$L$148*(1+rvanilla06)^0.5)-SUM($L148:W148),('PTRM input'!$L$148*(1+rvanilla06)^0.5)/A6stdlife))</f>
        <v>0</v>
      </c>
      <c r="Y148" s="107">
        <f>IF(A6stdlife="n/a","n/a",IF(Y$3&gt;(A6stdlife+$E148),('PTRM input'!$L$148*(1+rvanilla06)^0.5)-SUM($L148:X148),('PTRM input'!$L$148*(1+rvanilla06)^0.5)/A6stdlife))</f>
        <v>0</v>
      </c>
      <c r="Z148" s="107">
        <f>IF(A6stdlife="n/a","n/a",IF(Z$3&gt;(A6stdlife+$E148),('PTRM input'!$L$148*(1+rvanilla06)^0.5)-SUM($L148:Y148),('PTRM input'!$L$148*(1+rvanilla06)^0.5)/A6stdlife))</f>
        <v>0</v>
      </c>
      <c r="AA148" s="107">
        <f>IF(A6stdlife="n/a","n/a",IF(AA$3&gt;(A6stdlife+$E148),('PTRM input'!$L$148*(1+rvanilla06)^0.5)-SUM($L148:Z148),('PTRM input'!$L$148*(1+rvanilla06)^0.5)/A6stdlife))</f>
        <v>0</v>
      </c>
      <c r="AB148" s="107">
        <f>IF(A6stdlife="n/a","n/a",IF(AB$3&gt;(A6stdlife+$E148),('PTRM input'!$L$148*(1+rvanilla06)^0.5)-SUM($L148:AA148),('PTRM input'!$L$148*(1+rvanilla06)^0.5)/A6stdlife))</f>
        <v>0</v>
      </c>
      <c r="AC148" s="107">
        <f>IF(A6stdlife="n/a","n/a",IF(AC$3&gt;(A6stdlife+$E148),('PTRM input'!$L$148*(1+rvanilla06)^0.5)-SUM($L148:AB148),('PTRM input'!$L$148*(1+rvanilla06)^0.5)/A6stdlife))</f>
        <v>0</v>
      </c>
      <c r="AD148" s="107">
        <f>IF(A6stdlife="n/a","n/a",IF(AD$3&gt;(A6stdlife+$E148),('PTRM input'!$L$148*(1+rvanilla06)^0.5)-SUM($L148:AC148),('PTRM input'!$L$148*(1+rvanilla06)^0.5)/A6stdlife))</f>
        <v>0</v>
      </c>
      <c r="AE148" s="107">
        <f>IF(A6stdlife="n/a","n/a",IF(AE$3&gt;(A6stdlife+$E148),('PTRM input'!$L$148*(1+rvanilla06)^0.5)-SUM($L148:AD148),('PTRM input'!$L$148*(1+rvanilla06)^0.5)/A6stdlife))</f>
        <v>0</v>
      </c>
      <c r="AF148" s="107">
        <f>IF(A6stdlife="n/a","n/a",IF(AF$3&gt;(A6stdlife+$E148),('PTRM input'!$L$148*(1+rvanilla06)^0.5)-SUM($L148:AE148),('PTRM input'!$L$148*(1+rvanilla06)^0.5)/A6stdlife))</f>
        <v>0</v>
      </c>
      <c r="AG148" s="107">
        <f>IF(A6stdlife="n/a","n/a",IF(AG$3&gt;(A6stdlife+$E148),('PTRM input'!$L$148*(1+rvanilla06)^0.5)-SUM($L148:AF148),('PTRM input'!$L$148*(1+rvanilla06)^0.5)/A6stdlife))</f>
        <v>0</v>
      </c>
      <c r="AH148" s="107">
        <f>IF(A6stdlife="n/a","n/a",IF(AH$3&gt;(A6stdlife+$E148),('PTRM input'!$L$148*(1+rvanilla06)^0.5)-SUM($L148:AG148),('PTRM input'!$L$148*(1+rvanilla06)^0.5)/A6stdlife))</f>
        <v>0</v>
      </c>
      <c r="AI148" s="107">
        <f>IF(A6stdlife="n/a","n/a",IF(AI$3&gt;(A6stdlife+$E148),('PTRM input'!$L$148*(1+rvanilla06)^0.5)-SUM($L148:AH148),('PTRM input'!$L$148*(1+rvanilla06)^0.5)/A6stdlife))</f>
        <v>0</v>
      </c>
      <c r="AJ148" s="107">
        <f>IF(A6stdlife="n/a","n/a",IF(AJ$3&gt;(A6stdlife+$E148),('PTRM input'!$L$148*(1+rvanilla06)^0.5)-SUM($L148:AI148),('PTRM input'!$L$148*(1+rvanilla06)^0.5)/A6stdlife))</f>
        <v>0</v>
      </c>
      <c r="AK148" s="107">
        <f>IF(A6stdlife="n/a","n/a",IF(AK$3&gt;(A6stdlife+$E148),('PTRM input'!$L$148*(1+rvanilla06)^0.5)-SUM($L148:AJ148),('PTRM input'!$L$148*(1+rvanilla06)^0.5)/A6stdlife))</f>
        <v>0</v>
      </c>
      <c r="AL148" s="107">
        <f>IF(A6stdlife="n/a","n/a",IF(AL$3&gt;(A6stdlife+$E148),('PTRM input'!$L$148*(1+rvanilla06)^0.5)-SUM($L148:AK148),('PTRM input'!$L$148*(1+rvanilla06)^0.5)/A6stdlife))</f>
        <v>0</v>
      </c>
      <c r="AM148" s="107">
        <f>IF(A6stdlife="n/a","n/a",IF(AM$3&gt;(A6stdlife+$E148),('PTRM input'!$L$148*(1+rvanilla06)^0.5)-SUM($L148:AL148),('PTRM input'!$L$148*(1+rvanilla06)^0.5)/A6stdlife))</f>
        <v>0</v>
      </c>
      <c r="AN148" s="107">
        <f>IF(A6stdlife="n/a","n/a",IF(AN$3&gt;(A6stdlife+$E148),('PTRM input'!$L$148*(1+rvanilla06)^0.5)-SUM($L148:AM148),('PTRM input'!$L$148*(1+rvanilla06)^0.5)/A6stdlife))</f>
        <v>0</v>
      </c>
      <c r="AO148" s="107">
        <f>IF(A6stdlife="n/a","n/a",IF(AO$3&gt;(A6stdlife+$E148),('PTRM input'!$L$148*(1+rvanilla06)^0.5)-SUM($L148:AN148),('PTRM input'!$L$148*(1+rvanilla06)^0.5)/A6stdlife))</f>
        <v>0</v>
      </c>
      <c r="AP148" s="107">
        <f>IF(A6stdlife="n/a","n/a",IF(AP$3&gt;(A6stdlife+$E148),('PTRM input'!$L$148*(1+rvanilla06)^0.5)-SUM($L148:AO148),('PTRM input'!$L$148*(1+rvanilla06)^0.5)/A6stdlife))</f>
        <v>0</v>
      </c>
      <c r="AQ148" s="107">
        <f>IF(A6stdlife="n/a","n/a",IF(AQ$3&gt;(A6stdlife+$E148),('PTRM input'!$L$148*(1+rvanilla06)^0.5)-SUM($L148:AP148),('PTRM input'!$L$148*(1+rvanilla06)^0.5)/A6stdlife))</f>
        <v>0</v>
      </c>
      <c r="AR148" s="107">
        <f>IF(A6stdlife="n/a","n/a",IF(AR$3&gt;(A6stdlife+$E148),('PTRM input'!$L$148*(1+rvanilla06)^0.5)-SUM($L148:AQ148),('PTRM input'!$L$148*(1+rvanilla06)^0.5)/A6stdlife))</f>
        <v>0</v>
      </c>
      <c r="AS148" s="107">
        <f>IF(A6stdlife="n/a","n/a",IF(AS$3&gt;(A6stdlife+$E148),('PTRM input'!$L$148*(1+rvanilla06)^0.5)-SUM($L148:AR148),('PTRM input'!$L$148*(1+rvanilla06)^0.5)/A6stdlife))</f>
        <v>0</v>
      </c>
      <c r="AT148" s="107">
        <f>IF(A6stdlife="n/a","n/a",IF(AT$3&gt;(A6stdlife+$E148),('PTRM input'!$L$148*(1+rvanilla06)^0.5)-SUM($L148:AS148),('PTRM input'!$L$148*(1+rvanilla06)^0.5)/A6stdlife))</f>
        <v>0</v>
      </c>
      <c r="AU148" s="107">
        <f>IF(A6stdlife="n/a","n/a",IF(AU$3&gt;(A6stdlife+$E148),('PTRM input'!$L$148*(1+rvanilla06)^0.5)-SUM($L148:AT148),('PTRM input'!$L$148*(1+rvanilla06)^0.5)/A6stdlife))</f>
        <v>0</v>
      </c>
      <c r="AV148" s="107">
        <f>IF(A6stdlife="n/a","n/a",IF(AV$3&gt;(A6stdlife+$E148),('PTRM input'!$L$148*(1+rvanilla06)^0.5)-SUM($L148:AU148),('PTRM input'!$L$148*(1+rvanilla06)^0.5)/A6stdlife))</f>
        <v>0</v>
      </c>
      <c r="AW148" s="107">
        <f>IF(A6stdlife="n/a","n/a",IF(AW$3&gt;(A6stdlife+$E148),('PTRM input'!$L$148*(1+rvanilla06)^0.5)-SUM($L148:AV148),('PTRM input'!$L$148*(1+rvanilla06)^0.5)/A6stdlife))</f>
        <v>0</v>
      </c>
      <c r="AX148" s="107">
        <f>IF(A6stdlife="n/a","n/a",IF(AX$3&gt;(A6stdlife+$E148),('PTRM input'!$L$148*(1+rvanilla06)^0.5)-SUM($L148:AW148),('PTRM input'!$L$148*(1+rvanilla06)^0.5)/A6stdlife))</f>
        <v>0</v>
      </c>
      <c r="AY148" s="107">
        <f>IF(A6stdlife="n/a","n/a",IF(AY$3&gt;(A6stdlife+$E148),('PTRM input'!$L$148*(1+rvanilla06)^0.5)-SUM($L148:AX148),('PTRM input'!$L$148*(1+rvanilla06)^0.5)/A6stdlife))</f>
        <v>0</v>
      </c>
      <c r="AZ148" s="107">
        <f>IF(A6stdlife="n/a","n/a",IF(AZ$3&gt;(A6stdlife+$E148),('PTRM input'!$L$148*(1+rvanilla06)^0.5)-SUM($L148:AY148),('PTRM input'!$L$148*(1+rvanilla06)^0.5)/A6stdlife))</f>
        <v>0</v>
      </c>
      <c r="BA148" s="107">
        <f>IF(A6stdlife="n/a","n/a",IF(BA$3&gt;(A6stdlife+$E148),('PTRM input'!$L$148*(1+rvanilla06)^0.5)-SUM($L148:AZ148),('PTRM input'!$L$148*(1+rvanilla06)^0.5)/A6stdlife))</f>
        <v>0</v>
      </c>
      <c r="BB148" s="107">
        <f>IF(A6stdlife="n/a","n/a",IF(BB$3&gt;(A6stdlife+$E148),('PTRM input'!$L$148*(1+rvanilla06)^0.5)-SUM($L148:BA148),('PTRM input'!$L$148*(1+rvanilla06)^0.5)/A6stdlife))</f>
        <v>0</v>
      </c>
      <c r="BC148" s="107">
        <f>IF(A6stdlife="n/a","n/a",IF(BC$3&gt;(A6stdlife+$E148),('PTRM input'!$L$148*(1+rvanilla06)^0.5)-SUM($L148:BB148),('PTRM input'!$L$148*(1+rvanilla06)^0.5)/A6stdlife))</f>
        <v>0</v>
      </c>
      <c r="BD148" s="107">
        <f>IF(A6stdlife="n/a","n/a",IF(BD$3&gt;(A6stdlife+$E148),('PTRM input'!$L$148*(1+rvanilla06)^0.5)-SUM($L148:BC148),('PTRM input'!$L$148*(1+rvanilla06)^0.5)/A6stdlife))</f>
        <v>0</v>
      </c>
      <c r="BE148" s="107">
        <f>IF(A6stdlife="n/a","n/a",IF(BE$3&gt;(A6stdlife+$E148),('PTRM input'!$L$148*(1+rvanilla06)^0.5)-SUM($L148:BD148),('PTRM input'!$L$148*(1+rvanilla06)^0.5)/A6stdlife))</f>
        <v>0</v>
      </c>
      <c r="BF148" s="107">
        <f>IF(A6stdlife="n/a","n/a",IF(BF$3&gt;(A6stdlife+$E148),('PTRM input'!$L$148*(1+rvanilla06)^0.5)-SUM($L148:BE148),('PTRM input'!$L$148*(1+rvanilla06)^0.5)/A6stdlife))</f>
        <v>0</v>
      </c>
      <c r="BG148" s="107">
        <f>IF(A6stdlife="n/a","n/a",IF(BG$3&gt;(A6stdlife+$E148),('PTRM input'!$L$148*(1+rvanilla06)^0.5)-SUM($L148:BF148),('PTRM input'!$L$148*(1+rvanilla06)^0.5)/A6stdlife))</f>
        <v>0</v>
      </c>
      <c r="BH148" s="107">
        <f>IF(A6stdlife="n/a","n/a",IF(BH$3&gt;(A6stdlife+$E148),('PTRM input'!$L$148*(1+rvanilla06)^0.5)-SUM($L148:BG148),('PTRM input'!$L$148*(1+rvanilla06)^0.5)/A6stdlife))</f>
        <v>0</v>
      </c>
      <c r="BI148" s="107">
        <f>IF(A6stdlife="n/a","n/a",IF(BI$3&gt;(A6stdlife+$E148),('PTRM input'!$L$148*(1+rvanilla06)^0.5)-SUM($L148:BH148),('PTRM input'!$L$148*(1+rvanilla06)^0.5)/A6stdlife))</f>
        <v>0</v>
      </c>
      <c r="BJ148" s="237"/>
      <c r="BK148" s="237"/>
      <c r="BL148" s="237"/>
      <c r="BM148" s="237"/>
    </row>
    <row r="149" spans="1:65" s="190" customFormat="1" hidden="1" outlineLevel="2">
      <c r="A149" s="237"/>
      <c r="B149" s="33"/>
      <c r="C149" s="32"/>
      <c r="D149" s="1618"/>
      <c r="E149" s="169">
        <v>7</v>
      </c>
      <c r="F149" s="35"/>
      <c r="G149" s="184"/>
      <c r="H149" s="186"/>
      <c r="I149" s="186"/>
      <c r="J149" s="186"/>
      <c r="K149" s="186"/>
      <c r="L149" s="186"/>
      <c r="M149" s="185"/>
      <c r="N149" s="107">
        <f>IF(A6stdlife="n/a","n/a",IF(N$3&gt;(A6stdlife+$E149),('PTRM input'!$M$148*(1+rvanilla07)^0.5)-SUM($M149:M149),('PTRM input'!$M$148*(1+rvanilla07)^0.5)/A6stdlife))</f>
        <v>0</v>
      </c>
      <c r="O149" s="107">
        <f>IF(A6stdlife="n/a","n/a",IF(O$3&gt;(A6stdlife+$E149),('PTRM input'!$M$148*(1+rvanilla07)^0.5)-SUM($M149:N149),('PTRM input'!$M$148*(1+rvanilla07)^0.5)/A6stdlife))</f>
        <v>0</v>
      </c>
      <c r="P149" s="107">
        <f>IF(A6stdlife="n/a","n/a",IF(P$3&gt;(A6stdlife+$E149),('PTRM input'!$M$148*(1+rvanilla07)^0.5)-SUM($M149:O149),('PTRM input'!$M$148*(1+rvanilla07)^0.5)/A6stdlife))</f>
        <v>0</v>
      </c>
      <c r="Q149" s="107">
        <f>IF(A6stdlife="n/a","n/a",IF(Q$3&gt;(A6stdlife+$E149),('PTRM input'!$M$148*(1+rvanilla07)^0.5)-SUM($M149:P149),('PTRM input'!$M$148*(1+rvanilla07)^0.5)/A6stdlife))</f>
        <v>0</v>
      </c>
      <c r="R149" s="107">
        <f>IF(A6stdlife="n/a","n/a",IF(R$3&gt;(A6stdlife+$E149),('PTRM input'!$M$148*(1+rvanilla07)^0.5)-SUM($M149:Q149),('PTRM input'!$M$148*(1+rvanilla07)^0.5)/A6stdlife))</f>
        <v>0</v>
      </c>
      <c r="S149" s="107">
        <f>IF(A6stdlife="n/a","n/a",IF(S$3&gt;(A6stdlife+$E149),('PTRM input'!$M$148*(1+rvanilla07)^0.5)-SUM($M149:R149),('PTRM input'!$M$148*(1+rvanilla07)^0.5)/A6stdlife))</f>
        <v>0</v>
      </c>
      <c r="T149" s="107">
        <f>IF(A6stdlife="n/a","n/a",IF(T$3&gt;(A6stdlife+$E149),('PTRM input'!$M$148*(1+rvanilla07)^0.5)-SUM($M149:S149),('PTRM input'!$M$148*(1+rvanilla07)^0.5)/A6stdlife))</f>
        <v>0</v>
      </c>
      <c r="U149" s="107">
        <f>IF(A6stdlife="n/a","n/a",IF(U$3&gt;(A6stdlife+$E149),('PTRM input'!$M$148*(1+rvanilla07)^0.5)-SUM($M149:T149),('PTRM input'!$M$148*(1+rvanilla07)^0.5)/A6stdlife))</f>
        <v>0</v>
      </c>
      <c r="V149" s="107">
        <f>IF(A6stdlife="n/a","n/a",IF(V$3&gt;(A6stdlife+$E149),('PTRM input'!$M$148*(1+rvanilla07)^0.5)-SUM($M149:U149),('PTRM input'!$M$148*(1+rvanilla07)^0.5)/A6stdlife))</f>
        <v>0</v>
      </c>
      <c r="W149" s="107">
        <f>IF(A6stdlife="n/a","n/a",IF(W$3&gt;(A6stdlife+$E149),('PTRM input'!$M$148*(1+rvanilla07)^0.5)-SUM($M149:V149),('PTRM input'!$M$148*(1+rvanilla07)^0.5)/A6stdlife))</f>
        <v>0</v>
      </c>
      <c r="X149" s="107">
        <f>IF(A6stdlife="n/a","n/a",IF(X$3&gt;(A6stdlife+$E149),('PTRM input'!$M$148*(1+rvanilla07)^0.5)-SUM($M149:W149),('PTRM input'!$M$148*(1+rvanilla07)^0.5)/A6stdlife))</f>
        <v>0</v>
      </c>
      <c r="Y149" s="107">
        <f>IF(A6stdlife="n/a","n/a",IF(Y$3&gt;(A6stdlife+$E149),('PTRM input'!$M$148*(1+rvanilla07)^0.5)-SUM($M149:X149),('PTRM input'!$M$148*(1+rvanilla07)^0.5)/A6stdlife))</f>
        <v>0</v>
      </c>
      <c r="Z149" s="107">
        <f>IF(A6stdlife="n/a","n/a",IF(Z$3&gt;(A6stdlife+$E149),('PTRM input'!$M$148*(1+rvanilla07)^0.5)-SUM($M149:Y149),('PTRM input'!$M$148*(1+rvanilla07)^0.5)/A6stdlife))</f>
        <v>0</v>
      </c>
      <c r="AA149" s="107">
        <f>IF(A6stdlife="n/a","n/a",IF(AA$3&gt;(A6stdlife+$E149),('PTRM input'!$M$148*(1+rvanilla07)^0.5)-SUM($M149:Z149),('PTRM input'!$M$148*(1+rvanilla07)^0.5)/A6stdlife))</f>
        <v>0</v>
      </c>
      <c r="AB149" s="107">
        <f>IF(A6stdlife="n/a","n/a",IF(AB$3&gt;(A6stdlife+$E149),('PTRM input'!$M$148*(1+rvanilla07)^0.5)-SUM($M149:AA149),('PTRM input'!$M$148*(1+rvanilla07)^0.5)/A6stdlife))</f>
        <v>0</v>
      </c>
      <c r="AC149" s="107">
        <f>IF(A6stdlife="n/a","n/a",IF(AC$3&gt;(A6stdlife+$E149),('PTRM input'!$M$148*(1+rvanilla07)^0.5)-SUM($M149:AB149),('PTRM input'!$M$148*(1+rvanilla07)^0.5)/A6stdlife))</f>
        <v>0</v>
      </c>
      <c r="AD149" s="107">
        <f>IF(A6stdlife="n/a","n/a",IF(AD$3&gt;(A6stdlife+$E149),('PTRM input'!$M$148*(1+rvanilla07)^0.5)-SUM($M149:AC149),('PTRM input'!$M$148*(1+rvanilla07)^0.5)/A6stdlife))</f>
        <v>0</v>
      </c>
      <c r="AE149" s="107">
        <f>IF(A6stdlife="n/a","n/a",IF(AE$3&gt;(A6stdlife+$E149),('PTRM input'!$M$148*(1+rvanilla07)^0.5)-SUM($M149:AD149),('PTRM input'!$M$148*(1+rvanilla07)^0.5)/A6stdlife))</f>
        <v>0</v>
      </c>
      <c r="AF149" s="107">
        <f>IF(A6stdlife="n/a","n/a",IF(AF$3&gt;(A6stdlife+$E149),('PTRM input'!$M$148*(1+rvanilla07)^0.5)-SUM($M149:AE149),('PTRM input'!$M$148*(1+rvanilla07)^0.5)/A6stdlife))</f>
        <v>0</v>
      </c>
      <c r="AG149" s="107">
        <f>IF(A6stdlife="n/a","n/a",IF(AG$3&gt;(A6stdlife+$E149),('PTRM input'!$M$148*(1+rvanilla07)^0.5)-SUM($M149:AF149),('PTRM input'!$M$148*(1+rvanilla07)^0.5)/A6stdlife))</f>
        <v>0</v>
      </c>
      <c r="AH149" s="107">
        <f>IF(A6stdlife="n/a","n/a",IF(AH$3&gt;(A6stdlife+$E149),('PTRM input'!$M$148*(1+rvanilla07)^0.5)-SUM($M149:AG149),('PTRM input'!$M$148*(1+rvanilla07)^0.5)/A6stdlife))</f>
        <v>0</v>
      </c>
      <c r="AI149" s="107">
        <f>IF(A6stdlife="n/a","n/a",IF(AI$3&gt;(A6stdlife+$E149),('PTRM input'!$M$148*(1+rvanilla07)^0.5)-SUM($M149:AH149),('PTRM input'!$M$148*(1+rvanilla07)^0.5)/A6stdlife))</f>
        <v>0</v>
      </c>
      <c r="AJ149" s="107">
        <f>IF(A6stdlife="n/a","n/a",IF(AJ$3&gt;(A6stdlife+$E149),('PTRM input'!$M$148*(1+rvanilla07)^0.5)-SUM($M149:AI149),('PTRM input'!$M$148*(1+rvanilla07)^0.5)/A6stdlife))</f>
        <v>0</v>
      </c>
      <c r="AK149" s="107">
        <f>IF(A6stdlife="n/a","n/a",IF(AK$3&gt;(A6stdlife+$E149),('PTRM input'!$M$148*(1+rvanilla07)^0.5)-SUM($M149:AJ149),('PTRM input'!$M$148*(1+rvanilla07)^0.5)/A6stdlife))</f>
        <v>0</v>
      </c>
      <c r="AL149" s="107">
        <f>IF(A6stdlife="n/a","n/a",IF(AL$3&gt;(A6stdlife+$E149),('PTRM input'!$M$148*(1+rvanilla07)^0.5)-SUM($M149:AK149),('PTRM input'!$M$148*(1+rvanilla07)^0.5)/A6stdlife))</f>
        <v>0</v>
      </c>
      <c r="AM149" s="107">
        <f>IF(A6stdlife="n/a","n/a",IF(AM$3&gt;(A6stdlife+$E149),('PTRM input'!$M$148*(1+rvanilla07)^0.5)-SUM($M149:AL149),('PTRM input'!$M$148*(1+rvanilla07)^0.5)/A6stdlife))</f>
        <v>0</v>
      </c>
      <c r="AN149" s="107">
        <f>IF(A6stdlife="n/a","n/a",IF(AN$3&gt;(A6stdlife+$E149),('PTRM input'!$M$148*(1+rvanilla07)^0.5)-SUM($M149:AM149),('PTRM input'!$M$148*(1+rvanilla07)^0.5)/A6stdlife))</f>
        <v>0</v>
      </c>
      <c r="AO149" s="107">
        <f>IF(A6stdlife="n/a","n/a",IF(AO$3&gt;(A6stdlife+$E149),('PTRM input'!$M$148*(1+rvanilla07)^0.5)-SUM($M149:AN149),('PTRM input'!$M$148*(1+rvanilla07)^0.5)/A6stdlife))</f>
        <v>0</v>
      </c>
      <c r="AP149" s="107">
        <f>IF(A6stdlife="n/a","n/a",IF(AP$3&gt;(A6stdlife+$E149),('PTRM input'!$M$148*(1+rvanilla07)^0.5)-SUM($M149:AO149),('PTRM input'!$M$148*(1+rvanilla07)^0.5)/A6stdlife))</f>
        <v>0</v>
      </c>
      <c r="AQ149" s="107">
        <f>IF(A6stdlife="n/a","n/a",IF(AQ$3&gt;(A6stdlife+$E149),('PTRM input'!$M$148*(1+rvanilla07)^0.5)-SUM($M149:AP149),('PTRM input'!$M$148*(1+rvanilla07)^0.5)/A6stdlife))</f>
        <v>0</v>
      </c>
      <c r="AR149" s="107">
        <f>IF(A6stdlife="n/a","n/a",IF(AR$3&gt;(A6stdlife+$E149),('PTRM input'!$M$148*(1+rvanilla07)^0.5)-SUM($M149:AQ149),('PTRM input'!$M$148*(1+rvanilla07)^0.5)/A6stdlife))</f>
        <v>0</v>
      </c>
      <c r="AS149" s="107">
        <f>IF(A6stdlife="n/a","n/a",IF(AS$3&gt;(A6stdlife+$E149),('PTRM input'!$M$148*(1+rvanilla07)^0.5)-SUM($M149:AR149),('PTRM input'!$M$148*(1+rvanilla07)^0.5)/A6stdlife))</f>
        <v>0</v>
      </c>
      <c r="AT149" s="107">
        <f>IF(A6stdlife="n/a","n/a",IF(AT$3&gt;(A6stdlife+$E149),('PTRM input'!$M$148*(1+rvanilla07)^0.5)-SUM($M149:AS149),('PTRM input'!$M$148*(1+rvanilla07)^0.5)/A6stdlife))</f>
        <v>0</v>
      </c>
      <c r="AU149" s="107">
        <f>IF(A6stdlife="n/a","n/a",IF(AU$3&gt;(A6stdlife+$E149),('PTRM input'!$M$148*(1+rvanilla07)^0.5)-SUM($M149:AT149),('PTRM input'!$M$148*(1+rvanilla07)^0.5)/A6stdlife))</f>
        <v>0</v>
      </c>
      <c r="AV149" s="107">
        <f>IF(A6stdlife="n/a","n/a",IF(AV$3&gt;(A6stdlife+$E149),('PTRM input'!$M$148*(1+rvanilla07)^0.5)-SUM($M149:AU149),('PTRM input'!$M$148*(1+rvanilla07)^0.5)/A6stdlife))</f>
        <v>0</v>
      </c>
      <c r="AW149" s="107">
        <f>IF(A6stdlife="n/a","n/a",IF(AW$3&gt;(A6stdlife+$E149),('PTRM input'!$M$148*(1+rvanilla07)^0.5)-SUM($M149:AV149),('PTRM input'!$M$148*(1+rvanilla07)^0.5)/A6stdlife))</f>
        <v>0</v>
      </c>
      <c r="AX149" s="107">
        <f>IF(A6stdlife="n/a","n/a",IF(AX$3&gt;(A6stdlife+$E149),('PTRM input'!$M$148*(1+rvanilla07)^0.5)-SUM($M149:AW149),('PTRM input'!$M$148*(1+rvanilla07)^0.5)/A6stdlife))</f>
        <v>0</v>
      </c>
      <c r="AY149" s="107">
        <f>IF(A6stdlife="n/a","n/a",IF(AY$3&gt;(A6stdlife+$E149),('PTRM input'!$M$148*(1+rvanilla07)^0.5)-SUM($M149:AX149),('PTRM input'!$M$148*(1+rvanilla07)^0.5)/A6stdlife))</f>
        <v>0</v>
      </c>
      <c r="AZ149" s="107">
        <f>IF(A6stdlife="n/a","n/a",IF(AZ$3&gt;(A6stdlife+$E149),('PTRM input'!$M$148*(1+rvanilla07)^0.5)-SUM($M149:AY149),('PTRM input'!$M$148*(1+rvanilla07)^0.5)/A6stdlife))</f>
        <v>0</v>
      </c>
      <c r="BA149" s="107">
        <f>IF(A6stdlife="n/a","n/a",IF(BA$3&gt;(A6stdlife+$E149),('PTRM input'!$M$148*(1+rvanilla07)^0.5)-SUM($M149:AZ149),('PTRM input'!$M$148*(1+rvanilla07)^0.5)/A6stdlife))</f>
        <v>0</v>
      </c>
      <c r="BB149" s="107">
        <f>IF(A6stdlife="n/a","n/a",IF(BB$3&gt;(A6stdlife+$E149),('PTRM input'!$M$148*(1+rvanilla07)^0.5)-SUM($M149:BA149),('PTRM input'!$M$148*(1+rvanilla07)^0.5)/A6stdlife))</f>
        <v>0</v>
      </c>
      <c r="BC149" s="107">
        <f>IF(A6stdlife="n/a","n/a",IF(BC$3&gt;(A6stdlife+$E149),('PTRM input'!$M$148*(1+rvanilla07)^0.5)-SUM($M149:BB149),('PTRM input'!$M$148*(1+rvanilla07)^0.5)/A6stdlife))</f>
        <v>0</v>
      </c>
      <c r="BD149" s="107">
        <f>IF(A6stdlife="n/a","n/a",IF(BD$3&gt;(A6stdlife+$E149),('PTRM input'!$M$148*(1+rvanilla07)^0.5)-SUM($M149:BC149),('PTRM input'!$M$148*(1+rvanilla07)^0.5)/A6stdlife))</f>
        <v>0</v>
      </c>
      <c r="BE149" s="107">
        <f>IF(A6stdlife="n/a","n/a",IF(BE$3&gt;(A6stdlife+$E149),('PTRM input'!$M$148*(1+rvanilla07)^0.5)-SUM($M149:BD149),('PTRM input'!$M$148*(1+rvanilla07)^0.5)/A6stdlife))</f>
        <v>0</v>
      </c>
      <c r="BF149" s="107">
        <f>IF(A6stdlife="n/a","n/a",IF(BF$3&gt;(A6stdlife+$E149),('PTRM input'!$M$148*(1+rvanilla07)^0.5)-SUM($M149:BE149),('PTRM input'!$M$148*(1+rvanilla07)^0.5)/A6stdlife))</f>
        <v>0</v>
      </c>
      <c r="BG149" s="107">
        <f>IF(A6stdlife="n/a","n/a",IF(BG$3&gt;(A6stdlife+$E149),('PTRM input'!$M$148*(1+rvanilla07)^0.5)-SUM($M149:BF149),('PTRM input'!$M$148*(1+rvanilla07)^0.5)/A6stdlife))</f>
        <v>0</v>
      </c>
      <c r="BH149" s="107">
        <f>IF(A6stdlife="n/a","n/a",IF(BH$3&gt;(A6stdlife+$E149),('PTRM input'!$M$148*(1+rvanilla07)^0.5)-SUM($M149:BG149),('PTRM input'!$M$148*(1+rvanilla07)^0.5)/A6stdlife))</f>
        <v>0</v>
      </c>
      <c r="BI149" s="107">
        <f>IF(A6stdlife="n/a","n/a",IF(BI$3&gt;(A6stdlife+$E149),('PTRM input'!$M$148*(1+rvanilla07)^0.5)-SUM($M149:BH149),('PTRM input'!$M$148*(1+rvanilla07)^0.5)/A6stdlife))</f>
        <v>0</v>
      </c>
      <c r="BJ149" s="237"/>
      <c r="BK149" s="237"/>
      <c r="BL149" s="237"/>
      <c r="BM149" s="237"/>
    </row>
    <row r="150" spans="1:65" s="190" customFormat="1" hidden="1" outlineLevel="2">
      <c r="A150" s="237"/>
      <c r="B150" s="33"/>
      <c r="C150" s="32"/>
      <c r="D150" s="1618"/>
      <c r="E150" s="169">
        <v>8</v>
      </c>
      <c r="F150" s="35"/>
      <c r="G150" s="184"/>
      <c r="H150" s="186"/>
      <c r="I150" s="186"/>
      <c r="J150" s="186"/>
      <c r="K150" s="186"/>
      <c r="L150" s="186"/>
      <c r="M150" s="186"/>
      <c r="N150" s="185"/>
      <c r="O150" s="107">
        <f>IF(A6stdlife="n/a","n/a",IF(O$3&gt;(A6stdlife+$E150),('PTRM input'!$N$148*(1+rvanilla08)^0.5)-SUM($N150:N150),('PTRM input'!$N$148*(1+rvanilla08)^0.5)/A6stdlife))</f>
        <v>0</v>
      </c>
      <c r="P150" s="107">
        <f>IF(A6stdlife="n/a","n/a",IF(P$3&gt;(A6stdlife+$E150),('PTRM input'!$N$148*(1+rvanilla08)^0.5)-SUM($N150:O150),('PTRM input'!$N$148*(1+rvanilla08)^0.5)/A6stdlife))</f>
        <v>0</v>
      </c>
      <c r="Q150" s="107">
        <f>IF(A6stdlife="n/a","n/a",IF(Q$3&gt;(A6stdlife+$E150),('PTRM input'!$N$148*(1+rvanilla08)^0.5)-SUM($N150:P150),('PTRM input'!$N$148*(1+rvanilla08)^0.5)/A6stdlife))</f>
        <v>0</v>
      </c>
      <c r="R150" s="107">
        <f>IF(A6stdlife="n/a","n/a",IF(R$3&gt;(A6stdlife+$E150),('PTRM input'!$N$148*(1+rvanilla08)^0.5)-SUM($N150:Q150),('PTRM input'!$N$148*(1+rvanilla08)^0.5)/A6stdlife))</f>
        <v>0</v>
      </c>
      <c r="S150" s="107">
        <f>IF(A6stdlife="n/a","n/a",IF(S$3&gt;(A6stdlife+$E150),('PTRM input'!$N$148*(1+rvanilla08)^0.5)-SUM($N150:R150),('PTRM input'!$N$148*(1+rvanilla08)^0.5)/A6stdlife))</f>
        <v>0</v>
      </c>
      <c r="T150" s="107">
        <f>IF(A6stdlife="n/a","n/a",IF(T$3&gt;(A6stdlife+$E150),('PTRM input'!$N$148*(1+rvanilla08)^0.5)-SUM($N150:S150),('PTRM input'!$N$148*(1+rvanilla08)^0.5)/A6stdlife))</f>
        <v>0</v>
      </c>
      <c r="U150" s="107">
        <f>IF(A6stdlife="n/a","n/a",IF(U$3&gt;(A6stdlife+$E150),('PTRM input'!$N$148*(1+rvanilla08)^0.5)-SUM($N150:T150),('PTRM input'!$N$148*(1+rvanilla08)^0.5)/A6stdlife))</f>
        <v>0</v>
      </c>
      <c r="V150" s="107">
        <f>IF(A6stdlife="n/a","n/a",IF(V$3&gt;(A6stdlife+$E150),('PTRM input'!$N$148*(1+rvanilla08)^0.5)-SUM($N150:U150),('PTRM input'!$N$148*(1+rvanilla08)^0.5)/A6stdlife))</f>
        <v>0</v>
      </c>
      <c r="W150" s="107">
        <f>IF(A6stdlife="n/a","n/a",IF(W$3&gt;(A6stdlife+$E150),('PTRM input'!$N$148*(1+rvanilla08)^0.5)-SUM($N150:V150),('PTRM input'!$N$148*(1+rvanilla08)^0.5)/A6stdlife))</f>
        <v>0</v>
      </c>
      <c r="X150" s="107">
        <f>IF(A6stdlife="n/a","n/a",IF(X$3&gt;(A6stdlife+$E150),('PTRM input'!$N$148*(1+rvanilla08)^0.5)-SUM($N150:W150),('PTRM input'!$N$148*(1+rvanilla08)^0.5)/A6stdlife))</f>
        <v>0</v>
      </c>
      <c r="Y150" s="107">
        <f>IF(A6stdlife="n/a","n/a",IF(Y$3&gt;(A6stdlife+$E150),('PTRM input'!$N$148*(1+rvanilla08)^0.5)-SUM($N150:X150),('PTRM input'!$N$148*(1+rvanilla08)^0.5)/A6stdlife))</f>
        <v>0</v>
      </c>
      <c r="Z150" s="107">
        <f>IF(A6stdlife="n/a","n/a",IF(Z$3&gt;(A6stdlife+$E150),('PTRM input'!$N$148*(1+rvanilla08)^0.5)-SUM($N150:Y150),('PTRM input'!$N$148*(1+rvanilla08)^0.5)/A6stdlife))</f>
        <v>0</v>
      </c>
      <c r="AA150" s="107">
        <f>IF(A6stdlife="n/a","n/a",IF(AA$3&gt;(A6stdlife+$E150),('PTRM input'!$N$148*(1+rvanilla08)^0.5)-SUM($N150:Z150),('PTRM input'!$N$148*(1+rvanilla08)^0.5)/A6stdlife))</f>
        <v>0</v>
      </c>
      <c r="AB150" s="107">
        <f>IF(A6stdlife="n/a","n/a",IF(AB$3&gt;(A6stdlife+$E150),('PTRM input'!$N$148*(1+rvanilla08)^0.5)-SUM($N150:AA150),('PTRM input'!$N$148*(1+rvanilla08)^0.5)/A6stdlife))</f>
        <v>0</v>
      </c>
      <c r="AC150" s="107">
        <f>IF(A6stdlife="n/a","n/a",IF(AC$3&gt;(A6stdlife+$E150),('PTRM input'!$N$148*(1+rvanilla08)^0.5)-SUM($N150:AB150),('PTRM input'!$N$148*(1+rvanilla08)^0.5)/A6stdlife))</f>
        <v>0</v>
      </c>
      <c r="AD150" s="107">
        <f>IF(A6stdlife="n/a","n/a",IF(AD$3&gt;(A6stdlife+$E150),('PTRM input'!$N$148*(1+rvanilla08)^0.5)-SUM($N150:AC150),('PTRM input'!$N$148*(1+rvanilla08)^0.5)/A6stdlife))</f>
        <v>0</v>
      </c>
      <c r="AE150" s="107">
        <f>IF(A6stdlife="n/a","n/a",IF(AE$3&gt;(A6stdlife+$E150),('PTRM input'!$N$148*(1+rvanilla08)^0.5)-SUM($N150:AD150),('PTRM input'!$N$148*(1+rvanilla08)^0.5)/A6stdlife))</f>
        <v>0</v>
      </c>
      <c r="AF150" s="107">
        <f>IF(A6stdlife="n/a","n/a",IF(AF$3&gt;(A6stdlife+$E150),('PTRM input'!$N$148*(1+rvanilla08)^0.5)-SUM($N150:AE150),('PTRM input'!$N$148*(1+rvanilla08)^0.5)/A6stdlife))</f>
        <v>0</v>
      </c>
      <c r="AG150" s="107">
        <f>IF(A6stdlife="n/a","n/a",IF(AG$3&gt;(A6stdlife+$E150),('PTRM input'!$N$148*(1+rvanilla08)^0.5)-SUM($N150:AF150),('PTRM input'!$N$148*(1+rvanilla08)^0.5)/A6stdlife))</f>
        <v>0</v>
      </c>
      <c r="AH150" s="107">
        <f>IF(A6stdlife="n/a","n/a",IF(AH$3&gt;(A6stdlife+$E150),('PTRM input'!$N$148*(1+rvanilla08)^0.5)-SUM($N150:AG150),('PTRM input'!$N$148*(1+rvanilla08)^0.5)/A6stdlife))</f>
        <v>0</v>
      </c>
      <c r="AI150" s="107">
        <f>IF(A6stdlife="n/a","n/a",IF(AI$3&gt;(A6stdlife+$E150),('PTRM input'!$N$148*(1+rvanilla08)^0.5)-SUM($N150:AH150),('PTRM input'!$N$148*(1+rvanilla08)^0.5)/A6stdlife))</f>
        <v>0</v>
      </c>
      <c r="AJ150" s="107">
        <f>IF(A6stdlife="n/a","n/a",IF(AJ$3&gt;(A6stdlife+$E150),('PTRM input'!$N$148*(1+rvanilla08)^0.5)-SUM($N150:AI150),('PTRM input'!$N$148*(1+rvanilla08)^0.5)/A6stdlife))</f>
        <v>0</v>
      </c>
      <c r="AK150" s="107">
        <f>IF(A6stdlife="n/a","n/a",IF(AK$3&gt;(A6stdlife+$E150),('PTRM input'!$N$148*(1+rvanilla08)^0.5)-SUM($N150:AJ150),('PTRM input'!$N$148*(1+rvanilla08)^0.5)/A6stdlife))</f>
        <v>0</v>
      </c>
      <c r="AL150" s="107">
        <f>IF(A6stdlife="n/a","n/a",IF(AL$3&gt;(A6stdlife+$E150),('PTRM input'!$N$148*(1+rvanilla08)^0.5)-SUM($N150:AK150),('PTRM input'!$N$148*(1+rvanilla08)^0.5)/A6stdlife))</f>
        <v>0</v>
      </c>
      <c r="AM150" s="107">
        <f>IF(A6stdlife="n/a","n/a",IF(AM$3&gt;(A6stdlife+$E150),('PTRM input'!$N$148*(1+rvanilla08)^0.5)-SUM($N150:AL150),('PTRM input'!$N$148*(1+rvanilla08)^0.5)/A6stdlife))</f>
        <v>0</v>
      </c>
      <c r="AN150" s="107">
        <f>IF(A6stdlife="n/a","n/a",IF(AN$3&gt;(A6stdlife+$E150),('PTRM input'!$N$148*(1+rvanilla08)^0.5)-SUM($N150:AM150),('PTRM input'!$N$148*(1+rvanilla08)^0.5)/A6stdlife))</f>
        <v>0</v>
      </c>
      <c r="AO150" s="107">
        <f>IF(A6stdlife="n/a","n/a",IF(AO$3&gt;(A6stdlife+$E150),('PTRM input'!$N$148*(1+rvanilla08)^0.5)-SUM($N150:AN150),('PTRM input'!$N$148*(1+rvanilla08)^0.5)/A6stdlife))</f>
        <v>0</v>
      </c>
      <c r="AP150" s="107">
        <f>IF(A6stdlife="n/a","n/a",IF(AP$3&gt;(A6stdlife+$E150),('PTRM input'!$N$148*(1+rvanilla08)^0.5)-SUM($N150:AO150),('PTRM input'!$N$148*(1+rvanilla08)^0.5)/A6stdlife))</f>
        <v>0</v>
      </c>
      <c r="AQ150" s="107">
        <f>IF(A6stdlife="n/a","n/a",IF(AQ$3&gt;(A6stdlife+$E150),('PTRM input'!$N$148*(1+rvanilla08)^0.5)-SUM($N150:AP150),('PTRM input'!$N$148*(1+rvanilla08)^0.5)/A6stdlife))</f>
        <v>0</v>
      </c>
      <c r="AR150" s="107">
        <f>IF(A6stdlife="n/a","n/a",IF(AR$3&gt;(A6stdlife+$E150),('PTRM input'!$N$148*(1+rvanilla08)^0.5)-SUM($N150:AQ150),('PTRM input'!$N$148*(1+rvanilla08)^0.5)/A6stdlife))</f>
        <v>0</v>
      </c>
      <c r="AS150" s="107">
        <f>IF(A6stdlife="n/a","n/a",IF(AS$3&gt;(A6stdlife+$E150),('PTRM input'!$N$148*(1+rvanilla08)^0.5)-SUM($N150:AR150),('PTRM input'!$N$148*(1+rvanilla08)^0.5)/A6stdlife))</f>
        <v>0</v>
      </c>
      <c r="AT150" s="107">
        <f>IF(A6stdlife="n/a","n/a",IF(AT$3&gt;(A6stdlife+$E150),('PTRM input'!$N$148*(1+rvanilla08)^0.5)-SUM($N150:AS150),('PTRM input'!$N$148*(1+rvanilla08)^0.5)/A6stdlife))</f>
        <v>0</v>
      </c>
      <c r="AU150" s="107">
        <f>IF(A6stdlife="n/a","n/a",IF(AU$3&gt;(A6stdlife+$E150),('PTRM input'!$N$148*(1+rvanilla08)^0.5)-SUM($N150:AT150),('PTRM input'!$N$148*(1+rvanilla08)^0.5)/A6stdlife))</f>
        <v>0</v>
      </c>
      <c r="AV150" s="107">
        <f>IF(A6stdlife="n/a","n/a",IF(AV$3&gt;(A6stdlife+$E150),('PTRM input'!$N$148*(1+rvanilla08)^0.5)-SUM($N150:AU150),('PTRM input'!$N$148*(1+rvanilla08)^0.5)/A6stdlife))</f>
        <v>0</v>
      </c>
      <c r="AW150" s="107">
        <f>IF(A6stdlife="n/a","n/a",IF(AW$3&gt;(A6stdlife+$E150),('PTRM input'!$N$148*(1+rvanilla08)^0.5)-SUM($N150:AV150),('PTRM input'!$N$148*(1+rvanilla08)^0.5)/A6stdlife))</f>
        <v>0</v>
      </c>
      <c r="AX150" s="107">
        <f>IF(A6stdlife="n/a","n/a",IF(AX$3&gt;(A6stdlife+$E150),('PTRM input'!$N$148*(1+rvanilla08)^0.5)-SUM($N150:AW150),('PTRM input'!$N$148*(1+rvanilla08)^0.5)/A6stdlife))</f>
        <v>0</v>
      </c>
      <c r="AY150" s="107">
        <f>IF(A6stdlife="n/a","n/a",IF(AY$3&gt;(A6stdlife+$E150),('PTRM input'!$N$148*(1+rvanilla08)^0.5)-SUM($N150:AX150),('PTRM input'!$N$148*(1+rvanilla08)^0.5)/A6stdlife))</f>
        <v>0</v>
      </c>
      <c r="AZ150" s="107">
        <f>IF(A6stdlife="n/a","n/a",IF(AZ$3&gt;(A6stdlife+$E150),('PTRM input'!$N$148*(1+rvanilla08)^0.5)-SUM($N150:AY150),('PTRM input'!$N$148*(1+rvanilla08)^0.5)/A6stdlife))</f>
        <v>0</v>
      </c>
      <c r="BA150" s="107">
        <f>IF(A6stdlife="n/a","n/a",IF(BA$3&gt;(A6stdlife+$E150),('PTRM input'!$N$148*(1+rvanilla08)^0.5)-SUM($N150:AZ150),('PTRM input'!$N$148*(1+rvanilla08)^0.5)/A6stdlife))</f>
        <v>0</v>
      </c>
      <c r="BB150" s="107">
        <f>IF(A6stdlife="n/a","n/a",IF(BB$3&gt;(A6stdlife+$E150),('PTRM input'!$N$148*(1+rvanilla08)^0.5)-SUM($N150:BA150),('PTRM input'!$N$148*(1+rvanilla08)^0.5)/A6stdlife))</f>
        <v>0</v>
      </c>
      <c r="BC150" s="107">
        <f>IF(A6stdlife="n/a","n/a",IF(BC$3&gt;(A6stdlife+$E150),('PTRM input'!$N$148*(1+rvanilla08)^0.5)-SUM($N150:BB150),('PTRM input'!$N$148*(1+rvanilla08)^0.5)/A6stdlife))</f>
        <v>0</v>
      </c>
      <c r="BD150" s="107">
        <f>IF(A6stdlife="n/a","n/a",IF(BD$3&gt;(A6stdlife+$E150),('PTRM input'!$N$148*(1+rvanilla08)^0.5)-SUM($N150:BC150),('PTRM input'!$N$148*(1+rvanilla08)^0.5)/A6stdlife))</f>
        <v>0</v>
      </c>
      <c r="BE150" s="107">
        <f>IF(A6stdlife="n/a","n/a",IF(BE$3&gt;(A6stdlife+$E150),('PTRM input'!$N$148*(1+rvanilla08)^0.5)-SUM($N150:BD150),('PTRM input'!$N$148*(1+rvanilla08)^0.5)/A6stdlife))</f>
        <v>0</v>
      </c>
      <c r="BF150" s="107">
        <f>IF(A6stdlife="n/a","n/a",IF(BF$3&gt;(A6stdlife+$E150),('PTRM input'!$N$148*(1+rvanilla08)^0.5)-SUM($N150:BE150),('PTRM input'!$N$148*(1+rvanilla08)^0.5)/A6stdlife))</f>
        <v>0</v>
      </c>
      <c r="BG150" s="107">
        <f>IF(A6stdlife="n/a","n/a",IF(BG$3&gt;(A6stdlife+$E150),('PTRM input'!$N$148*(1+rvanilla08)^0.5)-SUM($N150:BF150),('PTRM input'!$N$148*(1+rvanilla08)^0.5)/A6stdlife))</f>
        <v>0</v>
      </c>
      <c r="BH150" s="107">
        <f>IF(A6stdlife="n/a","n/a",IF(BH$3&gt;(A6stdlife+$E150),('PTRM input'!$N$148*(1+rvanilla08)^0.5)-SUM($N150:BG150),('PTRM input'!$N$148*(1+rvanilla08)^0.5)/A6stdlife))</f>
        <v>0</v>
      </c>
      <c r="BI150" s="107">
        <f>IF(A6stdlife="n/a","n/a",IF(BI$3&gt;(A6stdlife+$E150),('PTRM input'!$N$148*(1+rvanilla08)^0.5)-SUM($N150:BH150),('PTRM input'!$N$148*(1+rvanilla08)^0.5)/A6stdlife))</f>
        <v>0</v>
      </c>
      <c r="BJ150" s="237"/>
      <c r="BK150" s="237"/>
      <c r="BL150" s="237"/>
      <c r="BM150" s="237"/>
    </row>
    <row r="151" spans="1:65" s="190" customFormat="1" hidden="1" outlineLevel="2">
      <c r="A151" s="237"/>
      <c r="B151" s="33"/>
      <c r="C151" s="32"/>
      <c r="D151" s="1618"/>
      <c r="E151" s="169">
        <v>9</v>
      </c>
      <c r="F151" s="35"/>
      <c r="G151" s="184"/>
      <c r="H151" s="186"/>
      <c r="I151" s="186"/>
      <c r="J151" s="186"/>
      <c r="K151" s="186"/>
      <c r="L151" s="186"/>
      <c r="M151" s="186"/>
      <c r="N151" s="186"/>
      <c r="O151" s="185"/>
      <c r="P151" s="107">
        <f>IF(A6stdlife="n/a","n/a",IF(P$3&gt;(A6stdlife+$E151),('PTRM input'!$O$148*(1+rvanilla09)^0.5)-SUM($O151:O151),('PTRM input'!$O$148*(1+rvanilla09)^0.5)/A6stdlife))</f>
        <v>0</v>
      </c>
      <c r="Q151" s="107">
        <f>IF(A6stdlife="n/a","n/a",IF(Q$3&gt;(A6stdlife+$E151),('PTRM input'!$O$148*(1+rvanilla09)^0.5)-SUM($O151:P151),('PTRM input'!$O$148*(1+rvanilla09)^0.5)/A6stdlife))</f>
        <v>0</v>
      </c>
      <c r="R151" s="107">
        <f>IF(A6stdlife="n/a","n/a",IF(R$3&gt;(A6stdlife+$E151),('PTRM input'!$O$148*(1+rvanilla09)^0.5)-SUM($O151:Q151),('PTRM input'!$O$148*(1+rvanilla09)^0.5)/A6stdlife))</f>
        <v>0</v>
      </c>
      <c r="S151" s="107">
        <f>IF(A6stdlife="n/a","n/a",IF(S$3&gt;(A6stdlife+$E151),('PTRM input'!$O$148*(1+rvanilla09)^0.5)-SUM($O151:R151),('PTRM input'!$O$148*(1+rvanilla09)^0.5)/A6stdlife))</f>
        <v>0</v>
      </c>
      <c r="T151" s="107">
        <f>IF(A6stdlife="n/a","n/a",IF(T$3&gt;(A6stdlife+$E151),('PTRM input'!$O$148*(1+rvanilla09)^0.5)-SUM($O151:S151),('PTRM input'!$O$148*(1+rvanilla09)^0.5)/A6stdlife))</f>
        <v>0</v>
      </c>
      <c r="U151" s="107">
        <f>IF(A6stdlife="n/a","n/a",IF(U$3&gt;(A6stdlife+$E151),('PTRM input'!$O$148*(1+rvanilla09)^0.5)-SUM($O151:T151),('PTRM input'!$O$148*(1+rvanilla09)^0.5)/A6stdlife))</f>
        <v>0</v>
      </c>
      <c r="V151" s="107">
        <f>IF(A6stdlife="n/a","n/a",IF(V$3&gt;(A6stdlife+$E151),('PTRM input'!$O$148*(1+rvanilla09)^0.5)-SUM($O151:U151),('PTRM input'!$O$148*(1+rvanilla09)^0.5)/A6stdlife))</f>
        <v>0</v>
      </c>
      <c r="W151" s="107">
        <f>IF(A6stdlife="n/a","n/a",IF(W$3&gt;(A6stdlife+$E151),('PTRM input'!$O$148*(1+rvanilla09)^0.5)-SUM($O151:V151),('PTRM input'!$O$148*(1+rvanilla09)^0.5)/A6stdlife))</f>
        <v>0</v>
      </c>
      <c r="X151" s="107">
        <f>IF(A6stdlife="n/a","n/a",IF(X$3&gt;(A6stdlife+$E151),('PTRM input'!$O$148*(1+rvanilla09)^0.5)-SUM($O151:W151),('PTRM input'!$O$148*(1+rvanilla09)^0.5)/A6stdlife))</f>
        <v>0</v>
      </c>
      <c r="Y151" s="107">
        <f>IF(A6stdlife="n/a","n/a",IF(Y$3&gt;(A6stdlife+$E151),('PTRM input'!$O$148*(1+rvanilla09)^0.5)-SUM($O151:X151),('PTRM input'!$O$148*(1+rvanilla09)^0.5)/A6stdlife))</f>
        <v>0</v>
      </c>
      <c r="Z151" s="107">
        <f>IF(A6stdlife="n/a","n/a",IF(Z$3&gt;(A6stdlife+$E151),('PTRM input'!$O$148*(1+rvanilla09)^0.5)-SUM($O151:Y151),('PTRM input'!$O$148*(1+rvanilla09)^0.5)/A6stdlife))</f>
        <v>0</v>
      </c>
      <c r="AA151" s="107">
        <f>IF(A6stdlife="n/a","n/a",IF(AA$3&gt;(A6stdlife+$E151),('PTRM input'!$O$148*(1+rvanilla09)^0.5)-SUM($O151:Z151),('PTRM input'!$O$148*(1+rvanilla09)^0.5)/A6stdlife))</f>
        <v>0</v>
      </c>
      <c r="AB151" s="107">
        <f>IF(A6stdlife="n/a","n/a",IF(AB$3&gt;(A6stdlife+$E151),('PTRM input'!$O$148*(1+rvanilla09)^0.5)-SUM($O151:AA151),('PTRM input'!$O$148*(1+rvanilla09)^0.5)/A6stdlife))</f>
        <v>0</v>
      </c>
      <c r="AC151" s="107">
        <f>IF(A6stdlife="n/a","n/a",IF(AC$3&gt;(A6stdlife+$E151),('PTRM input'!$O$148*(1+rvanilla09)^0.5)-SUM($O151:AB151),('PTRM input'!$O$148*(1+rvanilla09)^0.5)/A6stdlife))</f>
        <v>0</v>
      </c>
      <c r="AD151" s="107">
        <f>IF(A6stdlife="n/a","n/a",IF(AD$3&gt;(A6stdlife+$E151),('PTRM input'!$O$148*(1+rvanilla09)^0.5)-SUM($O151:AC151),('PTRM input'!$O$148*(1+rvanilla09)^0.5)/A6stdlife))</f>
        <v>0</v>
      </c>
      <c r="AE151" s="107">
        <f>IF(A6stdlife="n/a","n/a",IF(AE$3&gt;(A6stdlife+$E151),('PTRM input'!$O$148*(1+rvanilla09)^0.5)-SUM($O151:AD151),('PTRM input'!$O$148*(1+rvanilla09)^0.5)/A6stdlife))</f>
        <v>0</v>
      </c>
      <c r="AF151" s="107">
        <f>IF(A6stdlife="n/a","n/a",IF(AF$3&gt;(A6stdlife+$E151),('PTRM input'!$O$148*(1+rvanilla09)^0.5)-SUM($O151:AE151),('PTRM input'!$O$148*(1+rvanilla09)^0.5)/A6stdlife))</f>
        <v>0</v>
      </c>
      <c r="AG151" s="107">
        <f>IF(A6stdlife="n/a","n/a",IF(AG$3&gt;(A6stdlife+$E151),('PTRM input'!$O$148*(1+rvanilla09)^0.5)-SUM($O151:AF151),('PTRM input'!$O$148*(1+rvanilla09)^0.5)/A6stdlife))</f>
        <v>0</v>
      </c>
      <c r="AH151" s="107">
        <f>IF(A6stdlife="n/a","n/a",IF(AH$3&gt;(A6stdlife+$E151),('PTRM input'!$O$148*(1+rvanilla09)^0.5)-SUM($O151:AG151),('PTRM input'!$O$148*(1+rvanilla09)^0.5)/A6stdlife))</f>
        <v>0</v>
      </c>
      <c r="AI151" s="107">
        <f>IF(A6stdlife="n/a","n/a",IF(AI$3&gt;(A6stdlife+$E151),('PTRM input'!$O$148*(1+rvanilla09)^0.5)-SUM($O151:AH151),('PTRM input'!$O$148*(1+rvanilla09)^0.5)/A6stdlife))</f>
        <v>0</v>
      </c>
      <c r="AJ151" s="107">
        <f>IF(A6stdlife="n/a","n/a",IF(AJ$3&gt;(A6stdlife+$E151),('PTRM input'!$O$148*(1+rvanilla09)^0.5)-SUM($O151:AI151),('PTRM input'!$O$148*(1+rvanilla09)^0.5)/A6stdlife))</f>
        <v>0</v>
      </c>
      <c r="AK151" s="107">
        <f>IF(A6stdlife="n/a","n/a",IF(AK$3&gt;(A6stdlife+$E151),('PTRM input'!$O$148*(1+rvanilla09)^0.5)-SUM($O151:AJ151),('PTRM input'!$O$148*(1+rvanilla09)^0.5)/A6stdlife))</f>
        <v>0</v>
      </c>
      <c r="AL151" s="107">
        <f>IF(A6stdlife="n/a","n/a",IF(AL$3&gt;(A6stdlife+$E151),('PTRM input'!$O$148*(1+rvanilla09)^0.5)-SUM($O151:AK151),('PTRM input'!$O$148*(1+rvanilla09)^0.5)/A6stdlife))</f>
        <v>0</v>
      </c>
      <c r="AM151" s="107">
        <f>IF(A6stdlife="n/a","n/a",IF(AM$3&gt;(A6stdlife+$E151),('PTRM input'!$O$148*(1+rvanilla09)^0.5)-SUM($O151:AL151),('PTRM input'!$O$148*(1+rvanilla09)^0.5)/A6stdlife))</f>
        <v>0</v>
      </c>
      <c r="AN151" s="107">
        <f>IF(A6stdlife="n/a","n/a",IF(AN$3&gt;(A6stdlife+$E151),('PTRM input'!$O$148*(1+rvanilla09)^0.5)-SUM($O151:AM151),('PTRM input'!$O$148*(1+rvanilla09)^0.5)/A6stdlife))</f>
        <v>0</v>
      </c>
      <c r="AO151" s="107">
        <f>IF(A6stdlife="n/a","n/a",IF(AO$3&gt;(A6stdlife+$E151),('PTRM input'!$O$148*(1+rvanilla09)^0.5)-SUM($O151:AN151),('PTRM input'!$O$148*(1+rvanilla09)^0.5)/A6stdlife))</f>
        <v>0</v>
      </c>
      <c r="AP151" s="107">
        <f>IF(A6stdlife="n/a","n/a",IF(AP$3&gt;(A6stdlife+$E151),('PTRM input'!$O$148*(1+rvanilla09)^0.5)-SUM($O151:AO151),('PTRM input'!$O$148*(1+rvanilla09)^0.5)/A6stdlife))</f>
        <v>0</v>
      </c>
      <c r="AQ151" s="107">
        <f>IF(A6stdlife="n/a","n/a",IF(AQ$3&gt;(A6stdlife+$E151),('PTRM input'!$O$148*(1+rvanilla09)^0.5)-SUM($O151:AP151),('PTRM input'!$O$148*(1+rvanilla09)^0.5)/A6stdlife))</f>
        <v>0</v>
      </c>
      <c r="AR151" s="107">
        <f>IF(A6stdlife="n/a","n/a",IF(AR$3&gt;(A6stdlife+$E151),('PTRM input'!$O$148*(1+rvanilla09)^0.5)-SUM($O151:AQ151),('PTRM input'!$O$148*(1+rvanilla09)^0.5)/A6stdlife))</f>
        <v>0</v>
      </c>
      <c r="AS151" s="107">
        <f>IF(A6stdlife="n/a","n/a",IF(AS$3&gt;(A6stdlife+$E151),('PTRM input'!$O$148*(1+rvanilla09)^0.5)-SUM($O151:AR151),('PTRM input'!$O$148*(1+rvanilla09)^0.5)/A6stdlife))</f>
        <v>0</v>
      </c>
      <c r="AT151" s="107">
        <f>IF(A6stdlife="n/a","n/a",IF(AT$3&gt;(A6stdlife+$E151),('PTRM input'!$O$148*(1+rvanilla09)^0.5)-SUM($O151:AS151),('PTRM input'!$O$148*(1+rvanilla09)^0.5)/A6stdlife))</f>
        <v>0</v>
      </c>
      <c r="AU151" s="107">
        <f>IF(A6stdlife="n/a","n/a",IF(AU$3&gt;(A6stdlife+$E151),('PTRM input'!$O$148*(1+rvanilla09)^0.5)-SUM($O151:AT151),('PTRM input'!$O$148*(1+rvanilla09)^0.5)/A6stdlife))</f>
        <v>0</v>
      </c>
      <c r="AV151" s="107">
        <f>IF(A6stdlife="n/a","n/a",IF(AV$3&gt;(A6stdlife+$E151),('PTRM input'!$O$148*(1+rvanilla09)^0.5)-SUM($O151:AU151),('PTRM input'!$O$148*(1+rvanilla09)^0.5)/A6stdlife))</f>
        <v>0</v>
      </c>
      <c r="AW151" s="107">
        <f>IF(A6stdlife="n/a","n/a",IF(AW$3&gt;(A6stdlife+$E151),('PTRM input'!$O$148*(1+rvanilla09)^0.5)-SUM($O151:AV151),('PTRM input'!$O$148*(1+rvanilla09)^0.5)/A6stdlife))</f>
        <v>0</v>
      </c>
      <c r="AX151" s="107">
        <f>IF(A6stdlife="n/a","n/a",IF(AX$3&gt;(A6stdlife+$E151),('PTRM input'!$O$148*(1+rvanilla09)^0.5)-SUM($O151:AW151),('PTRM input'!$O$148*(1+rvanilla09)^0.5)/A6stdlife))</f>
        <v>0</v>
      </c>
      <c r="AY151" s="107">
        <f>IF(A6stdlife="n/a","n/a",IF(AY$3&gt;(A6stdlife+$E151),('PTRM input'!$O$148*(1+rvanilla09)^0.5)-SUM($O151:AX151),('PTRM input'!$O$148*(1+rvanilla09)^0.5)/A6stdlife))</f>
        <v>0</v>
      </c>
      <c r="AZ151" s="107">
        <f>IF(A6stdlife="n/a","n/a",IF(AZ$3&gt;(A6stdlife+$E151),('PTRM input'!$O$148*(1+rvanilla09)^0.5)-SUM($O151:AY151),('PTRM input'!$O$148*(1+rvanilla09)^0.5)/A6stdlife))</f>
        <v>0</v>
      </c>
      <c r="BA151" s="107">
        <f>IF(A6stdlife="n/a","n/a",IF(BA$3&gt;(A6stdlife+$E151),('PTRM input'!$O$148*(1+rvanilla09)^0.5)-SUM($O151:AZ151),('PTRM input'!$O$148*(1+rvanilla09)^0.5)/A6stdlife))</f>
        <v>0</v>
      </c>
      <c r="BB151" s="107">
        <f>IF(A6stdlife="n/a","n/a",IF(BB$3&gt;(A6stdlife+$E151),('PTRM input'!$O$148*(1+rvanilla09)^0.5)-SUM($O151:BA151),('PTRM input'!$O$148*(1+rvanilla09)^0.5)/A6stdlife))</f>
        <v>0</v>
      </c>
      <c r="BC151" s="107">
        <f>IF(A6stdlife="n/a","n/a",IF(BC$3&gt;(A6stdlife+$E151),('PTRM input'!$O$148*(1+rvanilla09)^0.5)-SUM($O151:BB151),('PTRM input'!$O$148*(1+rvanilla09)^0.5)/A6stdlife))</f>
        <v>0</v>
      </c>
      <c r="BD151" s="107">
        <f>IF(A6stdlife="n/a","n/a",IF(BD$3&gt;(A6stdlife+$E151),('PTRM input'!$O$148*(1+rvanilla09)^0.5)-SUM($O151:BC151),('PTRM input'!$O$148*(1+rvanilla09)^0.5)/A6stdlife))</f>
        <v>0</v>
      </c>
      <c r="BE151" s="107">
        <f>IF(A6stdlife="n/a","n/a",IF(BE$3&gt;(A6stdlife+$E151),('PTRM input'!$O$148*(1+rvanilla09)^0.5)-SUM($O151:BD151),('PTRM input'!$O$148*(1+rvanilla09)^0.5)/A6stdlife))</f>
        <v>0</v>
      </c>
      <c r="BF151" s="107">
        <f>IF(A6stdlife="n/a","n/a",IF(BF$3&gt;(A6stdlife+$E151),('PTRM input'!$O$148*(1+rvanilla09)^0.5)-SUM($O151:BE151),('PTRM input'!$O$148*(1+rvanilla09)^0.5)/A6stdlife))</f>
        <v>0</v>
      </c>
      <c r="BG151" s="107">
        <f>IF(A6stdlife="n/a","n/a",IF(BG$3&gt;(A6stdlife+$E151),('PTRM input'!$O$148*(1+rvanilla09)^0.5)-SUM($O151:BF151),('PTRM input'!$O$148*(1+rvanilla09)^0.5)/A6stdlife))</f>
        <v>0</v>
      </c>
      <c r="BH151" s="107">
        <f>IF(A6stdlife="n/a","n/a",IF(BH$3&gt;(A6stdlife+$E151),('PTRM input'!$O$148*(1+rvanilla09)^0.5)-SUM($O151:BG151),('PTRM input'!$O$148*(1+rvanilla09)^0.5)/A6stdlife))</f>
        <v>0</v>
      </c>
      <c r="BI151" s="107">
        <f>IF(A6stdlife="n/a","n/a",IF(BI$3&gt;(A6stdlife+$E151),('PTRM input'!$O$148*(1+rvanilla09)^0.5)-SUM($O151:BH151),('PTRM input'!$O$148*(1+rvanilla09)^0.5)/A6stdlife))</f>
        <v>0</v>
      </c>
      <c r="BJ151" s="237"/>
      <c r="BK151" s="237"/>
      <c r="BL151" s="237"/>
      <c r="BM151" s="237"/>
    </row>
    <row r="152" spans="1:65" s="190" customFormat="1" hidden="1" outlineLevel="2">
      <c r="A152" s="237"/>
      <c r="B152" s="33"/>
      <c r="C152" s="32"/>
      <c r="D152" s="1618"/>
      <c r="E152" s="170">
        <v>10</v>
      </c>
      <c r="F152" s="35"/>
      <c r="G152" s="184"/>
      <c r="H152" s="186"/>
      <c r="I152" s="186"/>
      <c r="J152" s="186"/>
      <c r="K152" s="186"/>
      <c r="L152" s="186"/>
      <c r="M152" s="186"/>
      <c r="N152" s="186"/>
      <c r="O152" s="186"/>
      <c r="P152" s="185"/>
      <c r="Q152" s="107">
        <f>IF(A6stdlife="n/a","n/a",IF(Q$3&gt;(A6stdlife+$E152),('PTRM input'!$P$148*(1+rvanilla10)^0.5)-SUM($P152:P152),('PTRM input'!$P$148*(1+rvanilla10)^0.5)/A6stdlife))</f>
        <v>0</v>
      </c>
      <c r="R152" s="107">
        <f>IF(A6stdlife="n/a","n/a",IF(R$3&gt;(A6stdlife+$E152),('PTRM input'!$P$148*(1+rvanilla10)^0.5)-SUM($P152:Q152),('PTRM input'!$P$148*(1+rvanilla10)^0.5)/A6stdlife))</f>
        <v>0</v>
      </c>
      <c r="S152" s="107">
        <f>IF(A6stdlife="n/a","n/a",IF(S$3&gt;(A6stdlife+$E152),('PTRM input'!$P$148*(1+rvanilla10)^0.5)-SUM($P152:R152),('PTRM input'!$P$148*(1+rvanilla10)^0.5)/A6stdlife))</f>
        <v>0</v>
      </c>
      <c r="T152" s="107">
        <f>IF(A6stdlife="n/a","n/a",IF(T$3&gt;(A6stdlife+$E152),('PTRM input'!$P$148*(1+rvanilla10)^0.5)-SUM($P152:S152),('PTRM input'!$P$148*(1+rvanilla10)^0.5)/A6stdlife))</f>
        <v>0</v>
      </c>
      <c r="U152" s="107">
        <f>IF(A6stdlife="n/a","n/a",IF(U$3&gt;(A6stdlife+$E152),('PTRM input'!$P$148*(1+rvanilla10)^0.5)-SUM($P152:T152),('PTRM input'!$P$148*(1+rvanilla10)^0.5)/A6stdlife))</f>
        <v>0</v>
      </c>
      <c r="V152" s="107">
        <f>IF(A6stdlife="n/a","n/a",IF(V$3&gt;(A6stdlife+$E152),('PTRM input'!$P$148*(1+rvanilla10)^0.5)-SUM($P152:U152),('PTRM input'!$P$148*(1+rvanilla10)^0.5)/A6stdlife))</f>
        <v>0</v>
      </c>
      <c r="W152" s="107">
        <f>IF(A6stdlife="n/a","n/a",IF(W$3&gt;(A6stdlife+$E152),('PTRM input'!$P$148*(1+rvanilla10)^0.5)-SUM($P152:V152),('PTRM input'!$P$148*(1+rvanilla10)^0.5)/A6stdlife))</f>
        <v>0</v>
      </c>
      <c r="X152" s="107">
        <f>IF(A6stdlife="n/a","n/a",IF(X$3&gt;(A6stdlife+$E152),('PTRM input'!$P$148*(1+rvanilla10)^0.5)-SUM($P152:W152),('PTRM input'!$P$148*(1+rvanilla10)^0.5)/A6stdlife))</f>
        <v>0</v>
      </c>
      <c r="Y152" s="107">
        <f>IF(A6stdlife="n/a","n/a",IF(Y$3&gt;(A6stdlife+$E152),('PTRM input'!$P$148*(1+rvanilla10)^0.5)-SUM($P152:X152),('PTRM input'!$P$148*(1+rvanilla10)^0.5)/A6stdlife))</f>
        <v>0</v>
      </c>
      <c r="Z152" s="107">
        <f>IF(A6stdlife="n/a","n/a",IF(Z$3&gt;(A6stdlife+$E152),('PTRM input'!$P$148*(1+rvanilla10)^0.5)-SUM($P152:Y152),('PTRM input'!$P$148*(1+rvanilla10)^0.5)/A6stdlife))</f>
        <v>0</v>
      </c>
      <c r="AA152" s="107">
        <f>IF(A6stdlife="n/a","n/a",IF(AA$3&gt;(A6stdlife+$E152),('PTRM input'!$P$148*(1+rvanilla10)^0.5)-SUM($P152:Z152),('PTRM input'!$P$148*(1+rvanilla10)^0.5)/A6stdlife))</f>
        <v>0</v>
      </c>
      <c r="AB152" s="107">
        <f>IF(A6stdlife="n/a","n/a",IF(AB$3&gt;(A6stdlife+$E152),('PTRM input'!$P$148*(1+rvanilla10)^0.5)-SUM($P152:AA152),('PTRM input'!$P$148*(1+rvanilla10)^0.5)/A6stdlife))</f>
        <v>0</v>
      </c>
      <c r="AC152" s="107">
        <f>IF(A6stdlife="n/a","n/a",IF(AC$3&gt;(A6stdlife+$E152),('PTRM input'!$P$148*(1+rvanilla10)^0.5)-SUM($P152:AB152),('PTRM input'!$P$148*(1+rvanilla10)^0.5)/A6stdlife))</f>
        <v>0</v>
      </c>
      <c r="AD152" s="107">
        <f>IF(A6stdlife="n/a","n/a",IF(AD$3&gt;(A6stdlife+$E152),('PTRM input'!$P$148*(1+rvanilla10)^0.5)-SUM($P152:AC152),('PTRM input'!$P$148*(1+rvanilla10)^0.5)/A6stdlife))</f>
        <v>0</v>
      </c>
      <c r="AE152" s="107">
        <f>IF(A6stdlife="n/a","n/a",IF(AE$3&gt;(A6stdlife+$E152),('PTRM input'!$P$148*(1+rvanilla10)^0.5)-SUM($P152:AD152),('PTRM input'!$P$148*(1+rvanilla10)^0.5)/A6stdlife))</f>
        <v>0</v>
      </c>
      <c r="AF152" s="107">
        <f>IF(A6stdlife="n/a","n/a",IF(AF$3&gt;(A6stdlife+$E152),('PTRM input'!$P$148*(1+rvanilla10)^0.5)-SUM($P152:AE152),('PTRM input'!$P$148*(1+rvanilla10)^0.5)/A6stdlife))</f>
        <v>0</v>
      </c>
      <c r="AG152" s="107">
        <f>IF(A6stdlife="n/a","n/a",IF(AG$3&gt;(A6stdlife+$E152),('PTRM input'!$P$148*(1+rvanilla10)^0.5)-SUM($P152:AF152),('PTRM input'!$P$148*(1+rvanilla10)^0.5)/A6stdlife))</f>
        <v>0</v>
      </c>
      <c r="AH152" s="107">
        <f>IF(A6stdlife="n/a","n/a",IF(AH$3&gt;(A6stdlife+$E152),('PTRM input'!$P$148*(1+rvanilla10)^0.5)-SUM($P152:AG152),('PTRM input'!$P$148*(1+rvanilla10)^0.5)/A6stdlife))</f>
        <v>0</v>
      </c>
      <c r="AI152" s="107">
        <f>IF(A6stdlife="n/a","n/a",IF(AI$3&gt;(A6stdlife+$E152),('PTRM input'!$P$148*(1+rvanilla10)^0.5)-SUM($P152:AH152),('PTRM input'!$P$148*(1+rvanilla10)^0.5)/A6stdlife))</f>
        <v>0</v>
      </c>
      <c r="AJ152" s="107">
        <f>IF(A6stdlife="n/a","n/a",IF(AJ$3&gt;(A6stdlife+$E152),('PTRM input'!$P$148*(1+rvanilla10)^0.5)-SUM($P152:AI152),('PTRM input'!$P$148*(1+rvanilla10)^0.5)/A6stdlife))</f>
        <v>0</v>
      </c>
      <c r="AK152" s="107">
        <f>IF(A6stdlife="n/a","n/a",IF(AK$3&gt;(A6stdlife+$E152),('PTRM input'!$P$148*(1+rvanilla10)^0.5)-SUM($P152:AJ152),('PTRM input'!$P$148*(1+rvanilla10)^0.5)/A6stdlife))</f>
        <v>0</v>
      </c>
      <c r="AL152" s="107">
        <f>IF(A6stdlife="n/a","n/a",IF(AL$3&gt;(A6stdlife+$E152),('PTRM input'!$P$148*(1+rvanilla10)^0.5)-SUM($P152:AK152),('PTRM input'!$P$148*(1+rvanilla10)^0.5)/A6stdlife))</f>
        <v>0</v>
      </c>
      <c r="AM152" s="107">
        <f>IF(A6stdlife="n/a","n/a",IF(AM$3&gt;(A6stdlife+$E152),('PTRM input'!$P$148*(1+rvanilla10)^0.5)-SUM($P152:AL152),('PTRM input'!$P$148*(1+rvanilla10)^0.5)/A6stdlife))</f>
        <v>0</v>
      </c>
      <c r="AN152" s="107">
        <f>IF(A6stdlife="n/a","n/a",IF(AN$3&gt;(A6stdlife+$E152),('PTRM input'!$P$148*(1+rvanilla10)^0.5)-SUM($P152:AM152),('PTRM input'!$P$148*(1+rvanilla10)^0.5)/A6stdlife))</f>
        <v>0</v>
      </c>
      <c r="AO152" s="107">
        <f>IF(A6stdlife="n/a","n/a",IF(AO$3&gt;(A6stdlife+$E152),('PTRM input'!$P$148*(1+rvanilla10)^0.5)-SUM($P152:AN152),('PTRM input'!$P$148*(1+rvanilla10)^0.5)/A6stdlife))</f>
        <v>0</v>
      </c>
      <c r="AP152" s="107">
        <f>IF(A6stdlife="n/a","n/a",IF(AP$3&gt;(A6stdlife+$E152),('PTRM input'!$P$148*(1+rvanilla10)^0.5)-SUM($P152:AO152),('PTRM input'!$P$148*(1+rvanilla10)^0.5)/A6stdlife))</f>
        <v>0</v>
      </c>
      <c r="AQ152" s="107">
        <f>IF(A6stdlife="n/a","n/a",IF(AQ$3&gt;(A6stdlife+$E152),('PTRM input'!$P$148*(1+rvanilla10)^0.5)-SUM($P152:AP152),('PTRM input'!$P$148*(1+rvanilla10)^0.5)/A6stdlife))</f>
        <v>0</v>
      </c>
      <c r="AR152" s="107">
        <f>IF(A6stdlife="n/a","n/a",IF(AR$3&gt;(A6stdlife+$E152),('PTRM input'!$P$148*(1+rvanilla10)^0.5)-SUM($P152:AQ152),('PTRM input'!$P$148*(1+rvanilla10)^0.5)/A6stdlife))</f>
        <v>0</v>
      </c>
      <c r="AS152" s="107">
        <f>IF(A6stdlife="n/a","n/a",IF(AS$3&gt;(A6stdlife+$E152),('PTRM input'!$P$148*(1+rvanilla10)^0.5)-SUM($P152:AR152),('PTRM input'!$P$148*(1+rvanilla10)^0.5)/A6stdlife))</f>
        <v>0</v>
      </c>
      <c r="AT152" s="107">
        <f>IF(A6stdlife="n/a","n/a",IF(AT$3&gt;(A6stdlife+$E152),('PTRM input'!$P$148*(1+rvanilla10)^0.5)-SUM($P152:AS152),('PTRM input'!$P$148*(1+rvanilla10)^0.5)/A6stdlife))</f>
        <v>0</v>
      </c>
      <c r="AU152" s="107">
        <f>IF(A6stdlife="n/a","n/a",IF(AU$3&gt;(A6stdlife+$E152),('PTRM input'!$P$148*(1+rvanilla10)^0.5)-SUM($P152:AT152),('PTRM input'!$P$148*(1+rvanilla10)^0.5)/A6stdlife))</f>
        <v>0</v>
      </c>
      <c r="AV152" s="107">
        <f>IF(A6stdlife="n/a","n/a",IF(AV$3&gt;(A6stdlife+$E152),('PTRM input'!$P$148*(1+rvanilla10)^0.5)-SUM($P152:AU152),('PTRM input'!$P$148*(1+rvanilla10)^0.5)/A6stdlife))</f>
        <v>0</v>
      </c>
      <c r="AW152" s="107">
        <f>IF(A6stdlife="n/a","n/a",IF(AW$3&gt;(A6stdlife+$E152),('PTRM input'!$P$148*(1+rvanilla10)^0.5)-SUM($P152:AV152),('PTRM input'!$P$148*(1+rvanilla10)^0.5)/A6stdlife))</f>
        <v>0</v>
      </c>
      <c r="AX152" s="107">
        <f>IF(A6stdlife="n/a","n/a",IF(AX$3&gt;(A6stdlife+$E152),('PTRM input'!$P$148*(1+rvanilla10)^0.5)-SUM($P152:AW152),('PTRM input'!$P$148*(1+rvanilla10)^0.5)/A6stdlife))</f>
        <v>0</v>
      </c>
      <c r="AY152" s="107">
        <f>IF(A6stdlife="n/a","n/a",IF(AY$3&gt;(A6stdlife+$E152),('PTRM input'!$P$148*(1+rvanilla10)^0.5)-SUM($P152:AX152),('PTRM input'!$P$148*(1+rvanilla10)^0.5)/A6stdlife))</f>
        <v>0</v>
      </c>
      <c r="AZ152" s="107">
        <f>IF(A6stdlife="n/a","n/a",IF(AZ$3&gt;(A6stdlife+$E152),('PTRM input'!$P$148*(1+rvanilla10)^0.5)-SUM($P152:AY152),('PTRM input'!$P$148*(1+rvanilla10)^0.5)/A6stdlife))</f>
        <v>0</v>
      </c>
      <c r="BA152" s="107">
        <f>IF(A6stdlife="n/a","n/a",IF(BA$3&gt;(A6stdlife+$E152),('PTRM input'!$P$148*(1+rvanilla10)^0.5)-SUM($P152:AZ152),('PTRM input'!$P$148*(1+rvanilla10)^0.5)/A6stdlife))</f>
        <v>0</v>
      </c>
      <c r="BB152" s="107">
        <f>IF(A6stdlife="n/a","n/a",IF(BB$3&gt;(A6stdlife+$E152),('PTRM input'!$P$148*(1+rvanilla10)^0.5)-SUM($P152:BA152),('PTRM input'!$P$148*(1+rvanilla10)^0.5)/A6stdlife))</f>
        <v>0</v>
      </c>
      <c r="BC152" s="107">
        <f>IF(A6stdlife="n/a","n/a",IF(BC$3&gt;(A6stdlife+$E152),('PTRM input'!$P$148*(1+rvanilla10)^0.5)-SUM($P152:BB152),('PTRM input'!$P$148*(1+rvanilla10)^0.5)/A6stdlife))</f>
        <v>0</v>
      </c>
      <c r="BD152" s="107">
        <f>IF(A6stdlife="n/a","n/a",IF(BD$3&gt;(A6stdlife+$E152),('PTRM input'!$P$148*(1+rvanilla10)^0.5)-SUM($P152:BC152),('PTRM input'!$P$148*(1+rvanilla10)^0.5)/A6stdlife))</f>
        <v>0</v>
      </c>
      <c r="BE152" s="107">
        <f>IF(A6stdlife="n/a","n/a",IF(BE$3&gt;(A6stdlife+$E152),('PTRM input'!$P$148*(1+rvanilla10)^0.5)-SUM($P152:BD152),('PTRM input'!$P$148*(1+rvanilla10)^0.5)/A6stdlife))</f>
        <v>0</v>
      </c>
      <c r="BF152" s="107">
        <f>IF(A6stdlife="n/a","n/a",IF(BF$3&gt;(A6stdlife+$E152),('PTRM input'!$P$148*(1+rvanilla10)^0.5)-SUM($P152:BE152),('PTRM input'!$P$148*(1+rvanilla10)^0.5)/A6stdlife))</f>
        <v>0</v>
      </c>
      <c r="BG152" s="107">
        <f>IF(A6stdlife="n/a","n/a",IF(BG$3&gt;(A6stdlife+$E152),('PTRM input'!$P$148*(1+rvanilla10)^0.5)-SUM($P152:BF152),('PTRM input'!$P$148*(1+rvanilla10)^0.5)/A6stdlife))</f>
        <v>0</v>
      </c>
      <c r="BH152" s="107">
        <f>IF(A6stdlife="n/a","n/a",IF(BH$3&gt;(A6stdlife+$E152),('PTRM input'!$P$148*(1+rvanilla10)^0.5)-SUM($P152:BG152),('PTRM input'!$P$148*(1+rvanilla10)^0.5)/A6stdlife))</f>
        <v>0</v>
      </c>
      <c r="BI152" s="107">
        <f>IF(A6stdlife="n/a","n/a",IF(BI$3&gt;(A6stdlife+$E152),('PTRM input'!$P$148*(1+rvanilla10)^0.5)-SUM($P152:BH152),('PTRM input'!$P$148*(1+rvanilla10)^0.5)/A6stdlife))</f>
        <v>0</v>
      </c>
      <c r="BJ152" s="237"/>
      <c r="BK152" s="237"/>
      <c r="BL152" s="237"/>
      <c r="BM152" s="237"/>
    </row>
    <row r="153" spans="1:65" s="190" customFormat="1" hidden="1" outlineLevel="1">
      <c r="A153" s="237"/>
      <c r="B153" s="18"/>
      <c r="C153" s="33">
        <f>Asset6</f>
        <v>0</v>
      </c>
      <c r="D153" s="18"/>
      <c r="E153" s="18"/>
      <c r="F153" s="31"/>
      <c r="G153" s="104">
        <f t="shared" ref="G153:AL153" si="47">SUM(G141:G152)</f>
        <v>0</v>
      </c>
      <c r="H153" s="104">
        <f t="shared" si="47"/>
        <v>0</v>
      </c>
      <c r="I153" s="104">
        <f t="shared" si="47"/>
        <v>0</v>
      </c>
      <c r="J153" s="104">
        <f t="shared" si="47"/>
        <v>0</v>
      </c>
      <c r="K153" s="104">
        <f t="shared" si="47"/>
        <v>0</v>
      </c>
      <c r="L153" s="104">
        <f t="shared" si="47"/>
        <v>0</v>
      </c>
      <c r="M153" s="104">
        <f t="shared" si="47"/>
        <v>0</v>
      </c>
      <c r="N153" s="104">
        <f t="shared" si="47"/>
        <v>0</v>
      </c>
      <c r="O153" s="104">
        <f t="shared" si="47"/>
        <v>0</v>
      </c>
      <c r="P153" s="104">
        <f t="shared" si="47"/>
        <v>0</v>
      </c>
      <c r="Q153" s="104">
        <f t="shared" si="47"/>
        <v>0</v>
      </c>
      <c r="R153" s="104">
        <f t="shared" si="47"/>
        <v>0</v>
      </c>
      <c r="S153" s="104">
        <f t="shared" si="47"/>
        <v>0</v>
      </c>
      <c r="T153" s="104">
        <f t="shared" si="47"/>
        <v>0</v>
      </c>
      <c r="U153" s="104">
        <f t="shared" si="47"/>
        <v>0</v>
      </c>
      <c r="V153" s="104">
        <f t="shared" si="47"/>
        <v>0</v>
      </c>
      <c r="W153" s="104">
        <f t="shared" si="47"/>
        <v>0</v>
      </c>
      <c r="X153" s="104">
        <f t="shared" si="47"/>
        <v>0</v>
      </c>
      <c r="Y153" s="104">
        <f t="shared" si="47"/>
        <v>0</v>
      </c>
      <c r="Z153" s="104">
        <f t="shared" si="47"/>
        <v>0</v>
      </c>
      <c r="AA153" s="104">
        <f t="shared" si="47"/>
        <v>0</v>
      </c>
      <c r="AB153" s="104">
        <f t="shared" si="47"/>
        <v>0</v>
      </c>
      <c r="AC153" s="104">
        <f t="shared" si="47"/>
        <v>0</v>
      </c>
      <c r="AD153" s="104">
        <f t="shared" si="47"/>
        <v>0</v>
      </c>
      <c r="AE153" s="104">
        <f t="shared" si="47"/>
        <v>0</v>
      </c>
      <c r="AF153" s="104">
        <f t="shared" si="47"/>
        <v>0</v>
      </c>
      <c r="AG153" s="104">
        <f t="shared" si="47"/>
        <v>0</v>
      </c>
      <c r="AH153" s="104">
        <f t="shared" si="47"/>
        <v>0</v>
      </c>
      <c r="AI153" s="104">
        <f t="shared" si="47"/>
        <v>0</v>
      </c>
      <c r="AJ153" s="104">
        <f t="shared" si="47"/>
        <v>0</v>
      </c>
      <c r="AK153" s="104">
        <f t="shared" si="47"/>
        <v>0</v>
      </c>
      <c r="AL153" s="104">
        <f t="shared" si="47"/>
        <v>0</v>
      </c>
      <c r="AM153" s="104">
        <f t="shared" ref="AM153:BI153" si="48">SUM(AM141:AM152)</f>
        <v>0</v>
      </c>
      <c r="AN153" s="104">
        <f t="shared" si="48"/>
        <v>0</v>
      </c>
      <c r="AO153" s="104">
        <f t="shared" si="48"/>
        <v>0</v>
      </c>
      <c r="AP153" s="104">
        <f t="shared" si="48"/>
        <v>0</v>
      </c>
      <c r="AQ153" s="104">
        <f t="shared" si="48"/>
        <v>0</v>
      </c>
      <c r="AR153" s="104">
        <f t="shared" si="48"/>
        <v>0</v>
      </c>
      <c r="AS153" s="104">
        <f t="shared" si="48"/>
        <v>0</v>
      </c>
      <c r="AT153" s="104">
        <f t="shared" si="48"/>
        <v>0</v>
      </c>
      <c r="AU153" s="104">
        <f t="shared" si="48"/>
        <v>0</v>
      </c>
      <c r="AV153" s="104">
        <f t="shared" si="48"/>
        <v>0</v>
      </c>
      <c r="AW153" s="104">
        <f t="shared" si="48"/>
        <v>0</v>
      </c>
      <c r="AX153" s="104">
        <f t="shared" si="48"/>
        <v>0</v>
      </c>
      <c r="AY153" s="104">
        <f t="shared" si="48"/>
        <v>0</v>
      </c>
      <c r="AZ153" s="104">
        <f t="shared" si="48"/>
        <v>0</v>
      </c>
      <c r="BA153" s="104">
        <f t="shared" si="48"/>
        <v>0</v>
      </c>
      <c r="BB153" s="104">
        <f t="shared" si="48"/>
        <v>0</v>
      </c>
      <c r="BC153" s="104">
        <f t="shared" si="48"/>
        <v>0</v>
      </c>
      <c r="BD153" s="104">
        <f t="shared" si="48"/>
        <v>0</v>
      </c>
      <c r="BE153" s="104">
        <f t="shared" si="48"/>
        <v>0</v>
      </c>
      <c r="BF153" s="104">
        <f t="shared" si="48"/>
        <v>0</v>
      </c>
      <c r="BG153" s="104">
        <f t="shared" si="48"/>
        <v>0</v>
      </c>
      <c r="BH153" s="104">
        <f t="shared" si="48"/>
        <v>0</v>
      </c>
      <c r="BI153" s="104">
        <f t="shared" si="48"/>
        <v>0</v>
      </c>
      <c r="BJ153" s="237"/>
      <c r="BK153" s="237"/>
      <c r="BL153" s="237"/>
      <c r="BM153" s="237"/>
    </row>
    <row r="154" spans="1:65" s="190" customFormat="1" ht="12.75" hidden="1" customHeight="1" outlineLevel="2">
      <c r="A154" s="237"/>
      <c r="B154" s="37">
        <f>C166</f>
        <v>0</v>
      </c>
      <c r="C154" s="38"/>
      <c r="D154" s="39" t="s">
        <v>58</v>
      </c>
      <c r="E154" s="38"/>
      <c r="F154" s="40"/>
      <c r="G154" s="106">
        <f>IF(G$3&gt;A7remlife,A7value-SUM($F154:F154),IF(A7remlife="N/A","n/a",A7value/A7remlife))</f>
        <v>0</v>
      </c>
      <c r="H154" s="106">
        <f>IF(H$3&gt;A7remlife,A7value-SUM($F154:G154),IF(A7remlife="N/A","n/a",A7value/A7remlife))</f>
        <v>0</v>
      </c>
      <c r="I154" s="106">
        <f>IF(I$3&gt;A7remlife,A7value-SUM($F154:H154),IF(A7remlife="N/A","n/a",A7value/A7remlife))</f>
        <v>0</v>
      </c>
      <c r="J154" s="106">
        <f>IF(J$3&gt;A7remlife,A7value-SUM($F154:I154),IF(A7remlife="N/A","n/a",A7value/A7remlife))</f>
        <v>0</v>
      </c>
      <c r="K154" s="106">
        <f>IF(K$3&gt;A7remlife,A7value-SUM($F154:J154),IF(A7remlife="N/A","n/a",A7value/A7remlife))</f>
        <v>0</v>
      </c>
      <c r="L154" s="106">
        <f>IF(L$3&gt;A7remlife,A7value-SUM($F154:K154),IF(A7remlife="N/A","n/a",A7value/A7remlife))</f>
        <v>0</v>
      </c>
      <c r="M154" s="106">
        <f>IF(M$3&gt;A7remlife,A7value-SUM($F154:L154),IF(A7remlife="N/A","n/a",A7value/A7remlife))</f>
        <v>0</v>
      </c>
      <c r="N154" s="106">
        <f>IF(N$3&gt;A7remlife,A7value-SUM($F154:M154),IF(A7remlife="N/A","n/a",A7value/A7remlife))</f>
        <v>0</v>
      </c>
      <c r="O154" s="106">
        <f>IF(O$3&gt;A7remlife,A7value-SUM($F154:N154),IF(A7remlife="N/A","n/a",A7value/A7remlife))</f>
        <v>0</v>
      </c>
      <c r="P154" s="106">
        <f>IF(P$3&gt;A7remlife,A7value-SUM($F154:O154),IF(A7remlife="N/A","n/a",A7value/A7remlife))</f>
        <v>0</v>
      </c>
      <c r="Q154" s="106">
        <f>IF(Q$3&gt;A7remlife,A7value-SUM($F154:P154),IF(A7remlife="N/A","n/a",A7value/A7remlife))</f>
        <v>0</v>
      </c>
      <c r="R154" s="106">
        <f>IF(R$3&gt;A7remlife,A7value-SUM($F154:Q154),IF(A7remlife="N/A","n/a",A7value/A7remlife))</f>
        <v>0</v>
      </c>
      <c r="S154" s="106">
        <f>IF(S$3&gt;A7remlife,A7value-SUM($F154:R154),IF(A7remlife="N/A","n/a",A7value/A7remlife))</f>
        <v>0</v>
      </c>
      <c r="T154" s="106">
        <f>IF(T$3&gt;A7remlife,A7value-SUM($F154:S154),IF(A7remlife="N/A","n/a",A7value/A7remlife))</f>
        <v>0</v>
      </c>
      <c r="U154" s="106">
        <f>IF(U$3&gt;A7remlife,A7value-SUM($F154:T154),IF(A7remlife="N/A","n/a",A7value/A7remlife))</f>
        <v>0</v>
      </c>
      <c r="V154" s="106">
        <f>IF(V$3&gt;A7remlife,A7value-SUM($F154:U154),IF(A7remlife="N/A","n/a",A7value/A7remlife))</f>
        <v>0</v>
      </c>
      <c r="W154" s="106">
        <f>IF(W$3&gt;A7remlife,A7value-SUM($F154:V154),IF(A7remlife="N/A","n/a",A7value/A7remlife))</f>
        <v>0</v>
      </c>
      <c r="X154" s="106">
        <f>IF(X$3&gt;A7remlife,A7value-SUM($F154:W154),IF(A7remlife="N/A","n/a",A7value/A7remlife))</f>
        <v>0</v>
      </c>
      <c r="Y154" s="106">
        <f>IF(Y$3&gt;A7remlife,A7value-SUM($F154:X154),IF(A7remlife="N/A","n/a",A7value/A7remlife))</f>
        <v>0</v>
      </c>
      <c r="Z154" s="106">
        <f>IF(Z$3&gt;A7remlife,A7value-SUM($F154:Y154),IF(A7remlife="N/A","n/a",A7value/A7remlife))</f>
        <v>0</v>
      </c>
      <c r="AA154" s="106">
        <f>IF(AA$3&gt;A7remlife,A7value-SUM($F154:Z154),IF(A7remlife="N/A","n/a",A7value/A7remlife))</f>
        <v>0</v>
      </c>
      <c r="AB154" s="106">
        <f>IF(AB$3&gt;A7remlife,A7value-SUM($F154:AA154),IF(A7remlife="N/A","n/a",A7value/A7remlife))</f>
        <v>0</v>
      </c>
      <c r="AC154" s="106">
        <f>IF(AC$3&gt;A7remlife,A7value-SUM($F154:AB154),IF(A7remlife="N/A","n/a",A7value/A7remlife))</f>
        <v>0</v>
      </c>
      <c r="AD154" s="106">
        <f>IF(AD$3&gt;A7remlife,A7value-SUM($F154:AC154),IF(A7remlife="N/A","n/a",A7value/A7remlife))</f>
        <v>0</v>
      </c>
      <c r="AE154" s="106">
        <f>IF(AE$3&gt;A7remlife,A7value-SUM($F154:AD154),IF(A7remlife="N/A","n/a",A7value/A7remlife))</f>
        <v>0</v>
      </c>
      <c r="AF154" s="106">
        <f>IF(AF$3&gt;A7remlife,A7value-SUM($F154:AE154),IF(A7remlife="N/A","n/a",A7value/A7remlife))</f>
        <v>0</v>
      </c>
      <c r="AG154" s="106">
        <f>IF(AG$3&gt;A7remlife,A7value-SUM($F154:AF154),IF(A7remlife="N/A","n/a",A7value/A7remlife))</f>
        <v>0</v>
      </c>
      <c r="AH154" s="106">
        <f>IF(AH$3&gt;A7remlife,A7value-SUM($F154:AG154),IF(A7remlife="N/A","n/a",A7value/A7remlife))</f>
        <v>0</v>
      </c>
      <c r="AI154" s="106">
        <f>IF(AI$3&gt;A7remlife,A7value-SUM($F154:AH154),IF(A7remlife="N/A","n/a",A7value/A7remlife))</f>
        <v>0</v>
      </c>
      <c r="AJ154" s="106">
        <f>IF(AJ$3&gt;A7remlife,A7value-SUM($F154:AI154),IF(A7remlife="N/A","n/a",A7value/A7remlife))</f>
        <v>0</v>
      </c>
      <c r="AK154" s="106">
        <f>IF(AK$3&gt;A7remlife,A7value-SUM($F154:AJ154),IF(A7remlife="N/A","n/a",A7value/A7remlife))</f>
        <v>0</v>
      </c>
      <c r="AL154" s="106">
        <f>IF(AL$3&gt;A7remlife,A7value-SUM($F154:AK154),IF(A7remlife="N/A","n/a",A7value/A7remlife))</f>
        <v>0</v>
      </c>
      <c r="AM154" s="106">
        <f>IF(AM$3&gt;A7remlife,A7value-SUM($F154:AL154),IF(A7remlife="N/A","n/a",A7value/A7remlife))</f>
        <v>0</v>
      </c>
      <c r="AN154" s="106">
        <f>IF(AN$3&gt;A7remlife,A7value-SUM($F154:AM154),IF(A7remlife="N/A","n/a",A7value/A7remlife))</f>
        <v>0</v>
      </c>
      <c r="AO154" s="106">
        <f>IF(AO$3&gt;A7remlife,A7value-SUM($F154:AN154),IF(A7remlife="N/A","n/a",A7value/A7remlife))</f>
        <v>0</v>
      </c>
      <c r="AP154" s="106">
        <f>IF(AP$3&gt;A7remlife,A7value-SUM($F154:AO154),IF(A7remlife="N/A","n/a",A7value/A7remlife))</f>
        <v>0</v>
      </c>
      <c r="AQ154" s="106">
        <f>IF(AQ$3&gt;A7remlife,A7value-SUM($F154:AP154),IF(A7remlife="N/A","n/a",A7value/A7remlife))</f>
        <v>0</v>
      </c>
      <c r="AR154" s="106">
        <f>IF(AR$3&gt;A7remlife,A7value-SUM($F154:AQ154),IF(A7remlife="N/A","n/a",A7value/A7remlife))</f>
        <v>0</v>
      </c>
      <c r="AS154" s="106">
        <f>IF(AS$3&gt;A7remlife,A7value-SUM($F154:AR154),IF(A7remlife="N/A","n/a",A7value/A7remlife))</f>
        <v>0</v>
      </c>
      <c r="AT154" s="106">
        <f>IF(AT$3&gt;A7remlife,A7value-SUM($F154:AS154),IF(A7remlife="N/A","n/a",A7value/A7remlife))</f>
        <v>0</v>
      </c>
      <c r="AU154" s="106">
        <f>IF(AU$3&gt;A7remlife,A7value-SUM($F154:AT154),IF(A7remlife="N/A","n/a",A7value/A7remlife))</f>
        <v>0</v>
      </c>
      <c r="AV154" s="106">
        <f>IF(AV$3&gt;A7remlife,A7value-SUM($F154:AU154),IF(A7remlife="N/A","n/a",A7value/A7remlife))</f>
        <v>0</v>
      </c>
      <c r="AW154" s="106">
        <f>IF(AW$3&gt;A7remlife,A7value-SUM($F154:AV154),IF(A7remlife="N/A","n/a",A7value/A7remlife))</f>
        <v>0</v>
      </c>
      <c r="AX154" s="106">
        <f>IF(AX$3&gt;A7remlife,A7value-SUM($F154:AW154),IF(A7remlife="N/A","n/a",A7value/A7remlife))</f>
        <v>0</v>
      </c>
      <c r="AY154" s="106">
        <f>IF(AY$3&gt;A7remlife,A7value-SUM($F154:AX154),IF(A7remlife="N/A","n/a",A7value/A7remlife))</f>
        <v>0</v>
      </c>
      <c r="AZ154" s="106">
        <f>IF(AZ$3&gt;A7remlife,A7value-SUM($F154:AY154),IF(A7remlife="N/A","n/a",A7value/A7remlife))</f>
        <v>0</v>
      </c>
      <c r="BA154" s="106">
        <f>IF(BA$3&gt;A7remlife,A7value-SUM($F154:AZ154),IF(A7remlife="N/A","n/a",A7value/A7remlife))</f>
        <v>0</v>
      </c>
      <c r="BB154" s="106">
        <f>IF(BB$3&gt;A7remlife,A7value-SUM($F154:BA154),IF(A7remlife="N/A","n/a",A7value/A7remlife))</f>
        <v>0</v>
      </c>
      <c r="BC154" s="106">
        <f>IF(BC$3&gt;A7remlife,A7value-SUM($F154:BB154),IF(A7remlife="N/A","n/a",A7value/A7remlife))</f>
        <v>0</v>
      </c>
      <c r="BD154" s="106">
        <f>IF(BD$3&gt;A7remlife,A7value-SUM($F154:BC154),IF(A7remlife="N/A","n/a",A7value/A7remlife))</f>
        <v>0</v>
      </c>
      <c r="BE154" s="106">
        <f>IF(BE$3&gt;A7remlife,A7value-SUM($F154:BD154),IF(A7remlife="N/A","n/a",A7value/A7remlife))</f>
        <v>0</v>
      </c>
      <c r="BF154" s="106">
        <f>IF(BF$3&gt;A7remlife,A7value-SUM($F154:BE154),IF(A7remlife="N/A","n/a",A7value/A7remlife))</f>
        <v>0</v>
      </c>
      <c r="BG154" s="106">
        <f>IF(BG$3&gt;A7remlife,A7value-SUM($F154:BF154),IF(A7remlife="N/A","n/a",A7value/A7remlife))</f>
        <v>0</v>
      </c>
      <c r="BH154" s="106">
        <f>IF(BH$3&gt;A7remlife,A7value-SUM($F154:BG154),IF(A7remlife="N/A","n/a",A7value/A7remlife))</f>
        <v>0</v>
      </c>
      <c r="BI154" s="106">
        <f>IF(BI$3&gt;A7remlife,A7value-SUM($F154:BH154),IF(A7remlife="N/A","n/a",A7value/A7remlife))</f>
        <v>0</v>
      </c>
      <c r="BJ154" s="237"/>
      <c r="BK154" s="237"/>
      <c r="BL154" s="237"/>
      <c r="BM154" s="237"/>
    </row>
    <row r="155" spans="1:65" s="190" customFormat="1" ht="12.75" hidden="1" customHeight="1" outlineLevel="2">
      <c r="A155" s="237"/>
      <c r="B155" s="33"/>
      <c r="C155" s="32"/>
      <c r="D155" s="1618" t="s">
        <v>357</v>
      </c>
      <c r="E155" s="169">
        <v>0</v>
      </c>
      <c r="F155" s="35"/>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237"/>
      <c r="BK155" s="237"/>
      <c r="BL155" s="237"/>
      <c r="BM155" s="237"/>
    </row>
    <row r="156" spans="1:65" s="190" customFormat="1" hidden="1" outlineLevel="2">
      <c r="A156" s="237"/>
      <c r="B156" s="33"/>
      <c r="C156" s="32"/>
      <c r="D156" s="1618"/>
      <c r="E156" s="169">
        <v>1</v>
      </c>
      <c r="F156" s="35"/>
      <c r="G156" s="183"/>
      <c r="H156" s="107">
        <f>IF(A7stdlife="n/a","n/a",IF(H$3&gt;(A7stdlife+$E156),('PTRM input'!$G$149*(1+rvanilla01)^0.5)-SUM($G156:G156),('PTRM input'!$G$149*(1+rvanilla01)^0.5)/A7stdlife))</f>
        <v>0</v>
      </c>
      <c r="I156" s="107">
        <f>IF(A7stdlife="n/a","n/a",IF(I$3&gt;(A7stdlife+$E156),('PTRM input'!$G$149*(1+rvanilla01)^0.5)-SUM($G156:H156),('PTRM input'!$G$149*(1+rvanilla01)^0.5)/A7stdlife))</f>
        <v>0</v>
      </c>
      <c r="J156" s="107">
        <f>IF(A7stdlife="n/a","n/a",IF(J$3&gt;(A7stdlife+$E156),('PTRM input'!$G$149*(1+rvanilla01)^0.5)-SUM($G156:I156),('PTRM input'!$G$149*(1+rvanilla01)^0.5)/A7stdlife))</f>
        <v>0</v>
      </c>
      <c r="K156" s="107">
        <f>IF(A7stdlife="n/a","n/a",IF(K$3&gt;(A7stdlife+$E156),('PTRM input'!$G$149*(1+rvanilla01)^0.5)-SUM($G156:J156),('PTRM input'!$G$149*(1+rvanilla01)^0.5)/A7stdlife))</f>
        <v>0</v>
      </c>
      <c r="L156" s="107">
        <f>IF(A7stdlife="n/a","n/a",IF(L$3&gt;(A7stdlife+$E156),('PTRM input'!$G$149*(1+rvanilla01)^0.5)-SUM($G156:K156),('PTRM input'!$G$149*(1+rvanilla01)^0.5)/A7stdlife))</f>
        <v>0</v>
      </c>
      <c r="M156" s="107">
        <f>IF(A7stdlife="n/a","n/a",IF(M$3&gt;(A7stdlife+$E156),('PTRM input'!$G$149*(1+rvanilla01)^0.5)-SUM($G156:L156),('PTRM input'!$G$149*(1+rvanilla01)^0.5)/A7stdlife))</f>
        <v>0</v>
      </c>
      <c r="N156" s="107">
        <f>IF(A7stdlife="n/a","n/a",IF(N$3&gt;(A7stdlife+$E156),('PTRM input'!$G$149*(1+rvanilla01)^0.5)-SUM($G156:M156),('PTRM input'!$G$149*(1+rvanilla01)^0.5)/A7stdlife))</f>
        <v>0</v>
      </c>
      <c r="O156" s="107">
        <f>IF(A7stdlife="n/a","n/a",IF(O$3&gt;(A7stdlife+$E156),('PTRM input'!$G$149*(1+rvanilla01)^0.5)-SUM($G156:N156),('PTRM input'!$G$149*(1+rvanilla01)^0.5)/A7stdlife))</f>
        <v>0</v>
      </c>
      <c r="P156" s="107">
        <f>IF(A7stdlife="n/a","n/a",IF(P$3&gt;(A7stdlife+$E156),('PTRM input'!$G$149*(1+rvanilla01)^0.5)-SUM($G156:O156),('PTRM input'!$G$149*(1+rvanilla01)^0.5)/A7stdlife))</f>
        <v>0</v>
      </c>
      <c r="Q156" s="107">
        <f>IF(A7stdlife="n/a","n/a",IF(Q$3&gt;(A7stdlife+$E156),('PTRM input'!$G$149*(1+rvanilla01)^0.5)-SUM($G156:P156),('PTRM input'!$G$149*(1+rvanilla01)^0.5)/A7stdlife))</f>
        <v>0</v>
      </c>
      <c r="R156" s="107">
        <f>IF(A7stdlife="n/a","n/a",IF(R$3&gt;(A7stdlife+$E156),('PTRM input'!$G$149*(1+rvanilla01)^0.5)-SUM($G156:Q156),('PTRM input'!$G$149*(1+rvanilla01)^0.5)/A7stdlife))</f>
        <v>0</v>
      </c>
      <c r="S156" s="107">
        <f>IF(A7stdlife="n/a","n/a",IF(S$3&gt;(A7stdlife+$E156),('PTRM input'!$G$149*(1+rvanilla01)^0.5)-SUM($G156:R156),('PTRM input'!$G$149*(1+rvanilla01)^0.5)/A7stdlife))</f>
        <v>0</v>
      </c>
      <c r="T156" s="107">
        <f>IF(A7stdlife="n/a","n/a",IF(T$3&gt;(A7stdlife+$E156),('PTRM input'!$G$149*(1+rvanilla01)^0.5)-SUM($G156:S156),('PTRM input'!$G$149*(1+rvanilla01)^0.5)/A7stdlife))</f>
        <v>0</v>
      </c>
      <c r="U156" s="107">
        <f>IF(A7stdlife="n/a","n/a",IF(U$3&gt;(A7stdlife+$E156),('PTRM input'!$G$149*(1+rvanilla01)^0.5)-SUM($G156:T156),('PTRM input'!$G$149*(1+rvanilla01)^0.5)/A7stdlife))</f>
        <v>0</v>
      </c>
      <c r="V156" s="107">
        <f>IF(A7stdlife="n/a","n/a",IF(V$3&gt;(A7stdlife+$E156),('PTRM input'!$G$149*(1+rvanilla01)^0.5)-SUM($G156:U156),('PTRM input'!$G$149*(1+rvanilla01)^0.5)/A7stdlife))</f>
        <v>0</v>
      </c>
      <c r="W156" s="107">
        <f>IF(A7stdlife="n/a","n/a",IF(W$3&gt;(A7stdlife+$E156),('PTRM input'!$G$149*(1+rvanilla01)^0.5)-SUM($G156:V156),('PTRM input'!$G$149*(1+rvanilla01)^0.5)/A7stdlife))</f>
        <v>0</v>
      </c>
      <c r="X156" s="107">
        <f>IF(A7stdlife="n/a","n/a",IF(X$3&gt;(A7stdlife+$E156),('PTRM input'!$G$149*(1+rvanilla01)^0.5)-SUM($G156:W156),('PTRM input'!$G$149*(1+rvanilla01)^0.5)/A7stdlife))</f>
        <v>0</v>
      </c>
      <c r="Y156" s="107">
        <f>IF(A7stdlife="n/a","n/a",IF(Y$3&gt;(A7stdlife+$E156),('PTRM input'!$G$149*(1+rvanilla01)^0.5)-SUM($G156:X156),('PTRM input'!$G$149*(1+rvanilla01)^0.5)/A7stdlife))</f>
        <v>0</v>
      </c>
      <c r="Z156" s="107">
        <f>IF(A7stdlife="n/a","n/a",IF(Z$3&gt;(A7stdlife+$E156),('PTRM input'!$G$149*(1+rvanilla01)^0.5)-SUM($G156:Y156),('PTRM input'!$G$149*(1+rvanilla01)^0.5)/A7stdlife))</f>
        <v>0</v>
      </c>
      <c r="AA156" s="107">
        <f>IF(A7stdlife="n/a","n/a",IF(AA$3&gt;(A7stdlife+$E156),('PTRM input'!$G$149*(1+rvanilla01)^0.5)-SUM($G156:Z156),('PTRM input'!$G$149*(1+rvanilla01)^0.5)/A7stdlife))</f>
        <v>0</v>
      </c>
      <c r="AB156" s="107">
        <f>IF(A7stdlife="n/a","n/a",IF(AB$3&gt;(A7stdlife+$E156),('PTRM input'!$G$149*(1+rvanilla01)^0.5)-SUM($G156:AA156),('PTRM input'!$G$149*(1+rvanilla01)^0.5)/A7stdlife))</f>
        <v>0</v>
      </c>
      <c r="AC156" s="107">
        <f>IF(A7stdlife="n/a","n/a",IF(AC$3&gt;(A7stdlife+$E156),('PTRM input'!$G$149*(1+rvanilla01)^0.5)-SUM($G156:AB156),('PTRM input'!$G$149*(1+rvanilla01)^0.5)/A7stdlife))</f>
        <v>0</v>
      </c>
      <c r="AD156" s="107">
        <f>IF(A7stdlife="n/a","n/a",IF(AD$3&gt;(A7stdlife+$E156),('PTRM input'!$G$149*(1+rvanilla01)^0.5)-SUM($G156:AC156),('PTRM input'!$G$149*(1+rvanilla01)^0.5)/A7stdlife))</f>
        <v>0</v>
      </c>
      <c r="AE156" s="107">
        <f>IF(A7stdlife="n/a","n/a",IF(AE$3&gt;(A7stdlife+$E156),('PTRM input'!$G$149*(1+rvanilla01)^0.5)-SUM($G156:AD156),('PTRM input'!$G$149*(1+rvanilla01)^0.5)/A7stdlife))</f>
        <v>0</v>
      </c>
      <c r="AF156" s="107">
        <f>IF(A7stdlife="n/a","n/a",IF(AF$3&gt;(A7stdlife+$E156),('PTRM input'!$G$149*(1+rvanilla01)^0.5)-SUM($G156:AE156),('PTRM input'!$G$149*(1+rvanilla01)^0.5)/A7stdlife))</f>
        <v>0</v>
      </c>
      <c r="AG156" s="107">
        <f>IF(A7stdlife="n/a","n/a",IF(AG$3&gt;(A7stdlife+$E156),('PTRM input'!$G$149*(1+rvanilla01)^0.5)-SUM($G156:AF156),('PTRM input'!$G$149*(1+rvanilla01)^0.5)/A7stdlife))</f>
        <v>0</v>
      </c>
      <c r="AH156" s="107">
        <f>IF(A7stdlife="n/a","n/a",IF(AH$3&gt;(A7stdlife+$E156),('PTRM input'!$G$149*(1+rvanilla01)^0.5)-SUM($G156:AG156),('PTRM input'!$G$149*(1+rvanilla01)^0.5)/A7stdlife))</f>
        <v>0</v>
      </c>
      <c r="AI156" s="107">
        <f>IF(A7stdlife="n/a","n/a",IF(AI$3&gt;(A7stdlife+$E156),('PTRM input'!$G$149*(1+rvanilla01)^0.5)-SUM($G156:AH156),('PTRM input'!$G$149*(1+rvanilla01)^0.5)/A7stdlife))</f>
        <v>0</v>
      </c>
      <c r="AJ156" s="107">
        <f>IF(A7stdlife="n/a","n/a",IF(AJ$3&gt;(A7stdlife+$E156),('PTRM input'!$G$149*(1+rvanilla01)^0.5)-SUM($G156:AI156),('PTRM input'!$G$149*(1+rvanilla01)^0.5)/A7stdlife))</f>
        <v>0</v>
      </c>
      <c r="AK156" s="107">
        <f>IF(A7stdlife="n/a","n/a",IF(AK$3&gt;(A7stdlife+$E156),('PTRM input'!$G$149*(1+rvanilla01)^0.5)-SUM($G156:AJ156),('PTRM input'!$G$149*(1+rvanilla01)^0.5)/A7stdlife))</f>
        <v>0</v>
      </c>
      <c r="AL156" s="107">
        <f>IF(A7stdlife="n/a","n/a",IF(AL$3&gt;(A7stdlife+$E156),('PTRM input'!$G$149*(1+rvanilla01)^0.5)-SUM($G156:AK156),('PTRM input'!$G$149*(1+rvanilla01)^0.5)/A7stdlife))</f>
        <v>0</v>
      </c>
      <c r="AM156" s="107">
        <f>IF(A7stdlife="n/a","n/a",IF(AM$3&gt;(A7stdlife+$E156),('PTRM input'!$G$149*(1+rvanilla01)^0.5)-SUM($G156:AL156),('PTRM input'!$G$149*(1+rvanilla01)^0.5)/A7stdlife))</f>
        <v>0</v>
      </c>
      <c r="AN156" s="107">
        <f>IF(A7stdlife="n/a","n/a",IF(AN$3&gt;(A7stdlife+$E156),('PTRM input'!$G$149*(1+rvanilla01)^0.5)-SUM($G156:AM156),('PTRM input'!$G$149*(1+rvanilla01)^0.5)/A7stdlife))</f>
        <v>0</v>
      </c>
      <c r="AO156" s="107">
        <f>IF(A7stdlife="n/a","n/a",IF(AO$3&gt;(A7stdlife+$E156),('PTRM input'!$G$149*(1+rvanilla01)^0.5)-SUM($G156:AN156),('PTRM input'!$G$149*(1+rvanilla01)^0.5)/A7stdlife))</f>
        <v>0</v>
      </c>
      <c r="AP156" s="107">
        <f>IF(A7stdlife="n/a","n/a",IF(AP$3&gt;(A7stdlife+$E156),('PTRM input'!$G$149*(1+rvanilla01)^0.5)-SUM($G156:AO156),('PTRM input'!$G$149*(1+rvanilla01)^0.5)/A7stdlife))</f>
        <v>0</v>
      </c>
      <c r="AQ156" s="107">
        <f>IF(A7stdlife="n/a","n/a",IF(AQ$3&gt;(A7stdlife+$E156),('PTRM input'!$G$149*(1+rvanilla01)^0.5)-SUM($G156:AP156),('PTRM input'!$G$149*(1+rvanilla01)^0.5)/A7stdlife))</f>
        <v>0</v>
      </c>
      <c r="AR156" s="107">
        <f>IF(A7stdlife="n/a","n/a",IF(AR$3&gt;(A7stdlife+$E156),('PTRM input'!$G$149*(1+rvanilla01)^0.5)-SUM($G156:AQ156),('PTRM input'!$G$149*(1+rvanilla01)^0.5)/A7stdlife))</f>
        <v>0</v>
      </c>
      <c r="AS156" s="107">
        <f>IF(A7stdlife="n/a","n/a",IF(AS$3&gt;(A7stdlife+$E156),('PTRM input'!$G$149*(1+rvanilla01)^0.5)-SUM($G156:AR156),('PTRM input'!$G$149*(1+rvanilla01)^0.5)/A7stdlife))</f>
        <v>0</v>
      </c>
      <c r="AT156" s="107">
        <f>IF(A7stdlife="n/a","n/a",IF(AT$3&gt;(A7stdlife+$E156),('PTRM input'!$G$149*(1+rvanilla01)^0.5)-SUM($G156:AS156),('PTRM input'!$G$149*(1+rvanilla01)^0.5)/A7stdlife))</f>
        <v>0</v>
      </c>
      <c r="AU156" s="107">
        <f>IF(A7stdlife="n/a","n/a",IF(AU$3&gt;(A7stdlife+$E156),('PTRM input'!$G$149*(1+rvanilla01)^0.5)-SUM($G156:AT156),('PTRM input'!$G$149*(1+rvanilla01)^0.5)/A7stdlife))</f>
        <v>0</v>
      </c>
      <c r="AV156" s="107">
        <f>IF(A7stdlife="n/a","n/a",IF(AV$3&gt;(A7stdlife+$E156),('PTRM input'!$G$149*(1+rvanilla01)^0.5)-SUM($G156:AU156),('PTRM input'!$G$149*(1+rvanilla01)^0.5)/A7stdlife))</f>
        <v>0</v>
      </c>
      <c r="AW156" s="107">
        <f>IF(A7stdlife="n/a","n/a",IF(AW$3&gt;(A7stdlife+$E156),('PTRM input'!$G$149*(1+rvanilla01)^0.5)-SUM($G156:AV156),('PTRM input'!$G$149*(1+rvanilla01)^0.5)/A7stdlife))</f>
        <v>0</v>
      </c>
      <c r="AX156" s="107">
        <f>IF(A7stdlife="n/a","n/a",IF(AX$3&gt;(A7stdlife+$E156),('PTRM input'!$G$149*(1+rvanilla01)^0.5)-SUM($G156:AW156),('PTRM input'!$G$149*(1+rvanilla01)^0.5)/A7stdlife))</f>
        <v>0</v>
      </c>
      <c r="AY156" s="107">
        <f>IF(A7stdlife="n/a","n/a",IF(AY$3&gt;(A7stdlife+$E156),('PTRM input'!$G$149*(1+rvanilla01)^0.5)-SUM($G156:AX156),('PTRM input'!$G$149*(1+rvanilla01)^0.5)/A7stdlife))</f>
        <v>0</v>
      </c>
      <c r="AZ156" s="107">
        <f>IF(A7stdlife="n/a","n/a",IF(AZ$3&gt;(A7stdlife+$E156),('PTRM input'!$G$149*(1+rvanilla01)^0.5)-SUM($G156:AY156),('PTRM input'!$G$149*(1+rvanilla01)^0.5)/A7stdlife))</f>
        <v>0</v>
      </c>
      <c r="BA156" s="107">
        <f>IF(A7stdlife="n/a","n/a",IF(BA$3&gt;(A7stdlife+$E156),('PTRM input'!$G$149*(1+rvanilla01)^0.5)-SUM($G156:AZ156),('PTRM input'!$G$149*(1+rvanilla01)^0.5)/A7stdlife))</f>
        <v>0</v>
      </c>
      <c r="BB156" s="107">
        <f>IF(A7stdlife="n/a","n/a",IF(BB$3&gt;(A7stdlife+$E156),('PTRM input'!$G$149*(1+rvanilla01)^0.5)-SUM($G156:BA156),('PTRM input'!$G$149*(1+rvanilla01)^0.5)/A7stdlife))</f>
        <v>0</v>
      </c>
      <c r="BC156" s="107">
        <f>IF(A7stdlife="n/a","n/a",IF(BC$3&gt;(A7stdlife+$E156),('PTRM input'!$G$149*(1+rvanilla01)^0.5)-SUM($G156:BB156),('PTRM input'!$G$149*(1+rvanilla01)^0.5)/A7stdlife))</f>
        <v>0</v>
      </c>
      <c r="BD156" s="107">
        <f>IF(A7stdlife="n/a","n/a",IF(BD$3&gt;(A7stdlife+$E156),('PTRM input'!$G$149*(1+rvanilla01)^0.5)-SUM($G156:BC156),('PTRM input'!$G$149*(1+rvanilla01)^0.5)/A7stdlife))</f>
        <v>0</v>
      </c>
      <c r="BE156" s="107">
        <f>IF(A7stdlife="n/a","n/a",IF(BE$3&gt;(A7stdlife+$E156),('PTRM input'!$G$149*(1+rvanilla01)^0.5)-SUM($G156:BD156),('PTRM input'!$G$149*(1+rvanilla01)^0.5)/A7stdlife))</f>
        <v>0</v>
      </c>
      <c r="BF156" s="107">
        <f>IF(A7stdlife="n/a","n/a",IF(BF$3&gt;(A7stdlife+$E156),('PTRM input'!$G$149*(1+rvanilla01)^0.5)-SUM($G156:BE156),('PTRM input'!$G$149*(1+rvanilla01)^0.5)/A7stdlife))</f>
        <v>0</v>
      </c>
      <c r="BG156" s="107">
        <f>IF(A7stdlife="n/a","n/a",IF(BG$3&gt;(A7stdlife+$E156),('PTRM input'!$G$149*(1+rvanilla01)^0.5)-SUM($G156:BF156),('PTRM input'!$G$149*(1+rvanilla01)^0.5)/A7stdlife))</f>
        <v>0</v>
      </c>
      <c r="BH156" s="107">
        <f>IF(A7stdlife="n/a","n/a",IF(BH$3&gt;(A7stdlife+$E156),('PTRM input'!$G$149*(1+rvanilla01)^0.5)-SUM($G156:BG156),('PTRM input'!$G$149*(1+rvanilla01)^0.5)/A7stdlife))</f>
        <v>0</v>
      </c>
      <c r="BI156" s="107">
        <f>IF(A7stdlife="n/a","n/a",IF(BI$3&gt;(A7stdlife+$E156),('PTRM input'!$G$149*(1+rvanilla01)^0.5)-SUM($G156:BH156),('PTRM input'!$G$149*(1+rvanilla01)^0.5)/A7stdlife))</f>
        <v>0</v>
      </c>
      <c r="BJ156" s="237"/>
      <c r="BK156" s="237"/>
      <c r="BL156" s="237"/>
      <c r="BM156" s="237"/>
    </row>
    <row r="157" spans="1:65" s="190" customFormat="1" hidden="1" outlineLevel="2">
      <c r="A157" s="237"/>
      <c r="B157" s="33"/>
      <c r="C157" s="32"/>
      <c r="D157" s="1618"/>
      <c r="E157" s="169">
        <v>2</v>
      </c>
      <c r="F157" s="35"/>
      <c r="G157" s="184"/>
      <c r="H157" s="185"/>
      <c r="I157" s="107">
        <f>IF(A7stdlife="n/a","n/a",IF(I$3&gt;(A7stdlife+$E157),('PTRM input'!$H$149*(1+rvanilla02)^0.5)-SUM($H157:H157),('PTRM input'!$H$149*(1+rvanilla02)^0.5)/A7stdlife))</f>
        <v>0</v>
      </c>
      <c r="J157" s="107">
        <f>IF(A7stdlife="n/a","n/a",IF(J$3&gt;(A7stdlife+$E157),('PTRM input'!$H$149*(1+rvanilla02)^0.5)-SUM($H157:I157),('PTRM input'!$H$149*(1+rvanilla02)^0.5)/A7stdlife))</f>
        <v>0</v>
      </c>
      <c r="K157" s="107">
        <f>IF(A7stdlife="n/a","n/a",IF(K$3&gt;(A7stdlife+$E157),('PTRM input'!$H$149*(1+rvanilla02)^0.5)-SUM($H157:J157),('PTRM input'!$H$149*(1+rvanilla02)^0.5)/A7stdlife))</f>
        <v>0</v>
      </c>
      <c r="L157" s="107">
        <f>IF(A7stdlife="n/a","n/a",IF(L$3&gt;(A7stdlife+$E157),('PTRM input'!$H$149*(1+rvanilla02)^0.5)-SUM($H157:K157),('PTRM input'!$H$149*(1+rvanilla02)^0.5)/A7stdlife))</f>
        <v>0</v>
      </c>
      <c r="M157" s="107">
        <f>IF(A7stdlife="n/a","n/a",IF(M$3&gt;(A7stdlife+$E157),('PTRM input'!$H$149*(1+rvanilla02)^0.5)-SUM($H157:L157),('PTRM input'!$H$149*(1+rvanilla02)^0.5)/A7stdlife))</f>
        <v>0</v>
      </c>
      <c r="N157" s="107">
        <f>IF(A7stdlife="n/a","n/a",IF(N$3&gt;(A7stdlife+$E157),('PTRM input'!$H$149*(1+rvanilla02)^0.5)-SUM($H157:M157),('PTRM input'!$H$149*(1+rvanilla02)^0.5)/A7stdlife))</f>
        <v>0</v>
      </c>
      <c r="O157" s="107">
        <f>IF(A7stdlife="n/a","n/a",IF(O$3&gt;(A7stdlife+$E157),('PTRM input'!$H$149*(1+rvanilla02)^0.5)-SUM($H157:N157),('PTRM input'!$H$149*(1+rvanilla02)^0.5)/A7stdlife))</f>
        <v>0</v>
      </c>
      <c r="P157" s="107">
        <f>IF(A7stdlife="n/a","n/a",IF(P$3&gt;(A7stdlife+$E157),('PTRM input'!$H$149*(1+rvanilla02)^0.5)-SUM($H157:O157),('PTRM input'!$H$149*(1+rvanilla02)^0.5)/A7stdlife))</f>
        <v>0</v>
      </c>
      <c r="Q157" s="107">
        <f>IF(A7stdlife="n/a","n/a",IF(Q$3&gt;(A7stdlife+$E157),('PTRM input'!$H$149*(1+rvanilla02)^0.5)-SUM($H157:P157),('PTRM input'!$H$149*(1+rvanilla02)^0.5)/A7stdlife))</f>
        <v>0</v>
      </c>
      <c r="R157" s="107">
        <f>IF(A7stdlife="n/a","n/a",IF(R$3&gt;(A7stdlife+$E157),('PTRM input'!$H$149*(1+rvanilla02)^0.5)-SUM($H157:Q157),('PTRM input'!$H$149*(1+rvanilla02)^0.5)/A7stdlife))</f>
        <v>0</v>
      </c>
      <c r="S157" s="107">
        <f>IF(A7stdlife="n/a","n/a",IF(S$3&gt;(A7stdlife+$E157),('PTRM input'!$H$149*(1+rvanilla02)^0.5)-SUM($H157:R157),('PTRM input'!$H$149*(1+rvanilla02)^0.5)/A7stdlife))</f>
        <v>0</v>
      </c>
      <c r="T157" s="107">
        <f>IF(A7stdlife="n/a","n/a",IF(T$3&gt;(A7stdlife+$E157),('PTRM input'!$H$149*(1+rvanilla02)^0.5)-SUM($H157:S157),('PTRM input'!$H$149*(1+rvanilla02)^0.5)/A7stdlife))</f>
        <v>0</v>
      </c>
      <c r="U157" s="107">
        <f>IF(A7stdlife="n/a","n/a",IF(U$3&gt;(A7stdlife+$E157),('PTRM input'!$H$149*(1+rvanilla02)^0.5)-SUM($H157:T157),('PTRM input'!$H$149*(1+rvanilla02)^0.5)/A7stdlife))</f>
        <v>0</v>
      </c>
      <c r="V157" s="107">
        <f>IF(A7stdlife="n/a","n/a",IF(V$3&gt;(A7stdlife+$E157),('PTRM input'!$H$149*(1+rvanilla02)^0.5)-SUM($H157:U157),('PTRM input'!$H$149*(1+rvanilla02)^0.5)/A7stdlife))</f>
        <v>0</v>
      </c>
      <c r="W157" s="107">
        <f>IF(A7stdlife="n/a","n/a",IF(W$3&gt;(A7stdlife+$E157),('PTRM input'!$H$149*(1+rvanilla02)^0.5)-SUM($H157:V157),('PTRM input'!$H$149*(1+rvanilla02)^0.5)/A7stdlife))</f>
        <v>0</v>
      </c>
      <c r="X157" s="107">
        <f>IF(A7stdlife="n/a","n/a",IF(X$3&gt;(A7stdlife+$E157),('PTRM input'!$H$149*(1+rvanilla02)^0.5)-SUM($H157:W157),('PTRM input'!$H$149*(1+rvanilla02)^0.5)/A7stdlife))</f>
        <v>0</v>
      </c>
      <c r="Y157" s="107">
        <f>IF(A7stdlife="n/a","n/a",IF(Y$3&gt;(A7stdlife+$E157),('PTRM input'!$H$149*(1+rvanilla02)^0.5)-SUM($H157:X157),('PTRM input'!$H$149*(1+rvanilla02)^0.5)/A7stdlife))</f>
        <v>0</v>
      </c>
      <c r="Z157" s="107">
        <f>IF(A7stdlife="n/a","n/a",IF(Z$3&gt;(A7stdlife+$E157),('PTRM input'!$H$149*(1+rvanilla02)^0.5)-SUM($H157:Y157),('PTRM input'!$H$149*(1+rvanilla02)^0.5)/A7stdlife))</f>
        <v>0</v>
      </c>
      <c r="AA157" s="107">
        <f>IF(A7stdlife="n/a","n/a",IF(AA$3&gt;(A7stdlife+$E157),('PTRM input'!$H$149*(1+rvanilla02)^0.5)-SUM($H157:Z157),('PTRM input'!$H$149*(1+rvanilla02)^0.5)/A7stdlife))</f>
        <v>0</v>
      </c>
      <c r="AB157" s="107">
        <f>IF(A7stdlife="n/a","n/a",IF(AB$3&gt;(A7stdlife+$E157),('PTRM input'!$H$149*(1+rvanilla02)^0.5)-SUM($H157:AA157),('PTRM input'!$H$149*(1+rvanilla02)^0.5)/A7stdlife))</f>
        <v>0</v>
      </c>
      <c r="AC157" s="107">
        <f>IF(A7stdlife="n/a","n/a",IF(AC$3&gt;(A7stdlife+$E157),('PTRM input'!$H$149*(1+rvanilla02)^0.5)-SUM($H157:AB157),('PTRM input'!$H$149*(1+rvanilla02)^0.5)/A7stdlife))</f>
        <v>0</v>
      </c>
      <c r="AD157" s="107">
        <f>IF(A7stdlife="n/a","n/a",IF(AD$3&gt;(A7stdlife+$E157),('PTRM input'!$H$149*(1+rvanilla02)^0.5)-SUM($H157:AC157),('PTRM input'!$H$149*(1+rvanilla02)^0.5)/A7stdlife))</f>
        <v>0</v>
      </c>
      <c r="AE157" s="107">
        <f>IF(A7stdlife="n/a","n/a",IF(AE$3&gt;(A7stdlife+$E157),('PTRM input'!$H$149*(1+rvanilla02)^0.5)-SUM($H157:AD157),('PTRM input'!$H$149*(1+rvanilla02)^0.5)/A7stdlife))</f>
        <v>0</v>
      </c>
      <c r="AF157" s="107">
        <f>IF(A7stdlife="n/a","n/a",IF(AF$3&gt;(A7stdlife+$E157),('PTRM input'!$H$149*(1+rvanilla02)^0.5)-SUM($H157:AE157),('PTRM input'!$H$149*(1+rvanilla02)^0.5)/A7stdlife))</f>
        <v>0</v>
      </c>
      <c r="AG157" s="107">
        <f>IF(A7stdlife="n/a","n/a",IF(AG$3&gt;(A7stdlife+$E157),('PTRM input'!$H$149*(1+rvanilla02)^0.5)-SUM($H157:AF157),('PTRM input'!$H$149*(1+rvanilla02)^0.5)/A7stdlife))</f>
        <v>0</v>
      </c>
      <c r="AH157" s="107">
        <f>IF(A7stdlife="n/a","n/a",IF(AH$3&gt;(A7stdlife+$E157),('PTRM input'!$H$149*(1+rvanilla02)^0.5)-SUM($H157:AG157),('PTRM input'!$H$149*(1+rvanilla02)^0.5)/A7stdlife))</f>
        <v>0</v>
      </c>
      <c r="AI157" s="107">
        <f>IF(A7stdlife="n/a","n/a",IF(AI$3&gt;(A7stdlife+$E157),('PTRM input'!$H$149*(1+rvanilla02)^0.5)-SUM($H157:AH157),('PTRM input'!$H$149*(1+rvanilla02)^0.5)/A7stdlife))</f>
        <v>0</v>
      </c>
      <c r="AJ157" s="107">
        <f>IF(A7stdlife="n/a","n/a",IF(AJ$3&gt;(A7stdlife+$E157),('PTRM input'!$H$149*(1+rvanilla02)^0.5)-SUM($H157:AI157),('PTRM input'!$H$149*(1+rvanilla02)^0.5)/A7stdlife))</f>
        <v>0</v>
      </c>
      <c r="AK157" s="107">
        <f>IF(A7stdlife="n/a","n/a",IF(AK$3&gt;(A7stdlife+$E157),('PTRM input'!$H$149*(1+rvanilla02)^0.5)-SUM($H157:AJ157),('PTRM input'!$H$149*(1+rvanilla02)^0.5)/A7stdlife))</f>
        <v>0</v>
      </c>
      <c r="AL157" s="107">
        <f>IF(A7stdlife="n/a","n/a",IF(AL$3&gt;(A7stdlife+$E157),('PTRM input'!$H$149*(1+rvanilla02)^0.5)-SUM($H157:AK157),('PTRM input'!$H$149*(1+rvanilla02)^0.5)/A7stdlife))</f>
        <v>0</v>
      </c>
      <c r="AM157" s="107">
        <f>IF(A7stdlife="n/a","n/a",IF(AM$3&gt;(A7stdlife+$E157),('PTRM input'!$H$149*(1+rvanilla02)^0.5)-SUM($H157:AL157),('PTRM input'!$H$149*(1+rvanilla02)^0.5)/A7stdlife))</f>
        <v>0</v>
      </c>
      <c r="AN157" s="107">
        <f>IF(A7stdlife="n/a","n/a",IF(AN$3&gt;(A7stdlife+$E157),('PTRM input'!$H$149*(1+rvanilla02)^0.5)-SUM($H157:AM157),('PTRM input'!$H$149*(1+rvanilla02)^0.5)/A7stdlife))</f>
        <v>0</v>
      </c>
      <c r="AO157" s="107">
        <f>IF(A7stdlife="n/a","n/a",IF(AO$3&gt;(A7stdlife+$E157),('PTRM input'!$H$149*(1+rvanilla02)^0.5)-SUM($H157:AN157),('PTRM input'!$H$149*(1+rvanilla02)^0.5)/A7stdlife))</f>
        <v>0</v>
      </c>
      <c r="AP157" s="107">
        <f>IF(A7stdlife="n/a","n/a",IF(AP$3&gt;(A7stdlife+$E157),('PTRM input'!$H$149*(1+rvanilla02)^0.5)-SUM($H157:AO157),('PTRM input'!$H$149*(1+rvanilla02)^0.5)/A7stdlife))</f>
        <v>0</v>
      </c>
      <c r="AQ157" s="107">
        <f>IF(A7stdlife="n/a","n/a",IF(AQ$3&gt;(A7stdlife+$E157),('PTRM input'!$H$149*(1+rvanilla02)^0.5)-SUM($H157:AP157),('PTRM input'!$H$149*(1+rvanilla02)^0.5)/A7stdlife))</f>
        <v>0</v>
      </c>
      <c r="AR157" s="107">
        <f>IF(A7stdlife="n/a","n/a",IF(AR$3&gt;(A7stdlife+$E157),('PTRM input'!$H$149*(1+rvanilla02)^0.5)-SUM($H157:AQ157),('PTRM input'!$H$149*(1+rvanilla02)^0.5)/A7stdlife))</f>
        <v>0</v>
      </c>
      <c r="AS157" s="107">
        <f>IF(A7stdlife="n/a","n/a",IF(AS$3&gt;(A7stdlife+$E157),('PTRM input'!$H$149*(1+rvanilla02)^0.5)-SUM($H157:AR157),('PTRM input'!$H$149*(1+rvanilla02)^0.5)/A7stdlife))</f>
        <v>0</v>
      </c>
      <c r="AT157" s="107">
        <f>IF(A7stdlife="n/a","n/a",IF(AT$3&gt;(A7stdlife+$E157),('PTRM input'!$H$149*(1+rvanilla02)^0.5)-SUM($H157:AS157),('PTRM input'!$H$149*(1+rvanilla02)^0.5)/A7stdlife))</f>
        <v>0</v>
      </c>
      <c r="AU157" s="107">
        <f>IF(A7stdlife="n/a","n/a",IF(AU$3&gt;(A7stdlife+$E157),('PTRM input'!$H$149*(1+rvanilla02)^0.5)-SUM($H157:AT157),('PTRM input'!$H$149*(1+rvanilla02)^0.5)/A7stdlife))</f>
        <v>0</v>
      </c>
      <c r="AV157" s="107">
        <f>IF(A7stdlife="n/a","n/a",IF(AV$3&gt;(A7stdlife+$E157),('PTRM input'!$H$149*(1+rvanilla02)^0.5)-SUM($H157:AU157),('PTRM input'!$H$149*(1+rvanilla02)^0.5)/A7stdlife))</f>
        <v>0</v>
      </c>
      <c r="AW157" s="107">
        <f>IF(A7stdlife="n/a","n/a",IF(AW$3&gt;(A7stdlife+$E157),('PTRM input'!$H$149*(1+rvanilla02)^0.5)-SUM($H157:AV157),('PTRM input'!$H$149*(1+rvanilla02)^0.5)/A7stdlife))</f>
        <v>0</v>
      </c>
      <c r="AX157" s="107">
        <f>IF(A7stdlife="n/a","n/a",IF(AX$3&gt;(A7stdlife+$E157),('PTRM input'!$H$149*(1+rvanilla02)^0.5)-SUM($H157:AW157),('PTRM input'!$H$149*(1+rvanilla02)^0.5)/A7stdlife))</f>
        <v>0</v>
      </c>
      <c r="AY157" s="107">
        <f>IF(A7stdlife="n/a","n/a",IF(AY$3&gt;(A7stdlife+$E157),('PTRM input'!$H$149*(1+rvanilla02)^0.5)-SUM($H157:AX157),('PTRM input'!$H$149*(1+rvanilla02)^0.5)/A7stdlife))</f>
        <v>0</v>
      </c>
      <c r="AZ157" s="107">
        <f>IF(A7stdlife="n/a","n/a",IF(AZ$3&gt;(A7stdlife+$E157),('PTRM input'!$H$149*(1+rvanilla02)^0.5)-SUM($H157:AY157),('PTRM input'!$H$149*(1+rvanilla02)^0.5)/A7stdlife))</f>
        <v>0</v>
      </c>
      <c r="BA157" s="107">
        <f>IF(A7stdlife="n/a","n/a",IF(BA$3&gt;(A7stdlife+$E157),('PTRM input'!$H$149*(1+rvanilla02)^0.5)-SUM($H157:AZ157),('PTRM input'!$H$149*(1+rvanilla02)^0.5)/A7stdlife))</f>
        <v>0</v>
      </c>
      <c r="BB157" s="107">
        <f>IF(A7stdlife="n/a","n/a",IF(BB$3&gt;(A7stdlife+$E157),('PTRM input'!$H$149*(1+rvanilla02)^0.5)-SUM($H157:BA157),('PTRM input'!$H$149*(1+rvanilla02)^0.5)/A7stdlife))</f>
        <v>0</v>
      </c>
      <c r="BC157" s="107">
        <f>IF(A7stdlife="n/a","n/a",IF(BC$3&gt;(A7stdlife+$E157),('PTRM input'!$H$149*(1+rvanilla02)^0.5)-SUM($H157:BB157),('PTRM input'!$H$149*(1+rvanilla02)^0.5)/A7stdlife))</f>
        <v>0</v>
      </c>
      <c r="BD157" s="107">
        <f>IF(A7stdlife="n/a","n/a",IF(BD$3&gt;(A7stdlife+$E157),('PTRM input'!$H$149*(1+rvanilla02)^0.5)-SUM($H157:BC157),('PTRM input'!$H$149*(1+rvanilla02)^0.5)/A7stdlife))</f>
        <v>0</v>
      </c>
      <c r="BE157" s="107">
        <f>IF(A7stdlife="n/a","n/a",IF(BE$3&gt;(A7stdlife+$E157),('PTRM input'!$H$149*(1+rvanilla02)^0.5)-SUM($H157:BD157),('PTRM input'!$H$149*(1+rvanilla02)^0.5)/A7stdlife))</f>
        <v>0</v>
      </c>
      <c r="BF157" s="107">
        <f>IF(A7stdlife="n/a","n/a",IF(BF$3&gt;(A7stdlife+$E157),('PTRM input'!$H$149*(1+rvanilla02)^0.5)-SUM($H157:BE157),('PTRM input'!$H$149*(1+rvanilla02)^0.5)/A7stdlife))</f>
        <v>0</v>
      </c>
      <c r="BG157" s="107">
        <f>IF(A7stdlife="n/a","n/a",IF(BG$3&gt;(A7stdlife+$E157),('PTRM input'!$H$149*(1+rvanilla02)^0.5)-SUM($H157:BF157),('PTRM input'!$H$149*(1+rvanilla02)^0.5)/A7stdlife))</f>
        <v>0</v>
      </c>
      <c r="BH157" s="107">
        <f>IF(A7stdlife="n/a","n/a",IF(BH$3&gt;(A7stdlife+$E157),('PTRM input'!$H$149*(1+rvanilla02)^0.5)-SUM($H157:BG157),('PTRM input'!$H$149*(1+rvanilla02)^0.5)/A7stdlife))</f>
        <v>0</v>
      </c>
      <c r="BI157" s="107">
        <f>IF(A7stdlife="n/a","n/a",IF(BI$3&gt;(A7stdlife+$E157),('PTRM input'!$H$149*(1+rvanilla02)^0.5)-SUM($H157:BH157),('PTRM input'!$H$149*(1+rvanilla02)^0.5)/A7stdlife))</f>
        <v>0</v>
      </c>
      <c r="BJ157" s="237"/>
      <c r="BK157" s="237"/>
      <c r="BL157" s="237"/>
      <c r="BM157" s="237"/>
    </row>
    <row r="158" spans="1:65" s="190" customFormat="1" hidden="1" outlineLevel="2">
      <c r="A158" s="237"/>
      <c r="B158" s="33"/>
      <c r="C158" s="32"/>
      <c r="D158" s="1618"/>
      <c r="E158" s="169">
        <v>3</v>
      </c>
      <c r="F158" s="35"/>
      <c r="G158" s="184"/>
      <c r="H158" s="186"/>
      <c r="I158" s="185"/>
      <c r="J158" s="107">
        <f>IF(A7stdlife="n/a","n/a",IF(J$3&gt;(A7stdlife+$E158),('PTRM input'!$I$149*(1+rvanilla03)^0.5)-SUM($I158:I158),('PTRM input'!$I$149*(1+rvanilla03)^0.5)/A7stdlife))</f>
        <v>0</v>
      </c>
      <c r="K158" s="107">
        <f>IF(A7stdlife="n/a","n/a",IF(K$3&gt;(A7stdlife+$E158),('PTRM input'!$I$149*(1+rvanilla03)^0.5)-SUM($I158:J158),('PTRM input'!$I$149*(1+rvanilla03)^0.5)/A7stdlife))</f>
        <v>0</v>
      </c>
      <c r="L158" s="107">
        <f>IF(A7stdlife="n/a","n/a",IF(L$3&gt;(A7stdlife+$E158),('PTRM input'!$I$149*(1+rvanilla03)^0.5)-SUM($I158:K158),('PTRM input'!$I$149*(1+rvanilla03)^0.5)/A7stdlife))</f>
        <v>0</v>
      </c>
      <c r="M158" s="107">
        <f>IF(A7stdlife="n/a","n/a",IF(M$3&gt;(A7stdlife+$E158),('PTRM input'!$I$149*(1+rvanilla03)^0.5)-SUM($I158:L158),('PTRM input'!$I$149*(1+rvanilla03)^0.5)/A7stdlife))</f>
        <v>0</v>
      </c>
      <c r="N158" s="107">
        <f>IF(A7stdlife="n/a","n/a",IF(N$3&gt;(A7stdlife+$E158),('PTRM input'!$I$149*(1+rvanilla03)^0.5)-SUM($I158:M158),('PTRM input'!$I$149*(1+rvanilla03)^0.5)/A7stdlife))</f>
        <v>0</v>
      </c>
      <c r="O158" s="107">
        <f>IF(A7stdlife="n/a","n/a",IF(O$3&gt;(A7stdlife+$E158),('PTRM input'!$I$149*(1+rvanilla03)^0.5)-SUM($I158:N158),('PTRM input'!$I$149*(1+rvanilla03)^0.5)/A7stdlife))</f>
        <v>0</v>
      </c>
      <c r="P158" s="107">
        <f>IF(A7stdlife="n/a","n/a",IF(P$3&gt;(A7stdlife+$E158),('PTRM input'!$I$149*(1+rvanilla03)^0.5)-SUM($I158:O158),('PTRM input'!$I$149*(1+rvanilla03)^0.5)/A7stdlife))</f>
        <v>0</v>
      </c>
      <c r="Q158" s="107">
        <f>IF(A7stdlife="n/a","n/a",IF(Q$3&gt;(A7stdlife+$E158),('PTRM input'!$I$149*(1+rvanilla03)^0.5)-SUM($I158:P158),('PTRM input'!$I$149*(1+rvanilla03)^0.5)/A7stdlife))</f>
        <v>0</v>
      </c>
      <c r="R158" s="107">
        <f>IF(A7stdlife="n/a","n/a",IF(R$3&gt;(A7stdlife+$E158),('PTRM input'!$I$149*(1+rvanilla03)^0.5)-SUM($I158:Q158),('PTRM input'!$I$149*(1+rvanilla03)^0.5)/A7stdlife))</f>
        <v>0</v>
      </c>
      <c r="S158" s="107">
        <f>IF(A7stdlife="n/a","n/a",IF(S$3&gt;(A7stdlife+$E158),('PTRM input'!$I$149*(1+rvanilla03)^0.5)-SUM($I158:R158),('PTRM input'!$I$149*(1+rvanilla03)^0.5)/A7stdlife))</f>
        <v>0</v>
      </c>
      <c r="T158" s="107">
        <f>IF(A7stdlife="n/a","n/a",IF(T$3&gt;(A7stdlife+$E158),('PTRM input'!$I$149*(1+rvanilla03)^0.5)-SUM($I158:S158),('PTRM input'!$I$149*(1+rvanilla03)^0.5)/A7stdlife))</f>
        <v>0</v>
      </c>
      <c r="U158" s="107">
        <f>IF(A7stdlife="n/a","n/a",IF(U$3&gt;(A7stdlife+$E158),('PTRM input'!$I$149*(1+rvanilla03)^0.5)-SUM($I158:T158),('PTRM input'!$I$149*(1+rvanilla03)^0.5)/A7stdlife))</f>
        <v>0</v>
      </c>
      <c r="V158" s="107">
        <f>IF(A7stdlife="n/a","n/a",IF(V$3&gt;(A7stdlife+$E158),('PTRM input'!$I$149*(1+rvanilla03)^0.5)-SUM($I158:U158),('PTRM input'!$I$149*(1+rvanilla03)^0.5)/A7stdlife))</f>
        <v>0</v>
      </c>
      <c r="W158" s="107">
        <f>IF(A7stdlife="n/a","n/a",IF(W$3&gt;(A7stdlife+$E158),('PTRM input'!$I$149*(1+rvanilla03)^0.5)-SUM($I158:V158),('PTRM input'!$I$149*(1+rvanilla03)^0.5)/A7stdlife))</f>
        <v>0</v>
      </c>
      <c r="X158" s="107">
        <f>IF(A7stdlife="n/a","n/a",IF(X$3&gt;(A7stdlife+$E158),('PTRM input'!$I$149*(1+rvanilla03)^0.5)-SUM($I158:W158),('PTRM input'!$I$149*(1+rvanilla03)^0.5)/A7stdlife))</f>
        <v>0</v>
      </c>
      <c r="Y158" s="107">
        <f>IF(A7stdlife="n/a","n/a",IF(Y$3&gt;(A7stdlife+$E158),('PTRM input'!$I$149*(1+rvanilla03)^0.5)-SUM($I158:X158),('PTRM input'!$I$149*(1+rvanilla03)^0.5)/A7stdlife))</f>
        <v>0</v>
      </c>
      <c r="Z158" s="107">
        <f>IF(A7stdlife="n/a","n/a",IF(Z$3&gt;(A7stdlife+$E158),('PTRM input'!$I$149*(1+rvanilla03)^0.5)-SUM($I158:Y158),('PTRM input'!$I$149*(1+rvanilla03)^0.5)/A7stdlife))</f>
        <v>0</v>
      </c>
      <c r="AA158" s="107">
        <f>IF(A7stdlife="n/a","n/a",IF(AA$3&gt;(A7stdlife+$E158),('PTRM input'!$I$149*(1+rvanilla03)^0.5)-SUM($I158:Z158),('PTRM input'!$I$149*(1+rvanilla03)^0.5)/A7stdlife))</f>
        <v>0</v>
      </c>
      <c r="AB158" s="107">
        <f>IF(A7stdlife="n/a","n/a",IF(AB$3&gt;(A7stdlife+$E158),('PTRM input'!$I$149*(1+rvanilla03)^0.5)-SUM($I158:AA158),('PTRM input'!$I$149*(1+rvanilla03)^0.5)/A7stdlife))</f>
        <v>0</v>
      </c>
      <c r="AC158" s="107">
        <f>IF(A7stdlife="n/a","n/a",IF(AC$3&gt;(A7stdlife+$E158),('PTRM input'!$I$149*(1+rvanilla03)^0.5)-SUM($I158:AB158),('PTRM input'!$I$149*(1+rvanilla03)^0.5)/A7stdlife))</f>
        <v>0</v>
      </c>
      <c r="AD158" s="107">
        <f>IF(A7stdlife="n/a","n/a",IF(AD$3&gt;(A7stdlife+$E158),('PTRM input'!$I$149*(1+rvanilla03)^0.5)-SUM($I158:AC158),('PTRM input'!$I$149*(1+rvanilla03)^0.5)/A7stdlife))</f>
        <v>0</v>
      </c>
      <c r="AE158" s="107">
        <f>IF(A7stdlife="n/a","n/a",IF(AE$3&gt;(A7stdlife+$E158),('PTRM input'!$I$149*(1+rvanilla03)^0.5)-SUM($I158:AD158),('PTRM input'!$I$149*(1+rvanilla03)^0.5)/A7stdlife))</f>
        <v>0</v>
      </c>
      <c r="AF158" s="107">
        <f>IF(A7stdlife="n/a","n/a",IF(AF$3&gt;(A7stdlife+$E158),('PTRM input'!$I$149*(1+rvanilla03)^0.5)-SUM($I158:AE158),('PTRM input'!$I$149*(1+rvanilla03)^0.5)/A7stdlife))</f>
        <v>0</v>
      </c>
      <c r="AG158" s="107">
        <f>IF(A7stdlife="n/a","n/a",IF(AG$3&gt;(A7stdlife+$E158),('PTRM input'!$I$149*(1+rvanilla03)^0.5)-SUM($I158:AF158),('PTRM input'!$I$149*(1+rvanilla03)^0.5)/A7stdlife))</f>
        <v>0</v>
      </c>
      <c r="AH158" s="107">
        <f>IF(A7stdlife="n/a","n/a",IF(AH$3&gt;(A7stdlife+$E158),('PTRM input'!$I$149*(1+rvanilla03)^0.5)-SUM($I158:AG158),('PTRM input'!$I$149*(1+rvanilla03)^0.5)/A7stdlife))</f>
        <v>0</v>
      </c>
      <c r="AI158" s="107">
        <f>IF(A7stdlife="n/a","n/a",IF(AI$3&gt;(A7stdlife+$E158),('PTRM input'!$I$149*(1+rvanilla03)^0.5)-SUM($I158:AH158),('PTRM input'!$I$149*(1+rvanilla03)^0.5)/A7stdlife))</f>
        <v>0</v>
      </c>
      <c r="AJ158" s="107">
        <f>IF(A7stdlife="n/a","n/a",IF(AJ$3&gt;(A7stdlife+$E158),('PTRM input'!$I$149*(1+rvanilla03)^0.5)-SUM($I158:AI158),('PTRM input'!$I$149*(1+rvanilla03)^0.5)/A7stdlife))</f>
        <v>0</v>
      </c>
      <c r="AK158" s="107">
        <f>IF(A7stdlife="n/a","n/a",IF(AK$3&gt;(A7stdlife+$E158),('PTRM input'!$I$149*(1+rvanilla03)^0.5)-SUM($I158:AJ158),('PTRM input'!$I$149*(1+rvanilla03)^0.5)/A7stdlife))</f>
        <v>0</v>
      </c>
      <c r="AL158" s="107">
        <f>IF(A7stdlife="n/a","n/a",IF(AL$3&gt;(A7stdlife+$E158),('PTRM input'!$I$149*(1+rvanilla03)^0.5)-SUM($I158:AK158),('PTRM input'!$I$149*(1+rvanilla03)^0.5)/A7stdlife))</f>
        <v>0</v>
      </c>
      <c r="AM158" s="107">
        <f>IF(A7stdlife="n/a","n/a",IF(AM$3&gt;(A7stdlife+$E158),('PTRM input'!$I$149*(1+rvanilla03)^0.5)-SUM($I158:AL158),('PTRM input'!$I$149*(1+rvanilla03)^0.5)/A7stdlife))</f>
        <v>0</v>
      </c>
      <c r="AN158" s="107">
        <f>IF(A7stdlife="n/a","n/a",IF(AN$3&gt;(A7stdlife+$E158),('PTRM input'!$I$149*(1+rvanilla03)^0.5)-SUM($I158:AM158),('PTRM input'!$I$149*(1+rvanilla03)^0.5)/A7stdlife))</f>
        <v>0</v>
      </c>
      <c r="AO158" s="107">
        <f>IF(A7stdlife="n/a","n/a",IF(AO$3&gt;(A7stdlife+$E158),('PTRM input'!$I$149*(1+rvanilla03)^0.5)-SUM($I158:AN158),('PTRM input'!$I$149*(1+rvanilla03)^0.5)/A7stdlife))</f>
        <v>0</v>
      </c>
      <c r="AP158" s="107">
        <f>IF(A7stdlife="n/a","n/a",IF(AP$3&gt;(A7stdlife+$E158),('PTRM input'!$I$149*(1+rvanilla03)^0.5)-SUM($I158:AO158),('PTRM input'!$I$149*(1+rvanilla03)^0.5)/A7stdlife))</f>
        <v>0</v>
      </c>
      <c r="AQ158" s="107">
        <f>IF(A7stdlife="n/a","n/a",IF(AQ$3&gt;(A7stdlife+$E158),('PTRM input'!$I$149*(1+rvanilla03)^0.5)-SUM($I158:AP158),('PTRM input'!$I$149*(1+rvanilla03)^0.5)/A7stdlife))</f>
        <v>0</v>
      </c>
      <c r="AR158" s="107">
        <f>IF(A7stdlife="n/a","n/a",IF(AR$3&gt;(A7stdlife+$E158),('PTRM input'!$I$149*(1+rvanilla03)^0.5)-SUM($I158:AQ158),('PTRM input'!$I$149*(1+rvanilla03)^0.5)/A7stdlife))</f>
        <v>0</v>
      </c>
      <c r="AS158" s="107">
        <f>IF(A7stdlife="n/a","n/a",IF(AS$3&gt;(A7stdlife+$E158),('PTRM input'!$I$149*(1+rvanilla03)^0.5)-SUM($I158:AR158),('PTRM input'!$I$149*(1+rvanilla03)^0.5)/A7stdlife))</f>
        <v>0</v>
      </c>
      <c r="AT158" s="107">
        <f>IF(A7stdlife="n/a","n/a",IF(AT$3&gt;(A7stdlife+$E158),('PTRM input'!$I$149*(1+rvanilla03)^0.5)-SUM($I158:AS158),('PTRM input'!$I$149*(1+rvanilla03)^0.5)/A7stdlife))</f>
        <v>0</v>
      </c>
      <c r="AU158" s="107">
        <f>IF(A7stdlife="n/a","n/a",IF(AU$3&gt;(A7stdlife+$E158),('PTRM input'!$I$149*(1+rvanilla03)^0.5)-SUM($I158:AT158),('PTRM input'!$I$149*(1+rvanilla03)^0.5)/A7stdlife))</f>
        <v>0</v>
      </c>
      <c r="AV158" s="107">
        <f>IF(A7stdlife="n/a","n/a",IF(AV$3&gt;(A7stdlife+$E158),('PTRM input'!$I$149*(1+rvanilla03)^0.5)-SUM($I158:AU158),('PTRM input'!$I$149*(1+rvanilla03)^0.5)/A7stdlife))</f>
        <v>0</v>
      </c>
      <c r="AW158" s="107">
        <f>IF(A7stdlife="n/a","n/a",IF(AW$3&gt;(A7stdlife+$E158),('PTRM input'!$I$149*(1+rvanilla03)^0.5)-SUM($I158:AV158),('PTRM input'!$I$149*(1+rvanilla03)^0.5)/A7stdlife))</f>
        <v>0</v>
      </c>
      <c r="AX158" s="107">
        <f>IF(A7stdlife="n/a","n/a",IF(AX$3&gt;(A7stdlife+$E158),('PTRM input'!$I$149*(1+rvanilla03)^0.5)-SUM($I158:AW158),('PTRM input'!$I$149*(1+rvanilla03)^0.5)/A7stdlife))</f>
        <v>0</v>
      </c>
      <c r="AY158" s="107">
        <f>IF(A7stdlife="n/a","n/a",IF(AY$3&gt;(A7stdlife+$E158),('PTRM input'!$I$149*(1+rvanilla03)^0.5)-SUM($I158:AX158),('PTRM input'!$I$149*(1+rvanilla03)^0.5)/A7stdlife))</f>
        <v>0</v>
      </c>
      <c r="AZ158" s="107">
        <f>IF(A7stdlife="n/a","n/a",IF(AZ$3&gt;(A7stdlife+$E158),('PTRM input'!$I$149*(1+rvanilla03)^0.5)-SUM($I158:AY158),('PTRM input'!$I$149*(1+rvanilla03)^0.5)/A7stdlife))</f>
        <v>0</v>
      </c>
      <c r="BA158" s="107">
        <f>IF(A7stdlife="n/a","n/a",IF(BA$3&gt;(A7stdlife+$E158),('PTRM input'!$I$149*(1+rvanilla03)^0.5)-SUM($I158:AZ158),('PTRM input'!$I$149*(1+rvanilla03)^0.5)/A7stdlife))</f>
        <v>0</v>
      </c>
      <c r="BB158" s="107">
        <f>IF(A7stdlife="n/a","n/a",IF(BB$3&gt;(A7stdlife+$E158),('PTRM input'!$I$149*(1+rvanilla03)^0.5)-SUM($I158:BA158),('PTRM input'!$I$149*(1+rvanilla03)^0.5)/A7stdlife))</f>
        <v>0</v>
      </c>
      <c r="BC158" s="107">
        <f>IF(A7stdlife="n/a","n/a",IF(BC$3&gt;(A7stdlife+$E158),('PTRM input'!$I$149*(1+rvanilla03)^0.5)-SUM($I158:BB158),('PTRM input'!$I$149*(1+rvanilla03)^0.5)/A7stdlife))</f>
        <v>0</v>
      </c>
      <c r="BD158" s="107">
        <f>IF(A7stdlife="n/a","n/a",IF(BD$3&gt;(A7stdlife+$E158),('PTRM input'!$I$149*(1+rvanilla03)^0.5)-SUM($I158:BC158),('PTRM input'!$I$149*(1+rvanilla03)^0.5)/A7stdlife))</f>
        <v>0</v>
      </c>
      <c r="BE158" s="107">
        <f>IF(A7stdlife="n/a","n/a",IF(BE$3&gt;(A7stdlife+$E158),('PTRM input'!$I$149*(1+rvanilla03)^0.5)-SUM($I158:BD158),('PTRM input'!$I$149*(1+rvanilla03)^0.5)/A7stdlife))</f>
        <v>0</v>
      </c>
      <c r="BF158" s="107">
        <f>IF(A7stdlife="n/a","n/a",IF(BF$3&gt;(A7stdlife+$E158),('PTRM input'!$I$149*(1+rvanilla03)^0.5)-SUM($I158:BE158),('PTRM input'!$I$149*(1+rvanilla03)^0.5)/A7stdlife))</f>
        <v>0</v>
      </c>
      <c r="BG158" s="107">
        <f>IF(A7stdlife="n/a","n/a",IF(BG$3&gt;(A7stdlife+$E158),('PTRM input'!$I$149*(1+rvanilla03)^0.5)-SUM($I158:BF158),('PTRM input'!$I$149*(1+rvanilla03)^0.5)/A7stdlife))</f>
        <v>0</v>
      </c>
      <c r="BH158" s="107">
        <f>IF(A7stdlife="n/a","n/a",IF(BH$3&gt;(A7stdlife+$E158),('PTRM input'!$I$149*(1+rvanilla03)^0.5)-SUM($I158:BG158),('PTRM input'!$I$149*(1+rvanilla03)^0.5)/A7stdlife))</f>
        <v>0</v>
      </c>
      <c r="BI158" s="107">
        <f>IF(A7stdlife="n/a","n/a",IF(BI$3&gt;(A7stdlife+$E158),('PTRM input'!$I$149*(1+rvanilla03)^0.5)-SUM($I158:BH158),('PTRM input'!$I$149*(1+rvanilla03)^0.5)/A7stdlife))</f>
        <v>0</v>
      </c>
      <c r="BJ158" s="237"/>
      <c r="BK158" s="237"/>
      <c r="BL158" s="237"/>
      <c r="BM158" s="237"/>
    </row>
    <row r="159" spans="1:65" s="190" customFormat="1" hidden="1" outlineLevel="2">
      <c r="A159" s="237"/>
      <c r="B159" s="33"/>
      <c r="C159" s="32"/>
      <c r="D159" s="1618"/>
      <c r="E159" s="169">
        <v>4</v>
      </c>
      <c r="F159" s="35"/>
      <c r="G159" s="184"/>
      <c r="H159" s="186"/>
      <c r="I159" s="186"/>
      <c r="J159" s="185"/>
      <c r="K159" s="107">
        <f>IF(A7stdlife="n/a","n/a",IF(K$3&gt;(A7stdlife+$E159),('PTRM input'!$J$149*(1+rvanilla04)^0.5)-SUM($J159:J159),('PTRM input'!$J$149*(1+rvanilla04)^0.5)/A7stdlife))</f>
        <v>0</v>
      </c>
      <c r="L159" s="107">
        <f>IF(A7stdlife="n/a","n/a",IF(L$3&gt;(A7stdlife+$E159),('PTRM input'!$J$149*(1+rvanilla04)^0.5)-SUM($J159:K159),('PTRM input'!$J$149*(1+rvanilla04)^0.5)/A7stdlife))</f>
        <v>0</v>
      </c>
      <c r="M159" s="107">
        <f>IF(A7stdlife="n/a","n/a",IF(M$3&gt;(A7stdlife+$E159),('PTRM input'!$J$149*(1+rvanilla04)^0.5)-SUM($J159:L159),('PTRM input'!$J$149*(1+rvanilla04)^0.5)/A7stdlife))</f>
        <v>0</v>
      </c>
      <c r="N159" s="107">
        <f>IF(A7stdlife="n/a","n/a",IF(N$3&gt;(A7stdlife+$E159),('PTRM input'!$J$149*(1+rvanilla04)^0.5)-SUM($J159:M159),('PTRM input'!$J$149*(1+rvanilla04)^0.5)/A7stdlife))</f>
        <v>0</v>
      </c>
      <c r="O159" s="107">
        <f>IF(A7stdlife="n/a","n/a",IF(O$3&gt;(A7stdlife+$E159),('PTRM input'!$J$149*(1+rvanilla04)^0.5)-SUM($J159:N159),('PTRM input'!$J$149*(1+rvanilla04)^0.5)/A7stdlife))</f>
        <v>0</v>
      </c>
      <c r="P159" s="107">
        <f>IF(A7stdlife="n/a","n/a",IF(P$3&gt;(A7stdlife+$E159),('PTRM input'!$J$149*(1+rvanilla04)^0.5)-SUM($J159:O159),('PTRM input'!$J$149*(1+rvanilla04)^0.5)/A7stdlife))</f>
        <v>0</v>
      </c>
      <c r="Q159" s="107">
        <f>IF(A7stdlife="n/a","n/a",IF(Q$3&gt;(A7stdlife+$E159),('PTRM input'!$J$149*(1+rvanilla04)^0.5)-SUM($J159:P159),('PTRM input'!$J$149*(1+rvanilla04)^0.5)/A7stdlife))</f>
        <v>0</v>
      </c>
      <c r="R159" s="107">
        <f>IF(A7stdlife="n/a","n/a",IF(R$3&gt;(A7stdlife+$E159),('PTRM input'!$J$149*(1+rvanilla04)^0.5)-SUM($J159:Q159),('PTRM input'!$J$149*(1+rvanilla04)^0.5)/A7stdlife))</f>
        <v>0</v>
      </c>
      <c r="S159" s="107">
        <f>IF(A7stdlife="n/a","n/a",IF(S$3&gt;(A7stdlife+$E159),('PTRM input'!$J$149*(1+rvanilla04)^0.5)-SUM($J159:R159),('PTRM input'!$J$149*(1+rvanilla04)^0.5)/A7stdlife))</f>
        <v>0</v>
      </c>
      <c r="T159" s="107">
        <f>IF(A7stdlife="n/a","n/a",IF(T$3&gt;(A7stdlife+$E159),('PTRM input'!$J$149*(1+rvanilla04)^0.5)-SUM($J159:S159),('PTRM input'!$J$149*(1+rvanilla04)^0.5)/A7stdlife))</f>
        <v>0</v>
      </c>
      <c r="U159" s="107">
        <f>IF(A7stdlife="n/a","n/a",IF(U$3&gt;(A7stdlife+$E159),('PTRM input'!$J$149*(1+rvanilla04)^0.5)-SUM($J159:T159),('PTRM input'!$J$149*(1+rvanilla04)^0.5)/A7stdlife))</f>
        <v>0</v>
      </c>
      <c r="V159" s="107">
        <f>IF(A7stdlife="n/a","n/a",IF(V$3&gt;(A7stdlife+$E159),('PTRM input'!$J$149*(1+rvanilla04)^0.5)-SUM($J159:U159),('PTRM input'!$J$149*(1+rvanilla04)^0.5)/A7stdlife))</f>
        <v>0</v>
      </c>
      <c r="W159" s="107">
        <f>IF(A7stdlife="n/a","n/a",IF(W$3&gt;(A7stdlife+$E159),('PTRM input'!$J$149*(1+rvanilla04)^0.5)-SUM($J159:V159),('PTRM input'!$J$149*(1+rvanilla04)^0.5)/A7stdlife))</f>
        <v>0</v>
      </c>
      <c r="X159" s="107">
        <f>IF(A7stdlife="n/a","n/a",IF(X$3&gt;(A7stdlife+$E159),('PTRM input'!$J$149*(1+rvanilla04)^0.5)-SUM($J159:W159),('PTRM input'!$J$149*(1+rvanilla04)^0.5)/A7stdlife))</f>
        <v>0</v>
      </c>
      <c r="Y159" s="107">
        <f>IF(A7stdlife="n/a","n/a",IF(Y$3&gt;(A7stdlife+$E159),('PTRM input'!$J$149*(1+rvanilla04)^0.5)-SUM($J159:X159),('PTRM input'!$J$149*(1+rvanilla04)^0.5)/A7stdlife))</f>
        <v>0</v>
      </c>
      <c r="Z159" s="107">
        <f>IF(A7stdlife="n/a","n/a",IF(Z$3&gt;(A7stdlife+$E159),('PTRM input'!$J$149*(1+rvanilla04)^0.5)-SUM($J159:Y159),('PTRM input'!$J$149*(1+rvanilla04)^0.5)/A7stdlife))</f>
        <v>0</v>
      </c>
      <c r="AA159" s="107">
        <f>IF(A7stdlife="n/a","n/a",IF(AA$3&gt;(A7stdlife+$E159),('PTRM input'!$J$149*(1+rvanilla04)^0.5)-SUM($J159:Z159),('PTRM input'!$J$149*(1+rvanilla04)^0.5)/A7stdlife))</f>
        <v>0</v>
      </c>
      <c r="AB159" s="107">
        <f>IF(A7stdlife="n/a","n/a",IF(AB$3&gt;(A7stdlife+$E159),('PTRM input'!$J$149*(1+rvanilla04)^0.5)-SUM($J159:AA159),('PTRM input'!$J$149*(1+rvanilla04)^0.5)/A7stdlife))</f>
        <v>0</v>
      </c>
      <c r="AC159" s="107">
        <f>IF(A7stdlife="n/a","n/a",IF(AC$3&gt;(A7stdlife+$E159),('PTRM input'!$J$149*(1+rvanilla04)^0.5)-SUM($J159:AB159),('PTRM input'!$J$149*(1+rvanilla04)^0.5)/A7stdlife))</f>
        <v>0</v>
      </c>
      <c r="AD159" s="107">
        <f>IF(A7stdlife="n/a","n/a",IF(AD$3&gt;(A7stdlife+$E159),('PTRM input'!$J$149*(1+rvanilla04)^0.5)-SUM($J159:AC159),('PTRM input'!$J$149*(1+rvanilla04)^0.5)/A7stdlife))</f>
        <v>0</v>
      </c>
      <c r="AE159" s="107">
        <f>IF(A7stdlife="n/a","n/a",IF(AE$3&gt;(A7stdlife+$E159),('PTRM input'!$J$149*(1+rvanilla04)^0.5)-SUM($J159:AD159),('PTRM input'!$J$149*(1+rvanilla04)^0.5)/A7stdlife))</f>
        <v>0</v>
      </c>
      <c r="AF159" s="107">
        <f>IF(A7stdlife="n/a","n/a",IF(AF$3&gt;(A7stdlife+$E159),('PTRM input'!$J$149*(1+rvanilla04)^0.5)-SUM($J159:AE159),('PTRM input'!$J$149*(1+rvanilla04)^0.5)/A7stdlife))</f>
        <v>0</v>
      </c>
      <c r="AG159" s="107">
        <f>IF(A7stdlife="n/a","n/a",IF(AG$3&gt;(A7stdlife+$E159),('PTRM input'!$J$149*(1+rvanilla04)^0.5)-SUM($J159:AF159),('PTRM input'!$J$149*(1+rvanilla04)^0.5)/A7stdlife))</f>
        <v>0</v>
      </c>
      <c r="AH159" s="107">
        <f>IF(A7stdlife="n/a","n/a",IF(AH$3&gt;(A7stdlife+$E159),('PTRM input'!$J$149*(1+rvanilla04)^0.5)-SUM($J159:AG159),('PTRM input'!$J$149*(1+rvanilla04)^0.5)/A7stdlife))</f>
        <v>0</v>
      </c>
      <c r="AI159" s="107">
        <f>IF(A7stdlife="n/a","n/a",IF(AI$3&gt;(A7stdlife+$E159),('PTRM input'!$J$149*(1+rvanilla04)^0.5)-SUM($J159:AH159),('PTRM input'!$J$149*(1+rvanilla04)^0.5)/A7stdlife))</f>
        <v>0</v>
      </c>
      <c r="AJ159" s="107">
        <f>IF(A7stdlife="n/a","n/a",IF(AJ$3&gt;(A7stdlife+$E159),('PTRM input'!$J$149*(1+rvanilla04)^0.5)-SUM($J159:AI159),('PTRM input'!$J$149*(1+rvanilla04)^0.5)/A7stdlife))</f>
        <v>0</v>
      </c>
      <c r="AK159" s="107">
        <f>IF(A7stdlife="n/a","n/a",IF(AK$3&gt;(A7stdlife+$E159),('PTRM input'!$J$149*(1+rvanilla04)^0.5)-SUM($J159:AJ159),('PTRM input'!$J$149*(1+rvanilla04)^0.5)/A7stdlife))</f>
        <v>0</v>
      </c>
      <c r="AL159" s="107">
        <f>IF(A7stdlife="n/a","n/a",IF(AL$3&gt;(A7stdlife+$E159),('PTRM input'!$J$149*(1+rvanilla04)^0.5)-SUM($J159:AK159),('PTRM input'!$J$149*(1+rvanilla04)^0.5)/A7stdlife))</f>
        <v>0</v>
      </c>
      <c r="AM159" s="107">
        <f>IF(A7stdlife="n/a","n/a",IF(AM$3&gt;(A7stdlife+$E159),('PTRM input'!$J$149*(1+rvanilla04)^0.5)-SUM($J159:AL159),('PTRM input'!$J$149*(1+rvanilla04)^0.5)/A7stdlife))</f>
        <v>0</v>
      </c>
      <c r="AN159" s="107">
        <f>IF(A7stdlife="n/a","n/a",IF(AN$3&gt;(A7stdlife+$E159),('PTRM input'!$J$149*(1+rvanilla04)^0.5)-SUM($J159:AM159),('PTRM input'!$J$149*(1+rvanilla04)^0.5)/A7stdlife))</f>
        <v>0</v>
      </c>
      <c r="AO159" s="107">
        <f>IF(A7stdlife="n/a","n/a",IF(AO$3&gt;(A7stdlife+$E159),('PTRM input'!$J$149*(1+rvanilla04)^0.5)-SUM($J159:AN159),('PTRM input'!$J$149*(1+rvanilla04)^0.5)/A7stdlife))</f>
        <v>0</v>
      </c>
      <c r="AP159" s="107">
        <f>IF(A7stdlife="n/a","n/a",IF(AP$3&gt;(A7stdlife+$E159),('PTRM input'!$J$149*(1+rvanilla04)^0.5)-SUM($J159:AO159),('PTRM input'!$J$149*(1+rvanilla04)^0.5)/A7stdlife))</f>
        <v>0</v>
      </c>
      <c r="AQ159" s="107">
        <f>IF(A7stdlife="n/a","n/a",IF(AQ$3&gt;(A7stdlife+$E159),('PTRM input'!$J$149*(1+rvanilla04)^0.5)-SUM($J159:AP159),('PTRM input'!$J$149*(1+rvanilla04)^0.5)/A7stdlife))</f>
        <v>0</v>
      </c>
      <c r="AR159" s="107">
        <f>IF(A7stdlife="n/a","n/a",IF(AR$3&gt;(A7stdlife+$E159),('PTRM input'!$J$149*(1+rvanilla04)^0.5)-SUM($J159:AQ159),('PTRM input'!$J$149*(1+rvanilla04)^0.5)/A7stdlife))</f>
        <v>0</v>
      </c>
      <c r="AS159" s="107">
        <f>IF(A7stdlife="n/a","n/a",IF(AS$3&gt;(A7stdlife+$E159),('PTRM input'!$J$149*(1+rvanilla04)^0.5)-SUM($J159:AR159),('PTRM input'!$J$149*(1+rvanilla04)^0.5)/A7stdlife))</f>
        <v>0</v>
      </c>
      <c r="AT159" s="107">
        <f>IF(A7stdlife="n/a","n/a",IF(AT$3&gt;(A7stdlife+$E159),('PTRM input'!$J$149*(1+rvanilla04)^0.5)-SUM($J159:AS159),('PTRM input'!$J$149*(1+rvanilla04)^0.5)/A7stdlife))</f>
        <v>0</v>
      </c>
      <c r="AU159" s="107">
        <f>IF(A7stdlife="n/a","n/a",IF(AU$3&gt;(A7stdlife+$E159),('PTRM input'!$J$149*(1+rvanilla04)^0.5)-SUM($J159:AT159),('PTRM input'!$J$149*(1+rvanilla04)^0.5)/A7stdlife))</f>
        <v>0</v>
      </c>
      <c r="AV159" s="107">
        <f>IF(A7stdlife="n/a","n/a",IF(AV$3&gt;(A7stdlife+$E159),('PTRM input'!$J$149*(1+rvanilla04)^0.5)-SUM($J159:AU159),('PTRM input'!$J$149*(1+rvanilla04)^0.5)/A7stdlife))</f>
        <v>0</v>
      </c>
      <c r="AW159" s="107">
        <f>IF(A7stdlife="n/a","n/a",IF(AW$3&gt;(A7stdlife+$E159),('PTRM input'!$J$149*(1+rvanilla04)^0.5)-SUM($J159:AV159),('PTRM input'!$J$149*(1+rvanilla04)^0.5)/A7stdlife))</f>
        <v>0</v>
      </c>
      <c r="AX159" s="107">
        <f>IF(A7stdlife="n/a","n/a",IF(AX$3&gt;(A7stdlife+$E159),('PTRM input'!$J$149*(1+rvanilla04)^0.5)-SUM($J159:AW159),('PTRM input'!$J$149*(1+rvanilla04)^0.5)/A7stdlife))</f>
        <v>0</v>
      </c>
      <c r="AY159" s="107">
        <f>IF(A7stdlife="n/a","n/a",IF(AY$3&gt;(A7stdlife+$E159),('PTRM input'!$J$149*(1+rvanilla04)^0.5)-SUM($J159:AX159),('PTRM input'!$J$149*(1+rvanilla04)^0.5)/A7stdlife))</f>
        <v>0</v>
      </c>
      <c r="AZ159" s="107">
        <f>IF(A7stdlife="n/a","n/a",IF(AZ$3&gt;(A7stdlife+$E159),('PTRM input'!$J$149*(1+rvanilla04)^0.5)-SUM($J159:AY159),('PTRM input'!$J$149*(1+rvanilla04)^0.5)/A7stdlife))</f>
        <v>0</v>
      </c>
      <c r="BA159" s="107">
        <f>IF(A7stdlife="n/a","n/a",IF(BA$3&gt;(A7stdlife+$E159),('PTRM input'!$J$149*(1+rvanilla04)^0.5)-SUM($J159:AZ159),('PTRM input'!$J$149*(1+rvanilla04)^0.5)/A7stdlife))</f>
        <v>0</v>
      </c>
      <c r="BB159" s="107">
        <f>IF(A7stdlife="n/a","n/a",IF(BB$3&gt;(A7stdlife+$E159),('PTRM input'!$J$149*(1+rvanilla04)^0.5)-SUM($J159:BA159),('PTRM input'!$J$149*(1+rvanilla04)^0.5)/A7stdlife))</f>
        <v>0</v>
      </c>
      <c r="BC159" s="107">
        <f>IF(A7stdlife="n/a","n/a",IF(BC$3&gt;(A7stdlife+$E159),('PTRM input'!$J$149*(1+rvanilla04)^0.5)-SUM($J159:BB159),('PTRM input'!$J$149*(1+rvanilla04)^0.5)/A7stdlife))</f>
        <v>0</v>
      </c>
      <c r="BD159" s="107">
        <f>IF(A7stdlife="n/a","n/a",IF(BD$3&gt;(A7stdlife+$E159),('PTRM input'!$J$149*(1+rvanilla04)^0.5)-SUM($J159:BC159),('PTRM input'!$J$149*(1+rvanilla04)^0.5)/A7stdlife))</f>
        <v>0</v>
      </c>
      <c r="BE159" s="107">
        <f>IF(A7stdlife="n/a","n/a",IF(BE$3&gt;(A7stdlife+$E159),('PTRM input'!$J$149*(1+rvanilla04)^0.5)-SUM($J159:BD159),('PTRM input'!$J$149*(1+rvanilla04)^0.5)/A7stdlife))</f>
        <v>0</v>
      </c>
      <c r="BF159" s="107">
        <f>IF(A7stdlife="n/a","n/a",IF(BF$3&gt;(A7stdlife+$E159),('PTRM input'!$J$149*(1+rvanilla04)^0.5)-SUM($J159:BE159),('PTRM input'!$J$149*(1+rvanilla04)^0.5)/A7stdlife))</f>
        <v>0</v>
      </c>
      <c r="BG159" s="107">
        <f>IF(A7stdlife="n/a","n/a",IF(BG$3&gt;(A7stdlife+$E159),('PTRM input'!$J$149*(1+rvanilla04)^0.5)-SUM($J159:BF159),('PTRM input'!$J$149*(1+rvanilla04)^0.5)/A7stdlife))</f>
        <v>0</v>
      </c>
      <c r="BH159" s="107">
        <f>IF(A7stdlife="n/a","n/a",IF(BH$3&gt;(A7stdlife+$E159),('PTRM input'!$J$149*(1+rvanilla04)^0.5)-SUM($J159:BG159),('PTRM input'!$J$149*(1+rvanilla04)^0.5)/A7stdlife))</f>
        <v>0</v>
      </c>
      <c r="BI159" s="107">
        <f>IF(A7stdlife="n/a","n/a",IF(BI$3&gt;(A7stdlife+$E159),('PTRM input'!$J$149*(1+rvanilla04)^0.5)-SUM($J159:BH159),('PTRM input'!$J$149*(1+rvanilla04)^0.5)/A7stdlife))</f>
        <v>0</v>
      </c>
      <c r="BJ159" s="237"/>
      <c r="BK159" s="237"/>
      <c r="BL159" s="237"/>
      <c r="BM159" s="237"/>
    </row>
    <row r="160" spans="1:65" s="190" customFormat="1" hidden="1" outlineLevel="2">
      <c r="A160" s="237"/>
      <c r="B160" s="33"/>
      <c r="C160" s="32"/>
      <c r="D160" s="1618"/>
      <c r="E160" s="169">
        <v>5</v>
      </c>
      <c r="F160" s="35"/>
      <c r="G160" s="184"/>
      <c r="H160" s="186"/>
      <c r="I160" s="186"/>
      <c r="J160" s="186"/>
      <c r="K160" s="185"/>
      <c r="L160" s="107">
        <f>IF(A7stdlife="n/a","n/a",IF(L$3&gt;(A7stdlife+$E160),('PTRM input'!$K$149*(1+rvanilla05)^0.5)-SUM($K160:K160),('PTRM input'!$K$149*(1+rvanilla05)^0.5)/A7stdlife))</f>
        <v>0</v>
      </c>
      <c r="M160" s="107">
        <f>IF(A7stdlife="n/a","n/a",IF(M$3&gt;(A7stdlife+$E160),('PTRM input'!$K$149*(1+rvanilla05)^0.5)-SUM($K160:L160),('PTRM input'!$K$149*(1+rvanilla05)^0.5)/A7stdlife))</f>
        <v>0</v>
      </c>
      <c r="N160" s="107">
        <f>IF(A7stdlife="n/a","n/a",IF(N$3&gt;(A7stdlife+$E160),('PTRM input'!$K$149*(1+rvanilla05)^0.5)-SUM($K160:M160),('PTRM input'!$K$149*(1+rvanilla05)^0.5)/A7stdlife))</f>
        <v>0</v>
      </c>
      <c r="O160" s="107">
        <f>IF(A7stdlife="n/a","n/a",IF(O$3&gt;(A7stdlife+$E160),('PTRM input'!$K$149*(1+rvanilla05)^0.5)-SUM($K160:N160),('PTRM input'!$K$149*(1+rvanilla05)^0.5)/A7stdlife))</f>
        <v>0</v>
      </c>
      <c r="P160" s="107">
        <f>IF(A7stdlife="n/a","n/a",IF(P$3&gt;(A7stdlife+$E160),('PTRM input'!$K$149*(1+rvanilla05)^0.5)-SUM($K160:O160),('PTRM input'!$K$149*(1+rvanilla05)^0.5)/A7stdlife))</f>
        <v>0</v>
      </c>
      <c r="Q160" s="107">
        <f>IF(A7stdlife="n/a","n/a",IF(Q$3&gt;(A7stdlife+$E160),('PTRM input'!$K$149*(1+rvanilla05)^0.5)-SUM($K160:P160),('PTRM input'!$K$149*(1+rvanilla05)^0.5)/A7stdlife))</f>
        <v>0</v>
      </c>
      <c r="R160" s="107">
        <f>IF(A7stdlife="n/a","n/a",IF(R$3&gt;(A7stdlife+$E160),('PTRM input'!$K$149*(1+rvanilla05)^0.5)-SUM($K160:Q160),('PTRM input'!$K$149*(1+rvanilla05)^0.5)/A7stdlife))</f>
        <v>0</v>
      </c>
      <c r="S160" s="107">
        <f>IF(A7stdlife="n/a","n/a",IF(S$3&gt;(A7stdlife+$E160),('PTRM input'!$K$149*(1+rvanilla05)^0.5)-SUM($K160:R160),('PTRM input'!$K$149*(1+rvanilla05)^0.5)/A7stdlife))</f>
        <v>0</v>
      </c>
      <c r="T160" s="107">
        <f>IF(A7stdlife="n/a","n/a",IF(T$3&gt;(A7stdlife+$E160),('PTRM input'!$K$149*(1+rvanilla05)^0.5)-SUM($K160:S160),('PTRM input'!$K$149*(1+rvanilla05)^0.5)/A7stdlife))</f>
        <v>0</v>
      </c>
      <c r="U160" s="107">
        <f>IF(A7stdlife="n/a","n/a",IF(U$3&gt;(A7stdlife+$E160),('PTRM input'!$K$149*(1+rvanilla05)^0.5)-SUM($K160:T160),('PTRM input'!$K$149*(1+rvanilla05)^0.5)/A7stdlife))</f>
        <v>0</v>
      </c>
      <c r="V160" s="107">
        <f>IF(A7stdlife="n/a","n/a",IF(V$3&gt;(A7stdlife+$E160),('PTRM input'!$K$149*(1+rvanilla05)^0.5)-SUM($K160:U160),('PTRM input'!$K$149*(1+rvanilla05)^0.5)/A7stdlife))</f>
        <v>0</v>
      </c>
      <c r="W160" s="107">
        <f>IF(A7stdlife="n/a","n/a",IF(W$3&gt;(A7stdlife+$E160),('PTRM input'!$K$149*(1+rvanilla05)^0.5)-SUM($K160:V160),('PTRM input'!$K$149*(1+rvanilla05)^0.5)/A7stdlife))</f>
        <v>0</v>
      </c>
      <c r="X160" s="107">
        <f>IF(A7stdlife="n/a","n/a",IF(X$3&gt;(A7stdlife+$E160),('PTRM input'!$K$149*(1+rvanilla05)^0.5)-SUM($K160:W160),('PTRM input'!$K$149*(1+rvanilla05)^0.5)/A7stdlife))</f>
        <v>0</v>
      </c>
      <c r="Y160" s="107">
        <f>IF(A7stdlife="n/a","n/a",IF(Y$3&gt;(A7stdlife+$E160),('PTRM input'!$K$149*(1+rvanilla05)^0.5)-SUM($K160:X160),('PTRM input'!$K$149*(1+rvanilla05)^0.5)/A7stdlife))</f>
        <v>0</v>
      </c>
      <c r="Z160" s="107">
        <f>IF(A7stdlife="n/a","n/a",IF(Z$3&gt;(A7stdlife+$E160),('PTRM input'!$K$149*(1+rvanilla05)^0.5)-SUM($K160:Y160),('PTRM input'!$K$149*(1+rvanilla05)^0.5)/A7stdlife))</f>
        <v>0</v>
      </c>
      <c r="AA160" s="107">
        <f>IF(A7stdlife="n/a","n/a",IF(AA$3&gt;(A7stdlife+$E160),('PTRM input'!$K$149*(1+rvanilla05)^0.5)-SUM($K160:Z160),('PTRM input'!$K$149*(1+rvanilla05)^0.5)/A7stdlife))</f>
        <v>0</v>
      </c>
      <c r="AB160" s="107">
        <f>IF(A7stdlife="n/a","n/a",IF(AB$3&gt;(A7stdlife+$E160),('PTRM input'!$K$149*(1+rvanilla05)^0.5)-SUM($K160:AA160),('PTRM input'!$K$149*(1+rvanilla05)^0.5)/A7stdlife))</f>
        <v>0</v>
      </c>
      <c r="AC160" s="107">
        <f>IF(A7stdlife="n/a","n/a",IF(AC$3&gt;(A7stdlife+$E160),('PTRM input'!$K$149*(1+rvanilla05)^0.5)-SUM($K160:AB160),('PTRM input'!$K$149*(1+rvanilla05)^0.5)/A7stdlife))</f>
        <v>0</v>
      </c>
      <c r="AD160" s="107">
        <f>IF(A7stdlife="n/a","n/a",IF(AD$3&gt;(A7stdlife+$E160),('PTRM input'!$K$149*(1+rvanilla05)^0.5)-SUM($K160:AC160),('PTRM input'!$K$149*(1+rvanilla05)^0.5)/A7stdlife))</f>
        <v>0</v>
      </c>
      <c r="AE160" s="107">
        <f>IF(A7stdlife="n/a","n/a",IF(AE$3&gt;(A7stdlife+$E160),('PTRM input'!$K$149*(1+rvanilla05)^0.5)-SUM($K160:AD160),('PTRM input'!$K$149*(1+rvanilla05)^0.5)/A7stdlife))</f>
        <v>0</v>
      </c>
      <c r="AF160" s="107">
        <f>IF(A7stdlife="n/a","n/a",IF(AF$3&gt;(A7stdlife+$E160),('PTRM input'!$K$149*(1+rvanilla05)^0.5)-SUM($K160:AE160),('PTRM input'!$K$149*(1+rvanilla05)^0.5)/A7stdlife))</f>
        <v>0</v>
      </c>
      <c r="AG160" s="107">
        <f>IF(A7stdlife="n/a","n/a",IF(AG$3&gt;(A7stdlife+$E160),('PTRM input'!$K$149*(1+rvanilla05)^0.5)-SUM($K160:AF160),('PTRM input'!$K$149*(1+rvanilla05)^0.5)/A7stdlife))</f>
        <v>0</v>
      </c>
      <c r="AH160" s="107">
        <f>IF(A7stdlife="n/a","n/a",IF(AH$3&gt;(A7stdlife+$E160),('PTRM input'!$K$149*(1+rvanilla05)^0.5)-SUM($K160:AG160),('PTRM input'!$K$149*(1+rvanilla05)^0.5)/A7stdlife))</f>
        <v>0</v>
      </c>
      <c r="AI160" s="107">
        <f>IF(A7stdlife="n/a","n/a",IF(AI$3&gt;(A7stdlife+$E160),('PTRM input'!$K$149*(1+rvanilla05)^0.5)-SUM($K160:AH160),('PTRM input'!$K$149*(1+rvanilla05)^0.5)/A7stdlife))</f>
        <v>0</v>
      </c>
      <c r="AJ160" s="107">
        <f>IF(A7stdlife="n/a","n/a",IF(AJ$3&gt;(A7stdlife+$E160),('PTRM input'!$K$149*(1+rvanilla05)^0.5)-SUM($K160:AI160),('PTRM input'!$K$149*(1+rvanilla05)^0.5)/A7stdlife))</f>
        <v>0</v>
      </c>
      <c r="AK160" s="107">
        <f>IF(A7stdlife="n/a","n/a",IF(AK$3&gt;(A7stdlife+$E160),('PTRM input'!$K$149*(1+rvanilla05)^0.5)-SUM($K160:AJ160),('PTRM input'!$K$149*(1+rvanilla05)^0.5)/A7stdlife))</f>
        <v>0</v>
      </c>
      <c r="AL160" s="107">
        <f>IF(A7stdlife="n/a","n/a",IF(AL$3&gt;(A7stdlife+$E160),('PTRM input'!$K$149*(1+rvanilla05)^0.5)-SUM($K160:AK160),('PTRM input'!$K$149*(1+rvanilla05)^0.5)/A7stdlife))</f>
        <v>0</v>
      </c>
      <c r="AM160" s="107">
        <f>IF(A7stdlife="n/a","n/a",IF(AM$3&gt;(A7stdlife+$E160),('PTRM input'!$K$149*(1+rvanilla05)^0.5)-SUM($K160:AL160),('PTRM input'!$K$149*(1+rvanilla05)^0.5)/A7stdlife))</f>
        <v>0</v>
      </c>
      <c r="AN160" s="107">
        <f>IF(A7stdlife="n/a","n/a",IF(AN$3&gt;(A7stdlife+$E160),('PTRM input'!$K$149*(1+rvanilla05)^0.5)-SUM($K160:AM160),('PTRM input'!$K$149*(1+rvanilla05)^0.5)/A7stdlife))</f>
        <v>0</v>
      </c>
      <c r="AO160" s="107">
        <f>IF(A7stdlife="n/a","n/a",IF(AO$3&gt;(A7stdlife+$E160),('PTRM input'!$K$149*(1+rvanilla05)^0.5)-SUM($K160:AN160),('PTRM input'!$K$149*(1+rvanilla05)^0.5)/A7stdlife))</f>
        <v>0</v>
      </c>
      <c r="AP160" s="107">
        <f>IF(A7stdlife="n/a","n/a",IF(AP$3&gt;(A7stdlife+$E160),('PTRM input'!$K$149*(1+rvanilla05)^0.5)-SUM($K160:AO160),('PTRM input'!$K$149*(1+rvanilla05)^0.5)/A7stdlife))</f>
        <v>0</v>
      </c>
      <c r="AQ160" s="107">
        <f>IF(A7stdlife="n/a","n/a",IF(AQ$3&gt;(A7stdlife+$E160),('PTRM input'!$K$149*(1+rvanilla05)^0.5)-SUM($K160:AP160),('PTRM input'!$K$149*(1+rvanilla05)^0.5)/A7stdlife))</f>
        <v>0</v>
      </c>
      <c r="AR160" s="107">
        <f>IF(A7stdlife="n/a","n/a",IF(AR$3&gt;(A7stdlife+$E160),('PTRM input'!$K$149*(1+rvanilla05)^0.5)-SUM($K160:AQ160),('PTRM input'!$K$149*(1+rvanilla05)^0.5)/A7stdlife))</f>
        <v>0</v>
      </c>
      <c r="AS160" s="107">
        <f>IF(A7stdlife="n/a","n/a",IF(AS$3&gt;(A7stdlife+$E160),('PTRM input'!$K$149*(1+rvanilla05)^0.5)-SUM($K160:AR160),('PTRM input'!$K$149*(1+rvanilla05)^0.5)/A7stdlife))</f>
        <v>0</v>
      </c>
      <c r="AT160" s="107">
        <f>IF(A7stdlife="n/a","n/a",IF(AT$3&gt;(A7stdlife+$E160),('PTRM input'!$K$149*(1+rvanilla05)^0.5)-SUM($K160:AS160),('PTRM input'!$K$149*(1+rvanilla05)^0.5)/A7stdlife))</f>
        <v>0</v>
      </c>
      <c r="AU160" s="107">
        <f>IF(A7stdlife="n/a","n/a",IF(AU$3&gt;(A7stdlife+$E160),('PTRM input'!$K$149*(1+rvanilla05)^0.5)-SUM($K160:AT160),('PTRM input'!$K$149*(1+rvanilla05)^0.5)/A7stdlife))</f>
        <v>0</v>
      </c>
      <c r="AV160" s="107">
        <f>IF(A7stdlife="n/a","n/a",IF(AV$3&gt;(A7stdlife+$E160),('PTRM input'!$K$149*(1+rvanilla05)^0.5)-SUM($K160:AU160),('PTRM input'!$K$149*(1+rvanilla05)^0.5)/A7stdlife))</f>
        <v>0</v>
      </c>
      <c r="AW160" s="107">
        <f>IF(A7stdlife="n/a","n/a",IF(AW$3&gt;(A7stdlife+$E160),('PTRM input'!$K$149*(1+rvanilla05)^0.5)-SUM($K160:AV160),('PTRM input'!$K$149*(1+rvanilla05)^0.5)/A7stdlife))</f>
        <v>0</v>
      </c>
      <c r="AX160" s="107">
        <f>IF(A7stdlife="n/a","n/a",IF(AX$3&gt;(A7stdlife+$E160),('PTRM input'!$K$149*(1+rvanilla05)^0.5)-SUM($K160:AW160),('PTRM input'!$K$149*(1+rvanilla05)^0.5)/A7stdlife))</f>
        <v>0</v>
      </c>
      <c r="AY160" s="107">
        <f>IF(A7stdlife="n/a","n/a",IF(AY$3&gt;(A7stdlife+$E160),('PTRM input'!$K$149*(1+rvanilla05)^0.5)-SUM($K160:AX160),('PTRM input'!$K$149*(1+rvanilla05)^0.5)/A7stdlife))</f>
        <v>0</v>
      </c>
      <c r="AZ160" s="107">
        <f>IF(A7stdlife="n/a","n/a",IF(AZ$3&gt;(A7stdlife+$E160),('PTRM input'!$K$149*(1+rvanilla05)^0.5)-SUM($K160:AY160),('PTRM input'!$K$149*(1+rvanilla05)^0.5)/A7stdlife))</f>
        <v>0</v>
      </c>
      <c r="BA160" s="107">
        <f>IF(A7stdlife="n/a","n/a",IF(BA$3&gt;(A7stdlife+$E160),('PTRM input'!$K$149*(1+rvanilla05)^0.5)-SUM($K160:AZ160),('PTRM input'!$K$149*(1+rvanilla05)^0.5)/A7stdlife))</f>
        <v>0</v>
      </c>
      <c r="BB160" s="107">
        <f>IF(A7stdlife="n/a","n/a",IF(BB$3&gt;(A7stdlife+$E160),('PTRM input'!$K$149*(1+rvanilla05)^0.5)-SUM($K160:BA160),('PTRM input'!$K$149*(1+rvanilla05)^0.5)/A7stdlife))</f>
        <v>0</v>
      </c>
      <c r="BC160" s="107">
        <f>IF(A7stdlife="n/a","n/a",IF(BC$3&gt;(A7stdlife+$E160),('PTRM input'!$K$149*(1+rvanilla05)^0.5)-SUM($K160:BB160),('PTRM input'!$K$149*(1+rvanilla05)^0.5)/A7stdlife))</f>
        <v>0</v>
      </c>
      <c r="BD160" s="107">
        <f>IF(A7stdlife="n/a","n/a",IF(BD$3&gt;(A7stdlife+$E160),('PTRM input'!$K$149*(1+rvanilla05)^0.5)-SUM($K160:BC160),('PTRM input'!$K$149*(1+rvanilla05)^0.5)/A7stdlife))</f>
        <v>0</v>
      </c>
      <c r="BE160" s="107">
        <f>IF(A7stdlife="n/a","n/a",IF(BE$3&gt;(A7stdlife+$E160),('PTRM input'!$K$149*(1+rvanilla05)^0.5)-SUM($K160:BD160),('PTRM input'!$K$149*(1+rvanilla05)^0.5)/A7stdlife))</f>
        <v>0</v>
      </c>
      <c r="BF160" s="107">
        <f>IF(A7stdlife="n/a","n/a",IF(BF$3&gt;(A7stdlife+$E160),('PTRM input'!$K$149*(1+rvanilla05)^0.5)-SUM($K160:BE160),('PTRM input'!$K$149*(1+rvanilla05)^0.5)/A7stdlife))</f>
        <v>0</v>
      </c>
      <c r="BG160" s="107">
        <f>IF(A7stdlife="n/a","n/a",IF(BG$3&gt;(A7stdlife+$E160),('PTRM input'!$K$149*(1+rvanilla05)^0.5)-SUM($K160:BF160),('PTRM input'!$K$149*(1+rvanilla05)^0.5)/A7stdlife))</f>
        <v>0</v>
      </c>
      <c r="BH160" s="107">
        <f>IF(A7stdlife="n/a","n/a",IF(BH$3&gt;(A7stdlife+$E160),('PTRM input'!$K$149*(1+rvanilla05)^0.5)-SUM($K160:BG160),('PTRM input'!$K$149*(1+rvanilla05)^0.5)/A7stdlife))</f>
        <v>0</v>
      </c>
      <c r="BI160" s="107">
        <f>IF(A7stdlife="n/a","n/a",IF(BI$3&gt;(A7stdlife+$E160),('PTRM input'!$K$149*(1+rvanilla05)^0.5)-SUM($K160:BH160),('PTRM input'!$K$149*(1+rvanilla05)^0.5)/A7stdlife))</f>
        <v>0</v>
      </c>
      <c r="BJ160" s="237"/>
      <c r="BK160" s="237"/>
      <c r="BL160" s="237"/>
      <c r="BM160" s="237"/>
    </row>
    <row r="161" spans="1:65" s="190" customFormat="1" hidden="1" outlineLevel="2">
      <c r="A161" s="237"/>
      <c r="B161" s="33"/>
      <c r="C161" s="32"/>
      <c r="D161" s="1618"/>
      <c r="E161" s="169">
        <v>6</v>
      </c>
      <c r="F161" s="35"/>
      <c r="G161" s="184"/>
      <c r="H161" s="186"/>
      <c r="I161" s="186"/>
      <c r="J161" s="186"/>
      <c r="K161" s="186"/>
      <c r="L161" s="185"/>
      <c r="M161" s="107">
        <f>IF(A7stdlife="n/a","n/a",IF(M$3&gt;(A7stdlife+$E161),('PTRM input'!$L$149*(1+rvanilla06)^0.5)-SUM($L161:L161),('PTRM input'!$L$149*(1+rvanilla06)^0.5)/A7stdlife))</f>
        <v>0</v>
      </c>
      <c r="N161" s="107">
        <f>IF(A7stdlife="n/a","n/a",IF(N$3&gt;(A7stdlife+$E161),('PTRM input'!$L$149*(1+rvanilla06)^0.5)-SUM($L161:M161),('PTRM input'!$L$149*(1+rvanilla06)^0.5)/A7stdlife))</f>
        <v>0</v>
      </c>
      <c r="O161" s="107">
        <f>IF(A7stdlife="n/a","n/a",IF(O$3&gt;(A7stdlife+$E161),('PTRM input'!$L$149*(1+rvanilla06)^0.5)-SUM($L161:N161),('PTRM input'!$L$149*(1+rvanilla06)^0.5)/A7stdlife))</f>
        <v>0</v>
      </c>
      <c r="P161" s="107">
        <f>IF(A7stdlife="n/a","n/a",IF(P$3&gt;(A7stdlife+$E161),('PTRM input'!$L$149*(1+rvanilla06)^0.5)-SUM($L161:O161),('PTRM input'!$L$149*(1+rvanilla06)^0.5)/A7stdlife))</f>
        <v>0</v>
      </c>
      <c r="Q161" s="107">
        <f>IF(A7stdlife="n/a","n/a",IF(Q$3&gt;(A7stdlife+$E161),('PTRM input'!$L$149*(1+rvanilla06)^0.5)-SUM($L161:P161),('PTRM input'!$L$149*(1+rvanilla06)^0.5)/A7stdlife))</f>
        <v>0</v>
      </c>
      <c r="R161" s="107">
        <f>IF(A7stdlife="n/a","n/a",IF(R$3&gt;(A7stdlife+$E161),('PTRM input'!$L$149*(1+rvanilla06)^0.5)-SUM($L161:Q161),('PTRM input'!$L$149*(1+rvanilla06)^0.5)/A7stdlife))</f>
        <v>0</v>
      </c>
      <c r="S161" s="107">
        <f>IF(A7stdlife="n/a","n/a",IF(S$3&gt;(A7stdlife+$E161),('PTRM input'!$L$149*(1+rvanilla06)^0.5)-SUM($L161:R161),('PTRM input'!$L$149*(1+rvanilla06)^0.5)/A7stdlife))</f>
        <v>0</v>
      </c>
      <c r="T161" s="107">
        <f>IF(A7stdlife="n/a","n/a",IF(T$3&gt;(A7stdlife+$E161),('PTRM input'!$L$149*(1+rvanilla06)^0.5)-SUM($L161:S161),('PTRM input'!$L$149*(1+rvanilla06)^0.5)/A7stdlife))</f>
        <v>0</v>
      </c>
      <c r="U161" s="107">
        <f>IF(A7stdlife="n/a","n/a",IF(U$3&gt;(A7stdlife+$E161),('PTRM input'!$L$149*(1+rvanilla06)^0.5)-SUM($L161:T161),('PTRM input'!$L$149*(1+rvanilla06)^0.5)/A7stdlife))</f>
        <v>0</v>
      </c>
      <c r="V161" s="107">
        <f>IF(A7stdlife="n/a","n/a",IF(V$3&gt;(A7stdlife+$E161),('PTRM input'!$L$149*(1+rvanilla06)^0.5)-SUM($L161:U161),('PTRM input'!$L$149*(1+rvanilla06)^0.5)/A7stdlife))</f>
        <v>0</v>
      </c>
      <c r="W161" s="107">
        <f>IF(A7stdlife="n/a","n/a",IF(W$3&gt;(A7stdlife+$E161),('PTRM input'!$L$149*(1+rvanilla06)^0.5)-SUM($L161:V161),('PTRM input'!$L$149*(1+rvanilla06)^0.5)/A7stdlife))</f>
        <v>0</v>
      </c>
      <c r="X161" s="107">
        <f>IF(A7stdlife="n/a","n/a",IF(X$3&gt;(A7stdlife+$E161),('PTRM input'!$L$149*(1+rvanilla06)^0.5)-SUM($L161:W161),('PTRM input'!$L$149*(1+rvanilla06)^0.5)/A7stdlife))</f>
        <v>0</v>
      </c>
      <c r="Y161" s="107">
        <f>IF(A7stdlife="n/a","n/a",IF(Y$3&gt;(A7stdlife+$E161),('PTRM input'!$L$149*(1+rvanilla06)^0.5)-SUM($L161:X161),('PTRM input'!$L$149*(1+rvanilla06)^0.5)/A7stdlife))</f>
        <v>0</v>
      </c>
      <c r="Z161" s="107">
        <f>IF(A7stdlife="n/a","n/a",IF(Z$3&gt;(A7stdlife+$E161),('PTRM input'!$L$149*(1+rvanilla06)^0.5)-SUM($L161:Y161),('PTRM input'!$L$149*(1+rvanilla06)^0.5)/A7stdlife))</f>
        <v>0</v>
      </c>
      <c r="AA161" s="107">
        <f>IF(A7stdlife="n/a","n/a",IF(AA$3&gt;(A7stdlife+$E161),('PTRM input'!$L$149*(1+rvanilla06)^0.5)-SUM($L161:Z161),('PTRM input'!$L$149*(1+rvanilla06)^0.5)/A7stdlife))</f>
        <v>0</v>
      </c>
      <c r="AB161" s="107">
        <f>IF(A7stdlife="n/a","n/a",IF(AB$3&gt;(A7stdlife+$E161),('PTRM input'!$L$149*(1+rvanilla06)^0.5)-SUM($L161:AA161),('PTRM input'!$L$149*(1+rvanilla06)^0.5)/A7stdlife))</f>
        <v>0</v>
      </c>
      <c r="AC161" s="107">
        <f>IF(A7stdlife="n/a","n/a",IF(AC$3&gt;(A7stdlife+$E161),('PTRM input'!$L$149*(1+rvanilla06)^0.5)-SUM($L161:AB161),('PTRM input'!$L$149*(1+rvanilla06)^0.5)/A7stdlife))</f>
        <v>0</v>
      </c>
      <c r="AD161" s="107">
        <f>IF(A7stdlife="n/a","n/a",IF(AD$3&gt;(A7stdlife+$E161),('PTRM input'!$L$149*(1+rvanilla06)^0.5)-SUM($L161:AC161),('PTRM input'!$L$149*(1+rvanilla06)^0.5)/A7stdlife))</f>
        <v>0</v>
      </c>
      <c r="AE161" s="107">
        <f>IF(A7stdlife="n/a","n/a",IF(AE$3&gt;(A7stdlife+$E161),('PTRM input'!$L$149*(1+rvanilla06)^0.5)-SUM($L161:AD161),('PTRM input'!$L$149*(1+rvanilla06)^0.5)/A7stdlife))</f>
        <v>0</v>
      </c>
      <c r="AF161" s="107">
        <f>IF(A7stdlife="n/a","n/a",IF(AF$3&gt;(A7stdlife+$E161),('PTRM input'!$L$149*(1+rvanilla06)^0.5)-SUM($L161:AE161),('PTRM input'!$L$149*(1+rvanilla06)^0.5)/A7stdlife))</f>
        <v>0</v>
      </c>
      <c r="AG161" s="107">
        <f>IF(A7stdlife="n/a","n/a",IF(AG$3&gt;(A7stdlife+$E161),('PTRM input'!$L$149*(1+rvanilla06)^0.5)-SUM($L161:AF161),('PTRM input'!$L$149*(1+rvanilla06)^0.5)/A7stdlife))</f>
        <v>0</v>
      </c>
      <c r="AH161" s="107">
        <f>IF(A7stdlife="n/a","n/a",IF(AH$3&gt;(A7stdlife+$E161),('PTRM input'!$L$149*(1+rvanilla06)^0.5)-SUM($L161:AG161),('PTRM input'!$L$149*(1+rvanilla06)^0.5)/A7stdlife))</f>
        <v>0</v>
      </c>
      <c r="AI161" s="107">
        <f>IF(A7stdlife="n/a","n/a",IF(AI$3&gt;(A7stdlife+$E161),('PTRM input'!$L$149*(1+rvanilla06)^0.5)-SUM($L161:AH161),('PTRM input'!$L$149*(1+rvanilla06)^0.5)/A7stdlife))</f>
        <v>0</v>
      </c>
      <c r="AJ161" s="107">
        <f>IF(A7stdlife="n/a","n/a",IF(AJ$3&gt;(A7stdlife+$E161),('PTRM input'!$L$149*(1+rvanilla06)^0.5)-SUM($L161:AI161),('PTRM input'!$L$149*(1+rvanilla06)^0.5)/A7stdlife))</f>
        <v>0</v>
      </c>
      <c r="AK161" s="107">
        <f>IF(A7stdlife="n/a","n/a",IF(AK$3&gt;(A7stdlife+$E161),('PTRM input'!$L$149*(1+rvanilla06)^0.5)-SUM($L161:AJ161),('PTRM input'!$L$149*(1+rvanilla06)^0.5)/A7stdlife))</f>
        <v>0</v>
      </c>
      <c r="AL161" s="107">
        <f>IF(A7stdlife="n/a","n/a",IF(AL$3&gt;(A7stdlife+$E161),('PTRM input'!$L$149*(1+rvanilla06)^0.5)-SUM($L161:AK161),('PTRM input'!$L$149*(1+rvanilla06)^0.5)/A7stdlife))</f>
        <v>0</v>
      </c>
      <c r="AM161" s="107">
        <f>IF(A7stdlife="n/a","n/a",IF(AM$3&gt;(A7stdlife+$E161),('PTRM input'!$L$149*(1+rvanilla06)^0.5)-SUM($L161:AL161),('PTRM input'!$L$149*(1+rvanilla06)^0.5)/A7stdlife))</f>
        <v>0</v>
      </c>
      <c r="AN161" s="107">
        <f>IF(A7stdlife="n/a","n/a",IF(AN$3&gt;(A7stdlife+$E161),('PTRM input'!$L$149*(1+rvanilla06)^0.5)-SUM($L161:AM161),('PTRM input'!$L$149*(1+rvanilla06)^0.5)/A7stdlife))</f>
        <v>0</v>
      </c>
      <c r="AO161" s="107">
        <f>IF(A7stdlife="n/a","n/a",IF(AO$3&gt;(A7stdlife+$E161),('PTRM input'!$L$149*(1+rvanilla06)^0.5)-SUM($L161:AN161),('PTRM input'!$L$149*(1+rvanilla06)^0.5)/A7stdlife))</f>
        <v>0</v>
      </c>
      <c r="AP161" s="107">
        <f>IF(A7stdlife="n/a","n/a",IF(AP$3&gt;(A7stdlife+$E161),('PTRM input'!$L$149*(1+rvanilla06)^0.5)-SUM($L161:AO161),('PTRM input'!$L$149*(1+rvanilla06)^0.5)/A7stdlife))</f>
        <v>0</v>
      </c>
      <c r="AQ161" s="107">
        <f>IF(A7stdlife="n/a","n/a",IF(AQ$3&gt;(A7stdlife+$E161),('PTRM input'!$L$149*(1+rvanilla06)^0.5)-SUM($L161:AP161),('PTRM input'!$L$149*(1+rvanilla06)^0.5)/A7stdlife))</f>
        <v>0</v>
      </c>
      <c r="AR161" s="107">
        <f>IF(A7stdlife="n/a","n/a",IF(AR$3&gt;(A7stdlife+$E161),('PTRM input'!$L$149*(1+rvanilla06)^0.5)-SUM($L161:AQ161),('PTRM input'!$L$149*(1+rvanilla06)^0.5)/A7stdlife))</f>
        <v>0</v>
      </c>
      <c r="AS161" s="107">
        <f>IF(A7stdlife="n/a","n/a",IF(AS$3&gt;(A7stdlife+$E161),('PTRM input'!$L$149*(1+rvanilla06)^0.5)-SUM($L161:AR161),('PTRM input'!$L$149*(1+rvanilla06)^0.5)/A7stdlife))</f>
        <v>0</v>
      </c>
      <c r="AT161" s="107">
        <f>IF(A7stdlife="n/a","n/a",IF(AT$3&gt;(A7stdlife+$E161),('PTRM input'!$L$149*(1+rvanilla06)^0.5)-SUM($L161:AS161),('PTRM input'!$L$149*(1+rvanilla06)^0.5)/A7stdlife))</f>
        <v>0</v>
      </c>
      <c r="AU161" s="107">
        <f>IF(A7stdlife="n/a","n/a",IF(AU$3&gt;(A7stdlife+$E161),('PTRM input'!$L$149*(1+rvanilla06)^0.5)-SUM($L161:AT161),('PTRM input'!$L$149*(1+rvanilla06)^0.5)/A7stdlife))</f>
        <v>0</v>
      </c>
      <c r="AV161" s="107">
        <f>IF(A7stdlife="n/a","n/a",IF(AV$3&gt;(A7stdlife+$E161),('PTRM input'!$L$149*(1+rvanilla06)^0.5)-SUM($L161:AU161),('PTRM input'!$L$149*(1+rvanilla06)^0.5)/A7stdlife))</f>
        <v>0</v>
      </c>
      <c r="AW161" s="107">
        <f>IF(A7stdlife="n/a","n/a",IF(AW$3&gt;(A7stdlife+$E161),('PTRM input'!$L$149*(1+rvanilla06)^0.5)-SUM($L161:AV161),('PTRM input'!$L$149*(1+rvanilla06)^0.5)/A7stdlife))</f>
        <v>0</v>
      </c>
      <c r="AX161" s="107">
        <f>IF(A7stdlife="n/a","n/a",IF(AX$3&gt;(A7stdlife+$E161),('PTRM input'!$L$149*(1+rvanilla06)^0.5)-SUM($L161:AW161),('PTRM input'!$L$149*(1+rvanilla06)^0.5)/A7stdlife))</f>
        <v>0</v>
      </c>
      <c r="AY161" s="107">
        <f>IF(A7stdlife="n/a","n/a",IF(AY$3&gt;(A7stdlife+$E161),('PTRM input'!$L$149*(1+rvanilla06)^0.5)-SUM($L161:AX161),('PTRM input'!$L$149*(1+rvanilla06)^0.5)/A7stdlife))</f>
        <v>0</v>
      </c>
      <c r="AZ161" s="107">
        <f>IF(A7stdlife="n/a","n/a",IF(AZ$3&gt;(A7stdlife+$E161),('PTRM input'!$L$149*(1+rvanilla06)^0.5)-SUM($L161:AY161),('PTRM input'!$L$149*(1+rvanilla06)^0.5)/A7stdlife))</f>
        <v>0</v>
      </c>
      <c r="BA161" s="107">
        <f>IF(A7stdlife="n/a","n/a",IF(BA$3&gt;(A7stdlife+$E161),('PTRM input'!$L$149*(1+rvanilla06)^0.5)-SUM($L161:AZ161),('PTRM input'!$L$149*(1+rvanilla06)^0.5)/A7stdlife))</f>
        <v>0</v>
      </c>
      <c r="BB161" s="107">
        <f>IF(A7stdlife="n/a","n/a",IF(BB$3&gt;(A7stdlife+$E161),('PTRM input'!$L$149*(1+rvanilla06)^0.5)-SUM($L161:BA161),('PTRM input'!$L$149*(1+rvanilla06)^0.5)/A7stdlife))</f>
        <v>0</v>
      </c>
      <c r="BC161" s="107">
        <f>IF(A7stdlife="n/a","n/a",IF(BC$3&gt;(A7stdlife+$E161),('PTRM input'!$L$149*(1+rvanilla06)^0.5)-SUM($L161:BB161),('PTRM input'!$L$149*(1+rvanilla06)^0.5)/A7stdlife))</f>
        <v>0</v>
      </c>
      <c r="BD161" s="107">
        <f>IF(A7stdlife="n/a","n/a",IF(BD$3&gt;(A7stdlife+$E161),('PTRM input'!$L$149*(1+rvanilla06)^0.5)-SUM($L161:BC161),('PTRM input'!$L$149*(1+rvanilla06)^0.5)/A7stdlife))</f>
        <v>0</v>
      </c>
      <c r="BE161" s="107">
        <f>IF(A7stdlife="n/a","n/a",IF(BE$3&gt;(A7stdlife+$E161),('PTRM input'!$L$149*(1+rvanilla06)^0.5)-SUM($L161:BD161),('PTRM input'!$L$149*(1+rvanilla06)^0.5)/A7stdlife))</f>
        <v>0</v>
      </c>
      <c r="BF161" s="107">
        <f>IF(A7stdlife="n/a","n/a",IF(BF$3&gt;(A7stdlife+$E161),('PTRM input'!$L$149*(1+rvanilla06)^0.5)-SUM($L161:BE161),('PTRM input'!$L$149*(1+rvanilla06)^0.5)/A7stdlife))</f>
        <v>0</v>
      </c>
      <c r="BG161" s="107">
        <f>IF(A7stdlife="n/a","n/a",IF(BG$3&gt;(A7stdlife+$E161),('PTRM input'!$L$149*(1+rvanilla06)^0.5)-SUM($L161:BF161),('PTRM input'!$L$149*(1+rvanilla06)^0.5)/A7stdlife))</f>
        <v>0</v>
      </c>
      <c r="BH161" s="107">
        <f>IF(A7stdlife="n/a","n/a",IF(BH$3&gt;(A7stdlife+$E161),('PTRM input'!$L$149*(1+rvanilla06)^0.5)-SUM($L161:BG161),('PTRM input'!$L$149*(1+rvanilla06)^0.5)/A7stdlife))</f>
        <v>0</v>
      </c>
      <c r="BI161" s="107">
        <f>IF(A7stdlife="n/a","n/a",IF(BI$3&gt;(A7stdlife+$E161),('PTRM input'!$L$149*(1+rvanilla06)^0.5)-SUM($L161:BH161),('PTRM input'!$L$149*(1+rvanilla06)^0.5)/A7stdlife))</f>
        <v>0</v>
      </c>
      <c r="BJ161" s="237"/>
      <c r="BK161" s="237"/>
      <c r="BL161" s="237"/>
      <c r="BM161" s="237"/>
    </row>
    <row r="162" spans="1:65" s="190" customFormat="1" hidden="1" outlineLevel="2">
      <c r="A162" s="237"/>
      <c r="B162" s="33"/>
      <c r="C162" s="32"/>
      <c r="D162" s="1618"/>
      <c r="E162" s="169">
        <v>7</v>
      </c>
      <c r="F162" s="35"/>
      <c r="G162" s="184"/>
      <c r="H162" s="186"/>
      <c r="I162" s="186"/>
      <c r="J162" s="186"/>
      <c r="K162" s="186"/>
      <c r="L162" s="186"/>
      <c r="M162" s="185"/>
      <c r="N162" s="107">
        <f>IF(A7stdlife="n/a","n/a",IF(N$3&gt;(A7stdlife+$E162),('PTRM input'!$M$149*(1+rvanilla07)^0.5)-SUM($M162:M162),('PTRM input'!$M$149*(1+rvanilla07)^0.5)/A7stdlife))</f>
        <v>0</v>
      </c>
      <c r="O162" s="107">
        <f>IF(A7stdlife="n/a","n/a",IF(O$3&gt;(A7stdlife+$E162),('PTRM input'!$M$149*(1+rvanilla07)^0.5)-SUM($M162:N162),('PTRM input'!$M$149*(1+rvanilla07)^0.5)/A7stdlife))</f>
        <v>0</v>
      </c>
      <c r="P162" s="107">
        <f>IF(A7stdlife="n/a","n/a",IF(P$3&gt;(A7stdlife+$E162),('PTRM input'!$M$149*(1+rvanilla07)^0.5)-SUM($M162:O162),('PTRM input'!$M$149*(1+rvanilla07)^0.5)/A7stdlife))</f>
        <v>0</v>
      </c>
      <c r="Q162" s="107">
        <f>IF(A7stdlife="n/a","n/a",IF(Q$3&gt;(A7stdlife+$E162),('PTRM input'!$M$149*(1+rvanilla07)^0.5)-SUM($M162:P162),('PTRM input'!$M$149*(1+rvanilla07)^0.5)/A7stdlife))</f>
        <v>0</v>
      </c>
      <c r="R162" s="107">
        <f>IF(A7stdlife="n/a","n/a",IF(R$3&gt;(A7stdlife+$E162),('PTRM input'!$M$149*(1+rvanilla07)^0.5)-SUM($M162:Q162),('PTRM input'!$M$149*(1+rvanilla07)^0.5)/A7stdlife))</f>
        <v>0</v>
      </c>
      <c r="S162" s="107">
        <f>IF(A7stdlife="n/a","n/a",IF(S$3&gt;(A7stdlife+$E162),('PTRM input'!$M$149*(1+rvanilla07)^0.5)-SUM($M162:R162),('PTRM input'!$M$149*(1+rvanilla07)^0.5)/A7stdlife))</f>
        <v>0</v>
      </c>
      <c r="T162" s="107">
        <f>IF(A7stdlife="n/a","n/a",IF(T$3&gt;(A7stdlife+$E162),('PTRM input'!$M$149*(1+rvanilla07)^0.5)-SUM($M162:S162),('PTRM input'!$M$149*(1+rvanilla07)^0.5)/A7stdlife))</f>
        <v>0</v>
      </c>
      <c r="U162" s="107">
        <f>IF(A7stdlife="n/a","n/a",IF(U$3&gt;(A7stdlife+$E162),('PTRM input'!$M$149*(1+rvanilla07)^0.5)-SUM($M162:T162),('PTRM input'!$M$149*(1+rvanilla07)^0.5)/A7stdlife))</f>
        <v>0</v>
      </c>
      <c r="V162" s="107">
        <f>IF(A7stdlife="n/a","n/a",IF(V$3&gt;(A7stdlife+$E162),('PTRM input'!$M$149*(1+rvanilla07)^0.5)-SUM($M162:U162),('PTRM input'!$M$149*(1+rvanilla07)^0.5)/A7stdlife))</f>
        <v>0</v>
      </c>
      <c r="W162" s="107">
        <f>IF(A7stdlife="n/a","n/a",IF(W$3&gt;(A7stdlife+$E162),('PTRM input'!$M$149*(1+rvanilla07)^0.5)-SUM($M162:V162),('PTRM input'!$M$149*(1+rvanilla07)^0.5)/A7stdlife))</f>
        <v>0</v>
      </c>
      <c r="X162" s="107">
        <f>IF(A7stdlife="n/a","n/a",IF(X$3&gt;(A7stdlife+$E162),('PTRM input'!$M$149*(1+rvanilla07)^0.5)-SUM($M162:W162),('PTRM input'!$M$149*(1+rvanilla07)^0.5)/A7stdlife))</f>
        <v>0</v>
      </c>
      <c r="Y162" s="107">
        <f>IF(A7stdlife="n/a","n/a",IF(Y$3&gt;(A7stdlife+$E162),('PTRM input'!$M$149*(1+rvanilla07)^0.5)-SUM($M162:X162),('PTRM input'!$M$149*(1+rvanilla07)^0.5)/A7stdlife))</f>
        <v>0</v>
      </c>
      <c r="Z162" s="107">
        <f>IF(A7stdlife="n/a","n/a",IF(Z$3&gt;(A7stdlife+$E162),('PTRM input'!$M$149*(1+rvanilla07)^0.5)-SUM($M162:Y162),('PTRM input'!$M$149*(1+rvanilla07)^0.5)/A7stdlife))</f>
        <v>0</v>
      </c>
      <c r="AA162" s="107">
        <f>IF(A7stdlife="n/a","n/a",IF(AA$3&gt;(A7stdlife+$E162),('PTRM input'!$M$149*(1+rvanilla07)^0.5)-SUM($M162:Z162),('PTRM input'!$M$149*(1+rvanilla07)^0.5)/A7stdlife))</f>
        <v>0</v>
      </c>
      <c r="AB162" s="107">
        <f>IF(A7stdlife="n/a","n/a",IF(AB$3&gt;(A7stdlife+$E162),('PTRM input'!$M$149*(1+rvanilla07)^0.5)-SUM($M162:AA162),('PTRM input'!$M$149*(1+rvanilla07)^0.5)/A7stdlife))</f>
        <v>0</v>
      </c>
      <c r="AC162" s="107">
        <f>IF(A7stdlife="n/a","n/a",IF(AC$3&gt;(A7stdlife+$E162),('PTRM input'!$M$149*(1+rvanilla07)^0.5)-SUM($M162:AB162),('PTRM input'!$M$149*(1+rvanilla07)^0.5)/A7stdlife))</f>
        <v>0</v>
      </c>
      <c r="AD162" s="107">
        <f>IF(A7stdlife="n/a","n/a",IF(AD$3&gt;(A7stdlife+$E162),('PTRM input'!$M$149*(1+rvanilla07)^0.5)-SUM($M162:AC162),('PTRM input'!$M$149*(1+rvanilla07)^0.5)/A7stdlife))</f>
        <v>0</v>
      </c>
      <c r="AE162" s="107">
        <f>IF(A7stdlife="n/a","n/a",IF(AE$3&gt;(A7stdlife+$E162),('PTRM input'!$M$149*(1+rvanilla07)^0.5)-SUM($M162:AD162),('PTRM input'!$M$149*(1+rvanilla07)^0.5)/A7stdlife))</f>
        <v>0</v>
      </c>
      <c r="AF162" s="107">
        <f>IF(A7stdlife="n/a","n/a",IF(AF$3&gt;(A7stdlife+$E162),('PTRM input'!$M$149*(1+rvanilla07)^0.5)-SUM($M162:AE162),('PTRM input'!$M$149*(1+rvanilla07)^0.5)/A7stdlife))</f>
        <v>0</v>
      </c>
      <c r="AG162" s="107">
        <f>IF(A7stdlife="n/a","n/a",IF(AG$3&gt;(A7stdlife+$E162),('PTRM input'!$M$149*(1+rvanilla07)^0.5)-SUM($M162:AF162),('PTRM input'!$M$149*(1+rvanilla07)^0.5)/A7stdlife))</f>
        <v>0</v>
      </c>
      <c r="AH162" s="107">
        <f>IF(A7stdlife="n/a","n/a",IF(AH$3&gt;(A7stdlife+$E162),('PTRM input'!$M$149*(1+rvanilla07)^0.5)-SUM($M162:AG162),('PTRM input'!$M$149*(1+rvanilla07)^0.5)/A7stdlife))</f>
        <v>0</v>
      </c>
      <c r="AI162" s="107">
        <f>IF(A7stdlife="n/a","n/a",IF(AI$3&gt;(A7stdlife+$E162),('PTRM input'!$M$149*(1+rvanilla07)^0.5)-SUM($M162:AH162),('PTRM input'!$M$149*(1+rvanilla07)^0.5)/A7stdlife))</f>
        <v>0</v>
      </c>
      <c r="AJ162" s="107">
        <f>IF(A7stdlife="n/a","n/a",IF(AJ$3&gt;(A7stdlife+$E162),('PTRM input'!$M$149*(1+rvanilla07)^0.5)-SUM($M162:AI162),('PTRM input'!$M$149*(1+rvanilla07)^0.5)/A7stdlife))</f>
        <v>0</v>
      </c>
      <c r="AK162" s="107">
        <f>IF(A7stdlife="n/a","n/a",IF(AK$3&gt;(A7stdlife+$E162),('PTRM input'!$M$149*(1+rvanilla07)^0.5)-SUM($M162:AJ162),('PTRM input'!$M$149*(1+rvanilla07)^0.5)/A7stdlife))</f>
        <v>0</v>
      </c>
      <c r="AL162" s="107">
        <f>IF(A7stdlife="n/a","n/a",IF(AL$3&gt;(A7stdlife+$E162),('PTRM input'!$M$149*(1+rvanilla07)^0.5)-SUM($M162:AK162),('PTRM input'!$M$149*(1+rvanilla07)^0.5)/A7stdlife))</f>
        <v>0</v>
      </c>
      <c r="AM162" s="107">
        <f>IF(A7stdlife="n/a","n/a",IF(AM$3&gt;(A7stdlife+$E162),('PTRM input'!$M$149*(1+rvanilla07)^0.5)-SUM($M162:AL162),('PTRM input'!$M$149*(1+rvanilla07)^0.5)/A7stdlife))</f>
        <v>0</v>
      </c>
      <c r="AN162" s="107">
        <f>IF(A7stdlife="n/a","n/a",IF(AN$3&gt;(A7stdlife+$E162),('PTRM input'!$M$149*(1+rvanilla07)^0.5)-SUM($M162:AM162),('PTRM input'!$M$149*(1+rvanilla07)^0.5)/A7stdlife))</f>
        <v>0</v>
      </c>
      <c r="AO162" s="107">
        <f>IF(A7stdlife="n/a","n/a",IF(AO$3&gt;(A7stdlife+$E162),('PTRM input'!$M$149*(1+rvanilla07)^0.5)-SUM($M162:AN162),('PTRM input'!$M$149*(1+rvanilla07)^0.5)/A7stdlife))</f>
        <v>0</v>
      </c>
      <c r="AP162" s="107">
        <f>IF(A7stdlife="n/a","n/a",IF(AP$3&gt;(A7stdlife+$E162),('PTRM input'!$M$149*(1+rvanilla07)^0.5)-SUM($M162:AO162),('PTRM input'!$M$149*(1+rvanilla07)^0.5)/A7stdlife))</f>
        <v>0</v>
      </c>
      <c r="AQ162" s="107">
        <f>IF(A7stdlife="n/a","n/a",IF(AQ$3&gt;(A7stdlife+$E162),('PTRM input'!$M$149*(1+rvanilla07)^0.5)-SUM($M162:AP162),('PTRM input'!$M$149*(1+rvanilla07)^0.5)/A7stdlife))</f>
        <v>0</v>
      </c>
      <c r="AR162" s="107">
        <f>IF(A7stdlife="n/a","n/a",IF(AR$3&gt;(A7stdlife+$E162),('PTRM input'!$M$149*(1+rvanilla07)^0.5)-SUM($M162:AQ162),('PTRM input'!$M$149*(1+rvanilla07)^0.5)/A7stdlife))</f>
        <v>0</v>
      </c>
      <c r="AS162" s="107">
        <f>IF(A7stdlife="n/a","n/a",IF(AS$3&gt;(A7stdlife+$E162),('PTRM input'!$M$149*(1+rvanilla07)^0.5)-SUM($M162:AR162),('PTRM input'!$M$149*(1+rvanilla07)^0.5)/A7stdlife))</f>
        <v>0</v>
      </c>
      <c r="AT162" s="107">
        <f>IF(A7stdlife="n/a","n/a",IF(AT$3&gt;(A7stdlife+$E162),('PTRM input'!$M$149*(1+rvanilla07)^0.5)-SUM($M162:AS162),('PTRM input'!$M$149*(1+rvanilla07)^0.5)/A7stdlife))</f>
        <v>0</v>
      </c>
      <c r="AU162" s="107">
        <f>IF(A7stdlife="n/a","n/a",IF(AU$3&gt;(A7stdlife+$E162),('PTRM input'!$M$149*(1+rvanilla07)^0.5)-SUM($M162:AT162),('PTRM input'!$M$149*(1+rvanilla07)^0.5)/A7stdlife))</f>
        <v>0</v>
      </c>
      <c r="AV162" s="107">
        <f>IF(A7stdlife="n/a","n/a",IF(AV$3&gt;(A7stdlife+$E162),('PTRM input'!$M$149*(1+rvanilla07)^0.5)-SUM($M162:AU162),('PTRM input'!$M$149*(1+rvanilla07)^0.5)/A7stdlife))</f>
        <v>0</v>
      </c>
      <c r="AW162" s="107">
        <f>IF(A7stdlife="n/a","n/a",IF(AW$3&gt;(A7stdlife+$E162),('PTRM input'!$M$149*(1+rvanilla07)^0.5)-SUM($M162:AV162),('PTRM input'!$M$149*(1+rvanilla07)^0.5)/A7stdlife))</f>
        <v>0</v>
      </c>
      <c r="AX162" s="107">
        <f>IF(A7stdlife="n/a","n/a",IF(AX$3&gt;(A7stdlife+$E162),('PTRM input'!$M$149*(1+rvanilla07)^0.5)-SUM($M162:AW162),('PTRM input'!$M$149*(1+rvanilla07)^0.5)/A7stdlife))</f>
        <v>0</v>
      </c>
      <c r="AY162" s="107">
        <f>IF(A7stdlife="n/a","n/a",IF(AY$3&gt;(A7stdlife+$E162),('PTRM input'!$M$149*(1+rvanilla07)^0.5)-SUM($M162:AX162),('PTRM input'!$M$149*(1+rvanilla07)^0.5)/A7stdlife))</f>
        <v>0</v>
      </c>
      <c r="AZ162" s="107">
        <f>IF(A7stdlife="n/a","n/a",IF(AZ$3&gt;(A7stdlife+$E162),('PTRM input'!$M$149*(1+rvanilla07)^0.5)-SUM($M162:AY162),('PTRM input'!$M$149*(1+rvanilla07)^0.5)/A7stdlife))</f>
        <v>0</v>
      </c>
      <c r="BA162" s="107">
        <f>IF(A7stdlife="n/a","n/a",IF(BA$3&gt;(A7stdlife+$E162),('PTRM input'!$M$149*(1+rvanilla07)^0.5)-SUM($M162:AZ162),('PTRM input'!$M$149*(1+rvanilla07)^0.5)/A7stdlife))</f>
        <v>0</v>
      </c>
      <c r="BB162" s="107">
        <f>IF(A7stdlife="n/a","n/a",IF(BB$3&gt;(A7stdlife+$E162),('PTRM input'!$M$149*(1+rvanilla07)^0.5)-SUM($M162:BA162),('PTRM input'!$M$149*(1+rvanilla07)^0.5)/A7stdlife))</f>
        <v>0</v>
      </c>
      <c r="BC162" s="107">
        <f>IF(A7stdlife="n/a","n/a",IF(BC$3&gt;(A7stdlife+$E162),('PTRM input'!$M$149*(1+rvanilla07)^0.5)-SUM($M162:BB162),('PTRM input'!$M$149*(1+rvanilla07)^0.5)/A7stdlife))</f>
        <v>0</v>
      </c>
      <c r="BD162" s="107">
        <f>IF(A7stdlife="n/a","n/a",IF(BD$3&gt;(A7stdlife+$E162),('PTRM input'!$M$149*(1+rvanilla07)^0.5)-SUM($M162:BC162),('PTRM input'!$M$149*(1+rvanilla07)^0.5)/A7stdlife))</f>
        <v>0</v>
      </c>
      <c r="BE162" s="107">
        <f>IF(A7stdlife="n/a","n/a",IF(BE$3&gt;(A7stdlife+$E162),('PTRM input'!$M$149*(1+rvanilla07)^0.5)-SUM($M162:BD162),('PTRM input'!$M$149*(1+rvanilla07)^0.5)/A7stdlife))</f>
        <v>0</v>
      </c>
      <c r="BF162" s="107">
        <f>IF(A7stdlife="n/a","n/a",IF(BF$3&gt;(A7stdlife+$E162),('PTRM input'!$M$149*(1+rvanilla07)^0.5)-SUM($M162:BE162),('PTRM input'!$M$149*(1+rvanilla07)^0.5)/A7stdlife))</f>
        <v>0</v>
      </c>
      <c r="BG162" s="107">
        <f>IF(A7stdlife="n/a","n/a",IF(BG$3&gt;(A7stdlife+$E162),('PTRM input'!$M$149*(1+rvanilla07)^0.5)-SUM($M162:BF162),('PTRM input'!$M$149*(1+rvanilla07)^0.5)/A7stdlife))</f>
        <v>0</v>
      </c>
      <c r="BH162" s="107">
        <f>IF(A7stdlife="n/a","n/a",IF(BH$3&gt;(A7stdlife+$E162),('PTRM input'!$M$149*(1+rvanilla07)^0.5)-SUM($M162:BG162),('PTRM input'!$M$149*(1+rvanilla07)^0.5)/A7stdlife))</f>
        <v>0</v>
      </c>
      <c r="BI162" s="107">
        <f>IF(A7stdlife="n/a","n/a",IF(BI$3&gt;(A7stdlife+$E162),('PTRM input'!$M$149*(1+rvanilla07)^0.5)-SUM($M162:BH162),('PTRM input'!$M$149*(1+rvanilla07)^0.5)/A7stdlife))</f>
        <v>0</v>
      </c>
      <c r="BJ162" s="237"/>
      <c r="BK162" s="237"/>
      <c r="BL162" s="237"/>
      <c r="BM162" s="237"/>
    </row>
    <row r="163" spans="1:65" s="190" customFormat="1" hidden="1" outlineLevel="2">
      <c r="A163" s="237"/>
      <c r="B163" s="33"/>
      <c r="C163" s="32"/>
      <c r="D163" s="1618"/>
      <c r="E163" s="169">
        <v>8</v>
      </c>
      <c r="F163" s="35"/>
      <c r="G163" s="184"/>
      <c r="H163" s="186"/>
      <c r="I163" s="186"/>
      <c r="J163" s="186"/>
      <c r="K163" s="186"/>
      <c r="L163" s="186"/>
      <c r="M163" s="186"/>
      <c r="N163" s="185"/>
      <c r="O163" s="107">
        <f>IF(A7stdlife="n/a","n/a",IF(O$3&gt;(A7stdlife+$E163),('PTRM input'!$N$149*(1+rvanilla08)^0.5)-SUM($N163:N163),('PTRM input'!$N$149*(1+rvanilla08)^0.5)/A7stdlife))</f>
        <v>0</v>
      </c>
      <c r="P163" s="107">
        <f>IF(A7stdlife="n/a","n/a",IF(P$3&gt;(A7stdlife+$E163),('PTRM input'!$N$149*(1+rvanilla08)^0.5)-SUM($N163:O163),('PTRM input'!$N$149*(1+rvanilla08)^0.5)/A7stdlife))</f>
        <v>0</v>
      </c>
      <c r="Q163" s="107">
        <f>IF(A7stdlife="n/a","n/a",IF(Q$3&gt;(A7stdlife+$E163),('PTRM input'!$N$149*(1+rvanilla08)^0.5)-SUM($N163:P163),('PTRM input'!$N$149*(1+rvanilla08)^0.5)/A7stdlife))</f>
        <v>0</v>
      </c>
      <c r="R163" s="107">
        <f>IF(A7stdlife="n/a","n/a",IF(R$3&gt;(A7stdlife+$E163),('PTRM input'!$N$149*(1+rvanilla08)^0.5)-SUM($N163:Q163),('PTRM input'!$N$149*(1+rvanilla08)^0.5)/A7stdlife))</f>
        <v>0</v>
      </c>
      <c r="S163" s="107">
        <f>IF(A7stdlife="n/a","n/a",IF(S$3&gt;(A7stdlife+$E163),('PTRM input'!$N$149*(1+rvanilla08)^0.5)-SUM($N163:R163),('PTRM input'!$N$149*(1+rvanilla08)^0.5)/A7stdlife))</f>
        <v>0</v>
      </c>
      <c r="T163" s="107">
        <f>IF(A7stdlife="n/a","n/a",IF(T$3&gt;(A7stdlife+$E163),('PTRM input'!$N$149*(1+rvanilla08)^0.5)-SUM($N163:S163),('PTRM input'!$N$149*(1+rvanilla08)^0.5)/A7stdlife))</f>
        <v>0</v>
      </c>
      <c r="U163" s="107">
        <f>IF(A7stdlife="n/a","n/a",IF(U$3&gt;(A7stdlife+$E163),('PTRM input'!$N$149*(1+rvanilla08)^0.5)-SUM($N163:T163),('PTRM input'!$N$149*(1+rvanilla08)^0.5)/A7stdlife))</f>
        <v>0</v>
      </c>
      <c r="V163" s="107">
        <f>IF(A7stdlife="n/a","n/a",IF(V$3&gt;(A7stdlife+$E163),('PTRM input'!$N$149*(1+rvanilla08)^0.5)-SUM($N163:U163),('PTRM input'!$N$149*(1+rvanilla08)^0.5)/A7stdlife))</f>
        <v>0</v>
      </c>
      <c r="W163" s="107">
        <f>IF(A7stdlife="n/a","n/a",IF(W$3&gt;(A7stdlife+$E163),('PTRM input'!$N$149*(1+rvanilla08)^0.5)-SUM($N163:V163),('PTRM input'!$N$149*(1+rvanilla08)^0.5)/A7stdlife))</f>
        <v>0</v>
      </c>
      <c r="X163" s="107">
        <f>IF(A7stdlife="n/a","n/a",IF(X$3&gt;(A7stdlife+$E163),('PTRM input'!$N$149*(1+rvanilla08)^0.5)-SUM($N163:W163),('PTRM input'!$N$149*(1+rvanilla08)^0.5)/A7stdlife))</f>
        <v>0</v>
      </c>
      <c r="Y163" s="107">
        <f>IF(A7stdlife="n/a","n/a",IF(Y$3&gt;(A7stdlife+$E163),('PTRM input'!$N$149*(1+rvanilla08)^0.5)-SUM($N163:X163),('PTRM input'!$N$149*(1+rvanilla08)^0.5)/A7stdlife))</f>
        <v>0</v>
      </c>
      <c r="Z163" s="107">
        <f>IF(A7stdlife="n/a","n/a",IF(Z$3&gt;(A7stdlife+$E163),('PTRM input'!$N$149*(1+rvanilla08)^0.5)-SUM($N163:Y163),('PTRM input'!$N$149*(1+rvanilla08)^0.5)/A7stdlife))</f>
        <v>0</v>
      </c>
      <c r="AA163" s="107">
        <f>IF(A7stdlife="n/a","n/a",IF(AA$3&gt;(A7stdlife+$E163),('PTRM input'!$N$149*(1+rvanilla08)^0.5)-SUM($N163:Z163),('PTRM input'!$N$149*(1+rvanilla08)^0.5)/A7stdlife))</f>
        <v>0</v>
      </c>
      <c r="AB163" s="107">
        <f>IF(A7stdlife="n/a","n/a",IF(AB$3&gt;(A7stdlife+$E163),('PTRM input'!$N$149*(1+rvanilla08)^0.5)-SUM($N163:AA163),('PTRM input'!$N$149*(1+rvanilla08)^0.5)/A7stdlife))</f>
        <v>0</v>
      </c>
      <c r="AC163" s="107">
        <f>IF(A7stdlife="n/a","n/a",IF(AC$3&gt;(A7stdlife+$E163),('PTRM input'!$N$149*(1+rvanilla08)^0.5)-SUM($N163:AB163),('PTRM input'!$N$149*(1+rvanilla08)^0.5)/A7stdlife))</f>
        <v>0</v>
      </c>
      <c r="AD163" s="107">
        <f>IF(A7stdlife="n/a","n/a",IF(AD$3&gt;(A7stdlife+$E163),('PTRM input'!$N$149*(1+rvanilla08)^0.5)-SUM($N163:AC163),('PTRM input'!$N$149*(1+rvanilla08)^0.5)/A7stdlife))</f>
        <v>0</v>
      </c>
      <c r="AE163" s="107">
        <f>IF(A7stdlife="n/a","n/a",IF(AE$3&gt;(A7stdlife+$E163),('PTRM input'!$N$149*(1+rvanilla08)^0.5)-SUM($N163:AD163),('PTRM input'!$N$149*(1+rvanilla08)^0.5)/A7stdlife))</f>
        <v>0</v>
      </c>
      <c r="AF163" s="107">
        <f>IF(A7stdlife="n/a","n/a",IF(AF$3&gt;(A7stdlife+$E163),('PTRM input'!$N$149*(1+rvanilla08)^0.5)-SUM($N163:AE163),('PTRM input'!$N$149*(1+rvanilla08)^0.5)/A7stdlife))</f>
        <v>0</v>
      </c>
      <c r="AG163" s="107">
        <f>IF(A7stdlife="n/a","n/a",IF(AG$3&gt;(A7stdlife+$E163),('PTRM input'!$N$149*(1+rvanilla08)^0.5)-SUM($N163:AF163),('PTRM input'!$N$149*(1+rvanilla08)^0.5)/A7stdlife))</f>
        <v>0</v>
      </c>
      <c r="AH163" s="107">
        <f>IF(A7stdlife="n/a","n/a",IF(AH$3&gt;(A7stdlife+$E163),('PTRM input'!$N$149*(1+rvanilla08)^0.5)-SUM($N163:AG163),('PTRM input'!$N$149*(1+rvanilla08)^0.5)/A7stdlife))</f>
        <v>0</v>
      </c>
      <c r="AI163" s="107">
        <f>IF(A7stdlife="n/a","n/a",IF(AI$3&gt;(A7stdlife+$E163),('PTRM input'!$N$149*(1+rvanilla08)^0.5)-SUM($N163:AH163),('PTRM input'!$N$149*(1+rvanilla08)^0.5)/A7stdlife))</f>
        <v>0</v>
      </c>
      <c r="AJ163" s="107">
        <f>IF(A7stdlife="n/a","n/a",IF(AJ$3&gt;(A7stdlife+$E163),('PTRM input'!$N$149*(1+rvanilla08)^0.5)-SUM($N163:AI163),('PTRM input'!$N$149*(1+rvanilla08)^0.5)/A7stdlife))</f>
        <v>0</v>
      </c>
      <c r="AK163" s="107">
        <f>IF(A7stdlife="n/a","n/a",IF(AK$3&gt;(A7stdlife+$E163),('PTRM input'!$N$149*(1+rvanilla08)^0.5)-SUM($N163:AJ163),('PTRM input'!$N$149*(1+rvanilla08)^0.5)/A7stdlife))</f>
        <v>0</v>
      </c>
      <c r="AL163" s="107">
        <f>IF(A7stdlife="n/a","n/a",IF(AL$3&gt;(A7stdlife+$E163),('PTRM input'!$N$149*(1+rvanilla08)^0.5)-SUM($N163:AK163),('PTRM input'!$N$149*(1+rvanilla08)^0.5)/A7stdlife))</f>
        <v>0</v>
      </c>
      <c r="AM163" s="107">
        <f>IF(A7stdlife="n/a","n/a",IF(AM$3&gt;(A7stdlife+$E163),('PTRM input'!$N$149*(1+rvanilla08)^0.5)-SUM($N163:AL163),('PTRM input'!$N$149*(1+rvanilla08)^0.5)/A7stdlife))</f>
        <v>0</v>
      </c>
      <c r="AN163" s="107">
        <f>IF(A7stdlife="n/a","n/a",IF(AN$3&gt;(A7stdlife+$E163),('PTRM input'!$N$149*(1+rvanilla08)^0.5)-SUM($N163:AM163),('PTRM input'!$N$149*(1+rvanilla08)^0.5)/A7stdlife))</f>
        <v>0</v>
      </c>
      <c r="AO163" s="107">
        <f>IF(A7stdlife="n/a","n/a",IF(AO$3&gt;(A7stdlife+$E163),('PTRM input'!$N$149*(1+rvanilla08)^0.5)-SUM($N163:AN163),('PTRM input'!$N$149*(1+rvanilla08)^0.5)/A7stdlife))</f>
        <v>0</v>
      </c>
      <c r="AP163" s="107">
        <f>IF(A7stdlife="n/a","n/a",IF(AP$3&gt;(A7stdlife+$E163),('PTRM input'!$N$149*(1+rvanilla08)^0.5)-SUM($N163:AO163),('PTRM input'!$N$149*(1+rvanilla08)^0.5)/A7stdlife))</f>
        <v>0</v>
      </c>
      <c r="AQ163" s="107">
        <f>IF(A7stdlife="n/a","n/a",IF(AQ$3&gt;(A7stdlife+$E163),('PTRM input'!$N$149*(1+rvanilla08)^0.5)-SUM($N163:AP163),('PTRM input'!$N$149*(1+rvanilla08)^0.5)/A7stdlife))</f>
        <v>0</v>
      </c>
      <c r="AR163" s="107">
        <f>IF(A7stdlife="n/a","n/a",IF(AR$3&gt;(A7stdlife+$E163),('PTRM input'!$N$149*(1+rvanilla08)^0.5)-SUM($N163:AQ163),('PTRM input'!$N$149*(1+rvanilla08)^0.5)/A7stdlife))</f>
        <v>0</v>
      </c>
      <c r="AS163" s="107">
        <f>IF(A7stdlife="n/a","n/a",IF(AS$3&gt;(A7stdlife+$E163),('PTRM input'!$N$149*(1+rvanilla08)^0.5)-SUM($N163:AR163),('PTRM input'!$N$149*(1+rvanilla08)^0.5)/A7stdlife))</f>
        <v>0</v>
      </c>
      <c r="AT163" s="107">
        <f>IF(A7stdlife="n/a","n/a",IF(AT$3&gt;(A7stdlife+$E163),('PTRM input'!$N$149*(1+rvanilla08)^0.5)-SUM($N163:AS163),('PTRM input'!$N$149*(1+rvanilla08)^0.5)/A7stdlife))</f>
        <v>0</v>
      </c>
      <c r="AU163" s="107">
        <f>IF(A7stdlife="n/a","n/a",IF(AU$3&gt;(A7stdlife+$E163),('PTRM input'!$N$149*(1+rvanilla08)^0.5)-SUM($N163:AT163),('PTRM input'!$N$149*(1+rvanilla08)^0.5)/A7stdlife))</f>
        <v>0</v>
      </c>
      <c r="AV163" s="107">
        <f>IF(A7stdlife="n/a","n/a",IF(AV$3&gt;(A7stdlife+$E163),('PTRM input'!$N$149*(1+rvanilla08)^0.5)-SUM($N163:AU163),('PTRM input'!$N$149*(1+rvanilla08)^0.5)/A7stdlife))</f>
        <v>0</v>
      </c>
      <c r="AW163" s="107">
        <f>IF(A7stdlife="n/a","n/a",IF(AW$3&gt;(A7stdlife+$E163),('PTRM input'!$N$149*(1+rvanilla08)^0.5)-SUM($N163:AV163),('PTRM input'!$N$149*(1+rvanilla08)^0.5)/A7stdlife))</f>
        <v>0</v>
      </c>
      <c r="AX163" s="107">
        <f>IF(A7stdlife="n/a","n/a",IF(AX$3&gt;(A7stdlife+$E163),('PTRM input'!$N$149*(1+rvanilla08)^0.5)-SUM($N163:AW163),('PTRM input'!$N$149*(1+rvanilla08)^0.5)/A7stdlife))</f>
        <v>0</v>
      </c>
      <c r="AY163" s="107">
        <f>IF(A7stdlife="n/a","n/a",IF(AY$3&gt;(A7stdlife+$E163),('PTRM input'!$N$149*(1+rvanilla08)^0.5)-SUM($N163:AX163),('PTRM input'!$N$149*(1+rvanilla08)^0.5)/A7stdlife))</f>
        <v>0</v>
      </c>
      <c r="AZ163" s="107">
        <f>IF(A7stdlife="n/a","n/a",IF(AZ$3&gt;(A7stdlife+$E163),('PTRM input'!$N$149*(1+rvanilla08)^0.5)-SUM($N163:AY163),('PTRM input'!$N$149*(1+rvanilla08)^0.5)/A7stdlife))</f>
        <v>0</v>
      </c>
      <c r="BA163" s="107">
        <f>IF(A7stdlife="n/a","n/a",IF(BA$3&gt;(A7stdlife+$E163),('PTRM input'!$N$149*(1+rvanilla08)^0.5)-SUM($N163:AZ163),('PTRM input'!$N$149*(1+rvanilla08)^0.5)/A7stdlife))</f>
        <v>0</v>
      </c>
      <c r="BB163" s="107">
        <f>IF(A7stdlife="n/a","n/a",IF(BB$3&gt;(A7stdlife+$E163),('PTRM input'!$N$149*(1+rvanilla08)^0.5)-SUM($N163:BA163),('PTRM input'!$N$149*(1+rvanilla08)^0.5)/A7stdlife))</f>
        <v>0</v>
      </c>
      <c r="BC163" s="107">
        <f>IF(A7stdlife="n/a","n/a",IF(BC$3&gt;(A7stdlife+$E163),('PTRM input'!$N$149*(1+rvanilla08)^0.5)-SUM($N163:BB163),('PTRM input'!$N$149*(1+rvanilla08)^0.5)/A7stdlife))</f>
        <v>0</v>
      </c>
      <c r="BD163" s="107">
        <f>IF(A7stdlife="n/a","n/a",IF(BD$3&gt;(A7stdlife+$E163),('PTRM input'!$N$149*(1+rvanilla08)^0.5)-SUM($N163:BC163),('PTRM input'!$N$149*(1+rvanilla08)^0.5)/A7stdlife))</f>
        <v>0</v>
      </c>
      <c r="BE163" s="107">
        <f>IF(A7stdlife="n/a","n/a",IF(BE$3&gt;(A7stdlife+$E163),('PTRM input'!$N$149*(1+rvanilla08)^0.5)-SUM($N163:BD163),('PTRM input'!$N$149*(1+rvanilla08)^0.5)/A7stdlife))</f>
        <v>0</v>
      </c>
      <c r="BF163" s="107">
        <f>IF(A7stdlife="n/a","n/a",IF(BF$3&gt;(A7stdlife+$E163),('PTRM input'!$N$149*(1+rvanilla08)^0.5)-SUM($N163:BE163),('PTRM input'!$N$149*(1+rvanilla08)^0.5)/A7stdlife))</f>
        <v>0</v>
      </c>
      <c r="BG163" s="107">
        <f>IF(A7stdlife="n/a","n/a",IF(BG$3&gt;(A7stdlife+$E163),('PTRM input'!$N$149*(1+rvanilla08)^0.5)-SUM($N163:BF163),('PTRM input'!$N$149*(1+rvanilla08)^0.5)/A7stdlife))</f>
        <v>0</v>
      </c>
      <c r="BH163" s="107">
        <f>IF(A7stdlife="n/a","n/a",IF(BH$3&gt;(A7stdlife+$E163),('PTRM input'!$N$149*(1+rvanilla08)^0.5)-SUM($N163:BG163),('PTRM input'!$N$149*(1+rvanilla08)^0.5)/A7stdlife))</f>
        <v>0</v>
      </c>
      <c r="BI163" s="107">
        <f>IF(A7stdlife="n/a","n/a",IF(BI$3&gt;(A7stdlife+$E163),('PTRM input'!$N$149*(1+rvanilla08)^0.5)-SUM($N163:BH163),('PTRM input'!$N$149*(1+rvanilla08)^0.5)/A7stdlife))</f>
        <v>0</v>
      </c>
      <c r="BJ163" s="237"/>
      <c r="BK163" s="237"/>
      <c r="BL163" s="237"/>
      <c r="BM163" s="237"/>
    </row>
    <row r="164" spans="1:65" s="190" customFormat="1" hidden="1" outlineLevel="2">
      <c r="A164" s="237"/>
      <c r="B164" s="33"/>
      <c r="C164" s="32"/>
      <c r="D164" s="1618"/>
      <c r="E164" s="169">
        <v>9</v>
      </c>
      <c r="F164" s="35"/>
      <c r="G164" s="184"/>
      <c r="H164" s="186"/>
      <c r="I164" s="186"/>
      <c r="J164" s="186"/>
      <c r="K164" s="186"/>
      <c r="L164" s="186"/>
      <c r="M164" s="186"/>
      <c r="N164" s="186"/>
      <c r="O164" s="185"/>
      <c r="P164" s="107">
        <f>IF(A7stdlife="n/a","n/a",IF(P$3&gt;(A7stdlife+$E164),('PTRM input'!$O$149*(1+rvanilla09)^0.5)-SUM($O164:O164),('PTRM input'!$O$149*(1+rvanilla09)^0.5)/A7stdlife))</f>
        <v>0</v>
      </c>
      <c r="Q164" s="107">
        <f>IF(A7stdlife="n/a","n/a",IF(Q$3&gt;(A7stdlife+$E164),('PTRM input'!$O$149*(1+rvanilla09)^0.5)-SUM($O164:P164),('PTRM input'!$O$149*(1+rvanilla09)^0.5)/A7stdlife))</f>
        <v>0</v>
      </c>
      <c r="R164" s="107">
        <f>IF(A7stdlife="n/a","n/a",IF(R$3&gt;(A7stdlife+$E164),('PTRM input'!$O$149*(1+rvanilla09)^0.5)-SUM($O164:Q164),('PTRM input'!$O$149*(1+rvanilla09)^0.5)/A7stdlife))</f>
        <v>0</v>
      </c>
      <c r="S164" s="107">
        <f>IF(A7stdlife="n/a","n/a",IF(S$3&gt;(A7stdlife+$E164),('PTRM input'!$O$149*(1+rvanilla09)^0.5)-SUM($O164:R164),('PTRM input'!$O$149*(1+rvanilla09)^0.5)/A7stdlife))</f>
        <v>0</v>
      </c>
      <c r="T164" s="107">
        <f>IF(A7stdlife="n/a","n/a",IF(T$3&gt;(A7stdlife+$E164),('PTRM input'!$O$149*(1+rvanilla09)^0.5)-SUM($O164:S164),('PTRM input'!$O$149*(1+rvanilla09)^0.5)/A7stdlife))</f>
        <v>0</v>
      </c>
      <c r="U164" s="107">
        <f>IF(A7stdlife="n/a","n/a",IF(U$3&gt;(A7stdlife+$E164),('PTRM input'!$O$149*(1+rvanilla09)^0.5)-SUM($O164:T164),('PTRM input'!$O$149*(1+rvanilla09)^0.5)/A7stdlife))</f>
        <v>0</v>
      </c>
      <c r="V164" s="107">
        <f>IF(A7stdlife="n/a","n/a",IF(V$3&gt;(A7stdlife+$E164),('PTRM input'!$O$149*(1+rvanilla09)^0.5)-SUM($O164:U164),('PTRM input'!$O$149*(1+rvanilla09)^0.5)/A7stdlife))</f>
        <v>0</v>
      </c>
      <c r="W164" s="107">
        <f>IF(A7stdlife="n/a","n/a",IF(W$3&gt;(A7stdlife+$E164),('PTRM input'!$O$149*(1+rvanilla09)^0.5)-SUM($O164:V164),('PTRM input'!$O$149*(1+rvanilla09)^0.5)/A7stdlife))</f>
        <v>0</v>
      </c>
      <c r="X164" s="107">
        <f>IF(A7stdlife="n/a","n/a",IF(X$3&gt;(A7stdlife+$E164),('PTRM input'!$O$149*(1+rvanilla09)^0.5)-SUM($O164:W164),('PTRM input'!$O$149*(1+rvanilla09)^0.5)/A7stdlife))</f>
        <v>0</v>
      </c>
      <c r="Y164" s="107">
        <f>IF(A7stdlife="n/a","n/a",IF(Y$3&gt;(A7stdlife+$E164),('PTRM input'!$O$149*(1+rvanilla09)^0.5)-SUM($O164:X164),('PTRM input'!$O$149*(1+rvanilla09)^0.5)/A7stdlife))</f>
        <v>0</v>
      </c>
      <c r="Z164" s="107">
        <f>IF(A7stdlife="n/a","n/a",IF(Z$3&gt;(A7stdlife+$E164),('PTRM input'!$O$149*(1+rvanilla09)^0.5)-SUM($O164:Y164),('PTRM input'!$O$149*(1+rvanilla09)^0.5)/A7stdlife))</f>
        <v>0</v>
      </c>
      <c r="AA164" s="107">
        <f>IF(A7stdlife="n/a","n/a",IF(AA$3&gt;(A7stdlife+$E164),('PTRM input'!$O$149*(1+rvanilla09)^0.5)-SUM($O164:Z164),('PTRM input'!$O$149*(1+rvanilla09)^0.5)/A7stdlife))</f>
        <v>0</v>
      </c>
      <c r="AB164" s="107">
        <f>IF(A7stdlife="n/a","n/a",IF(AB$3&gt;(A7stdlife+$E164),('PTRM input'!$O$149*(1+rvanilla09)^0.5)-SUM($O164:AA164),('PTRM input'!$O$149*(1+rvanilla09)^0.5)/A7stdlife))</f>
        <v>0</v>
      </c>
      <c r="AC164" s="107">
        <f>IF(A7stdlife="n/a","n/a",IF(AC$3&gt;(A7stdlife+$E164),('PTRM input'!$O$149*(1+rvanilla09)^0.5)-SUM($O164:AB164),('PTRM input'!$O$149*(1+rvanilla09)^0.5)/A7stdlife))</f>
        <v>0</v>
      </c>
      <c r="AD164" s="107">
        <f>IF(A7stdlife="n/a","n/a",IF(AD$3&gt;(A7stdlife+$E164),('PTRM input'!$O$149*(1+rvanilla09)^0.5)-SUM($O164:AC164),('PTRM input'!$O$149*(1+rvanilla09)^0.5)/A7stdlife))</f>
        <v>0</v>
      </c>
      <c r="AE164" s="107">
        <f>IF(A7stdlife="n/a","n/a",IF(AE$3&gt;(A7stdlife+$E164),('PTRM input'!$O$149*(1+rvanilla09)^0.5)-SUM($O164:AD164),('PTRM input'!$O$149*(1+rvanilla09)^0.5)/A7stdlife))</f>
        <v>0</v>
      </c>
      <c r="AF164" s="107">
        <f>IF(A7stdlife="n/a","n/a",IF(AF$3&gt;(A7stdlife+$E164),('PTRM input'!$O$149*(1+rvanilla09)^0.5)-SUM($O164:AE164),('PTRM input'!$O$149*(1+rvanilla09)^0.5)/A7stdlife))</f>
        <v>0</v>
      </c>
      <c r="AG164" s="107">
        <f>IF(A7stdlife="n/a","n/a",IF(AG$3&gt;(A7stdlife+$E164),('PTRM input'!$O$149*(1+rvanilla09)^0.5)-SUM($O164:AF164),('PTRM input'!$O$149*(1+rvanilla09)^0.5)/A7stdlife))</f>
        <v>0</v>
      </c>
      <c r="AH164" s="107">
        <f>IF(A7stdlife="n/a","n/a",IF(AH$3&gt;(A7stdlife+$E164),('PTRM input'!$O$149*(1+rvanilla09)^0.5)-SUM($O164:AG164),('PTRM input'!$O$149*(1+rvanilla09)^0.5)/A7stdlife))</f>
        <v>0</v>
      </c>
      <c r="AI164" s="107">
        <f>IF(A7stdlife="n/a","n/a",IF(AI$3&gt;(A7stdlife+$E164),('PTRM input'!$O$149*(1+rvanilla09)^0.5)-SUM($O164:AH164),('PTRM input'!$O$149*(1+rvanilla09)^0.5)/A7stdlife))</f>
        <v>0</v>
      </c>
      <c r="AJ164" s="107">
        <f>IF(A7stdlife="n/a","n/a",IF(AJ$3&gt;(A7stdlife+$E164),('PTRM input'!$O$149*(1+rvanilla09)^0.5)-SUM($O164:AI164),('PTRM input'!$O$149*(1+rvanilla09)^0.5)/A7stdlife))</f>
        <v>0</v>
      </c>
      <c r="AK164" s="107">
        <f>IF(A7stdlife="n/a","n/a",IF(AK$3&gt;(A7stdlife+$E164),('PTRM input'!$O$149*(1+rvanilla09)^0.5)-SUM($O164:AJ164),('PTRM input'!$O$149*(1+rvanilla09)^0.5)/A7stdlife))</f>
        <v>0</v>
      </c>
      <c r="AL164" s="107">
        <f>IF(A7stdlife="n/a","n/a",IF(AL$3&gt;(A7stdlife+$E164),('PTRM input'!$O$149*(1+rvanilla09)^0.5)-SUM($O164:AK164),('PTRM input'!$O$149*(1+rvanilla09)^0.5)/A7stdlife))</f>
        <v>0</v>
      </c>
      <c r="AM164" s="107">
        <f>IF(A7stdlife="n/a","n/a",IF(AM$3&gt;(A7stdlife+$E164),('PTRM input'!$O$149*(1+rvanilla09)^0.5)-SUM($O164:AL164),('PTRM input'!$O$149*(1+rvanilla09)^0.5)/A7stdlife))</f>
        <v>0</v>
      </c>
      <c r="AN164" s="107">
        <f>IF(A7stdlife="n/a","n/a",IF(AN$3&gt;(A7stdlife+$E164),('PTRM input'!$O$149*(1+rvanilla09)^0.5)-SUM($O164:AM164),('PTRM input'!$O$149*(1+rvanilla09)^0.5)/A7stdlife))</f>
        <v>0</v>
      </c>
      <c r="AO164" s="107">
        <f>IF(A7stdlife="n/a","n/a",IF(AO$3&gt;(A7stdlife+$E164),('PTRM input'!$O$149*(1+rvanilla09)^0.5)-SUM($O164:AN164),('PTRM input'!$O$149*(1+rvanilla09)^0.5)/A7stdlife))</f>
        <v>0</v>
      </c>
      <c r="AP164" s="107">
        <f>IF(A7stdlife="n/a","n/a",IF(AP$3&gt;(A7stdlife+$E164),('PTRM input'!$O$149*(1+rvanilla09)^0.5)-SUM($O164:AO164),('PTRM input'!$O$149*(1+rvanilla09)^0.5)/A7stdlife))</f>
        <v>0</v>
      </c>
      <c r="AQ164" s="107">
        <f>IF(A7stdlife="n/a","n/a",IF(AQ$3&gt;(A7stdlife+$E164),('PTRM input'!$O$149*(1+rvanilla09)^0.5)-SUM($O164:AP164),('PTRM input'!$O$149*(1+rvanilla09)^0.5)/A7stdlife))</f>
        <v>0</v>
      </c>
      <c r="AR164" s="107">
        <f>IF(A7stdlife="n/a","n/a",IF(AR$3&gt;(A7stdlife+$E164),('PTRM input'!$O$149*(1+rvanilla09)^0.5)-SUM($O164:AQ164),('PTRM input'!$O$149*(1+rvanilla09)^0.5)/A7stdlife))</f>
        <v>0</v>
      </c>
      <c r="AS164" s="107">
        <f>IF(A7stdlife="n/a","n/a",IF(AS$3&gt;(A7stdlife+$E164),('PTRM input'!$O$149*(1+rvanilla09)^0.5)-SUM($O164:AR164),('PTRM input'!$O$149*(1+rvanilla09)^0.5)/A7stdlife))</f>
        <v>0</v>
      </c>
      <c r="AT164" s="107">
        <f>IF(A7stdlife="n/a","n/a",IF(AT$3&gt;(A7stdlife+$E164),('PTRM input'!$O$149*(1+rvanilla09)^0.5)-SUM($O164:AS164),('PTRM input'!$O$149*(1+rvanilla09)^0.5)/A7stdlife))</f>
        <v>0</v>
      </c>
      <c r="AU164" s="107">
        <f>IF(A7stdlife="n/a","n/a",IF(AU$3&gt;(A7stdlife+$E164),('PTRM input'!$O$149*(1+rvanilla09)^0.5)-SUM($O164:AT164),('PTRM input'!$O$149*(1+rvanilla09)^0.5)/A7stdlife))</f>
        <v>0</v>
      </c>
      <c r="AV164" s="107">
        <f>IF(A7stdlife="n/a","n/a",IF(AV$3&gt;(A7stdlife+$E164),('PTRM input'!$O$149*(1+rvanilla09)^0.5)-SUM($O164:AU164),('PTRM input'!$O$149*(1+rvanilla09)^0.5)/A7stdlife))</f>
        <v>0</v>
      </c>
      <c r="AW164" s="107">
        <f>IF(A7stdlife="n/a","n/a",IF(AW$3&gt;(A7stdlife+$E164),('PTRM input'!$O$149*(1+rvanilla09)^0.5)-SUM($O164:AV164),('PTRM input'!$O$149*(1+rvanilla09)^0.5)/A7stdlife))</f>
        <v>0</v>
      </c>
      <c r="AX164" s="107">
        <f>IF(A7stdlife="n/a","n/a",IF(AX$3&gt;(A7stdlife+$E164),('PTRM input'!$O$149*(1+rvanilla09)^0.5)-SUM($O164:AW164),('PTRM input'!$O$149*(1+rvanilla09)^0.5)/A7stdlife))</f>
        <v>0</v>
      </c>
      <c r="AY164" s="107">
        <f>IF(A7stdlife="n/a","n/a",IF(AY$3&gt;(A7stdlife+$E164),('PTRM input'!$O$149*(1+rvanilla09)^0.5)-SUM($O164:AX164),('PTRM input'!$O$149*(1+rvanilla09)^0.5)/A7stdlife))</f>
        <v>0</v>
      </c>
      <c r="AZ164" s="107">
        <f>IF(A7stdlife="n/a","n/a",IF(AZ$3&gt;(A7stdlife+$E164),('PTRM input'!$O$149*(1+rvanilla09)^0.5)-SUM($O164:AY164),('PTRM input'!$O$149*(1+rvanilla09)^0.5)/A7stdlife))</f>
        <v>0</v>
      </c>
      <c r="BA164" s="107">
        <f>IF(A7stdlife="n/a","n/a",IF(BA$3&gt;(A7stdlife+$E164),('PTRM input'!$O$149*(1+rvanilla09)^0.5)-SUM($O164:AZ164),('PTRM input'!$O$149*(1+rvanilla09)^0.5)/A7stdlife))</f>
        <v>0</v>
      </c>
      <c r="BB164" s="107">
        <f>IF(A7stdlife="n/a","n/a",IF(BB$3&gt;(A7stdlife+$E164),('PTRM input'!$O$149*(1+rvanilla09)^0.5)-SUM($O164:BA164),('PTRM input'!$O$149*(1+rvanilla09)^0.5)/A7stdlife))</f>
        <v>0</v>
      </c>
      <c r="BC164" s="107">
        <f>IF(A7stdlife="n/a","n/a",IF(BC$3&gt;(A7stdlife+$E164),('PTRM input'!$O$149*(1+rvanilla09)^0.5)-SUM($O164:BB164),('PTRM input'!$O$149*(1+rvanilla09)^0.5)/A7stdlife))</f>
        <v>0</v>
      </c>
      <c r="BD164" s="107">
        <f>IF(A7stdlife="n/a","n/a",IF(BD$3&gt;(A7stdlife+$E164),('PTRM input'!$O$149*(1+rvanilla09)^0.5)-SUM($O164:BC164),('PTRM input'!$O$149*(1+rvanilla09)^0.5)/A7stdlife))</f>
        <v>0</v>
      </c>
      <c r="BE164" s="107">
        <f>IF(A7stdlife="n/a","n/a",IF(BE$3&gt;(A7stdlife+$E164),('PTRM input'!$O$149*(1+rvanilla09)^0.5)-SUM($O164:BD164),('PTRM input'!$O$149*(1+rvanilla09)^0.5)/A7stdlife))</f>
        <v>0</v>
      </c>
      <c r="BF164" s="107">
        <f>IF(A7stdlife="n/a","n/a",IF(BF$3&gt;(A7stdlife+$E164),('PTRM input'!$O$149*(1+rvanilla09)^0.5)-SUM($O164:BE164),('PTRM input'!$O$149*(1+rvanilla09)^0.5)/A7stdlife))</f>
        <v>0</v>
      </c>
      <c r="BG164" s="107">
        <f>IF(A7stdlife="n/a","n/a",IF(BG$3&gt;(A7stdlife+$E164),('PTRM input'!$O$149*(1+rvanilla09)^0.5)-SUM($O164:BF164),('PTRM input'!$O$149*(1+rvanilla09)^0.5)/A7stdlife))</f>
        <v>0</v>
      </c>
      <c r="BH164" s="107">
        <f>IF(A7stdlife="n/a","n/a",IF(BH$3&gt;(A7stdlife+$E164),('PTRM input'!$O$149*(1+rvanilla09)^0.5)-SUM($O164:BG164),('PTRM input'!$O$149*(1+rvanilla09)^0.5)/A7stdlife))</f>
        <v>0</v>
      </c>
      <c r="BI164" s="107">
        <f>IF(A7stdlife="n/a","n/a",IF(BI$3&gt;(A7stdlife+$E164),('PTRM input'!$O$149*(1+rvanilla09)^0.5)-SUM($O164:BH164),('PTRM input'!$O$149*(1+rvanilla09)^0.5)/A7stdlife))</f>
        <v>0</v>
      </c>
      <c r="BJ164" s="237"/>
      <c r="BK164" s="237"/>
      <c r="BL164" s="237"/>
      <c r="BM164" s="237"/>
    </row>
    <row r="165" spans="1:65" s="190" customFormat="1" hidden="1" outlineLevel="2">
      <c r="A165" s="237"/>
      <c r="B165" s="33"/>
      <c r="C165" s="32"/>
      <c r="D165" s="1618"/>
      <c r="E165" s="170">
        <v>10</v>
      </c>
      <c r="F165" s="35"/>
      <c r="G165" s="184"/>
      <c r="H165" s="186"/>
      <c r="I165" s="186"/>
      <c r="J165" s="186"/>
      <c r="K165" s="186"/>
      <c r="L165" s="186"/>
      <c r="M165" s="186"/>
      <c r="N165" s="186"/>
      <c r="O165" s="186"/>
      <c r="P165" s="185"/>
      <c r="Q165" s="107">
        <f>IF(A7stdlife="n/a","n/a",IF(Q$3&gt;(A7stdlife+$E165),('PTRM input'!$P$149*(1+rvanilla10)^0.5)-SUM($P165:P165),('PTRM input'!$P$149*(1+rvanilla10)^0.5)/A7stdlife))</f>
        <v>0</v>
      </c>
      <c r="R165" s="107">
        <f>IF(A7stdlife="n/a","n/a",IF(R$3&gt;(A7stdlife+$E165),('PTRM input'!$P$149*(1+rvanilla10)^0.5)-SUM($P165:Q165),('PTRM input'!$P$149*(1+rvanilla10)^0.5)/A7stdlife))</f>
        <v>0</v>
      </c>
      <c r="S165" s="107">
        <f>IF(A7stdlife="n/a","n/a",IF(S$3&gt;(A7stdlife+$E165),('PTRM input'!$P$149*(1+rvanilla10)^0.5)-SUM($P165:R165),('PTRM input'!$P$149*(1+rvanilla10)^0.5)/A7stdlife))</f>
        <v>0</v>
      </c>
      <c r="T165" s="107">
        <f>IF(A7stdlife="n/a","n/a",IF(T$3&gt;(A7stdlife+$E165),('PTRM input'!$P$149*(1+rvanilla10)^0.5)-SUM($P165:S165),('PTRM input'!$P$149*(1+rvanilla10)^0.5)/A7stdlife))</f>
        <v>0</v>
      </c>
      <c r="U165" s="107">
        <f>IF(A7stdlife="n/a","n/a",IF(U$3&gt;(A7stdlife+$E165),('PTRM input'!$P$149*(1+rvanilla10)^0.5)-SUM($P165:T165),('PTRM input'!$P$149*(1+rvanilla10)^0.5)/A7stdlife))</f>
        <v>0</v>
      </c>
      <c r="V165" s="107">
        <f>IF(A7stdlife="n/a","n/a",IF(V$3&gt;(A7stdlife+$E165),('PTRM input'!$P$149*(1+rvanilla10)^0.5)-SUM($P165:U165),('PTRM input'!$P$149*(1+rvanilla10)^0.5)/A7stdlife))</f>
        <v>0</v>
      </c>
      <c r="W165" s="107">
        <f>IF(A7stdlife="n/a","n/a",IF(W$3&gt;(A7stdlife+$E165),('PTRM input'!$P$149*(1+rvanilla10)^0.5)-SUM($P165:V165),('PTRM input'!$P$149*(1+rvanilla10)^0.5)/A7stdlife))</f>
        <v>0</v>
      </c>
      <c r="X165" s="107">
        <f>IF(A7stdlife="n/a","n/a",IF(X$3&gt;(A7stdlife+$E165),('PTRM input'!$P$149*(1+rvanilla10)^0.5)-SUM($P165:W165),('PTRM input'!$P$149*(1+rvanilla10)^0.5)/A7stdlife))</f>
        <v>0</v>
      </c>
      <c r="Y165" s="107">
        <f>IF(A7stdlife="n/a","n/a",IF(Y$3&gt;(A7stdlife+$E165),('PTRM input'!$P$149*(1+rvanilla10)^0.5)-SUM($P165:X165),('PTRM input'!$P$149*(1+rvanilla10)^0.5)/A7stdlife))</f>
        <v>0</v>
      </c>
      <c r="Z165" s="107">
        <f>IF(A7stdlife="n/a","n/a",IF(Z$3&gt;(A7stdlife+$E165),('PTRM input'!$P$149*(1+rvanilla10)^0.5)-SUM($P165:Y165),('PTRM input'!$P$149*(1+rvanilla10)^0.5)/A7stdlife))</f>
        <v>0</v>
      </c>
      <c r="AA165" s="107">
        <f>IF(A7stdlife="n/a","n/a",IF(AA$3&gt;(A7stdlife+$E165),('PTRM input'!$P$149*(1+rvanilla10)^0.5)-SUM($P165:Z165),('PTRM input'!$P$149*(1+rvanilla10)^0.5)/A7stdlife))</f>
        <v>0</v>
      </c>
      <c r="AB165" s="107">
        <f>IF(A7stdlife="n/a","n/a",IF(AB$3&gt;(A7stdlife+$E165),('PTRM input'!$P$149*(1+rvanilla10)^0.5)-SUM($P165:AA165),('PTRM input'!$P$149*(1+rvanilla10)^0.5)/A7stdlife))</f>
        <v>0</v>
      </c>
      <c r="AC165" s="107">
        <f>IF(A7stdlife="n/a","n/a",IF(AC$3&gt;(A7stdlife+$E165),('PTRM input'!$P$149*(1+rvanilla10)^0.5)-SUM($P165:AB165),('PTRM input'!$P$149*(1+rvanilla10)^0.5)/A7stdlife))</f>
        <v>0</v>
      </c>
      <c r="AD165" s="107">
        <f>IF(A7stdlife="n/a","n/a",IF(AD$3&gt;(A7stdlife+$E165),('PTRM input'!$P$149*(1+rvanilla10)^0.5)-SUM($P165:AC165),('PTRM input'!$P$149*(1+rvanilla10)^0.5)/A7stdlife))</f>
        <v>0</v>
      </c>
      <c r="AE165" s="107">
        <f>IF(A7stdlife="n/a","n/a",IF(AE$3&gt;(A7stdlife+$E165),('PTRM input'!$P$149*(1+rvanilla10)^0.5)-SUM($P165:AD165),('PTRM input'!$P$149*(1+rvanilla10)^0.5)/A7stdlife))</f>
        <v>0</v>
      </c>
      <c r="AF165" s="107">
        <f>IF(A7stdlife="n/a","n/a",IF(AF$3&gt;(A7stdlife+$E165),('PTRM input'!$P$149*(1+rvanilla10)^0.5)-SUM($P165:AE165),('PTRM input'!$P$149*(1+rvanilla10)^0.5)/A7stdlife))</f>
        <v>0</v>
      </c>
      <c r="AG165" s="107">
        <f>IF(A7stdlife="n/a","n/a",IF(AG$3&gt;(A7stdlife+$E165),('PTRM input'!$P$149*(1+rvanilla10)^0.5)-SUM($P165:AF165),('PTRM input'!$P$149*(1+rvanilla10)^0.5)/A7stdlife))</f>
        <v>0</v>
      </c>
      <c r="AH165" s="107">
        <f>IF(A7stdlife="n/a","n/a",IF(AH$3&gt;(A7stdlife+$E165),('PTRM input'!$P$149*(1+rvanilla10)^0.5)-SUM($P165:AG165),('PTRM input'!$P$149*(1+rvanilla10)^0.5)/A7stdlife))</f>
        <v>0</v>
      </c>
      <c r="AI165" s="107">
        <f>IF(A7stdlife="n/a","n/a",IF(AI$3&gt;(A7stdlife+$E165),('PTRM input'!$P$149*(1+rvanilla10)^0.5)-SUM($P165:AH165),('PTRM input'!$P$149*(1+rvanilla10)^0.5)/A7stdlife))</f>
        <v>0</v>
      </c>
      <c r="AJ165" s="107">
        <f>IF(A7stdlife="n/a","n/a",IF(AJ$3&gt;(A7stdlife+$E165),('PTRM input'!$P$149*(1+rvanilla10)^0.5)-SUM($P165:AI165),('PTRM input'!$P$149*(1+rvanilla10)^0.5)/A7stdlife))</f>
        <v>0</v>
      </c>
      <c r="AK165" s="107">
        <f>IF(A7stdlife="n/a","n/a",IF(AK$3&gt;(A7stdlife+$E165),('PTRM input'!$P$149*(1+rvanilla10)^0.5)-SUM($P165:AJ165),('PTRM input'!$P$149*(1+rvanilla10)^0.5)/A7stdlife))</f>
        <v>0</v>
      </c>
      <c r="AL165" s="107">
        <f>IF(A7stdlife="n/a","n/a",IF(AL$3&gt;(A7stdlife+$E165),('PTRM input'!$P$149*(1+rvanilla10)^0.5)-SUM($P165:AK165),('PTRM input'!$P$149*(1+rvanilla10)^0.5)/A7stdlife))</f>
        <v>0</v>
      </c>
      <c r="AM165" s="107">
        <f>IF(A7stdlife="n/a","n/a",IF(AM$3&gt;(A7stdlife+$E165),('PTRM input'!$P$149*(1+rvanilla10)^0.5)-SUM($P165:AL165),('PTRM input'!$P$149*(1+rvanilla10)^0.5)/A7stdlife))</f>
        <v>0</v>
      </c>
      <c r="AN165" s="107">
        <f>IF(A7stdlife="n/a","n/a",IF(AN$3&gt;(A7stdlife+$E165),('PTRM input'!$P$149*(1+rvanilla10)^0.5)-SUM($P165:AM165),('PTRM input'!$P$149*(1+rvanilla10)^0.5)/A7stdlife))</f>
        <v>0</v>
      </c>
      <c r="AO165" s="107">
        <f>IF(A7stdlife="n/a","n/a",IF(AO$3&gt;(A7stdlife+$E165),('PTRM input'!$P$149*(1+rvanilla10)^0.5)-SUM($P165:AN165),('PTRM input'!$P$149*(1+rvanilla10)^0.5)/A7stdlife))</f>
        <v>0</v>
      </c>
      <c r="AP165" s="107">
        <f>IF(A7stdlife="n/a","n/a",IF(AP$3&gt;(A7stdlife+$E165),('PTRM input'!$P$149*(1+rvanilla10)^0.5)-SUM($P165:AO165),('PTRM input'!$P$149*(1+rvanilla10)^0.5)/A7stdlife))</f>
        <v>0</v>
      </c>
      <c r="AQ165" s="107">
        <f>IF(A7stdlife="n/a","n/a",IF(AQ$3&gt;(A7stdlife+$E165),('PTRM input'!$P$149*(1+rvanilla10)^0.5)-SUM($P165:AP165),('PTRM input'!$P$149*(1+rvanilla10)^0.5)/A7stdlife))</f>
        <v>0</v>
      </c>
      <c r="AR165" s="107">
        <f>IF(A7stdlife="n/a","n/a",IF(AR$3&gt;(A7stdlife+$E165),('PTRM input'!$P$149*(1+rvanilla10)^0.5)-SUM($P165:AQ165),('PTRM input'!$P$149*(1+rvanilla10)^0.5)/A7stdlife))</f>
        <v>0</v>
      </c>
      <c r="AS165" s="107">
        <f>IF(A7stdlife="n/a","n/a",IF(AS$3&gt;(A7stdlife+$E165),('PTRM input'!$P$149*(1+rvanilla10)^0.5)-SUM($P165:AR165),('PTRM input'!$P$149*(1+rvanilla10)^0.5)/A7stdlife))</f>
        <v>0</v>
      </c>
      <c r="AT165" s="107">
        <f>IF(A7stdlife="n/a","n/a",IF(AT$3&gt;(A7stdlife+$E165),('PTRM input'!$P$149*(1+rvanilla10)^0.5)-SUM($P165:AS165),('PTRM input'!$P$149*(1+rvanilla10)^0.5)/A7stdlife))</f>
        <v>0</v>
      </c>
      <c r="AU165" s="107">
        <f>IF(A7stdlife="n/a","n/a",IF(AU$3&gt;(A7stdlife+$E165),('PTRM input'!$P$149*(1+rvanilla10)^0.5)-SUM($P165:AT165),('PTRM input'!$P$149*(1+rvanilla10)^0.5)/A7stdlife))</f>
        <v>0</v>
      </c>
      <c r="AV165" s="107">
        <f>IF(A7stdlife="n/a","n/a",IF(AV$3&gt;(A7stdlife+$E165),('PTRM input'!$P$149*(1+rvanilla10)^0.5)-SUM($P165:AU165),('PTRM input'!$P$149*(1+rvanilla10)^0.5)/A7stdlife))</f>
        <v>0</v>
      </c>
      <c r="AW165" s="107">
        <f>IF(A7stdlife="n/a","n/a",IF(AW$3&gt;(A7stdlife+$E165),('PTRM input'!$P$149*(1+rvanilla10)^0.5)-SUM($P165:AV165),('PTRM input'!$P$149*(1+rvanilla10)^0.5)/A7stdlife))</f>
        <v>0</v>
      </c>
      <c r="AX165" s="107">
        <f>IF(A7stdlife="n/a","n/a",IF(AX$3&gt;(A7stdlife+$E165),('PTRM input'!$P$149*(1+rvanilla10)^0.5)-SUM($P165:AW165),('PTRM input'!$P$149*(1+rvanilla10)^0.5)/A7stdlife))</f>
        <v>0</v>
      </c>
      <c r="AY165" s="107">
        <f>IF(A7stdlife="n/a","n/a",IF(AY$3&gt;(A7stdlife+$E165),('PTRM input'!$P$149*(1+rvanilla10)^0.5)-SUM($P165:AX165),('PTRM input'!$P$149*(1+rvanilla10)^0.5)/A7stdlife))</f>
        <v>0</v>
      </c>
      <c r="AZ165" s="107">
        <f>IF(A7stdlife="n/a","n/a",IF(AZ$3&gt;(A7stdlife+$E165),('PTRM input'!$P$149*(1+rvanilla10)^0.5)-SUM($P165:AY165),('PTRM input'!$P$149*(1+rvanilla10)^0.5)/A7stdlife))</f>
        <v>0</v>
      </c>
      <c r="BA165" s="107">
        <f>IF(A7stdlife="n/a","n/a",IF(BA$3&gt;(A7stdlife+$E165),('PTRM input'!$P$149*(1+rvanilla10)^0.5)-SUM($P165:AZ165),('PTRM input'!$P$149*(1+rvanilla10)^0.5)/A7stdlife))</f>
        <v>0</v>
      </c>
      <c r="BB165" s="107">
        <f>IF(A7stdlife="n/a","n/a",IF(BB$3&gt;(A7stdlife+$E165),('PTRM input'!$P$149*(1+rvanilla10)^0.5)-SUM($P165:BA165),('PTRM input'!$P$149*(1+rvanilla10)^0.5)/A7stdlife))</f>
        <v>0</v>
      </c>
      <c r="BC165" s="107">
        <f>IF(A7stdlife="n/a","n/a",IF(BC$3&gt;(A7stdlife+$E165),('PTRM input'!$P$149*(1+rvanilla10)^0.5)-SUM($P165:BB165),('PTRM input'!$P$149*(1+rvanilla10)^0.5)/A7stdlife))</f>
        <v>0</v>
      </c>
      <c r="BD165" s="107">
        <f>IF(A7stdlife="n/a","n/a",IF(BD$3&gt;(A7stdlife+$E165),('PTRM input'!$P$149*(1+rvanilla10)^0.5)-SUM($P165:BC165),('PTRM input'!$P$149*(1+rvanilla10)^0.5)/A7stdlife))</f>
        <v>0</v>
      </c>
      <c r="BE165" s="107">
        <f>IF(A7stdlife="n/a","n/a",IF(BE$3&gt;(A7stdlife+$E165),('PTRM input'!$P$149*(1+rvanilla10)^0.5)-SUM($P165:BD165),('PTRM input'!$P$149*(1+rvanilla10)^0.5)/A7stdlife))</f>
        <v>0</v>
      </c>
      <c r="BF165" s="107">
        <f>IF(A7stdlife="n/a","n/a",IF(BF$3&gt;(A7stdlife+$E165),('PTRM input'!$P$149*(1+rvanilla10)^0.5)-SUM($P165:BE165),('PTRM input'!$P$149*(1+rvanilla10)^0.5)/A7stdlife))</f>
        <v>0</v>
      </c>
      <c r="BG165" s="107">
        <f>IF(A7stdlife="n/a","n/a",IF(BG$3&gt;(A7stdlife+$E165),('PTRM input'!$P$149*(1+rvanilla10)^0.5)-SUM($P165:BF165),('PTRM input'!$P$149*(1+rvanilla10)^0.5)/A7stdlife))</f>
        <v>0</v>
      </c>
      <c r="BH165" s="107">
        <f>IF(A7stdlife="n/a","n/a",IF(BH$3&gt;(A7stdlife+$E165),('PTRM input'!$P$149*(1+rvanilla10)^0.5)-SUM($P165:BG165),('PTRM input'!$P$149*(1+rvanilla10)^0.5)/A7stdlife))</f>
        <v>0</v>
      </c>
      <c r="BI165" s="107">
        <f>IF(A7stdlife="n/a","n/a",IF(BI$3&gt;(A7stdlife+$E165),('PTRM input'!$P$149*(1+rvanilla10)^0.5)-SUM($P165:BH165),('PTRM input'!$P$149*(1+rvanilla10)^0.5)/A7stdlife))</f>
        <v>0</v>
      </c>
      <c r="BJ165" s="237"/>
      <c r="BK165" s="237"/>
      <c r="BL165" s="237"/>
      <c r="BM165" s="237"/>
    </row>
    <row r="166" spans="1:65" s="190" customFormat="1" hidden="1" outlineLevel="1">
      <c r="A166" s="237"/>
      <c r="B166" s="18"/>
      <c r="C166" s="33">
        <f>Asset7</f>
        <v>0</v>
      </c>
      <c r="D166" s="18"/>
      <c r="E166" s="18"/>
      <c r="F166" s="31"/>
      <c r="G166" s="104">
        <f t="shared" ref="G166:AL166" si="49">SUM(G154:G165)</f>
        <v>0</v>
      </c>
      <c r="H166" s="104">
        <f t="shared" si="49"/>
        <v>0</v>
      </c>
      <c r="I166" s="104">
        <f t="shared" si="49"/>
        <v>0</v>
      </c>
      <c r="J166" s="104">
        <f t="shared" si="49"/>
        <v>0</v>
      </c>
      <c r="K166" s="104">
        <f t="shared" si="49"/>
        <v>0</v>
      </c>
      <c r="L166" s="104">
        <f t="shared" si="49"/>
        <v>0</v>
      </c>
      <c r="M166" s="104">
        <f t="shared" si="49"/>
        <v>0</v>
      </c>
      <c r="N166" s="104">
        <f t="shared" si="49"/>
        <v>0</v>
      </c>
      <c r="O166" s="104">
        <f t="shared" si="49"/>
        <v>0</v>
      </c>
      <c r="P166" s="104">
        <f t="shared" si="49"/>
        <v>0</v>
      </c>
      <c r="Q166" s="104">
        <f t="shared" si="49"/>
        <v>0</v>
      </c>
      <c r="R166" s="104">
        <f t="shared" si="49"/>
        <v>0</v>
      </c>
      <c r="S166" s="104">
        <f t="shared" si="49"/>
        <v>0</v>
      </c>
      <c r="T166" s="104">
        <f t="shared" si="49"/>
        <v>0</v>
      </c>
      <c r="U166" s="104">
        <f t="shared" si="49"/>
        <v>0</v>
      </c>
      <c r="V166" s="104">
        <f t="shared" si="49"/>
        <v>0</v>
      </c>
      <c r="W166" s="104">
        <f t="shared" si="49"/>
        <v>0</v>
      </c>
      <c r="X166" s="104">
        <f t="shared" si="49"/>
        <v>0</v>
      </c>
      <c r="Y166" s="104">
        <f t="shared" si="49"/>
        <v>0</v>
      </c>
      <c r="Z166" s="104">
        <f t="shared" si="49"/>
        <v>0</v>
      </c>
      <c r="AA166" s="104">
        <f t="shared" si="49"/>
        <v>0</v>
      </c>
      <c r="AB166" s="104">
        <f t="shared" si="49"/>
        <v>0</v>
      </c>
      <c r="AC166" s="104">
        <f t="shared" si="49"/>
        <v>0</v>
      </c>
      <c r="AD166" s="104">
        <f t="shared" si="49"/>
        <v>0</v>
      </c>
      <c r="AE166" s="104">
        <f t="shared" si="49"/>
        <v>0</v>
      </c>
      <c r="AF166" s="104">
        <f t="shared" si="49"/>
        <v>0</v>
      </c>
      <c r="AG166" s="104">
        <f t="shared" si="49"/>
        <v>0</v>
      </c>
      <c r="AH166" s="104">
        <f t="shared" si="49"/>
        <v>0</v>
      </c>
      <c r="AI166" s="104">
        <f t="shared" si="49"/>
        <v>0</v>
      </c>
      <c r="AJ166" s="104">
        <f t="shared" si="49"/>
        <v>0</v>
      </c>
      <c r="AK166" s="104">
        <f t="shared" si="49"/>
        <v>0</v>
      </c>
      <c r="AL166" s="104">
        <f t="shared" si="49"/>
        <v>0</v>
      </c>
      <c r="AM166" s="104">
        <f t="shared" ref="AM166:BI166" si="50">SUM(AM154:AM165)</f>
        <v>0</v>
      </c>
      <c r="AN166" s="104">
        <f t="shared" si="50"/>
        <v>0</v>
      </c>
      <c r="AO166" s="104">
        <f t="shared" si="50"/>
        <v>0</v>
      </c>
      <c r="AP166" s="104">
        <f t="shared" si="50"/>
        <v>0</v>
      </c>
      <c r="AQ166" s="104">
        <f t="shared" si="50"/>
        <v>0</v>
      </c>
      <c r="AR166" s="104">
        <f t="shared" si="50"/>
        <v>0</v>
      </c>
      <c r="AS166" s="104">
        <f t="shared" si="50"/>
        <v>0</v>
      </c>
      <c r="AT166" s="104">
        <f t="shared" si="50"/>
        <v>0</v>
      </c>
      <c r="AU166" s="104">
        <f t="shared" si="50"/>
        <v>0</v>
      </c>
      <c r="AV166" s="104">
        <f t="shared" si="50"/>
        <v>0</v>
      </c>
      <c r="AW166" s="104">
        <f t="shared" si="50"/>
        <v>0</v>
      </c>
      <c r="AX166" s="104">
        <f t="shared" si="50"/>
        <v>0</v>
      </c>
      <c r="AY166" s="104">
        <f t="shared" si="50"/>
        <v>0</v>
      </c>
      <c r="AZ166" s="104">
        <f t="shared" si="50"/>
        <v>0</v>
      </c>
      <c r="BA166" s="104">
        <f t="shared" si="50"/>
        <v>0</v>
      </c>
      <c r="BB166" s="104">
        <f t="shared" si="50"/>
        <v>0</v>
      </c>
      <c r="BC166" s="104">
        <f t="shared" si="50"/>
        <v>0</v>
      </c>
      <c r="BD166" s="104">
        <f t="shared" si="50"/>
        <v>0</v>
      </c>
      <c r="BE166" s="104">
        <f t="shared" si="50"/>
        <v>0</v>
      </c>
      <c r="BF166" s="104">
        <f t="shared" si="50"/>
        <v>0</v>
      </c>
      <c r="BG166" s="104">
        <f t="shared" si="50"/>
        <v>0</v>
      </c>
      <c r="BH166" s="104">
        <f t="shared" si="50"/>
        <v>0</v>
      </c>
      <c r="BI166" s="104">
        <f t="shared" si="50"/>
        <v>0</v>
      </c>
      <c r="BJ166" s="237"/>
      <c r="BK166" s="237"/>
      <c r="BL166" s="237"/>
      <c r="BM166" s="237"/>
    </row>
    <row r="167" spans="1:65" s="190" customFormat="1" ht="12.75" hidden="1" customHeight="1" outlineLevel="2">
      <c r="A167" s="237"/>
      <c r="B167" s="37">
        <f>C179</f>
        <v>0</v>
      </c>
      <c r="C167" s="38"/>
      <c r="D167" s="39" t="s">
        <v>58</v>
      </c>
      <c r="E167" s="38"/>
      <c r="F167" s="40"/>
      <c r="G167" s="106">
        <f>IF(G$3&gt;A8remlife,A8value-SUM($F167:F167),IF(A8remlife="N/A","n/a",A8value/A8remlife))</f>
        <v>0</v>
      </c>
      <c r="H167" s="106">
        <f>IF(H$3&gt;A8remlife,A8value-SUM($F167:G167),IF(A8remlife="N/A","n/a",A8value/A8remlife))</f>
        <v>0</v>
      </c>
      <c r="I167" s="106">
        <f>IF(I$3&gt;A8remlife,A8value-SUM($F167:H167),IF(A8remlife="N/A","n/a",A8value/A8remlife))</f>
        <v>0</v>
      </c>
      <c r="J167" s="106">
        <f>IF(J$3&gt;A8remlife,A8value-SUM($F167:I167),IF(A8remlife="N/A","n/a",A8value/A8remlife))</f>
        <v>0</v>
      </c>
      <c r="K167" s="106">
        <f>IF(K$3&gt;A8remlife,A8value-SUM($F167:J167),IF(A8remlife="N/A","n/a",A8value/A8remlife))</f>
        <v>0</v>
      </c>
      <c r="L167" s="106">
        <f>IF(L$3&gt;A8remlife,A8value-SUM($F167:K167),IF(A8remlife="N/A","n/a",A8value/A8remlife))</f>
        <v>0</v>
      </c>
      <c r="M167" s="106">
        <f>IF(M$3&gt;A8remlife,A8value-SUM($F167:L167),IF(A8remlife="N/A","n/a",A8value/A8remlife))</f>
        <v>0</v>
      </c>
      <c r="N167" s="106">
        <f>IF(N$3&gt;A8remlife,A8value-SUM($F167:M167),IF(A8remlife="N/A","n/a",A8value/A8remlife))</f>
        <v>0</v>
      </c>
      <c r="O167" s="106">
        <f>IF(O$3&gt;A8remlife,A8value-SUM($F167:N167),IF(A8remlife="N/A","n/a",A8value/A8remlife))</f>
        <v>0</v>
      </c>
      <c r="P167" s="106">
        <f>IF(P$3&gt;A8remlife,A8value-SUM($F167:O167),IF(A8remlife="N/A","n/a",A8value/A8remlife))</f>
        <v>0</v>
      </c>
      <c r="Q167" s="106">
        <f>IF(Q$3&gt;A8remlife,A8value-SUM($F167:P167),IF(A8remlife="N/A","n/a",A8value/A8remlife))</f>
        <v>0</v>
      </c>
      <c r="R167" s="106">
        <f>IF(R$3&gt;A8remlife,A8value-SUM($F167:Q167),IF(A8remlife="N/A","n/a",A8value/A8remlife))</f>
        <v>0</v>
      </c>
      <c r="S167" s="106">
        <f>IF(S$3&gt;A8remlife,A8value-SUM($F167:R167),IF(A8remlife="N/A","n/a",A8value/A8remlife))</f>
        <v>0</v>
      </c>
      <c r="T167" s="106">
        <f>IF(T$3&gt;A8remlife,A8value-SUM($F167:S167),IF(A8remlife="N/A","n/a",A8value/A8remlife))</f>
        <v>0</v>
      </c>
      <c r="U167" s="106">
        <f>IF(U$3&gt;A8remlife,A8value-SUM($F167:T167),IF(A8remlife="N/A","n/a",A8value/A8remlife))</f>
        <v>0</v>
      </c>
      <c r="V167" s="106">
        <f>IF(V$3&gt;A8remlife,A8value-SUM($F167:U167),IF(A8remlife="N/A","n/a",A8value/A8remlife))</f>
        <v>0</v>
      </c>
      <c r="W167" s="106">
        <f>IF(W$3&gt;A8remlife,A8value-SUM($F167:V167),IF(A8remlife="N/A","n/a",A8value/A8remlife))</f>
        <v>0</v>
      </c>
      <c r="X167" s="106">
        <f>IF(X$3&gt;A8remlife,A8value-SUM($F167:W167),IF(A8remlife="N/A","n/a",A8value/A8remlife))</f>
        <v>0</v>
      </c>
      <c r="Y167" s="106">
        <f>IF(Y$3&gt;A8remlife,A8value-SUM($F167:X167),IF(A8remlife="N/A","n/a",A8value/A8remlife))</f>
        <v>0</v>
      </c>
      <c r="Z167" s="106">
        <f>IF(Z$3&gt;A8remlife,A8value-SUM($F167:Y167),IF(A8remlife="N/A","n/a",A8value/A8remlife))</f>
        <v>0</v>
      </c>
      <c r="AA167" s="106">
        <f>IF(AA$3&gt;A8remlife,A8value-SUM($F167:Z167),IF(A8remlife="N/A","n/a",A8value/A8remlife))</f>
        <v>0</v>
      </c>
      <c r="AB167" s="106">
        <f>IF(AB$3&gt;A8remlife,A8value-SUM($F167:AA167),IF(A8remlife="N/A","n/a",A8value/A8remlife))</f>
        <v>0</v>
      </c>
      <c r="AC167" s="106">
        <f>IF(AC$3&gt;A8remlife,A8value-SUM($F167:AB167),IF(A8remlife="N/A","n/a",A8value/A8remlife))</f>
        <v>0</v>
      </c>
      <c r="AD167" s="106">
        <f>IF(AD$3&gt;A8remlife,A8value-SUM($F167:AC167),IF(A8remlife="N/A","n/a",A8value/A8remlife))</f>
        <v>0</v>
      </c>
      <c r="AE167" s="106">
        <f>IF(AE$3&gt;A8remlife,A8value-SUM($F167:AD167),IF(A8remlife="N/A","n/a",A8value/A8remlife))</f>
        <v>0</v>
      </c>
      <c r="AF167" s="106">
        <f>IF(AF$3&gt;A8remlife,A8value-SUM($F167:AE167),IF(A8remlife="N/A","n/a",A8value/A8remlife))</f>
        <v>0</v>
      </c>
      <c r="AG167" s="106">
        <f>IF(AG$3&gt;A8remlife,A8value-SUM($F167:AF167),IF(A8remlife="N/A","n/a",A8value/A8remlife))</f>
        <v>0</v>
      </c>
      <c r="AH167" s="106">
        <f>IF(AH$3&gt;A8remlife,A8value-SUM($F167:AG167),IF(A8remlife="N/A","n/a",A8value/A8remlife))</f>
        <v>0</v>
      </c>
      <c r="AI167" s="106">
        <f>IF(AI$3&gt;A8remlife,A8value-SUM($F167:AH167),IF(A8remlife="N/A","n/a",A8value/A8remlife))</f>
        <v>0</v>
      </c>
      <c r="AJ167" s="106">
        <f>IF(AJ$3&gt;A8remlife,A8value-SUM($F167:AI167),IF(A8remlife="N/A","n/a",A8value/A8remlife))</f>
        <v>0</v>
      </c>
      <c r="AK167" s="106">
        <f>IF(AK$3&gt;A8remlife,A8value-SUM($F167:AJ167),IF(A8remlife="N/A","n/a",A8value/A8remlife))</f>
        <v>0</v>
      </c>
      <c r="AL167" s="106">
        <f>IF(AL$3&gt;A8remlife,A8value-SUM($F167:AK167),IF(A8remlife="N/A","n/a",A8value/A8remlife))</f>
        <v>0</v>
      </c>
      <c r="AM167" s="106">
        <f>IF(AM$3&gt;A8remlife,A8value-SUM($F167:AL167),IF(A8remlife="N/A","n/a",A8value/A8remlife))</f>
        <v>0</v>
      </c>
      <c r="AN167" s="106">
        <f>IF(AN$3&gt;A8remlife,A8value-SUM($F167:AM167),IF(A8remlife="N/A","n/a",A8value/A8remlife))</f>
        <v>0</v>
      </c>
      <c r="AO167" s="106">
        <f>IF(AO$3&gt;A8remlife,A8value-SUM($F167:AN167),IF(A8remlife="N/A","n/a",A8value/A8remlife))</f>
        <v>0</v>
      </c>
      <c r="AP167" s="106">
        <f>IF(AP$3&gt;A8remlife,A8value-SUM($F167:AO167),IF(A8remlife="N/A","n/a",A8value/A8remlife))</f>
        <v>0</v>
      </c>
      <c r="AQ167" s="106">
        <f>IF(AQ$3&gt;A8remlife,A8value-SUM($F167:AP167),IF(A8remlife="N/A","n/a",A8value/A8remlife))</f>
        <v>0</v>
      </c>
      <c r="AR167" s="106">
        <f>IF(AR$3&gt;A8remlife,A8value-SUM($F167:AQ167),IF(A8remlife="N/A","n/a",A8value/A8remlife))</f>
        <v>0</v>
      </c>
      <c r="AS167" s="106">
        <f>IF(AS$3&gt;A8remlife,A8value-SUM($F167:AR167),IF(A8remlife="N/A","n/a",A8value/A8remlife))</f>
        <v>0</v>
      </c>
      <c r="AT167" s="106">
        <f>IF(AT$3&gt;A8remlife,A8value-SUM($F167:AS167),IF(A8remlife="N/A","n/a",A8value/A8remlife))</f>
        <v>0</v>
      </c>
      <c r="AU167" s="106">
        <f>IF(AU$3&gt;A8remlife,A8value-SUM($F167:AT167),IF(A8remlife="N/A","n/a",A8value/A8remlife))</f>
        <v>0</v>
      </c>
      <c r="AV167" s="106">
        <f>IF(AV$3&gt;A8remlife,A8value-SUM($F167:AU167),IF(A8remlife="N/A","n/a",A8value/A8remlife))</f>
        <v>0</v>
      </c>
      <c r="AW167" s="106">
        <f>IF(AW$3&gt;A8remlife,A8value-SUM($F167:AV167),IF(A8remlife="N/A","n/a",A8value/A8remlife))</f>
        <v>0</v>
      </c>
      <c r="AX167" s="106">
        <f>IF(AX$3&gt;A8remlife,A8value-SUM($F167:AW167),IF(A8remlife="N/A","n/a",A8value/A8remlife))</f>
        <v>0</v>
      </c>
      <c r="AY167" s="106">
        <f>IF(AY$3&gt;A8remlife,A8value-SUM($F167:AX167),IF(A8remlife="N/A","n/a",A8value/A8remlife))</f>
        <v>0</v>
      </c>
      <c r="AZ167" s="106">
        <f>IF(AZ$3&gt;A8remlife,A8value-SUM($F167:AY167),IF(A8remlife="N/A","n/a",A8value/A8remlife))</f>
        <v>0</v>
      </c>
      <c r="BA167" s="106">
        <f>IF(BA$3&gt;A8remlife,A8value-SUM($F167:AZ167),IF(A8remlife="N/A","n/a",A8value/A8remlife))</f>
        <v>0</v>
      </c>
      <c r="BB167" s="106">
        <f>IF(BB$3&gt;A8remlife,A8value-SUM($F167:BA167),IF(A8remlife="N/A","n/a",A8value/A8remlife))</f>
        <v>0</v>
      </c>
      <c r="BC167" s="106">
        <f>IF(BC$3&gt;A8remlife,A8value-SUM($F167:BB167),IF(A8remlife="N/A","n/a",A8value/A8remlife))</f>
        <v>0</v>
      </c>
      <c r="BD167" s="106">
        <f>IF(BD$3&gt;A8remlife,A8value-SUM($F167:BC167),IF(A8remlife="N/A","n/a",A8value/A8remlife))</f>
        <v>0</v>
      </c>
      <c r="BE167" s="106">
        <f>IF(BE$3&gt;A8remlife,A8value-SUM($F167:BD167),IF(A8remlife="N/A","n/a",A8value/A8remlife))</f>
        <v>0</v>
      </c>
      <c r="BF167" s="106">
        <f>IF(BF$3&gt;A8remlife,A8value-SUM($F167:BE167),IF(A8remlife="N/A","n/a",A8value/A8remlife))</f>
        <v>0</v>
      </c>
      <c r="BG167" s="106">
        <f>IF(BG$3&gt;A8remlife,A8value-SUM($F167:BF167),IF(A8remlife="N/A","n/a",A8value/A8remlife))</f>
        <v>0</v>
      </c>
      <c r="BH167" s="106">
        <f>IF(BH$3&gt;A8remlife,A8value-SUM($F167:BG167),IF(A8remlife="N/A","n/a",A8value/A8remlife))</f>
        <v>0</v>
      </c>
      <c r="BI167" s="106">
        <f>IF(BI$3&gt;A8remlife,A8value-SUM($F167:BH167),IF(A8remlife="N/A","n/a",A8value/A8remlife))</f>
        <v>0</v>
      </c>
      <c r="BJ167" s="237"/>
      <c r="BK167" s="237"/>
      <c r="BL167" s="237"/>
      <c r="BM167" s="237"/>
    </row>
    <row r="168" spans="1:65" s="190" customFormat="1" ht="12.75" hidden="1" customHeight="1" outlineLevel="2">
      <c r="A168" s="237"/>
      <c r="B168" s="33"/>
      <c r="C168" s="32"/>
      <c r="D168" s="1618" t="s">
        <v>357</v>
      </c>
      <c r="E168" s="169">
        <v>0</v>
      </c>
      <c r="F168" s="35"/>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237"/>
      <c r="BK168" s="237"/>
      <c r="BL168" s="237"/>
      <c r="BM168" s="237"/>
    </row>
    <row r="169" spans="1:65" s="190" customFormat="1" hidden="1" outlineLevel="2">
      <c r="A169" s="237"/>
      <c r="B169" s="33"/>
      <c r="C169" s="32"/>
      <c r="D169" s="1618"/>
      <c r="E169" s="169">
        <v>1</v>
      </c>
      <c r="F169" s="35"/>
      <c r="G169" s="183"/>
      <c r="H169" s="107">
        <f>IF(A8stdlife="n/a","n/a",IF(H$3&gt;(A8stdlife+$E169),('PTRM input'!$G$150*(1+rvanilla01)^0.5)-SUM($G169:G169),('PTRM input'!$G$150*(1+rvanilla01)^0.5)/A8stdlife))</f>
        <v>0</v>
      </c>
      <c r="I169" s="107">
        <f>IF(A8stdlife="n/a","n/a",IF(I$3&gt;(A8stdlife+$E169),('PTRM input'!$G$150*(1+rvanilla01)^0.5)-SUM($G169:H169),('PTRM input'!$G$150*(1+rvanilla01)^0.5)/A8stdlife))</f>
        <v>0</v>
      </c>
      <c r="J169" s="107">
        <f>IF(A8stdlife="n/a","n/a",IF(J$3&gt;(A8stdlife+$E169),('PTRM input'!$G$150*(1+rvanilla01)^0.5)-SUM($G169:I169),('PTRM input'!$G$150*(1+rvanilla01)^0.5)/A8stdlife))</f>
        <v>0</v>
      </c>
      <c r="K169" s="107">
        <f>IF(A8stdlife="n/a","n/a",IF(K$3&gt;(A8stdlife+$E169),('PTRM input'!$G$150*(1+rvanilla01)^0.5)-SUM($G169:J169),('PTRM input'!$G$150*(1+rvanilla01)^0.5)/A8stdlife))</f>
        <v>0</v>
      </c>
      <c r="L169" s="107">
        <f>IF(A8stdlife="n/a","n/a",IF(L$3&gt;(A8stdlife+$E169),('PTRM input'!$G$150*(1+rvanilla01)^0.5)-SUM($G169:K169),('PTRM input'!$G$150*(1+rvanilla01)^0.5)/A8stdlife))</f>
        <v>0</v>
      </c>
      <c r="M169" s="107">
        <f>IF(A8stdlife="n/a","n/a",IF(M$3&gt;(A8stdlife+$E169),('PTRM input'!$G$150*(1+rvanilla01)^0.5)-SUM($G169:L169),('PTRM input'!$G$150*(1+rvanilla01)^0.5)/A8stdlife))</f>
        <v>0</v>
      </c>
      <c r="N169" s="107">
        <f>IF(A8stdlife="n/a","n/a",IF(N$3&gt;(A8stdlife+$E169),('PTRM input'!$G$150*(1+rvanilla01)^0.5)-SUM($G169:M169),('PTRM input'!$G$150*(1+rvanilla01)^0.5)/A8stdlife))</f>
        <v>0</v>
      </c>
      <c r="O169" s="107">
        <f>IF(A8stdlife="n/a","n/a",IF(O$3&gt;(A8stdlife+$E169),('PTRM input'!$G$150*(1+rvanilla01)^0.5)-SUM($G169:N169),('PTRM input'!$G$150*(1+rvanilla01)^0.5)/A8stdlife))</f>
        <v>0</v>
      </c>
      <c r="P169" s="107">
        <f>IF(A8stdlife="n/a","n/a",IF(P$3&gt;(A8stdlife+$E169),('PTRM input'!$G$150*(1+rvanilla01)^0.5)-SUM($G169:O169),('PTRM input'!$G$150*(1+rvanilla01)^0.5)/A8stdlife))</f>
        <v>0</v>
      </c>
      <c r="Q169" s="107">
        <f>IF(A8stdlife="n/a","n/a",IF(Q$3&gt;(A8stdlife+$E169),('PTRM input'!$G$150*(1+rvanilla01)^0.5)-SUM($G169:P169),('PTRM input'!$G$150*(1+rvanilla01)^0.5)/A8stdlife))</f>
        <v>0</v>
      </c>
      <c r="R169" s="107">
        <f>IF(A8stdlife="n/a","n/a",IF(R$3&gt;(A8stdlife+$E169),('PTRM input'!$G$150*(1+rvanilla01)^0.5)-SUM($G169:Q169),('PTRM input'!$G$150*(1+rvanilla01)^0.5)/A8stdlife))</f>
        <v>0</v>
      </c>
      <c r="S169" s="107">
        <f>IF(A8stdlife="n/a","n/a",IF(S$3&gt;(A8stdlife+$E169),('PTRM input'!$G$150*(1+rvanilla01)^0.5)-SUM($G169:R169),('PTRM input'!$G$150*(1+rvanilla01)^0.5)/A8stdlife))</f>
        <v>0</v>
      </c>
      <c r="T169" s="107">
        <f>IF(A8stdlife="n/a","n/a",IF(T$3&gt;(A8stdlife+$E169),('PTRM input'!$G$150*(1+rvanilla01)^0.5)-SUM($G169:S169),('PTRM input'!$G$150*(1+rvanilla01)^0.5)/A8stdlife))</f>
        <v>0</v>
      </c>
      <c r="U169" s="107">
        <f>IF(A8stdlife="n/a","n/a",IF(U$3&gt;(A8stdlife+$E169),('PTRM input'!$G$150*(1+rvanilla01)^0.5)-SUM($G169:T169),('PTRM input'!$G$150*(1+rvanilla01)^0.5)/A8stdlife))</f>
        <v>0</v>
      </c>
      <c r="V169" s="107">
        <f>IF(A8stdlife="n/a","n/a",IF(V$3&gt;(A8stdlife+$E169),('PTRM input'!$G$150*(1+rvanilla01)^0.5)-SUM($G169:U169),('PTRM input'!$G$150*(1+rvanilla01)^0.5)/A8stdlife))</f>
        <v>0</v>
      </c>
      <c r="W169" s="107">
        <f>IF(A8stdlife="n/a","n/a",IF(W$3&gt;(A8stdlife+$E169),('PTRM input'!$G$150*(1+rvanilla01)^0.5)-SUM($G169:V169),('PTRM input'!$G$150*(1+rvanilla01)^0.5)/A8stdlife))</f>
        <v>0</v>
      </c>
      <c r="X169" s="107">
        <f>IF(A8stdlife="n/a","n/a",IF(X$3&gt;(A8stdlife+$E169),('PTRM input'!$G$150*(1+rvanilla01)^0.5)-SUM($G169:W169),('PTRM input'!$G$150*(1+rvanilla01)^0.5)/A8stdlife))</f>
        <v>0</v>
      </c>
      <c r="Y169" s="107">
        <f>IF(A8stdlife="n/a","n/a",IF(Y$3&gt;(A8stdlife+$E169),('PTRM input'!$G$150*(1+rvanilla01)^0.5)-SUM($G169:X169),('PTRM input'!$G$150*(1+rvanilla01)^0.5)/A8stdlife))</f>
        <v>0</v>
      </c>
      <c r="Z169" s="107">
        <f>IF(A8stdlife="n/a","n/a",IF(Z$3&gt;(A8stdlife+$E169),('PTRM input'!$G$150*(1+rvanilla01)^0.5)-SUM($G169:Y169),('PTRM input'!$G$150*(1+rvanilla01)^0.5)/A8stdlife))</f>
        <v>0</v>
      </c>
      <c r="AA169" s="107">
        <f>IF(A8stdlife="n/a","n/a",IF(AA$3&gt;(A8stdlife+$E169),('PTRM input'!$G$150*(1+rvanilla01)^0.5)-SUM($G169:Z169),('PTRM input'!$G$150*(1+rvanilla01)^0.5)/A8stdlife))</f>
        <v>0</v>
      </c>
      <c r="AB169" s="107">
        <f>IF(A8stdlife="n/a","n/a",IF(AB$3&gt;(A8stdlife+$E169),('PTRM input'!$G$150*(1+rvanilla01)^0.5)-SUM($G169:AA169),('PTRM input'!$G$150*(1+rvanilla01)^0.5)/A8stdlife))</f>
        <v>0</v>
      </c>
      <c r="AC169" s="107">
        <f>IF(A8stdlife="n/a","n/a",IF(AC$3&gt;(A8stdlife+$E169),('PTRM input'!$G$150*(1+rvanilla01)^0.5)-SUM($G169:AB169),('PTRM input'!$G$150*(1+rvanilla01)^0.5)/A8stdlife))</f>
        <v>0</v>
      </c>
      <c r="AD169" s="107">
        <f>IF(A8stdlife="n/a","n/a",IF(AD$3&gt;(A8stdlife+$E169),('PTRM input'!$G$150*(1+rvanilla01)^0.5)-SUM($G169:AC169),('PTRM input'!$G$150*(1+rvanilla01)^0.5)/A8stdlife))</f>
        <v>0</v>
      </c>
      <c r="AE169" s="107">
        <f>IF(A8stdlife="n/a","n/a",IF(AE$3&gt;(A8stdlife+$E169),('PTRM input'!$G$150*(1+rvanilla01)^0.5)-SUM($G169:AD169),('PTRM input'!$G$150*(1+rvanilla01)^0.5)/A8stdlife))</f>
        <v>0</v>
      </c>
      <c r="AF169" s="107">
        <f>IF(A8stdlife="n/a","n/a",IF(AF$3&gt;(A8stdlife+$E169),('PTRM input'!$G$150*(1+rvanilla01)^0.5)-SUM($G169:AE169),('PTRM input'!$G$150*(1+rvanilla01)^0.5)/A8stdlife))</f>
        <v>0</v>
      </c>
      <c r="AG169" s="107">
        <f>IF(A8stdlife="n/a","n/a",IF(AG$3&gt;(A8stdlife+$E169),('PTRM input'!$G$150*(1+rvanilla01)^0.5)-SUM($G169:AF169),('PTRM input'!$G$150*(1+rvanilla01)^0.5)/A8stdlife))</f>
        <v>0</v>
      </c>
      <c r="AH169" s="107">
        <f>IF(A8stdlife="n/a","n/a",IF(AH$3&gt;(A8stdlife+$E169),('PTRM input'!$G$150*(1+rvanilla01)^0.5)-SUM($G169:AG169),('PTRM input'!$G$150*(1+rvanilla01)^0.5)/A8stdlife))</f>
        <v>0</v>
      </c>
      <c r="AI169" s="107">
        <f>IF(A8stdlife="n/a","n/a",IF(AI$3&gt;(A8stdlife+$E169),('PTRM input'!$G$150*(1+rvanilla01)^0.5)-SUM($G169:AH169),('PTRM input'!$G$150*(1+rvanilla01)^0.5)/A8stdlife))</f>
        <v>0</v>
      </c>
      <c r="AJ169" s="107">
        <f>IF(A8stdlife="n/a","n/a",IF(AJ$3&gt;(A8stdlife+$E169),('PTRM input'!$G$150*(1+rvanilla01)^0.5)-SUM($G169:AI169),('PTRM input'!$G$150*(1+rvanilla01)^0.5)/A8stdlife))</f>
        <v>0</v>
      </c>
      <c r="AK169" s="107">
        <f>IF(A8stdlife="n/a","n/a",IF(AK$3&gt;(A8stdlife+$E169),('PTRM input'!$G$150*(1+rvanilla01)^0.5)-SUM($G169:AJ169),('PTRM input'!$G$150*(1+rvanilla01)^0.5)/A8stdlife))</f>
        <v>0</v>
      </c>
      <c r="AL169" s="107">
        <f>IF(A8stdlife="n/a","n/a",IF(AL$3&gt;(A8stdlife+$E169),('PTRM input'!$G$150*(1+rvanilla01)^0.5)-SUM($G169:AK169),('PTRM input'!$G$150*(1+rvanilla01)^0.5)/A8stdlife))</f>
        <v>0</v>
      </c>
      <c r="AM169" s="107">
        <f>IF(A8stdlife="n/a","n/a",IF(AM$3&gt;(A8stdlife+$E169),('PTRM input'!$G$150*(1+rvanilla01)^0.5)-SUM($G169:AL169),('PTRM input'!$G$150*(1+rvanilla01)^0.5)/A8stdlife))</f>
        <v>0</v>
      </c>
      <c r="AN169" s="107">
        <f>IF(A8stdlife="n/a","n/a",IF(AN$3&gt;(A8stdlife+$E169),('PTRM input'!$G$150*(1+rvanilla01)^0.5)-SUM($G169:AM169),('PTRM input'!$G$150*(1+rvanilla01)^0.5)/A8stdlife))</f>
        <v>0</v>
      </c>
      <c r="AO169" s="107">
        <f>IF(A8stdlife="n/a","n/a",IF(AO$3&gt;(A8stdlife+$E169),('PTRM input'!$G$150*(1+rvanilla01)^0.5)-SUM($G169:AN169),('PTRM input'!$G$150*(1+rvanilla01)^0.5)/A8stdlife))</f>
        <v>0</v>
      </c>
      <c r="AP169" s="107">
        <f>IF(A8stdlife="n/a","n/a",IF(AP$3&gt;(A8stdlife+$E169),('PTRM input'!$G$150*(1+rvanilla01)^0.5)-SUM($G169:AO169),('PTRM input'!$G$150*(1+rvanilla01)^0.5)/A8stdlife))</f>
        <v>0</v>
      </c>
      <c r="AQ169" s="107">
        <f>IF(A8stdlife="n/a","n/a",IF(AQ$3&gt;(A8stdlife+$E169),('PTRM input'!$G$150*(1+rvanilla01)^0.5)-SUM($G169:AP169),('PTRM input'!$G$150*(1+rvanilla01)^0.5)/A8stdlife))</f>
        <v>0</v>
      </c>
      <c r="AR169" s="107">
        <f>IF(A8stdlife="n/a","n/a",IF(AR$3&gt;(A8stdlife+$E169),('PTRM input'!$G$150*(1+rvanilla01)^0.5)-SUM($G169:AQ169),('PTRM input'!$G$150*(1+rvanilla01)^0.5)/A8stdlife))</f>
        <v>0</v>
      </c>
      <c r="AS169" s="107">
        <f>IF(A8stdlife="n/a","n/a",IF(AS$3&gt;(A8stdlife+$E169),('PTRM input'!$G$150*(1+rvanilla01)^0.5)-SUM($G169:AR169),('PTRM input'!$G$150*(1+rvanilla01)^0.5)/A8stdlife))</f>
        <v>0</v>
      </c>
      <c r="AT169" s="107">
        <f>IF(A8stdlife="n/a","n/a",IF(AT$3&gt;(A8stdlife+$E169),('PTRM input'!$G$150*(1+rvanilla01)^0.5)-SUM($G169:AS169),('PTRM input'!$G$150*(1+rvanilla01)^0.5)/A8stdlife))</f>
        <v>0</v>
      </c>
      <c r="AU169" s="107">
        <f>IF(A8stdlife="n/a","n/a",IF(AU$3&gt;(A8stdlife+$E169),('PTRM input'!$G$150*(1+rvanilla01)^0.5)-SUM($G169:AT169),('PTRM input'!$G$150*(1+rvanilla01)^0.5)/A8stdlife))</f>
        <v>0</v>
      </c>
      <c r="AV169" s="107">
        <f>IF(A8stdlife="n/a","n/a",IF(AV$3&gt;(A8stdlife+$E169),('PTRM input'!$G$150*(1+rvanilla01)^0.5)-SUM($G169:AU169),('PTRM input'!$G$150*(1+rvanilla01)^0.5)/A8stdlife))</f>
        <v>0</v>
      </c>
      <c r="AW169" s="107">
        <f>IF(A8stdlife="n/a","n/a",IF(AW$3&gt;(A8stdlife+$E169),('PTRM input'!$G$150*(1+rvanilla01)^0.5)-SUM($G169:AV169),('PTRM input'!$G$150*(1+rvanilla01)^0.5)/A8stdlife))</f>
        <v>0</v>
      </c>
      <c r="AX169" s="107">
        <f>IF(A8stdlife="n/a","n/a",IF(AX$3&gt;(A8stdlife+$E169),('PTRM input'!$G$150*(1+rvanilla01)^0.5)-SUM($G169:AW169),('PTRM input'!$G$150*(1+rvanilla01)^0.5)/A8stdlife))</f>
        <v>0</v>
      </c>
      <c r="AY169" s="107">
        <f>IF(A8stdlife="n/a","n/a",IF(AY$3&gt;(A8stdlife+$E169),('PTRM input'!$G$150*(1+rvanilla01)^0.5)-SUM($G169:AX169),('PTRM input'!$G$150*(1+rvanilla01)^0.5)/A8stdlife))</f>
        <v>0</v>
      </c>
      <c r="AZ169" s="107">
        <f>IF(A8stdlife="n/a","n/a",IF(AZ$3&gt;(A8stdlife+$E169),('PTRM input'!$G$150*(1+rvanilla01)^0.5)-SUM($G169:AY169),('PTRM input'!$G$150*(1+rvanilla01)^0.5)/A8stdlife))</f>
        <v>0</v>
      </c>
      <c r="BA169" s="107">
        <f>IF(A8stdlife="n/a","n/a",IF(BA$3&gt;(A8stdlife+$E169),('PTRM input'!$G$150*(1+rvanilla01)^0.5)-SUM($G169:AZ169),('PTRM input'!$G$150*(1+rvanilla01)^0.5)/A8stdlife))</f>
        <v>0</v>
      </c>
      <c r="BB169" s="107">
        <f>IF(A8stdlife="n/a","n/a",IF(BB$3&gt;(A8stdlife+$E169),('PTRM input'!$G$150*(1+rvanilla01)^0.5)-SUM($G169:BA169),('PTRM input'!$G$150*(1+rvanilla01)^0.5)/A8stdlife))</f>
        <v>0</v>
      </c>
      <c r="BC169" s="107">
        <f>IF(A8stdlife="n/a","n/a",IF(BC$3&gt;(A8stdlife+$E169),('PTRM input'!$G$150*(1+rvanilla01)^0.5)-SUM($G169:BB169),('PTRM input'!$G$150*(1+rvanilla01)^0.5)/A8stdlife))</f>
        <v>0</v>
      </c>
      <c r="BD169" s="107">
        <f>IF(A8stdlife="n/a","n/a",IF(BD$3&gt;(A8stdlife+$E169),('PTRM input'!$G$150*(1+rvanilla01)^0.5)-SUM($G169:BC169),('PTRM input'!$G$150*(1+rvanilla01)^0.5)/A8stdlife))</f>
        <v>0</v>
      </c>
      <c r="BE169" s="107">
        <f>IF(A8stdlife="n/a","n/a",IF(BE$3&gt;(A8stdlife+$E169),('PTRM input'!$G$150*(1+rvanilla01)^0.5)-SUM($G169:BD169),('PTRM input'!$G$150*(1+rvanilla01)^0.5)/A8stdlife))</f>
        <v>0</v>
      </c>
      <c r="BF169" s="107">
        <f>IF(A8stdlife="n/a","n/a",IF(BF$3&gt;(A8stdlife+$E169),('PTRM input'!$G$150*(1+rvanilla01)^0.5)-SUM($G169:BE169),('PTRM input'!$G$150*(1+rvanilla01)^0.5)/A8stdlife))</f>
        <v>0</v>
      </c>
      <c r="BG169" s="107">
        <f>IF(A8stdlife="n/a","n/a",IF(BG$3&gt;(A8stdlife+$E169),('PTRM input'!$G$150*(1+rvanilla01)^0.5)-SUM($G169:BF169),('PTRM input'!$G$150*(1+rvanilla01)^0.5)/A8stdlife))</f>
        <v>0</v>
      </c>
      <c r="BH169" s="107">
        <f>IF(A8stdlife="n/a","n/a",IF(BH$3&gt;(A8stdlife+$E169),('PTRM input'!$G$150*(1+rvanilla01)^0.5)-SUM($G169:BG169),('PTRM input'!$G$150*(1+rvanilla01)^0.5)/A8stdlife))</f>
        <v>0</v>
      </c>
      <c r="BI169" s="107">
        <f>IF(A8stdlife="n/a","n/a",IF(BI$3&gt;(A8stdlife+$E169),('PTRM input'!$G$150*(1+rvanilla01)^0.5)-SUM($G169:BH169),('PTRM input'!$G$150*(1+rvanilla01)^0.5)/A8stdlife))</f>
        <v>0</v>
      </c>
      <c r="BJ169" s="237"/>
      <c r="BK169" s="237"/>
      <c r="BL169" s="237"/>
      <c r="BM169" s="237"/>
    </row>
    <row r="170" spans="1:65" s="190" customFormat="1" hidden="1" outlineLevel="2">
      <c r="A170" s="237"/>
      <c r="B170" s="33"/>
      <c r="C170" s="32"/>
      <c r="D170" s="1618"/>
      <c r="E170" s="169">
        <v>2</v>
      </c>
      <c r="F170" s="35"/>
      <c r="G170" s="184"/>
      <c r="H170" s="185"/>
      <c r="I170" s="107">
        <f>IF(A8stdlife="n/a","n/a",IF(I$3&gt;(A8stdlife+$E170),('PTRM input'!$H$150*(1+rvanilla02)^0.5)-SUM($H170:H170),('PTRM input'!$H$150*(1+rvanilla02)^0.5)/A8stdlife))</f>
        <v>0</v>
      </c>
      <c r="J170" s="107">
        <f>IF(A8stdlife="n/a","n/a",IF(J$3&gt;(A8stdlife+$E170),('PTRM input'!$H$150*(1+rvanilla02)^0.5)-SUM($H170:I170),('PTRM input'!$H$150*(1+rvanilla02)^0.5)/A8stdlife))</f>
        <v>0</v>
      </c>
      <c r="K170" s="107">
        <f>IF(A8stdlife="n/a","n/a",IF(K$3&gt;(A8stdlife+$E170),('PTRM input'!$H$150*(1+rvanilla02)^0.5)-SUM($H170:J170),('PTRM input'!$H$150*(1+rvanilla02)^0.5)/A8stdlife))</f>
        <v>0</v>
      </c>
      <c r="L170" s="107">
        <f>IF(A8stdlife="n/a","n/a",IF(L$3&gt;(A8stdlife+$E170),('PTRM input'!$H$150*(1+rvanilla02)^0.5)-SUM($H170:K170),('PTRM input'!$H$150*(1+rvanilla02)^0.5)/A8stdlife))</f>
        <v>0</v>
      </c>
      <c r="M170" s="107">
        <f>IF(A8stdlife="n/a","n/a",IF(M$3&gt;(A8stdlife+$E170),('PTRM input'!$H$150*(1+rvanilla02)^0.5)-SUM($H170:L170),('PTRM input'!$H$150*(1+rvanilla02)^0.5)/A8stdlife))</f>
        <v>0</v>
      </c>
      <c r="N170" s="107">
        <f>IF(A8stdlife="n/a","n/a",IF(N$3&gt;(A8stdlife+$E170),('PTRM input'!$H$150*(1+rvanilla02)^0.5)-SUM($H170:M170),('PTRM input'!$H$150*(1+rvanilla02)^0.5)/A8stdlife))</f>
        <v>0</v>
      </c>
      <c r="O170" s="107">
        <f>IF(A8stdlife="n/a","n/a",IF(O$3&gt;(A8stdlife+$E170),('PTRM input'!$H$150*(1+rvanilla02)^0.5)-SUM($H170:N170),('PTRM input'!$H$150*(1+rvanilla02)^0.5)/A8stdlife))</f>
        <v>0</v>
      </c>
      <c r="P170" s="107">
        <f>IF(A8stdlife="n/a","n/a",IF(P$3&gt;(A8stdlife+$E170),('PTRM input'!$H$150*(1+rvanilla02)^0.5)-SUM($H170:O170),('PTRM input'!$H$150*(1+rvanilla02)^0.5)/A8stdlife))</f>
        <v>0</v>
      </c>
      <c r="Q170" s="107">
        <f>IF(A8stdlife="n/a","n/a",IF(Q$3&gt;(A8stdlife+$E170),('PTRM input'!$H$150*(1+rvanilla02)^0.5)-SUM($H170:P170),('PTRM input'!$H$150*(1+rvanilla02)^0.5)/A8stdlife))</f>
        <v>0</v>
      </c>
      <c r="R170" s="107">
        <f>IF(A8stdlife="n/a","n/a",IF(R$3&gt;(A8stdlife+$E170),('PTRM input'!$H$150*(1+rvanilla02)^0.5)-SUM($H170:Q170),('PTRM input'!$H$150*(1+rvanilla02)^0.5)/A8stdlife))</f>
        <v>0</v>
      </c>
      <c r="S170" s="107">
        <f>IF(A8stdlife="n/a","n/a",IF(S$3&gt;(A8stdlife+$E170),('PTRM input'!$H$150*(1+rvanilla02)^0.5)-SUM($H170:R170),('PTRM input'!$H$150*(1+rvanilla02)^0.5)/A8stdlife))</f>
        <v>0</v>
      </c>
      <c r="T170" s="107">
        <f>IF(A8stdlife="n/a","n/a",IF(T$3&gt;(A8stdlife+$E170),('PTRM input'!$H$150*(1+rvanilla02)^0.5)-SUM($H170:S170),('PTRM input'!$H$150*(1+rvanilla02)^0.5)/A8stdlife))</f>
        <v>0</v>
      </c>
      <c r="U170" s="107">
        <f>IF(A8stdlife="n/a","n/a",IF(U$3&gt;(A8stdlife+$E170),('PTRM input'!$H$150*(1+rvanilla02)^0.5)-SUM($H170:T170),('PTRM input'!$H$150*(1+rvanilla02)^0.5)/A8stdlife))</f>
        <v>0</v>
      </c>
      <c r="V170" s="107">
        <f>IF(A8stdlife="n/a","n/a",IF(V$3&gt;(A8stdlife+$E170),('PTRM input'!$H$150*(1+rvanilla02)^0.5)-SUM($H170:U170),('PTRM input'!$H$150*(1+rvanilla02)^0.5)/A8stdlife))</f>
        <v>0</v>
      </c>
      <c r="W170" s="107">
        <f>IF(A8stdlife="n/a","n/a",IF(W$3&gt;(A8stdlife+$E170),('PTRM input'!$H$150*(1+rvanilla02)^0.5)-SUM($H170:V170),('PTRM input'!$H$150*(1+rvanilla02)^0.5)/A8stdlife))</f>
        <v>0</v>
      </c>
      <c r="X170" s="107">
        <f>IF(A8stdlife="n/a","n/a",IF(X$3&gt;(A8stdlife+$E170),('PTRM input'!$H$150*(1+rvanilla02)^0.5)-SUM($H170:W170),('PTRM input'!$H$150*(1+rvanilla02)^0.5)/A8stdlife))</f>
        <v>0</v>
      </c>
      <c r="Y170" s="107">
        <f>IF(A8stdlife="n/a","n/a",IF(Y$3&gt;(A8stdlife+$E170),('PTRM input'!$H$150*(1+rvanilla02)^0.5)-SUM($H170:X170),('PTRM input'!$H$150*(1+rvanilla02)^0.5)/A8stdlife))</f>
        <v>0</v>
      </c>
      <c r="Z170" s="107">
        <f>IF(A8stdlife="n/a","n/a",IF(Z$3&gt;(A8stdlife+$E170),('PTRM input'!$H$150*(1+rvanilla02)^0.5)-SUM($H170:Y170),('PTRM input'!$H$150*(1+rvanilla02)^0.5)/A8stdlife))</f>
        <v>0</v>
      </c>
      <c r="AA170" s="107">
        <f>IF(A8stdlife="n/a","n/a",IF(AA$3&gt;(A8stdlife+$E170),('PTRM input'!$H$150*(1+rvanilla02)^0.5)-SUM($H170:Z170),('PTRM input'!$H$150*(1+rvanilla02)^0.5)/A8stdlife))</f>
        <v>0</v>
      </c>
      <c r="AB170" s="107">
        <f>IF(A8stdlife="n/a","n/a",IF(AB$3&gt;(A8stdlife+$E170),('PTRM input'!$H$150*(1+rvanilla02)^0.5)-SUM($H170:AA170),('PTRM input'!$H$150*(1+rvanilla02)^0.5)/A8stdlife))</f>
        <v>0</v>
      </c>
      <c r="AC170" s="107">
        <f>IF(A8stdlife="n/a","n/a",IF(AC$3&gt;(A8stdlife+$E170),('PTRM input'!$H$150*(1+rvanilla02)^0.5)-SUM($H170:AB170),('PTRM input'!$H$150*(1+rvanilla02)^0.5)/A8stdlife))</f>
        <v>0</v>
      </c>
      <c r="AD170" s="107">
        <f>IF(A8stdlife="n/a","n/a",IF(AD$3&gt;(A8stdlife+$E170),('PTRM input'!$H$150*(1+rvanilla02)^0.5)-SUM($H170:AC170),('PTRM input'!$H$150*(1+rvanilla02)^0.5)/A8stdlife))</f>
        <v>0</v>
      </c>
      <c r="AE170" s="107">
        <f>IF(A8stdlife="n/a","n/a",IF(AE$3&gt;(A8stdlife+$E170),('PTRM input'!$H$150*(1+rvanilla02)^0.5)-SUM($H170:AD170),('PTRM input'!$H$150*(1+rvanilla02)^0.5)/A8stdlife))</f>
        <v>0</v>
      </c>
      <c r="AF170" s="107">
        <f>IF(A8stdlife="n/a","n/a",IF(AF$3&gt;(A8stdlife+$E170),('PTRM input'!$H$150*(1+rvanilla02)^0.5)-SUM($H170:AE170),('PTRM input'!$H$150*(1+rvanilla02)^0.5)/A8stdlife))</f>
        <v>0</v>
      </c>
      <c r="AG170" s="107">
        <f>IF(A8stdlife="n/a","n/a",IF(AG$3&gt;(A8stdlife+$E170),('PTRM input'!$H$150*(1+rvanilla02)^0.5)-SUM($H170:AF170),('PTRM input'!$H$150*(1+rvanilla02)^0.5)/A8stdlife))</f>
        <v>0</v>
      </c>
      <c r="AH170" s="107">
        <f>IF(A8stdlife="n/a","n/a",IF(AH$3&gt;(A8stdlife+$E170),('PTRM input'!$H$150*(1+rvanilla02)^0.5)-SUM($H170:AG170),('PTRM input'!$H$150*(1+rvanilla02)^0.5)/A8stdlife))</f>
        <v>0</v>
      </c>
      <c r="AI170" s="107">
        <f>IF(A8stdlife="n/a","n/a",IF(AI$3&gt;(A8stdlife+$E170),('PTRM input'!$H$150*(1+rvanilla02)^0.5)-SUM($H170:AH170),('PTRM input'!$H$150*(1+rvanilla02)^0.5)/A8stdlife))</f>
        <v>0</v>
      </c>
      <c r="AJ170" s="107">
        <f>IF(A8stdlife="n/a","n/a",IF(AJ$3&gt;(A8stdlife+$E170),('PTRM input'!$H$150*(1+rvanilla02)^0.5)-SUM($H170:AI170),('PTRM input'!$H$150*(1+rvanilla02)^0.5)/A8stdlife))</f>
        <v>0</v>
      </c>
      <c r="AK170" s="107">
        <f>IF(A8stdlife="n/a","n/a",IF(AK$3&gt;(A8stdlife+$E170),('PTRM input'!$H$150*(1+rvanilla02)^0.5)-SUM($H170:AJ170),('PTRM input'!$H$150*(1+rvanilla02)^0.5)/A8stdlife))</f>
        <v>0</v>
      </c>
      <c r="AL170" s="107">
        <f>IF(A8stdlife="n/a","n/a",IF(AL$3&gt;(A8stdlife+$E170),('PTRM input'!$H$150*(1+rvanilla02)^0.5)-SUM($H170:AK170),('PTRM input'!$H$150*(1+rvanilla02)^0.5)/A8stdlife))</f>
        <v>0</v>
      </c>
      <c r="AM170" s="107">
        <f>IF(A8stdlife="n/a","n/a",IF(AM$3&gt;(A8stdlife+$E170),('PTRM input'!$H$150*(1+rvanilla02)^0.5)-SUM($H170:AL170),('PTRM input'!$H$150*(1+rvanilla02)^0.5)/A8stdlife))</f>
        <v>0</v>
      </c>
      <c r="AN170" s="107">
        <f>IF(A8stdlife="n/a","n/a",IF(AN$3&gt;(A8stdlife+$E170),('PTRM input'!$H$150*(1+rvanilla02)^0.5)-SUM($H170:AM170),('PTRM input'!$H$150*(1+rvanilla02)^0.5)/A8stdlife))</f>
        <v>0</v>
      </c>
      <c r="AO170" s="107">
        <f>IF(A8stdlife="n/a","n/a",IF(AO$3&gt;(A8stdlife+$E170),('PTRM input'!$H$150*(1+rvanilla02)^0.5)-SUM($H170:AN170),('PTRM input'!$H$150*(1+rvanilla02)^0.5)/A8stdlife))</f>
        <v>0</v>
      </c>
      <c r="AP170" s="107">
        <f>IF(A8stdlife="n/a","n/a",IF(AP$3&gt;(A8stdlife+$E170),('PTRM input'!$H$150*(1+rvanilla02)^0.5)-SUM($H170:AO170),('PTRM input'!$H$150*(1+rvanilla02)^0.5)/A8stdlife))</f>
        <v>0</v>
      </c>
      <c r="AQ170" s="107">
        <f>IF(A8stdlife="n/a","n/a",IF(AQ$3&gt;(A8stdlife+$E170),('PTRM input'!$H$150*(1+rvanilla02)^0.5)-SUM($H170:AP170),('PTRM input'!$H$150*(1+rvanilla02)^0.5)/A8stdlife))</f>
        <v>0</v>
      </c>
      <c r="AR170" s="107">
        <f>IF(A8stdlife="n/a","n/a",IF(AR$3&gt;(A8stdlife+$E170),('PTRM input'!$H$150*(1+rvanilla02)^0.5)-SUM($H170:AQ170),('PTRM input'!$H$150*(1+rvanilla02)^0.5)/A8stdlife))</f>
        <v>0</v>
      </c>
      <c r="AS170" s="107">
        <f>IF(A8stdlife="n/a","n/a",IF(AS$3&gt;(A8stdlife+$E170),('PTRM input'!$H$150*(1+rvanilla02)^0.5)-SUM($H170:AR170),('PTRM input'!$H$150*(1+rvanilla02)^0.5)/A8stdlife))</f>
        <v>0</v>
      </c>
      <c r="AT170" s="107">
        <f>IF(A8stdlife="n/a","n/a",IF(AT$3&gt;(A8stdlife+$E170),('PTRM input'!$H$150*(1+rvanilla02)^0.5)-SUM($H170:AS170),('PTRM input'!$H$150*(1+rvanilla02)^0.5)/A8stdlife))</f>
        <v>0</v>
      </c>
      <c r="AU170" s="107">
        <f>IF(A8stdlife="n/a","n/a",IF(AU$3&gt;(A8stdlife+$E170),('PTRM input'!$H$150*(1+rvanilla02)^0.5)-SUM($H170:AT170),('PTRM input'!$H$150*(1+rvanilla02)^0.5)/A8stdlife))</f>
        <v>0</v>
      </c>
      <c r="AV170" s="107">
        <f>IF(A8stdlife="n/a","n/a",IF(AV$3&gt;(A8stdlife+$E170),('PTRM input'!$H$150*(1+rvanilla02)^0.5)-SUM($H170:AU170),('PTRM input'!$H$150*(1+rvanilla02)^0.5)/A8stdlife))</f>
        <v>0</v>
      </c>
      <c r="AW170" s="107">
        <f>IF(A8stdlife="n/a","n/a",IF(AW$3&gt;(A8stdlife+$E170),('PTRM input'!$H$150*(1+rvanilla02)^0.5)-SUM($H170:AV170),('PTRM input'!$H$150*(1+rvanilla02)^0.5)/A8stdlife))</f>
        <v>0</v>
      </c>
      <c r="AX170" s="107">
        <f>IF(A8stdlife="n/a","n/a",IF(AX$3&gt;(A8stdlife+$E170),('PTRM input'!$H$150*(1+rvanilla02)^0.5)-SUM($H170:AW170),('PTRM input'!$H$150*(1+rvanilla02)^0.5)/A8stdlife))</f>
        <v>0</v>
      </c>
      <c r="AY170" s="107">
        <f>IF(A8stdlife="n/a","n/a",IF(AY$3&gt;(A8stdlife+$E170),('PTRM input'!$H$150*(1+rvanilla02)^0.5)-SUM($H170:AX170),('PTRM input'!$H$150*(1+rvanilla02)^0.5)/A8stdlife))</f>
        <v>0</v>
      </c>
      <c r="AZ170" s="107">
        <f>IF(A8stdlife="n/a","n/a",IF(AZ$3&gt;(A8stdlife+$E170),('PTRM input'!$H$150*(1+rvanilla02)^0.5)-SUM($H170:AY170),('PTRM input'!$H$150*(1+rvanilla02)^0.5)/A8stdlife))</f>
        <v>0</v>
      </c>
      <c r="BA170" s="107">
        <f>IF(A8stdlife="n/a","n/a",IF(BA$3&gt;(A8stdlife+$E170),('PTRM input'!$H$150*(1+rvanilla02)^0.5)-SUM($H170:AZ170),('PTRM input'!$H$150*(1+rvanilla02)^0.5)/A8stdlife))</f>
        <v>0</v>
      </c>
      <c r="BB170" s="107">
        <f>IF(A8stdlife="n/a","n/a",IF(BB$3&gt;(A8stdlife+$E170),('PTRM input'!$H$150*(1+rvanilla02)^0.5)-SUM($H170:BA170),('PTRM input'!$H$150*(1+rvanilla02)^0.5)/A8stdlife))</f>
        <v>0</v>
      </c>
      <c r="BC170" s="107">
        <f>IF(A8stdlife="n/a","n/a",IF(BC$3&gt;(A8stdlife+$E170),('PTRM input'!$H$150*(1+rvanilla02)^0.5)-SUM($H170:BB170),('PTRM input'!$H$150*(1+rvanilla02)^0.5)/A8stdlife))</f>
        <v>0</v>
      </c>
      <c r="BD170" s="107">
        <f>IF(A8stdlife="n/a","n/a",IF(BD$3&gt;(A8stdlife+$E170),('PTRM input'!$H$150*(1+rvanilla02)^0.5)-SUM($H170:BC170),('PTRM input'!$H$150*(1+rvanilla02)^0.5)/A8stdlife))</f>
        <v>0</v>
      </c>
      <c r="BE170" s="107">
        <f>IF(A8stdlife="n/a","n/a",IF(BE$3&gt;(A8stdlife+$E170),('PTRM input'!$H$150*(1+rvanilla02)^0.5)-SUM($H170:BD170),('PTRM input'!$H$150*(1+rvanilla02)^0.5)/A8stdlife))</f>
        <v>0</v>
      </c>
      <c r="BF170" s="107">
        <f>IF(A8stdlife="n/a","n/a",IF(BF$3&gt;(A8stdlife+$E170),('PTRM input'!$H$150*(1+rvanilla02)^0.5)-SUM($H170:BE170),('PTRM input'!$H$150*(1+rvanilla02)^0.5)/A8stdlife))</f>
        <v>0</v>
      </c>
      <c r="BG170" s="107">
        <f>IF(A8stdlife="n/a","n/a",IF(BG$3&gt;(A8stdlife+$E170),('PTRM input'!$H$150*(1+rvanilla02)^0.5)-SUM($H170:BF170),('PTRM input'!$H$150*(1+rvanilla02)^0.5)/A8stdlife))</f>
        <v>0</v>
      </c>
      <c r="BH170" s="107">
        <f>IF(A8stdlife="n/a","n/a",IF(BH$3&gt;(A8stdlife+$E170),('PTRM input'!$H$150*(1+rvanilla02)^0.5)-SUM($H170:BG170),('PTRM input'!$H$150*(1+rvanilla02)^0.5)/A8stdlife))</f>
        <v>0</v>
      </c>
      <c r="BI170" s="107">
        <f>IF(A8stdlife="n/a","n/a",IF(BI$3&gt;(A8stdlife+$E170),('PTRM input'!$H$150*(1+rvanilla02)^0.5)-SUM($H170:BH170),('PTRM input'!$H$150*(1+rvanilla02)^0.5)/A8stdlife))</f>
        <v>0</v>
      </c>
      <c r="BJ170" s="237"/>
      <c r="BK170" s="237"/>
      <c r="BL170" s="237"/>
      <c r="BM170" s="237"/>
    </row>
    <row r="171" spans="1:65" s="190" customFormat="1" hidden="1" outlineLevel="2">
      <c r="A171" s="237"/>
      <c r="B171" s="33"/>
      <c r="C171" s="32"/>
      <c r="D171" s="1618"/>
      <c r="E171" s="169">
        <v>3</v>
      </c>
      <c r="F171" s="35"/>
      <c r="G171" s="184"/>
      <c r="H171" s="186"/>
      <c r="I171" s="185"/>
      <c r="J171" s="107">
        <f>IF(A8stdlife="n/a","n/a",IF(J$3&gt;(A8stdlife+$E171),('PTRM input'!$I$150*(1+rvanilla03)^0.5)-SUM($I171:I171),('PTRM input'!$I$150*(1+rvanilla03)^0.5)/A8stdlife))</f>
        <v>0</v>
      </c>
      <c r="K171" s="107">
        <f>IF(A8stdlife="n/a","n/a",IF(K$3&gt;(A8stdlife+$E171),('PTRM input'!$I$150*(1+rvanilla03)^0.5)-SUM($I171:J171),('PTRM input'!$I$150*(1+rvanilla03)^0.5)/A8stdlife))</f>
        <v>0</v>
      </c>
      <c r="L171" s="107">
        <f>IF(A8stdlife="n/a","n/a",IF(L$3&gt;(A8stdlife+$E171),('PTRM input'!$I$150*(1+rvanilla03)^0.5)-SUM($I171:K171),('PTRM input'!$I$150*(1+rvanilla03)^0.5)/A8stdlife))</f>
        <v>0</v>
      </c>
      <c r="M171" s="107">
        <f>IF(A8stdlife="n/a","n/a",IF(M$3&gt;(A8stdlife+$E171),('PTRM input'!$I$150*(1+rvanilla03)^0.5)-SUM($I171:L171),('PTRM input'!$I$150*(1+rvanilla03)^0.5)/A8stdlife))</f>
        <v>0</v>
      </c>
      <c r="N171" s="107">
        <f>IF(A8stdlife="n/a","n/a",IF(N$3&gt;(A8stdlife+$E171),('PTRM input'!$I$150*(1+rvanilla03)^0.5)-SUM($I171:M171),('PTRM input'!$I$150*(1+rvanilla03)^0.5)/A8stdlife))</f>
        <v>0</v>
      </c>
      <c r="O171" s="107">
        <f>IF(A8stdlife="n/a","n/a",IF(O$3&gt;(A8stdlife+$E171),('PTRM input'!$I$150*(1+rvanilla03)^0.5)-SUM($I171:N171),('PTRM input'!$I$150*(1+rvanilla03)^0.5)/A8stdlife))</f>
        <v>0</v>
      </c>
      <c r="P171" s="107">
        <f>IF(A8stdlife="n/a","n/a",IF(P$3&gt;(A8stdlife+$E171),('PTRM input'!$I$150*(1+rvanilla03)^0.5)-SUM($I171:O171),('PTRM input'!$I$150*(1+rvanilla03)^0.5)/A8stdlife))</f>
        <v>0</v>
      </c>
      <c r="Q171" s="107">
        <f>IF(A8stdlife="n/a","n/a",IF(Q$3&gt;(A8stdlife+$E171),('PTRM input'!$I$150*(1+rvanilla03)^0.5)-SUM($I171:P171),('PTRM input'!$I$150*(1+rvanilla03)^0.5)/A8stdlife))</f>
        <v>0</v>
      </c>
      <c r="R171" s="107">
        <f>IF(A8stdlife="n/a","n/a",IF(R$3&gt;(A8stdlife+$E171),('PTRM input'!$I$150*(1+rvanilla03)^0.5)-SUM($I171:Q171),('PTRM input'!$I$150*(1+rvanilla03)^0.5)/A8stdlife))</f>
        <v>0</v>
      </c>
      <c r="S171" s="107">
        <f>IF(A8stdlife="n/a","n/a",IF(S$3&gt;(A8stdlife+$E171),('PTRM input'!$I$150*(1+rvanilla03)^0.5)-SUM($I171:R171),('PTRM input'!$I$150*(1+rvanilla03)^0.5)/A8stdlife))</f>
        <v>0</v>
      </c>
      <c r="T171" s="107">
        <f>IF(A8stdlife="n/a","n/a",IF(T$3&gt;(A8stdlife+$E171),('PTRM input'!$I$150*(1+rvanilla03)^0.5)-SUM($I171:S171),('PTRM input'!$I$150*(1+rvanilla03)^0.5)/A8stdlife))</f>
        <v>0</v>
      </c>
      <c r="U171" s="107">
        <f>IF(A8stdlife="n/a","n/a",IF(U$3&gt;(A8stdlife+$E171),('PTRM input'!$I$150*(1+rvanilla03)^0.5)-SUM($I171:T171),('PTRM input'!$I$150*(1+rvanilla03)^0.5)/A8stdlife))</f>
        <v>0</v>
      </c>
      <c r="V171" s="107">
        <f>IF(A8stdlife="n/a","n/a",IF(V$3&gt;(A8stdlife+$E171),('PTRM input'!$I$150*(1+rvanilla03)^0.5)-SUM($I171:U171),('PTRM input'!$I$150*(1+rvanilla03)^0.5)/A8stdlife))</f>
        <v>0</v>
      </c>
      <c r="W171" s="107">
        <f>IF(A8stdlife="n/a","n/a",IF(W$3&gt;(A8stdlife+$E171),('PTRM input'!$I$150*(1+rvanilla03)^0.5)-SUM($I171:V171),('PTRM input'!$I$150*(1+rvanilla03)^0.5)/A8stdlife))</f>
        <v>0</v>
      </c>
      <c r="X171" s="107">
        <f>IF(A8stdlife="n/a","n/a",IF(X$3&gt;(A8stdlife+$E171),('PTRM input'!$I$150*(1+rvanilla03)^0.5)-SUM($I171:W171),('PTRM input'!$I$150*(1+rvanilla03)^0.5)/A8stdlife))</f>
        <v>0</v>
      </c>
      <c r="Y171" s="107">
        <f>IF(A8stdlife="n/a","n/a",IF(Y$3&gt;(A8stdlife+$E171),('PTRM input'!$I$150*(1+rvanilla03)^0.5)-SUM($I171:X171),('PTRM input'!$I$150*(1+rvanilla03)^0.5)/A8stdlife))</f>
        <v>0</v>
      </c>
      <c r="Z171" s="107">
        <f>IF(A8stdlife="n/a","n/a",IF(Z$3&gt;(A8stdlife+$E171),('PTRM input'!$I$150*(1+rvanilla03)^0.5)-SUM($I171:Y171),('PTRM input'!$I$150*(1+rvanilla03)^0.5)/A8stdlife))</f>
        <v>0</v>
      </c>
      <c r="AA171" s="107">
        <f>IF(A8stdlife="n/a","n/a",IF(AA$3&gt;(A8stdlife+$E171),('PTRM input'!$I$150*(1+rvanilla03)^0.5)-SUM($I171:Z171),('PTRM input'!$I$150*(1+rvanilla03)^0.5)/A8stdlife))</f>
        <v>0</v>
      </c>
      <c r="AB171" s="107">
        <f>IF(A8stdlife="n/a","n/a",IF(AB$3&gt;(A8stdlife+$E171),('PTRM input'!$I$150*(1+rvanilla03)^0.5)-SUM($I171:AA171),('PTRM input'!$I$150*(1+rvanilla03)^0.5)/A8stdlife))</f>
        <v>0</v>
      </c>
      <c r="AC171" s="107">
        <f>IF(A8stdlife="n/a","n/a",IF(AC$3&gt;(A8stdlife+$E171),('PTRM input'!$I$150*(1+rvanilla03)^0.5)-SUM($I171:AB171),('PTRM input'!$I$150*(1+rvanilla03)^0.5)/A8stdlife))</f>
        <v>0</v>
      </c>
      <c r="AD171" s="107">
        <f>IF(A8stdlife="n/a","n/a",IF(AD$3&gt;(A8stdlife+$E171),('PTRM input'!$I$150*(1+rvanilla03)^0.5)-SUM($I171:AC171),('PTRM input'!$I$150*(1+rvanilla03)^0.5)/A8stdlife))</f>
        <v>0</v>
      </c>
      <c r="AE171" s="107">
        <f>IF(A8stdlife="n/a","n/a",IF(AE$3&gt;(A8stdlife+$E171),('PTRM input'!$I$150*(1+rvanilla03)^0.5)-SUM($I171:AD171),('PTRM input'!$I$150*(1+rvanilla03)^0.5)/A8stdlife))</f>
        <v>0</v>
      </c>
      <c r="AF171" s="107">
        <f>IF(A8stdlife="n/a","n/a",IF(AF$3&gt;(A8stdlife+$E171),('PTRM input'!$I$150*(1+rvanilla03)^0.5)-SUM($I171:AE171),('PTRM input'!$I$150*(1+rvanilla03)^0.5)/A8stdlife))</f>
        <v>0</v>
      </c>
      <c r="AG171" s="107">
        <f>IF(A8stdlife="n/a","n/a",IF(AG$3&gt;(A8stdlife+$E171),('PTRM input'!$I$150*(1+rvanilla03)^0.5)-SUM($I171:AF171),('PTRM input'!$I$150*(1+rvanilla03)^0.5)/A8stdlife))</f>
        <v>0</v>
      </c>
      <c r="AH171" s="107">
        <f>IF(A8stdlife="n/a","n/a",IF(AH$3&gt;(A8stdlife+$E171),('PTRM input'!$I$150*(1+rvanilla03)^0.5)-SUM($I171:AG171),('PTRM input'!$I$150*(1+rvanilla03)^0.5)/A8stdlife))</f>
        <v>0</v>
      </c>
      <c r="AI171" s="107">
        <f>IF(A8stdlife="n/a","n/a",IF(AI$3&gt;(A8stdlife+$E171),('PTRM input'!$I$150*(1+rvanilla03)^0.5)-SUM($I171:AH171),('PTRM input'!$I$150*(1+rvanilla03)^0.5)/A8stdlife))</f>
        <v>0</v>
      </c>
      <c r="AJ171" s="107">
        <f>IF(A8stdlife="n/a","n/a",IF(AJ$3&gt;(A8stdlife+$E171),('PTRM input'!$I$150*(1+rvanilla03)^0.5)-SUM($I171:AI171),('PTRM input'!$I$150*(1+rvanilla03)^0.5)/A8stdlife))</f>
        <v>0</v>
      </c>
      <c r="AK171" s="107">
        <f>IF(A8stdlife="n/a","n/a",IF(AK$3&gt;(A8stdlife+$E171),('PTRM input'!$I$150*(1+rvanilla03)^0.5)-SUM($I171:AJ171),('PTRM input'!$I$150*(1+rvanilla03)^0.5)/A8stdlife))</f>
        <v>0</v>
      </c>
      <c r="AL171" s="107">
        <f>IF(A8stdlife="n/a","n/a",IF(AL$3&gt;(A8stdlife+$E171),('PTRM input'!$I$150*(1+rvanilla03)^0.5)-SUM($I171:AK171),('PTRM input'!$I$150*(1+rvanilla03)^0.5)/A8stdlife))</f>
        <v>0</v>
      </c>
      <c r="AM171" s="107">
        <f>IF(A8stdlife="n/a","n/a",IF(AM$3&gt;(A8stdlife+$E171),('PTRM input'!$I$150*(1+rvanilla03)^0.5)-SUM($I171:AL171),('PTRM input'!$I$150*(1+rvanilla03)^0.5)/A8stdlife))</f>
        <v>0</v>
      </c>
      <c r="AN171" s="107">
        <f>IF(A8stdlife="n/a","n/a",IF(AN$3&gt;(A8stdlife+$E171),('PTRM input'!$I$150*(1+rvanilla03)^0.5)-SUM($I171:AM171),('PTRM input'!$I$150*(1+rvanilla03)^0.5)/A8stdlife))</f>
        <v>0</v>
      </c>
      <c r="AO171" s="107">
        <f>IF(A8stdlife="n/a","n/a",IF(AO$3&gt;(A8stdlife+$E171),('PTRM input'!$I$150*(1+rvanilla03)^0.5)-SUM($I171:AN171),('PTRM input'!$I$150*(1+rvanilla03)^0.5)/A8stdlife))</f>
        <v>0</v>
      </c>
      <c r="AP171" s="107">
        <f>IF(A8stdlife="n/a","n/a",IF(AP$3&gt;(A8stdlife+$E171),('PTRM input'!$I$150*(1+rvanilla03)^0.5)-SUM($I171:AO171),('PTRM input'!$I$150*(1+rvanilla03)^0.5)/A8stdlife))</f>
        <v>0</v>
      </c>
      <c r="AQ171" s="107">
        <f>IF(A8stdlife="n/a","n/a",IF(AQ$3&gt;(A8stdlife+$E171),('PTRM input'!$I$150*(1+rvanilla03)^0.5)-SUM($I171:AP171),('PTRM input'!$I$150*(1+rvanilla03)^0.5)/A8stdlife))</f>
        <v>0</v>
      </c>
      <c r="AR171" s="107">
        <f>IF(A8stdlife="n/a","n/a",IF(AR$3&gt;(A8stdlife+$E171),('PTRM input'!$I$150*(1+rvanilla03)^0.5)-SUM($I171:AQ171),('PTRM input'!$I$150*(1+rvanilla03)^0.5)/A8stdlife))</f>
        <v>0</v>
      </c>
      <c r="AS171" s="107">
        <f>IF(A8stdlife="n/a","n/a",IF(AS$3&gt;(A8stdlife+$E171),('PTRM input'!$I$150*(1+rvanilla03)^0.5)-SUM($I171:AR171),('PTRM input'!$I$150*(1+rvanilla03)^0.5)/A8stdlife))</f>
        <v>0</v>
      </c>
      <c r="AT171" s="107">
        <f>IF(A8stdlife="n/a","n/a",IF(AT$3&gt;(A8stdlife+$E171),('PTRM input'!$I$150*(1+rvanilla03)^0.5)-SUM($I171:AS171),('PTRM input'!$I$150*(1+rvanilla03)^0.5)/A8stdlife))</f>
        <v>0</v>
      </c>
      <c r="AU171" s="107">
        <f>IF(A8stdlife="n/a","n/a",IF(AU$3&gt;(A8stdlife+$E171),('PTRM input'!$I$150*(1+rvanilla03)^0.5)-SUM($I171:AT171),('PTRM input'!$I$150*(1+rvanilla03)^0.5)/A8stdlife))</f>
        <v>0</v>
      </c>
      <c r="AV171" s="107">
        <f>IF(A8stdlife="n/a","n/a",IF(AV$3&gt;(A8stdlife+$E171),('PTRM input'!$I$150*(1+rvanilla03)^0.5)-SUM($I171:AU171),('PTRM input'!$I$150*(1+rvanilla03)^0.5)/A8stdlife))</f>
        <v>0</v>
      </c>
      <c r="AW171" s="107">
        <f>IF(A8stdlife="n/a","n/a",IF(AW$3&gt;(A8stdlife+$E171),('PTRM input'!$I$150*(1+rvanilla03)^0.5)-SUM($I171:AV171),('PTRM input'!$I$150*(1+rvanilla03)^0.5)/A8stdlife))</f>
        <v>0</v>
      </c>
      <c r="AX171" s="107">
        <f>IF(A8stdlife="n/a","n/a",IF(AX$3&gt;(A8stdlife+$E171),('PTRM input'!$I$150*(1+rvanilla03)^0.5)-SUM($I171:AW171),('PTRM input'!$I$150*(1+rvanilla03)^0.5)/A8stdlife))</f>
        <v>0</v>
      </c>
      <c r="AY171" s="107">
        <f>IF(A8stdlife="n/a","n/a",IF(AY$3&gt;(A8stdlife+$E171),('PTRM input'!$I$150*(1+rvanilla03)^0.5)-SUM($I171:AX171),('PTRM input'!$I$150*(1+rvanilla03)^0.5)/A8stdlife))</f>
        <v>0</v>
      </c>
      <c r="AZ171" s="107">
        <f>IF(A8stdlife="n/a","n/a",IF(AZ$3&gt;(A8stdlife+$E171),('PTRM input'!$I$150*(1+rvanilla03)^0.5)-SUM($I171:AY171),('PTRM input'!$I$150*(1+rvanilla03)^0.5)/A8stdlife))</f>
        <v>0</v>
      </c>
      <c r="BA171" s="107">
        <f>IF(A8stdlife="n/a","n/a",IF(BA$3&gt;(A8stdlife+$E171),('PTRM input'!$I$150*(1+rvanilla03)^0.5)-SUM($I171:AZ171),('PTRM input'!$I$150*(1+rvanilla03)^0.5)/A8stdlife))</f>
        <v>0</v>
      </c>
      <c r="BB171" s="107">
        <f>IF(A8stdlife="n/a","n/a",IF(BB$3&gt;(A8stdlife+$E171),('PTRM input'!$I$150*(1+rvanilla03)^0.5)-SUM($I171:BA171),('PTRM input'!$I$150*(1+rvanilla03)^0.5)/A8stdlife))</f>
        <v>0</v>
      </c>
      <c r="BC171" s="107">
        <f>IF(A8stdlife="n/a","n/a",IF(BC$3&gt;(A8stdlife+$E171),('PTRM input'!$I$150*(1+rvanilla03)^0.5)-SUM($I171:BB171),('PTRM input'!$I$150*(1+rvanilla03)^0.5)/A8stdlife))</f>
        <v>0</v>
      </c>
      <c r="BD171" s="107">
        <f>IF(A8stdlife="n/a","n/a",IF(BD$3&gt;(A8stdlife+$E171),('PTRM input'!$I$150*(1+rvanilla03)^0.5)-SUM($I171:BC171),('PTRM input'!$I$150*(1+rvanilla03)^0.5)/A8stdlife))</f>
        <v>0</v>
      </c>
      <c r="BE171" s="107">
        <f>IF(A8stdlife="n/a","n/a",IF(BE$3&gt;(A8stdlife+$E171),('PTRM input'!$I$150*(1+rvanilla03)^0.5)-SUM($I171:BD171),('PTRM input'!$I$150*(1+rvanilla03)^0.5)/A8stdlife))</f>
        <v>0</v>
      </c>
      <c r="BF171" s="107">
        <f>IF(A8stdlife="n/a","n/a",IF(BF$3&gt;(A8stdlife+$E171),('PTRM input'!$I$150*(1+rvanilla03)^0.5)-SUM($I171:BE171),('PTRM input'!$I$150*(1+rvanilla03)^0.5)/A8stdlife))</f>
        <v>0</v>
      </c>
      <c r="BG171" s="107">
        <f>IF(A8stdlife="n/a","n/a",IF(BG$3&gt;(A8stdlife+$E171),('PTRM input'!$I$150*(1+rvanilla03)^0.5)-SUM($I171:BF171),('PTRM input'!$I$150*(1+rvanilla03)^0.5)/A8stdlife))</f>
        <v>0</v>
      </c>
      <c r="BH171" s="107">
        <f>IF(A8stdlife="n/a","n/a",IF(BH$3&gt;(A8stdlife+$E171),('PTRM input'!$I$150*(1+rvanilla03)^0.5)-SUM($I171:BG171),('PTRM input'!$I$150*(1+rvanilla03)^0.5)/A8stdlife))</f>
        <v>0</v>
      </c>
      <c r="BI171" s="107">
        <f>IF(A8stdlife="n/a","n/a",IF(BI$3&gt;(A8stdlife+$E171),('PTRM input'!$I$150*(1+rvanilla03)^0.5)-SUM($I171:BH171),('PTRM input'!$I$150*(1+rvanilla03)^0.5)/A8stdlife))</f>
        <v>0</v>
      </c>
      <c r="BJ171" s="237"/>
      <c r="BK171" s="237"/>
      <c r="BL171" s="237"/>
      <c r="BM171" s="237"/>
    </row>
    <row r="172" spans="1:65" s="190" customFormat="1" hidden="1" outlineLevel="2">
      <c r="A172" s="237"/>
      <c r="B172" s="33"/>
      <c r="C172" s="32"/>
      <c r="D172" s="1618"/>
      <c r="E172" s="169">
        <v>4</v>
      </c>
      <c r="F172" s="35"/>
      <c r="G172" s="184"/>
      <c r="H172" s="186"/>
      <c r="I172" s="186"/>
      <c r="J172" s="185"/>
      <c r="K172" s="107">
        <f>IF(A8stdlife="n/a","n/a",IF(K$3&gt;(A8stdlife+$E172),('PTRM input'!$J$150*(1+rvanilla04)^0.5)-SUM($J172:J172),('PTRM input'!$J$150*(1+rvanilla04)^0.5)/A8stdlife))</f>
        <v>0</v>
      </c>
      <c r="L172" s="107">
        <f>IF(A8stdlife="n/a","n/a",IF(L$3&gt;(A8stdlife+$E172),('PTRM input'!$J$150*(1+rvanilla04)^0.5)-SUM($J172:K172),('PTRM input'!$J$150*(1+rvanilla04)^0.5)/A8stdlife))</f>
        <v>0</v>
      </c>
      <c r="M172" s="107">
        <f>IF(A8stdlife="n/a","n/a",IF(M$3&gt;(A8stdlife+$E172),('PTRM input'!$J$150*(1+rvanilla04)^0.5)-SUM($J172:L172),('PTRM input'!$J$150*(1+rvanilla04)^0.5)/A8stdlife))</f>
        <v>0</v>
      </c>
      <c r="N172" s="107">
        <f>IF(A8stdlife="n/a","n/a",IF(N$3&gt;(A8stdlife+$E172),('PTRM input'!$J$150*(1+rvanilla04)^0.5)-SUM($J172:M172),('PTRM input'!$J$150*(1+rvanilla04)^0.5)/A8stdlife))</f>
        <v>0</v>
      </c>
      <c r="O172" s="107">
        <f>IF(A8stdlife="n/a","n/a",IF(O$3&gt;(A8stdlife+$E172),('PTRM input'!$J$150*(1+rvanilla04)^0.5)-SUM($J172:N172),('PTRM input'!$J$150*(1+rvanilla04)^0.5)/A8stdlife))</f>
        <v>0</v>
      </c>
      <c r="P172" s="107">
        <f>IF(A8stdlife="n/a","n/a",IF(P$3&gt;(A8stdlife+$E172),('PTRM input'!$J$150*(1+rvanilla04)^0.5)-SUM($J172:O172),('PTRM input'!$J$150*(1+rvanilla04)^0.5)/A8stdlife))</f>
        <v>0</v>
      </c>
      <c r="Q172" s="107">
        <f>IF(A8stdlife="n/a","n/a",IF(Q$3&gt;(A8stdlife+$E172),('PTRM input'!$J$150*(1+rvanilla04)^0.5)-SUM($J172:P172),('PTRM input'!$J$150*(1+rvanilla04)^0.5)/A8stdlife))</f>
        <v>0</v>
      </c>
      <c r="R172" s="107">
        <f>IF(A8stdlife="n/a","n/a",IF(R$3&gt;(A8stdlife+$E172),('PTRM input'!$J$150*(1+rvanilla04)^0.5)-SUM($J172:Q172),('PTRM input'!$J$150*(1+rvanilla04)^0.5)/A8stdlife))</f>
        <v>0</v>
      </c>
      <c r="S172" s="107">
        <f>IF(A8stdlife="n/a","n/a",IF(S$3&gt;(A8stdlife+$E172),('PTRM input'!$J$150*(1+rvanilla04)^0.5)-SUM($J172:R172),('PTRM input'!$J$150*(1+rvanilla04)^0.5)/A8stdlife))</f>
        <v>0</v>
      </c>
      <c r="T172" s="107">
        <f>IF(A8stdlife="n/a","n/a",IF(T$3&gt;(A8stdlife+$E172),('PTRM input'!$J$150*(1+rvanilla04)^0.5)-SUM($J172:S172),('PTRM input'!$J$150*(1+rvanilla04)^0.5)/A8stdlife))</f>
        <v>0</v>
      </c>
      <c r="U172" s="107">
        <f>IF(A8stdlife="n/a","n/a",IF(U$3&gt;(A8stdlife+$E172),('PTRM input'!$J$150*(1+rvanilla04)^0.5)-SUM($J172:T172),('PTRM input'!$J$150*(1+rvanilla04)^0.5)/A8stdlife))</f>
        <v>0</v>
      </c>
      <c r="V172" s="107">
        <f>IF(A8stdlife="n/a","n/a",IF(V$3&gt;(A8stdlife+$E172),('PTRM input'!$J$150*(1+rvanilla04)^0.5)-SUM($J172:U172),('PTRM input'!$J$150*(1+rvanilla04)^0.5)/A8stdlife))</f>
        <v>0</v>
      </c>
      <c r="W172" s="107">
        <f>IF(A8stdlife="n/a","n/a",IF(W$3&gt;(A8stdlife+$E172),('PTRM input'!$J$150*(1+rvanilla04)^0.5)-SUM($J172:V172),('PTRM input'!$J$150*(1+rvanilla04)^0.5)/A8stdlife))</f>
        <v>0</v>
      </c>
      <c r="X172" s="107">
        <f>IF(A8stdlife="n/a","n/a",IF(X$3&gt;(A8stdlife+$E172),('PTRM input'!$J$150*(1+rvanilla04)^0.5)-SUM($J172:W172),('PTRM input'!$J$150*(1+rvanilla04)^0.5)/A8stdlife))</f>
        <v>0</v>
      </c>
      <c r="Y172" s="107">
        <f>IF(A8stdlife="n/a","n/a",IF(Y$3&gt;(A8stdlife+$E172),('PTRM input'!$J$150*(1+rvanilla04)^0.5)-SUM($J172:X172),('PTRM input'!$J$150*(1+rvanilla04)^0.5)/A8stdlife))</f>
        <v>0</v>
      </c>
      <c r="Z172" s="107">
        <f>IF(A8stdlife="n/a","n/a",IF(Z$3&gt;(A8stdlife+$E172),('PTRM input'!$J$150*(1+rvanilla04)^0.5)-SUM($J172:Y172),('PTRM input'!$J$150*(1+rvanilla04)^0.5)/A8stdlife))</f>
        <v>0</v>
      </c>
      <c r="AA172" s="107">
        <f>IF(A8stdlife="n/a","n/a",IF(AA$3&gt;(A8stdlife+$E172),('PTRM input'!$J$150*(1+rvanilla04)^0.5)-SUM($J172:Z172),('PTRM input'!$J$150*(1+rvanilla04)^0.5)/A8stdlife))</f>
        <v>0</v>
      </c>
      <c r="AB172" s="107">
        <f>IF(A8stdlife="n/a","n/a",IF(AB$3&gt;(A8stdlife+$E172),('PTRM input'!$J$150*(1+rvanilla04)^0.5)-SUM($J172:AA172),('PTRM input'!$J$150*(1+rvanilla04)^0.5)/A8stdlife))</f>
        <v>0</v>
      </c>
      <c r="AC172" s="107">
        <f>IF(A8stdlife="n/a","n/a",IF(AC$3&gt;(A8stdlife+$E172),('PTRM input'!$J$150*(1+rvanilla04)^0.5)-SUM($J172:AB172),('PTRM input'!$J$150*(1+rvanilla04)^0.5)/A8stdlife))</f>
        <v>0</v>
      </c>
      <c r="AD172" s="107">
        <f>IF(A8stdlife="n/a","n/a",IF(AD$3&gt;(A8stdlife+$E172),('PTRM input'!$J$150*(1+rvanilla04)^0.5)-SUM($J172:AC172),('PTRM input'!$J$150*(1+rvanilla04)^0.5)/A8stdlife))</f>
        <v>0</v>
      </c>
      <c r="AE172" s="107">
        <f>IF(A8stdlife="n/a","n/a",IF(AE$3&gt;(A8stdlife+$E172),('PTRM input'!$J$150*(1+rvanilla04)^0.5)-SUM($J172:AD172),('PTRM input'!$J$150*(1+rvanilla04)^0.5)/A8stdlife))</f>
        <v>0</v>
      </c>
      <c r="AF172" s="107">
        <f>IF(A8stdlife="n/a","n/a",IF(AF$3&gt;(A8stdlife+$E172),('PTRM input'!$J$150*(1+rvanilla04)^0.5)-SUM($J172:AE172),('PTRM input'!$J$150*(1+rvanilla04)^0.5)/A8stdlife))</f>
        <v>0</v>
      </c>
      <c r="AG172" s="107">
        <f>IF(A8stdlife="n/a","n/a",IF(AG$3&gt;(A8stdlife+$E172),('PTRM input'!$J$150*(1+rvanilla04)^0.5)-SUM($J172:AF172),('PTRM input'!$J$150*(1+rvanilla04)^0.5)/A8stdlife))</f>
        <v>0</v>
      </c>
      <c r="AH172" s="107">
        <f>IF(A8stdlife="n/a","n/a",IF(AH$3&gt;(A8stdlife+$E172),('PTRM input'!$J$150*(1+rvanilla04)^0.5)-SUM($J172:AG172),('PTRM input'!$J$150*(1+rvanilla04)^0.5)/A8stdlife))</f>
        <v>0</v>
      </c>
      <c r="AI172" s="107">
        <f>IF(A8stdlife="n/a","n/a",IF(AI$3&gt;(A8stdlife+$E172),('PTRM input'!$J$150*(1+rvanilla04)^0.5)-SUM($J172:AH172),('PTRM input'!$J$150*(1+rvanilla04)^0.5)/A8stdlife))</f>
        <v>0</v>
      </c>
      <c r="AJ172" s="107">
        <f>IF(A8stdlife="n/a","n/a",IF(AJ$3&gt;(A8stdlife+$E172),('PTRM input'!$J$150*(1+rvanilla04)^0.5)-SUM($J172:AI172),('PTRM input'!$J$150*(1+rvanilla04)^0.5)/A8stdlife))</f>
        <v>0</v>
      </c>
      <c r="AK172" s="107">
        <f>IF(A8stdlife="n/a","n/a",IF(AK$3&gt;(A8stdlife+$E172),('PTRM input'!$J$150*(1+rvanilla04)^0.5)-SUM($J172:AJ172),('PTRM input'!$J$150*(1+rvanilla04)^0.5)/A8stdlife))</f>
        <v>0</v>
      </c>
      <c r="AL172" s="107">
        <f>IF(A8stdlife="n/a","n/a",IF(AL$3&gt;(A8stdlife+$E172),('PTRM input'!$J$150*(1+rvanilla04)^0.5)-SUM($J172:AK172),('PTRM input'!$J$150*(1+rvanilla04)^0.5)/A8stdlife))</f>
        <v>0</v>
      </c>
      <c r="AM172" s="107">
        <f>IF(A8stdlife="n/a","n/a",IF(AM$3&gt;(A8stdlife+$E172),('PTRM input'!$J$150*(1+rvanilla04)^0.5)-SUM($J172:AL172),('PTRM input'!$J$150*(1+rvanilla04)^0.5)/A8stdlife))</f>
        <v>0</v>
      </c>
      <c r="AN172" s="107">
        <f>IF(A8stdlife="n/a","n/a",IF(AN$3&gt;(A8stdlife+$E172),('PTRM input'!$J$150*(1+rvanilla04)^0.5)-SUM($J172:AM172),('PTRM input'!$J$150*(1+rvanilla04)^0.5)/A8stdlife))</f>
        <v>0</v>
      </c>
      <c r="AO172" s="107">
        <f>IF(A8stdlife="n/a","n/a",IF(AO$3&gt;(A8stdlife+$E172),('PTRM input'!$J$150*(1+rvanilla04)^0.5)-SUM($J172:AN172),('PTRM input'!$J$150*(1+rvanilla04)^0.5)/A8stdlife))</f>
        <v>0</v>
      </c>
      <c r="AP172" s="107">
        <f>IF(A8stdlife="n/a","n/a",IF(AP$3&gt;(A8stdlife+$E172),('PTRM input'!$J$150*(1+rvanilla04)^0.5)-SUM($J172:AO172),('PTRM input'!$J$150*(1+rvanilla04)^0.5)/A8stdlife))</f>
        <v>0</v>
      </c>
      <c r="AQ172" s="107">
        <f>IF(A8stdlife="n/a","n/a",IF(AQ$3&gt;(A8stdlife+$E172),('PTRM input'!$J$150*(1+rvanilla04)^0.5)-SUM($J172:AP172),('PTRM input'!$J$150*(1+rvanilla04)^0.5)/A8stdlife))</f>
        <v>0</v>
      </c>
      <c r="AR172" s="107">
        <f>IF(A8stdlife="n/a","n/a",IF(AR$3&gt;(A8stdlife+$E172),('PTRM input'!$J$150*(1+rvanilla04)^0.5)-SUM($J172:AQ172),('PTRM input'!$J$150*(1+rvanilla04)^0.5)/A8stdlife))</f>
        <v>0</v>
      </c>
      <c r="AS172" s="107">
        <f>IF(A8stdlife="n/a","n/a",IF(AS$3&gt;(A8stdlife+$E172),('PTRM input'!$J$150*(1+rvanilla04)^0.5)-SUM($J172:AR172),('PTRM input'!$J$150*(1+rvanilla04)^0.5)/A8stdlife))</f>
        <v>0</v>
      </c>
      <c r="AT172" s="107">
        <f>IF(A8stdlife="n/a","n/a",IF(AT$3&gt;(A8stdlife+$E172),('PTRM input'!$J$150*(1+rvanilla04)^0.5)-SUM($J172:AS172),('PTRM input'!$J$150*(1+rvanilla04)^0.5)/A8stdlife))</f>
        <v>0</v>
      </c>
      <c r="AU172" s="107">
        <f>IF(A8stdlife="n/a","n/a",IF(AU$3&gt;(A8stdlife+$E172),('PTRM input'!$J$150*(1+rvanilla04)^0.5)-SUM($J172:AT172),('PTRM input'!$J$150*(1+rvanilla04)^0.5)/A8stdlife))</f>
        <v>0</v>
      </c>
      <c r="AV172" s="107">
        <f>IF(A8stdlife="n/a","n/a",IF(AV$3&gt;(A8stdlife+$E172),('PTRM input'!$J$150*(1+rvanilla04)^0.5)-SUM($J172:AU172),('PTRM input'!$J$150*(1+rvanilla04)^0.5)/A8stdlife))</f>
        <v>0</v>
      </c>
      <c r="AW172" s="107">
        <f>IF(A8stdlife="n/a","n/a",IF(AW$3&gt;(A8stdlife+$E172),('PTRM input'!$J$150*(1+rvanilla04)^0.5)-SUM($J172:AV172),('PTRM input'!$J$150*(1+rvanilla04)^0.5)/A8stdlife))</f>
        <v>0</v>
      </c>
      <c r="AX172" s="107">
        <f>IF(A8stdlife="n/a","n/a",IF(AX$3&gt;(A8stdlife+$E172),('PTRM input'!$J$150*(1+rvanilla04)^0.5)-SUM($J172:AW172),('PTRM input'!$J$150*(1+rvanilla04)^0.5)/A8stdlife))</f>
        <v>0</v>
      </c>
      <c r="AY172" s="107">
        <f>IF(A8stdlife="n/a","n/a",IF(AY$3&gt;(A8stdlife+$E172),('PTRM input'!$J$150*(1+rvanilla04)^0.5)-SUM($J172:AX172),('PTRM input'!$J$150*(1+rvanilla04)^0.5)/A8stdlife))</f>
        <v>0</v>
      </c>
      <c r="AZ172" s="107">
        <f>IF(A8stdlife="n/a","n/a",IF(AZ$3&gt;(A8stdlife+$E172),('PTRM input'!$J$150*(1+rvanilla04)^0.5)-SUM($J172:AY172),('PTRM input'!$J$150*(1+rvanilla04)^0.5)/A8stdlife))</f>
        <v>0</v>
      </c>
      <c r="BA172" s="107">
        <f>IF(A8stdlife="n/a","n/a",IF(BA$3&gt;(A8stdlife+$E172),('PTRM input'!$J$150*(1+rvanilla04)^0.5)-SUM($J172:AZ172),('PTRM input'!$J$150*(1+rvanilla04)^0.5)/A8stdlife))</f>
        <v>0</v>
      </c>
      <c r="BB172" s="107">
        <f>IF(A8stdlife="n/a","n/a",IF(BB$3&gt;(A8stdlife+$E172),('PTRM input'!$J$150*(1+rvanilla04)^0.5)-SUM($J172:BA172),('PTRM input'!$J$150*(1+rvanilla04)^0.5)/A8stdlife))</f>
        <v>0</v>
      </c>
      <c r="BC172" s="107">
        <f>IF(A8stdlife="n/a","n/a",IF(BC$3&gt;(A8stdlife+$E172),('PTRM input'!$J$150*(1+rvanilla04)^0.5)-SUM($J172:BB172),('PTRM input'!$J$150*(1+rvanilla04)^0.5)/A8stdlife))</f>
        <v>0</v>
      </c>
      <c r="BD172" s="107">
        <f>IF(A8stdlife="n/a","n/a",IF(BD$3&gt;(A8stdlife+$E172),('PTRM input'!$J$150*(1+rvanilla04)^0.5)-SUM($J172:BC172),('PTRM input'!$J$150*(1+rvanilla04)^0.5)/A8stdlife))</f>
        <v>0</v>
      </c>
      <c r="BE172" s="107">
        <f>IF(A8stdlife="n/a","n/a",IF(BE$3&gt;(A8stdlife+$E172),('PTRM input'!$J$150*(1+rvanilla04)^0.5)-SUM($J172:BD172),('PTRM input'!$J$150*(1+rvanilla04)^0.5)/A8stdlife))</f>
        <v>0</v>
      </c>
      <c r="BF172" s="107">
        <f>IF(A8stdlife="n/a","n/a",IF(BF$3&gt;(A8stdlife+$E172),('PTRM input'!$J$150*(1+rvanilla04)^0.5)-SUM($J172:BE172),('PTRM input'!$J$150*(1+rvanilla04)^0.5)/A8stdlife))</f>
        <v>0</v>
      </c>
      <c r="BG172" s="107">
        <f>IF(A8stdlife="n/a","n/a",IF(BG$3&gt;(A8stdlife+$E172),('PTRM input'!$J$150*(1+rvanilla04)^0.5)-SUM($J172:BF172),('PTRM input'!$J$150*(1+rvanilla04)^0.5)/A8stdlife))</f>
        <v>0</v>
      </c>
      <c r="BH172" s="107">
        <f>IF(A8stdlife="n/a","n/a",IF(BH$3&gt;(A8stdlife+$E172),('PTRM input'!$J$150*(1+rvanilla04)^0.5)-SUM($J172:BG172),('PTRM input'!$J$150*(1+rvanilla04)^0.5)/A8stdlife))</f>
        <v>0</v>
      </c>
      <c r="BI172" s="107">
        <f>IF(A8stdlife="n/a","n/a",IF(BI$3&gt;(A8stdlife+$E172),('PTRM input'!$J$150*(1+rvanilla04)^0.5)-SUM($J172:BH172),('PTRM input'!$J$150*(1+rvanilla04)^0.5)/A8stdlife))</f>
        <v>0</v>
      </c>
      <c r="BJ172" s="237"/>
      <c r="BK172" s="237"/>
      <c r="BL172" s="237"/>
      <c r="BM172" s="237"/>
    </row>
    <row r="173" spans="1:65" s="190" customFormat="1" hidden="1" outlineLevel="2">
      <c r="A173" s="237"/>
      <c r="B173" s="33"/>
      <c r="C173" s="32"/>
      <c r="D173" s="1618"/>
      <c r="E173" s="169">
        <v>5</v>
      </c>
      <c r="F173" s="35"/>
      <c r="G173" s="184"/>
      <c r="H173" s="186"/>
      <c r="I173" s="186"/>
      <c r="J173" s="186"/>
      <c r="K173" s="185"/>
      <c r="L173" s="107">
        <f>IF(A8stdlife="n/a","n/a",IF(L$3&gt;(A8stdlife+$E173),('PTRM input'!$K$150*(1+rvanilla05)^0.5)-SUM($K173:K173),('PTRM input'!$K$150*(1+rvanilla05)^0.5)/A8stdlife))</f>
        <v>0</v>
      </c>
      <c r="M173" s="107">
        <f>IF(A8stdlife="n/a","n/a",IF(M$3&gt;(A8stdlife+$E173),('PTRM input'!$K$150*(1+rvanilla05)^0.5)-SUM($K173:L173),('PTRM input'!$K$150*(1+rvanilla05)^0.5)/A8stdlife))</f>
        <v>0</v>
      </c>
      <c r="N173" s="107">
        <f>IF(A8stdlife="n/a","n/a",IF(N$3&gt;(A8stdlife+$E173),('PTRM input'!$K$150*(1+rvanilla05)^0.5)-SUM($K173:M173),('PTRM input'!$K$150*(1+rvanilla05)^0.5)/A8stdlife))</f>
        <v>0</v>
      </c>
      <c r="O173" s="107">
        <f>IF(A8stdlife="n/a","n/a",IF(O$3&gt;(A8stdlife+$E173),('PTRM input'!$K$150*(1+rvanilla05)^0.5)-SUM($K173:N173),('PTRM input'!$K$150*(1+rvanilla05)^0.5)/A8stdlife))</f>
        <v>0</v>
      </c>
      <c r="P173" s="107">
        <f>IF(A8stdlife="n/a","n/a",IF(P$3&gt;(A8stdlife+$E173),('PTRM input'!$K$150*(1+rvanilla05)^0.5)-SUM($K173:O173),('PTRM input'!$K$150*(1+rvanilla05)^0.5)/A8stdlife))</f>
        <v>0</v>
      </c>
      <c r="Q173" s="107">
        <f>IF(A8stdlife="n/a","n/a",IF(Q$3&gt;(A8stdlife+$E173),('PTRM input'!$K$150*(1+rvanilla05)^0.5)-SUM($K173:P173),('PTRM input'!$K$150*(1+rvanilla05)^0.5)/A8stdlife))</f>
        <v>0</v>
      </c>
      <c r="R173" s="107">
        <f>IF(A8stdlife="n/a","n/a",IF(R$3&gt;(A8stdlife+$E173),('PTRM input'!$K$150*(1+rvanilla05)^0.5)-SUM($K173:Q173),('PTRM input'!$K$150*(1+rvanilla05)^0.5)/A8stdlife))</f>
        <v>0</v>
      </c>
      <c r="S173" s="107">
        <f>IF(A8stdlife="n/a","n/a",IF(S$3&gt;(A8stdlife+$E173),('PTRM input'!$K$150*(1+rvanilla05)^0.5)-SUM($K173:R173),('PTRM input'!$K$150*(1+rvanilla05)^0.5)/A8stdlife))</f>
        <v>0</v>
      </c>
      <c r="T173" s="107">
        <f>IF(A8stdlife="n/a","n/a",IF(T$3&gt;(A8stdlife+$E173),('PTRM input'!$K$150*(1+rvanilla05)^0.5)-SUM($K173:S173),('PTRM input'!$K$150*(1+rvanilla05)^0.5)/A8stdlife))</f>
        <v>0</v>
      </c>
      <c r="U173" s="107">
        <f>IF(A8stdlife="n/a","n/a",IF(U$3&gt;(A8stdlife+$E173),('PTRM input'!$K$150*(1+rvanilla05)^0.5)-SUM($K173:T173),('PTRM input'!$K$150*(1+rvanilla05)^0.5)/A8stdlife))</f>
        <v>0</v>
      </c>
      <c r="V173" s="107">
        <f>IF(A8stdlife="n/a","n/a",IF(V$3&gt;(A8stdlife+$E173),('PTRM input'!$K$150*(1+rvanilla05)^0.5)-SUM($K173:U173),('PTRM input'!$K$150*(1+rvanilla05)^0.5)/A8stdlife))</f>
        <v>0</v>
      </c>
      <c r="W173" s="107">
        <f>IF(A8stdlife="n/a","n/a",IF(W$3&gt;(A8stdlife+$E173),('PTRM input'!$K$150*(1+rvanilla05)^0.5)-SUM($K173:V173),('PTRM input'!$K$150*(1+rvanilla05)^0.5)/A8stdlife))</f>
        <v>0</v>
      </c>
      <c r="X173" s="107">
        <f>IF(A8stdlife="n/a","n/a",IF(X$3&gt;(A8stdlife+$E173),('PTRM input'!$K$150*(1+rvanilla05)^0.5)-SUM($K173:W173),('PTRM input'!$K$150*(1+rvanilla05)^0.5)/A8stdlife))</f>
        <v>0</v>
      </c>
      <c r="Y173" s="107">
        <f>IF(A8stdlife="n/a","n/a",IF(Y$3&gt;(A8stdlife+$E173),('PTRM input'!$K$150*(1+rvanilla05)^0.5)-SUM($K173:X173),('PTRM input'!$K$150*(1+rvanilla05)^0.5)/A8stdlife))</f>
        <v>0</v>
      </c>
      <c r="Z173" s="107">
        <f>IF(A8stdlife="n/a","n/a",IF(Z$3&gt;(A8stdlife+$E173),('PTRM input'!$K$150*(1+rvanilla05)^0.5)-SUM($K173:Y173),('PTRM input'!$K$150*(1+rvanilla05)^0.5)/A8stdlife))</f>
        <v>0</v>
      </c>
      <c r="AA173" s="107">
        <f>IF(A8stdlife="n/a","n/a",IF(AA$3&gt;(A8stdlife+$E173),('PTRM input'!$K$150*(1+rvanilla05)^0.5)-SUM($K173:Z173),('PTRM input'!$K$150*(1+rvanilla05)^0.5)/A8stdlife))</f>
        <v>0</v>
      </c>
      <c r="AB173" s="107">
        <f>IF(A8stdlife="n/a","n/a",IF(AB$3&gt;(A8stdlife+$E173),('PTRM input'!$K$150*(1+rvanilla05)^0.5)-SUM($K173:AA173),('PTRM input'!$K$150*(1+rvanilla05)^0.5)/A8stdlife))</f>
        <v>0</v>
      </c>
      <c r="AC173" s="107">
        <f>IF(A8stdlife="n/a","n/a",IF(AC$3&gt;(A8stdlife+$E173),('PTRM input'!$K$150*(1+rvanilla05)^0.5)-SUM($K173:AB173),('PTRM input'!$K$150*(1+rvanilla05)^0.5)/A8stdlife))</f>
        <v>0</v>
      </c>
      <c r="AD173" s="107">
        <f>IF(A8stdlife="n/a","n/a",IF(AD$3&gt;(A8stdlife+$E173),('PTRM input'!$K$150*(1+rvanilla05)^0.5)-SUM($K173:AC173),('PTRM input'!$K$150*(1+rvanilla05)^0.5)/A8stdlife))</f>
        <v>0</v>
      </c>
      <c r="AE173" s="107">
        <f>IF(A8stdlife="n/a","n/a",IF(AE$3&gt;(A8stdlife+$E173),('PTRM input'!$K$150*(1+rvanilla05)^0.5)-SUM($K173:AD173),('PTRM input'!$K$150*(1+rvanilla05)^0.5)/A8stdlife))</f>
        <v>0</v>
      </c>
      <c r="AF173" s="107">
        <f>IF(A8stdlife="n/a","n/a",IF(AF$3&gt;(A8stdlife+$E173),('PTRM input'!$K$150*(1+rvanilla05)^0.5)-SUM($K173:AE173),('PTRM input'!$K$150*(1+rvanilla05)^0.5)/A8stdlife))</f>
        <v>0</v>
      </c>
      <c r="AG173" s="107">
        <f>IF(A8stdlife="n/a","n/a",IF(AG$3&gt;(A8stdlife+$E173),('PTRM input'!$K$150*(1+rvanilla05)^0.5)-SUM($K173:AF173),('PTRM input'!$K$150*(1+rvanilla05)^0.5)/A8stdlife))</f>
        <v>0</v>
      </c>
      <c r="AH173" s="107">
        <f>IF(A8stdlife="n/a","n/a",IF(AH$3&gt;(A8stdlife+$E173),('PTRM input'!$K$150*(1+rvanilla05)^0.5)-SUM($K173:AG173),('PTRM input'!$K$150*(1+rvanilla05)^0.5)/A8stdlife))</f>
        <v>0</v>
      </c>
      <c r="AI173" s="107">
        <f>IF(A8stdlife="n/a","n/a",IF(AI$3&gt;(A8stdlife+$E173),('PTRM input'!$K$150*(1+rvanilla05)^0.5)-SUM($K173:AH173),('PTRM input'!$K$150*(1+rvanilla05)^0.5)/A8stdlife))</f>
        <v>0</v>
      </c>
      <c r="AJ173" s="107">
        <f>IF(A8stdlife="n/a","n/a",IF(AJ$3&gt;(A8stdlife+$E173),('PTRM input'!$K$150*(1+rvanilla05)^0.5)-SUM($K173:AI173),('PTRM input'!$K$150*(1+rvanilla05)^0.5)/A8stdlife))</f>
        <v>0</v>
      </c>
      <c r="AK173" s="107">
        <f>IF(A8stdlife="n/a","n/a",IF(AK$3&gt;(A8stdlife+$E173),('PTRM input'!$K$150*(1+rvanilla05)^0.5)-SUM($K173:AJ173),('PTRM input'!$K$150*(1+rvanilla05)^0.5)/A8stdlife))</f>
        <v>0</v>
      </c>
      <c r="AL173" s="107">
        <f>IF(A8stdlife="n/a","n/a",IF(AL$3&gt;(A8stdlife+$E173),('PTRM input'!$K$150*(1+rvanilla05)^0.5)-SUM($K173:AK173),('PTRM input'!$K$150*(1+rvanilla05)^0.5)/A8stdlife))</f>
        <v>0</v>
      </c>
      <c r="AM173" s="107">
        <f>IF(A8stdlife="n/a","n/a",IF(AM$3&gt;(A8stdlife+$E173),('PTRM input'!$K$150*(1+rvanilla05)^0.5)-SUM($K173:AL173),('PTRM input'!$K$150*(1+rvanilla05)^0.5)/A8stdlife))</f>
        <v>0</v>
      </c>
      <c r="AN173" s="107">
        <f>IF(A8stdlife="n/a","n/a",IF(AN$3&gt;(A8stdlife+$E173),('PTRM input'!$K$150*(1+rvanilla05)^0.5)-SUM($K173:AM173),('PTRM input'!$K$150*(1+rvanilla05)^0.5)/A8stdlife))</f>
        <v>0</v>
      </c>
      <c r="AO173" s="107">
        <f>IF(A8stdlife="n/a","n/a",IF(AO$3&gt;(A8stdlife+$E173),('PTRM input'!$K$150*(1+rvanilla05)^0.5)-SUM($K173:AN173),('PTRM input'!$K$150*(1+rvanilla05)^0.5)/A8stdlife))</f>
        <v>0</v>
      </c>
      <c r="AP173" s="107">
        <f>IF(A8stdlife="n/a","n/a",IF(AP$3&gt;(A8stdlife+$E173),('PTRM input'!$K$150*(1+rvanilla05)^0.5)-SUM($K173:AO173),('PTRM input'!$K$150*(1+rvanilla05)^0.5)/A8stdlife))</f>
        <v>0</v>
      </c>
      <c r="AQ173" s="107">
        <f>IF(A8stdlife="n/a","n/a",IF(AQ$3&gt;(A8stdlife+$E173),('PTRM input'!$K$150*(1+rvanilla05)^0.5)-SUM($K173:AP173),('PTRM input'!$K$150*(1+rvanilla05)^0.5)/A8stdlife))</f>
        <v>0</v>
      </c>
      <c r="AR173" s="107">
        <f>IF(A8stdlife="n/a","n/a",IF(AR$3&gt;(A8stdlife+$E173),('PTRM input'!$K$150*(1+rvanilla05)^0.5)-SUM($K173:AQ173),('PTRM input'!$K$150*(1+rvanilla05)^0.5)/A8stdlife))</f>
        <v>0</v>
      </c>
      <c r="AS173" s="107">
        <f>IF(A8stdlife="n/a","n/a",IF(AS$3&gt;(A8stdlife+$E173),('PTRM input'!$K$150*(1+rvanilla05)^0.5)-SUM($K173:AR173),('PTRM input'!$K$150*(1+rvanilla05)^0.5)/A8stdlife))</f>
        <v>0</v>
      </c>
      <c r="AT173" s="107">
        <f>IF(A8stdlife="n/a","n/a",IF(AT$3&gt;(A8stdlife+$E173),('PTRM input'!$K$150*(1+rvanilla05)^0.5)-SUM($K173:AS173),('PTRM input'!$K$150*(1+rvanilla05)^0.5)/A8stdlife))</f>
        <v>0</v>
      </c>
      <c r="AU173" s="107">
        <f>IF(A8stdlife="n/a","n/a",IF(AU$3&gt;(A8stdlife+$E173),('PTRM input'!$K$150*(1+rvanilla05)^0.5)-SUM($K173:AT173),('PTRM input'!$K$150*(1+rvanilla05)^0.5)/A8stdlife))</f>
        <v>0</v>
      </c>
      <c r="AV173" s="107">
        <f>IF(A8stdlife="n/a","n/a",IF(AV$3&gt;(A8stdlife+$E173),('PTRM input'!$K$150*(1+rvanilla05)^0.5)-SUM($K173:AU173),('PTRM input'!$K$150*(1+rvanilla05)^0.5)/A8stdlife))</f>
        <v>0</v>
      </c>
      <c r="AW173" s="107">
        <f>IF(A8stdlife="n/a","n/a",IF(AW$3&gt;(A8stdlife+$E173),('PTRM input'!$K$150*(1+rvanilla05)^0.5)-SUM($K173:AV173),('PTRM input'!$K$150*(1+rvanilla05)^0.5)/A8stdlife))</f>
        <v>0</v>
      </c>
      <c r="AX173" s="107">
        <f>IF(A8stdlife="n/a","n/a",IF(AX$3&gt;(A8stdlife+$E173),('PTRM input'!$K$150*(1+rvanilla05)^0.5)-SUM($K173:AW173),('PTRM input'!$K$150*(1+rvanilla05)^0.5)/A8stdlife))</f>
        <v>0</v>
      </c>
      <c r="AY173" s="107">
        <f>IF(A8stdlife="n/a","n/a",IF(AY$3&gt;(A8stdlife+$E173),('PTRM input'!$K$150*(1+rvanilla05)^0.5)-SUM($K173:AX173),('PTRM input'!$K$150*(1+rvanilla05)^0.5)/A8stdlife))</f>
        <v>0</v>
      </c>
      <c r="AZ173" s="107">
        <f>IF(A8stdlife="n/a","n/a",IF(AZ$3&gt;(A8stdlife+$E173),('PTRM input'!$K$150*(1+rvanilla05)^0.5)-SUM($K173:AY173),('PTRM input'!$K$150*(1+rvanilla05)^0.5)/A8stdlife))</f>
        <v>0</v>
      </c>
      <c r="BA173" s="107">
        <f>IF(A8stdlife="n/a","n/a",IF(BA$3&gt;(A8stdlife+$E173),('PTRM input'!$K$150*(1+rvanilla05)^0.5)-SUM($K173:AZ173),('PTRM input'!$K$150*(1+rvanilla05)^0.5)/A8stdlife))</f>
        <v>0</v>
      </c>
      <c r="BB173" s="107">
        <f>IF(A8stdlife="n/a","n/a",IF(BB$3&gt;(A8stdlife+$E173),('PTRM input'!$K$150*(1+rvanilla05)^0.5)-SUM($K173:BA173),('PTRM input'!$K$150*(1+rvanilla05)^0.5)/A8stdlife))</f>
        <v>0</v>
      </c>
      <c r="BC173" s="107">
        <f>IF(A8stdlife="n/a","n/a",IF(BC$3&gt;(A8stdlife+$E173),('PTRM input'!$K$150*(1+rvanilla05)^0.5)-SUM($K173:BB173),('PTRM input'!$K$150*(1+rvanilla05)^0.5)/A8stdlife))</f>
        <v>0</v>
      </c>
      <c r="BD173" s="107">
        <f>IF(A8stdlife="n/a","n/a",IF(BD$3&gt;(A8stdlife+$E173),('PTRM input'!$K$150*(1+rvanilla05)^0.5)-SUM($K173:BC173),('PTRM input'!$K$150*(1+rvanilla05)^0.5)/A8stdlife))</f>
        <v>0</v>
      </c>
      <c r="BE173" s="107">
        <f>IF(A8stdlife="n/a","n/a",IF(BE$3&gt;(A8stdlife+$E173),('PTRM input'!$K$150*(1+rvanilla05)^0.5)-SUM($K173:BD173),('PTRM input'!$K$150*(1+rvanilla05)^0.5)/A8stdlife))</f>
        <v>0</v>
      </c>
      <c r="BF173" s="107">
        <f>IF(A8stdlife="n/a","n/a",IF(BF$3&gt;(A8stdlife+$E173),('PTRM input'!$K$150*(1+rvanilla05)^0.5)-SUM($K173:BE173),('PTRM input'!$K$150*(1+rvanilla05)^0.5)/A8stdlife))</f>
        <v>0</v>
      </c>
      <c r="BG173" s="107">
        <f>IF(A8stdlife="n/a","n/a",IF(BG$3&gt;(A8stdlife+$E173),('PTRM input'!$K$150*(1+rvanilla05)^0.5)-SUM($K173:BF173),('PTRM input'!$K$150*(1+rvanilla05)^0.5)/A8stdlife))</f>
        <v>0</v>
      </c>
      <c r="BH173" s="107">
        <f>IF(A8stdlife="n/a","n/a",IF(BH$3&gt;(A8stdlife+$E173),('PTRM input'!$K$150*(1+rvanilla05)^0.5)-SUM($K173:BG173),('PTRM input'!$K$150*(1+rvanilla05)^0.5)/A8stdlife))</f>
        <v>0</v>
      </c>
      <c r="BI173" s="107">
        <f>IF(A8stdlife="n/a","n/a",IF(BI$3&gt;(A8stdlife+$E173),('PTRM input'!$K$150*(1+rvanilla05)^0.5)-SUM($K173:BH173),('PTRM input'!$K$150*(1+rvanilla05)^0.5)/A8stdlife))</f>
        <v>0</v>
      </c>
      <c r="BJ173" s="237"/>
      <c r="BK173" s="237"/>
      <c r="BL173" s="237"/>
      <c r="BM173" s="237"/>
    </row>
    <row r="174" spans="1:65" s="190" customFormat="1" hidden="1" outlineLevel="2">
      <c r="A174" s="237"/>
      <c r="B174" s="33"/>
      <c r="C174" s="32"/>
      <c r="D174" s="1618"/>
      <c r="E174" s="169">
        <v>6</v>
      </c>
      <c r="F174" s="35"/>
      <c r="G174" s="184"/>
      <c r="H174" s="186"/>
      <c r="I174" s="186"/>
      <c r="J174" s="186"/>
      <c r="K174" s="186"/>
      <c r="L174" s="185"/>
      <c r="M174" s="107">
        <f>IF(A8stdlife="n/a","n/a",IF(M$3&gt;(A8stdlife+$E174),('PTRM input'!$L$150*(1+rvanilla06)^0.5)-SUM($L174:L174),('PTRM input'!$L$150*(1+rvanilla06)^0.5)/A8stdlife))</f>
        <v>0</v>
      </c>
      <c r="N174" s="107">
        <f>IF(A8stdlife="n/a","n/a",IF(N$3&gt;(A8stdlife+$E174),('PTRM input'!$L$150*(1+rvanilla06)^0.5)-SUM($L174:M174),('PTRM input'!$L$150*(1+rvanilla06)^0.5)/A8stdlife))</f>
        <v>0</v>
      </c>
      <c r="O174" s="107">
        <f>IF(A8stdlife="n/a","n/a",IF(O$3&gt;(A8stdlife+$E174),('PTRM input'!$L$150*(1+rvanilla06)^0.5)-SUM($L174:N174),('PTRM input'!$L$150*(1+rvanilla06)^0.5)/A8stdlife))</f>
        <v>0</v>
      </c>
      <c r="P174" s="107">
        <f>IF(A8stdlife="n/a","n/a",IF(P$3&gt;(A8stdlife+$E174),('PTRM input'!$L$150*(1+rvanilla06)^0.5)-SUM($L174:O174),('PTRM input'!$L$150*(1+rvanilla06)^0.5)/A8stdlife))</f>
        <v>0</v>
      </c>
      <c r="Q174" s="107">
        <f>IF(A8stdlife="n/a","n/a",IF(Q$3&gt;(A8stdlife+$E174),('PTRM input'!$L$150*(1+rvanilla06)^0.5)-SUM($L174:P174),('PTRM input'!$L$150*(1+rvanilla06)^0.5)/A8stdlife))</f>
        <v>0</v>
      </c>
      <c r="R174" s="107">
        <f>IF(A8stdlife="n/a","n/a",IF(R$3&gt;(A8stdlife+$E174),('PTRM input'!$L$150*(1+rvanilla06)^0.5)-SUM($L174:Q174),('PTRM input'!$L$150*(1+rvanilla06)^0.5)/A8stdlife))</f>
        <v>0</v>
      </c>
      <c r="S174" s="107">
        <f>IF(A8stdlife="n/a","n/a",IF(S$3&gt;(A8stdlife+$E174),('PTRM input'!$L$150*(1+rvanilla06)^0.5)-SUM($L174:R174),('PTRM input'!$L$150*(1+rvanilla06)^0.5)/A8stdlife))</f>
        <v>0</v>
      </c>
      <c r="T174" s="107">
        <f>IF(A8stdlife="n/a","n/a",IF(T$3&gt;(A8stdlife+$E174),('PTRM input'!$L$150*(1+rvanilla06)^0.5)-SUM($L174:S174),('PTRM input'!$L$150*(1+rvanilla06)^0.5)/A8stdlife))</f>
        <v>0</v>
      </c>
      <c r="U174" s="107">
        <f>IF(A8stdlife="n/a","n/a",IF(U$3&gt;(A8stdlife+$E174),('PTRM input'!$L$150*(1+rvanilla06)^0.5)-SUM($L174:T174),('PTRM input'!$L$150*(1+rvanilla06)^0.5)/A8stdlife))</f>
        <v>0</v>
      </c>
      <c r="V174" s="107">
        <f>IF(A8stdlife="n/a","n/a",IF(V$3&gt;(A8stdlife+$E174),('PTRM input'!$L$150*(1+rvanilla06)^0.5)-SUM($L174:U174),('PTRM input'!$L$150*(1+rvanilla06)^0.5)/A8stdlife))</f>
        <v>0</v>
      </c>
      <c r="W174" s="107">
        <f>IF(A8stdlife="n/a","n/a",IF(W$3&gt;(A8stdlife+$E174),('PTRM input'!$L$150*(1+rvanilla06)^0.5)-SUM($L174:V174),('PTRM input'!$L$150*(1+rvanilla06)^0.5)/A8stdlife))</f>
        <v>0</v>
      </c>
      <c r="X174" s="107">
        <f>IF(A8stdlife="n/a","n/a",IF(X$3&gt;(A8stdlife+$E174),('PTRM input'!$L$150*(1+rvanilla06)^0.5)-SUM($L174:W174),('PTRM input'!$L$150*(1+rvanilla06)^0.5)/A8stdlife))</f>
        <v>0</v>
      </c>
      <c r="Y174" s="107">
        <f>IF(A8stdlife="n/a","n/a",IF(Y$3&gt;(A8stdlife+$E174),('PTRM input'!$L$150*(1+rvanilla06)^0.5)-SUM($L174:X174),('PTRM input'!$L$150*(1+rvanilla06)^0.5)/A8stdlife))</f>
        <v>0</v>
      </c>
      <c r="Z174" s="107">
        <f>IF(A8stdlife="n/a","n/a",IF(Z$3&gt;(A8stdlife+$E174),('PTRM input'!$L$150*(1+rvanilla06)^0.5)-SUM($L174:Y174),('PTRM input'!$L$150*(1+rvanilla06)^0.5)/A8stdlife))</f>
        <v>0</v>
      </c>
      <c r="AA174" s="107">
        <f>IF(A8stdlife="n/a","n/a",IF(AA$3&gt;(A8stdlife+$E174),('PTRM input'!$L$150*(1+rvanilla06)^0.5)-SUM($L174:Z174),('PTRM input'!$L$150*(1+rvanilla06)^0.5)/A8stdlife))</f>
        <v>0</v>
      </c>
      <c r="AB174" s="107">
        <f>IF(A8stdlife="n/a","n/a",IF(AB$3&gt;(A8stdlife+$E174),('PTRM input'!$L$150*(1+rvanilla06)^0.5)-SUM($L174:AA174),('PTRM input'!$L$150*(1+rvanilla06)^0.5)/A8stdlife))</f>
        <v>0</v>
      </c>
      <c r="AC174" s="107">
        <f>IF(A8stdlife="n/a","n/a",IF(AC$3&gt;(A8stdlife+$E174),('PTRM input'!$L$150*(1+rvanilla06)^0.5)-SUM($L174:AB174),('PTRM input'!$L$150*(1+rvanilla06)^0.5)/A8stdlife))</f>
        <v>0</v>
      </c>
      <c r="AD174" s="107">
        <f>IF(A8stdlife="n/a","n/a",IF(AD$3&gt;(A8stdlife+$E174),('PTRM input'!$L$150*(1+rvanilla06)^0.5)-SUM($L174:AC174),('PTRM input'!$L$150*(1+rvanilla06)^0.5)/A8stdlife))</f>
        <v>0</v>
      </c>
      <c r="AE174" s="107">
        <f>IF(A8stdlife="n/a","n/a",IF(AE$3&gt;(A8stdlife+$E174),('PTRM input'!$L$150*(1+rvanilla06)^0.5)-SUM($L174:AD174),('PTRM input'!$L$150*(1+rvanilla06)^0.5)/A8stdlife))</f>
        <v>0</v>
      </c>
      <c r="AF174" s="107">
        <f>IF(A8stdlife="n/a","n/a",IF(AF$3&gt;(A8stdlife+$E174),('PTRM input'!$L$150*(1+rvanilla06)^0.5)-SUM($L174:AE174),('PTRM input'!$L$150*(1+rvanilla06)^0.5)/A8stdlife))</f>
        <v>0</v>
      </c>
      <c r="AG174" s="107">
        <f>IF(A8stdlife="n/a","n/a",IF(AG$3&gt;(A8stdlife+$E174),('PTRM input'!$L$150*(1+rvanilla06)^0.5)-SUM($L174:AF174),('PTRM input'!$L$150*(1+rvanilla06)^0.5)/A8stdlife))</f>
        <v>0</v>
      </c>
      <c r="AH174" s="107">
        <f>IF(A8stdlife="n/a","n/a",IF(AH$3&gt;(A8stdlife+$E174),('PTRM input'!$L$150*(1+rvanilla06)^0.5)-SUM($L174:AG174),('PTRM input'!$L$150*(1+rvanilla06)^0.5)/A8stdlife))</f>
        <v>0</v>
      </c>
      <c r="AI174" s="107">
        <f>IF(A8stdlife="n/a","n/a",IF(AI$3&gt;(A8stdlife+$E174),('PTRM input'!$L$150*(1+rvanilla06)^0.5)-SUM($L174:AH174),('PTRM input'!$L$150*(1+rvanilla06)^0.5)/A8stdlife))</f>
        <v>0</v>
      </c>
      <c r="AJ174" s="107">
        <f>IF(A8stdlife="n/a","n/a",IF(AJ$3&gt;(A8stdlife+$E174),('PTRM input'!$L$150*(1+rvanilla06)^0.5)-SUM($L174:AI174),('PTRM input'!$L$150*(1+rvanilla06)^0.5)/A8stdlife))</f>
        <v>0</v>
      </c>
      <c r="AK174" s="107">
        <f>IF(A8stdlife="n/a","n/a",IF(AK$3&gt;(A8stdlife+$E174),('PTRM input'!$L$150*(1+rvanilla06)^0.5)-SUM($L174:AJ174),('PTRM input'!$L$150*(1+rvanilla06)^0.5)/A8stdlife))</f>
        <v>0</v>
      </c>
      <c r="AL174" s="107">
        <f>IF(A8stdlife="n/a","n/a",IF(AL$3&gt;(A8stdlife+$E174),('PTRM input'!$L$150*(1+rvanilla06)^0.5)-SUM($L174:AK174),('PTRM input'!$L$150*(1+rvanilla06)^0.5)/A8stdlife))</f>
        <v>0</v>
      </c>
      <c r="AM174" s="107">
        <f>IF(A8stdlife="n/a","n/a",IF(AM$3&gt;(A8stdlife+$E174),('PTRM input'!$L$150*(1+rvanilla06)^0.5)-SUM($L174:AL174),('PTRM input'!$L$150*(1+rvanilla06)^0.5)/A8stdlife))</f>
        <v>0</v>
      </c>
      <c r="AN174" s="107">
        <f>IF(A8stdlife="n/a","n/a",IF(AN$3&gt;(A8stdlife+$E174),('PTRM input'!$L$150*(1+rvanilla06)^0.5)-SUM($L174:AM174),('PTRM input'!$L$150*(1+rvanilla06)^0.5)/A8stdlife))</f>
        <v>0</v>
      </c>
      <c r="AO174" s="107">
        <f>IF(A8stdlife="n/a","n/a",IF(AO$3&gt;(A8stdlife+$E174),('PTRM input'!$L$150*(1+rvanilla06)^0.5)-SUM($L174:AN174),('PTRM input'!$L$150*(1+rvanilla06)^0.5)/A8stdlife))</f>
        <v>0</v>
      </c>
      <c r="AP174" s="107">
        <f>IF(A8stdlife="n/a","n/a",IF(AP$3&gt;(A8stdlife+$E174),('PTRM input'!$L$150*(1+rvanilla06)^0.5)-SUM($L174:AO174),('PTRM input'!$L$150*(1+rvanilla06)^0.5)/A8stdlife))</f>
        <v>0</v>
      </c>
      <c r="AQ174" s="107">
        <f>IF(A8stdlife="n/a","n/a",IF(AQ$3&gt;(A8stdlife+$E174),('PTRM input'!$L$150*(1+rvanilla06)^0.5)-SUM($L174:AP174),('PTRM input'!$L$150*(1+rvanilla06)^0.5)/A8stdlife))</f>
        <v>0</v>
      </c>
      <c r="AR174" s="107">
        <f>IF(A8stdlife="n/a","n/a",IF(AR$3&gt;(A8stdlife+$E174),('PTRM input'!$L$150*(1+rvanilla06)^0.5)-SUM($L174:AQ174),('PTRM input'!$L$150*(1+rvanilla06)^0.5)/A8stdlife))</f>
        <v>0</v>
      </c>
      <c r="AS174" s="107">
        <f>IF(A8stdlife="n/a","n/a",IF(AS$3&gt;(A8stdlife+$E174),('PTRM input'!$L$150*(1+rvanilla06)^0.5)-SUM($L174:AR174),('PTRM input'!$L$150*(1+rvanilla06)^0.5)/A8stdlife))</f>
        <v>0</v>
      </c>
      <c r="AT174" s="107">
        <f>IF(A8stdlife="n/a","n/a",IF(AT$3&gt;(A8stdlife+$E174),('PTRM input'!$L$150*(1+rvanilla06)^0.5)-SUM($L174:AS174),('PTRM input'!$L$150*(1+rvanilla06)^0.5)/A8stdlife))</f>
        <v>0</v>
      </c>
      <c r="AU174" s="107">
        <f>IF(A8stdlife="n/a","n/a",IF(AU$3&gt;(A8stdlife+$E174),('PTRM input'!$L$150*(1+rvanilla06)^0.5)-SUM($L174:AT174),('PTRM input'!$L$150*(1+rvanilla06)^0.5)/A8stdlife))</f>
        <v>0</v>
      </c>
      <c r="AV174" s="107">
        <f>IF(A8stdlife="n/a","n/a",IF(AV$3&gt;(A8stdlife+$E174),('PTRM input'!$L$150*(1+rvanilla06)^0.5)-SUM($L174:AU174),('PTRM input'!$L$150*(1+rvanilla06)^0.5)/A8stdlife))</f>
        <v>0</v>
      </c>
      <c r="AW174" s="107">
        <f>IF(A8stdlife="n/a","n/a",IF(AW$3&gt;(A8stdlife+$E174),('PTRM input'!$L$150*(1+rvanilla06)^0.5)-SUM($L174:AV174),('PTRM input'!$L$150*(1+rvanilla06)^0.5)/A8stdlife))</f>
        <v>0</v>
      </c>
      <c r="AX174" s="107">
        <f>IF(A8stdlife="n/a","n/a",IF(AX$3&gt;(A8stdlife+$E174),('PTRM input'!$L$150*(1+rvanilla06)^0.5)-SUM($L174:AW174),('PTRM input'!$L$150*(1+rvanilla06)^0.5)/A8stdlife))</f>
        <v>0</v>
      </c>
      <c r="AY174" s="107">
        <f>IF(A8stdlife="n/a","n/a",IF(AY$3&gt;(A8stdlife+$E174),('PTRM input'!$L$150*(1+rvanilla06)^0.5)-SUM($L174:AX174),('PTRM input'!$L$150*(1+rvanilla06)^0.5)/A8stdlife))</f>
        <v>0</v>
      </c>
      <c r="AZ174" s="107">
        <f>IF(A8stdlife="n/a","n/a",IF(AZ$3&gt;(A8stdlife+$E174),('PTRM input'!$L$150*(1+rvanilla06)^0.5)-SUM($L174:AY174),('PTRM input'!$L$150*(1+rvanilla06)^0.5)/A8stdlife))</f>
        <v>0</v>
      </c>
      <c r="BA174" s="107">
        <f>IF(A8stdlife="n/a","n/a",IF(BA$3&gt;(A8stdlife+$E174),('PTRM input'!$L$150*(1+rvanilla06)^0.5)-SUM($L174:AZ174),('PTRM input'!$L$150*(1+rvanilla06)^0.5)/A8stdlife))</f>
        <v>0</v>
      </c>
      <c r="BB174" s="107">
        <f>IF(A8stdlife="n/a","n/a",IF(BB$3&gt;(A8stdlife+$E174),('PTRM input'!$L$150*(1+rvanilla06)^0.5)-SUM($L174:BA174),('PTRM input'!$L$150*(1+rvanilla06)^0.5)/A8stdlife))</f>
        <v>0</v>
      </c>
      <c r="BC174" s="107">
        <f>IF(A8stdlife="n/a","n/a",IF(BC$3&gt;(A8stdlife+$E174),('PTRM input'!$L$150*(1+rvanilla06)^0.5)-SUM($L174:BB174),('PTRM input'!$L$150*(1+rvanilla06)^0.5)/A8stdlife))</f>
        <v>0</v>
      </c>
      <c r="BD174" s="107">
        <f>IF(A8stdlife="n/a","n/a",IF(BD$3&gt;(A8stdlife+$E174),('PTRM input'!$L$150*(1+rvanilla06)^0.5)-SUM($L174:BC174),('PTRM input'!$L$150*(1+rvanilla06)^0.5)/A8stdlife))</f>
        <v>0</v>
      </c>
      <c r="BE174" s="107">
        <f>IF(A8stdlife="n/a","n/a",IF(BE$3&gt;(A8stdlife+$E174),('PTRM input'!$L$150*(1+rvanilla06)^0.5)-SUM($L174:BD174),('PTRM input'!$L$150*(1+rvanilla06)^0.5)/A8stdlife))</f>
        <v>0</v>
      </c>
      <c r="BF174" s="107">
        <f>IF(A8stdlife="n/a","n/a",IF(BF$3&gt;(A8stdlife+$E174),('PTRM input'!$L$150*(1+rvanilla06)^0.5)-SUM($L174:BE174),('PTRM input'!$L$150*(1+rvanilla06)^0.5)/A8stdlife))</f>
        <v>0</v>
      </c>
      <c r="BG174" s="107">
        <f>IF(A8stdlife="n/a","n/a",IF(BG$3&gt;(A8stdlife+$E174),('PTRM input'!$L$150*(1+rvanilla06)^0.5)-SUM($L174:BF174),('PTRM input'!$L$150*(1+rvanilla06)^0.5)/A8stdlife))</f>
        <v>0</v>
      </c>
      <c r="BH174" s="107">
        <f>IF(A8stdlife="n/a","n/a",IF(BH$3&gt;(A8stdlife+$E174),('PTRM input'!$L$150*(1+rvanilla06)^0.5)-SUM($L174:BG174),('PTRM input'!$L$150*(1+rvanilla06)^0.5)/A8stdlife))</f>
        <v>0</v>
      </c>
      <c r="BI174" s="107">
        <f>IF(A8stdlife="n/a","n/a",IF(BI$3&gt;(A8stdlife+$E174),('PTRM input'!$L$150*(1+rvanilla06)^0.5)-SUM($L174:BH174),('PTRM input'!$L$150*(1+rvanilla06)^0.5)/A8stdlife))</f>
        <v>0</v>
      </c>
      <c r="BJ174" s="237"/>
      <c r="BK174" s="237"/>
      <c r="BL174" s="237"/>
      <c r="BM174" s="237"/>
    </row>
    <row r="175" spans="1:65" s="190" customFormat="1" hidden="1" outlineLevel="2">
      <c r="A175" s="237"/>
      <c r="B175" s="33"/>
      <c r="C175" s="32"/>
      <c r="D175" s="1618"/>
      <c r="E175" s="169">
        <v>7</v>
      </c>
      <c r="F175" s="35"/>
      <c r="G175" s="184"/>
      <c r="H175" s="186"/>
      <c r="I175" s="186"/>
      <c r="J175" s="186"/>
      <c r="K175" s="186"/>
      <c r="L175" s="186"/>
      <c r="M175" s="185"/>
      <c r="N175" s="107">
        <f>IF(A8stdlife="n/a","n/a",IF(N$3&gt;(A8stdlife+$E175),('PTRM input'!$M$150*(1+rvanilla07)^0.5)-SUM($M175:M175),('PTRM input'!$M$150*(1+rvanilla07)^0.5)/A8stdlife))</f>
        <v>0</v>
      </c>
      <c r="O175" s="107">
        <f>IF(A8stdlife="n/a","n/a",IF(O$3&gt;(A8stdlife+$E175),('PTRM input'!$M$150*(1+rvanilla07)^0.5)-SUM($M175:N175),('PTRM input'!$M$150*(1+rvanilla07)^0.5)/A8stdlife))</f>
        <v>0</v>
      </c>
      <c r="P175" s="107">
        <f>IF(A8stdlife="n/a","n/a",IF(P$3&gt;(A8stdlife+$E175),('PTRM input'!$M$150*(1+rvanilla07)^0.5)-SUM($M175:O175),('PTRM input'!$M$150*(1+rvanilla07)^0.5)/A8stdlife))</f>
        <v>0</v>
      </c>
      <c r="Q175" s="107">
        <f>IF(A8stdlife="n/a","n/a",IF(Q$3&gt;(A8stdlife+$E175),('PTRM input'!$M$150*(1+rvanilla07)^0.5)-SUM($M175:P175),('PTRM input'!$M$150*(1+rvanilla07)^0.5)/A8stdlife))</f>
        <v>0</v>
      </c>
      <c r="R175" s="107">
        <f>IF(A8stdlife="n/a","n/a",IF(R$3&gt;(A8stdlife+$E175),('PTRM input'!$M$150*(1+rvanilla07)^0.5)-SUM($M175:Q175),('PTRM input'!$M$150*(1+rvanilla07)^0.5)/A8stdlife))</f>
        <v>0</v>
      </c>
      <c r="S175" s="107">
        <f>IF(A8stdlife="n/a","n/a",IF(S$3&gt;(A8stdlife+$E175),('PTRM input'!$M$150*(1+rvanilla07)^0.5)-SUM($M175:R175),('PTRM input'!$M$150*(1+rvanilla07)^0.5)/A8stdlife))</f>
        <v>0</v>
      </c>
      <c r="T175" s="107">
        <f>IF(A8stdlife="n/a","n/a",IF(T$3&gt;(A8stdlife+$E175),('PTRM input'!$M$150*(1+rvanilla07)^0.5)-SUM($M175:S175),('PTRM input'!$M$150*(1+rvanilla07)^0.5)/A8stdlife))</f>
        <v>0</v>
      </c>
      <c r="U175" s="107">
        <f>IF(A8stdlife="n/a","n/a",IF(U$3&gt;(A8stdlife+$E175),('PTRM input'!$M$150*(1+rvanilla07)^0.5)-SUM($M175:T175),('PTRM input'!$M$150*(1+rvanilla07)^0.5)/A8stdlife))</f>
        <v>0</v>
      </c>
      <c r="V175" s="107">
        <f>IF(A8stdlife="n/a","n/a",IF(V$3&gt;(A8stdlife+$E175),('PTRM input'!$M$150*(1+rvanilla07)^0.5)-SUM($M175:U175),('PTRM input'!$M$150*(1+rvanilla07)^0.5)/A8stdlife))</f>
        <v>0</v>
      </c>
      <c r="W175" s="107">
        <f>IF(A8stdlife="n/a","n/a",IF(W$3&gt;(A8stdlife+$E175),('PTRM input'!$M$150*(1+rvanilla07)^0.5)-SUM($M175:V175),('PTRM input'!$M$150*(1+rvanilla07)^0.5)/A8stdlife))</f>
        <v>0</v>
      </c>
      <c r="X175" s="107">
        <f>IF(A8stdlife="n/a","n/a",IF(X$3&gt;(A8stdlife+$E175),('PTRM input'!$M$150*(1+rvanilla07)^0.5)-SUM($M175:W175),('PTRM input'!$M$150*(1+rvanilla07)^0.5)/A8stdlife))</f>
        <v>0</v>
      </c>
      <c r="Y175" s="107">
        <f>IF(A8stdlife="n/a","n/a",IF(Y$3&gt;(A8stdlife+$E175),('PTRM input'!$M$150*(1+rvanilla07)^0.5)-SUM($M175:X175),('PTRM input'!$M$150*(1+rvanilla07)^0.5)/A8stdlife))</f>
        <v>0</v>
      </c>
      <c r="Z175" s="107">
        <f>IF(A8stdlife="n/a","n/a",IF(Z$3&gt;(A8stdlife+$E175),('PTRM input'!$M$150*(1+rvanilla07)^0.5)-SUM($M175:Y175),('PTRM input'!$M$150*(1+rvanilla07)^0.5)/A8stdlife))</f>
        <v>0</v>
      </c>
      <c r="AA175" s="107">
        <f>IF(A8stdlife="n/a","n/a",IF(AA$3&gt;(A8stdlife+$E175),('PTRM input'!$M$150*(1+rvanilla07)^0.5)-SUM($M175:Z175),('PTRM input'!$M$150*(1+rvanilla07)^0.5)/A8stdlife))</f>
        <v>0</v>
      </c>
      <c r="AB175" s="107">
        <f>IF(A8stdlife="n/a","n/a",IF(AB$3&gt;(A8stdlife+$E175),('PTRM input'!$M$150*(1+rvanilla07)^0.5)-SUM($M175:AA175),('PTRM input'!$M$150*(1+rvanilla07)^0.5)/A8stdlife))</f>
        <v>0</v>
      </c>
      <c r="AC175" s="107">
        <f>IF(A8stdlife="n/a","n/a",IF(AC$3&gt;(A8stdlife+$E175),('PTRM input'!$M$150*(1+rvanilla07)^0.5)-SUM($M175:AB175),('PTRM input'!$M$150*(1+rvanilla07)^0.5)/A8stdlife))</f>
        <v>0</v>
      </c>
      <c r="AD175" s="107">
        <f>IF(A8stdlife="n/a","n/a",IF(AD$3&gt;(A8stdlife+$E175),('PTRM input'!$M$150*(1+rvanilla07)^0.5)-SUM($M175:AC175),('PTRM input'!$M$150*(1+rvanilla07)^0.5)/A8stdlife))</f>
        <v>0</v>
      </c>
      <c r="AE175" s="107">
        <f>IF(A8stdlife="n/a","n/a",IF(AE$3&gt;(A8stdlife+$E175),('PTRM input'!$M$150*(1+rvanilla07)^0.5)-SUM($M175:AD175),('PTRM input'!$M$150*(1+rvanilla07)^0.5)/A8stdlife))</f>
        <v>0</v>
      </c>
      <c r="AF175" s="107">
        <f>IF(A8stdlife="n/a","n/a",IF(AF$3&gt;(A8stdlife+$E175),('PTRM input'!$M$150*(1+rvanilla07)^0.5)-SUM($M175:AE175),('PTRM input'!$M$150*(1+rvanilla07)^0.5)/A8stdlife))</f>
        <v>0</v>
      </c>
      <c r="AG175" s="107">
        <f>IF(A8stdlife="n/a","n/a",IF(AG$3&gt;(A8stdlife+$E175),('PTRM input'!$M$150*(1+rvanilla07)^0.5)-SUM($M175:AF175),('PTRM input'!$M$150*(1+rvanilla07)^0.5)/A8stdlife))</f>
        <v>0</v>
      </c>
      <c r="AH175" s="107">
        <f>IF(A8stdlife="n/a","n/a",IF(AH$3&gt;(A8stdlife+$E175),('PTRM input'!$M$150*(1+rvanilla07)^0.5)-SUM($M175:AG175),('PTRM input'!$M$150*(1+rvanilla07)^0.5)/A8stdlife))</f>
        <v>0</v>
      </c>
      <c r="AI175" s="107">
        <f>IF(A8stdlife="n/a","n/a",IF(AI$3&gt;(A8stdlife+$E175),('PTRM input'!$M$150*(1+rvanilla07)^0.5)-SUM($M175:AH175),('PTRM input'!$M$150*(1+rvanilla07)^0.5)/A8stdlife))</f>
        <v>0</v>
      </c>
      <c r="AJ175" s="107">
        <f>IF(A8stdlife="n/a","n/a",IF(AJ$3&gt;(A8stdlife+$E175),('PTRM input'!$M$150*(1+rvanilla07)^0.5)-SUM($M175:AI175),('PTRM input'!$M$150*(1+rvanilla07)^0.5)/A8stdlife))</f>
        <v>0</v>
      </c>
      <c r="AK175" s="107">
        <f>IF(A8stdlife="n/a","n/a",IF(AK$3&gt;(A8stdlife+$E175),('PTRM input'!$M$150*(1+rvanilla07)^0.5)-SUM($M175:AJ175),('PTRM input'!$M$150*(1+rvanilla07)^0.5)/A8stdlife))</f>
        <v>0</v>
      </c>
      <c r="AL175" s="107">
        <f>IF(A8stdlife="n/a","n/a",IF(AL$3&gt;(A8stdlife+$E175),('PTRM input'!$M$150*(1+rvanilla07)^0.5)-SUM($M175:AK175),('PTRM input'!$M$150*(1+rvanilla07)^0.5)/A8stdlife))</f>
        <v>0</v>
      </c>
      <c r="AM175" s="107">
        <f>IF(A8stdlife="n/a","n/a",IF(AM$3&gt;(A8stdlife+$E175),('PTRM input'!$M$150*(1+rvanilla07)^0.5)-SUM($M175:AL175),('PTRM input'!$M$150*(1+rvanilla07)^0.5)/A8stdlife))</f>
        <v>0</v>
      </c>
      <c r="AN175" s="107">
        <f>IF(A8stdlife="n/a","n/a",IF(AN$3&gt;(A8stdlife+$E175),('PTRM input'!$M$150*(1+rvanilla07)^0.5)-SUM($M175:AM175),('PTRM input'!$M$150*(1+rvanilla07)^0.5)/A8stdlife))</f>
        <v>0</v>
      </c>
      <c r="AO175" s="107">
        <f>IF(A8stdlife="n/a","n/a",IF(AO$3&gt;(A8stdlife+$E175),('PTRM input'!$M$150*(1+rvanilla07)^0.5)-SUM($M175:AN175),('PTRM input'!$M$150*(1+rvanilla07)^0.5)/A8stdlife))</f>
        <v>0</v>
      </c>
      <c r="AP175" s="107">
        <f>IF(A8stdlife="n/a","n/a",IF(AP$3&gt;(A8stdlife+$E175),('PTRM input'!$M$150*(1+rvanilla07)^0.5)-SUM($M175:AO175),('PTRM input'!$M$150*(1+rvanilla07)^0.5)/A8stdlife))</f>
        <v>0</v>
      </c>
      <c r="AQ175" s="107">
        <f>IF(A8stdlife="n/a","n/a",IF(AQ$3&gt;(A8stdlife+$E175),('PTRM input'!$M$150*(1+rvanilla07)^0.5)-SUM($M175:AP175),('PTRM input'!$M$150*(1+rvanilla07)^0.5)/A8stdlife))</f>
        <v>0</v>
      </c>
      <c r="AR175" s="107">
        <f>IF(A8stdlife="n/a","n/a",IF(AR$3&gt;(A8stdlife+$E175),('PTRM input'!$M$150*(1+rvanilla07)^0.5)-SUM($M175:AQ175),('PTRM input'!$M$150*(1+rvanilla07)^0.5)/A8stdlife))</f>
        <v>0</v>
      </c>
      <c r="AS175" s="107">
        <f>IF(A8stdlife="n/a","n/a",IF(AS$3&gt;(A8stdlife+$E175),('PTRM input'!$M$150*(1+rvanilla07)^0.5)-SUM($M175:AR175),('PTRM input'!$M$150*(1+rvanilla07)^0.5)/A8stdlife))</f>
        <v>0</v>
      </c>
      <c r="AT175" s="107">
        <f>IF(A8stdlife="n/a","n/a",IF(AT$3&gt;(A8stdlife+$E175),('PTRM input'!$M$150*(1+rvanilla07)^0.5)-SUM($M175:AS175),('PTRM input'!$M$150*(1+rvanilla07)^0.5)/A8stdlife))</f>
        <v>0</v>
      </c>
      <c r="AU175" s="107">
        <f>IF(A8stdlife="n/a","n/a",IF(AU$3&gt;(A8stdlife+$E175),('PTRM input'!$M$150*(1+rvanilla07)^0.5)-SUM($M175:AT175),('PTRM input'!$M$150*(1+rvanilla07)^0.5)/A8stdlife))</f>
        <v>0</v>
      </c>
      <c r="AV175" s="107">
        <f>IF(A8stdlife="n/a","n/a",IF(AV$3&gt;(A8stdlife+$E175),('PTRM input'!$M$150*(1+rvanilla07)^0.5)-SUM($M175:AU175),('PTRM input'!$M$150*(1+rvanilla07)^0.5)/A8stdlife))</f>
        <v>0</v>
      </c>
      <c r="AW175" s="107">
        <f>IF(A8stdlife="n/a","n/a",IF(AW$3&gt;(A8stdlife+$E175),('PTRM input'!$M$150*(1+rvanilla07)^0.5)-SUM($M175:AV175),('PTRM input'!$M$150*(1+rvanilla07)^0.5)/A8stdlife))</f>
        <v>0</v>
      </c>
      <c r="AX175" s="107">
        <f>IF(A8stdlife="n/a","n/a",IF(AX$3&gt;(A8stdlife+$E175),('PTRM input'!$M$150*(1+rvanilla07)^0.5)-SUM($M175:AW175),('PTRM input'!$M$150*(1+rvanilla07)^0.5)/A8stdlife))</f>
        <v>0</v>
      </c>
      <c r="AY175" s="107">
        <f>IF(A8stdlife="n/a","n/a",IF(AY$3&gt;(A8stdlife+$E175),('PTRM input'!$M$150*(1+rvanilla07)^0.5)-SUM($M175:AX175),('PTRM input'!$M$150*(1+rvanilla07)^0.5)/A8stdlife))</f>
        <v>0</v>
      </c>
      <c r="AZ175" s="107">
        <f>IF(A8stdlife="n/a","n/a",IF(AZ$3&gt;(A8stdlife+$E175),('PTRM input'!$M$150*(1+rvanilla07)^0.5)-SUM($M175:AY175),('PTRM input'!$M$150*(1+rvanilla07)^0.5)/A8stdlife))</f>
        <v>0</v>
      </c>
      <c r="BA175" s="107">
        <f>IF(A8stdlife="n/a","n/a",IF(BA$3&gt;(A8stdlife+$E175),('PTRM input'!$M$150*(1+rvanilla07)^0.5)-SUM($M175:AZ175),('PTRM input'!$M$150*(1+rvanilla07)^0.5)/A8stdlife))</f>
        <v>0</v>
      </c>
      <c r="BB175" s="107">
        <f>IF(A8stdlife="n/a","n/a",IF(BB$3&gt;(A8stdlife+$E175),('PTRM input'!$M$150*(1+rvanilla07)^0.5)-SUM($M175:BA175),('PTRM input'!$M$150*(1+rvanilla07)^0.5)/A8stdlife))</f>
        <v>0</v>
      </c>
      <c r="BC175" s="107">
        <f>IF(A8stdlife="n/a","n/a",IF(BC$3&gt;(A8stdlife+$E175),('PTRM input'!$M$150*(1+rvanilla07)^0.5)-SUM($M175:BB175),('PTRM input'!$M$150*(1+rvanilla07)^0.5)/A8stdlife))</f>
        <v>0</v>
      </c>
      <c r="BD175" s="107">
        <f>IF(A8stdlife="n/a","n/a",IF(BD$3&gt;(A8stdlife+$E175),('PTRM input'!$M$150*(1+rvanilla07)^0.5)-SUM($M175:BC175),('PTRM input'!$M$150*(1+rvanilla07)^0.5)/A8stdlife))</f>
        <v>0</v>
      </c>
      <c r="BE175" s="107">
        <f>IF(A8stdlife="n/a","n/a",IF(BE$3&gt;(A8stdlife+$E175),('PTRM input'!$M$150*(1+rvanilla07)^0.5)-SUM($M175:BD175),('PTRM input'!$M$150*(1+rvanilla07)^0.5)/A8stdlife))</f>
        <v>0</v>
      </c>
      <c r="BF175" s="107">
        <f>IF(A8stdlife="n/a","n/a",IF(BF$3&gt;(A8stdlife+$E175),('PTRM input'!$M$150*(1+rvanilla07)^0.5)-SUM($M175:BE175),('PTRM input'!$M$150*(1+rvanilla07)^0.5)/A8stdlife))</f>
        <v>0</v>
      </c>
      <c r="BG175" s="107">
        <f>IF(A8stdlife="n/a","n/a",IF(BG$3&gt;(A8stdlife+$E175),('PTRM input'!$M$150*(1+rvanilla07)^0.5)-SUM($M175:BF175),('PTRM input'!$M$150*(1+rvanilla07)^0.5)/A8stdlife))</f>
        <v>0</v>
      </c>
      <c r="BH175" s="107">
        <f>IF(A8stdlife="n/a","n/a",IF(BH$3&gt;(A8stdlife+$E175),('PTRM input'!$M$150*(1+rvanilla07)^0.5)-SUM($M175:BG175),('PTRM input'!$M$150*(1+rvanilla07)^0.5)/A8stdlife))</f>
        <v>0</v>
      </c>
      <c r="BI175" s="107">
        <f>IF(A8stdlife="n/a","n/a",IF(BI$3&gt;(A8stdlife+$E175),('PTRM input'!$M$150*(1+rvanilla07)^0.5)-SUM($M175:BH175),('PTRM input'!$M$150*(1+rvanilla07)^0.5)/A8stdlife))</f>
        <v>0</v>
      </c>
      <c r="BJ175" s="237"/>
      <c r="BK175" s="237"/>
      <c r="BL175" s="237"/>
      <c r="BM175" s="237"/>
    </row>
    <row r="176" spans="1:65" s="190" customFormat="1" hidden="1" outlineLevel="2">
      <c r="A176" s="237"/>
      <c r="B176" s="33"/>
      <c r="C176" s="32"/>
      <c r="D176" s="1618"/>
      <c r="E176" s="169">
        <v>8</v>
      </c>
      <c r="F176" s="35"/>
      <c r="G176" s="184"/>
      <c r="H176" s="186"/>
      <c r="I176" s="186"/>
      <c r="J176" s="186"/>
      <c r="K176" s="186"/>
      <c r="L176" s="186"/>
      <c r="M176" s="186"/>
      <c r="N176" s="185"/>
      <c r="O176" s="107">
        <f>IF(A8stdlife="n/a","n/a",IF(O$3&gt;(A8stdlife+$E176),('PTRM input'!$N$150*(1+rvanilla08)^0.5)-SUM($N176:N176),('PTRM input'!$N$150*(1+rvanilla08)^0.5)/A8stdlife))</f>
        <v>0</v>
      </c>
      <c r="P176" s="107">
        <f>IF(A8stdlife="n/a","n/a",IF(P$3&gt;(A8stdlife+$E176),('PTRM input'!$N$150*(1+rvanilla08)^0.5)-SUM($N176:O176),('PTRM input'!$N$150*(1+rvanilla08)^0.5)/A8stdlife))</f>
        <v>0</v>
      </c>
      <c r="Q176" s="107">
        <f>IF(A8stdlife="n/a","n/a",IF(Q$3&gt;(A8stdlife+$E176),('PTRM input'!$N$150*(1+rvanilla08)^0.5)-SUM($N176:P176),('PTRM input'!$N$150*(1+rvanilla08)^0.5)/A8stdlife))</f>
        <v>0</v>
      </c>
      <c r="R176" s="107">
        <f>IF(A8stdlife="n/a","n/a",IF(R$3&gt;(A8stdlife+$E176),('PTRM input'!$N$150*(1+rvanilla08)^0.5)-SUM($N176:Q176),('PTRM input'!$N$150*(1+rvanilla08)^0.5)/A8stdlife))</f>
        <v>0</v>
      </c>
      <c r="S176" s="107">
        <f>IF(A8stdlife="n/a","n/a",IF(S$3&gt;(A8stdlife+$E176),('PTRM input'!$N$150*(1+rvanilla08)^0.5)-SUM($N176:R176),('PTRM input'!$N$150*(1+rvanilla08)^0.5)/A8stdlife))</f>
        <v>0</v>
      </c>
      <c r="T176" s="107">
        <f>IF(A8stdlife="n/a","n/a",IF(T$3&gt;(A8stdlife+$E176),('PTRM input'!$N$150*(1+rvanilla08)^0.5)-SUM($N176:S176),('PTRM input'!$N$150*(1+rvanilla08)^0.5)/A8stdlife))</f>
        <v>0</v>
      </c>
      <c r="U176" s="107">
        <f>IF(A8stdlife="n/a","n/a",IF(U$3&gt;(A8stdlife+$E176),('PTRM input'!$N$150*(1+rvanilla08)^0.5)-SUM($N176:T176),('PTRM input'!$N$150*(1+rvanilla08)^0.5)/A8stdlife))</f>
        <v>0</v>
      </c>
      <c r="V176" s="107">
        <f>IF(A8stdlife="n/a","n/a",IF(V$3&gt;(A8stdlife+$E176),('PTRM input'!$N$150*(1+rvanilla08)^0.5)-SUM($N176:U176),('PTRM input'!$N$150*(1+rvanilla08)^0.5)/A8stdlife))</f>
        <v>0</v>
      </c>
      <c r="W176" s="107">
        <f>IF(A8stdlife="n/a","n/a",IF(W$3&gt;(A8stdlife+$E176),('PTRM input'!$N$150*(1+rvanilla08)^0.5)-SUM($N176:V176),('PTRM input'!$N$150*(1+rvanilla08)^0.5)/A8stdlife))</f>
        <v>0</v>
      </c>
      <c r="X176" s="107">
        <f>IF(A8stdlife="n/a","n/a",IF(X$3&gt;(A8stdlife+$E176),('PTRM input'!$N$150*(1+rvanilla08)^0.5)-SUM($N176:W176),('PTRM input'!$N$150*(1+rvanilla08)^0.5)/A8stdlife))</f>
        <v>0</v>
      </c>
      <c r="Y176" s="107">
        <f>IF(A8stdlife="n/a","n/a",IF(Y$3&gt;(A8stdlife+$E176),('PTRM input'!$N$150*(1+rvanilla08)^0.5)-SUM($N176:X176),('PTRM input'!$N$150*(1+rvanilla08)^0.5)/A8stdlife))</f>
        <v>0</v>
      </c>
      <c r="Z176" s="107">
        <f>IF(A8stdlife="n/a","n/a",IF(Z$3&gt;(A8stdlife+$E176),('PTRM input'!$N$150*(1+rvanilla08)^0.5)-SUM($N176:Y176),('PTRM input'!$N$150*(1+rvanilla08)^0.5)/A8stdlife))</f>
        <v>0</v>
      </c>
      <c r="AA176" s="107">
        <f>IF(A8stdlife="n/a","n/a",IF(AA$3&gt;(A8stdlife+$E176),('PTRM input'!$N$150*(1+rvanilla08)^0.5)-SUM($N176:Z176),('PTRM input'!$N$150*(1+rvanilla08)^0.5)/A8stdlife))</f>
        <v>0</v>
      </c>
      <c r="AB176" s="107">
        <f>IF(A8stdlife="n/a","n/a",IF(AB$3&gt;(A8stdlife+$E176),('PTRM input'!$N$150*(1+rvanilla08)^0.5)-SUM($N176:AA176),('PTRM input'!$N$150*(1+rvanilla08)^0.5)/A8stdlife))</f>
        <v>0</v>
      </c>
      <c r="AC176" s="107">
        <f>IF(A8stdlife="n/a","n/a",IF(AC$3&gt;(A8stdlife+$E176),('PTRM input'!$N$150*(1+rvanilla08)^0.5)-SUM($N176:AB176),('PTRM input'!$N$150*(1+rvanilla08)^0.5)/A8stdlife))</f>
        <v>0</v>
      </c>
      <c r="AD176" s="107">
        <f>IF(A8stdlife="n/a","n/a",IF(AD$3&gt;(A8stdlife+$E176),('PTRM input'!$N$150*(1+rvanilla08)^0.5)-SUM($N176:AC176),('PTRM input'!$N$150*(1+rvanilla08)^0.5)/A8stdlife))</f>
        <v>0</v>
      </c>
      <c r="AE176" s="107">
        <f>IF(A8stdlife="n/a","n/a",IF(AE$3&gt;(A8stdlife+$E176),('PTRM input'!$N$150*(1+rvanilla08)^0.5)-SUM($N176:AD176),('PTRM input'!$N$150*(1+rvanilla08)^0.5)/A8stdlife))</f>
        <v>0</v>
      </c>
      <c r="AF176" s="107">
        <f>IF(A8stdlife="n/a","n/a",IF(AF$3&gt;(A8stdlife+$E176),('PTRM input'!$N$150*(1+rvanilla08)^0.5)-SUM($N176:AE176),('PTRM input'!$N$150*(1+rvanilla08)^0.5)/A8stdlife))</f>
        <v>0</v>
      </c>
      <c r="AG176" s="107">
        <f>IF(A8stdlife="n/a","n/a",IF(AG$3&gt;(A8stdlife+$E176),('PTRM input'!$N$150*(1+rvanilla08)^0.5)-SUM($N176:AF176),('PTRM input'!$N$150*(1+rvanilla08)^0.5)/A8stdlife))</f>
        <v>0</v>
      </c>
      <c r="AH176" s="107">
        <f>IF(A8stdlife="n/a","n/a",IF(AH$3&gt;(A8stdlife+$E176),('PTRM input'!$N$150*(1+rvanilla08)^0.5)-SUM($N176:AG176),('PTRM input'!$N$150*(1+rvanilla08)^0.5)/A8stdlife))</f>
        <v>0</v>
      </c>
      <c r="AI176" s="107">
        <f>IF(A8stdlife="n/a","n/a",IF(AI$3&gt;(A8stdlife+$E176),('PTRM input'!$N$150*(1+rvanilla08)^0.5)-SUM($N176:AH176),('PTRM input'!$N$150*(1+rvanilla08)^0.5)/A8stdlife))</f>
        <v>0</v>
      </c>
      <c r="AJ176" s="107">
        <f>IF(A8stdlife="n/a","n/a",IF(AJ$3&gt;(A8stdlife+$E176),('PTRM input'!$N$150*(1+rvanilla08)^0.5)-SUM($N176:AI176),('PTRM input'!$N$150*(1+rvanilla08)^0.5)/A8stdlife))</f>
        <v>0</v>
      </c>
      <c r="AK176" s="107">
        <f>IF(A8stdlife="n/a","n/a",IF(AK$3&gt;(A8stdlife+$E176),('PTRM input'!$N$150*(1+rvanilla08)^0.5)-SUM($N176:AJ176),('PTRM input'!$N$150*(1+rvanilla08)^0.5)/A8stdlife))</f>
        <v>0</v>
      </c>
      <c r="AL176" s="107">
        <f>IF(A8stdlife="n/a","n/a",IF(AL$3&gt;(A8stdlife+$E176),('PTRM input'!$N$150*(1+rvanilla08)^0.5)-SUM($N176:AK176),('PTRM input'!$N$150*(1+rvanilla08)^0.5)/A8stdlife))</f>
        <v>0</v>
      </c>
      <c r="AM176" s="107">
        <f>IF(A8stdlife="n/a","n/a",IF(AM$3&gt;(A8stdlife+$E176),('PTRM input'!$N$150*(1+rvanilla08)^0.5)-SUM($N176:AL176),('PTRM input'!$N$150*(1+rvanilla08)^0.5)/A8stdlife))</f>
        <v>0</v>
      </c>
      <c r="AN176" s="107">
        <f>IF(A8stdlife="n/a","n/a",IF(AN$3&gt;(A8stdlife+$E176),('PTRM input'!$N$150*(1+rvanilla08)^0.5)-SUM($N176:AM176),('PTRM input'!$N$150*(1+rvanilla08)^0.5)/A8stdlife))</f>
        <v>0</v>
      </c>
      <c r="AO176" s="107">
        <f>IF(A8stdlife="n/a","n/a",IF(AO$3&gt;(A8stdlife+$E176),('PTRM input'!$N$150*(1+rvanilla08)^0.5)-SUM($N176:AN176),('PTRM input'!$N$150*(1+rvanilla08)^0.5)/A8stdlife))</f>
        <v>0</v>
      </c>
      <c r="AP176" s="107">
        <f>IF(A8stdlife="n/a","n/a",IF(AP$3&gt;(A8stdlife+$E176),('PTRM input'!$N$150*(1+rvanilla08)^0.5)-SUM($N176:AO176),('PTRM input'!$N$150*(1+rvanilla08)^0.5)/A8stdlife))</f>
        <v>0</v>
      </c>
      <c r="AQ176" s="107">
        <f>IF(A8stdlife="n/a","n/a",IF(AQ$3&gt;(A8stdlife+$E176),('PTRM input'!$N$150*(1+rvanilla08)^0.5)-SUM($N176:AP176),('PTRM input'!$N$150*(1+rvanilla08)^0.5)/A8stdlife))</f>
        <v>0</v>
      </c>
      <c r="AR176" s="107">
        <f>IF(A8stdlife="n/a","n/a",IF(AR$3&gt;(A8stdlife+$E176),('PTRM input'!$N$150*(1+rvanilla08)^0.5)-SUM($N176:AQ176),('PTRM input'!$N$150*(1+rvanilla08)^0.5)/A8stdlife))</f>
        <v>0</v>
      </c>
      <c r="AS176" s="107">
        <f>IF(A8stdlife="n/a","n/a",IF(AS$3&gt;(A8stdlife+$E176),('PTRM input'!$N$150*(1+rvanilla08)^0.5)-SUM($N176:AR176),('PTRM input'!$N$150*(1+rvanilla08)^0.5)/A8stdlife))</f>
        <v>0</v>
      </c>
      <c r="AT176" s="107">
        <f>IF(A8stdlife="n/a","n/a",IF(AT$3&gt;(A8stdlife+$E176),('PTRM input'!$N$150*(1+rvanilla08)^0.5)-SUM($N176:AS176),('PTRM input'!$N$150*(1+rvanilla08)^0.5)/A8stdlife))</f>
        <v>0</v>
      </c>
      <c r="AU176" s="107">
        <f>IF(A8stdlife="n/a","n/a",IF(AU$3&gt;(A8stdlife+$E176),('PTRM input'!$N$150*(1+rvanilla08)^0.5)-SUM($N176:AT176),('PTRM input'!$N$150*(1+rvanilla08)^0.5)/A8stdlife))</f>
        <v>0</v>
      </c>
      <c r="AV176" s="107">
        <f>IF(A8stdlife="n/a","n/a",IF(AV$3&gt;(A8stdlife+$E176),('PTRM input'!$N$150*(1+rvanilla08)^0.5)-SUM($N176:AU176),('PTRM input'!$N$150*(1+rvanilla08)^0.5)/A8stdlife))</f>
        <v>0</v>
      </c>
      <c r="AW176" s="107">
        <f>IF(A8stdlife="n/a","n/a",IF(AW$3&gt;(A8stdlife+$E176),('PTRM input'!$N$150*(1+rvanilla08)^0.5)-SUM($N176:AV176),('PTRM input'!$N$150*(1+rvanilla08)^0.5)/A8stdlife))</f>
        <v>0</v>
      </c>
      <c r="AX176" s="107">
        <f>IF(A8stdlife="n/a","n/a",IF(AX$3&gt;(A8stdlife+$E176),('PTRM input'!$N$150*(1+rvanilla08)^0.5)-SUM($N176:AW176),('PTRM input'!$N$150*(1+rvanilla08)^0.5)/A8stdlife))</f>
        <v>0</v>
      </c>
      <c r="AY176" s="107">
        <f>IF(A8stdlife="n/a","n/a",IF(AY$3&gt;(A8stdlife+$E176),('PTRM input'!$N$150*(1+rvanilla08)^0.5)-SUM($N176:AX176),('PTRM input'!$N$150*(1+rvanilla08)^0.5)/A8stdlife))</f>
        <v>0</v>
      </c>
      <c r="AZ176" s="107">
        <f>IF(A8stdlife="n/a","n/a",IF(AZ$3&gt;(A8stdlife+$E176),('PTRM input'!$N$150*(1+rvanilla08)^0.5)-SUM($N176:AY176),('PTRM input'!$N$150*(1+rvanilla08)^0.5)/A8stdlife))</f>
        <v>0</v>
      </c>
      <c r="BA176" s="107">
        <f>IF(A8stdlife="n/a","n/a",IF(BA$3&gt;(A8stdlife+$E176),('PTRM input'!$N$150*(1+rvanilla08)^0.5)-SUM($N176:AZ176),('PTRM input'!$N$150*(1+rvanilla08)^0.5)/A8stdlife))</f>
        <v>0</v>
      </c>
      <c r="BB176" s="107">
        <f>IF(A8stdlife="n/a","n/a",IF(BB$3&gt;(A8stdlife+$E176),('PTRM input'!$N$150*(1+rvanilla08)^0.5)-SUM($N176:BA176),('PTRM input'!$N$150*(1+rvanilla08)^0.5)/A8stdlife))</f>
        <v>0</v>
      </c>
      <c r="BC176" s="107">
        <f>IF(A8stdlife="n/a","n/a",IF(BC$3&gt;(A8stdlife+$E176),('PTRM input'!$N$150*(1+rvanilla08)^0.5)-SUM($N176:BB176),('PTRM input'!$N$150*(1+rvanilla08)^0.5)/A8stdlife))</f>
        <v>0</v>
      </c>
      <c r="BD176" s="107">
        <f>IF(A8stdlife="n/a","n/a",IF(BD$3&gt;(A8stdlife+$E176),('PTRM input'!$N$150*(1+rvanilla08)^0.5)-SUM($N176:BC176),('PTRM input'!$N$150*(1+rvanilla08)^0.5)/A8stdlife))</f>
        <v>0</v>
      </c>
      <c r="BE176" s="107">
        <f>IF(A8stdlife="n/a","n/a",IF(BE$3&gt;(A8stdlife+$E176),('PTRM input'!$N$150*(1+rvanilla08)^0.5)-SUM($N176:BD176),('PTRM input'!$N$150*(1+rvanilla08)^0.5)/A8stdlife))</f>
        <v>0</v>
      </c>
      <c r="BF176" s="107">
        <f>IF(A8stdlife="n/a","n/a",IF(BF$3&gt;(A8stdlife+$E176),('PTRM input'!$N$150*(1+rvanilla08)^0.5)-SUM($N176:BE176),('PTRM input'!$N$150*(1+rvanilla08)^0.5)/A8stdlife))</f>
        <v>0</v>
      </c>
      <c r="BG176" s="107">
        <f>IF(A8stdlife="n/a","n/a",IF(BG$3&gt;(A8stdlife+$E176),('PTRM input'!$N$150*(1+rvanilla08)^0.5)-SUM($N176:BF176),('PTRM input'!$N$150*(1+rvanilla08)^0.5)/A8stdlife))</f>
        <v>0</v>
      </c>
      <c r="BH176" s="107">
        <f>IF(A8stdlife="n/a","n/a",IF(BH$3&gt;(A8stdlife+$E176),('PTRM input'!$N$150*(1+rvanilla08)^0.5)-SUM($N176:BG176),('PTRM input'!$N$150*(1+rvanilla08)^0.5)/A8stdlife))</f>
        <v>0</v>
      </c>
      <c r="BI176" s="107">
        <f>IF(A8stdlife="n/a","n/a",IF(BI$3&gt;(A8stdlife+$E176),('PTRM input'!$N$150*(1+rvanilla08)^0.5)-SUM($N176:BH176),('PTRM input'!$N$150*(1+rvanilla08)^0.5)/A8stdlife))</f>
        <v>0</v>
      </c>
      <c r="BJ176" s="237"/>
      <c r="BK176" s="237"/>
      <c r="BL176" s="237"/>
      <c r="BM176" s="237"/>
    </row>
    <row r="177" spans="1:65" s="190" customFormat="1" hidden="1" outlineLevel="2">
      <c r="A177" s="237"/>
      <c r="B177" s="33"/>
      <c r="C177" s="32"/>
      <c r="D177" s="1618"/>
      <c r="E177" s="169">
        <v>9</v>
      </c>
      <c r="F177" s="35"/>
      <c r="G177" s="184"/>
      <c r="H177" s="186"/>
      <c r="I177" s="186"/>
      <c r="J177" s="186"/>
      <c r="K177" s="186"/>
      <c r="L177" s="186"/>
      <c r="M177" s="186"/>
      <c r="N177" s="186"/>
      <c r="O177" s="185"/>
      <c r="P177" s="107">
        <f>IF(A8stdlife="n/a","n/a",IF(P$3&gt;(A8stdlife+$E177),('PTRM input'!$O$150*(1+rvanilla09)^0.5)-SUM($O177:O177),('PTRM input'!$O$150*(1+rvanilla09)^0.5)/A8stdlife))</f>
        <v>0</v>
      </c>
      <c r="Q177" s="107">
        <f>IF(A8stdlife="n/a","n/a",IF(Q$3&gt;(A8stdlife+$E177),('PTRM input'!$O$150*(1+rvanilla09)^0.5)-SUM($O177:P177),('PTRM input'!$O$150*(1+rvanilla09)^0.5)/A8stdlife))</f>
        <v>0</v>
      </c>
      <c r="R177" s="107">
        <f>IF(A8stdlife="n/a","n/a",IF(R$3&gt;(A8stdlife+$E177),('PTRM input'!$O$150*(1+rvanilla09)^0.5)-SUM($O177:Q177),('PTRM input'!$O$150*(1+rvanilla09)^0.5)/A8stdlife))</f>
        <v>0</v>
      </c>
      <c r="S177" s="107">
        <f>IF(A8stdlife="n/a","n/a",IF(S$3&gt;(A8stdlife+$E177),('PTRM input'!$O$150*(1+rvanilla09)^0.5)-SUM($O177:R177),('PTRM input'!$O$150*(1+rvanilla09)^0.5)/A8stdlife))</f>
        <v>0</v>
      </c>
      <c r="T177" s="107">
        <f>IF(A8stdlife="n/a","n/a",IF(T$3&gt;(A8stdlife+$E177),('PTRM input'!$O$150*(1+rvanilla09)^0.5)-SUM($O177:S177),('PTRM input'!$O$150*(1+rvanilla09)^0.5)/A8stdlife))</f>
        <v>0</v>
      </c>
      <c r="U177" s="107">
        <f>IF(A8stdlife="n/a","n/a",IF(U$3&gt;(A8stdlife+$E177),('PTRM input'!$O$150*(1+rvanilla09)^0.5)-SUM($O177:T177),('PTRM input'!$O$150*(1+rvanilla09)^0.5)/A8stdlife))</f>
        <v>0</v>
      </c>
      <c r="V177" s="107">
        <f>IF(A8stdlife="n/a","n/a",IF(V$3&gt;(A8stdlife+$E177),('PTRM input'!$O$150*(1+rvanilla09)^0.5)-SUM($O177:U177),('PTRM input'!$O$150*(1+rvanilla09)^0.5)/A8stdlife))</f>
        <v>0</v>
      </c>
      <c r="W177" s="107">
        <f>IF(A8stdlife="n/a","n/a",IF(W$3&gt;(A8stdlife+$E177),('PTRM input'!$O$150*(1+rvanilla09)^0.5)-SUM($O177:V177),('PTRM input'!$O$150*(1+rvanilla09)^0.5)/A8stdlife))</f>
        <v>0</v>
      </c>
      <c r="X177" s="107">
        <f>IF(A8stdlife="n/a","n/a",IF(X$3&gt;(A8stdlife+$E177),('PTRM input'!$O$150*(1+rvanilla09)^0.5)-SUM($O177:W177),('PTRM input'!$O$150*(1+rvanilla09)^0.5)/A8stdlife))</f>
        <v>0</v>
      </c>
      <c r="Y177" s="107">
        <f>IF(A8stdlife="n/a","n/a",IF(Y$3&gt;(A8stdlife+$E177),('PTRM input'!$O$150*(1+rvanilla09)^0.5)-SUM($O177:X177),('PTRM input'!$O$150*(1+rvanilla09)^0.5)/A8stdlife))</f>
        <v>0</v>
      </c>
      <c r="Z177" s="107">
        <f>IF(A8stdlife="n/a","n/a",IF(Z$3&gt;(A8stdlife+$E177),('PTRM input'!$O$150*(1+rvanilla09)^0.5)-SUM($O177:Y177),('PTRM input'!$O$150*(1+rvanilla09)^0.5)/A8stdlife))</f>
        <v>0</v>
      </c>
      <c r="AA177" s="107">
        <f>IF(A8stdlife="n/a","n/a",IF(AA$3&gt;(A8stdlife+$E177),('PTRM input'!$O$150*(1+rvanilla09)^0.5)-SUM($O177:Z177),('PTRM input'!$O$150*(1+rvanilla09)^0.5)/A8stdlife))</f>
        <v>0</v>
      </c>
      <c r="AB177" s="107">
        <f>IF(A8stdlife="n/a","n/a",IF(AB$3&gt;(A8stdlife+$E177),('PTRM input'!$O$150*(1+rvanilla09)^0.5)-SUM($O177:AA177),('PTRM input'!$O$150*(1+rvanilla09)^0.5)/A8stdlife))</f>
        <v>0</v>
      </c>
      <c r="AC177" s="107">
        <f>IF(A8stdlife="n/a","n/a",IF(AC$3&gt;(A8stdlife+$E177),('PTRM input'!$O$150*(1+rvanilla09)^0.5)-SUM($O177:AB177),('PTRM input'!$O$150*(1+rvanilla09)^0.5)/A8stdlife))</f>
        <v>0</v>
      </c>
      <c r="AD177" s="107">
        <f>IF(A8stdlife="n/a","n/a",IF(AD$3&gt;(A8stdlife+$E177),('PTRM input'!$O$150*(1+rvanilla09)^0.5)-SUM($O177:AC177),('PTRM input'!$O$150*(1+rvanilla09)^0.5)/A8stdlife))</f>
        <v>0</v>
      </c>
      <c r="AE177" s="107">
        <f>IF(A8stdlife="n/a","n/a",IF(AE$3&gt;(A8stdlife+$E177),('PTRM input'!$O$150*(1+rvanilla09)^0.5)-SUM($O177:AD177),('PTRM input'!$O$150*(1+rvanilla09)^0.5)/A8stdlife))</f>
        <v>0</v>
      </c>
      <c r="AF177" s="107">
        <f>IF(A8stdlife="n/a","n/a",IF(AF$3&gt;(A8stdlife+$E177),('PTRM input'!$O$150*(1+rvanilla09)^0.5)-SUM($O177:AE177),('PTRM input'!$O$150*(1+rvanilla09)^0.5)/A8stdlife))</f>
        <v>0</v>
      </c>
      <c r="AG177" s="107">
        <f>IF(A8stdlife="n/a","n/a",IF(AG$3&gt;(A8stdlife+$E177),('PTRM input'!$O$150*(1+rvanilla09)^0.5)-SUM($O177:AF177),('PTRM input'!$O$150*(1+rvanilla09)^0.5)/A8stdlife))</f>
        <v>0</v>
      </c>
      <c r="AH177" s="107">
        <f>IF(A8stdlife="n/a","n/a",IF(AH$3&gt;(A8stdlife+$E177),('PTRM input'!$O$150*(1+rvanilla09)^0.5)-SUM($O177:AG177),('PTRM input'!$O$150*(1+rvanilla09)^0.5)/A8stdlife))</f>
        <v>0</v>
      </c>
      <c r="AI177" s="107">
        <f>IF(A8stdlife="n/a","n/a",IF(AI$3&gt;(A8stdlife+$E177),('PTRM input'!$O$150*(1+rvanilla09)^0.5)-SUM($O177:AH177),('PTRM input'!$O$150*(1+rvanilla09)^0.5)/A8stdlife))</f>
        <v>0</v>
      </c>
      <c r="AJ177" s="107">
        <f>IF(A8stdlife="n/a","n/a",IF(AJ$3&gt;(A8stdlife+$E177),('PTRM input'!$O$150*(1+rvanilla09)^0.5)-SUM($O177:AI177),('PTRM input'!$O$150*(1+rvanilla09)^0.5)/A8stdlife))</f>
        <v>0</v>
      </c>
      <c r="AK177" s="107">
        <f>IF(A8stdlife="n/a","n/a",IF(AK$3&gt;(A8stdlife+$E177),('PTRM input'!$O$150*(1+rvanilla09)^0.5)-SUM($O177:AJ177),('PTRM input'!$O$150*(1+rvanilla09)^0.5)/A8stdlife))</f>
        <v>0</v>
      </c>
      <c r="AL177" s="107">
        <f>IF(A8stdlife="n/a","n/a",IF(AL$3&gt;(A8stdlife+$E177),('PTRM input'!$O$150*(1+rvanilla09)^0.5)-SUM($O177:AK177),('PTRM input'!$O$150*(1+rvanilla09)^0.5)/A8stdlife))</f>
        <v>0</v>
      </c>
      <c r="AM177" s="107">
        <f>IF(A8stdlife="n/a","n/a",IF(AM$3&gt;(A8stdlife+$E177),('PTRM input'!$O$150*(1+rvanilla09)^0.5)-SUM($O177:AL177),('PTRM input'!$O$150*(1+rvanilla09)^0.5)/A8stdlife))</f>
        <v>0</v>
      </c>
      <c r="AN177" s="107">
        <f>IF(A8stdlife="n/a","n/a",IF(AN$3&gt;(A8stdlife+$E177),('PTRM input'!$O$150*(1+rvanilla09)^0.5)-SUM($O177:AM177),('PTRM input'!$O$150*(1+rvanilla09)^0.5)/A8stdlife))</f>
        <v>0</v>
      </c>
      <c r="AO177" s="107">
        <f>IF(A8stdlife="n/a","n/a",IF(AO$3&gt;(A8stdlife+$E177),('PTRM input'!$O$150*(1+rvanilla09)^0.5)-SUM($O177:AN177),('PTRM input'!$O$150*(1+rvanilla09)^0.5)/A8stdlife))</f>
        <v>0</v>
      </c>
      <c r="AP177" s="107">
        <f>IF(A8stdlife="n/a","n/a",IF(AP$3&gt;(A8stdlife+$E177),('PTRM input'!$O$150*(1+rvanilla09)^0.5)-SUM($O177:AO177),('PTRM input'!$O$150*(1+rvanilla09)^0.5)/A8stdlife))</f>
        <v>0</v>
      </c>
      <c r="AQ177" s="107">
        <f>IF(A8stdlife="n/a","n/a",IF(AQ$3&gt;(A8stdlife+$E177),('PTRM input'!$O$150*(1+rvanilla09)^0.5)-SUM($O177:AP177),('PTRM input'!$O$150*(1+rvanilla09)^0.5)/A8stdlife))</f>
        <v>0</v>
      </c>
      <c r="AR177" s="107">
        <f>IF(A8stdlife="n/a","n/a",IF(AR$3&gt;(A8stdlife+$E177),('PTRM input'!$O$150*(1+rvanilla09)^0.5)-SUM($O177:AQ177),('PTRM input'!$O$150*(1+rvanilla09)^0.5)/A8stdlife))</f>
        <v>0</v>
      </c>
      <c r="AS177" s="107">
        <f>IF(A8stdlife="n/a","n/a",IF(AS$3&gt;(A8stdlife+$E177),('PTRM input'!$O$150*(1+rvanilla09)^0.5)-SUM($O177:AR177),('PTRM input'!$O$150*(1+rvanilla09)^0.5)/A8stdlife))</f>
        <v>0</v>
      </c>
      <c r="AT177" s="107">
        <f>IF(A8stdlife="n/a","n/a",IF(AT$3&gt;(A8stdlife+$E177),('PTRM input'!$O$150*(1+rvanilla09)^0.5)-SUM($O177:AS177),('PTRM input'!$O$150*(1+rvanilla09)^0.5)/A8stdlife))</f>
        <v>0</v>
      </c>
      <c r="AU177" s="107">
        <f>IF(A8stdlife="n/a","n/a",IF(AU$3&gt;(A8stdlife+$E177),('PTRM input'!$O$150*(1+rvanilla09)^0.5)-SUM($O177:AT177),('PTRM input'!$O$150*(1+rvanilla09)^0.5)/A8stdlife))</f>
        <v>0</v>
      </c>
      <c r="AV177" s="107">
        <f>IF(A8stdlife="n/a","n/a",IF(AV$3&gt;(A8stdlife+$E177),('PTRM input'!$O$150*(1+rvanilla09)^0.5)-SUM($O177:AU177),('PTRM input'!$O$150*(1+rvanilla09)^0.5)/A8stdlife))</f>
        <v>0</v>
      </c>
      <c r="AW177" s="107">
        <f>IF(A8stdlife="n/a","n/a",IF(AW$3&gt;(A8stdlife+$E177),('PTRM input'!$O$150*(1+rvanilla09)^0.5)-SUM($O177:AV177),('PTRM input'!$O$150*(1+rvanilla09)^0.5)/A8stdlife))</f>
        <v>0</v>
      </c>
      <c r="AX177" s="107">
        <f>IF(A8stdlife="n/a","n/a",IF(AX$3&gt;(A8stdlife+$E177),('PTRM input'!$O$150*(1+rvanilla09)^0.5)-SUM($O177:AW177),('PTRM input'!$O$150*(1+rvanilla09)^0.5)/A8stdlife))</f>
        <v>0</v>
      </c>
      <c r="AY177" s="107">
        <f>IF(A8stdlife="n/a","n/a",IF(AY$3&gt;(A8stdlife+$E177),('PTRM input'!$O$150*(1+rvanilla09)^0.5)-SUM($O177:AX177),('PTRM input'!$O$150*(1+rvanilla09)^0.5)/A8stdlife))</f>
        <v>0</v>
      </c>
      <c r="AZ177" s="107">
        <f>IF(A8stdlife="n/a","n/a",IF(AZ$3&gt;(A8stdlife+$E177),('PTRM input'!$O$150*(1+rvanilla09)^0.5)-SUM($O177:AY177),('PTRM input'!$O$150*(1+rvanilla09)^0.5)/A8stdlife))</f>
        <v>0</v>
      </c>
      <c r="BA177" s="107">
        <f>IF(A8stdlife="n/a","n/a",IF(BA$3&gt;(A8stdlife+$E177),('PTRM input'!$O$150*(1+rvanilla09)^0.5)-SUM($O177:AZ177),('PTRM input'!$O$150*(1+rvanilla09)^0.5)/A8stdlife))</f>
        <v>0</v>
      </c>
      <c r="BB177" s="107">
        <f>IF(A8stdlife="n/a","n/a",IF(BB$3&gt;(A8stdlife+$E177),('PTRM input'!$O$150*(1+rvanilla09)^0.5)-SUM($O177:BA177),('PTRM input'!$O$150*(1+rvanilla09)^0.5)/A8stdlife))</f>
        <v>0</v>
      </c>
      <c r="BC177" s="107">
        <f>IF(A8stdlife="n/a","n/a",IF(BC$3&gt;(A8stdlife+$E177),('PTRM input'!$O$150*(1+rvanilla09)^0.5)-SUM($O177:BB177),('PTRM input'!$O$150*(1+rvanilla09)^0.5)/A8stdlife))</f>
        <v>0</v>
      </c>
      <c r="BD177" s="107">
        <f>IF(A8stdlife="n/a","n/a",IF(BD$3&gt;(A8stdlife+$E177),('PTRM input'!$O$150*(1+rvanilla09)^0.5)-SUM($O177:BC177),('PTRM input'!$O$150*(1+rvanilla09)^0.5)/A8stdlife))</f>
        <v>0</v>
      </c>
      <c r="BE177" s="107">
        <f>IF(A8stdlife="n/a","n/a",IF(BE$3&gt;(A8stdlife+$E177),('PTRM input'!$O$150*(1+rvanilla09)^0.5)-SUM($O177:BD177),('PTRM input'!$O$150*(1+rvanilla09)^0.5)/A8stdlife))</f>
        <v>0</v>
      </c>
      <c r="BF177" s="107">
        <f>IF(A8stdlife="n/a","n/a",IF(BF$3&gt;(A8stdlife+$E177),('PTRM input'!$O$150*(1+rvanilla09)^0.5)-SUM($O177:BE177),('PTRM input'!$O$150*(1+rvanilla09)^0.5)/A8stdlife))</f>
        <v>0</v>
      </c>
      <c r="BG177" s="107">
        <f>IF(A8stdlife="n/a","n/a",IF(BG$3&gt;(A8stdlife+$E177),('PTRM input'!$O$150*(1+rvanilla09)^0.5)-SUM($O177:BF177),('PTRM input'!$O$150*(1+rvanilla09)^0.5)/A8stdlife))</f>
        <v>0</v>
      </c>
      <c r="BH177" s="107">
        <f>IF(A8stdlife="n/a","n/a",IF(BH$3&gt;(A8stdlife+$E177),('PTRM input'!$O$150*(1+rvanilla09)^0.5)-SUM($O177:BG177),('PTRM input'!$O$150*(1+rvanilla09)^0.5)/A8stdlife))</f>
        <v>0</v>
      </c>
      <c r="BI177" s="107">
        <f>IF(A8stdlife="n/a","n/a",IF(BI$3&gt;(A8stdlife+$E177),('PTRM input'!$O$150*(1+rvanilla09)^0.5)-SUM($O177:BH177),('PTRM input'!$O$150*(1+rvanilla09)^0.5)/A8stdlife))</f>
        <v>0</v>
      </c>
      <c r="BJ177" s="237"/>
      <c r="BK177" s="237"/>
      <c r="BL177" s="237"/>
      <c r="BM177" s="237"/>
    </row>
    <row r="178" spans="1:65" s="190" customFormat="1" hidden="1" outlineLevel="2">
      <c r="A178" s="237"/>
      <c r="B178" s="33"/>
      <c r="C178" s="32"/>
      <c r="D178" s="1618"/>
      <c r="E178" s="170">
        <v>10</v>
      </c>
      <c r="F178" s="35"/>
      <c r="G178" s="184"/>
      <c r="H178" s="186"/>
      <c r="I178" s="186"/>
      <c r="J178" s="186"/>
      <c r="K178" s="186"/>
      <c r="L178" s="186"/>
      <c r="M178" s="186"/>
      <c r="N178" s="186"/>
      <c r="O178" s="186"/>
      <c r="P178" s="185"/>
      <c r="Q178" s="107">
        <f>IF(A8stdlife="n/a","n/a",IF(Q$3&gt;(A8stdlife+$E178),('PTRM input'!$P$150*(1+rvanilla10)^0.5)-SUM($P178:P178),('PTRM input'!$P$150*(1+rvanilla10)^0.5)/A8stdlife))</f>
        <v>0</v>
      </c>
      <c r="R178" s="107">
        <f>IF(A8stdlife="n/a","n/a",IF(R$3&gt;(A8stdlife+$E178),('PTRM input'!$P$150*(1+rvanilla10)^0.5)-SUM($P178:Q178),('PTRM input'!$P$150*(1+rvanilla10)^0.5)/A8stdlife))</f>
        <v>0</v>
      </c>
      <c r="S178" s="107">
        <f>IF(A8stdlife="n/a","n/a",IF(S$3&gt;(A8stdlife+$E178),('PTRM input'!$P$150*(1+rvanilla10)^0.5)-SUM($P178:R178),('PTRM input'!$P$150*(1+rvanilla10)^0.5)/A8stdlife))</f>
        <v>0</v>
      </c>
      <c r="T178" s="107">
        <f>IF(A8stdlife="n/a","n/a",IF(T$3&gt;(A8stdlife+$E178),('PTRM input'!$P$150*(1+rvanilla10)^0.5)-SUM($P178:S178),('PTRM input'!$P$150*(1+rvanilla10)^0.5)/A8stdlife))</f>
        <v>0</v>
      </c>
      <c r="U178" s="107">
        <f>IF(A8stdlife="n/a","n/a",IF(U$3&gt;(A8stdlife+$E178),('PTRM input'!$P$150*(1+rvanilla10)^0.5)-SUM($P178:T178),('PTRM input'!$P$150*(1+rvanilla10)^0.5)/A8stdlife))</f>
        <v>0</v>
      </c>
      <c r="V178" s="107">
        <f>IF(A8stdlife="n/a","n/a",IF(V$3&gt;(A8stdlife+$E178),('PTRM input'!$P$150*(1+rvanilla10)^0.5)-SUM($P178:U178),('PTRM input'!$P$150*(1+rvanilla10)^0.5)/A8stdlife))</f>
        <v>0</v>
      </c>
      <c r="W178" s="107">
        <f>IF(A8stdlife="n/a","n/a",IF(W$3&gt;(A8stdlife+$E178),('PTRM input'!$P$150*(1+rvanilla10)^0.5)-SUM($P178:V178),('PTRM input'!$P$150*(1+rvanilla10)^0.5)/A8stdlife))</f>
        <v>0</v>
      </c>
      <c r="X178" s="107">
        <f>IF(A8stdlife="n/a","n/a",IF(X$3&gt;(A8stdlife+$E178),('PTRM input'!$P$150*(1+rvanilla10)^0.5)-SUM($P178:W178),('PTRM input'!$P$150*(1+rvanilla10)^0.5)/A8stdlife))</f>
        <v>0</v>
      </c>
      <c r="Y178" s="107">
        <f>IF(A8stdlife="n/a","n/a",IF(Y$3&gt;(A8stdlife+$E178),('PTRM input'!$P$150*(1+rvanilla10)^0.5)-SUM($P178:X178),('PTRM input'!$P$150*(1+rvanilla10)^0.5)/A8stdlife))</f>
        <v>0</v>
      </c>
      <c r="Z178" s="107">
        <f>IF(A8stdlife="n/a","n/a",IF(Z$3&gt;(A8stdlife+$E178),('PTRM input'!$P$150*(1+rvanilla10)^0.5)-SUM($P178:Y178),('PTRM input'!$P$150*(1+rvanilla10)^0.5)/A8stdlife))</f>
        <v>0</v>
      </c>
      <c r="AA178" s="107">
        <f>IF(A8stdlife="n/a","n/a",IF(AA$3&gt;(A8stdlife+$E178),('PTRM input'!$P$150*(1+rvanilla10)^0.5)-SUM($P178:Z178),('PTRM input'!$P$150*(1+rvanilla10)^0.5)/A8stdlife))</f>
        <v>0</v>
      </c>
      <c r="AB178" s="107">
        <f>IF(A8stdlife="n/a","n/a",IF(AB$3&gt;(A8stdlife+$E178),('PTRM input'!$P$150*(1+rvanilla10)^0.5)-SUM($P178:AA178),('PTRM input'!$P$150*(1+rvanilla10)^0.5)/A8stdlife))</f>
        <v>0</v>
      </c>
      <c r="AC178" s="107">
        <f>IF(A8stdlife="n/a","n/a",IF(AC$3&gt;(A8stdlife+$E178),('PTRM input'!$P$150*(1+rvanilla10)^0.5)-SUM($P178:AB178),('PTRM input'!$P$150*(1+rvanilla10)^0.5)/A8stdlife))</f>
        <v>0</v>
      </c>
      <c r="AD178" s="107">
        <f>IF(A8stdlife="n/a","n/a",IF(AD$3&gt;(A8stdlife+$E178),('PTRM input'!$P$150*(1+rvanilla10)^0.5)-SUM($P178:AC178),('PTRM input'!$P$150*(1+rvanilla10)^0.5)/A8stdlife))</f>
        <v>0</v>
      </c>
      <c r="AE178" s="107">
        <f>IF(A8stdlife="n/a","n/a",IF(AE$3&gt;(A8stdlife+$E178),('PTRM input'!$P$150*(1+rvanilla10)^0.5)-SUM($P178:AD178),('PTRM input'!$P$150*(1+rvanilla10)^0.5)/A8stdlife))</f>
        <v>0</v>
      </c>
      <c r="AF178" s="107">
        <f>IF(A8stdlife="n/a","n/a",IF(AF$3&gt;(A8stdlife+$E178),('PTRM input'!$P$150*(1+rvanilla10)^0.5)-SUM($P178:AE178),('PTRM input'!$P$150*(1+rvanilla10)^0.5)/A8stdlife))</f>
        <v>0</v>
      </c>
      <c r="AG178" s="107">
        <f>IF(A8stdlife="n/a","n/a",IF(AG$3&gt;(A8stdlife+$E178),('PTRM input'!$P$150*(1+rvanilla10)^0.5)-SUM($P178:AF178),('PTRM input'!$P$150*(1+rvanilla10)^0.5)/A8stdlife))</f>
        <v>0</v>
      </c>
      <c r="AH178" s="107">
        <f>IF(A8stdlife="n/a","n/a",IF(AH$3&gt;(A8stdlife+$E178),('PTRM input'!$P$150*(1+rvanilla10)^0.5)-SUM($P178:AG178),('PTRM input'!$P$150*(1+rvanilla10)^0.5)/A8stdlife))</f>
        <v>0</v>
      </c>
      <c r="AI178" s="107">
        <f>IF(A8stdlife="n/a","n/a",IF(AI$3&gt;(A8stdlife+$E178),('PTRM input'!$P$150*(1+rvanilla10)^0.5)-SUM($P178:AH178),('PTRM input'!$P$150*(1+rvanilla10)^0.5)/A8stdlife))</f>
        <v>0</v>
      </c>
      <c r="AJ178" s="107">
        <f>IF(A8stdlife="n/a","n/a",IF(AJ$3&gt;(A8stdlife+$E178),('PTRM input'!$P$150*(1+rvanilla10)^0.5)-SUM($P178:AI178),('PTRM input'!$P$150*(1+rvanilla10)^0.5)/A8stdlife))</f>
        <v>0</v>
      </c>
      <c r="AK178" s="107">
        <f>IF(A8stdlife="n/a","n/a",IF(AK$3&gt;(A8stdlife+$E178),('PTRM input'!$P$150*(1+rvanilla10)^0.5)-SUM($P178:AJ178),('PTRM input'!$P$150*(1+rvanilla10)^0.5)/A8stdlife))</f>
        <v>0</v>
      </c>
      <c r="AL178" s="107">
        <f>IF(A8stdlife="n/a","n/a",IF(AL$3&gt;(A8stdlife+$E178),('PTRM input'!$P$150*(1+rvanilla10)^0.5)-SUM($P178:AK178),('PTRM input'!$P$150*(1+rvanilla10)^0.5)/A8stdlife))</f>
        <v>0</v>
      </c>
      <c r="AM178" s="107">
        <f>IF(A8stdlife="n/a","n/a",IF(AM$3&gt;(A8stdlife+$E178),('PTRM input'!$P$150*(1+rvanilla10)^0.5)-SUM($P178:AL178),('PTRM input'!$P$150*(1+rvanilla10)^0.5)/A8stdlife))</f>
        <v>0</v>
      </c>
      <c r="AN178" s="107">
        <f>IF(A8stdlife="n/a","n/a",IF(AN$3&gt;(A8stdlife+$E178),('PTRM input'!$P$150*(1+rvanilla10)^0.5)-SUM($P178:AM178),('PTRM input'!$P$150*(1+rvanilla10)^0.5)/A8stdlife))</f>
        <v>0</v>
      </c>
      <c r="AO178" s="107">
        <f>IF(A8stdlife="n/a","n/a",IF(AO$3&gt;(A8stdlife+$E178),('PTRM input'!$P$150*(1+rvanilla10)^0.5)-SUM($P178:AN178),('PTRM input'!$P$150*(1+rvanilla10)^0.5)/A8stdlife))</f>
        <v>0</v>
      </c>
      <c r="AP178" s="107">
        <f>IF(A8stdlife="n/a","n/a",IF(AP$3&gt;(A8stdlife+$E178),('PTRM input'!$P$150*(1+rvanilla10)^0.5)-SUM($P178:AO178),('PTRM input'!$P$150*(1+rvanilla10)^0.5)/A8stdlife))</f>
        <v>0</v>
      </c>
      <c r="AQ178" s="107">
        <f>IF(A8stdlife="n/a","n/a",IF(AQ$3&gt;(A8stdlife+$E178),('PTRM input'!$P$150*(1+rvanilla10)^0.5)-SUM($P178:AP178),('PTRM input'!$P$150*(1+rvanilla10)^0.5)/A8stdlife))</f>
        <v>0</v>
      </c>
      <c r="AR178" s="107">
        <f>IF(A8stdlife="n/a","n/a",IF(AR$3&gt;(A8stdlife+$E178),('PTRM input'!$P$150*(1+rvanilla10)^0.5)-SUM($P178:AQ178),('PTRM input'!$P$150*(1+rvanilla10)^0.5)/A8stdlife))</f>
        <v>0</v>
      </c>
      <c r="AS178" s="107">
        <f>IF(A8stdlife="n/a","n/a",IF(AS$3&gt;(A8stdlife+$E178),('PTRM input'!$P$150*(1+rvanilla10)^0.5)-SUM($P178:AR178),('PTRM input'!$P$150*(1+rvanilla10)^0.5)/A8stdlife))</f>
        <v>0</v>
      </c>
      <c r="AT178" s="107">
        <f>IF(A8stdlife="n/a","n/a",IF(AT$3&gt;(A8stdlife+$E178),('PTRM input'!$P$150*(1+rvanilla10)^0.5)-SUM($P178:AS178),('PTRM input'!$P$150*(1+rvanilla10)^0.5)/A8stdlife))</f>
        <v>0</v>
      </c>
      <c r="AU178" s="107">
        <f>IF(A8stdlife="n/a","n/a",IF(AU$3&gt;(A8stdlife+$E178),('PTRM input'!$P$150*(1+rvanilla10)^0.5)-SUM($P178:AT178),('PTRM input'!$P$150*(1+rvanilla10)^0.5)/A8stdlife))</f>
        <v>0</v>
      </c>
      <c r="AV178" s="107">
        <f>IF(A8stdlife="n/a","n/a",IF(AV$3&gt;(A8stdlife+$E178),('PTRM input'!$P$150*(1+rvanilla10)^0.5)-SUM($P178:AU178),('PTRM input'!$P$150*(1+rvanilla10)^0.5)/A8stdlife))</f>
        <v>0</v>
      </c>
      <c r="AW178" s="107">
        <f>IF(A8stdlife="n/a","n/a",IF(AW$3&gt;(A8stdlife+$E178),('PTRM input'!$P$150*(1+rvanilla10)^0.5)-SUM($P178:AV178),('PTRM input'!$P$150*(1+rvanilla10)^0.5)/A8stdlife))</f>
        <v>0</v>
      </c>
      <c r="AX178" s="107">
        <f>IF(A8stdlife="n/a","n/a",IF(AX$3&gt;(A8stdlife+$E178),('PTRM input'!$P$150*(1+rvanilla10)^0.5)-SUM($P178:AW178),('PTRM input'!$P$150*(1+rvanilla10)^0.5)/A8stdlife))</f>
        <v>0</v>
      </c>
      <c r="AY178" s="107">
        <f>IF(A8stdlife="n/a","n/a",IF(AY$3&gt;(A8stdlife+$E178),('PTRM input'!$P$150*(1+rvanilla10)^0.5)-SUM($P178:AX178),('PTRM input'!$P$150*(1+rvanilla10)^0.5)/A8stdlife))</f>
        <v>0</v>
      </c>
      <c r="AZ178" s="107">
        <f>IF(A8stdlife="n/a","n/a",IF(AZ$3&gt;(A8stdlife+$E178),('PTRM input'!$P$150*(1+rvanilla10)^0.5)-SUM($P178:AY178),('PTRM input'!$P$150*(1+rvanilla10)^0.5)/A8stdlife))</f>
        <v>0</v>
      </c>
      <c r="BA178" s="107">
        <f>IF(A8stdlife="n/a","n/a",IF(BA$3&gt;(A8stdlife+$E178),('PTRM input'!$P$150*(1+rvanilla10)^0.5)-SUM($P178:AZ178),('PTRM input'!$P$150*(1+rvanilla10)^0.5)/A8stdlife))</f>
        <v>0</v>
      </c>
      <c r="BB178" s="107">
        <f>IF(A8stdlife="n/a","n/a",IF(BB$3&gt;(A8stdlife+$E178),('PTRM input'!$P$150*(1+rvanilla10)^0.5)-SUM($P178:BA178),('PTRM input'!$P$150*(1+rvanilla10)^0.5)/A8stdlife))</f>
        <v>0</v>
      </c>
      <c r="BC178" s="107">
        <f>IF(A8stdlife="n/a","n/a",IF(BC$3&gt;(A8stdlife+$E178),('PTRM input'!$P$150*(1+rvanilla10)^0.5)-SUM($P178:BB178),('PTRM input'!$P$150*(1+rvanilla10)^0.5)/A8stdlife))</f>
        <v>0</v>
      </c>
      <c r="BD178" s="107">
        <f>IF(A8stdlife="n/a","n/a",IF(BD$3&gt;(A8stdlife+$E178),('PTRM input'!$P$150*(1+rvanilla10)^0.5)-SUM($P178:BC178),('PTRM input'!$P$150*(1+rvanilla10)^0.5)/A8stdlife))</f>
        <v>0</v>
      </c>
      <c r="BE178" s="107">
        <f>IF(A8stdlife="n/a","n/a",IF(BE$3&gt;(A8stdlife+$E178),('PTRM input'!$P$150*(1+rvanilla10)^0.5)-SUM($P178:BD178),('PTRM input'!$P$150*(1+rvanilla10)^0.5)/A8stdlife))</f>
        <v>0</v>
      </c>
      <c r="BF178" s="107">
        <f>IF(A8stdlife="n/a","n/a",IF(BF$3&gt;(A8stdlife+$E178),('PTRM input'!$P$150*(1+rvanilla10)^0.5)-SUM($P178:BE178),('PTRM input'!$P$150*(1+rvanilla10)^0.5)/A8stdlife))</f>
        <v>0</v>
      </c>
      <c r="BG178" s="107">
        <f>IF(A8stdlife="n/a","n/a",IF(BG$3&gt;(A8stdlife+$E178),('PTRM input'!$P$150*(1+rvanilla10)^0.5)-SUM($P178:BF178),('PTRM input'!$P$150*(1+rvanilla10)^0.5)/A8stdlife))</f>
        <v>0</v>
      </c>
      <c r="BH178" s="107">
        <f>IF(A8stdlife="n/a","n/a",IF(BH$3&gt;(A8stdlife+$E178),('PTRM input'!$P$150*(1+rvanilla10)^0.5)-SUM($P178:BG178),('PTRM input'!$P$150*(1+rvanilla10)^0.5)/A8stdlife))</f>
        <v>0</v>
      </c>
      <c r="BI178" s="107">
        <f>IF(A8stdlife="n/a","n/a",IF(BI$3&gt;(A8stdlife+$E178),('PTRM input'!$P$150*(1+rvanilla10)^0.5)-SUM($P178:BH178),('PTRM input'!$P$150*(1+rvanilla10)^0.5)/A8stdlife))</f>
        <v>0</v>
      </c>
      <c r="BJ178" s="237"/>
      <c r="BK178" s="237"/>
      <c r="BL178" s="237"/>
      <c r="BM178" s="237"/>
    </row>
    <row r="179" spans="1:65" s="190" customFormat="1" hidden="1" outlineLevel="1">
      <c r="A179" s="237"/>
      <c r="B179" s="18"/>
      <c r="C179" s="33">
        <f>Asset8</f>
        <v>0</v>
      </c>
      <c r="D179" s="18"/>
      <c r="E179" s="18"/>
      <c r="F179" s="31"/>
      <c r="G179" s="104">
        <f t="shared" ref="G179:AL179" si="51">SUM(G167:G178)</f>
        <v>0</v>
      </c>
      <c r="H179" s="104">
        <f t="shared" si="51"/>
        <v>0</v>
      </c>
      <c r="I179" s="104">
        <f t="shared" si="51"/>
        <v>0</v>
      </c>
      <c r="J179" s="104">
        <f t="shared" si="51"/>
        <v>0</v>
      </c>
      <c r="K179" s="104">
        <f t="shared" si="51"/>
        <v>0</v>
      </c>
      <c r="L179" s="104">
        <f t="shared" si="51"/>
        <v>0</v>
      </c>
      <c r="M179" s="104">
        <f t="shared" si="51"/>
        <v>0</v>
      </c>
      <c r="N179" s="104">
        <f t="shared" si="51"/>
        <v>0</v>
      </c>
      <c r="O179" s="104">
        <f t="shared" si="51"/>
        <v>0</v>
      </c>
      <c r="P179" s="104">
        <f t="shared" si="51"/>
        <v>0</v>
      </c>
      <c r="Q179" s="104">
        <f t="shared" si="51"/>
        <v>0</v>
      </c>
      <c r="R179" s="104">
        <f t="shared" si="51"/>
        <v>0</v>
      </c>
      <c r="S179" s="104">
        <f t="shared" si="51"/>
        <v>0</v>
      </c>
      <c r="T179" s="104">
        <f t="shared" si="51"/>
        <v>0</v>
      </c>
      <c r="U179" s="104">
        <f t="shared" si="51"/>
        <v>0</v>
      </c>
      <c r="V179" s="104">
        <f t="shared" si="51"/>
        <v>0</v>
      </c>
      <c r="W179" s="104">
        <f t="shared" si="51"/>
        <v>0</v>
      </c>
      <c r="X179" s="104">
        <f t="shared" si="51"/>
        <v>0</v>
      </c>
      <c r="Y179" s="104">
        <f t="shared" si="51"/>
        <v>0</v>
      </c>
      <c r="Z179" s="104">
        <f t="shared" si="51"/>
        <v>0</v>
      </c>
      <c r="AA179" s="104">
        <f t="shared" si="51"/>
        <v>0</v>
      </c>
      <c r="AB179" s="104">
        <f t="shared" si="51"/>
        <v>0</v>
      </c>
      <c r="AC179" s="104">
        <f t="shared" si="51"/>
        <v>0</v>
      </c>
      <c r="AD179" s="104">
        <f t="shared" si="51"/>
        <v>0</v>
      </c>
      <c r="AE179" s="104">
        <f t="shared" si="51"/>
        <v>0</v>
      </c>
      <c r="AF179" s="104">
        <f t="shared" si="51"/>
        <v>0</v>
      </c>
      <c r="AG179" s="104">
        <f t="shared" si="51"/>
        <v>0</v>
      </c>
      <c r="AH179" s="104">
        <f t="shared" si="51"/>
        <v>0</v>
      </c>
      <c r="AI179" s="104">
        <f t="shared" si="51"/>
        <v>0</v>
      </c>
      <c r="AJ179" s="104">
        <f t="shared" si="51"/>
        <v>0</v>
      </c>
      <c r="AK179" s="104">
        <f t="shared" si="51"/>
        <v>0</v>
      </c>
      <c r="AL179" s="104">
        <f t="shared" si="51"/>
        <v>0</v>
      </c>
      <c r="AM179" s="104">
        <f t="shared" ref="AM179:BI179" si="52">SUM(AM167:AM178)</f>
        <v>0</v>
      </c>
      <c r="AN179" s="104">
        <f t="shared" si="52"/>
        <v>0</v>
      </c>
      <c r="AO179" s="104">
        <f t="shared" si="52"/>
        <v>0</v>
      </c>
      <c r="AP179" s="104">
        <f t="shared" si="52"/>
        <v>0</v>
      </c>
      <c r="AQ179" s="104">
        <f t="shared" si="52"/>
        <v>0</v>
      </c>
      <c r="AR179" s="104">
        <f t="shared" si="52"/>
        <v>0</v>
      </c>
      <c r="AS179" s="104">
        <f t="shared" si="52"/>
        <v>0</v>
      </c>
      <c r="AT179" s="104">
        <f t="shared" si="52"/>
        <v>0</v>
      </c>
      <c r="AU179" s="104">
        <f t="shared" si="52"/>
        <v>0</v>
      </c>
      <c r="AV179" s="104">
        <f t="shared" si="52"/>
        <v>0</v>
      </c>
      <c r="AW179" s="104">
        <f t="shared" si="52"/>
        <v>0</v>
      </c>
      <c r="AX179" s="104">
        <f t="shared" si="52"/>
        <v>0</v>
      </c>
      <c r="AY179" s="104">
        <f t="shared" si="52"/>
        <v>0</v>
      </c>
      <c r="AZ179" s="104">
        <f t="shared" si="52"/>
        <v>0</v>
      </c>
      <c r="BA179" s="104">
        <f t="shared" si="52"/>
        <v>0</v>
      </c>
      <c r="BB179" s="104">
        <f t="shared" si="52"/>
        <v>0</v>
      </c>
      <c r="BC179" s="104">
        <f t="shared" si="52"/>
        <v>0</v>
      </c>
      <c r="BD179" s="104">
        <f t="shared" si="52"/>
        <v>0</v>
      </c>
      <c r="BE179" s="104">
        <f t="shared" si="52"/>
        <v>0</v>
      </c>
      <c r="BF179" s="104">
        <f t="shared" si="52"/>
        <v>0</v>
      </c>
      <c r="BG179" s="104">
        <f t="shared" si="52"/>
        <v>0</v>
      </c>
      <c r="BH179" s="104">
        <f t="shared" si="52"/>
        <v>0</v>
      </c>
      <c r="BI179" s="104">
        <f t="shared" si="52"/>
        <v>0</v>
      </c>
      <c r="BJ179" s="237"/>
      <c r="BK179" s="237"/>
      <c r="BL179" s="237"/>
      <c r="BM179" s="237"/>
    </row>
    <row r="180" spans="1:65" s="190" customFormat="1" ht="12.75" hidden="1" customHeight="1" outlineLevel="2">
      <c r="A180" s="237"/>
      <c r="B180" s="37">
        <f>C192</f>
        <v>0</v>
      </c>
      <c r="C180" s="38"/>
      <c r="D180" s="39" t="s">
        <v>58</v>
      </c>
      <c r="E180" s="38"/>
      <c r="F180" s="40"/>
      <c r="G180" s="106">
        <f>IF(G$3&gt;A9remlife,A9value-SUM($F180:F180),IF(A9remlife="N/A","n/a",A9value/A9remlife))</f>
        <v>0</v>
      </c>
      <c r="H180" s="106">
        <f>IF(H$3&gt;A9remlife,A9value-SUM($F180:G180),IF(A9remlife="N/A","n/a",A9value/A9remlife))</f>
        <v>0</v>
      </c>
      <c r="I180" s="106">
        <f>IF(I$3&gt;A9remlife,A9value-SUM($F180:H180),IF(A9remlife="N/A","n/a",A9value/A9remlife))</f>
        <v>0</v>
      </c>
      <c r="J180" s="106">
        <f>IF(J$3&gt;A9remlife,A9value-SUM($F180:I180),IF(A9remlife="N/A","n/a",A9value/A9remlife))</f>
        <v>0</v>
      </c>
      <c r="K180" s="106">
        <f>IF(K$3&gt;A9remlife,A9value-SUM($F180:J180),IF(A9remlife="N/A","n/a",A9value/A9remlife))</f>
        <v>0</v>
      </c>
      <c r="L180" s="106">
        <f>IF(L$3&gt;A9remlife,A9value-SUM($F180:K180),IF(A9remlife="N/A","n/a",A9value/A9remlife))</f>
        <v>0</v>
      </c>
      <c r="M180" s="106">
        <f>IF(M$3&gt;A9remlife,A9value-SUM($F180:L180),IF(A9remlife="N/A","n/a",A9value/A9remlife))</f>
        <v>0</v>
      </c>
      <c r="N180" s="106">
        <f>IF(N$3&gt;A9remlife,A9value-SUM($F180:M180),IF(A9remlife="N/A","n/a",A9value/A9remlife))</f>
        <v>0</v>
      </c>
      <c r="O180" s="106">
        <f>IF(O$3&gt;A9remlife,A9value-SUM($F180:N180),IF(A9remlife="N/A","n/a",A9value/A9remlife))</f>
        <v>0</v>
      </c>
      <c r="P180" s="106">
        <f>IF(P$3&gt;A9remlife,A9value-SUM($F180:O180),IF(A9remlife="N/A","n/a",A9value/A9remlife))</f>
        <v>0</v>
      </c>
      <c r="Q180" s="106">
        <f>IF(Q$3&gt;A9remlife,A9value-SUM($F180:P180),IF(A9remlife="N/A","n/a",A9value/A9remlife))</f>
        <v>0</v>
      </c>
      <c r="R180" s="106">
        <f>IF(R$3&gt;A9remlife,A9value-SUM($F180:Q180),IF(A9remlife="N/A","n/a",A9value/A9remlife))</f>
        <v>0</v>
      </c>
      <c r="S180" s="106">
        <f>IF(S$3&gt;A9remlife,A9value-SUM($F180:R180),IF(A9remlife="N/A","n/a",A9value/A9remlife))</f>
        <v>0</v>
      </c>
      <c r="T180" s="106">
        <f>IF(T$3&gt;A9remlife,A9value-SUM($F180:S180),IF(A9remlife="N/A","n/a",A9value/A9remlife))</f>
        <v>0</v>
      </c>
      <c r="U180" s="106">
        <f>IF(U$3&gt;A9remlife,A9value-SUM($F180:T180),IF(A9remlife="N/A","n/a",A9value/A9remlife))</f>
        <v>0</v>
      </c>
      <c r="V180" s="106">
        <f>IF(V$3&gt;A9remlife,A9value-SUM($F180:U180),IF(A9remlife="N/A","n/a",A9value/A9remlife))</f>
        <v>0</v>
      </c>
      <c r="W180" s="106">
        <f>IF(W$3&gt;A9remlife,A9value-SUM($F180:V180),IF(A9remlife="N/A","n/a",A9value/A9remlife))</f>
        <v>0</v>
      </c>
      <c r="X180" s="106">
        <f>IF(X$3&gt;A9remlife,A9value-SUM($F180:W180),IF(A9remlife="N/A","n/a",A9value/A9remlife))</f>
        <v>0</v>
      </c>
      <c r="Y180" s="106">
        <f>IF(Y$3&gt;A9remlife,A9value-SUM($F180:X180),IF(A9remlife="N/A","n/a",A9value/A9remlife))</f>
        <v>0</v>
      </c>
      <c r="Z180" s="106">
        <f>IF(Z$3&gt;A9remlife,A9value-SUM($F180:Y180),IF(A9remlife="N/A","n/a",A9value/A9remlife))</f>
        <v>0</v>
      </c>
      <c r="AA180" s="106">
        <f>IF(AA$3&gt;A9remlife,A9value-SUM($F180:Z180),IF(A9remlife="N/A","n/a",A9value/A9remlife))</f>
        <v>0</v>
      </c>
      <c r="AB180" s="106">
        <f>IF(AB$3&gt;A9remlife,A9value-SUM($F180:AA180),IF(A9remlife="N/A","n/a",A9value/A9remlife))</f>
        <v>0</v>
      </c>
      <c r="AC180" s="106">
        <f>IF(AC$3&gt;A9remlife,A9value-SUM($F180:AB180),IF(A9remlife="N/A","n/a",A9value/A9remlife))</f>
        <v>0</v>
      </c>
      <c r="AD180" s="106">
        <f>IF(AD$3&gt;A9remlife,A9value-SUM($F180:AC180),IF(A9remlife="N/A","n/a",A9value/A9remlife))</f>
        <v>0</v>
      </c>
      <c r="AE180" s="106">
        <f>IF(AE$3&gt;A9remlife,A9value-SUM($F180:AD180),IF(A9remlife="N/A","n/a",A9value/A9remlife))</f>
        <v>0</v>
      </c>
      <c r="AF180" s="106">
        <f>IF(AF$3&gt;A9remlife,A9value-SUM($F180:AE180),IF(A9remlife="N/A","n/a",A9value/A9remlife))</f>
        <v>0</v>
      </c>
      <c r="AG180" s="106">
        <f>IF(AG$3&gt;A9remlife,A9value-SUM($F180:AF180),IF(A9remlife="N/A","n/a",A9value/A9remlife))</f>
        <v>0</v>
      </c>
      <c r="AH180" s="106">
        <f>IF(AH$3&gt;A9remlife,A9value-SUM($F180:AG180),IF(A9remlife="N/A","n/a",A9value/A9remlife))</f>
        <v>0</v>
      </c>
      <c r="AI180" s="106">
        <f>IF(AI$3&gt;A9remlife,A9value-SUM($F180:AH180),IF(A9remlife="N/A","n/a",A9value/A9remlife))</f>
        <v>0</v>
      </c>
      <c r="AJ180" s="106">
        <f>IF(AJ$3&gt;A9remlife,A9value-SUM($F180:AI180),IF(A9remlife="N/A","n/a",A9value/A9remlife))</f>
        <v>0</v>
      </c>
      <c r="AK180" s="106">
        <f>IF(AK$3&gt;A9remlife,A9value-SUM($F180:AJ180),IF(A9remlife="N/A","n/a",A9value/A9remlife))</f>
        <v>0</v>
      </c>
      <c r="AL180" s="106">
        <f>IF(AL$3&gt;A9remlife,A9value-SUM($F180:AK180),IF(A9remlife="N/A","n/a",A9value/A9remlife))</f>
        <v>0</v>
      </c>
      <c r="AM180" s="106">
        <f>IF(AM$3&gt;A9remlife,A9value-SUM($F180:AL180),IF(A9remlife="N/A","n/a",A9value/A9remlife))</f>
        <v>0</v>
      </c>
      <c r="AN180" s="106">
        <f>IF(AN$3&gt;A9remlife,A9value-SUM($F180:AM180),IF(A9remlife="N/A","n/a",A9value/A9remlife))</f>
        <v>0</v>
      </c>
      <c r="AO180" s="106">
        <f>IF(AO$3&gt;A9remlife,A9value-SUM($F180:AN180),IF(A9remlife="N/A","n/a",A9value/A9remlife))</f>
        <v>0</v>
      </c>
      <c r="AP180" s="106">
        <f>IF(AP$3&gt;A9remlife,A9value-SUM($F180:AO180),IF(A9remlife="N/A","n/a",A9value/A9remlife))</f>
        <v>0</v>
      </c>
      <c r="AQ180" s="106">
        <f>IF(AQ$3&gt;A9remlife,A9value-SUM($F180:AP180),IF(A9remlife="N/A","n/a",A9value/A9remlife))</f>
        <v>0</v>
      </c>
      <c r="AR180" s="106">
        <f>IF(AR$3&gt;A9remlife,A9value-SUM($F180:AQ180),IF(A9remlife="N/A","n/a",A9value/A9remlife))</f>
        <v>0</v>
      </c>
      <c r="AS180" s="106">
        <f>IF(AS$3&gt;A9remlife,A9value-SUM($F180:AR180),IF(A9remlife="N/A","n/a",A9value/A9remlife))</f>
        <v>0</v>
      </c>
      <c r="AT180" s="106">
        <f>IF(AT$3&gt;A9remlife,A9value-SUM($F180:AS180),IF(A9remlife="N/A","n/a",A9value/A9remlife))</f>
        <v>0</v>
      </c>
      <c r="AU180" s="106">
        <f>IF(AU$3&gt;A9remlife,A9value-SUM($F180:AT180),IF(A9remlife="N/A","n/a",A9value/A9remlife))</f>
        <v>0</v>
      </c>
      <c r="AV180" s="106">
        <f>IF(AV$3&gt;A9remlife,A9value-SUM($F180:AU180),IF(A9remlife="N/A","n/a",A9value/A9remlife))</f>
        <v>0</v>
      </c>
      <c r="AW180" s="106">
        <f>IF(AW$3&gt;A9remlife,A9value-SUM($F180:AV180),IF(A9remlife="N/A","n/a",A9value/A9remlife))</f>
        <v>0</v>
      </c>
      <c r="AX180" s="106">
        <f>IF(AX$3&gt;A9remlife,A9value-SUM($F180:AW180),IF(A9remlife="N/A","n/a",A9value/A9remlife))</f>
        <v>0</v>
      </c>
      <c r="AY180" s="106">
        <f>IF(AY$3&gt;A9remlife,A9value-SUM($F180:AX180),IF(A9remlife="N/A","n/a",A9value/A9remlife))</f>
        <v>0</v>
      </c>
      <c r="AZ180" s="106">
        <f>IF(AZ$3&gt;A9remlife,A9value-SUM($F180:AY180),IF(A9remlife="N/A","n/a",A9value/A9remlife))</f>
        <v>0</v>
      </c>
      <c r="BA180" s="106">
        <f>IF(BA$3&gt;A9remlife,A9value-SUM($F180:AZ180),IF(A9remlife="N/A","n/a",A9value/A9remlife))</f>
        <v>0</v>
      </c>
      <c r="BB180" s="106">
        <f>IF(BB$3&gt;A9remlife,A9value-SUM($F180:BA180),IF(A9remlife="N/A","n/a",A9value/A9remlife))</f>
        <v>0</v>
      </c>
      <c r="BC180" s="106">
        <f>IF(BC$3&gt;A9remlife,A9value-SUM($F180:BB180),IF(A9remlife="N/A","n/a",A9value/A9remlife))</f>
        <v>0</v>
      </c>
      <c r="BD180" s="106">
        <f>IF(BD$3&gt;A9remlife,A9value-SUM($F180:BC180),IF(A9remlife="N/A","n/a",A9value/A9remlife))</f>
        <v>0</v>
      </c>
      <c r="BE180" s="106">
        <f>IF(BE$3&gt;A9remlife,A9value-SUM($F180:BD180),IF(A9remlife="N/A","n/a",A9value/A9remlife))</f>
        <v>0</v>
      </c>
      <c r="BF180" s="106">
        <f>IF(BF$3&gt;A9remlife,A9value-SUM($F180:BE180),IF(A9remlife="N/A","n/a",A9value/A9remlife))</f>
        <v>0</v>
      </c>
      <c r="BG180" s="106">
        <f>IF(BG$3&gt;A9remlife,A9value-SUM($F180:BF180),IF(A9remlife="N/A","n/a",A9value/A9remlife))</f>
        <v>0</v>
      </c>
      <c r="BH180" s="106">
        <f>IF(BH$3&gt;A9remlife,A9value-SUM($F180:BG180),IF(A9remlife="N/A","n/a",A9value/A9remlife))</f>
        <v>0</v>
      </c>
      <c r="BI180" s="106">
        <f>IF(BI$3&gt;A9remlife,A9value-SUM($F180:BH180),IF(A9remlife="N/A","n/a",A9value/A9remlife))</f>
        <v>0</v>
      </c>
      <c r="BJ180" s="237"/>
      <c r="BK180" s="237"/>
      <c r="BL180" s="237"/>
      <c r="BM180" s="237"/>
    </row>
    <row r="181" spans="1:65" s="190" customFormat="1" ht="12.75" hidden="1" customHeight="1" outlineLevel="2">
      <c r="A181" s="237"/>
      <c r="B181" s="33"/>
      <c r="C181" s="32"/>
      <c r="D181" s="1618" t="s">
        <v>357</v>
      </c>
      <c r="E181" s="169">
        <v>0</v>
      </c>
      <c r="F181" s="35"/>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237"/>
      <c r="BK181" s="237"/>
      <c r="BL181" s="237"/>
      <c r="BM181" s="237"/>
    </row>
    <row r="182" spans="1:65" s="190" customFormat="1" ht="12.75" hidden="1" customHeight="1" outlineLevel="2">
      <c r="A182" s="237"/>
      <c r="B182" s="33"/>
      <c r="C182" s="32"/>
      <c r="D182" s="1618"/>
      <c r="E182" s="169">
        <v>1</v>
      </c>
      <c r="F182" s="35"/>
      <c r="G182" s="183"/>
      <c r="H182" s="107">
        <f>IF(A9stdlife="n/a","n/a",IF(H$3&gt;(A9stdlife+$E182),('PTRM input'!$G$151*(1+rvanilla01)^0.5)-SUM($G182:G182),('PTRM input'!$G$151*(1+rvanilla01)^0.5)/A9stdlife))</f>
        <v>0</v>
      </c>
      <c r="I182" s="107">
        <f>IF(A9stdlife="n/a","n/a",IF(I$3&gt;(A9stdlife+$E182),('PTRM input'!$G$151*(1+rvanilla01)^0.5)-SUM($G182:H182),('PTRM input'!$G$151*(1+rvanilla01)^0.5)/A9stdlife))</f>
        <v>0</v>
      </c>
      <c r="J182" s="107">
        <f>IF(A9stdlife="n/a","n/a",IF(J$3&gt;(A9stdlife+$E182),('PTRM input'!$G$151*(1+rvanilla01)^0.5)-SUM($G182:I182),('PTRM input'!$G$151*(1+rvanilla01)^0.5)/A9stdlife))</f>
        <v>0</v>
      </c>
      <c r="K182" s="107">
        <f>IF(A9stdlife="n/a","n/a",IF(K$3&gt;(A9stdlife+$E182),('PTRM input'!$G$151*(1+rvanilla01)^0.5)-SUM($G182:J182),('PTRM input'!$G$151*(1+rvanilla01)^0.5)/A9stdlife))</f>
        <v>0</v>
      </c>
      <c r="L182" s="107">
        <f>IF(A9stdlife="n/a","n/a",IF(L$3&gt;(A9stdlife+$E182),('PTRM input'!$G$151*(1+rvanilla01)^0.5)-SUM($G182:K182),('PTRM input'!$G$151*(1+rvanilla01)^0.5)/A9stdlife))</f>
        <v>0</v>
      </c>
      <c r="M182" s="107">
        <f>IF(A9stdlife="n/a","n/a",IF(M$3&gt;(A9stdlife+$E182),('PTRM input'!$G$151*(1+rvanilla01)^0.5)-SUM($G182:L182),('PTRM input'!$G$151*(1+rvanilla01)^0.5)/A9stdlife))</f>
        <v>0</v>
      </c>
      <c r="N182" s="107">
        <f>IF(A9stdlife="n/a","n/a",IF(N$3&gt;(A9stdlife+$E182),('PTRM input'!$G$151*(1+rvanilla01)^0.5)-SUM($G182:M182),('PTRM input'!$G$151*(1+rvanilla01)^0.5)/A9stdlife))</f>
        <v>0</v>
      </c>
      <c r="O182" s="107">
        <f>IF(A9stdlife="n/a","n/a",IF(O$3&gt;(A9stdlife+$E182),('PTRM input'!$G$151*(1+rvanilla01)^0.5)-SUM($G182:N182),('PTRM input'!$G$151*(1+rvanilla01)^0.5)/A9stdlife))</f>
        <v>0</v>
      </c>
      <c r="P182" s="107">
        <f>IF(A9stdlife="n/a","n/a",IF(P$3&gt;(A9stdlife+$E182),('PTRM input'!$G$151*(1+rvanilla01)^0.5)-SUM($G182:O182),('PTRM input'!$G$151*(1+rvanilla01)^0.5)/A9stdlife))</f>
        <v>0</v>
      </c>
      <c r="Q182" s="107">
        <f>IF(A9stdlife="n/a","n/a",IF(Q$3&gt;(A9stdlife+$E182),('PTRM input'!$G$151*(1+rvanilla01)^0.5)-SUM($G182:P182),('PTRM input'!$G$151*(1+rvanilla01)^0.5)/A9stdlife))</f>
        <v>0</v>
      </c>
      <c r="R182" s="107">
        <f>IF(A9stdlife="n/a","n/a",IF(R$3&gt;(A9stdlife+$E182),('PTRM input'!$G$151*(1+rvanilla01)^0.5)-SUM($G182:Q182),('PTRM input'!$G$151*(1+rvanilla01)^0.5)/A9stdlife))</f>
        <v>0</v>
      </c>
      <c r="S182" s="107">
        <f>IF(A9stdlife="n/a","n/a",IF(S$3&gt;(A9stdlife+$E182),('PTRM input'!$G$151*(1+rvanilla01)^0.5)-SUM($G182:R182),('PTRM input'!$G$151*(1+rvanilla01)^0.5)/A9stdlife))</f>
        <v>0</v>
      </c>
      <c r="T182" s="107">
        <f>IF(A9stdlife="n/a","n/a",IF(T$3&gt;(A9stdlife+$E182),('PTRM input'!$G$151*(1+rvanilla01)^0.5)-SUM($G182:S182),('PTRM input'!$G$151*(1+rvanilla01)^0.5)/A9stdlife))</f>
        <v>0</v>
      </c>
      <c r="U182" s="107">
        <f>IF(A9stdlife="n/a","n/a",IF(U$3&gt;(A9stdlife+$E182),('PTRM input'!$G$151*(1+rvanilla01)^0.5)-SUM($G182:T182),('PTRM input'!$G$151*(1+rvanilla01)^0.5)/A9stdlife))</f>
        <v>0</v>
      </c>
      <c r="V182" s="107">
        <f>IF(A9stdlife="n/a","n/a",IF(V$3&gt;(A9stdlife+$E182),('PTRM input'!$G$151*(1+rvanilla01)^0.5)-SUM($G182:U182),('PTRM input'!$G$151*(1+rvanilla01)^0.5)/A9stdlife))</f>
        <v>0</v>
      </c>
      <c r="W182" s="107">
        <f>IF(A9stdlife="n/a","n/a",IF(W$3&gt;(A9stdlife+$E182),('PTRM input'!$G$151*(1+rvanilla01)^0.5)-SUM($G182:V182),('PTRM input'!$G$151*(1+rvanilla01)^0.5)/A9stdlife))</f>
        <v>0</v>
      </c>
      <c r="X182" s="107">
        <f>IF(A9stdlife="n/a","n/a",IF(X$3&gt;(A9stdlife+$E182),('PTRM input'!$G$151*(1+rvanilla01)^0.5)-SUM($G182:W182),('PTRM input'!$G$151*(1+rvanilla01)^0.5)/A9stdlife))</f>
        <v>0</v>
      </c>
      <c r="Y182" s="107">
        <f>IF(A9stdlife="n/a","n/a",IF(Y$3&gt;(A9stdlife+$E182),('PTRM input'!$G$151*(1+rvanilla01)^0.5)-SUM($G182:X182),('PTRM input'!$G$151*(1+rvanilla01)^0.5)/A9stdlife))</f>
        <v>0</v>
      </c>
      <c r="Z182" s="107">
        <f>IF(A9stdlife="n/a","n/a",IF(Z$3&gt;(A9stdlife+$E182),('PTRM input'!$G$151*(1+rvanilla01)^0.5)-SUM($G182:Y182),('PTRM input'!$G$151*(1+rvanilla01)^0.5)/A9stdlife))</f>
        <v>0</v>
      </c>
      <c r="AA182" s="107">
        <f>IF(A9stdlife="n/a","n/a",IF(AA$3&gt;(A9stdlife+$E182),('PTRM input'!$G$151*(1+rvanilla01)^0.5)-SUM($G182:Z182),('PTRM input'!$G$151*(1+rvanilla01)^0.5)/A9stdlife))</f>
        <v>0</v>
      </c>
      <c r="AB182" s="107">
        <f>IF(A9stdlife="n/a","n/a",IF(AB$3&gt;(A9stdlife+$E182),('PTRM input'!$G$151*(1+rvanilla01)^0.5)-SUM($G182:AA182),('PTRM input'!$G$151*(1+rvanilla01)^0.5)/A9stdlife))</f>
        <v>0</v>
      </c>
      <c r="AC182" s="107">
        <f>IF(A9stdlife="n/a","n/a",IF(AC$3&gt;(A9stdlife+$E182),('PTRM input'!$G$151*(1+rvanilla01)^0.5)-SUM($G182:AB182),('PTRM input'!$G$151*(1+rvanilla01)^0.5)/A9stdlife))</f>
        <v>0</v>
      </c>
      <c r="AD182" s="107">
        <f>IF(A9stdlife="n/a","n/a",IF(AD$3&gt;(A9stdlife+$E182),('PTRM input'!$G$151*(1+rvanilla01)^0.5)-SUM($G182:AC182),('PTRM input'!$G$151*(1+rvanilla01)^0.5)/A9stdlife))</f>
        <v>0</v>
      </c>
      <c r="AE182" s="107">
        <f>IF(A9stdlife="n/a","n/a",IF(AE$3&gt;(A9stdlife+$E182),('PTRM input'!$G$151*(1+rvanilla01)^0.5)-SUM($G182:AD182),('PTRM input'!$G$151*(1+rvanilla01)^0.5)/A9stdlife))</f>
        <v>0</v>
      </c>
      <c r="AF182" s="107">
        <f>IF(A9stdlife="n/a","n/a",IF(AF$3&gt;(A9stdlife+$E182),('PTRM input'!$G$151*(1+rvanilla01)^0.5)-SUM($G182:AE182),('PTRM input'!$G$151*(1+rvanilla01)^0.5)/A9stdlife))</f>
        <v>0</v>
      </c>
      <c r="AG182" s="107">
        <f>IF(A9stdlife="n/a","n/a",IF(AG$3&gt;(A9stdlife+$E182),('PTRM input'!$G$151*(1+rvanilla01)^0.5)-SUM($G182:AF182),('PTRM input'!$G$151*(1+rvanilla01)^0.5)/A9stdlife))</f>
        <v>0</v>
      </c>
      <c r="AH182" s="107">
        <f>IF(A9stdlife="n/a","n/a",IF(AH$3&gt;(A9stdlife+$E182),('PTRM input'!$G$151*(1+rvanilla01)^0.5)-SUM($G182:AG182),('PTRM input'!$G$151*(1+rvanilla01)^0.5)/A9stdlife))</f>
        <v>0</v>
      </c>
      <c r="AI182" s="107">
        <f>IF(A9stdlife="n/a","n/a",IF(AI$3&gt;(A9stdlife+$E182),('PTRM input'!$G$151*(1+rvanilla01)^0.5)-SUM($G182:AH182),('PTRM input'!$G$151*(1+rvanilla01)^0.5)/A9stdlife))</f>
        <v>0</v>
      </c>
      <c r="AJ182" s="107">
        <f>IF(A9stdlife="n/a","n/a",IF(AJ$3&gt;(A9stdlife+$E182),('PTRM input'!$G$151*(1+rvanilla01)^0.5)-SUM($G182:AI182),('PTRM input'!$G$151*(1+rvanilla01)^0.5)/A9stdlife))</f>
        <v>0</v>
      </c>
      <c r="AK182" s="107">
        <f>IF(A9stdlife="n/a","n/a",IF(AK$3&gt;(A9stdlife+$E182),('PTRM input'!$G$151*(1+rvanilla01)^0.5)-SUM($G182:AJ182),('PTRM input'!$G$151*(1+rvanilla01)^0.5)/A9stdlife))</f>
        <v>0</v>
      </c>
      <c r="AL182" s="107">
        <f>IF(A9stdlife="n/a","n/a",IF(AL$3&gt;(A9stdlife+$E182),('PTRM input'!$G$151*(1+rvanilla01)^0.5)-SUM($G182:AK182),('PTRM input'!$G$151*(1+rvanilla01)^0.5)/A9stdlife))</f>
        <v>0</v>
      </c>
      <c r="AM182" s="107">
        <f>IF(A9stdlife="n/a","n/a",IF(AM$3&gt;(A9stdlife+$E182),('PTRM input'!$G$151*(1+rvanilla01)^0.5)-SUM($G182:AL182),('PTRM input'!$G$151*(1+rvanilla01)^0.5)/A9stdlife))</f>
        <v>0</v>
      </c>
      <c r="AN182" s="107">
        <f>IF(A9stdlife="n/a","n/a",IF(AN$3&gt;(A9stdlife+$E182),('PTRM input'!$G$151*(1+rvanilla01)^0.5)-SUM($G182:AM182),('PTRM input'!$G$151*(1+rvanilla01)^0.5)/A9stdlife))</f>
        <v>0</v>
      </c>
      <c r="AO182" s="107">
        <f>IF(A9stdlife="n/a","n/a",IF(AO$3&gt;(A9stdlife+$E182),('PTRM input'!$G$151*(1+rvanilla01)^0.5)-SUM($G182:AN182),('PTRM input'!$G$151*(1+rvanilla01)^0.5)/A9stdlife))</f>
        <v>0</v>
      </c>
      <c r="AP182" s="107">
        <f>IF(A9stdlife="n/a","n/a",IF(AP$3&gt;(A9stdlife+$E182),('PTRM input'!$G$151*(1+rvanilla01)^0.5)-SUM($G182:AO182),('PTRM input'!$G$151*(1+rvanilla01)^0.5)/A9stdlife))</f>
        <v>0</v>
      </c>
      <c r="AQ182" s="107">
        <f>IF(A9stdlife="n/a","n/a",IF(AQ$3&gt;(A9stdlife+$E182),('PTRM input'!$G$151*(1+rvanilla01)^0.5)-SUM($G182:AP182),('PTRM input'!$G$151*(1+rvanilla01)^0.5)/A9stdlife))</f>
        <v>0</v>
      </c>
      <c r="AR182" s="107">
        <f>IF(A9stdlife="n/a","n/a",IF(AR$3&gt;(A9stdlife+$E182),('PTRM input'!$G$151*(1+rvanilla01)^0.5)-SUM($G182:AQ182),('PTRM input'!$G$151*(1+rvanilla01)^0.5)/A9stdlife))</f>
        <v>0</v>
      </c>
      <c r="AS182" s="107">
        <f>IF(A9stdlife="n/a","n/a",IF(AS$3&gt;(A9stdlife+$E182),('PTRM input'!$G$151*(1+rvanilla01)^0.5)-SUM($G182:AR182),('PTRM input'!$G$151*(1+rvanilla01)^0.5)/A9stdlife))</f>
        <v>0</v>
      </c>
      <c r="AT182" s="107">
        <f>IF(A9stdlife="n/a","n/a",IF(AT$3&gt;(A9stdlife+$E182),('PTRM input'!$G$151*(1+rvanilla01)^0.5)-SUM($G182:AS182),('PTRM input'!$G$151*(1+rvanilla01)^0.5)/A9stdlife))</f>
        <v>0</v>
      </c>
      <c r="AU182" s="107">
        <f>IF(A9stdlife="n/a","n/a",IF(AU$3&gt;(A9stdlife+$E182),('PTRM input'!$G$151*(1+rvanilla01)^0.5)-SUM($G182:AT182),('PTRM input'!$G$151*(1+rvanilla01)^0.5)/A9stdlife))</f>
        <v>0</v>
      </c>
      <c r="AV182" s="107">
        <f>IF(A9stdlife="n/a","n/a",IF(AV$3&gt;(A9stdlife+$E182),('PTRM input'!$G$151*(1+rvanilla01)^0.5)-SUM($G182:AU182),('PTRM input'!$G$151*(1+rvanilla01)^0.5)/A9stdlife))</f>
        <v>0</v>
      </c>
      <c r="AW182" s="107">
        <f>IF(A9stdlife="n/a","n/a",IF(AW$3&gt;(A9stdlife+$E182),('PTRM input'!$G$151*(1+rvanilla01)^0.5)-SUM($G182:AV182),('PTRM input'!$G$151*(1+rvanilla01)^0.5)/A9stdlife))</f>
        <v>0</v>
      </c>
      <c r="AX182" s="107">
        <f>IF(A9stdlife="n/a","n/a",IF(AX$3&gt;(A9stdlife+$E182),('PTRM input'!$G$151*(1+rvanilla01)^0.5)-SUM($G182:AW182),('PTRM input'!$G$151*(1+rvanilla01)^0.5)/A9stdlife))</f>
        <v>0</v>
      </c>
      <c r="AY182" s="107">
        <f>IF(A9stdlife="n/a","n/a",IF(AY$3&gt;(A9stdlife+$E182),('PTRM input'!$G$151*(1+rvanilla01)^0.5)-SUM($G182:AX182),('PTRM input'!$G$151*(1+rvanilla01)^0.5)/A9stdlife))</f>
        <v>0</v>
      </c>
      <c r="AZ182" s="107">
        <f>IF(A9stdlife="n/a","n/a",IF(AZ$3&gt;(A9stdlife+$E182),('PTRM input'!$G$151*(1+rvanilla01)^0.5)-SUM($G182:AY182),('PTRM input'!$G$151*(1+rvanilla01)^0.5)/A9stdlife))</f>
        <v>0</v>
      </c>
      <c r="BA182" s="107">
        <f>IF(A9stdlife="n/a","n/a",IF(BA$3&gt;(A9stdlife+$E182),('PTRM input'!$G$151*(1+rvanilla01)^0.5)-SUM($G182:AZ182),('PTRM input'!$G$151*(1+rvanilla01)^0.5)/A9stdlife))</f>
        <v>0</v>
      </c>
      <c r="BB182" s="107">
        <f>IF(A9stdlife="n/a","n/a",IF(BB$3&gt;(A9stdlife+$E182),('PTRM input'!$G$151*(1+rvanilla01)^0.5)-SUM($G182:BA182),('PTRM input'!$G$151*(1+rvanilla01)^0.5)/A9stdlife))</f>
        <v>0</v>
      </c>
      <c r="BC182" s="107">
        <f>IF(A9stdlife="n/a","n/a",IF(BC$3&gt;(A9stdlife+$E182),('PTRM input'!$G$151*(1+rvanilla01)^0.5)-SUM($G182:BB182),('PTRM input'!$G$151*(1+rvanilla01)^0.5)/A9stdlife))</f>
        <v>0</v>
      </c>
      <c r="BD182" s="107">
        <f>IF(A9stdlife="n/a","n/a",IF(BD$3&gt;(A9stdlife+$E182),('PTRM input'!$G$151*(1+rvanilla01)^0.5)-SUM($G182:BC182),('PTRM input'!$G$151*(1+rvanilla01)^0.5)/A9stdlife))</f>
        <v>0</v>
      </c>
      <c r="BE182" s="107">
        <f>IF(A9stdlife="n/a","n/a",IF(BE$3&gt;(A9stdlife+$E182),('PTRM input'!$G$151*(1+rvanilla01)^0.5)-SUM($G182:BD182),('PTRM input'!$G$151*(1+rvanilla01)^0.5)/A9stdlife))</f>
        <v>0</v>
      </c>
      <c r="BF182" s="107">
        <f>IF(A9stdlife="n/a","n/a",IF(BF$3&gt;(A9stdlife+$E182),('PTRM input'!$G$151*(1+rvanilla01)^0.5)-SUM($G182:BE182),('PTRM input'!$G$151*(1+rvanilla01)^0.5)/A9stdlife))</f>
        <v>0</v>
      </c>
      <c r="BG182" s="107">
        <f>IF(A9stdlife="n/a","n/a",IF(BG$3&gt;(A9stdlife+$E182),('PTRM input'!$G$151*(1+rvanilla01)^0.5)-SUM($G182:BF182),('PTRM input'!$G$151*(1+rvanilla01)^0.5)/A9stdlife))</f>
        <v>0</v>
      </c>
      <c r="BH182" s="107">
        <f>IF(A9stdlife="n/a","n/a",IF(BH$3&gt;(A9stdlife+$E182),('PTRM input'!$G$151*(1+rvanilla01)^0.5)-SUM($G182:BG182),('PTRM input'!$G$151*(1+rvanilla01)^0.5)/A9stdlife))</f>
        <v>0</v>
      </c>
      <c r="BI182" s="107">
        <f>IF(A9stdlife="n/a","n/a",IF(BI$3&gt;(A9stdlife+$E182),('PTRM input'!$G$151*(1+rvanilla01)^0.5)-SUM($G182:BH182),('PTRM input'!$G$151*(1+rvanilla01)^0.5)/A9stdlife))</f>
        <v>0</v>
      </c>
      <c r="BJ182" s="237"/>
      <c r="BK182" s="237"/>
      <c r="BL182" s="237"/>
      <c r="BM182" s="237"/>
    </row>
    <row r="183" spans="1:65" s="190" customFormat="1" ht="12.75" hidden="1" customHeight="1" outlineLevel="2">
      <c r="A183" s="237"/>
      <c r="B183" s="33"/>
      <c r="C183" s="32"/>
      <c r="D183" s="1618"/>
      <c r="E183" s="169">
        <v>2</v>
      </c>
      <c r="F183" s="35"/>
      <c r="G183" s="184"/>
      <c r="H183" s="185"/>
      <c r="I183" s="107">
        <f>IF(A9stdlife="n/a","n/a",IF(I$3&gt;(A9stdlife+$E183),('PTRM input'!$H$151*(1+rvanilla02)^0.5)-SUM($H183:H183),('PTRM input'!$H$151*(1+rvanilla02)^0.5)/A9stdlife))</f>
        <v>0</v>
      </c>
      <c r="J183" s="107">
        <f>IF(A9stdlife="n/a","n/a",IF(J$3&gt;(A9stdlife+$E183),('PTRM input'!$H$151*(1+rvanilla02)^0.5)-SUM($H183:I183),('PTRM input'!$H$151*(1+rvanilla02)^0.5)/A9stdlife))</f>
        <v>0</v>
      </c>
      <c r="K183" s="107">
        <f>IF(A9stdlife="n/a","n/a",IF(K$3&gt;(A9stdlife+$E183),('PTRM input'!$H$151*(1+rvanilla02)^0.5)-SUM($H183:J183),('PTRM input'!$H$151*(1+rvanilla02)^0.5)/A9stdlife))</f>
        <v>0</v>
      </c>
      <c r="L183" s="107">
        <f>IF(A9stdlife="n/a","n/a",IF(L$3&gt;(A9stdlife+$E183),('PTRM input'!$H$151*(1+rvanilla02)^0.5)-SUM($H183:K183),('PTRM input'!$H$151*(1+rvanilla02)^0.5)/A9stdlife))</f>
        <v>0</v>
      </c>
      <c r="M183" s="107">
        <f>IF(A9stdlife="n/a","n/a",IF(M$3&gt;(A9stdlife+$E183),('PTRM input'!$H$151*(1+rvanilla02)^0.5)-SUM($H183:L183),('PTRM input'!$H$151*(1+rvanilla02)^0.5)/A9stdlife))</f>
        <v>0</v>
      </c>
      <c r="N183" s="107">
        <f>IF(A9stdlife="n/a","n/a",IF(N$3&gt;(A9stdlife+$E183),('PTRM input'!$H$151*(1+rvanilla02)^0.5)-SUM($H183:M183),('PTRM input'!$H$151*(1+rvanilla02)^0.5)/A9stdlife))</f>
        <v>0</v>
      </c>
      <c r="O183" s="107">
        <f>IF(A9stdlife="n/a","n/a",IF(O$3&gt;(A9stdlife+$E183),('PTRM input'!$H$151*(1+rvanilla02)^0.5)-SUM($H183:N183),('PTRM input'!$H$151*(1+rvanilla02)^0.5)/A9stdlife))</f>
        <v>0</v>
      </c>
      <c r="P183" s="107">
        <f>IF(A9stdlife="n/a","n/a",IF(P$3&gt;(A9stdlife+$E183),('PTRM input'!$H$151*(1+rvanilla02)^0.5)-SUM($H183:O183),('PTRM input'!$H$151*(1+rvanilla02)^0.5)/A9stdlife))</f>
        <v>0</v>
      </c>
      <c r="Q183" s="107">
        <f>IF(A9stdlife="n/a","n/a",IF(Q$3&gt;(A9stdlife+$E183),('PTRM input'!$H$151*(1+rvanilla02)^0.5)-SUM($H183:P183),('PTRM input'!$H$151*(1+rvanilla02)^0.5)/A9stdlife))</f>
        <v>0</v>
      </c>
      <c r="R183" s="107">
        <f>IF(A9stdlife="n/a","n/a",IF(R$3&gt;(A9stdlife+$E183),('PTRM input'!$H$151*(1+rvanilla02)^0.5)-SUM($H183:Q183),('PTRM input'!$H$151*(1+rvanilla02)^0.5)/A9stdlife))</f>
        <v>0</v>
      </c>
      <c r="S183" s="107">
        <f>IF(A9stdlife="n/a","n/a",IF(S$3&gt;(A9stdlife+$E183),('PTRM input'!$H$151*(1+rvanilla02)^0.5)-SUM($H183:R183),('PTRM input'!$H$151*(1+rvanilla02)^0.5)/A9stdlife))</f>
        <v>0</v>
      </c>
      <c r="T183" s="107">
        <f>IF(A9stdlife="n/a","n/a",IF(T$3&gt;(A9stdlife+$E183),('PTRM input'!$H$151*(1+rvanilla02)^0.5)-SUM($H183:S183),('PTRM input'!$H$151*(1+rvanilla02)^0.5)/A9stdlife))</f>
        <v>0</v>
      </c>
      <c r="U183" s="107">
        <f>IF(A9stdlife="n/a","n/a",IF(U$3&gt;(A9stdlife+$E183),('PTRM input'!$H$151*(1+rvanilla02)^0.5)-SUM($H183:T183),('PTRM input'!$H$151*(1+rvanilla02)^0.5)/A9stdlife))</f>
        <v>0</v>
      </c>
      <c r="V183" s="107">
        <f>IF(A9stdlife="n/a","n/a",IF(V$3&gt;(A9stdlife+$E183),('PTRM input'!$H$151*(1+rvanilla02)^0.5)-SUM($H183:U183),('PTRM input'!$H$151*(1+rvanilla02)^0.5)/A9stdlife))</f>
        <v>0</v>
      </c>
      <c r="W183" s="107">
        <f>IF(A9stdlife="n/a","n/a",IF(W$3&gt;(A9stdlife+$E183),('PTRM input'!$H$151*(1+rvanilla02)^0.5)-SUM($H183:V183),('PTRM input'!$H$151*(1+rvanilla02)^0.5)/A9stdlife))</f>
        <v>0</v>
      </c>
      <c r="X183" s="107">
        <f>IF(A9stdlife="n/a","n/a",IF(X$3&gt;(A9stdlife+$E183),('PTRM input'!$H$151*(1+rvanilla02)^0.5)-SUM($H183:W183),('PTRM input'!$H$151*(1+rvanilla02)^0.5)/A9stdlife))</f>
        <v>0</v>
      </c>
      <c r="Y183" s="107">
        <f>IF(A9stdlife="n/a","n/a",IF(Y$3&gt;(A9stdlife+$E183),('PTRM input'!$H$151*(1+rvanilla02)^0.5)-SUM($H183:X183),('PTRM input'!$H$151*(1+rvanilla02)^0.5)/A9stdlife))</f>
        <v>0</v>
      </c>
      <c r="Z183" s="107">
        <f>IF(A9stdlife="n/a","n/a",IF(Z$3&gt;(A9stdlife+$E183),('PTRM input'!$H$151*(1+rvanilla02)^0.5)-SUM($H183:Y183),('PTRM input'!$H$151*(1+rvanilla02)^0.5)/A9stdlife))</f>
        <v>0</v>
      </c>
      <c r="AA183" s="107">
        <f>IF(A9stdlife="n/a","n/a",IF(AA$3&gt;(A9stdlife+$E183),('PTRM input'!$H$151*(1+rvanilla02)^0.5)-SUM($H183:Z183),('PTRM input'!$H$151*(1+rvanilla02)^0.5)/A9stdlife))</f>
        <v>0</v>
      </c>
      <c r="AB183" s="107">
        <f>IF(A9stdlife="n/a","n/a",IF(AB$3&gt;(A9stdlife+$E183),('PTRM input'!$H$151*(1+rvanilla02)^0.5)-SUM($H183:AA183),('PTRM input'!$H$151*(1+rvanilla02)^0.5)/A9stdlife))</f>
        <v>0</v>
      </c>
      <c r="AC183" s="107">
        <f>IF(A9stdlife="n/a","n/a",IF(AC$3&gt;(A9stdlife+$E183),('PTRM input'!$H$151*(1+rvanilla02)^0.5)-SUM($H183:AB183),('PTRM input'!$H$151*(1+rvanilla02)^0.5)/A9stdlife))</f>
        <v>0</v>
      </c>
      <c r="AD183" s="107">
        <f>IF(A9stdlife="n/a","n/a",IF(AD$3&gt;(A9stdlife+$E183),('PTRM input'!$H$151*(1+rvanilla02)^0.5)-SUM($H183:AC183),('PTRM input'!$H$151*(1+rvanilla02)^0.5)/A9stdlife))</f>
        <v>0</v>
      </c>
      <c r="AE183" s="107">
        <f>IF(A9stdlife="n/a","n/a",IF(AE$3&gt;(A9stdlife+$E183),('PTRM input'!$H$151*(1+rvanilla02)^0.5)-SUM($H183:AD183),('PTRM input'!$H$151*(1+rvanilla02)^0.5)/A9stdlife))</f>
        <v>0</v>
      </c>
      <c r="AF183" s="107">
        <f>IF(A9stdlife="n/a","n/a",IF(AF$3&gt;(A9stdlife+$E183),('PTRM input'!$H$151*(1+rvanilla02)^0.5)-SUM($H183:AE183),('PTRM input'!$H$151*(1+rvanilla02)^0.5)/A9stdlife))</f>
        <v>0</v>
      </c>
      <c r="AG183" s="107">
        <f>IF(A9stdlife="n/a","n/a",IF(AG$3&gt;(A9stdlife+$E183),('PTRM input'!$H$151*(1+rvanilla02)^0.5)-SUM($H183:AF183),('PTRM input'!$H$151*(1+rvanilla02)^0.5)/A9stdlife))</f>
        <v>0</v>
      </c>
      <c r="AH183" s="107">
        <f>IF(A9stdlife="n/a","n/a",IF(AH$3&gt;(A9stdlife+$E183),('PTRM input'!$H$151*(1+rvanilla02)^0.5)-SUM($H183:AG183),('PTRM input'!$H$151*(1+rvanilla02)^0.5)/A9stdlife))</f>
        <v>0</v>
      </c>
      <c r="AI183" s="107">
        <f>IF(A9stdlife="n/a","n/a",IF(AI$3&gt;(A9stdlife+$E183),('PTRM input'!$H$151*(1+rvanilla02)^0.5)-SUM($H183:AH183),('PTRM input'!$H$151*(1+rvanilla02)^0.5)/A9stdlife))</f>
        <v>0</v>
      </c>
      <c r="AJ183" s="107">
        <f>IF(A9stdlife="n/a","n/a",IF(AJ$3&gt;(A9stdlife+$E183),('PTRM input'!$H$151*(1+rvanilla02)^0.5)-SUM($H183:AI183),('PTRM input'!$H$151*(1+rvanilla02)^0.5)/A9stdlife))</f>
        <v>0</v>
      </c>
      <c r="AK183" s="107">
        <f>IF(A9stdlife="n/a","n/a",IF(AK$3&gt;(A9stdlife+$E183),('PTRM input'!$H$151*(1+rvanilla02)^0.5)-SUM($H183:AJ183),('PTRM input'!$H$151*(1+rvanilla02)^0.5)/A9stdlife))</f>
        <v>0</v>
      </c>
      <c r="AL183" s="107">
        <f>IF(A9stdlife="n/a","n/a",IF(AL$3&gt;(A9stdlife+$E183),('PTRM input'!$H$151*(1+rvanilla02)^0.5)-SUM($H183:AK183),('PTRM input'!$H$151*(1+rvanilla02)^0.5)/A9stdlife))</f>
        <v>0</v>
      </c>
      <c r="AM183" s="107">
        <f>IF(A9stdlife="n/a","n/a",IF(AM$3&gt;(A9stdlife+$E183),('PTRM input'!$H$151*(1+rvanilla02)^0.5)-SUM($H183:AL183),('PTRM input'!$H$151*(1+rvanilla02)^0.5)/A9stdlife))</f>
        <v>0</v>
      </c>
      <c r="AN183" s="107">
        <f>IF(A9stdlife="n/a","n/a",IF(AN$3&gt;(A9stdlife+$E183),('PTRM input'!$H$151*(1+rvanilla02)^0.5)-SUM($H183:AM183),('PTRM input'!$H$151*(1+rvanilla02)^0.5)/A9stdlife))</f>
        <v>0</v>
      </c>
      <c r="AO183" s="107">
        <f>IF(A9stdlife="n/a","n/a",IF(AO$3&gt;(A9stdlife+$E183),('PTRM input'!$H$151*(1+rvanilla02)^0.5)-SUM($H183:AN183),('PTRM input'!$H$151*(1+rvanilla02)^0.5)/A9stdlife))</f>
        <v>0</v>
      </c>
      <c r="AP183" s="107">
        <f>IF(A9stdlife="n/a","n/a",IF(AP$3&gt;(A9stdlife+$E183),('PTRM input'!$H$151*(1+rvanilla02)^0.5)-SUM($H183:AO183),('PTRM input'!$H$151*(1+rvanilla02)^0.5)/A9stdlife))</f>
        <v>0</v>
      </c>
      <c r="AQ183" s="107">
        <f>IF(A9stdlife="n/a","n/a",IF(AQ$3&gt;(A9stdlife+$E183),('PTRM input'!$H$151*(1+rvanilla02)^0.5)-SUM($H183:AP183),('PTRM input'!$H$151*(1+rvanilla02)^0.5)/A9stdlife))</f>
        <v>0</v>
      </c>
      <c r="AR183" s="107">
        <f>IF(A9stdlife="n/a","n/a",IF(AR$3&gt;(A9stdlife+$E183),('PTRM input'!$H$151*(1+rvanilla02)^0.5)-SUM($H183:AQ183),('PTRM input'!$H$151*(1+rvanilla02)^0.5)/A9stdlife))</f>
        <v>0</v>
      </c>
      <c r="AS183" s="107">
        <f>IF(A9stdlife="n/a","n/a",IF(AS$3&gt;(A9stdlife+$E183),('PTRM input'!$H$151*(1+rvanilla02)^0.5)-SUM($H183:AR183),('PTRM input'!$H$151*(1+rvanilla02)^0.5)/A9stdlife))</f>
        <v>0</v>
      </c>
      <c r="AT183" s="107">
        <f>IF(A9stdlife="n/a","n/a",IF(AT$3&gt;(A9stdlife+$E183),('PTRM input'!$H$151*(1+rvanilla02)^0.5)-SUM($H183:AS183),('PTRM input'!$H$151*(1+rvanilla02)^0.5)/A9stdlife))</f>
        <v>0</v>
      </c>
      <c r="AU183" s="107">
        <f>IF(A9stdlife="n/a","n/a",IF(AU$3&gt;(A9stdlife+$E183),('PTRM input'!$H$151*(1+rvanilla02)^0.5)-SUM($H183:AT183),('PTRM input'!$H$151*(1+rvanilla02)^0.5)/A9stdlife))</f>
        <v>0</v>
      </c>
      <c r="AV183" s="107">
        <f>IF(A9stdlife="n/a","n/a",IF(AV$3&gt;(A9stdlife+$E183),('PTRM input'!$H$151*(1+rvanilla02)^0.5)-SUM($H183:AU183),('PTRM input'!$H$151*(1+rvanilla02)^0.5)/A9stdlife))</f>
        <v>0</v>
      </c>
      <c r="AW183" s="107">
        <f>IF(A9stdlife="n/a","n/a",IF(AW$3&gt;(A9stdlife+$E183),('PTRM input'!$H$151*(1+rvanilla02)^0.5)-SUM($H183:AV183),('PTRM input'!$H$151*(1+rvanilla02)^0.5)/A9stdlife))</f>
        <v>0</v>
      </c>
      <c r="AX183" s="107">
        <f>IF(A9stdlife="n/a","n/a",IF(AX$3&gt;(A9stdlife+$E183),('PTRM input'!$H$151*(1+rvanilla02)^0.5)-SUM($H183:AW183),('PTRM input'!$H$151*(1+rvanilla02)^0.5)/A9stdlife))</f>
        <v>0</v>
      </c>
      <c r="AY183" s="107">
        <f>IF(A9stdlife="n/a","n/a",IF(AY$3&gt;(A9stdlife+$E183),('PTRM input'!$H$151*(1+rvanilla02)^0.5)-SUM($H183:AX183),('PTRM input'!$H$151*(1+rvanilla02)^0.5)/A9stdlife))</f>
        <v>0</v>
      </c>
      <c r="AZ183" s="107">
        <f>IF(A9stdlife="n/a","n/a",IF(AZ$3&gt;(A9stdlife+$E183),('PTRM input'!$H$151*(1+rvanilla02)^0.5)-SUM($H183:AY183),('PTRM input'!$H$151*(1+rvanilla02)^0.5)/A9stdlife))</f>
        <v>0</v>
      </c>
      <c r="BA183" s="107">
        <f>IF(A9stdlife="n/a","n/a",IF(BA$3&gt;(A9stdlife+$E183),('PTRM input'!$H$151*(1+rvanilla02)^0.5)-SUM($H183:AZ183),('PTRM input'!$H$151*(1+rvanilla02)^0.5)/A9stdlife))</f>
        <v>0</v>
      </c>
      <c r="BB183" s="107">
        <f>IF(A9stdlife="n/a","n/a",IF(BB$3&gt;(A9stdlife+$E183),('PTRM input'!$H$151*(1+rvanilla02)^0.5)-SUM($H183:BA183),('PTRM input'!$H$151*(1+rvanilla02)^0.5)/A9stdlife))</f>
        <v>0</v>
      </c>
      <c r="BC183" s="107">
        <f>IF(A9stdlife="n/a","n/a",IF(BC$3&gt;(A9stdlife+$E183),('PTRM input'!$H$151*(1+rvanilla02)^0.5)-SUM($H183:BB183),('PTRM input'!$H$151*(1+rvanilla02)^0.5)/A9stdlife))</f>
        <v>0</v>
      </c>
      <c r="BD183" s="107">
        <f>IF(A9stdlife="n/a","n/a",IF(BD$3&gt;(A9stdlife+$E183),('PTRM input'!$H$151*(1+rvanilla02)^0.5)-SUM($H183:BC183),('PTRM input'!$H$151*(1+rvanilla02)^0.5)/A9stdlife))</f>
        <v>0</v>
      </c>
      <c r="BE183" s="107">
        <f>IF(A9stdlife="n/a","n/a",IF(BE$3&gt;(A9stdlife+$E183),('PTRM input'!$H$151*(1+rvanilla02)^0.5)-SUM($H183:BD183),('PTRM input'!$H$151*(1+rvanilla02)^0.5)/A9stdlife))</f>
        <v>0</v>
      </c>
      <c r="BF183" s="107">
        <f>IF(A9stdlife="n/a","n/a",IF(BF$3&gt;(A9stdlife+$E183),('PTRM input'!$H$151*(1+rvanilla02)^0.5)-SUM($H183:BE183),('PTRM input'!$H$151*(1+rvanilla02)^0.5)/A9stdlife))</f>
        <v>0</v>
      </c>
      <c r="BG183" s="107">
        <f>IF(A9stdlife="n/a","n/a",IF(BG$3&gt;(A9stdlife+$E183),('PTRM input'!$H$151*(1+rvanilla02)^0.5)-SUM($H183:BF183),('PTRM input'!$H$151*(1+rvanilla02)^0.5)/A9stdlife))</f>
        <v>0</v>
      </c>
      <c r="BH183" s="107">
        <f>IF(A9stdlife="n/a","n/a",IF(BH$3&gt;(A9stdlife+$E183),('PTRM input'!$H$151*(1+rvanilla02)^0.5)-SUM($H183:BG183),('PTRM input'!$H$151*(1+rvanilla02)^0.5)/A9stdlife))</f>
        <v>0</v>
      </c>
      <c r="BI183" s="107">
        <f>IF(A9stdlife="n/a","n/a",IF(BI$3&gt;(A9stdlife+$E183),('PTRM input'!$H$151*(1+rvanilla02)^0.5)-SUM($H183:BH183),('PTRM input'!$H$151*(1+rvanilla02)^0.5)/A9stdlife))</f>
        <v>0</v>
      </c>
      <c r="BJ183" s="237"/>
      <c r="BK183" s="237"/>
      <c r="BL183" s="237"/>
      <c r="BM183" s="237"/>
    </row>
    <row r="184" spans="1:65" s="190" customFormat="1" ht="12.75" hidden="1" customHeight="1" outlineLevel="2">
      <c r="A184" s="237"/>
      <c r="B184" s="33"/>
      <c r="C184" s="32"/>
      <c r="D184" s="1618"/>
      <c r="E184" s="169">
        <v>3</v>
      </c>
      <c r="F184" s="35"/>
      <c r="G184" s="184"/>
      <c r="H184" s="186"/>
      <c r="I184" s="185"/>
      <c r="J184" s="107">
        <f>IF(A9stdlife="n/a","n/a",IF(J$3&gt;(A9stdlife+$E184),('PTRM input'!$I$151*(1+rvanilla03)^0.5)-SUM($I184:I184),('PTRM input'!$I$151*(1+rvanilla03)^0.5)/A9stdlife))</f>
        <v>0</v>
      </c>
      <c r="K184" s="107">
        <f>IF(A9stdlife="n/a","n/a",IF(K$3&gt;(A9stdlife+$E184),('PTRM input'!$I$151*(1+rvanilla03)^0.5)-SUM($I184:J184),('PTRM input'!$I$151*(1+rvanilla03)^0.5)/A9stdlife))</f>
        <v>0</v>
      </c>
      <c r="L184" s="107">
        <f>IF(A9stdlife="n/a","n/a",IF(L$3&gt;(A9stdlife+$E184),('PTRM input'!$I$151*(1+rvanilla03)^0.5)-SUM($I184:K184),('PTRM input'!$I$151*(1+rvanilla03)^0.5)/A9stdlife))</f>
        <v>0</v>
      </c>
      <c r="M184" s="107">
        <f>IF(A9stdlife="n/a","n/a",IF(M$3&gt;(A9stdlife+$E184),('PTRM input'!$I$151*(1+rvanilla03)^0.5)-SUM($I184:L184),('PTRM input'!$I$151*(1+rvanilla03)^0.5)/A9stdlife))</f>
        <v>0</v>
      </c>
      <c r="N184" s="107">
        <f>IF(A9stdlife="n/a","n/a",IF(N$3&gt;(A9stdlife+$E184),('PTRM input'!$I$151*(1+rvanilla03)^0.5)-SUM($I184:M184),('PTRM input'!$I$151*(1+rvanilla03)^0.5)/A9stdlife))</f>
        <v>0</v>
      </c>
      <c r="O184" s="107">
        <f>IF(A9stdlife="n/a","n/a",IF(O$3&gt;(A9stdlife+$E184),('PTRM input'!$I$151*(1+rvanilla03)^0.5)-SUM($I184:N184),('PTRM input'!$I$151*(1+rvanilla03)^0.5)/A9stdlife))</f>
        <v>0</v>
      </c>
      <c r="P184" s="107">
        <f>IF(A9stdlife="n/a","n/a",IF(P$3&gt;(A9stdlife+$E184),('PTRM input'!$I$151*(1+rvanilla03)^0.5)-SUM($I184:O184),('PTRM input'!$I$151*(1+rvanilla03)^0.5)/A9stdlife))</f>
        <v>0</v>
      </c>
      <c r="Q184" s="107">
        <f>IF(A9stdlife="n/a","n/a",IF(Q$3&gt;(A9stdlife+$E184),('PTRM input'!$I$151*(1+rvanilla03)^0.5)-SUM($I184:P184),('PTRM input'!$I$151*(1+rvanilla03)^0.5)/A9stdlife))</f>
        <v>0</v>
      </c>
      <c r="R184" s="107">
        <f>IF(A9stdlife="n/a","n/a",IF(R$3&gt;(A9stdlife+$E184),('PTRM input'!$I$151*(1+rvanilla03)^0.5)-SUM($I184:Q184),('PTRM input'!$I$151*(1+rvanilla03)^0.5)/A9stdlife))</f>
        <v>0</v>
      </c>
      <c r="S184" s="107">
        <f>IF(A9stdlife="n/a","n/a",IF(S$3&gt;(A9stdlife+$E184),('PTRM input'!$I$151*(1+rvanilla03)^0.5)-SUM($I184:R184),('PTRM input'!$I$151*(1+rvanilla03)^0.5)/A9stdlife))</f>
        <v>0</v>
      </c>
      <c r="T184" s="107">
        <f>IF(A9stdlife="n/a","n/a",IF(T$3&gt;(A9stdlife+$E184),('PTRM input'!$I$151*(1+rvanilla03)^0.5)-SUM($I184:S184),('PTRM input'!$I$151*(1+rvanilla03)^0.5)/A9stdlife))</f>
        <v>0</v>
      </c>
      <c r="U184" s="107">
        <f>IF(A9stdlife="n/a","n/a",IF(U$3&gt;(A9stdlife+$E184),('PTRM input'!$I$151*(1+rvanilla03)^0.5)-SUM($I184:T184),('PTRM input'!$I$151*(1+rvanilla03)^0.5)/A9stdlife))</f>
        <v>0</v>
      </c>
      <c r="V184" s="107">
        <f>IF(A9stdlife="n/a","n/a",IF(V$3&gt;(A9stdlife+$E184),('PTRM input'!$I$151*(1+rvanilla03)^0.5)-SUM($I184:U184),('PTRM input'!$I$151*(1+rvanilla03)^0.5)/A9stdlife))</f>
        <v>0</v>
      </c>
      <c r="W184" s="107">
        <f>IF(A9stdlife="n/a","n/a",IF(W$3&gt;(A9stdlife+$E184),('PTRM input'!$I$151*(1+rvanilla03)^0.5)-SUM($I184:V184),('PTRM input'!$I$151*(1+rvanilla03)^0.5)/A9stdlife))</f>
        <v>0</v>
      </c>
      <c r="X184" s="107">
        <f>IF(A9stdlife="n/a","n/a",IF(X$3&gt;(A9stdlife+$E184),('PTRM input'!$I$151*(1+rvanilla03)^0.5)-SUM($I184:W184),('PTRM input'!$I$151*(1+rvanilla03)^0.5)/A9stdlife))</f>
        <v>0</v>
      </c>
      <c r="Y184" s="107">
        <f>IF(A9stdlife="n/a","n/a",IF(Y$3&gt;(A9stdlife+$E184),('PTRM input'!$I$151*(1+rvanilla03)^0.5)-SUM($I184:X184),('PTRM input'!$I$151*(1+rvanilla03)^0.5)/A9stdlife))</f>
        <v>0</v>
      </c>
      <c r="Z184" s="107">
        <f>IF(A9stdlife="n/a","n/a",IF(Z$3&gt;(A9stdlife+$E184),('PTRM input'!$I$151*(1+rvanilla03)^0.5)-SUM($I184:Y184),('PTRM input'!$I$151*(1+rvanilla03)^0.5)/A9stdlife))</f>
        <v>0</v>
      </c>
      <c r="AA184" s="107">
        <f>IF(A9stdlife="n/a","n/a",IF(AA$3&gt;(A9stdlife+$E184),('PTRM input'!$I$151*(1+rvanilla03)^0.5)-SUM($I184:Z184),('PTRM input'!$I$151*(1+rvanilla03)^0.5)/A9stdlife))</f>
        <v>0</v>
      </c>
      <c r="AB184" s="107">
        <f>IF(A9stdlife="n/a","n/a",IF(AB$3&gt;(A9stdlife+$E184),('PTRM input'!$I$151*(1+rvanilla03)^0.5)-SUM($I184:AA184),('PTRM input'!$I$151*(1+rvanilla03)^0.5)/A9stdlife))</f>
        <v>0</v>
      </c>
      <c r="AC184" s="107">
        <f>IF(A9stdlife="n/a","n/a",IF(AC$3&gt;(A9stdlife+$E184),('PTRM input'!$I$151*(1+rvanilla03)^0.5)-SUM($I184:AB184),('PTRM input'!$I$151*(1+rvanilla03)^0.5)/A9stdlife))</f>
        <v>0</v>
      </c>
      <c r="AD184" s="107">
        <f>IF(A9stdlife="n/a","n/a",IF(AD$3&gt;(A9stdlife+$E184),('PTRM input'!$I$151*(1+rvanilla03)^0.5)-SUM($I184:AC184),('PTRM input'!$I$151*(1+rvanilla03)^0.5)/A9stdlife))</f>
        <v>0</v>
      </c>
      <c r="AE184" s="107">
        <f>IF(A9stdlife="n/a","n/a",IF(AE$3&gt;(A9stdlife+$E184),('PTRM input'!$I$151*(1+rvanilla03)^0.5)-SUM($I184:AD184),('PTRM input'!$I$151*(1+rvanilla03)^0.5)/A9stdlife))</f>
        <v>0</v>
      </c>
      <c r="AF184" s="107">
        <f>IF(A9stdlife="n/a","n/a",IF(AF$3&gt;(A9stdlife+$E184),('PTRM input'!$I$151*(1+rvanilla03)^0.5)-SUM($I184:AE184),('PTRM input'!$I$151*(1+rvanilla03)^0.5)/A9stdlife))</f>
        <v>0</v>
      </c>
      <c r="AG184" s="107">
        <f>IF(A9stdlife="n/a","n/a",IF(AG$3&gt;(A9stdlife+$E184),('PTRM input'!$I$151*(1+rvanilla03)^0.5)-SUM($I184:AF184),('PTRM input'!$I$151*(1+rvanilla03)^0.5)/A9stdlife))</f>
        <v>0</v>
      </c>
      <c r="AH184" s="107">
        <f>IF(A9stdlife="n/a","n/a",IF(AH$3&gt;(A9stdlife+$E184),('PTRM input'!$I$151*(1+rvanilla03)^0.5)-SUM($I184:AG184),('PTRM input'!$I$151*(1+rvanilla03)^0.5)/A9stdlife))</f>
        <v>0</v>
      </c>
      <c r="AI184" s="107">
        <f>IF(A9stdlife="n/a","n/a",IF(AI$3&gt;(A9stdlife+$E184),('PTRM input'!$I$151*(1+rvanilla03)^0.5)-SUM($I184:AH184),('PTRM input'!$I$151*(1+rvanilla03)^0.5)/A9stdlife))</f>
        <v>0</v>
      </c>
      <c r="AJ184" s="107">
        <f>IF(A9stdlife="n/a","n/a",IF(AJ$3&gt;(A9stdlife+$E184),('PTRM input'!$I$151*(1+rvanilla03)^0.5)-SUM($I184:AI184),('PTRM input'!$I$151*(1+rvanilla03)^0.5)/A9stdlife))</f>
        <v>0</v>
      </c>
      <c r="AK184" s="107">
        <f>IF(A9stdlife="n/a","n/a",IF(AK$3&gt;(A9stdlife+$E184),('PTRM input'!$I$151*(1+rvanilla03)^0.5)-SUM($I184:AJ184),('PTRM input'!$I$151*(1+rvanilla03)^0.5)/A9stdlife))</f>
        <v>0</v>
      </c>
      <c r="AL184" s="107">
        <f>IF(A9stdlife="n/a","n/a",IF(AL$3&gt;(A9stdlife+$E184),('PTRM input'!$I$151*(1+rvanilla03)^0.5)-SUM($I184:AK184),('PTRM input'!$I$151*(1+rvanilla03)^0.5)/A9stdlife))</f>
        <v>0</v>
      </c>
      <c r="AM184" s="107">
        <f>IF(A9stdlife="n/a","n/a",IF(AM$3&gt;(A9stdlife+$E184),('PTRM input'!$I$151*(1+rvanilla03)^0.5)-SUM($I184:AL184),('PTRM input'!$I$151*(1+rvanilla03)^0.5)/A9stdlife))</f>
        <v>0</v>
      </c>
      <c r="AN184" s="107">
        <f>IF(A9stdlife="n/a","n/a",IF(AN$3&gt;(A9stdlife+$E184),('PTRM input'!$I$151*(1+rvanilla03)^0.5)-SUM($I184:AM184),('PTRM input'!$I$151*(1+rvanilla03)^0.5)/A9stdlife))</f>
        <v>0</v>
      </c>
      <c r="AO184" s="107">
        <f>IF(A9stdlife="n/a","n/a",IF(AO$3&gt;(A9stdlife+$E184),('PTRM input'!$I$151*(1+rvanilla03)^0.5)-SUM($I184:AN184),('PTRM input'!$I$151*(1+rvanilla03)^0.5)/A9stdlife))</f>
        <v>0</v>
      </c>
      <c r="AP184" s="107">
        <f>IF(A9stdlife="n/a","n/a",IF(AP$3&gt;(A9stdlife+$E184),('PTRM input'!$I$151*(1+rvanilla03)^0.5)-SUM($I184:AO184),('PTRM input'!$I$151*(1+rvanilla03)^0.5)/A9stdlife))</f>
        <v>0</v>
      </c>
      <c r="AQ184" s="107">
        <f>IF(A9stdlife="n/a","n/a",IF(AQ$3&gt;(A9stdlife+$E184),('PTRM input'!$I$151*(1+rvanilla03)^0.5)-SUM($I184:AP184),('PTRM input'!$I$151*(1+rvanilla03)^0.5)/A9stdlife))</f>
        <v>0</v>
      </c>
      <c r="AR184" s="107">
        <f>IF(A9stdlife="n/a","n/a",IF(AR$3&gt;(A9stdlife+$E184),('PTRM input'!$I$151*(1+rvanilla03)^0.5)-SUM($I184:AQ184),('PTRM input'!$I$151*(1+rvanilla03)^0.5)/A9stdlife))</f>
        <v>0</v>
      </c>
      <c r="AS184" s="107">
        <f>IF(A9stdlife="n/a","n/a",IF(AS$3&gt;(A9stdlife+$E184),('PTRM input'!$I$151*(1+rvanilla03)^0.5)-SUM($I184:AR184),('PTRM input'!$I$151*(1+rvanilla03)^0.5)/A9stdlife))</f>
        <v>0</v>
      </c>
      <c r="AT184" s="107">
        <f>IF(A9stdlife="n/a","n/a",IF(AT$3&gt;(A9stdlife+$E184),('PTRM input'!$I$151*(1+rvanilla03)^0.5)-SUM($I184:AS184),('PTRM input'!$I$151*(1+rvanilla03)^0.5)/A9stdlife))</f>
        <v>0</v>
      </c>
      <c r="AU184" s="107">
        <f>IF(A9stdlife="n/a","n/a",IF(AU$3&gt;(A9stdlife+$E184),('PTRM input'!$I$151*(1+rvanilla03)^0.5)-SUM($I184:AT184),('PTRM input'!$I$151*(1+rvanilla03)^0.5)/A9stdlife))</f>
        <v>0</v>
      </c>
      <c r="AV184" s="107">
        <f>IF(A9stdlife="n/a","n/a",IF(AV$3&gt;(A9stdlife+$E184),('PTRM input'!$I$151*(1+rvanilla03)^0.5)-SUM($I184:AU184),('PTRM input'!$I$151*(1+rvanilla03)^0.5)/A9stdlife))</f>
        <v>0</v>
      </c>
      <c r="AW184" s="107">
        <f>IF(A9stdlife="n/a","n/a",IF(AW$3&gt;(A9stdlife+$E184),('PTRM input'!$I$151*(1+rvanilla03)^0.5)-SUM($I184:AV184),('PTRM input'!$I$151*(1+rvanilla03)^0.5)/A9stdlife))</f>
        <v>0</v>
      </c>
      <c r="AX184" s="107">
        <f>IF(A9stdlife="n/a","n/a",IF(AX$3&gt;(A9stdlife+$E184),('PTRM input'!$I$151*(1+rvanilla03)^0.5)-SUM($I184:AW184),('PTRM input'!$I$151*(1+rvanilla03)^0.5)/A9stdlife))</f>
        <v>0</v>
      </c>
      <c r="AY184" s="107">
        <f>IF(A9stdlife="n/a","n/a",IF(AY$3&gt;(A9stdlife+$E184),('PTRM input'!$I$151*(1+rvanilla03)^0.5)-SUM($I184:AX184),('PTRM input'!$I$151*(1+rvanilla03)^0.5)/A9stdlife))</f>
        <v>0</v>
      </c>
      <c r="AZ184" s="107">
        <f>IF(A9stdlife="n/a","n/a",IF(AZ$3&gt;(A9stdlife+$E184),('PTRM input'!$I$151*(1+rvanilla03)^0.5)-SUM($I184:AY184),('PTRM input'!$I$151*(1+rvanilla03)^0.5)/A9stdlife))</f>
        <v>0</v>
      </c>
      <c r="BA184" s="107">
        <f>IF(A9stdlife="n/a","n/a",IF(BA$3&gt;(A9stdlife+$E184),('PTRM input'!$I$151*(1+rvanilla03)^0.5)-SUM($I184:AZ184),('PTRM input'!$I$151*(1+rvanilla03)^0.5)/A9stdlife))</f>
        <v>0</v>
      </c>
      <c r="BB184" s="107">
        <f>IF(A9stdlife="n/a","n/a",IF(BB$3&gt;(A9stdlife+$E184),('PTRM input'!$I$151*(1+rvanilla03)^0.5)-SUM($I184:BA184),('PTRM input'!$I$151*(1+rvanilla03)^0.5)/A9stdlife))</f>
        <v>0</v>
      </c>
      <c r="BC184" s="107">
        <f>IF(A9stdlife="n/a","n/a",IF(BC$3&gt;(A9stdlife+$E184),('PTRM input'!$I$151*(1+rvanilla03)^0.5)-SUM($I184:BB184),('PTRM input'!$I$151*(1+rvanilla03)^0.5)/A9stdlife))</f>
        <v>0</v>
      </c>
      <c r="BD184" s="107">
        <f>IF(A9stdlife="n/a","n/a",IF(BD$3&gt;(A9stdlife+$E184),('PTRM input'!$I$151*(1+rvanilla03)^0.5)-SUM($I184:BC184),('PTRM input'!$I$151*(1+rvanilla03)^0.5)/A9stdlife))</f>
        <v>0</v>
      </c>
      <c r="BE184" s="107">
        <f>IF(A9stdlife="n/a","n/a",IF(BE$3&gt;(A9stdlife+$E184),('PTRM input'!$I$151*(1+rvanilla03)^0.5)-SUM($I184:BD184),('PTRM input'!$I$151*(1+rvanilla03)^0.5)/A9stdlife))</f>
        <v>0</v>
      </c>
      <c r="BF184" s="107">
        <f>IF(A9stdlife="n/a","n/a",IF(BF$3&gt;(A9stdlife+$E184),('PTRM input'!$I$151*(1+rvanilla03)^0.5)-SUM($I184:BE184),('PTRM input'!$I$151*(1+rvanilla03)^0.5)/A9stdlife))</f>
        <v>0</v>
      </c>
      <c r="BG184" s="107">
        <f>IF(A9stdlife="n/a","n/a",IF(BG$3&gt;(A9stdlife+$E184),('PTRM input'!$I$151*(1+rvanilla03)^0.5)-SUM($I184:BF184),('PTRM input'!$I$151*(1+rvanilla03)^0.5)/A9stdlife))</f>
        <v>0</v>
      </c>
      <c r="BH184" s="107">
        <f>IF(A9stdlife="n/a","n/a",IF(BH$3&gt;(A9stdlife+$E184),('PTRM input'!$I$151*(1+rvanilla03)^0.5)-SUM($I184:BG184),('PTRM input'!$I$151*(1+rvanilla03)^0.5)/A9stdlife))</f>
        <v>0</v>
      </c>
      <c r="BI184" s="107">
        <f>IF(A9stdlife="n/a","n/a",IF(BI$3&gt;(A9stdlife+$E184),('PTRM input'!$I$151*(1+rvanilla03)^0.5)-SUM($I184:BH184),('PTRM input'!$I$151*(1+rvanilla03)^0.5)/A9stdlife))</f>
        <v>0</v>
      </c>
      <c r="BJ184" s="237"/>
      <c r="BK184" s="237"/>
      <c r="BL184" s="237"/>
      <c r="BM184" s="237"/>
    </row>
    <row r="185" spans="1:65" s="190" customFormat="1" ht="12.75" hidden="1" customHeight="1" outlineLevel="2">
      <c r="A185" s="237"/>
      <c r="B185" s="33"/>
      <c r="C185" s="32"/>
      <c r="D185" s="1618"/>
      <c r="E185" s="169">
        <v>4</v>
      </c>
      <c r="F185" s="35"/>
      <c r="G185" s="184"/>
      <c r="H185" s="186"/>
      <c r="I185" s="186"/>
      <c r="J185" s="185"/>
      <c r="K185" s="107">
        <f>IF(A9stdlife="n/a","n/a",IF(K$3&gt;(A9stdlife+$E185),('PTRM input'!$J$151*(1+rvanilla04)^0.5)-SUM($J185:J185),('PTRM input'!$J$151*(1+rvanilla04)^0.5)/A9stdlife))</f>
        <v>0</v>
      </c>
      <c r="L185" s="107">
        <f>IF(A9stdlife="n/a","n/a",IF(L$3&gt;(A9stdlife+$E185),('PTRM input'!$J$151*(1+rvanilla04)^0.5)-SUM($J185:K185),('PTRM input'!$J$151*(1+rvanilla04)^0.5)/A9stdlife))</f>
        <v>0</v>
      </c>
      <c r="M185" s="107">
        <f>IF(A9stdlife="n/a","n/a",IF(M$3&gt;(A9stdlife+$E185),('PTRM input'!$J$151*(1+rvanilla04)^0.5)-SUM($J185:L185),('PTRM input'!$J$151*(1+rvanilla04)^0.5)/A9stdlife))</f>
        <v>0</v>
      </c>
      <c r="N185" s="107">
        <f>IF(A9stdlife="n/a","n/a",IF(N$3&gt;(A9stdlife+$E185),('PTRM input'!$J$151*(1+rvanilla04)^0.5)-SUM($J185:M185),('PTRM input'!$J$151*(1+rvanilla04)^0.5)/A9stdlife))</f>
        <v>0</v>
      </c>
      <c r="O185" s="107">
        <f>IF(A9stdlife="n/a","n/a",IF(O$3&gt;(A9stdlife+$E185),('PTRM input'!$J$151*(1+rvanilla04)^0.5)-SUM($J185:N185),('PTRM input'!$J$151*(1+rvanilla04)^0.5)/A9stdlife))</f>
        <v>0</v>
      </c>
      <c r="P185" s="107">
        <f>IF(A9stdlife="n/a","n/a",IF(P$3&gt;(A9stdlife+$E185),('PTRM input'!$J$151*(1+rvanilla04)^0.5)-SUM($J185:O185),('PTRM input'!$J$151*(1+rvanilla04)^0.5)/A9stdlife))</f>
        <v>0</v>
      </c>
      <c r="Q185" s="107">
        <f>IF(A9stdlife="n/a","n/a",IF(Q$3&gt;(A9stdlife+$E185),('PTRM input'!$J$151*(1+rvanilla04)^0.5)-SUM($J185:P185),('PTRM input'!$J$151*(1+rvanilla04)^0.5)/A9stdlife))</f>
        <v>0</v>
      </c>
      <c r="R185" s="107">
        <f>IF(A9stdlife="n/a","n/a",IF(R$3&gt;(A9stdlife+$E185),('PTRM input'!$J$151*(1+rvanilla04)^0.5)-SUM($J185:Q185),('PTRM input'!$J$151*(1+rvanilla04)^0.5)/A9stdlife))</f>
        <v>0</v>
      </c>
      <c r="S185" s="107">
        <f>IF(A9stdlife="n/a","n/a",IF(S$3&gt;(A9stdlife+$E185),('PTRM input'!$J$151*(1+rvanilla04)^0.5)-SUM($J185:R185),('PTRM input'!$J$151*(1+rvanilla04)^0.5)/A9stdlife))</f>
        <v>0</v>
      </c>
      <c r="T185" s="107">
        <f>IF(A9stdlife="n/a","n/a",IF(T$3&gt;(A9stdlife+$E185),('PTRM input'!$J$151*(1+rvanilla04)^0.5)-SUM($J185:S185),('PTRM input'!$J$151*(1+rvanilla04)^0.5)/A9stdlife))</f>
        <v>0</v>
      </c>
      <c r="U185" s="107">
        <f>IF(A9stdlife="n/a","n/a",IF(U$3&gt;(A9stdlife+$E185),('PTRM input'!$J$151*(1+rvanilla04)^0.5)-SUM($J185:T185),('PTRM input'!$J$151*(1+rvanilla04)^0.5)/A9stdlife))</f>
        <v>0</v>
      </c>
      <c r="V185" s="107">
        <f>IF(A9stdlife="n/a","n/a",IF(V$3&gt;(A9stdlife+$E185),('PTRM input'!$J$151*(1+rvanilla04)^0.5)-SUM($J185:U185),('PTRM input'!$J$151*(1+rvanilla04)^0.5)/A9stdlife))</f>
        <v>0</v>
      </c>
      <c r="W185" s="107">
        <f>IF(A9stdlife="n/a","n/a",IF(W$3&gt;(A9stdlife+$E185),('PTRM input'!$J$151*(1+rvanilla04)^0.5)-SUM($J185:V185),('PTRM input'!$J$151*(1+rvanilla04)^0.5)/A9stdlife))</f>
        <v>0</v>
      </c>
      <c r="X185" s="107">
        <f>IF(A9stdlife="n/a","n/a",IF(X$3&gt;(A9stdlife+$E185),('PTRM input'!$J$151*(1+rvanilla04)^0.5)-SUM($J185:W185),('PTRM input'!$J$151*(1+rvanilla04)^0.5)/A9stdlife))</f>
        <v>0</v>
      </c>
      <c r="Y185" s="107">
        <f>IF(A9stdlife="n/a","n/a",IF(Y$3&gt;(A9stdlife+$E185),('PTRM input'!$J$151*(1+rvanilla04)^0.5)-SUM($J185:X185),('PTRM input'!$J$151*(1+rvanilla04)^0.5)/A9stdlife))</f>
        <v>0</v>
      </c>
      <c r="Z185" s="107">
        <f>IF(A9stdlife="n/a","n/a",IF(Z$3&gt;(A9stdlife+$E185),('PTRM input'!$J$151*(1+rvanilla04)^0.5)-SUM($J185:Y185),('PTRM input'!$J$151*(1+rvanilla04)^0.5)/A9stdlife))</f>
        <v>0</v>
      </c>
      <c r="AA185" s="107">
        <f>IF(A9stdlife="n/a","n/a",IF(AA$3&gt;(A9stdlife+$E185),('PTRM input'!$J$151*(1+rvanilla04)^0.5)-SUM($J185:Z185),('PTRM input'!$J$151*(1+rvanilla04)^0.5)/A9stdlife))</f>
        <v>0</v>
      </c>
      <c r="AB185" s="107">
        <f>IF(A9stdlife="n/a","n/a",IF(AB$3&gt;(A9stdlife+$E185),('PTRM input'!$J$151*(1+rvanilla04)^0.5)-SUM($J185:AA185),('PTRM input'!$J$151*(1+rvanilla04)^0.5)/A9stdlife))</f>
        <v>0</v>
      </c>
      <c r="AC185" s="107">
        <f>IF(A9stdlife="n/a","n/a",IF(AC$3&gt;(A9stdlife+$E185),('PTRM input'!$J$151*(1+rvanilla04)^0.5)-SUM($J185:AB185),('PTRM input'!$J$151*(1+rvanilla04)^0.5)/A9stdlife))</f>
        <v>0</v>
      </c>
      <c r="AD185" s="107">
        <f>IF(A9stdlife="n/a","n/a",IF(AD$3&gt;(A9stdlife+$E185),('PTRM input'!$J$151*(1+rvanilla04)^0.5)-SUM($J185:AC185),('PTRM input'!$J$151*(1+rvanilla04)^0.5)/A9stdlife))</f>
        <v>0</v>
      </c>
      <c r="AE185" s="107">
        <f>IF(A9stdlife="n/a","n/a",IF(AE$3&gt;(A9stdlife+$E185),('PTRM input'!$J$151*(1+rvanilla04)^0.5)-SUM($J185:AD185),('PTRM input'!$J$151*(1+rvanilla04)^0.5)/A9stdlife))</f>
        <v>0</v>
      </c>
      <c r="AF185" s="107">
        <f>IF(A9stdlife="n/a","n/a",IF(AF$3&gt;(A9stdlife+$E185),('PTRM input'!$J$151*(1+rvanilla04)^0.5)-SUM($J185:AE185),('PTRM input'!$J$151*(1+rvanilla04)^0.5)/A9stdlife))</f>
        <v>0</v>
      </c>
      <c r="AG185" s="107">
        <f>IF(A9stdlife="n/a","n/a",IF(AG$3&gt;(A9stdlife+$E185),('PTRM input'!$J$151*(1+rvanilla04)^0.5)-SUM($J185:AF185),('PTRM input'!$J$151*(1+rvanilla04)^0.5)/A9stdlife))</f>
        <v>0</v>
      </c>
      <c r="AH185" s="107">
        <f>IF(A9stdlife="n/a","n/a",IF(AH$3&gt;(A9stdlife+$E185),('PTRM input'!$J$151*(1+rvanilla04)^0.5)-SUM($J185:AG185),('PTRM input'!$J$151*(1+rvanilla04)^0.5)/A9stdlife))</f>
        <v>0</v>
      </c>
      <c r="AI185" s="107">
        <f>IF(A9stdlife="n/a","n/a",IF(AI$3&gt;(A9stdlife+$E185),('PTRM input'!$J$151*(1+rvanilla04)^0.5)-SUM($J185:AH185),('PTRM input'!$J$151*(1+rvanilla04)^0.5)/A9stdlife))</f>
        <v>0</v>
      </c>
      <c r="AJ185" s="107">
        <f>IF(A9stdlife="n/a","n/a",IF(AJ$3&gt;(A9stdlife+$E185),('PTRM input'!$J$151*(1+rvanilla04)^0.5)-SUM($J185:AI185),('PTRM input'!$J$151*(1+rvanilla04)^0.5)/A9stdlife))</f>
        <v>0</v>
      </c>
      <c r="AK185" s="107">
        <f>IF(A9stdlife="n/a","n/a",IF(AK$3&gt;(A9stdlife+$E185),('PTRM input'!$J$151*(1+rvanilla04)^0.5)-SUM($J185:AJ185),('PTRM input'!$J$151*(1+rvanilla04)^0.5)/A9stdlife))</f>
        <v>0</v>
      </c>
      <c r="AL185" s="107">
        <f>IF(A9stdlife="n/a","n/a",IF(AL$3&gt;(A9stdlife+$E185),('PTRM input'!$J$151*(1+rvanilla04)^0.5)-SUM($J185:AK185),('PTRM input'!$J$151*(1+rvanilla04)^0.5)/A9stdlife))</f>
        <v>0</v>
      </c>
      <c r="AM185" s="107">
        <f>IF(A9stdlife="n/a","n/a",IF(AM$3&gt;(A9stdlife+$E185),('PTRM input'!$J$151*(1+rvanilla04)^0.5)-SUM($J185:AL185),('PTRM input'!$J$151*(1+rvanilla04)^0.5)/A9stdlife))</f>
        <v>0</v>
      </c>
      <c r="AN185" s="107">
        <f>IF(A9stdlife="n/a","n/a",IF(AN$3&gt;(A9stdlife+$E185),('PTRM input'!$J$151*(1+rvanilla04)^0.5)-SUM($J185:AM185),('PTRM input'!$J$151*(1+rvanilla04)^0.5)/A9stdlife))</f>
        <v>0</v>
      </c>
      <c r="AO185" s="107">
        <f>IF(A9stdlife="n/a","n/a",IF(AO$3&gt;(A9stdlife+$E185),('PTRM input'!$J$151*(1+rvanilla04)^0.5)-SUM($J185:AN185),('PTRM input'!$J$151*(1+rvanilla04)^0.5)/A9stdlife))</f>
        <v>0</v>
      </c>
      <c r="AP185" s="107">
        <f>IF(A9stdlife="n/a","n/a",IF(AP$3&gt;(A9stdlife+$E185),('PTRM input'!$J$151*(1+rvanilla04)^0.5)-SUM($J185:AO185),('PTRM input'!$J$151*(1+rvanilla04)^0.5)/A9stdlife))</f>
        <v>0</v>
      </c>
      <c r="AQ185" s="107">
        <f>IF(A9stdlife="n/a","n/a",IF(AQ$3&gt;(A9stdlife+$E185),('PTRM input'!$J$151*(1+rvanilla04)^0.5)-SUM($J185:AP185),('PTRM input'!$J$151*(1+rvanilla04)^0.5)/A9stdlife))</f>
        <v>0</v>
      </c>
      <c r="AR185" s="107">
        <f>IF(A9stdlife="n/a","n/a",IF(AR$3&gt;(A9stdlife+$E185),('PTRM input'!$J$151*(1+rvanilla04)^0.5)-SUM($J185:AQ185),('PTRM input'!$J$151*(1+rvanilla04)^0.5)/A9stdlife))</f>
        <v>0</v>
      </c>
      <c r="AS185" s="107">
        <f>IF(A9stdlife="n/a","n/a",IF(AS$3&gt;(A9stdlife+$E185),('PTRM input'!$J$151*(1+rvanilla04)^0.5)-SUM($J185:AR185),('PTRM input'!$J$151*(1+rvanilla04)^0.5)/A9stdlife))</f>
        <v>0</v>
      </c>
      <c r="AT185" s="107">
        <f>IF(A9stdlife="n/a","n/a",IF(AT$3&gt;(A9stdlife+$E185),('PTRM input'!$J$151*(1+rvanilla04)^0.5)-SUM($J185:AS185),('PTRM input'!$J$151*(1+rvanilla04)^0.5)/A9stdlife))</f>
        <v>0</v>
      </c>
      <c r="AU185" s="107">
        <f>IF(A9stdlife="n/a","n/a",IF(AU$3&gt;(A9stdlife+$E185),('PTRM input'!$J$151*(1+rvanilla04)^0.5)-SUM($J185:AT185),('PTRM input'!$J$151*(1+rvanilla04)^0.5)/A9stdlife))</f>
        <v>0</v>
      </c>
      <c r="AV185" s="107">
        <f>IF(A9stdlife="n/a","n/a",IF(AV$3&gt;(A9stdlife+$E185),('PTRM input'!$J$151*(1+rvanilla04)^0.5)-SUM($J185:AU185),('PTRM input'!$J$151*(1+rvanilla04)^0.5)/A9stdlife))</f>
        <v>0</v>
      </c>
      <c r="AW185" s="107">
        <f>IF(A9stdlife="n/a","n/a",IF(AW$3&gt;(A9stdlife+$E185),('PTRM input'!$J$151*(1+rvanilla04)^0.5)-SUM($J185:AV185),('PTRM input'!$J$151*(1+rvanilla04)^0.5)/A9stdlife))</f>
        <v>0</v>
      </c>
      <c r="AX185" s="107">
        <f>IF(A9stdlife="n/a","n/a",IF(AX$3&gt;(A9stdlife+$E185),('PTRM input'!$J$151*(1+rvanilla04)^0.5)-SUM($J185:AW185),('PTRM input'!$J$151*(1+rvanilla04)^0.5)/A9stdlife))</f>
        <v>0</v>
      </c>
      <c r="AY185" s="107">
        <f>IF(A9stdlife="n/a","n/a",IF(AY$3&gt;(A9stdlife+$E185),('PTRM input'!$J$151*(1+rvanilla04)^0.5)-SUM($J185:AX185),('PTRM input'!$J$151*(1+rvanilla04)^0.5)/A9stdlife))</f>
        <v>0</v>
      </c>
      <c r="AZ185" s="107">
        <f>IF(A9stdlife="n/a","n/a",IF(AZ$3&gt;(A9stdlife+$E185),('PTRM input'!$J$151*(1+rvanilla04)^0.5)-SUM($J185:AY185),('PTRM input'!$J$151*(1+rvanilla04)^0.5)/A9stdlife))</f>
        <v>0</v>
      </c>
      <c r="BA185" s="107">
        <f>IF(A9stdlife="n/a","n/a",IF(BA$3&gt;(A9stdlife+$E185),('PTRM input'!$J$151*(1+rvanilla04)^0.5)-SUM($J185:AZ185),('PTRM input'!$J$151*(1+rvanilla04)^0.5)/A9stdlife))</f>
        <v>0</v>
      </c>
      <c r="BB185" s="107">
        <f>IF(A9stdlife="n/a","n/a",IF(BB$3&gt;(A9stdlife+$E185),('PTRM input'!$J$151*(1+rvanilla04)^0.5)-SUM($J185:BA185),('PTRM input'!$J$151*(1+rvanilla04)^0.5)/A9stdlife))</f>
        <v>0</v>
      </c>
      <c r="BC185" s="107">
        <f>IF(A9stdlife="n/a","n/a",IF(BC$3&gt;(A9stdlife+$E185),('PTRM input'!$J$151*(1+rvanilla04)^0.5)-SUM($J185:BB185),('PTRM input'!$J$151*(1+rvanilla04)^0.5)/A9stdlife))</f>
        <v>0</v>
      </c>
      <c r="BD185" s="107">
        <f>IF(A9stdlife="n/a","n/a",IF(BD$3&gt;(A9stdlife+$E185),('PTRM input'!$J$151*(1+rvanilla04)^0.5)-SUM($J185:BC185),('PTRM input'!$J$151*(1+rvanilla04)^0.5)/A9stdlife))</f>
        <v>0</v>
      </c>
      <c r="BE185" s="107">
        <f>IF(A9stdlife="n/a","n/a",IF(BE$3&gt;(A9stdlife+$E185),('PTRM input'!$J$151*(1+rvanilla04)^0.5)-SUM($J185:BD185),('PTRM input'!$J$151*(1+rvanilla04)^0.5)/A9stdlife))</f>
        <v>0</v>
      </c>
      <c r="BF185" s="107">
        <f>IF(A9stdlife="n/a","n/a",IF(BF$3&gt;(A9stdlife+$E185),('PTRM input'!$J$151*(1+rvanilla04)^0.5)-SUM($J185:BE185),('PTRM input'!$J$151*(1+rvanilla04)^0.5)/A9stdlife))</f>
        <v>0</v>
      </c>
      <c r="BG185" s="107">
        <f>IF(A9stdlife="n/a","n/a",IF(BG$3&gt;(A9stdlife+$E185),('PTRM input'!$J$151*(1+rvanilla04)^0.5)-SUM($J185:BF185),('PTRM input'!$J$151*(1+rvanilla04)^0.5)/A9stdlife))</f>
        <v>0</v>
      </c>
      <c r="BH185" s="107">
        <f>IF(A9stdlife="n/a","n/a",IF(BH$3&gt;(A9stdlife+$E185),('PTRM input'!$J$151*(1+rvanilla04)^0.5)-SUM($J185:BG185),('PTRM input'!$J$151*(1+rvanilla04)^0.5)/A9stdlife))</f>
        <v>0</v>
      </c>
      <c r="BI185" s="107">
        <f>IF(A9stdlife="n/a","n/a",IF(BI$3&gt;(A9stdlife+$E185),('PTRM input'!$J$151*(1+rvanilla04)^0.5)-SUM($J185:BH185),('PTRM input'!$J$151*(1+rvanilla04)^0.5)/A9stdlife))</f>
        <v>0</v>
      </c>
      <c r="BJ185" s="237"/>
      <c r="BK185" s="237"/>
      <c r="BL185" s="237"/>
      <c r="BM185" s="237"/>
    </row>
    <row r="186" spans="1:65" s="190" customFormat="1" ht="12.75" hidden="1" customHeight="1" outlineLevel="2">
      <c r="A186" s="237"/>
      <c r="B186" s="33"/>
      <c r="C186" s="32"/>
      <c r="D186" s="1618"/>
      <c r="E186" s="169">
        <v>5</v>
      </c>
      <c r="F186" s="35"/>
      <c r="G186" s="184"/>
      <c r="H186" s="186"/>
      <c r="I186" s="186"/>
      <c r="J186" s="186"/>
      <c r="K186" s="185"/>
      <c r="L186" s="107">
        <f>IF(A9stdlife="n/a","n/a",IF(L$3&gt;(A9stdlife+$E186),('PTRM input'!$K$151*(1+rvanilla05)^0.5)-SUM($K186:K186),('PTRM input'!$K$151*(1+rvanilla05)^0.5)/A9stdlife))</f>
        <v>0</v>
      </c>
      <c r="M186" s="107">
        <f>IF(A9stdlife="n/a","n/a",IF(M$3&gt;(A9stdlife+$E186),('PTRM input'!$K$151*(1+rvanilla05)^0.5)-SUM($K186:L186),('PTRM input'!$K$151*(1+rvanilla05)^0.5)/A9stdlife))</f>
        <v>0</v>
      </c>
      <c r="N186" s="107">
        <f>IF(A9stdlife="n/a","n/a",IF(N$3&gt;(A9stdlife+$E186),('PTRM input'!$K$151*(1+rvanilla05)^0.5)-SUM($K186:M186),('PTRM input'!$K$151*(1+rvanilla05)^0.5)/A9stdlife))</f>
        <v>0</v>
      </c>
      <c r="O186" s="107">
        <f>IF(A9stdlife="n/a","n/a",IF(O$3&gt;(A9stdlife+$E186),('PTRM input'!$K$151*(1+rvanilla05)^0.5)-SUM($K186:N186),('PTRM input'!$K$151*(1+rvanilla05)^0.5)/A9stdlife))</f>
        <v>0</v>
      </c>
      <c r="P186" s="107">
        <f>IF(A9stdlife="n/a","n/a",IF(P$3&gt;(A9stdlife+$E186),('PTRM input'!$K$151*(1+rvanilla05)^0.5)-SUM($K186:O186),('PTRM input'!$K$151*(1+rvanilla05)^0.5)/A9stdlife))</f>
        <v>0</v>
      </c>
      <c r="Q186" s="107">
        <f>IF(A9stdlife="n/a","n/a",IF(Q$3&gt;(A9stdlife+$E186),('PTRM input'!$K$151*(1+rvanilla05)^0.5)-SUM($K186:P186),('PTRM input'!$K$151*(1+rvanilla05)^0.5)/A9stdlife))</f>
        <v>0</v>
      </c>
      <c r="R186" s="107">
        <f>IF(A9stdlife="n/a","n/a",IF(R$3&gt;(A9stdlife+$E186),('PTRM input'!$K$151*(1+rvanilla05)^0.5)-SUM($K186:Q186),('PTRM input'!$K$151*(1+rvanilla05)^0.5)/A9stdlife))</f>
        <v>0</v>
      </c>
      <c r="S186" s="107">
        <f>IF(A9stdlife="n/a","n/a",IF(S$3&gt;(A9stdlife+$E186),('PTRM input'!$K$151*(1+rvanilla05)^0.5)-SUM($K186:R186),('PTRM input'!$K$151*(1+rvanilla05)^0.5)/A9stdlife))</f>
        <v>0</v>
      </c>
      <c r="T186" s="107">
        <f>IF(A9stdlife="n/a","n/a",IF(T$3&gt;(A9stdlife+$E186),('PTRM input'!$K$151*(1+rvanilla05)^0.5)-SUM($K186:S186),('PTRM input'!$K$151*(1+rvanilla05)^0.5)/A9stdlife))</f>
        <v>0</v>
      </c>
      <c r="U186" s="107">
        <f>IF(A9stdlife="n/a","n/a",IF(U$3&gt;(A9stdlife+$E186),('PTRM input'!$K$151*(1+rvanilla05)^0.5)-SUM($K186:T186),('PTRM input'!$K$151*(1+rvanilla05)^0.5)/A9stdlife))</f>
        <v>0</v>
      </c>
      <c r="V186" s="107">
        <f>IF(A9stdlife="n/a","n/a",IF(V$3&gt;(A9stdlife+$E186),('PTRM input'!$K$151*(1+rvanilla05)^0.5)-SUM($K186:U186),('PTRM input'!$K$151*(1+rvanilla05)^0.5)/A9stdlife))</f>
        <v>0</v>
      </c>
      <c r="W186" s="107">
        <f>IF(A9stdlife="n/a","n/a",IF(W$3&gt;(A9stdlife+$E186),('PTRM input'!$K$151*(1+rvanilla05)^0.5)-SUM($K186:V186),('PTRM input'!$K$151*(1+rvanilla05)^0.5)/A9stdlife))</f>
        <v>0</v>
      </c>
      <c r="X186" s="107">
        <f>IF(A9stdlife="n/a","n/a",IF(X$3&gt;(A9stdlife+$E186),('PTRM input'!$K$151*(1+rvanilla05)^0.5)-SUM($K186:W186),('PTRM input'!$K$151*(1+rvanilla05)^0.5)/A9stdlife))</f>
        <v>0</v>
      </c>
      <c r="Y186" s="107">
        <f>IF(A9stdlife="n/a","n/a",IF(Y$3&gt;(A9stdlife+$E186),('PTRM input'!$K$151*(1+rvanilla05)^0.5)-SUM($K186:X186),('PTRM input'!$K$151*(1+rvanilla05)^0.5)/A9stdlife))</f>
        <v>0</v>
      </c>
      <c r="Z186" s="107">
        <f>IF(A9stdlife="n/a","n/a",IF(Z$3&gt;(A9stdlife+$E186),('PTRM input'!$K$151*(1+rvanilla05)^0.5)-SUM($K186:Y186),('PTRM input'!$K$151*(1+rvanilla05)^0.5)/A9stdlife))</f>
        <v>0</v>
      </c>
      <c r="AA186" s="107">
        <f>IF(A9stdlife="n/a","n/a",IF(AA$3&gt;(A9stdlife+$E186),('PTRM input'!$K$151*(1+rvanilla05)^0.5)-SUM($K186:Z186),('PTRM input'!$K$151*(1+rvanilla05)^0.5)/A9stdlife))</f>
        <v>0</v>
      </c>
      <c r="AB186" s="107">
        <f>IF(A9stdlife="n/a","n/a",IF(AB$3&gt;(A9stdlife+$E186),('PTRM input'!$K$151*(1+rvanilla05)^0.5)-SUM($K186:AA186),('PTRM input'!$K$151*(1+rvanilla05)^0.5)/A9stdlife))</f>
        <v>0</v>
      </c>
      <c r="AC186" s="107">
        <f>IF(A9stdlife="n/a","n/a",IF(AC$3&gt;(A9stdlife+$E186),('PTRM input'!$K$151*(1+rvanilla05)^0.5)-SUM($K186:AB186),('PTRM input'!$K$151*(1+rvanilla05)^0.5)/A9stdlife))</f>
        <v>0</v>
      </c>
      <c r="AD186" s="107">
        <f>IF(A9stdlife="n/a","n/a",IF(AD$3&gt;(A9stdlife+$E186),('PTRM input'!$K$151*(1+rvanilla05)^0.5)-SUM($K186:AC186),('PTRM input'!$K$151*(1+rvanilla05)^0.5)/A9stdlife))</f>
        <v>0</v>
      </c>
      <c r="AE186" s="107">
        <f>IF(A9stdlife="n/a","n/a",IF(AE$3&gt;(A9stdlife+$E186),('PTRM input'!$K$151*(1+rvanilla05)^0.5)-SUM($K186:AD186),('PTRM input'!$K$151*(1+rvanilla05)^0.5)/A9stdlife))</f>
        <v>0</v>
      </c>
      <c r="AF186" s="107">
        <f>IF(A9stdlife="n/a","n/a",IF(AF$3&gt;(A9stdlife+$E186),('PTRM input'!$K$151*(1+rvanilla05)^0.5)-SUM($K186:AE186),('PTRM input'!$K$151*(1+rvanilla05)^0.5)/A9stdlife))</f>
        <v>0</v>
      </c>
      <c r="AG186" s="107">
        <f>IF(A9stdlife="n/a","n/a",IF(AG$3&gt;(A9stdlife+$E186),('PTRM input'!$K$151*(1+rvanilla05)^0.5)-SUM($K186:AF186),('PTRM input'!$K$151*(1+rvanilla05)^0.5)/A9stdlife))</f>
        <v>0</v>
      </c>
      <c r="AH186" s="107">
        <f>IF(A9stdlife="n/a","n/a",IF(AH$3&gt;(A9stdlife+$E186),('PTRM input'!$K$151*(1+rvanilla05)^0.5)-SUM($K186:AG186),('PTRM input'!$K$151*(1+rvanilla05)^0.5)/A9stdlife))</f>
        <v>0</v>
      </c>
      <c r="AI186" s="107">
        <f>IF(A9stdlife="n/a","n/a",IF(AI$3&gt;(A9stdlife+$E186),('PTRM input'!$K$151*(1+rvanilla05)^0.5)-SUM($K186:AH186),('PTRM input'!$K$151*(1+rvanilla05)^0.5)/A9stdlife))</f>
        <v>0</v>
      </c>
      <c r="AJ186" s="107">
        <f>IF(A9stdlife="n/a","n/a",IF(AJ$3&gt;(A9stdlife+$E186),('PTRM input'!$K$151*(1+rvanilla05)^0.5)-SUM($K186:AI186),('PTRM input'!$K$151*(1+rvanilla05)^0.5)/A9stdlife))</f>
        <v>0</v>
      </c>
      <c r="AK186" s="107">
        <f>IF(A9stdlife="n/a","n/a",IF(AK$3&gt;(A9stdlife+$E186),('PTRM input'!$K$151*(1+rvanilla05)^0.5)-SUM($K186:AJ186),('PTRM input'!$K$151*(1+rvanilla05)^0.5)/A9stdlife))</f>
        <v>0</v>
      </c>
      <c r="AL186" s="107">
        <f>IF(A9stdlife="n/a","n/a",IF(AL$3&gt;(A9stdlife+$E186),('PTRM input'!$K$151*(1+rvanilla05)^0.5)-SUM($K186:AK186),('PTRM input'!$K$151*(1+rvanilla05)^0.5)/A9stdlife))</f>
        <v>0</v>
      </c>
      <c r="AM186" s="107">
        <f>IF(A9stdlife="n/a","n/a",IF(AM$3&gt;(A9stdlife+$E186),('PTRM input'!$K$151*(1+rvanilla05)^0.5)-SUM($K186:AL186),('PTRM input'!$K$151*(1+rvanilla05)^0.5)/A9stdlife))</f>
        <v>0</v>
      </c>
      <c r="AN186" s="107">
        <f>IF(A9stdlife="n/a","n/a",IF(AN$3&gt;(A9stdlife+$E186),('PTRM input'!$K$151*(1+rvanilla05)^0.5)-SUM($K186:AM186),('PTRM input'!$K$151*(1+rvanilla05)^0.5)/A9stdlife))</f>
        <v>0</v>
      </c>
      <c r="AO186" s="107">
        <f>IF(A9stdlife="n/a","n/a",IF(AO$3&gt;(A9stdlife+$E186),('PTRM input'!$K$151*(1+rvanilla05)^0.5)-SUM($K186:AN186),('PTRM input'!$K$151*(1+rvanilla05)^0.5)/A9stdlife))</f>
        <v>0</v>
      </c>
      <c r="AP186" s="107">
        <f>IF(A9stdlife="n/a","n/a",IF(AP$3&gt;(A9stdlife+$E186),('PTRM input'!$K$151*(1+rvanilla05)^0.5)-SUM($K186:AO186),('PTRM input'!$K$151*(1+rvanilla05)^0.5)/A9stdlife))</f>
        <v>0</v>
      </c>
      <c r="AQ186" s="107">
        <f>IF(A9stdlife="n/a","n/a",IF(AQ$3&gt;(A9stdlife+$E186),('PTRM input'!$K$151*(1+rvanilla05)^0.5)-SUM($K186:AP186),('PTRM input'!$K$151*(1+rvanilla05)^0.5)/A9stdlife))</f>
        <v>0</v>
      </c>
      <c r="AR186" s="107">
        <f>IF(A9stdlife="n/a","n/a",IF(AR$3&gt;(A9stdlife+$E186),('PTRM input'!$K$151*(1+rvanilla05)^0.5)-SUM($K186:AQ186),('PTRM input'!$K$151*(1+rvanilla05)^0.5)/A9stdlife))</f>
        <v>0</v>
      </c>
      <c r="AS186" s="107">
        <f>IF(A9stdlife="n/a","n/a",IF(AS$3&gt;(A9stdlife+$E186),('PTRM input'!$K$151*(1+rvanilla05)^0.5)-SUM($K186:AR186),('PTRM input'!$K$151*(1+rvanilla05)^0.5)/A9stdlife))</f>
        <v>0</v>
      </c>
      <c r="AT186" s="107">
        <f>IF(A9stdlife="n/a","n/a",IF(AT$3&gt;(A9stdlife+$E186),('PTRM input'!$K$151*(1+rvanilla05)^0.5)-SUM($K186:AS186),('PTRM input'!$K$151*(1+rvanilla05)^0.5)/A9stdlife))</f>
        <v>0</v>
      </c>
      <c r="AU186" s="107">
        <f>IF(A9stdlife="n/a","n/a",IF(AU$3&gt;(A9stdlife+$E186),('PTRM input'!$K$151*(1+rvanilla05)^0.5)-SUM($K186:AT186),('PTRM input'!$K$151*(1+rvanilla05)^0.5)/A9stdlife))</f>
        <v>0</v>
      </c>
      <c r="AV186" s="107">
        <f>IF(A9stdlife="n/a","n/a",IF(AV$3&gt;(A9stdlife+$E186),('PTRM input'!$K$151*(1+rvanilla05)^0.5)-SUM($K186:AU186),('PTRM input'!$K$151*(1+rvanilla05)^0.5)/A9stdlife))</f>
        <v>0</v>
      </c>
      <c r="AW186" s="107">
        <f>IF(A9stdlife="n/a","n/a",IF(AW$3&gt;(A9stdlife+$E186),('PTRM input'!$K$151*(1+rvanilla05)^0.5)-SUM($K186:AV186),('PTRM input'!$K$151*(1+rvanilla05)^0.5)/A9stdlife))</f>
        <v>0</v>
      </c>
      <c r="AX186" s="107">
        <f>IF(A9stdlife="n/a","n/a",IF(AX$3&gt;(A9stdlife+$E186),('PTRM input'!$K$151*(1+rvanilla05)^0.5)-SUM($K186:AW186),('PTRM input'!$K$151*(1+rvanilla05)^0.5)/A9stdlife))</f>
        <v>0</v>
      </c>
      <c r="AY186" s="107">
        <f>IF(A9stdlife="n/a","n/a",IF(AY$3&gt;(A9stdlife+$E186),('PTRM input'!$K$151*(1+rvanilla05)^0.5)-SUM($K186:AX186),('PTRM input'!$K$151*(1+rvanilla05)^0.5)/A9stdlife))</f>
        <v>0</v>
      </c>
      <c r="AZ186" s="107">
        <f>IF(A9stdlife="n/a","n/a",IF(AZ$3&gt;(A9stdlife+$E186),('PTRM input'!$K$151*(1+rvanilla05)^0.5)-SUM($K186:AY186),('PTRM input'!$K$151*(1+rvanilla05)^0.5)/A9stdlife))</f>
        <v>0</v>
      </c>
      <c r="BA186" s="107">
        <f>IF(A9stdlife="n/a","n/a",IF(BA$3&gt;(A9stdlife+$E186),('PTRM input'!$K$151*(1+rvanilla05)^0.5)-SUM($K186:AZ186),('PTRM input'!$K$151*(1+rvanilla05)^0.5)/A9stdlife))</f>
        <v>0</v>
      </c>
      <c r="BB186" s="107">
        <f>IF(A9stdlife="n/a","n/a",IF(BB$3&gt;(A9stdlife+$E186),('PTRM input'!$K$151*(1+rvanilla05)^0.5)-SUM($K186:BA186),('PTRM input'!$K$151*(1+rvanilla05)^0.5)/A9stdlife))</f>
        <v>0</v>
      </c>
      <c r="BC186" s="107">
        <f>IF(A9stdlife="n/a","n/a",IF(BC$3&gt;(A9stdlife+$E186),('PTRM input'!$K$151*(1+rvanilla05)^0.5)-SUM($K186:BB186),('PTRM input'!$K$151*(1+rvanilla05)^0.5)/A9stdlife))</f>
        <v>0</v>
      </c>
      <c r="BD186" s="107">
        <f>IF(A9stdlife="n/a","n/a",IF(BD$3&gt;(A9stdlife+$E186),('PTRM input'!$K$151*(1+rvanilla05)^0.5)-SUM($K186:BC186),('PTRM input'!$K$151*(1+rvanilla05)^0.5)/A9stdlife))</f>
        <v>0</v>
      </c>
      <c r="BE186" s="107">
        <f>IF(A9stdlife="n/a","n/a",IF(BE$3&gt;(A9stdlife+$E186),('PTRM input'!$K$151*(1+rvanilla05)^0.5)-SUM($K186:BD186),('PTRM input'!$K$151*(1+rvanilla05)^0.5)/A9stdlife))</f>
        <v>0</v>
      </c>
      <c r="BF186" s="107">
        <f>IF(A9stdlife="n/a","n/a",IF(BF$3&gt;(A9stdlife+$E186),('PTRM input'!$K$151*(1+rvanilla05)^0.5)-SUM($K186:BE186),('PTRM input'!$K$151*(1+rvanilla05)^0.5)/A9stdlife))</f>
        <v>0</v>
      </c>
      <c r="BG186" s="107">
        <f>IF(A9stdlife="n/a","n/a",IF(BG$3&gt;(A9stdlife+$E186),('PTRM input'!$K$151*(1+rvanilla05)^0.5)-SUM($K186:BF186),('PTRM input'!$K$151*(1+rvanilla05)^0.5)/A9stdlife))</f>
        <v>0</v>
      </c>
      <c r="BH186" s="107">
        <f>IF(A9stdlife="n/a","n/a",IF(BH$3&gt;(A9stdlife+$E186),('PTRM input'!$K$151*(1+rvanilla05)^0.5)-SUM($K186:BG186),('PTRM input'!$K$151*(1+rvanilla05)^0.5)/A9stdlife))</f>
        <v>0</v>
      </c>
      <c r="BI186" s="107">
        <f>IF(A9stdlife="n/a","n/a",IF(BI$3&gt;(A9stdlife+$E186),('PTRM input'!$K$151*(1+rvanilla05)^0.5)-SUM($K186:BH186),('PTRM input'!$K$151*(1+rvanilla05)^0.5)/A9stdlife))</f>
        <v>0</v>
      </c>
      <c r="BJ186" s="237"/>
      <c r="BK186" s="237"/>
      <c r="BL186" s="237"/>
      <c r="BM186" s="237"/>
    </row>
    <row r="187" spans="1:65" s="190" customFormat="1" ht="12.75" hidden="1" customHeight="1" outlineLevel="2">
      <c r="A187" s="237"/>
      <c r="B187" s="33"/>
      <c r="C187" s="32"/>
      <c r="D187" s="1618"/>
      <c r="E187" s="169">
        <v>6</v>
      </c>
      <c r="F187" s="35"/>
      <c r="G187" s="184"/>
      <c r="H187" s="186"/>
      <c r="I187" s="186"/>
      <c r="J187" s="186"/>
      <c r="K187" s="186"/>
      <c r="L187" s="185"/>
      <c r="M187" s="107">
        <f>IF(A9stdlife="n/a","n/a",IF(M$3&gt;(A9stdlife+$E187),('PTRM input'!$L$151*(1+rvanilla06)^0.5)-SUM($L187:L187),('PTRM input'!$L$151*(1+rvanilla06)^0.5)/A9stdlife))</f>
        <v>0</v>
      </c>
      <c r="N187" s="107">
        <f>IF(A9stdlife="n/a","n/a",IF(N$3&gt;(A9stdlife+$E187),('PTRM input'!$L$151*(1+rvanilla06)^0.5)-SUM($L187:M187),('PTRM input'!$L$151*(1+rvanilla06)^0.5)/A9stdlife))</f>
        <v>0</v>
      </c>
      <c r="O187" s="107">
        <f>IF(A9stdlife="n/a","n/a",IF(O$3&gt;(A9stdlife+$E187),('PTRM input'!$L$151*(1+rvanilla06)^0.5)-SUM($L187:N187),('PTRM input'!$L$151*(1+rvanilla06)^0.5)/A9stdlife))</f>
        <v>0</v>
      </c>
      <c r="P187" s="107">
        <f>IF(A9stdlife="n/a","n/a",IF(P$3&gt;(A9stdlife+$E187),('PTRM input'!$L$151*(1+rvanilla06)^0.5)-SUM($L187:O187),('PTRM input'!$L$151*(1+rvanilla06)^0.5)/A9stdlife))</f>
        <v>0</v>
      </c>
      <c r="Q187" s="107">
        <f>IF(A9stdlife="n/a","n/a",IF(Q$3&gt;(A9stdlife+$E187),('PTRM input'!$L$151*(1+rvanilla06)^0.5)-SUM($L187:P187),('PTRM input'!$L$151*(1+rvanilla06)^0.5)/A9stdlife))</f>
        <v>0</v>
      </c>
      <c r="R187" s="107">
        <f>IF(A9stdlife="n/a","n/a",IF(R$3&gt;(A9stdlife+$E187),('PTRM input'!$L$151*(1+rvanilla06)^0.5)-SUM($L187:Q187),('PTRM input'!$L$151*(1+rvanilla06)^0.5)/A9stdlife))</f>
        <v>0</v>
      </c>
      <c r="S187" s="107">
        <f>IF(A9stdlife="n/a","n/a",IF(S$3&gt;(A9stdlife+$E187),('PTRM input'!$L$151*(1+rvanilla06)^0.5)-SUM($L187:R187),('PTRM input'!$L$151*(1+rvanilla06)^0.5)/A9stdlife))</f>
        <v>0</v>
      </c>
      <c r="T187" s="107">
        <f>IF(A9stdlife="n/a","n/a",IF(T$3&gt;(A9stdlife+$E187),('PTRM input'!$L$151*(1+rvanilla06)^0.5)-SUM($L187:S187),('PTRM input'!$L$151*(1+rvanilla06)^0.5)/A9stdlife))</f>
        <v>0</v>
      </c>
      <c r="U187" s="107">
        <f>IF(A9stdlife="n/a","n/a",IF(U$3&gt;(A9stdlife+$E187),('PTRM input'!$L$151*(1+rvanilla06)^0.5)-SUM($L187:T187),('PTRM input'!$L$151*(1+rvanilla06)^0.5)/A9stdlife))</f>
        <v>0</v>
      </c>
      <c r="V187" s="107">
        <f>IF(A9stdlife="n/a","n/a",IF(V$3&gt;(A9stdlife+$E187),('PTRM input'!$L$151*(1+rvanilla06)^0.5)-SUM($L187:U187),('PTRM input'!$L$151*(1+rvanilla06)^0.5)/A9stdlife))</f>
        <v>0</v>
      </c>
      <c r="W187" s="107">
        <f>IF(A9stdlife="n/a","n/a",IF(W$3&gt;(A9stdlife+$E187),('PTRM input'!$L$151*(1+rvanilla06)^0.5)-SUM($L187:V187),('PTRM input'!$L$151*(1+rvanilla06)^0.5)/A9stdlife))</f>
        <v>0</v>
      </c>
      <c r="X187" s="107">
        <f>IF(A9stdlife="n/a","n/a",IF(X$3&gt;(A9stdlife+$E187),('PTRM input'!$L$151*(1+rvanilla06)^0.5)-SUM($L187:W187),('PTRM input'!$L$151*(1+rvanilla06)^0.5)/A9stdlife))</f>
        <v>0</v>
      </c>
      <c r="Y187" s="107">
        <f>IF(A9stdlife="n/a","n/a",IF(Y$3&gt;(A9stdlife+$E187),('PTRM input'!$L$151*(1+rvanilla06)^0.5)-SUM($L187:X187),('PTRM input'!$L$151*(1+rvanilla06)^0.5)/A9stdlife))</f>
        <v>0</v>
      </c>
      <c r="Z187" s="107">
        <f>IF(A9stdlife="n/a","n/a",IF(Z$3&gt;(A9stdlife+$E187),('PTRM input'!$L$151*(1+rvanilla06)^0.5)-SUM($L187:Y187),('PTRM input'!$L$151*(1+rvanilla06)^0.5)/A9stdlife))</f>
        <v>0</v>
      </c>
      <c r="AA187" s="107">
        <f>IF(A9stdlife="n/a","n/a",IF(AA$3&gt;(A9stdlife+$E187),('PTRM input'!$L$151*(1+rvanilla06)^0.5)-SUM($L187:Z187),('PTRM input'!$L$151*(1+rvanilla06)^0.5)/A9stdlife))</f>
        <v>0</v>
      </c>
      <c r="AB187" s="107">
        <f>IF(A9stdlife="n/a","n/a",IF(AB$3&gt;(A9stdlife+$E187),('PTRM input'!$L$151*(1+rvanilla06)^0.5)-SUM($L187:AA187),('PTRM input'!$L$151*(1+rvanilla06)^0.5)/A9stdlife))</f>
        <v>0</v>
      </c>
      <c r="AC187" s="107">
        <f>IF(A9stdlife="n/a","n/a",IF(AC$3&gt;(A9stdlife+$E187),('PTRM input'!$L$151*(1+rvanilla06)^0.5)-SUM($L187:AB187),('PTRM input'!$L$151*(1+rvanilla06)^0.5)/A9stdlife))</f>
        <v>0</v>
      </c>
      <c r="AD187" s="107">
        <f>IF(A9stdlife="n/a","n/a",IF(AD$3&gt;(A9stdlife+$E187),('PTRM input'!$L$151*(1+rvanilla06)^0.5)-SUM($L187:AC187),('PTRM input'!$L$151*(1+rvanilla06)^0.5)/A9stdlife))</f>
        <v>0</v>
      </c>
      <c r="AE187" s="107">
        <f>IF(A9stdlife="n/a","n/a",IF(AE$3&gt;(A9stdlife+$E187),('PTRM input'!$L$151*(1+rvanilla06)^0.5)-SUM($L187:AD187),('PTRM input'!$L$151*(1+rvanilla06)^0.5)/A9stdlife))</f>
        <v>0</v>
      </c>
      <c r="AF187" s="107">
        <f>IF(A9stdlife="n/a","n/a",IF(AF$3&gt;(A9stdlife+$E187),('PTRM input'!$L$151*(1+rvanilla06)^0.5)-SUM($L187:AE187),('PTRM input'!$L$151*(1+rvanilla06)^0.5)/A9stdlife))</f>
        <v>0</v>
      </c>
      <c r="AG187" s="107">
        <f>IF(A9stdlife="n/a","n/a",IF(AG$3&gt;(A9stdlife+$E187),('PTRM input'!$L$151*(1+rvanilla06)^0.5)-SUM($L187:AF187),('PTRM input'!$L$151*(1+rvanilla06)^0.5)/A9stdlife))</f>
        <v>0</v>
      </c>
      <c r="AH187" s="107">
        <f>IF(A9stdlife="n/a","n/a",IF(AH$3&gt;(A9stdlife+$E187),('PTRM input'!$L$151*(1+rvanilla06)^0.5)-SUM($L187:AG187),('PTRM input'!$L$151*(1+rvanilla06)^0.5)/A9stdlife))</f>
        <v>0</v>
      </c>
      <c r="AI187" s="107">
        <f>IF(A9stdlife="n/a","n/a",IF(AI$3&gt;(A9stdlife+$E187),('PTRM input'!$L$151*(1+rvanilla06)^0.5)-SUM($L187:AH187),('PTRM input'!$L$151*(1+rvanilla06)^0.5)/A9stdlife))</f>
        <v>0</v>
      </c>
      <c r="AJ187" s="107">
        <f>IF(A9stdlife="n/a","n/a",IF(AJ$3&gt;(A9stdlife+$E187),('PTRM input'!$L$151*(1+rvanilla06)^0.5)-SUM($L187:AI187),('PTRM input'!$L$151*(1+rvanilla06)^0.5)/A9stdlife))</f>
        <v>0</v>
      </c>
      <c r="AK187" s="107">
        <f>IF(A9stdlife="n/a","n/a",IF(AK$3&gt;(A9stdlife+$E187),('PTRM input'!$L$151*(1+rvanilla06)^0.5)-SUM($L187:AJ187),('PTRM input'!$L$151*(1+rvanilla06)^0.5)/A9stdlife))</f>
        <v>0</v>
      </c>
      <c r="AL187" s="107">
        <f>IF(A9stdlife="n/a","n/a",IF(AL$3&gt;(A9stdlife+$E187),('PTRM input'!$L$151*(1+rvanilla06)^0.5)-SUM($L187:AK187),('PTRM input'!$L$151*(1+rvanilla06)^0.5)/A9stdlife))</f>
        <v>0</v>
      </c>
      <c r="AM187" s="107">
        <f>IF(A9stdlife="n/a","n/a",IF(AM$3&gt;(A9stdlife+$E187),('PTRM input'!$L$151*(1+rvanilla06)^0.5)-SUM($L187:AL187),('PTRM input'!$L$151*(1+rvanilla06)^0.5)/A9stdlife))</f>
        <v>0</v>
      </c>
      <c r="AN187" s="107">
        <f>IF(A9stdlife="n/a","n/a",IF(AN$3&gt;(A9stdlife+$E187),('PTRM input'!$L$151*(1+rvanilla06)^0.5)-SUM($L187:AM187),('PTRM input'!$L$151*(1+rvanilla06)^0.5)/A9stdlife))</f>
        <v>0</v>
      </c>
      <c r="AO187" s="107">
        <f>IF(A9stdlife="n/a","n/a",IF(AO$3&gt;(A9stdlife+$E187),('PTRM input'!$L$151*(1+rvanilla06)^0.5)-SUM($L187:AN187),('PTRM input'!$L$151*(1+rvanilla06)^0.5)/A9stdlife))</f>
        <v>0</v>
      </c>
      <c r="AP187" s="107">
        <f>IF(A9stdlife="n/a","n/a",IF(AP$3&gt;(A9stdlife+$E187),('PTRM input'!$L$151*(1+rvanilla06)^0.5)-SUM($L187:AO187),('PTRM input'!$L$151*(1+rvanilla06)^0.5)/A9stdlife))</f>
        <v>0</v>
      </c>
      <c r="AQ187" s="107">
        <f>IF(A9stdlife="n/a","n/a",IF(AQ$3&gt;(A9stdlife+$E187),('PTRM input'!$L$151*(1+rvanilla06)^0.5)-SUM($L187:AP187),('PTRM input'!$L$151*(1+rvanilla06)^0.5)/A9stdlife))</f>
        <v>0</v>
      </c>
      <c r="AR187" s="107">
        <f>IF(A9stdlife="n/a","n/a",IF(AR$3&gt;(A9stdlife+$E187),('PTRM input'!$L$151*(1+rvanilla06)^0.5)-SUM($L187:AQ187),('PTRM input'!$L$151*(1+rvanilla06)^0.5)/A9stdlife))</f>
        <v>0</v>
      </c>
      <c r="AS187" s="107">
        <f>IF(A9stdlife="n/a","n/a",IF(AS$3&gt;(A9stdlife+$E187),('PTRM input'!$L$151*(1+rvanilla06)^0.5)-SUM($L187:AR187),('PTRM input'!$L$151*(1+rvanilla06)^0.5)/A9stdlife))</f>
        <v>0</v>
      </c>
      <c r="AT187" s="107">
        <f>IF(A9stdlife="n/a","n/a",IF(AT$3&gt;(A9stdlife+$E187),('PTRM input'!$L$151*(1+rvanilla06)^0.5)-SUM($L187:AS187),('PTRM input'!$L$151*(1+rvanilla06)^0.5)/A9stdlife))</f>
        <v>0</v>
      </c>
      <c r="AU187" s="107">
        <f>IF(A9stdlife="n/a","n/a",IF(AU$3&gt;(A9stdlife+$E187),('PTRM input'!$L$151*(1+rvanilla06)^0.5)-SUM($L187:AT187),('PTRM input'!$L$151*(1+rvanilla06)^0.5)/A9stdlife))</f>
        <v>0</v>
      </c>
      <c r="AV187" s="107">
        <f>IF(A9stdlife="n/a","n/a",IF(AV$3&gt;(A9stdlife+$E187),('PTRM input'!$L$151*(1+rvanilla06)^0.5)-SUM($L187:AU187),('PTRM input'!$L$151*(1+rvanilla06)^0.5)/A9stdlife))</f>
        <v>0</v>
      </c>
      <c r="AW187" s="107">
        <f>IF(A9stdlife="n/a","n/a",IF(AW$3&gt;(A9stdlife+$E187),('PTRM input'!$L$151*(1+rvanilla06)^0.5)-SUM($L187:AV187),('PTRM input'!$L$151*(1+rvanilla06)^0.5)/A9stdlife))</f>
        <v>0</v>
      </c>
      <c r="AX187" s="107">
        <f>IF(A9stdlife="n/a","n/a",IF(AX$3&gt;(A9stdlife+$E187),('PTRM input'!$L$151*(1+rvanilla06)^0.5)-SUM($L187:AW187),('PTRM input'!$L$151*(1+rvanilla06)^0.5)/A9stdlife))</f>
        <v>0</v>
      </c>
      <c r="AY187" s="107">
        <f>IF(A9stdlife="n/a","n/a",IF(AY$3&gt;(A9stdlife+$E187),('PTRM input'!$L$151*(1+rvanilla06)^0.5)-SUM($L187:AX187),('PTRM input'!$L$151*(1+rvanilla06)^0.5)/A9stdlife))</f>
        <v>0</v>
      </c>
      <c r="AZ187" s="107">
        <f>IF(A9stdlife="n/a","n/a",IF(AZ$3&gt;(A9stdlife+$E187),('PTRM input'!$L$151*(1+rvanilla06)^0.5)-SUM($L187:AY187),('PTRM input'!$L$151*(1+rvanilla06)^0.5)/A9stdlife))</f>
        <v>0</v>
      </c>
      <c r="BA187" s="107">
        <f>IF(A9stdlife="n/a","n/a",IF(BA$3&gt;(A9stdlife+$E187),('PTRM input'!$L$151*(1+rvanilla06)^0.5)-SUM($L187:AZ187),('PTRM input'!$L$151*(1+rvanilla06)^0.5)/A9stdlife))</f>
        <v>0</v>
      </c>
      <c r="BB187" s="107">
        <f>IF(A9stdlife="n/a","n/a",IF(BB$3&gt;(A9stdlife+$E187),('PTRM input'!$L$151*(1+rvanilla06)^0.5)-SUM($L187:BA187),('PTRM input'!$L$151*(1+rvanilla06)^0.5)/A9stdlife))</f>
        <v>0</v>
      </c>
      <c r="BC187" s="107">
        <f>IF(A9stdlife="n/a","n/a",IF(BC$3&gt;(A9stdlife+$E187),('PTRM input'!$L$151*(1+rvanilla06)^0.5)-SUM($L187:BB187),('PTRM input'!$L$151*(1+rvanilla06)^0.5)/A9stdlife))</f>
        <v>0</v>
      </c>
      <c r="BD187" s="107">
        <f>IF(A9stdlife="n/a","n/a",IF(BD$3&gt;(A9stdlife+$E187),('PTRM input'!$L$151*(1+rvanilla06)^0.5)-SUM($L187:BC187),('PTRM input'!$L$151*(1+rvanilla06)^0.5)/A9stdlife))</f>
        <v>0</v>
      </c>
      <c r="BE187" s="107">
        <f>IF(A9stdlife="n/a","n/a",IF(BE$3&gt;(A9stdlife+$E187),('PTRM input'!$L$151*(1+rvanilla06)^0.5)-SUM($L187:BD187),('PTRM input'!$L$151*(1+rvanilla06)^0.5)/A9stdlife))</f>
        <v>0</v>
      </c>
      <c r="BF187" s="107">
        <f>IF(A9stdlife="n/a","n/a",IF(BF$3&gt;(A9stdlife+$E187),('PTRM input'!$L$151*(1+rvanilla06)^0.5)-SUM($L187:BE187),('PTRM input'!$L$151*(1+rvanilla06)^0.5)/A9stdlife))</f>
        <v>0</v>
      </c>
      <c r="BG187" s="107">
        <f>IF(A9stdlife="n/a","n/a",IF(BG$3&gt;(A9stdlife+$E187),('PTRM input'!$L$151*(1+rvanilla06)^0.5)-SUM($L187:BF187),('PTRM input'!$L$151*(1+rvanilla06)^0.5)/A9stdlife))</f>
        <v>0</v>
      </c>
      <c r="BH187" s="107">
        <f>IF(A9stdlife="n/a","n/a",IF(BH$3&gt;(A9stdlife+$E187),('PTRM input'!$L$151*(1+rvanilla06)^0.5)-SUM($L187:BG187),('PTRM input'!$L$151*(1+rvanilla06)^0.5)/A9stdlife))</f>
        <v>0</v>
      </c>
      <c r="BI187" s="107">
        <f>IF(A9stdlife="n/a","n/a",IF(BI$3&gt;(A9stdlife+$E187),('PTRM input'!$L$151*(1+rvanilla06)^0.5)-SUM($L187:BH187),('PTRM input'!$L$151*(1+rvanilla06)^0.5)/A9stdlife))</f>
        <v>0</v>
      </c>
      <c r="BJ187" s="237"/>
      <c r="BK187" s="237"/>
      <c r="BL187" s="237"/>
      <c r="BM187" s="237"/>
    </row>
    <row r="188" spans="1:65" s="190" customFormat="1" ht="12.75" hidden="1" customHeight="1" outlineLevel="2">
      <c r="A188" s="237"/>
      <c r="B188" s="33"/>
      <c r="C188" s="32"/>
      <c r="D188" s="1618"/>
      <c r="E188" s="169">
        <v>7</v>
      </c>
      <c r="F188" s="35"/>
      <c r="G188" s="184"/>
      <c r="H188" s="186"/>
      <c r="I188" s="186"/>
      <c r="J188" s="186"/>
      <c r="K188" s="186"/>
      <c r="L188" s="186"/>
      <c r="M188" s="185"/>
      <c r="N188" s="107">
        <f>IF(A9stdlife="n/a","n/a",IF(N$3&gt;(A9stdlife+$E188),('PTRM input'!$M$151*(1+rvanilla07)^0.5)-SUM($M188:M188),('PTRM input'!$M$151*(1+rvanilla07)^0.5)/A9stdlife))</f>
        <v>0</v>
      </c>
      <c r="O188" s="107">
        <f>IF(A9stdlife="n/a","n/a",IF(O$3&gt;(A9stdlife+$E188),('PTRM input'!$M$151*(1+rvanilla07)^0.5)-SUM($M188:N188),('PTRM input'!$M$151*(1+rvanilla07)^0.5)/A9stdlife))</f>
        <v>0</v>
      </c>
      <c r="P188" s="107">
        <f>IF(A9stdlife="n/a","n/a",IF(P$3&gt;(A9stdlife+$E188),('PTRM input'!$M$151*(1+rvanilla07)^0.5)-SUM($M188:O188),('PTRM input'!$M$151*(1+rvanilla07)^0.5)/A9stdlife))</f>
        <v>0</v>
      </c>
      <c r="Q188" s="107">
        <f>IF(A9stdlife="n/a","n/a",IF(Q$3&gt;(A9stdlife+$E188),('PTRM input'!$M$151*(1+rvanilla07)^0.5)-SUM($M188:P188),('PTRM input'!$M$151*(1+rvanilla07)^0.5)/A9stdlife))</f>
        <v>0</v>
      </c>
      <c r="R188" s="107">
        <f>IF(A9stdlife="n/a","n/a",IF(R$3&gt;(A9stdlife+$E188),('PTRM input'!$M$151*(1+rvanilla07)^0.5)-SUM($M188:Q188),('PTRM input'!$M$151*(1+rvanilla07)^0.5)/A9stdlife))</f>
        <v>0</v>
      </c>
      <c r="S188" s="107">
        <f>IF(A9stdlife="n/a","n/a",IF(S$3&gt;(A9stdlife+$E188),('PTRM input'!$M$151*(1+rvanilla07)^0.5)-SUM($M188:R188),('PTRM input'!$M$151*(1+rvanilla07)^0.5)/A9stdlife))</f>
        <v>0</v>
      </c>
      <c r="T188" s="107">
        <f>IF(A9stdlife="n/a","n/a",IF(T$3&gt;(A9stdlife+$E188),('PTRM input'!$M$151*(1+rvanilla07)^0.5)-SUM($M188:S188),('PTRM input'!$M$151*(1+rvanilla07)^0.5)/A9stdlife))</f>
        <v>0</v>
      </c>
      <c r="U188" s="107">
        <f>IF(A9stdlife="n/a","n/a",IF(U$3&gt;(A9stdlife+$E188),('PTRM input'!$M$151*(1+rvanilla07)^0.5)-SUM($M188:T188),('PTRM input'!$M$151*(1+rvanilla07)^0.5)/A9stdlife))</f>
        <v>0</v>
      </c>
      <c r="V188" s="107">
        <f>IF(A9stdlife="n/a","n/a",IF(V$3&gt;(A9stdlife+$E188),('PTRM input'!$M$151*(1+rvanilla07)^0.5)-SUM($M188:U188),('PTRM input'!$M$151*(1+rvanilla07)^0.5)/A9stdlife))</f>
        <v>0</v>
      </c>
      <c r="W188" s="107">
        <f>IF(A9stdlife="n/a","n/a",IF(W$3&gt;(A9stdlife+$E188),('PTRM input'!$M$151*(1+rvanilla07)^0.5)-SUM($M188:V188),('PTRM input'!$M$151*(1+rvanilla07)^0.5)/A9stdlife))</f>
        <v>0</v>
      </c>
      <c r="X188" s="107">
        <f>IF(A9stdlife="n/a","n/a",IF(X$3&gt;(A9stdlife+$E188),('PTRM input'!$M$151*(1+rvanilla07)^0.5)-SUM($M188:W188),('PTRM input'!$M$151*(1+rvanilla07)^0.5)/A9stdlife))</f>
        <v>0</v>
      </c>
      <c r="Y188" s="107">
        <f>IF(A9stdlife="n/a","n/a",IF(Y$3&gt;(A9stdlife+$E188),('PTRM input'!$M$151*(1+rvanilla07)^0.5)-SUM($M188:X188),('PTRM input'!$M$151*(1+rvanilla07)^0.5)/A9stdlife))</f>
        <v>0</v>
      </c>
      <c r="Z188" s="107">
        <f>IF(A9stdlife="n/a","n/a",IF(Z$3&gt;(A9stdlife+$E188),('PTRM input'!$M$151*(1+rvanilla07)^0.5)-SUM($M188:Y188),('PTRM input'!$M$151*(1+rvanilla07)^0.5)/A9stdlife))</f>
        <v>0</v>
      </c>
      <c r="AA188" s="107">
        <f>IF(A9stdlife="n/a","n/a",IF(AA$3&gt;(A9stdlife+$E188),('PTRM input'!$M$151*(1+rvanilla07)^0.5)-SUM($M188:Z188),('PTRM input'!$M$151*(1+rvanilla07)^0.5)/A9stdlife))</f>
        <v>0</v>
      </c>
      <c r="AB188" s="107">
        <f>IF(A9stdlife="n/a","n/a",IF(AB$3&gt;(A9stdlife+$E188),('PTRM input'!$M$151*(1+rvanilla07)^0.5)-SUM($M188:AA188),('PTRM input'!$M$151*(1+rvanilla07)^0.5)/A9stdlife))</f>
        <v>0</v>
      </c>
      <c r="AC188" s="107">
        <f>IF(A9stdlife="n/a","n/a",IF(AC$3&gt;(A9stdlife+$E188),('PTRM input'!$M$151*(1+rvanilla07)^0.5)-SUM($M188:AB188),('PTRM input'!$M$151*(1+rvanilla07)^0.5)/A9stdlife))</f>
        <v>0</v>
      </c>
      <c r="AD188" s="107">
        <f>IF(A9stdlife="n/a","n/a",IF(AD$3&gt;(A9stdlife+$E188),('PTRM input'!$M$151*(1+rvanilla07)^0.5)-SUM($M188:AC188),('PTRM input'!$M$151*(1+rvanilla07)^0.5)/A9stdlife))</f>
        <v>0</v>
      </c>
      <c r="AE188" s="107">
        <f>IF(A9stdlife="n/a","n/a",IF(AE$3&gt;(A9stdlife+$E188),('PTRM input'!$M$151*(1+rvanilla07)^0.5)-SUM($M188:AD188),('PTRM input'!$M$151*(1+rvanilla07)^0.5)/A9stdlife))</f>
        <v>0</v>
      </c>
      <c r="AF188" s="107">
        <f>IF(A9stdlife="n/a","n/a",IF(AF$3&gt;(A9stdlife+$E188),('PTRM input'!$M$151*(1+rvanilla07)^0.5)-SUM($M188:AE188),('PTRM input'!$M$151*(1+rvanilla07)^0.5)/A9stdlife))</f>
        <v>0</v>
      </c>
      <c r="AG188" s="107">
        <f>IF(A9stdlife="n/a","n/a",IF(AG$3&gt;(A9stdlife+$E188),('PTRM input'!$M$151*(1+rvanilla07)^0.5)-SUM($M188:AF188),('PTRM input'!$M$151*(1+rvanilla07)^0.5)/A9stdlife))</f>
        <v>0</v>
      </c>
      <c r="AH188" s="107">
        <f>IF(A9stdlife="n/a","n/a",IF(AH$3&gt;(A9stdlife+$E188),('PTRM input'!$M$151*(1+rvanilla07)^0.5)-SUM($M188:AG188),('PTRM input'!$M$151*(1+rvanilla07)^0.5)/A9stdlife))</f>
        <v>0</v>
      </c>
      <c r="AI188" s="107">
        <f>IF(A9stdlife="n/a","n/a",IF(AI$3&gt;(A9stdlife+$E188),('PTRM input'!$M$151*(1+rvanilla07)^0.5)-SUM($M188:AH188),('PTRM input'!$M$151*(1+rvanilla07)^0.5)/A9stdlife))</f>
        <v>0</v>
      </c>
      <c r="AJ188" s="107">
        <f>IF(A9stdlife="n/a","n/a",IF(AJ$3&gt;(A9stdlife+$E188),('PTRM input'!$M$151*(1+rvanilla07)^0.5)-SUM($M188:AI188),('PTRM input'!$M$151*(1+rvanilla07)^0.5)/A9stdlife))</f>
        <v>0</v>
      </c>
      <c r="AK188" s="107">
        <f>IF(A9stdlife="n/a","n/a",IF(AK$3&gt;(A9stdlife+$E188),('PTRM input'!$M$151*(1+rvanilla07)^0.5)-SUM($M188:AJ188),('PTRM input'!$M$151*(1+rvanilla07)^0.5)/A9stdlife))</f>
        <v>0</v>
      </c>
      <c r="AL188" s="107">
        <f>IF(A9stdlife="n/a","n/a",IF(AL$3&gt;(A9stdlife+$E188),('PTRM input'!$M$151*(1+rvanilla07)^0.5)-SUM($M188:AK188),('PTRM input'!$M$151*(1+rvanilla07)^0.5)/A9stdlife))</f>
        <v>0</v>
      </c>
      <c r="AM188" s="107">
        <f>IF(A9stdlife="n/a","n/a",IF(AM$3&gt;(A9stdlife+$E188),('PTRM input'!$M$151*(1+rvanilla07)^0.5)-SUM($M188:AL188),('PTRM input'!$M$151*(1+rvanilla07)^0.5)/A9stdlife))</f>
        <v>0</v>
      </c>
      <c r="AN188" s="107">
        <f>IF(A9stdlife="n/a","n/a",IF(AN$3&gt;(A9stdlife+$E188),('PTRM input'!$M$151*(1+rvanilla07)^0.5)-SUM($M188:AM188),('PTRM input'!$M$151*(1+rvanilla07)^0.5)/A9stdlife))</f>
        <v>0</v>
      </c>
      <c r="AO188" s="107">
        <f>IF(A9stdlife="n/a","n/a",IF(AO$3&gt;(A9stdlife+$E188),('PTRM input'!$M$151*(1+rvanilla07)^0.5)-SUM($M188:AN188),('PTRM input'!$M$151*(1+rvanilla07)^0.5)/A9stdlife))</f>
        <v>0</v>
      </c>
      <c r="AP188" s="107">
        <f>IF(A9stdlife="n/a","n/a",IF(AP$3&gt;(A9stdlife+$E188),('PTRM input'!$M$151*(1+rvanilla07)^0.5)-SUM($M188:AO188),('PTRM input'!$M$151*(1+rvanilla07)^0.5)/A9stdlife))</f>
        <v>0</v>
      </c>
      <c r="AQ188" s="107">
        <f>IF(A9stdlife="n/a","n/a",IF(AQ$3&gt;(A9stdlife+$E188),('PTRM input'!$M$151*(1+rvanilla07)^0.5)-SUM($M188:AP188),('PTRM input'!$M$151*(1+rvanilla07)^0.5)/A9stdlife))</f>
        <v>0</v>
      </c>
      <c r="AR188" s="107">
        <f>IF(A9stdlife="n/a","n/a",IF(AR$3&gt;(A9stdlife+$E188),('PTRM input'!$M$151*(1+rvanilla07)^0.5)-SUM($M188:AQ188),('PTRM input'!$M$151*(1+rvanilla07)^0.5)/A9stdlife))</f>
        <v>0</v>
      </c>
      <c r="AS188" s="107">
        <f>IF(A9stdlife="n/a","n/a",IF(AS$3&gt;(A9stdlife+$E188),('PTRM input'!$M$151*(1+rvanilla07)^0.5)-SUM($M188:AR188),('PTRM input'!$M$151*(1+rvanilla07)^0.5)/A9stdlife))</f>
        <v>0</v>
      </c>
      <c r="AT188" s="107">
        <f>IF(A9stdlife="n/a","n/a",IF(AT$3&gt;(A9stdlife+$E188),('PTRM input'!$M$151*(1+rvanilla07)^0.5)-SUM($M188:AS188),('PTRM input'!$M$151*(1+rvanilla07)^0.5)/A9stdlife))</f>
        <v>0</v>
      </c>
      <c r="AU188" s="107">
        <f>IF(A9stdlife="n/a","n/a",IF(AU$3&gt;(A9stdlife+$E188),('PTRM input'!$M$151*(1+rvanilla07)^0.5)-SUM($M188:AT188),('PTRM input'!$M$151*(1+rvanilla07)^0.5)/A9stdlife))</f>
        <v>0</v>
      </c>
      <c r="AV188" s="107">
        <f>IF(A9stdlife="n/a","n/a",IF(AV$3&gt;(A9stdlife+$E188),('PTRM input'!$M$151*(1+rvanilla07)^0.5)-SUM($M188:AU188),('PTRM input'!$M$151*(1+rvanilla07)^0.5)/A9stdlife))</f>
        <v>0</v>
      </c>
      <c r="AW188" s="107">
        <f>IF(A9stdlife="n/a","n/a",IF(AW$3&gt;(A9stdlife+$E188),('PTRM input'!$M$151*(1+rvanilla07)^0.5)-SUM($M188:AV188),('PTRM input'!$M$151*(1+rvanilla07)^0.5)/A9stdlife))</f>
        <v>0</v>
      </c>
      <c r="AX188" s="107">
        <f>IF(A9stdlife="n/a","n/a",IF(AX$3&gt;(A9stdlife+$E188),('PTRM input'!$M$151*(1+rvanilla07)^0.5)-SUM($M188:AW188),('PTRM input'!$M$151*(1+rvanilla07)^0.5)/A9stdlife))</f>
        <v>0</v>
      </c>
      <c r="AY188" s="107">
        <f>IF(A9stdlife="n/a","n/a",IF(AY$3&gt;(A9stdlife+$E188),('PTRM input'!$M$151*(1+rvanilla07)^0.5)-SUM($M188:AX188),('PTRM input'!$M$151*(1+rvanilla07)^0.5)/A9stdlife))</f>
        <v>0</v>
      </c>
      <c r="AZ188" s="107">
        <f>IF(A9stdlife="n/a","n/a",IF(AZ$3&gt;(A9stdlife+$E188),('PTRM input'!$M$151*(1+rvanilla07)^0.5)-SUM($M188:AY188),('PTRM input'!$M$151*(1+rvanilla07)^0.5)/A9stdlife))</f>
        <v>0</v>
      </c>
      <c r="BA188" s="107">
        <f>IF(A9stdlife="n/a","n/a",IF(BA$3&gt;(A9stdlife+$E188),('PTRM input'!$M$151*(1+rvanilla07)^0.5)-SUM($M188:AZ188),('PTRM input'!$M$151*(1+rvanilla07)^0.5)/A9stdlife))</f>
        <v>0</v>
      </c>
      <c r="BB188" s="107">
        <f>IF(A9stdlife="n/a","n/a",IF(BB$3&gt;(A9stdlife+$E188),('PTRM input'!$M$151*(1+rvanilla07)^0.5)-SUM($M188:BA188),('PTRM input'!$M$151*(1+rvanilla07)^0.5)/A9stdlife))</f>
        <v>0</v>
      </c>
      <c r="BC188" s="107">
        <f>IF(A9stdlife="n/a","n/a",IF(BC$3&gt;(A9stdlife+$E188),('PTRM input'!$M$151*(1+rvanilla07)^0.5)-SUM($M188:BB188),('PTRM input'!$M$151*(1+rvanilla07)^0.5)/A9stdlife))</f>
        <v>0</v>
      </c>
      <c r="BD188" s="107">
        <f>IF(A9stdlife="n/a","n/a",IF(BD$3&gt;(A9stdlife+$E188),('PTRM input'!$M$151*(1+rvanilla07)^0.5)-SUM($M188:BC188),('PTRM input'!$M$151*(1+rvanilla07)^0.5)/A9stdlife))</f>
        <v>0</v>
      </c>
      <c r="BE188" s="107">
        <f>IF(A9stdlife="n/a","n/a",IF(BE$3&gt;(A9stdlife+$E188),('PTRM input'!$M$151*(1+rvanilla07)^0.5)-SUM($M188:BD188),('PTRM input'!$M$151*(1+rvanilla07)^0.5)/A9stdlife))</f>
        <v>0</v>
      </c>
      <c r="BF188" s="107">
        <f>IF(A9stdlife="n/a","n/a",IF(BF$3&gt;(A9stdlife+$E188),('PTRM input'!$M$151*(1+rvanilla07)^0.5)-SUM($M188:BE188),('PTRM input'!$M$151*(1+rvanilla07)^0.5)/A9stdlife))</f>
        <v>0</v>
      </c>
      <c r="BG188" s="107">
        <f>IF(A9stdlife="n/a","n/a",IF(BG$3&gt;(A9stdlife+$E188),('PTRM input'!$M$151*(1+rvanilla07)^0.5)-SUM($M188:BF188),('PTRM input'!$M$151*(1+rvanilla07)^0.5)/A9stdlife))</f>
        <v>0</v>
      </c>
      <c r="BH188" s="107">
        <f>IF(A9stdlife="n/a","n/a",IF(BH$3&gt;(A9stdlife+$E188),('PTRM input'!$M$151*(1+rvanilla07)^0.5)-SUM($M188:BG188),('PTRM input'!$M$151*(1+rvanilla07)^0.5)/A9stdlife))</f>
        <v>0</v>
      </c>
      <c r="BI188" s="107">
        <f>IF(A9stdlife="n/a","n/a",IF(BI$3&gt;(A9stdlife+$E188),('PTRM input'!$M$151*(1+rvanilla07)^0.5)-SUM($M188:BH188),('PTRM input'!$M$151*(1+rvanilla07)^0.5)/A9stdlife))</f>
        <v>0</v>
      </c>
      <c r="BJ188" s="237"/>
      <c r="BK188" s="237"/>
      <c r="BL188" s="237"/>
      <c r="BM188" s="237"/>
    </row>
    <row r="189" spans="1:65" s="190" customFormat="1" ht="12.75" hidden="1" customHeight="1" outlineLevel="2">
      <c r="A189" s="237"/>
      <c r="B189" s="33"/>
      <c r="C189" s="32"/>
      <c r="D189" s="1618"/>
      <c r="E189" s="169">
        <v>8</v>
      </c>
      <c r="F189" s="35"/>
      <c r="G189" s="184"/>
      <c r="H189" s="186"/>
      <c r="I189" s="186"/>
      <c r="J189" s="186"/>
      <c r="K189" s="186"/>
      <c r="L189" s="186"/>
      <c r="M189" s="186"/>
      <c r="N189" s="185"/>
      <c r="O189" s="107">
        <f>IF(A9stdlife="n/a","n/a",IF(O$3&gt;(A9stdlife+$E189),('PTRM input'!$N$151*(1+rvanilla08)^0.5)-SUM($N189:N189),('PTRM input'!$N$151*(1+rvanilla08)^0.5)/A9stdlife))</f>
        <v>0</v>
      </c>
      <c r="P189" s="107">
        <f>IF(A9stdlife="n/a","n/a",IF(P$3&gt;(A9stdlife+$E189),('PTRM input'!$N$151*(1+rvanilla08)^0.5)-SUM($N189:O189),('PTRM input'!$N$151*(1+rvanilla08)^0.5)/A9stdlife))</f>
        <v>0</v>
      </c>
      <c r="Q189" s="107">
        <f>IF(A9stdlife="n/a","n/a",IF(Q$3&gt;(A9stdlife+$E189),('PTRM input'!$N$151*(1+rvanilla08)^0.5)-SUM($N189:P189),('PTRM input'!$N$151*(1+rvanilla08)^0.5)/A9stdlife))</f>
        <v>0</v>
      </c>
      <c r="R189" s="107">
        <f>IF(A9stdlife="n/a","n/a",IF(R$3&gt;(A9stdlife+$E189),('PTRM input'!$N$151*(1+rvanilla08)^0.5)-SUM($N189:Q189),('PTRM input'!$N$151*(1+rvanilla08)^0.5)/A9stdlife))</f>
        <v>0</v>
      </c>
      <c r="S189" s="107">
        <f>IF(A9stdlife="n/a","n/a",IF(S$3&gt;(A9stdlife+$E189),('PTRM input'!$N$151*(1+rvanilla08)^0.5)-SUM($N189:R189),('PTRM input'!$N$151*(1+rvanilla08)^0.5)/A9stdlife))</f>
        <v>0</v>
      </c>
      <c r="T189" s="107">
        <f>IF(A9stdlife="n/a","n/a",IF(T$3&gt;(A9stdlife+$E189),('PTRM input'!$N$151*(1+rvanilla08)^0.5)-SUM($N189:S189),('PTRM input'!$N$151*(1+rvanilla08)^0.5)/A9stdlife))</f>
        <v>0</v>
      </c>
      <c r="U189" s="107">
        <f>IF(A9stdlife="n/a","n/a",IF(U$3&gt;(A9stdlife+$E189),('PTRM input'!$N$151*(1+rvanilla08)^0.5)-SUM($N189:T189),('PTRM input'!$N$151*(1+rvanilla08)^0.5)/A9stdlife))</f>
        <v>0</v>
      </c>
      <c r="V189" s="107">
        <f>IF(A9stdlife="n/a","n/a",IF(V$3&gt;(A9stdlife+$E189),('PTRM input'!$N$151*(1+rvanilla08)^0.5)-SUM($N189:U189),('PTRM input'!$N$151*(1+rvanilla08)^0.5)/A9stdlife))</f>
        <v>0</v>
      </c>
      <c r="W189" s="107">
        <f>IF(A9stdlife="n/a","n/a",IF(W$3&gt;(A9stdlife+$E189),('PTRM input'!$N$151*(1+rvanilla08)^0.5)-SUM($N189:V189),('PTRM input'!$N$151*(1+rvanilla08)^0.5)/A9stdlife))</f>
        <v>0</v>
      </c>
      <c r="X189" s="107">
        <f>IF(A9stdlife="n/a","n/a",IF(X$3&gt;(A9stdlife+$E189),('PTRM input'!$N$151*(1+rvanilla08)^0.5)-SUM($N189:W189),('PTRM input'!$N$151*(1+rvanilla08)^0.5)/A9stdlife))</f>
        <v>0</v>
      </c>
      <c r="Y189" s="107">
        <f>IF(A9stdlife="n/a","n/a",IF(Y$3&gt;(A9stdlife+$E189),('PTRM input'!$N$151*(1+rvanilla08)^0.5)-SUM($N189:X189),('PTRM input'!$N$151*(1+rvanilla08)^0.5)/A9stdlife))</f>
        <v>0</v>
      </c>
      <c r="Z189" s="107">
        <f>IF(A9stdlife="n/a","n/a",IF(Z$3&gt;(A9stdlife+$E189),('PTRM input'!$N$151*(1+rvanilla08)^0.5)-SUM($N189:Y189),('PTRM input'!$N$151*(1+rvanilla08)^0.5)/A9stdlife))</f>
        <v>0</v>
      </c>
      <c r="AA189" s="107">
        <f>IF(A9stdlife="n/a","n/a",IF(AA$3&gt;(A9stdlife+$E189),('PTRM input'!$N$151*(1+rvanilla08)^0.5)-SUM($N189:Z189),('PTRM input'!$N$151*(1+rvanilla08)^0.5)/A9stdlife))</f>
        <v>0</v>
      </c>
      <c r="AB189" s="107">
        <f>IF(A9stdlife="n/a","n/a",IF(AB$3&gt;(A9stdlife+$E189),('PTRM input'!$N$151*(1+rvanilla08)^0.5)-SUM($N189:AA189),('PTRM input'!$N$151*(1+rvanilla08)^0.5)/A9stdlife))</f>
        <v>0</v>
      </c>
      <c r="AC189" s="107">
        <f>IF(A9stdlife="n/a","n/a",IF(AC$3&gt;(A9stdlife+$E189),('PTRM input'!$N$151*(1+rvanilla08)^0.5)-SUM($N189:AB189),('PTRM input'!$N$151*(1+rvanilla08)^0.5)/A9stdlife))</f>
        <v>0</v>
      </c>
      <c r="AD189" s="107">
        <f>IF(A9stdlife="n/a","n/a",IF(AD$3&gt;(A9stdlife+$E189),('PTRM input'!$N$151*(1+rvanilla08)^0.5)-SUM($N189:AC189),('PTRM input'!$N$151*(1+rvanilla08)^0.5)/A9stdlife))</f>
        <v>0</v>
      </c>
      <c r="AE189" s="107">
        <f>IF(A9stdlife="n/a","n/a",IF(AE$3&gt;(A9stdlife+$E189),('PTRM input'!$N$151*(1+rvanilla08)^0.5)-SUM($N189:AD189),('PTRM input'!$N$151*(1+rvanilla08)^0.5)/A9stdlife))</f>
        <v>0</v>
      </c>
      <c r="AF189" s="107">
        <f>IF(A9stdlife="n/a","n/a",IF(AF$3&gt;(A9stdlife+$E189),('PTRM input'!$N$151*(1+rvanilla08)^0.5)-SUM($N189:AE189),('PTRM input'!$N$151*(1+rvanilla08)^0.5)/A9stdlife))</f>
        <v>0</v>
      </c>
      <c r="AG189" s="107">
        <f>IF(A9stdlife="n/a","n/a",IF(AG$3&gt;(A9stdlife+$E189),('PTRM input'!$N$151*(1+rvanilla08)^0.5)-SUM($N189:AF189),('PTRM input'!$N$151*(1+rvanilla08)^0.5)/A9stdlife))</f>
        <v>0</v>
      </c>
      <c r="AH189" s="107">
        <f>IF(A9stdlife="n/a","n/a",IF(AH$3&gt;(A9stdlife+$E189),('PTRM input'!$N$151*(1+rvanilla08)^0.5)-SUM($N189:AG189),('PTRM input'!$N$151*(1+rvanilla08)^0.5)/A9stdlife))</f>
        <v>0</v>
      </c>
      <c r="AI189" s="107">
        <f>IF(A9stdlife="n/a","n/a",IF(AI$3&gt;(A9stdlife+$E189),('PTRM input'!$N$151*(1+rvanilla08)^0.5)-SUM($N189:AH189),('PTRM input'!$N$151*(1+rvanilla08)^0.5)/A9stdlife))</f>
        <v>0</v>
      </c>
      <c r="AJ189" s="107">
        <f>IF(A9stdlife="n/a","n/a",IF(AJ$3&gt;(A9stdlife+$E189),('PTRM input'!$N$151*(1+rvanilla08)^0.5)-SUM($N189:AI189),('PTRM input'!$N$151*(1+rvanilla08)^0.5)/A9stdlife))</f>
        <v>0</v>
      </c>
      <c r="AK189" s="107">
        <f>IF(A9stdlife="n/a","n/a",IF(AK$3&gt;(A9stdlife+$E189),('PTRM input'!$N$151*(1+rvanilla08)^0.5)-SUM($N189:AJ189),('PTRM input'!$N$151*(1+rvanilla08)^0.5)/A9stdlife))</f>
        <v>0</v>
      </c>
      <c r="AL189" s="107">
        <f>IF(A9stdlife="n/a","n/a",IF(AL$3&gt;(A9stdlife+$E189),('PTRM input'!$N$151*(1+rvanilla08)^0.5)-SUM($N189:AK189),('PTRM input'!$N$151*(1+rvanilla08)^0.5)/A9stdlife))</f>
        <v>0</v>
      </c>
      <c r="AM189" s="107">
        <f>IF(A9stdlife="n/a","n/a",IF(AM$3&gt;(A9stdlife+$E189),('PTRM input'!$N$151*(1+rvanilla08)^0.5)-SUM($N189:AL189),('PTRM input'!$N$151*(1+rvanilla08)^0.5)/A9stdlife))</f>
        <v>0</v>
      </c>
      <c r="AN189" s="107">
        <f>IF(A9stdlife="n/a","n/a",IF(AN$3&gt;(A9stdlife+$E189),('PTRM input'!$N$151*(1+rvanilla08)^0.5)-SUM($N189:AM189),('PTRM input'!$N$151*(1+rvanilla08)^0.5)/A9stdlife))</f>
        <v>0</v>
      </c>
      <c r="AO189" s="107">
        <f>IF(A9stdlife="n/a","n/a",IF(AO$3&gt;(A9stdlife+$E189),('PTRM input'!$N$151*(1+rvanilla08)^0.5)-SUM($N189:AN189),('PTRM input'!$N$151*(1+rvanilla08)^0.5)/A9stdlife))</f>
        <v>0</v>
      </c>
      <c r="AP189" s="107">
        <f>IF(A9stdlife="n/a","n/a",IF(AP$3&gt;(A9stdlife+$E189),('PTRM input'!$N$151*(1+rvanilla08)^0.5)-SUM($N189:AO189),('PTRM input'!$N$151*(1+rvanilla08)^0.5)/A9stdlife))</f>
        <v>0</v>
      </c>
      <c r="AQ189" s="107">
        <f>IF(A9stdlife="n/a","n/a",IF(AQ$3&gt;(A9stdlife+$E189),('PTRM input'!$N$151*(1+rvanilla08)^0.5)-SUM($N189:AP189),('PTRM input'!$N$151*(1+rvanilla08)^0.5)/A9stdlife))</f>
        <v>0</v>
      </c>
      <c r="AR189" s="107">
        <f>IF(A9stdlife="n/a","n/a",IF(AR$3&gt;(A9stdlife+$E189),('PTRM input'!$N$151*(1+rvanilla08)^0.5)-SUM($N189:AQ189),('PTRM input'!$N$151*(1+rvanilla08)^0.5)/A9stdlife))</f>
        <v>0</v>
      </c>
      <c r="AS189" s="107">
        <f>IF(A9stdlife="n/a","n/a",IF(AS$3&gt;(A9stdlife+$E189),('PTRM input'!$N$151*(1+rvanilla08)^0.5)-SUM($N189:AR189),('PTRM input'!$N$151*(1+rvanilla08)^0.5)/A9stdlife))</f>
        <v>0</v>
      </c>
      <c r="AT189" s="107">
        <f>IF(A9stdlife="n/a","n/a",IF(AT$3&gt;(A9stdlife+$E189),('PTRM input'!$N$151*(1+rvanilla08)^0.5)-SUM($N189:AS189),('PTRM input'!$N$151*(1+rvanilla08)^0.5)/A9stdlife))</f>
        <v>0</v>
      </c>
      <c r="AU189" s="107">
        <f>IF(A9stdlife="n/a","n/a",IF(AU$3&gt;(A9stdlife+$E189),('PTRM input'!$N$151*(1+rvanilla08)^0.5)-SUM($N189:AT189),('PTRM input'!$N$151*(1+rvanilla08)^0.5)/A9stdlife))</f>
        <v>0</v>
      </c>
      <c r="AV189" s="107">
        <f>IF(A9stdlife="n/a","n/a",IF(AV$3&gt;(A9stdlife+$E189),('PTRM input'!$N$151*(1+rvanilla08)^0.5)-SUM($N189:AU189),('PTRM input'!$N$151*(1+rvanilla08)^0.5)/A9stdlife))</f>
        <v>0</v>
      </c>
      <c r="AW189" s="107">
        <f>IF(A9stdlife="n/a","n/a",IF(AW$3&gt;(A9stdlife+$E189),('PTRM input'!$N$151*(1+rvanilla08)^0.5)-SUM($N189:AV189),('PTRM input'!$N$151*(1+rvanilla08)^0.5)/A9stdlife))</f>
        <v>0</v>
      </c>
      <c r="AX189" s="107">
        <f>IF(A9stdlife="n/a","n/a",IF(AX$3&gt;(A9stdlife+$E189),('PTRM input'!$N$151*(1+rvanilla08)^0.5)-SUM($N189:AW189),('PTRM input'!$N$151*(1+rvanilla08)^0.5)/A9stdlife))</f>
        <v>0</v>
      </c>
      <c r="AY189" s="107">
        <f>IF(A9stdlife="n/a","n/a",IF(AY$3&gt;(A9stdlife+$E189),('PTRM input'!$N$151*(1+rvanilla08)^0.5)-SUM($N189:AX189),('PTRM input'!$N$151*(1+rvanilla08)^0.5)/A9stdlife))</f>
        <v>0</v>
      </c>
      <c r="AZ189" s="107">
        <f>IF(A9stdlife="n/a","n/a",IF(AZ$3&gt;(A9stdlife+$E189),('PTRM input'!$N$151*(1+rvanilla08)^0.5)-SUM($N189:AY189),('PTRM input'!$N$151*(1+rvanilla08)^0.5)/A9stdlife))</f>
        <v>0</v>
      </c>
      <c r="BA189" s="107">
        <f>IF(A9stdlife="n/a","n/a",IF(BA$3&gt;(A9stdlife+$E189),('PTRM input'!$N$151*(1+rvanilla08)^0.5)-SUM($N189:AZ189),('PTRM input'!$N$151*(1+rvanilla08)^0.5)/A9stdlife))</f>
        <v>0</v>
      </c>
      <c r="BB189" s="107">
        <f>IF(A9stdlife="n/a","n/a",IF(BB$3&gt;(A9stdlife+$E189),('PTRM input'!$N$151*(1+rvanilla08)^0.5)-SUM($N189:BA189),('PTRM input'!$N$151*(1+rvanilla08)^0.5)/A9stdlife))</f>
        <v>0</v>
      </c>
      <c r="BC189" s="107">
        <f>IF(A9stdlife="n/a","n/a",IF(BC$3&gt;(A9stdlife+$E189),('PTRM input'!$N$151*(1+rvanilla08)^0.5)-SUM($N189:BB189),('PTRM input'!$N$151*(1+rvanilla08)^0.5)/A9stdlife))</f>
        <v>0</v>
      </c>
      <c r="BD189" s="107">
        <f>IF(A9stdlife="n/a","n/a",IF(BD$3&gt;(A9stdlife+$E189),('PTRM input'!$N$151*(1+rvanilla08)^0.5)-SUM($N189:BC189),('PTRM input'!$N$151*(1+rvanilla08)^0.5)/A9stdlife))</f>
        <v>0</v>
      </c>
      <c r="BE189" s="107">
        <f>IF(A9stdlife="n/a","n/a",IF(BE$3&gt;(A9stdlife+$E189),('PTRM input'!$N$151*(1+rvanilla08)^0.5)-SUM($N189:BD189),('PTRM input'!$N$151*(1+rvanilla08)^0.5)/A9stdlife))</f>
        <v>0</v>
      </c>
      <c r="BF189" s="107">
        <f>IF(A9stdlife="n/a","n/a",IF(BF$3&gt;(A9stdlife+$E189),('PTRM input'!$N$151*(1+rvanilla08)^0.5)-SUM($N189:BE189),('PTRM input'!$N$151*(1+rvanilla08)^0.5)/A9stdlife))</f>
        <v>0</v>
      </c>
      <c r="BG189" s="107">
        <f>IF(A9stdlife="n/a","n/a",IF(BG$3&gt;(A9stdlife+$E189),('PTRM input'!$N$151*(1+rvanilla08)^0.5)-SUM($N189:BF189),('PTRM input'!$N$151*(1+rvanilla08)^0.5)/A9stdlife))</f>
        <v>0</v>
      </c>
      <c r="BH189" s="107">
        <f>IF(A9stdlife="n/a","n/a",IF(BH$3&gt;(A9stdlife+$E189),('PTRM input'!$N$151*(1+rvanilla08)^0.5)-SUM($N189:BG189),('PTRM input'!$N$151*(1+rvanilla08)^0.5)/A9stdlife))</f>
        <v>0</v>
      </c>
      <c r="BI189" s="107">
        <f>IF(A9stdlife="n/a","n/a",IF(BI$3&gt;(A9stdlife+$E189),('PTRM input'!$N$151*(1+rvanilla08)^0.5)-SUM($N189:BH189),('PTRM input'!$N$151*(1+rvanilla08)^0.5)/A9stdlife))</f>
        <v>0</v>
      </c>
      <c r="BJ189" s="237"/>
      <c r="BK189" s="237"/>
      <c r="BL189" s="237"/>
      <c r="BM189" s="237"/>
    </row>
    <row r="190" spans="1:65" s="190" customFormat="1" ht="12.75" hidden="1" customHeight="1" outlineLevel="2">
      <c r="A190" s="237"/>
      <c r="B190" s="33"/>
      <c r="C190" s="32"/>
      <c r="D190" s="1618"/>
      <c r="E190" s="169">
        <v>9</v>
      </c>
      <c r="F190" s="35"/>
      <c r="G190" s="184"/>
      <c r="H190" s="186"/>
      <c r="I190" s="186"/>
      <c r="J190" s="186"/>
      <c r="K190" s="186"/>
      <c r="L190" s="186"/>
      <c r="M190" s="186"/>
      <c r="N190" s="186"/>
      <c r="O190" s="185"/>
      <c r="P190" s="107">
        <f>IF(A9stdlife="n/a","n/a",IF(P$3&gt;(A9stdlife+$E190),('PTRM input'!$O$151*(1+rvanilla09)^0.5)-SUM($O190:O190),('PTRM input'!$O$151*(1+rvanilla09)^0.5)/A9stdlife))</f>
        <v>0</v>
      </c>
      <c r="Q190" s="107">
        <f>IF(A9stdlife="n/a","n/a",IF(Q$3&gt;(A9stdlife+$E190),('PTRM input'!$O$151*(1+rvanilla09)^0.5)-SUM($O190:P190),('PTRM input'!$O$151*(1+rvanilla09)^0.5)/A9stdlife))</f>
        <v>0</v>
      </c>
      <c r="R190" s="107">
        <f>IF(A9stdlife="n/a","n/a",IF(R$3&gt;(A9stdlife+$E190),('PTRM input'!$O$151*(1+rvanilla09)^0.5)-SUM($O190:Q190),('PTRM input'!$O$151*(1+rvanilla09)^0.5)/A9stdlife))</f>
        <v>0</v>
      </c>
      <c r="S190" s="107">
        <f>IF(A9stdlife="n/a","n/a",IF(S$3&gt;(A9stdlife+$E190),('PTRM input'!$O$151*(1+rvanilla09)^0.5)-SUM($O190:R190),('PTRM input'!$O$151*(1+rvanilla09)^0.5)/A9stdlife))</f>
        <v>0</v>
      </c>
      <c r="T190" s="107">
        <f>IF(A9stdlife="n/a","n/a",IF(T$3&gt;(A9stdlife+$E190),('PTRM input'!$O$151*(1+rvanilla09)^0.5)-SUM($O190:S190),('PTRM input'!$O$151*(1+rvanilla09)^0.5)/A9stdlife))</f>
        <v>0</v>
      </c>
      <c r="U190" s="107">
        <f>IF(A9stdlife="n/a","n/a",IF(U$3&gt;(A9stdlife+$E190),('PTRM input'!$O$151*(1+rvanilla09)^0.5)-SUM($O190:T190),('PTRM input'!$O$151*(1+rvanilla09)^0.5)/A9stdlife))</f>
        <v>0</v>
      </c>
      <c r="V190" s="107">
        <f>IF(A9stdlife="n/a","n/a",IF(V$3&gt;(A9stdlife+$E190),('PTRM input'!$O$151*(1+rvanilla09)^0.5)-SUM($O190:U190),('PTRM input'!$O$151*(1+rvanilla09)^0.5)/A9stdlife))</f>
        <v>0</v>
      </c>
      <c r="W190" s="107">
        <f>IF(A9stdlife="n/a","n/a",IF(W$3&gt;(A9stdlife+$E190),('PTRM input'!$O$151*(1+rvanilla09)^0.5)-SUM($O190:V190),('PTRM input'!$O$151*(1+rvanilla09)^0.5)/A9stdlife))</f>
        <v>0</v>
      </c>
      <c r="X190" s="107">
        <f>IF(A9stdlife="n/a","n/a",IF(X$3&gt;(A9stdlife+$E190),('PTRM input'!$O$151*(1+rvanilla09)^0.5)-SUM($O190:W190),('PTRM input'!$O$151*(1+rvanilla09)^0.5)/A9stdlife))</f>
        <v>0</v>
      </c>
      <c r="Y190" s="107">
        <f>IF(A9stdlife="n/a","n/a",IF(Y$3&gt;(A9stdlife+$E190),('PTRM input'!$O$151*(1+rvanilla09)^0.5)-SUM($O190:X190),('PTRM input'!$O$151*(1+rvanilla09)^0.5)/A9stdlife))</f>
        <v>0</v>
      </c>
      <c r="Z190" s="107">
        <f>IF(A9stdlife="n/a","n/a",IF(Z$3&gt;(A9stdlife+$E190),('PTRM input'!$O$151*(1+rvanilla09)^0.5)-SUM($O190:Y190),('PTRM input'!$O$151*(1+rvanilla09)^0.5)/A9stdlife))</f>
        <v>0</v>
      </c>
      <c r="AA190" s="107">
        <f>IF(A9stdlife="n/a","n/a",IF(AA$3&gt;(A9stdlife+$E190),('PTRM input'!$O$151*(1+rvanilla09)^0.5)-SUM($O190:Z190),('PTRM input'!$O$151*(1+rvanilla09)^0.5)/A9stdlife))</f>
        <v>0</v>
      </c>
      <c r="AB190" s="107">
        <f>IF(A9stdlife="n/a","n/a",IF(AB$3&gt;(A9stdlife+$E190),('PTRM input'!$O$151*(1+rvanilla09)^0.5)-SUM($O190:AA190),('PTRM input'!$O$151*(1+rvanilla09)^0.5)/A9stdlife))</f>
        <v>0</v>
      </c>
      <c r="AC190" s="107">
        <f>IF(A9stdlife="n/a","n/a",IF(AC$3&gt;(A9stdlife+$E190),('PTRM input'!$O$151*(1+rvanilla09)^0.5)-SUM($O190:AB190),('PTRM input'!$O$151*(1+rvanilla09)^0.5)/A9stdlife))</f>
        <v>0</v>
      </c>
      <c r="AD190" s="107">
        <f>IF(A9stdlife="n/a","n/a",IF(AD$3&gt;(A9stdlife+$E190),('PTRM input'!$O$151*(1+rvanilla09)^0.5)-SUM($O190:AC190),('PTRM input'!$O$151*(1+rvanilla09)^0.5)/A9stdlife))</f>
        <v>0</v>
      </c>
      <c r="AE190" s="107">
        <f>IF(A9stdlife="n/a","n/a",IF(AE$3&gt;(A9stdlife+$E190),('PTRM input'!$O$151*(1+rvanilla09)^0.5)-SUM($O190:AD190),('PTRM input'!$O$151*(1+rvanilla09)^0.5)/A9stdlife))</f>
        <v>0</v>
      </c>
      <c r="AF190" s="107">
        <f>IF(A9stdlife="n/a","n/a",IF(AF$3&gt;(A9stdlife+$E190),('PTRM input'!$O$151*(1+rvanilla09)^0.5)-SUM($O190:AE190),('PTRM input'!$O$151*(1+rvanilla09)^0.5)/A9stdlife))</f>
        <v>0</v>
      </c>
      <c r="AG190" s="107">
        <f>IF(A9stdlife="n/a","n/a",IF(AG$3&gt;(A9stdlife+$E190),('PTRM input'!$O$151*(1+rvanilla09)^0.5)-SUM($O190:AF190),('PTRM input'!$O$151*(1+rvanilla09)^0.5)/A9stdlife))</f>
        <v>0</v>
      </c>
      <c r="AH190" s="107">
        <f>IF(A9stdlife="n/a","n/a",IF(AH$3&gt;(A9stdlife+$E190),('PTRM input'!$O$151*(1+rvanilla09)^0.5)-SUM($O190:AG190),('PTRM input'!$O$151*(1+rvanilla09)^0.5)/A9stdlife))</f>
        <v>0</v>
      </c>
      <c r="AI190" s="107">
        <f>IF(A9stdlife="n/a","n/a",IF(AI$3&gt;(A9stdlife+$E190),('PTRM input'!$O$151*(1+rvanilla09)^0.5)-SUM($O190:AH190),('PTRM input'!$O$151*(1+rvanilla09)^0.5)/A9stdlife))</f>
        <v>0</v>
      </c>
      <c r="AJ190" s="107">
        <f>IF(A9stdlife="n/a","n/a",IF(AJ$3&gt;(A9stdlife+$E190),('PTRM input'!$O$151*(1+rvanilla09)^0.5)-SUM($O190:AI190),('PTRM input'!$O$151*(1+rvanilla09)^0.5)/A9stdlife))</f>
        <v>0</v>
      </c>
      <c r="AK190" s="107">
        <f>IF(A9stdlife="n/a","n/a",IF(AK$3&gt;(A9stdlife+$E190),('PTRM input'!$O$151*(1+rvanilla09)^0.5)-SUM($O190:AJ190),('PTRM input'!$O$151*(1+rvanilla09)^0.5)/A9stdlife))</f>
        <v>0</v>
      </c>
      <c r="AL190" s="107">
        <f>IF(A9stdlife="n/a","n/a",IF(AL$3&gt;(A9stdlife+$E190),('PTRM input'!$O$151*(1+rvanilla09)^0.5)-SUM($O190:AK190),('PTRM input'!$O$151*(1+rvanilla09)^0.5)/A9stdlife))</f>
        <v>0</v>
      </c>
      <c r="AM190" s="107">
        <f>IF(A9stdlife="n/a","n/a",IF(AM$3&gt;(A9stdlife+$E190),('PTRM input'!$O$151*(1+rvanilla09)^0.5)-SUM($O190:AL190),('PTRM input'!$O$151*(1+rvanilla09)^0.5)/A9stdlife))</f>
        <v>0</v>
      </c>
      <c r="AN190" s="107">
        <f>IF(A9stdlife="n/a","n/a",IF(AN$3&gt;(A9stdlife+$E190),('PTRM input'!$O$151*(1+rvanilla09)^0.5)-SUM($O190:AM190),('PTRM input'!$O$151*(1+rvanilla09)^0.5)/A9stdlife))</f>
        <v>0</v>
      </c>
      <c r="AO190" s="107">
        <f>IF(A9stdlife="n/a","n/a",IF(AO$3&gt;(A9stdlife+$E190),('PTRM input'!$O$151*(1+rvanilla09)^0.5)-SUM($O190:AN190),('PTRM input'!$O$151*(1+rvanilla09)^0.5)/A9stdlife))</f>
        <v>0</v>
      </c>
      <c r="AP190" s="107">
        <f>IF(A9stdlife="n/a","n/a",IF(AP$3&gt;(A9stdlife+$E190),('PTRM input'!$O$151*(1+rvanilla09)^0.5)-SUM($O190:AO190),('PTRM input'!$O$151*(1+rvanilla09)^0.5)/A9stdlife))</f>
        <v>0</v>
      </c>
      <c r="AQ190" s="107">
        <f>IF(A9stdlife="n/a","n/a",IF(AQ$3&gt;(A9stdlife+$E190),('PTRM input'!$O$151*(1+rvanilla09)^0.5)-SUM($O190:AP190),('PTRM input'!$O$151*(1+rvanilla09)^0.5)/A9stdlife))</f>
        <v>0</v>
      </c>
      <c r="AR190" s="107">
        <f>IF(A9stdlife="n/a","n/a",IF(AR$3&gt;(A9stdlife+$E190),('PTRM input'!$O$151*(1+rvanilla09)^0.5)-SUM($O190:AQ190),('PTRM input'!$O$151*(1+rvanilla09)^0.5)/A9stdlife))</f>
        <v>0</v>
      </c>
      <c r="AS190" s="107">
        <f>IF(A9stdlife="n/a","n/a",IF(AS$3&gt;(A9stdlife+$E190),('PTRM input'!$O$151*(1+rvanilla09)^0.5)-SUM($O190:AR190),('PTRM input'!$O$151*(1+rvanilla09)^0.5)/A9stdlife))</f>
        <v>0</v>
      </c>
      <c r="AT190" s="107">
        <f>IF(A9stdlife="n/a","n/a",IF(AT$3&gt;(A9stdlife+$E190),('PTRM input'!$O$151*(1+rvanilla09)^0.5)-SUM($O190:AS190),('PTRM input'!$O$151*(1+rvanilla09)^0.5)/A9stdlife))</f>
        <v>0</v>
      </c>
      <c r="AU190" s="107">
        <f>IF(A9stdlife="n/a","n/a",IF(AU$3&gt;(A9stdlife+$E190),('PTRM input'!$O$151*(1+rvanilla09)^0.5)-SUM($O190:AT190),('PTRM input'!$O$151*(1+rvanilla09)^0.5)/A9stdlife))</f>
        <v>0</v>
      </c>
      <c r="AV190" s="107">
        <f>IF(A9stdlife="n/a","n/a",IF(AV$3&gt;(A9stdlife+$E190),('PTRM input'!$O$151*(1+rvanilla09)^0.5)-SUM($O190:AU190),('PTRM input'!$O$151*(1+rvanilla09)^0.5)/A9stdlife))</f>
        <v>0</v>
      </c>
      <c r="AW190" s="107">
        <f>IF(A9stdlife="n/a","n/a",IF(AW$3&gt;(A9stdlife+$E190),('PTRM input'!$O$151*(1+rvanilla09)^0.5)-SUM($O190:AV190),('PTRM input'!$O$151*(1+rvanilla09)^0.5)/A9stdlife))</f>
        <v>0</v>
      </c>
      <c r="AX190" s="107">
        <f>IF(A9stdlife="n/a","n/a",IF(AX$3&gt;(A9stdlife+$E190),('PTRM input'!$O$151*(1+rvanilla09)^0.5)-SUM($O190:AW190),('PTRM input'!$O$151*(1+rvanilla09)^0.5)/A9stdlife))</f>
        <v>0</v>
      </c>
      <c r="AY190" s="107">
        <f>IF(A9stdlife="n/a","n/a",IF(AY$3&gt;(A9stdlife+$E190),('PTRM input'!$O$151*(1+rvanilla09)^0.5)-SUM($O190:AX190),('PTRM input'!$O$151*(1+rvanilla09)^0.5)/A9stdlife))</f>
        <v>0</v>
      </c>
      <c r="AZ190" s="107">
        <f>IF(A9stdlife="n/a","n/a",IF(AZ$3&gt;(A9stdlife+$E190),('PTRM input'!$O$151*(1+rvanilla09)^0.5)-SUM($O190:AY190),('PTRM input'!$O$151*(1+rvanilla09)^0.5)/A9stdlife))</f>
        <v>0</v>
      </c>
      <c r="BA190" s="107">
        <f>IF(A9stdlife="n/a","n/a",IF(BA$3&gt;(A9stdlife+$E190),('PTRM input'!$O$151*(1+rvanilla09)^0.5)-SUM($O190:AZ190),('PTRM input'!$O$151*(1+rvanilla09)^0.5)/A9stdlife))</f>
        <v>0</v>
      </c>
      <c r="BB190" s="107">
        <f>IF(A9stdlife="n/a","n/a",IF(BB$3&gt;(A9stdlife+$E190),('PTRM input'!$O$151*(1+rvanilla09)^0.5)-SUM($O190:BA190),('PTRM input'!$O$151*(1+rvanilla09)^0.5)/A9stdlife))</f>
        <v>0</v>
      </c>
      <c r="BC190" s="107">
        <f>IF(A9stdlife="n/a","n/a",IF(BC$3&gt;(A9stdlife+$E190),('PTRM input'!$O$151*(1+rvanilla09)^0.5)-SUM($O190:BB190),('PTRM input'!$O$151*(1+rvanilla09)^0.5)/A9stdlife))</f>
        <v>0</v>
      </c>
      <c r="BD190" s="107">
        <f>IF(A9stdlife="n/a","n/a",IF(BD$3&gt;(A9stdlife+$E190),('PTRM input'!$O$151*(1+rvanilla09)^0.5)-SUM($O190:BC190),('PTRM input'!$O$151*(1+rvanilla09)^0.5)/A9stdlife))</f>
        <v>0</v>
      </c>
      <c r="BE190" s="107">
        <f>IF(A9stdlife="n/a","n/a",IF(BE$3&gt;(A9stdlife+$E190),('PTRM input'!$O$151*(1+rvanilla09)^0.5)-SUM($O190:BD190),('PTRM input'!$O$151*(1+rvanilla09)^0.5)/A9stdlife))</f>
        <v>0</v>
      </c>
      <c r="BF190" s="107">
        <f>IF(A9stdlife="n/a","n/a",IF(BF$3&gt;(A9stdlife+$E190),('PTRM input'!$O$151*(1+rvanilla09)^0.5)-SUM($O190:BE190),('PTRM input'!$O$151*(1+rvanilla09)^0.5)/A9stdlife))</f>
        <v>0</v>
      </c>
      <c r="BG190" s="107">
        <f>IF(A9stdlife="n/a","n/a",IF(BG$3&gt;(A9stdlife+$E190),('PTRM input'!$O$151*(1+rvanilla09)^0.5)-SUM($O190:BF190),('PTRM input'!$O$151*(1+rvanilla09)^0.5)/A9stdlife))</f>
        <v>0</v>
      </c>
      <c r="BH190" s="107">
        <f>IF(A9stdlife="n/a","n/a",IF(BH$3&gt;(A9stdlife+$E190),('PTRM input'!$O$151*(1+rvanilla09)^0.5)-SUM($O190:BG190),('PTRM input'!$O$151*(1+rvanilla09)^0.5)/A9stdlife))</f>
        <v>0</v>
      </c>
      <c r="BI190" s="107">
        <f>IF(A9stdlife="n/a","n/a",IF(BI$3&gt;(A9stdlife+$E190),('PTRM input'!$O$151*(1+rvanilla09)^0.5)-SUM($O190:BH190),('PTRM input'!$O$151*(1+rvanilla09)^0.5)/A9stdlife))</f>
        <v>0</v>
      </c>
      <c r="BJ190" s="237"/>
      <c r="BK190" s="237"/>
      <c r="BL190" s="237"/>
      <c r="BM190" s="237"/>
    </row>
    <row r="191" spans="1:65" s="190" customFormat="1" ht="12.75" hidden="1" customHeight="1" outlineLevel="2">
      <c r="A191" s="237"/>
      <c r="B191" s="33"/>
      <c r="C191" s="32"/>
      <c r="D191" s="1618"/>
      <c r="E191" s="170">
        <v>10</v>
      </c>
      <c r="F191" s="35"/>
      <c r="G191" s="184"/>
      <c r="H191" s="186"/>
      <c r="I191" s="186"/>
      <c r="J191" s="186"/>
      <c r="K191" s="186"/>
      <c r="L191" s="186"/>
      <c r="M191" s="186"/>
      <c r="N191" s="186"/>
      <c r="O191" s="186"/>
      <c r="P191" s="185"/>
      <c r="Q191" s="107">
        <f>IF(A9stdlife="n/a","n/a",IF(Q$3&gt;(A9stdlife+$E191),('PTRM input'!$P$151*(1+rvanilla10)^0.5)-SUM($P191:P191),('PTRM input'!$P$151*(1+rvanilla10)^0.5)/A9stdlife))</f>
        <v>0</v>
      </c>
      <c r="R191" s="107">
        <f>IF(A9stdlife="n/a","n/a",IF(R$3&gt;(A9stdlife+$E191),('PTRM input'!$P$151*(1+rvanilla10)^0.5)-SUM($P191:Q191),('PTRM input'!$P$151*(1+rvanilla10)^0.5)/A9stdlife))</f>
        <v>0</v>
      </c>
      <c r="S191" s="107">
        <f>IF(A9stdlife="n/a","n/a",IF(S$3&gt;(A9stdlife+$E191),('PTRM input'!$P$151*(1+rvanilla10)^0.5)-SUM($P191:R191),('PTRM input'!$P$151*(1+rvanilla10)^0.5)/A9stdlife))</f>
        <v>0</v>
      </c>
      <c r="T191" s="107">
        <f>IF(A9stdlife="n/a","n/a",IF(T$3&gt;(A9stdlife+$E191),('PTRM input'!$P$151*(1+rvanilla10)^0.5)-SUM($P191:S191),('PTRM input'!$P$151*(1+rvanilla10)^0.5)/A9stdlife))</f>
        <v>0</v>
      </c>
      <c r="U191" s="107">
        <f>IF(A9stdlife="n/a","n/a",IF(U$3&gt;(A9stdlife+$E191),('PTRM input'!$P$151*(1+rvanilla10)^0.5)-SUM($P191:T191),('PTRM input'!$P$151*(1+rvanilla10)^0.5)/A9stdlife))</f>
        <v>0</v>
      </c>
      <c r="V191" s="107">
        <f>IF(A9stdlife="n/a","n/a",IF(V$3&gt;(A9stdlife+$E191),('PTRM input'!$P$151*(1+rvanilla10)^0.5)-SUM($P191:U191),('PTRM input'!$P$151*(1+rvanilla10)^0.5)/A9stdlife))</f>
        <v>0</v>
      </c>
      <c r="W191" s="107">
        <f>IF(A9stdlife="n/a","n/a",IF(W$3&gt;(A9stdlife+$E191),('PTRM input'!$P$151*(1+rvanilla10)^0.5)-SUM($P191:V191),('PTRM input'!$P$151*(1+rvanilla10)^0.5)/A9stdlife))</f>
        <v>0</v>
      </c>
      <c r="X191" s="107">
        <f>IF(A9stdlife="n/a","n/a",IF(X$3&gt;(A9stdlife+$E191),('PTRM input'!$P$151*(1+rvanilla10)^0.5)-SUM($P191:W191),('PTRM input'!$P$151*(1+rvanilla10)^0.5)/A9stdlife))</f>
        <v>0</v>
      </c>
      <c r="Y191" s="107">
        <f>IF(A9stdlife="n/a","n/a",IF(Y$3&gt;(A9stdlife+$E191),('PTRM input'!$P$151*(1+rvanilla10)^0.5)-SUM($P191:X191),('PTRM input'!$P$151*(1+rvanilla10)^0.5)/A9stdlife))</f>
        <v>0</v>
      </c>
      <c r="Z191" s="107">
        <f>IF(A9stdlife="n/a","n/a",IF(Z$3&gt;(A9stdlife+$E191),('PTRM input'!$P$151*(1+rvanilla10)^0.5)-SUM($P191:Y191),('PTRM input'!$P$151*(1+rvanilla10)^0.5)/A9stdlife))</f>
        <v>0</v>
      </c>
      <c r="AA191" s="107">
        <f>IF(A9stdlife="n/a","n/a",IF(AA$3&gt;(A9stdlife+$E191),('PTRM input'!$P$151*(1+rvanilla10)^0.5)-SUM($P191:Z191),('PTRM input'!$P$151*(1+rvanilla10)^0.5)/A9stdlife))</f>
        <v>0</v>
      </c>
      <c r="AB191" s="107">
        <f>IF(A9stdlife="n/a","n/a",IF(AB$3&gt;(A9stdlife+$E191),('PTRM input'!$P$151*(1+rvanilla10)^0.5)-SUM($P191:AA191),('PTRM input'!$P$151*(1+rvanilla10)^0.5)/A9stdlife))</f>
        <v>0</v>
      </c>
      <c r="AC191" s="107">
        <f>IF(A9stdlife="n/a","n/a",IF(AC$3&gt;(A9stdlife+$E191),('PTRM input'!$P$151*(1+rvanilla10)^0.5)-SUM($P191:AB191),('PTRM input'!$P$151*(1+rvanilla10)^0.5)/A9stdlife))</f>
        <v>0</v>
      </c>
      <c r="AD191" s="107">
        <f>IF(A9stdlife="n/a","n/a",IF(AD$3&gt;(A9stdlife+$E191),('PTRM input'!$P$151*(1+rvanilla10)^0.5)-SUM($P191:AC191),('PTRM input'!$P$151*(1+rvanilla10)^0.5)/A9stdlife))</f>
        <v>0</v>
      </c>
      <c r="AE191" s="107">
        <f>IF(A9stdlife="n/a","n/a",IF(AE$3&gt;(A9stdlife+$E191),('PTRM input'!$P$151*(1+rvanilla10)^0.5)-SUM($P191:AD191),('PTRM input'!$P$151*(1+rvanilla10)^0.5)/A9stdlife))</f>
        <v>0</v>
      </c>
      <c r="AF191" s="107">
        <f>IF(A9stdlife="n/a","n/a",IF(AF$3&gt;(A9stdlife+$E191),('PTRM input'!$P$151*(1+rvanilla10)^0.5)-SUM($P191:AE191),('PTRM input'!$P$151*(1+rvanilla10)^0.5)/A9stdlife))</f>
        <v>0</v>
      </c>
      <c r="AG191" s="107">
        <f>IF(A9stdlife="n/a","n/a",IF(AG$3&gt;(A9stdlife+$E191),('PTRM input'!$P$151*(1+rvanilla10)^0.5)-SUM($P191:AF191),('PTRM input'!$P$151*(1+rvanilla10)^0.5)/A9stdlife))</f>
        <v>0</v>
      </c>
      <c r="AH191" s="107">
        <f>IF(A9stdlife="n/a","n/a",IF(AH$3&gt;(A9stdlife+$E191),('PTRM input'!$P$151*(1+rvanilla10)^0.5)-SUM($P191:AG191),('PTRM input'!$P$151*(1+rvanilla10)^0.5)/A9stdlife))</f>
        <v>0</v>
      </c>
      <c r="AI191" s="107">
        <f>IF(A9stdlife="n/a","n/a",IF(AI$3&gt;(A9stdlife+$E191),('PTRM input'!$P$151*(1+rvanilla10)^0.5)-SUM($P191:AH191),('PTRM input'!$P$151*(1+rvanilla10)^0.5)/A9stdlife))</f>
        <v>0</v>
      </c>
      <c r="AJ191" s="107">
        <f>IF(A9stdlife="n/a","n/a",IF(AJ$3&gt;(A9stdlife+$E191),('PTRM input'!$P$151*(1+rvanilla10)^0.5)-SUM($P191:AI191),('PTRM input'!$P$151*(1+rvanilla10)^0.5)/A9stdlife))</f>
        <v>0</v>
      </c>
      <c r="AK191" s="107">
        <f>IF(A9stdlife="n/a","n/a",IF(AK$3&gt;(A9stdlife+$E191),('PTRM input'!$P$151*(1+rvanilla10)^0.5)-SUM($P191:AJ191),('PTRM input'!$P$151*(1+rvanilla10)^0.5)/A9stdlife))</f>
        <v>0</v>
      </c>
      <c r="AL191" s="107">
        <f>IF(A9stdlife="n/a","n/a",IF(AL$3&gt;(A9stdlife+$E191),('PTRM input'!$P$151*(1+rvanilla10)^0.5)-SUM($P191:AK191),('PTRM input'!$P$151*(1+rvanilla10)^0.5)/A9stdlife))</f>
        <v>0</v>
      </c>
      <c r="AM191" s="107">
        <f>IF(A9stdlife="n/a","n/a",IF(AM$3&gt;(A9stdlife+$E191),('PTRM input'!$P$151*(1+rvanilla10)^0.5)-SUM($P191:AL191),('PTRM input'!$P$151*(1+rvanilla10)^0.5)/A9stdlife))</f>
        <v>0</v>
      </c>
      <c r="AN191" s="107">
        <f>IF(A9stdlife="n/a","n/a",IF(AN$3&gt;(A9stdlife+$E191),('PTRM input'!$P$151*(1+rvanilla10)^0.5)-SUM($P191:AM191),('PTRM input'!$P$151*(1+rvanilla10)^0.5)/A9stdlife))</f>
        <v>0</v>
      </c>
      <c r="AO191" s="107">
        <f>IF(A9stdlife="n/a","n/a",IF(AO$3&gt;(A9stdlife+$E191),('PTRM input'!$P$151*(1+rvanilla10)^0.5)-SUM($P191:AN191),('PTRM input'!$P$151*(1+rvanilla10)^0.5)/A9stdlife))</f>
        <v>0</v>
      </c>
      <c r="AP191" s="107">
        <f>IF(A9stdlife="n/a","n/a",IF(AP$3&gt;(A9stdlife+$E191),('PTRM input'!$P$151*(1+rvanilla10)^0.5)-SUM($P191:AO191),('PTRM input'!$P$151*(1+rvanilla10)^0.5)/A9stdlife))</f>
        <v>0</v>
      </c>
      <c r="AQ191" s="107">
        <f>IF(A9stdlife="n/a","n/a",IF(AQ$3&gt;(A9stdlife+$E191),('PTRM input'!$P$151*(1+rvanilla10)^0.5)-SUM($P191:AP191),('PTRM input'!$P$151*(1+rvanilla10)^0.5)/A9stdlife))</f>
        <v>0</v>
      </c>
      <c r="AR191" s="107">
        <f>IF(A9stdlife="n/a","n/a",IF(AR$3&gt;(A9stdlife+$E191),('PTRM input'!$P$151*(1+rvanilla10)^0.5)-SUM($P191:AQ191),('PTRM input'!$P$151*(1+rvanilla10)^0.5)/A9stdlife))</f>
        <v>0</v>
      </c>
      <c r="AS191" s="107">
        <f>IF(A9stdlife="n/a","n/a",IF(AS$3&gt;(A9stdlife+$E191),('PTRM input'!$P$151*(1+rvanilla10)^0.5)-SUM($P191:AR191),('PTRM input'!$P$151*(1+rvanilla10)^0.5)/A9stdlife))</f>
        <v>0</v>
      </c>
      <c r="AT191" s="107">
        <f>IF(A9stdlife="n/a","n/a",IF(AT$3&gt;(A9stdlife+$E191),('PTRM input'!$P$151*(1+rvanilla10)^0.5)-SUM($P191:AS191),('PTRM input'!$P$151*(1+rvanilla10)^0.5)/A9stdlife))</f>
        <v>0</v>
      </c>
      <c r="AU191" s="107">
        <f>IF(A9stdlife="n/a","n/a",IF(AU$3&gt;(A9stdlife+$E191),('PTRM input'!$P$151*(1+rvanilla10)^0.5)-SUM($P191:AT191),('PTRM input'!$P$151*(1+rvanilla10)^0.5)/A9stdlife))</f>
        <v>0</v>
      </c>
      <c r="AV191" s="107">
        <f>IF(A9stdlife="n/a","n/a",IF(AV$3&gt;(A9stdlife+$E191),('PTRM input'!$P$151*(1+rvanilla10)^0.5)-SUM($P191:AU191),('PTRM input'!$P$151*(1+rvanilla10)^0.5)/A9stdlife))</f>
        <v>0</v>
      </c>
      <c r="AW191" s="107">
        <f>IF(A9stdlife="n/a","n/a",IF(AW$3&gt;(A9stdlife+$E191),('PTRM input'!$P$151*(1+rvanilla10)^0.5)-SUM($P191:AV191),('PTRM input'!$P$151*(1+rvanilla10)^0.5)/A9stdlife))</f>
        <v>0</v>
      </c>
      <c r="AX191" s="107">
        <f>IF(A9stdlife="n/a","n/a",IF(AX$3&gt;(A9stdlife+$E191),('PTRM input'!$P$151*(1+rvanilla10)^0.5)-SUM($P191:AW191),('PTRM input'!$P$151*(1+rvanilla10)^0.5)/A9stdlife))</f>
        <v>0</v>
      </c>
      <c r="AY191" s="107">
        <f>IF(A9stdlife="n/a","n/a",IF(AY$3&gt;(A9stdlife+$E191),('PTRM input'!$P$151*(1+rvanilla10)^0.5)-SUM($P191:AX191),('PTRM input'!$P$151*(1+rvanilla10)^0.5)/A9stdlife))</f>
        <v>0</v>
      </c>
      <c r="AZ191" s="107">
        <f>IF(A9stdlife="n/a","n/a",IF(AZ$3&gt;(A9stdlife+$E191),('PTRM input'!$P$151*(1+rvanilla10)^0.5)-SUM($P191:AY191),('PTRM input'!$P$151*(1+rvanilla10)^0.5)/A9stdlife))</f>
        <v>0</v>
      </c>
      <c r="BA191" s="107">
        <f>IF(A9stdlife="n/a","n/a",IF(BA$3&gt;(A9stdlife+$E191),('PTRM input'!$P$151*(1+rvanilla10)^0.5)-SUM($P191:AZ191),('PTRM input'!$P$151*(1+rvanilla10)^0.5)/A9stdlife))</f>
        <v>0</v>
      </c>
      <c r="BB191" s="107">
        <f>IF(A9stdlife="n/a","n/a",IF(BB$3&gt;(A9stdlife+$E191),('PTRM input'!$P$151*(1+rvanilla10)^0.5)-SUM($P191:BA191),('PTRM input'!$P$151*(1+rvanilla10)^0.5)/A9stdlife))</f>
        <v>0</v>
      </c>
      <c r="BC191" s="107">
        <f>IF(A9stdlife="n/a","n/a",IF(BC$3&gt;(A9stdlife+$E191),('PTRM input'!$P$151*(1+rvanilla10)^0.5)-SUM($P191:BB191),('PTRM input'!$P$151*(1+rvanilla10)^0.5)/A9stdlife))</f>
        <v>0</v>
      </c>
      <c r="BD191" s="107">
        <f>IF(A9stdlife="n/a","n/a",IF(BD$3&gt;(A9stdlife+$E191),('PTRM input'!$P$151*(1+rvanilla10)^0.5)-SUM($P191:BC191),('PTRM input'!$P$151*(1+rvanilla10)^0.5)/A9stdlife))</f>
        <v>0</v>
      </c>
      <c r="BE191" s="107">
        <f>IF(A9stdlife="n/a","n/a",IF(BE$3&gt;(A9stdlife+$E191),('PTRM input'!$P$151*(1+rvanilla10)^0.5)-SUM($P191:BD191),('PTRM input'!$P$151*(1+rvanilla10)^0.5)/A9stdlife))</f>
        <v>0</v>
      </c>
      <c r="BF191" s="107">
        <f>IF(A9stdlife="n/a","n/a",IF(BF$3&gt;(A9stdlife+$E191),('PTRM input'!$P$151*(1+rvanilla10)^0.5)-SUM($P191:BE191),('PTRM input'!$P$151*(1+rvanilla10)^0.5)/A9stdlife))</f>
        <v>0</v>
      </c>
      <c r="BG191" s="107">
        <f>IF(A9stdlife="n/a","n/a",IF(BG$3&gt;(A9stdlife+$E191),('PTRM input'!$P$151*(1+rvanilla10)^0.5)-SUM($P191:BF191),('PTRM input'!$P$151*(1+rvanilla10)^0.5)/A9stdlife))</f>
        <v>0</v>
      </c>
      <c r="BH191" s="107">
        <f>IF(A9stdlife="n/a","n/a",IF(BH$3&gt;(A9stdlife+$E191),('PTRM input'!$P$151*(1+rvanilla10)^0.5)-SUM($P191:BG191),('PTRM input'!$P$151*(1+rvanilla10)^0.5)/A9stdlife))</f>
        <v>0</v>
      </c>
      <c r="BI191" s="107">
        <f>IF(A9stdlife="n/a","n/a",IF(BI$3&gt;(A9stdlife+$E191),('PTRM input'!$P$151*(1+rvanilla10)^0.5)-SUM($P191:BH191),('PTRM input'!$P$151*(1+rvanilla10)^0.5)/A9stdlife))</f>
        <v>0</v>
      </c>
      <c r="BJ191" s="237"/>
      <c r="BK191" s="237"/>
      <c r="BL191" s="237"/>
      <c r="BM191" s="237"/>
    </row>
    <row r="192" spans="1:65" s="190" customFormat="1" hidden="1" outlineLevel="1">
      <c r="A192" s="237"/>
      <c r="B192" s="18"/>
      <c r="C192" s="33">
        <f>Asset9</f>
        <v>0</v>
      </c>
      <c r="D192" s="18"/>
      <c r="E192" s="18"/>
      <c r="F192" s="31"/>
      <c r="G192" s="104">
        <f>SUM(G180:G191)</f>
        <v>0</v>
      </c>
      <c r="H192" s="104">
        <f t="shared" ref="H192:AL192" si="53">SUM(H180:H191)</f>
        <v>0</v>
      </c>
      <c r="I192" s="104">
        <f t="shared" si="53"/>
        <v>0</v>
      </c>
      <c r="J192" s="104">
        <f t="shared" si="53"/>
        <v>0</v>
      </c>
      <c r="K192" s="104">
        <f t="shared" si="53"/>
        <v>0</v>
      </c>
      <c r="L192" s="104">
        <f t="shared" si="53"/>
        <v>0</v>
      </c>
      <c r="M192" s="104">
        <f t="shared" si="53"/>
        <v>0</v>
      </c>
      <c r="N192" s="104">
        <f t="shared" si="53"/>
        <v>0</v>
      </c>
      <c r="O192" s="104">
        <f t="shared" si="53"/>
        <v>0</v>
      </c>
      <c r="P192" s="104">
        <f t="shared" si="53"/>
        <v>0</v>
      </c>
      <c r="Q192" s="104">
        <f t="shared" si="53"/>
        <v>0</v>
      </c>
      <c r="R192" s="104">
        <f t="shared" si="53"/>
        <v>0</v>
      </c>
      <c r="S192" s="104">
        <f t="shared" si="53"/>
        <v>0</v>
      </c>
      <c r="T192" s="104">
        <f t="shared" si="53"/>
        <v>0</v>
      </c>
      <c r="U192" s="104">
        <f t="shared" si="53"/>
        <v>0</v>
      </c>
      <c r="V192" s="104">
        <f t="shared" si="53"/>
        <v>0</v>
      </c>
      <c r="W192" s="104">
        <f t="shared" si="53"/>
        <v>0</v>
      </c>
      <c r="X192" s="104">
        <f t="shared" si="53"/>
        <v>0</v>
      </c>
      <c r="Y192" s="104">
        <f t="shared" si="53"/>
        <v>0</v>
      </c>
      <c r="Z192" s="104">
        <f t="shared" si="53"/>
        <v>0</v>
      </c>
      <c r="AA192" s="104">
        <f t="shared" si="53"/>
        <v>0</v>
      </c>
      <c r="AB192" s="104">
        <f t="shared" si="53"/>
        <v>0</v>
      </c>
      <c r="AC192" s="104">
        <f t="shared" si="53"/>
        <v>0</v>
      </c>
      <c r="AD192" s="104">
        <f t="shared" si="53"/>
        <v>0</v>
      </c>
      <c r="AE192" s="104">
        <f t="shared" si="53"/>
        <v>0</v>
      </c>
      <c r="AF192" s="104">
        <f t="shared" si="53"/>
        <v>0</v>
      </c>
      <c r="AG192" s="104">
        <f t="shared" si="53"/>
        <v>0</v>
      </c>
      <c r="AH192" s="104">
        <f t="shared" si="53"/>
        <v>0</v>
      </c>
      <c r="AI192" s="104">
        <f t="shared" si="53"/>
        <v>0</v>
      </c>
      <c r="AJ192" s="104">
        <f t="shared" si="53"/>
        <v>0</v>
      </c>
      <c r="AK192" s="104">
        <f t="shared" si="53"/>
        <v>0</v>
      </c>
      <c r="AL192" s="104">
        <f t="shared" si="53"/>
        <v>0</v>
      </c>
      <c r="AM192" s="104">
        <f t="shared" ref="AM192:BI192" si="54">SUM(AM180:AM191)</f>
        <v>0</v>
      </c>
      <c r="AN192" s="104">
        <f t="shared" si="54"/>
        <v>0</v>
      </c>
      <c r="AO192" s="104">
        <f t="shared" si="54"/>
        <v>0</v>
      </c>
      <c r="AP192" s="104">
        <f t="shared" si="54"/>
        <v>0</v>
      </c>
      <c r="AQ192" s="104">
        <f t="shared" si="54"/>
        <v>0</v>
      </c>
      <c r="AR192" s="104">
        <f t="shared" si="54"/>
        <v>0</v>
      </c>
      <c r="AS192" s="104">
        <f t="shared" si="54"/>
        <v>0</v>
      </c>
      <c r="AT192" s="104">
        <f t="shared" si="54"/>
        <v>0</v>
      </c>
      <c r="AU192" s="104">
        <f t="shared" si="54"/>
        <v>0</v>
      </c>
      <c r="AV192" s="104">
        <f t="shared" si="54"/>
        <v>0</v>
      </c>
      <c r="AW192" s="104">
        <f t="shared" si="54"/>
        <v>0</v>
      </c>
      <c r="AX192" s="104">
        <f t="shared" si="54"/>
        <v>0</v>
      </c>
      <c r="AY192" s="104">
        <f t="shared" si="54"/>
        <v>0</v>
      </c>
      <c r="AZ192" s="104">
        <f t="shared" si="54"/>
        <v>0</v>
      </c>
      <c r="BA192" s="104">
        <f t="shared" si="54"/>
        <v>0</v>
      </c>
      <c r="BB192" s="104">
        <f t="shared" si="54"/>
        <v>0</v>
      </c>
      <c r="BC192" s="104">
        <f t="shared" si="54"/>
        <v>0</v>
      </c>
      <c r="BD192" s="104">
        <f t="shared" si="54"/>
        <v>0</v>
      </c>
      <c r="BE192" s="104">
        <f t="shared" si="54"/>
        <v>0</v>
      </c>
      <c r="BF192" s="104">
        <f t="shared" si="54"/>
        <v>0</v>
      </c>
      <c r="BG192" s="104">
        <f t="shared" si="54"/>
        <v>0</v>
      </c>
      <c r="BH192" s="104">
        <f t="shared" si="54"/>
        <v>0</v>
      </c>
      <c r="BI192" s="104">
        <f t="shared" si="54"/>
        <v>0</v>
      </c>
      <c r="BJ192" s="237"/>
      <c r="BK192" s="237"/>
      <c r="BL192" s="237"/>
      <c r="BM192" s="237"/>
    </row>
    <row r="193" spans="1:65" s="190" customFormat="1" ht="12.75" hidden="1" customHeight="1" outlineLevel="2">
      <c r="A193" s="237"/>
      <c r="B193" s="37">
        <f>C205</f>
        <v>0</v>
      </c>
      <c r="C193" s="38"/>
      <c r="D193" s="39" t="s">
        <v>58</v>
      </c>
      <c r="E193" s="38"/>
      <c r="F193" s="40"/>
      <c r="G193" s="106">
        <f>IF(G$3&gt;A10remlife,A10value-SUM($F193:F193),IF(A10remlife="N/A","n/a",A10value/A10remlife))</f>
        <v>0</v>
      </c>
      <c r="H193" s="106">
        <f>IF(H$3&gt;A10remlife,A10value-SUM($F193:G193),IF(A10remlife="N/A","n/a",A10value/A10remlife))</f>
        <v>0</v>
      </c>
      <c r="I193" s="106">
        <f>IF(I$3&gt;A10remlife,A10value-SUM($F193:H193),IF(A10remlife="N/A","n/a",A10value/A10remlife))</f>
        <v>0</v>
      </c>
      <c r="J193" s="106">
        <f>IF(J$3&gt;A10remlife,A10value-SUM($F193:I193),IF(A10remlife="N/A","n/a",A10value/A10remlife))</f>
        <v>0</v>
      </c>
      <c r="K193" s="106">
        <f>IF(K$3&gt;A10remlife,A10value-SUM($F193:J193),IF(A10remlife="N/A","n/a",A10value/A10remlife))</f>
        <v>0</v>
      </c>
      <c r="L193" s="106">
        <f>IF(L$3&gt;A10remlife,A10value-SUM($F193:K193),IF(A10remlife="N/A","n/a",A10value/A10remlife))</f>
        <v>0</v>
      </c>
      <c r="M193" s="106">
        <f>IF(M$3&gt;A10remlife,A10value-SUM($F193:L193),IF(A10remlife="N/A","n/a",A10value/A10remlife))</f>
        <v>0</v>
      </c>
      <c r="N193" s="106">
        <f>IF(N$3&gt;A10remlife,A10value-SUM($F193:M193),IF(A10remlife="N/A","n/a",A10value/A10remlife))</f>
        <v>0</v>
      </c>
      <c r="O193" s="106">
        <f>IF(O$3&gt;A10remlife,A10value-SUM($F193:N193),IF(A10remlife="N/A","n/a",A10value/A10remlife))</f>
        <v>0</v>
      </c>
      <c r="P193" s="106">
        <f>IF(P$3&gt;A10remlife,A10value-SUM($F193:O193),IF(A10remlife="N/A","n/a",A10value/A10remlife))</f>
        <v>0</v>
      </c>
      <c r="Q193" s="106">
        <f>IF(Q$3&gt;A10remlife,A10value-SUM($F193:P193),IF(A10remlife="N/A","n/a",A10value/A10remlife))</f>
        <v>0</v>
      </c>
      <c r="R193" s="106">
        <f>IF(R$3&gt;A10remlife,A10value-SUM($F193:Q193),IF(A10remlife="N/A","n/a",A10value/A10remlife))</f>
        <v>0</v>
      </c>
      <c r="S193" s="106">
        <f>IF(S$3&gt;A10remlife,A10value-SUM($F193:R193),IF(A10remlife="N/A","n/a",A10value/A10remlife))</f>
        <v>0</v>
      </c>
      <c r="T193" s="106">
        <f>IF(T$3&gt;A10remlife,A10value-SUM($F193:S193),IF(A10remlife="N/A","n/a",A10value/A10remlife))</f>
        <v>0</v>
      </c>
      <c r="U193" s="106">
        <f>IF(U$3&gt;A10remlife,A10value-SUM($F193:T193),IF(A10remlife="N/A","n/a",A10value/A10remlife))</f>
        <v>0</v>
      </c>
      <c r="V193" s="106">
        <f>IF(V$3&gt;A10remlife,A10value-SUM($F193:U193),IF(A10remlife="N/A","n/a",A10value/A10remlife))</f>
        <v>0</v>
      </c>
      <c r="W193" s="106">
        <f>IF(W$3&gt;A10remlife,A10value-SUM($F193:V193),IF(A10remlife="N/A","n/a",A10value/A10remlife))</f>
        <v>0</v>
      </c>
      <c r="X193" s="106">
        <f>IF(X$3&gt;A10remlife,A10value-SUM($F193:W193),IF(A10remlife="N/A","n/a",A10value/A10remlife))</f>
        <v>0</v>
      </c>
      <c r="Y193" s="106">
        <f>IF(Y$3&gt;A10remlife,A10value-SUM($F193:X193),IF(A10remlife="N/A","n/a",A10value/A10remlife))</f>
        <v>0</v>
      </c>
      <c r="Z193" s="106">
        <f>IF(Z$3&gt;A10remlife,A10value-SUM($F193:Y193),IF(A10remlife="N/A","n/a",A10value/A10remlife))</f>
        <v>0</v>
      </c>
      <c r="AA193" s="106">
        <f>IF(AA$3&gt;A10remlife,A10value-SUM($F193:Z193),IF(A10remlife="N/A","n/a",A10value/A10remlife))</f>
        <v>0</v>
      </c>
      <c r="AB193" s="106">
        <f>IF(AB$3&gt;A10remlife,A10value-SUM($F193:AA193),IF(A10remlife="N/A","n/a",A10value/A10remlife))</f>
        <v>0</v>
      </c>
      <c r="AC193" s="106">
        <f>IF(AC$3&gt;A10remlife,A10value-SUM($F193:AB193),IF(A10remlife="N/A","n/a",A10value/A10remlife))</f>
        <v>0</v>
      </c>
      <c r="AD193" s="106">
        <f>IF(AD$3&gt;A10remlife,A10value-SUM($F193:AC193),IF(A10remlife="N/A","n/a",A10value/A10remlife))</f>
        <v>0</v>
      </c>
      <c r="AE193" s="106">
        <f>IF(AE$3&gt;A10remlife,A10value-SUM($F193:AD193),IF(A10remlife="N/A","n/a",A10value/A10remlife))</f>
        <v>0</v>
      </c>
      <c r="AF193" s="106">
        <f>IF(AF$3&gt;A10remlife,A10value-SUM($F193:AE193),IF(A10remlife="N/A","n/a",A10value/A10remlife))</f>
        <v>0</v>
      </c>
      <c r="AG193" s="106">
        <f>IF(AG$3&gt;A10remlife,A10value-SUM($F193:AF193),IF(A10remlife="N/A","n/a",A10value/A10remlife))</f>
        <v>0</v>
      </c>
      <c r="AH193" s="106">
        <f>IF(AH$3&gt;A10remlife,A10value-SUM($F193:AG193),IF(A10remlife="N/A","n/a",A10value/A10remlife))</f>
        <v>0</v>
      </c>
      <c r="AI193" s="106">
        <f>IF(AI$3&gt;A10remlife,A10value-SUM($F193:AH193),IF(A10remlife="N/A","n/a",A10value/A10remlife))</f>
        <v>0</v>
      </c>
      <c r="AJ193" s="106">
        <f>IF(AJ$3&gt;A10remlife,A10value-SUM($F193:AI193),IF(A10remlife="N/A","n/a",A10value/A10remlife))</f>
        <v>0</v>
      </c>
      <c r="AK193" s="106">
        <f>IF(AK$3&gt;A10remlife,A10value-SUM($F193:AJ193),IF(A10remlife="N/A","n/a",A10value/A10remlife))</f>
        <v>0</v>
      </c>
      <c r="AL193" s="106">
        <f>IF(AL$3&gt;A10remlife,A10value-SUM($F193:AK193),IF(A10remlife="N/A","n/a",A10value/A10remlife))</f>
        <v>0</v>
      </c>
      <c r="AM193" s="106">
        <f>IF(AM$3&gt;A10remlife,A10value-SUM($F193:AL193),IF(A10remlife="N/A","n/a",A10value/A10remlife))</f>
        <v>0</v>
      </c>
      <c r="AN193" s="106">
        <f>IF(AN$3&gt;A10remlife,A10value-SUM($F193:AM193),IF(A10remlife="N/A","n/a",A10value/A10remlife))</f>
        <v>0</v>
      </c>
      <c r="AO193" s="106">
        <f>IF(AO$3&gt;A10remlife,A10value-SUM($F193:AN193),IF(A10remlife="N/A","n/a",A10value/A10remlife))</f>
        <v>0</v>
      </c>
      <c r="AP193" s="106">
        <f>IF(AP$3&gt;A10remlife,A10value-SUM($F193:AO193),IF(A10remlife="N/A","n/a",A10value/A10remlife))</f>
        <v>0</v>
      </c>
      <c r="AQ193" s="106">
        <f>IF(AQ$3&gt;A10remlife,A10value-SUM($F193:AP193),IF(A10remlife="N/A","n/a",A10value/A10remlife))</f>
        <v>0</v>
      </c>
      <c r="AR193" s="106">
        <f>IF(AR$3&gt;A10remlife,A10value-SUM($F193:AQ193),IF(A10remlife="N/A","n/a",A10value/A10remlife))</f>
        <v>0</v>
      </c>
      <c r="AS193" s="106">
        <f>IF(AS$3&gt;A10remlife,A10value-SUM($F193:AR193),IF(A10remlife="N/A","n/a",A10value/A10remlife))</f>
        <v>0</v>
      </c>
      <c r="AT193" s="106">
        <f>IF(AT$3&gt;A10remlife,A10value-SUM($F193:AS193),IF(A10remlife="N/A","n/a",A10value/A10remlife))</f>
        <v>0</v>
      </c>
      <c r="AU193" s="106">
        <f>IF(AU$3&gt;A10remlife,A10value-SUM($F193:AT193),IF(A10remlife="N/A","n/a",A10value/A10remlife))</f>
        <v>0</v>
      </c>
      <c r="AV193" s="106">
        <f>IF(AV$3&gt;A10remlife,A10value-SUM($F193:AU193),IF(A10remlife="N/A","n/a",A10value/A10remlife))</f>
        <v>0</v>
      </c>
      <c r="AW193" s="106">
        <f>IF(AW$3&gt;A10remlife,A10value-SUM($F193:AV193),IF(A10remlife="N/A","n/a",A10value/A10remlife))</f>
        <v>0</v>
      </c>
      <c r="AX193" s="106">
        <f>IF(AX$3&gt;A10remlife,A10value-SUM($F193:AW193),IF(A10remlife="N/A","n/a",A10value/A10remlife))</f>
        <v>0</v>
      </c>
      <c r="AY193" s="106">
        <f>IF(AY$3&gt;A10remlife,A10value-SUM($F193:AX193),IF(A10remlife="N/A","n/a",A10value/A10remlife))</f>
        <v>0</v>
      </c>
      <c r="AZ193" s="106">
        <f>IF(AZ$3&gt;A10remlife,A10value-SUM($F193:AY193),IF(A10remlife="N/A","n/a",A10value/A10remlife))</f>
        <v>0</v>
      </c>
      <c r="BA193" s="106">
        <f>IF(BA$3&gt;A10remlife,A10value-SUM($F193:AZ193),IF(A10remlife="N/A","n/a",A10value/A10remlife))</f>
        <v>0</v>
      </c>
      <c r="BB193" s="106">
        <f>IF(BB$3&gt;A10remlife,A10value-SUM($F193:BA193),IF(A10remlife="N/A","n/a",A10value/A10remlife))</f>
        <v>0</v>
      </c>
      <c r="BC193" s="106">
        <f>IF(BC$3&gt;A10remlife,A10value-SUM($F193:BB193),IF(A10remlife="N/A","n/a",A10value/A10remlife))</f>
        <v>0</v>
      </c>
      <c r="BD193" s="106">
        <f>IF(BD$3&gt;A10remlife,A10value-SUM($F193:BC193),IF(A10remlife="N/A","n/a",A10value/A10remlife))</f>
        <v>0</v>
      </c>
      <c r="BE193" s="106">
        <f>IF(BE$3&gt;A10remlife,A10value-SUM($F193:BD193),IF(A10remlife="N/A","n/a",A10value/A10remlife))</f>
        <v>0</v>
      </c>
      <c r="BF193" s="106">
        <f>IF(BF$3&gt;A10remlife,A10value-SUM($F193:BE193),IF(A10remlife="N/A","n/a",A10value/A10remlife))</f>
        <v>0</v>
      </c>
      <c r="BG193" s="106">
        <f>IF(BG$3&gt;A10remlife,A10value-SUM($F193:BF193),IF(A10remlife="N/A","n/a",A10value/A10remlife))</f>
        <v>0</v>
      </c>
      <c r="BH193" s="106">
        <f>IF(BH$3&gt;A10remlife,A10value-SUM($F193:BG193),IF(A10remlife="N/A","n/a",A10value/A10remlife))</f>
        <v>0</v>
      </c>
      <c r="BI193" s="106">
        <f>IF(BI$3&gt;A10remlife,A10value-SUM($F193:BH193),IF(A10remlife="N/A","n/a",A10value/A10remlife))</f>
        <v>0</v>
      </c>
      <c r="BJ193" s="237"/>
      <c r="BK193" s="237"/>
      <c r="BL193" s="237"/>
      <c r="BM193" s="237"/>
    </row>
    <row r="194" spans="1:65" s="190" customFormat="1" ht="12.75" hidden="1" customHeight="1" outlineLevel="2">
      <c r="A194" s="237"/>
      <c r="B194" s="33"/>
      <c r="C194" s="32"/>
      <c r="D194" s="1618" t="s">
        <v>357</v>
      </c>
      <c r="E194" s="169">
        <v>0</v>
      </c>
      <c r="F194" s="35"/>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237"/>
      <c r="BK194" s="237"/>
      <c r="BL194" s="237"/>
      <c r="BM194" s="237"/>
    </row>
    <row r="195" spans="1:65" s="190" customFormat="1" hidden="1" outlineLevel="2">
      <c r="A195" s="237"/>
      <c r="B195" s="33"/>
      <c r="C195" s="32"/>
      <c r="D195" s="1618"/>
      <c r="E195" s="169">
        <v>1</v>
      </c>
      <c r="F195" s="35"/>
      <c r="G195" s="183"/>
      <c r="H195" s="107">
        <f>IF(A10stdlife="n/a","n/a",IF(H$3&gt;(A10stdlife+$E195),('PTRM input'!$G$152*(1+rvanilla01)^0.5)-SUM($G195:G195),('PTRM input'!$G$152*(1+rvanilla01)^0.5)/A10stdlife))</f>
        <v>0</v>
      </c>
      <c r="I195" s="107">
        <f>IF(A10stdlife="n/a","n/a",IF(I$3&gt;(A10stdlife+$E195),('PTRM input'!$G$152*(1+rvanilla01)^0.5)-SUM($G195:H195),('PTRM input'!$G$152*(1+rvanilla01)^0.5)/A10stdlife))</f>
        <v>0</v>
      </c>
      <c r="J195" s="107">
        <f>IF(A10stdlife="n/a","n/a",IF(J$3&gt;(A10stdlife+$E195),('PTRM input'!$G$152*(1+rvanilla01)^0.5)-SUM($G195:I195),('PTRM input'!$G$152*(1+rvanilla01)^0.5)/A10stdlife))</f>
        <v>0</v>
      </c>
      <c r="K195" s="107">
        <f>IF(A10stdlife="n/a","n/a",IF(K$3&gt;(A10stdlife+$E195),('PTRM input'!$G$152*(1+rvanilla01)^0.5)-SUM($G195:J195),('PTRM input'!$G$152*(1+rvanilla01)^0.5)/A10stdlife))</f>
        <v>0</v>
      </c>
      <c r="L195" s="107">
        <f>IF(A10stdlife="n/a","n/a",IF(L$3&gt;(A10stdlife+$E195),('PTRM input'!$G$152*(1+rvanilla01)^0.5)-SUM($G195:K195),('PTRM input'!$G$152*(1+rvanilla01)^0.5)/A10stdlife))</f>
        <v>0</v>
      </c>
      <c r="M195" s="107">
        <f>IF(A10stdlife="n/a","n/a",IF(M$3&gt;(A10stdlife+$E195),('PTRM input'!$G$152*(1+rvanilla01)^0.5)-SUM($G195:L195),('PTRM input'!$G$152*(1+rvanilla01)^0.5)/A10stdlife))</f>
        <v>0</v>
      </c>
      <c r="N195" s="107">
        <f>IF(A10stdlife="n/a","n/a",IF(N$3&gt;(A10stdlife+$E195),('PTRM input'!$G$152*(1+rvanilla01)^0.5)-SUM($G195:M195),('PTRM input'!$G$152*(1+rvanilla01)^0.5)/A10stdlife))</f>
        <v>0</v>
      </c>
      <c r="O195" s="107">
        <f>IF(A10stdlife="n/a","n/a",IF(O$3&gt;(A10stdlife+$E195),('PTRM input'!$G$152*(1+rvanilla01)^0.5)-SUM($G195:N195),('PTRM input'!$G$152*(1+rvanilla01)^0.5)/A10stdlife))</f>
        <v>0</v>
      </c>
      <c r="P195" s="107">
        <f>IF(A10stdlife="n/a","n/a",IF(P$3&gt;(A10stdlife+$E195),('PTRM input'!$G$152*(1+rvanilla01)^0.5)-SUM($G195:O195),('PTRM input'!$G$152*(1+rvanilla01)^0.5)/A10stdlife))</f>
        <v>0</v>
      </c>
      <c r="Q195" s="107">
        <f>IF(A10stdlife="n/a","n/a",IF(Q$3&gt;(A10stdlife+$E195),('PTRM input'!$G$152*(1+rvanilla01)^0.5)-SUM($G195:P195),('PTRM input'!$G$152*(1+rvanilla01)^0.5)/A10stdlife))</f>
        <v>0</v>
      </c>
      <c r="R195" s="107">
        <f>IF(A10stdlife="n/a","n/a",IF(R$3&gt;(A10stdlife+$E195),('PTRM input'!$G$152*(1+rvanilla01)^0.5)-SUM($G195:Q195),('PTRM input'!$G$152*(1+rvanilla01)^0.5)/A10stdlife))</f>
        <v>0</v>
      </c>
      <c r="S195" s="107">
        <f>IF(A10stdlife="n/a","n/a",IF(S$3&gt;(A10stdlife+$E195),('PTRM input'!$G$152*(1+rvanilla01)^0.5)-SUM($G195:R195),('PTRM input'!$G$152*(1+rvanilla01)^0.5)/A10stdlife))</f>
        <v>0</v>
      </c>
      <c r="T195" s="107">
        <f>IF(A10stdlife="n/a","n/a",IF(T$3&gt;(A10stdlife+$E195),('PTRM input'!$G$152*(1+rvanilla01)^0.5)-SUM($G195:S195),('PTRM input'!$G$152*(1+rvanilla01)^0.5)/A10stdlife))</f>
        <v>0</v>
      </c>
      <c r="U195" s="107">
        <f>IF(A10stdlife="n/a","n/a",IF(U$3&gt;(A10stdlife+$E195),('PTRM input'!$G$152*(1+rvanilla01)^0.5)-SUM($G195:T195),('PTRM input'!$G$152*(1+rvanilla01)^0.5)/A10stdlife))</f>
        <v>0</v>
      </c>
      <c r="V195" s="107">
        <f>IF(A10stdlife="n/a","n/a",IF(V$3&gt;(A10stdlife+$E195),('PTRM input'!$G$152*(1+rvanilla01)^0.5)-SUM($G195:U195),('PTRM input'!$G$152*(1+rvanilla01)^0.5)/A10stdlife))</f>
        <v>0</v>
      </c>
      <c r="W195" s="107">
        <f>IF(A10stdlife="n/a","n/a",IF(W$3&gt;(A10stdlife+$E195),('PTRM input'!$G$152*(1+rvanilla01)^0.5)-SUM($G195:V195),('PTRM input'!$G$152*(1+rvanilla01)^0.5)/A10stdlife))</f>
        <v>0</v>
      </c>
      <c r="X195" s="107">
        <f>IF(A10stdlife="n/a","n/a",IF(X$3&gt;(A10stdlife+$E195),('PTRM input'!$G$152*(1+rvanilla01)^0.5)-SUM($G195:W195),('PTRM input'!$G$152*(1+rvanilla01)^0.5)/A10stdlife))</f>
        <v>0</v>
      </c>
      <c r="Y195" s="107">
        <f>IF(A10stdlife="n/a","n/a",IF(Y$3&gt;(A10stdlife+$E195),('PTRM input'!$G$152*(1+rvanilla01)^0.5)-SUM($G195:X195),('PTRM input'!$G$152*(1+rvanilla01)^0.5)/A10stdlife))</f>
        <v>0</v>
      </c>
      <c r="Z195" s="107">
        <f>IF(A10stdlife="n/a","n/a",IF(Z$3&gt;(A10stdlife+$E195),('PTRM input'!$G$152*(1+rvanilla01)^0.5)-SUM($G195:Y195),('PTRM input'!$G$152*(1+rvanilla01)^0.5)/A10stdlife))</f>
        <v>0</v>
      </c>
      <c r="AA195" s="107">
        <f>IF(A10stdlife="n/a","n/a",IF(AA$3&gt;(A10stdlife+$E195),('PTRM input'!$G$152*(1+rvanilla01)^0.5)-SUM($G195:Z195),('PTRM input'!$G$152*(1+rvanilla01)^0.5)/A10stdlife))</f>
        <v>0</v>
      </c>
      <c r="AB195" s="107">
        <f>IF(A10stdlife="n/a","n/a",IF(AB$3&gt;(A10stdlife+$E195),('PTRM input'!$G$152*(1+rvanilla01)^0.5)-SUM($G195:AA195),('PTRM input'!$G$152*(1+rvanilla01)^0.5)/A10stdlife))</f>
        <v>0</v>
      </c>
      <c r="AC195" s="107">
        <f>IF(A10stdlife="n/a","n/a",IF(AC$3&gt;(A10stdlife+$E195),('PTRM input'!$G$152*(1+rvanilla01)^0.5)-SUM($G195:AB195),('PTRM input'!$G$152*(1+rvanilla01)^0.5)/A10stdlife))</f>
        <v>0</v>
      </c>
      <c r="AD195" s="107">
        <f>IF(A10stdlife="n/a","n/a",IF(AD$3&gt;(A10stdlife+$E195),('PTRM input'!$G$152*(1+rvanilla01)^0.5)-SUM($G195:AC195),('PTRM input'!$G$152*(1+rvanilla01)^0.5)/A10stdlife))</f>
        <v>0</v>
      </c>
      <c r="AE195" s="107">
        <f>IF(A10stdlife="n/a","n/a",IF(AE$3&gt;(A10stdlife+$E195),('PTRM input'!$G$152*(1+rvanilla01)^0.5)-SUM($G195:AD195),('PTRM input'!$G$152*(1+rvanilla01)^0.5)/A10stdlife))</f>
        <v>0</v>
      </c>
      <c r="AF195" s="107">
        <f>IF(A10stdlife="n/a","n/a",IF(AF$3&gt;(A10stdlife+$E195),('PTRM input'!$G$152*(1+rvanilla01)^0.5)-SUM($G195:AE195),('PTRM input'!$G$152*(1+rvanilla01)^0.5)/A10stdlife))</f>
        <v>0</v>
      </c>
      <c r="AG195" s="107">
        <f>IF(A10stdlife="n/a","n/a",IF(AG$3&gt;(A10stdlife+$E195),('PTRM input'!$G$152*(1+rvanilla01)^0.5)-SUM($G195:AF195),('PTRM input'!$G$152*(1+rvanilla01)^0.5)/A10stdlife))</f>
        <v>0</v>
      </c>
      <c r="AH195" s="107">
        <f>IF(A10stdlife="n/a","n/a",IF(AH$3&gt;(A10stdlife+$E195),('PTRM input'!$G$152*(1+rvanilla01)^0.5)-SUM($G195:AG195),('PTRM input'!$G$152*(1+rvanilla01)^0.5)/A10stdlife))</f>
        <v>0</v>
      </c>
      <c r="AI195" s="107">
        <f>IF(A10stdlife="n/a","n/a",IF(AI$3&gt;(A10stdlife+$E195),('PTRM input'!$G$152*(1+rvanilla01)^0.5)-SUM($G195:AH195),('PTRM input'!$G$152*(1+rvanilla01)^0.5)/A10stdlife))</f>
        <v>0</v>
      </c>
      <c r="AJ195" s="107">
        <f>IF(A10stdlife="n/a","n/a",IF(AJ$3&gt;(A10stdlife+$E195),('PTRM input'!$G$152*(1+rvanilla01)^0.5)-SUM($G195:AI195),('PTRM input'!$G$152*(1+rvanilla01)^0.5)/A10stdlife))</f>
        <v>0</v>
      </c>
      <c r="AK195" s="107">
        <f>IF(A10stdlife="n/a","n/a",IF(AK$3&gt;(A10stdlife+$E195),('PTRM input'!$G$152*(1+rvanilla01)^0.5)-SUM($G195:AJ195),('PTRM input'!$G$152*(1+rvanilla01)^0.5)/A10stdlife))</f>
        <v>0</v>
      </c>
      <c r="AL195" s="107">
        <f>IF(A10stdlife="n/a","n/a",IF(AL$3&gt;(A10stdlife+$E195),('PTRM input'!$G$152*(1+rvanilla01)^0.5)-SUM($G195:AK195),('PTRM input'!$G$152*(1+rvanilla01)^0.5)/A10stdlife))</f>
        <v>0</v>
      </c>
      <c r="AM195" s="107">
        <f>IF(A10stdlife="n/a","n/a",IF(AM$3&gt;(A10stdlife+$E195),('PTRM input'!$G$152*(1+rvanilla01)^0.5)-SUM($G195:AL195),('PTRM input'!$G$152*(1+rvanilla01)^0.5)/A10stdlife))</f>
        <v>0</v>
      </c>
      <c r="AN195" s="107">
        <f>IF(A10stdlife="n/a","n/a",IF(AN$3&gt;(A10stdlife+$E195),('PTRM input'!$G$152*(1+rvanilla01)^0.5)-SUM($G195:AM195),('PTRM input'!$G$152*(1+rvanilla01)^0.5)/A10stdlife))</f>
        <v>0</v>
      </c>
      <c r="AO195" s="107">
        <f>IF(A10stdlife="n/a","n/a",IF(AO$3&gt;(A10stdlife+$E195),('PTRM input'!$G$152*(1+rvanilla01)^0.5)-SUM($G195:AN195),('PTRM input'!$G$152*(1+rvanilla01)^0.5)/A10stdlife))</f>
        <v>0</v>
      </c>
      <c r="AP195" s="107">
        <f>IF(A10stdlife="n/a","n/a",IF(AP$3&gt;(A10stdlife+$E195),('PTRM input'!$G$152*(1+rvanilla01)^0.5)-SUM($G195:AO195),('PTRM input'!$G$152*(1+rvanilla01)^0.5)/A10stdlife))</f>
        <v>0</v>
      </c>
      <c r="AQ195" s="107">
        <f>IF(A10stdlife="n/a","n/a",IF(AQ$3&gt;(A10stdlife+$E195),('PTRM input'!$G$152*(1+rvanilla01)^0.5)-SUM($G195:AP195),('PTRM input'!$G$152*(1+rvanilla01)^0.5)/A10stdlife))</f>
        <v>0</v>
      </c>
      <c r="AR195" s="107">
        <f>IF(A10stdlife="n/a","n/a",IF(AR$3&gt;(A10stdlife+$E195),('PTRM input'!$G$152*(1+rvanilla01)^0.5)-SUM($G195:AQ195),('PTRM input'!$G$152*(1+rvanilla01)^0.5)/A10stdlife))</f>
        <v>0</v>
      </c>
      <c r="AS195" s="107">
        <f>IF(A10stdlife="n/a","n/a",IF(AS$3&gt;(A10stdlife+$E195),('PTRM input'!$G$152*(1+rvanilla01)^0.5)-SUM($G195:AR195),('PTRM input'!$G$152*(1+rvanilla01)^0.5)/A10stdlife))</f>
        <v>0</v>
      </c>
      <c r="AT195" s="107">
        <f>IF(A10stdlife="n/a","n/a",IF(AT$3&gt;(A10stdlife+$E195),('PTRM input'!$G$152*(1+rvanilla01)^0.5)-SUM($G195:AS195),('PTRM input'!$G$152*(1+rvanilla01)^0.5)/A10stdlife))</f>
        <v>0</v>
      </c>
      <c r="AU195" s="107">
        <f>IF(A10stdlife="n/a","n/a",IF(AU$3&gt;(A10stdlife+$E195),('PTRM input'!$G$152*(1+rvanilla01)^0.5)-SUM($G195:AT195),('PTRM input'!$G$152*(1+rvanilla01)^0.5)/A10stdlife))</f>
        <v>0</v>
      </c>
      <c r="AV195" s="107">
        <f>IF(A10stdlife="n/a","n/a",IF(AV$3&gt;(A10stdlife+$E195),('PTRM input'!$G$152*(1+rvanilla01)^0.5)-SUM($G195:AU195),('PTRM input'!$G$152*(1+rvanilla01)^0.5)/A10stdlife))</f>
        <v>0</v>
      </c>
      <c r="AW195" s="107">
        <f>IF(A10stdlife="n/a","n/a",IF(AW$3&gt;(A10stdlife+$E195),('PTRM input'!$G$152*(1+rvanilla01)^0.5)-SUM($G195:AV195),('PTRM input'!$G$152*(1+rvanilla01)^0.5)/A10stdlife))</f>
        <v>0</v>
      </c>
      <c r="AX195" s="107">
        <f>IF(A10stdlife="n/a","n/a",IF(AX$3&gt;(A10stdlife+$E195),('PTRM input'!$G$152*(1+rvanilla01)^0.5)-SUM($G195:AW195),('PTRM input'!$G$152*(1+rvanilla01)^0.5)/A10stdlife))</f>
        <v>0</v>
      </c>
      <c r="AY195" s="107">
        <f>IF(A10stdlife="n/a","n/a",IF(AY$3&gt;(A10stdlife+$E195),('PTRM input'!$G$152*(1+rvanilla01)^0.5)-SUM($G195:AX195),('PTRM input'!$G$152*(1+rvanilla01)^0.5)/A10stdlife))</f>
        <v>0</v>
      </c>
      <c r="AZ195" s="107">
        <f>IF(A10stdlife="n/a","n/a",IF(AZ$3&gt;(A10stdlife+$E195),('PTRM input'!$G$152*(1+rvanilla01)^0.5)-SUM($G195:AY195),('PTRM input'!$G$152*(1+rvanilla01)^0.5)/A10stdlife))</f>
        <v>0</v>
      </c>
      <c r="BA195" s="107">
        <f>IF(A10stdlife="n/a","n/a",IF(BA$3&gt;(A10stdlife+$E195),('PTRM input'!$G$152*(1+rvanilla01)^0.5)-SUM($G195:AZ195),('PTRM input'!$G$152*(1+rvanilla01)^0.5)/A10stdlife))</f>
        <v>0</v>
      </c>
      <c r="BB195" s="107">
        <f>IF(A10stdlife="n/a","n/a",IF(BB$3&gt;(A10stdlife+$E195),('PTRM input'!$G$152*(1+rvanilla01)^0.5)-SUM($G195:BA195),('PTRM input'!$G$152*(1+rvanilla01)^0.5)/A10stdlife))</f>
        <v>0</v>
      </c>
      <c r="BC195" s="107">
        <f>IF(A10stdlife="n/a","n/a",IF(BC$3&gt;(A10stdlife+$E195),('PTRM input'!$G$152*(1+rvanilla01)^0.5)-SUM($G195:BB195),('PTRM input'!$G$152*(1+rvanilla01)^0.5)/A10stdlife))</f>
        <v>0</v>
      </c>
      <c r="BD195" s="107">
        <f>IF(A10stdlife="n/a","n/a",IF(BD$3&gt;(A10stdlife+$E195),('PTRM input'!$G$152*(1+rvanilla01)^0.5)-SUM($G195:BC195),('PTRM input'!$G$152*(1+rvanilla01)^0.5)/A10stdlife))</f>
        <v>0</v>
      </c>
      <c r="BE195" s="107">
        <f>IF(A10stdlife="n/a","n/a",IF(BE$3&gt;(A10stdlife+$E195),('PTRM input'!$G$152*(1+rvanilla01)^0.5)-SUM($G195:BD195),('PTRM input'!$G$152*(1+rvanilla01)^0.5)/A10stdlife))</f>
        <v>0</v>
      </c>
      <c r="BF195" s="107">
        <f>IF(A10stdlife="n/a","n/a",IF(BF$3&gt;(A10stdlife+$E195),('PTRM input'!$G$152*(1+rvanilla01)^0.5)-SUM($G195:BE195),('PTRM input'!$G$152*(1+rvanilla01)^0.5)/A10stdlife))</f>
        <v>0</v>
      </c>
      <c r="BG195" s="107">
        <f>IF(A10stdlife="n/a","n/a",IF(BG$3&gt;(A10stdlife+$E195),('PTRM input'!$G$152*(1+rvanilla01)^0.5)-SUM($G195:BF195),('PTRM input'!$G$152*(1+rvanilla01)^0.5)/A10stdlife))</f>
        <v>0</v>
      </c>
      <c r="BH195" s="107">
        <f>IF(A10stdlife="n/a","n/a",IF(BH$3&gt;(A10stdlife+$E195),('PTRM input'!$G$152*(1+rvanilla01)^0.5)-SUM($G195:BG195),('PTRM input'!$G$152*(1+rvanilla01)^0.5)/A10stdlife))</f>
        <v>0</v>
      </c>
      <c r="BI195" s="107">
        <f>IF(A10stdlife="n/a","n/a",IF(BI$3&gt;(A10stdlife+$E195),('PTRM input'!$G$152*(1+rvanilla01)^0.5)-SUM($G195:BH195),('PTRM input'!$G$152*(1+rvanilla01)^0.5)/A10stdlife))</f>
        <v>0</v>
      </c>
      <c r="BJ195" s="237"/>
      <c r="BK195" s="237"/>
      <c r="BL195" s="237"/>
      <c r="BM195" s="237"/>
    </row>
    <row r="196" spans="1:65" s="190" customFormat="1" hidden="1" outlineLevel="2">
      <c r="A196" s="237"/>
      <c r="B196" s="33"/>
      <c r="C196" s="32"/>
      <c r="D196" s="1618"/>
      <c r="E196" s="169">
        <v>2</v>
      </c>
      <c r="F196" s="35"/>
      <c r="G196" s="184"/>
      <c r="H196" s="185"/>
      <c r="I196" s="107">
        <f>IF(A10stdlife="n/a","n/a",IF(I$3&gt;(A10stdlife+$E196),('PTRM input'!$H$152*(1+rvanilla02)^0.5)-SUM($H196:H196),('PTRM input'!$H$152*(1+rvanilla02)^0.5)/A10stdlife))</f>
        <v>0</v>
      </c>
      <c r="J196" s="107">
        <f>IF(A10stdlife="n/a","n/a",IF(J$3&gt;(A10stdlife+$E196),('PTRM input'!$H$152*(1+rvanilla02)^0.5)-SUM($H196:I196),('PTRM input'!$H$152*(1+rvanilla02)^0.5)/A10stdlife))</f>
        <v>0</v>
      </c>
      <c r="K196" s="107">
        <f>IF(A10stdlife="n/a","n/a",IF(K$3&gt;(A10stdlife+$E196),('PTRM input'!$H$152*(1+rvanilla02)^0.5)-SUM($H196:J196),('PTRM input'!$H$152*(1+rvanilla02)^0.5)/A10stdlife))</f>
        <v>0</v>
      </c>
      <c r="L196" s="107">
        <f>IF(A10stdlife="n/a","n/a",IF(L$3&gt;(A10stdlife+$E196),('PTRM input'!$H$152*(1+rvanilla02)^0.5)-SUM($H196:K196),('PTRM input'!$H$152*(1+rvanilla02)^0.5)/A10stdlife))</f>
        <v>0</v>
      </c>
      <c r="M196" s="107">
        <f>IF(A10stdlife="n/a","n/a",IF(M$3&gt;(A10stdlife+$E196),('PTRM input'!$H$152*(1+rvanilla02)^0.5)-SUM($H196:L196),('PTRM input'!$H$152*(1+rvanilla02)^0.5)/A10stdlife))</f>
        <v>0</v>
      </c>
      <c r="N196" s="107">
        <f>IF(A10stdlife="n/a","n/a",IF(N$3&gt;(A10stdlife+$E196),('PTRM input'!$H$152*(1+rvanilla02)^0.5)-SUM($H196:M196),('PTRM input'!$H$152*(1+rvanilla02)^0.5)/A10stdlife))</f>
        <v>0</v>
      </c>
      <c r="O196" s="107">
        <f>IF(A10stdlife="n/a","n/a",IF(O$3&gt;(A10stdlife+$E196),('PTRM input'!$H$152*(1+rvanilla02)^0.5)-SUM($H196:N196),('PTRM input'!$H$152*(1+rvanilla02)^0.5)/A10stdlife))</f>
        <v>0</v>
      </c>
      <c r="P196" s="107">
        <f>IF(A10stdlife="n/a","n/a",IF(P$3&gt;(A10stdlife+$E196),('PTRM input'!$H$152*(1+rvanilla02)^0.5)-SUM($H196:O196),('PTRM input'!$H$152*(1+rvanilla02)^0.5)/A10stdlife))</f>
        <v>0</v>
      </c>
      <c r="Q196" s="107">
        <f>IF(A10stdlife="n/a","n/a",IF(Q$3&gt;(A10stdlife+$E196),('PTRM input'!$H$152*(1+rvanilla02)^0.5)-SUM($H196:P196),('PTRM input'!$H$152*(1+rvanilla02)^0.5)/A10stdlife))</f>
        <v>0</v>
      </c>
      <c r="R196" s="107">
        <f>IF(A10stdlife="n/a","n/a",IF(R$3&gt;(A10stdlife+$E196),('PTRM input'!$H$152*(1+rvanilla02)^0.5)-SUM($H196:Q196),('PTRM input'!$H$152*(1+rvanilla02)^0.5)/A10stdlife))</f>
        <v>0</v>
      </c>
      <c r="S196" s="107">
        <f>IF(A10stdlife="n/a","n/a",IF(S$3&gt;(A10stdlife+$E196),('PTRM input'!$H$152*(1+rvanilla02)^0.5)-SUM($H196:R196),('PTRM input'!$H$152*(1+rvanilla02)^0.5)/A10stdlife))</f>
        <v>0</v>
      </c>
      <c r="T196" s="107">
        <f>IF(A10stdlife="n/a","n/a",IF(T$3&gt;(A10stdlife+$E196),('PTRM input'!$H$152*(1+rvanilla02)^0.5)-SUM($H196:S196),('PTRM input'!$H$152*(1+rvanilla02)^0.5)/A10stdlife))</f>
        <v>0</v>
      </c>
      <c r="U196" s="107">
        <f>IF(A10stdlife="n/a","n/a",IF(U$3&gt;(A10stdlife+$E196),('PTRM input'!$H$152*(1+rvanilla02)^0.5)-SUM($H196:T196),('PTRM input'!$H$152*(1+rvanilla02)^0.5)/A10stdlife))</f>
        <v>0</v>
      </c>
      <c r="V196" s="107">
        <f>IF(A10stdlife="n/a","n/a",IF(V$3&gt;(A10stdlife+$E196),('PTRM input'!$H$152*(1+rvanilla02)^0.5)-SUM($H196:U196),('PTRM input'!$H$152*(1+rvanilla02)^0.5)/A10stdlife))</f>
        <v>0</v>
      </c>
      <c r="W196" s="107">
        <f>IF(A10stdlife="n/a","n/a",IF(W$3&gt;(A10stdlife+$E196),('PTRM input'!$H$152*(1+rvanilla02)^0.5)-SUM($H196:V196),('PTRM input'!$H$152*(1+rvanilla02)^0.5)/A10stdlife))</f>
        <v>0</v>
      </c>
      <c r="X196" s="107">
        <f>IF(A10stdlife="n/a","n/a",IF(X$3&gt;(A10stdlife+$E196),('PTRM input'!$H$152*(1+rvanilla02)^0.5)-SUM($H196:W196),('PTRM input'!$H$152*(1+rvanilla02)^0.5)/A10stdlife))</f>
        <v>0</v>
      </c>
      <c r="Y196" s="107">
        <f>IF(A10stdlife="n/a","n/a",IF(Y$3&gt;(A10stdlife+$E196),('PTRM input'!$H$152*(1+rvanilla02)^0.5)-SUM($H196:X196),('PTRM input'!$H$152*(1+rvanilla02)^0.5)/A10stdlife))</f>
        <v>0</v>
      </c>
      <c r="Z196" s="107">
        <f>IF(A10stdlife="n/a","n/a",IF(Z$3&gt;(A10stdlife+$E196),('PTRM input'!$H$152*(1+rvanilla02)^0.5)-SUM($H196:Y196),('PTRM input'!$H$152*(1+rvanilla02)^0.5)/A10stdlife))</f>
        <v>0</v>
      </c>
      <c r="AA196" s="107">
        <f>IF(A10stdlife="n/a","n/a",IF(AA$3&gt;(A10stdlife+$E196),('PTRM input'!$H$152*(1+rvanilla02)^0.5)-SUM($H196:Z196),('PTRM input'!$H$152*(1+rvanilla02)^0.5)/A10stdlife))</f>
        <v>0</v>
      </c>
      <c r="AB196" s="107">
        <f>IF(A10stdlife="n/a","n/a",IF(AB$3&gt;(A10stdlife+$E196),('PTRM input'!$H$152*(1+rvanilla02)^0.5)-SUM($H196:AA196),('PTRM input'!$H$152*(1+rvanilla02)^0.5)/A10stdlife))</f>
        <v>0</v>
      </c>
      <c r="AC196" s="107">
        <f>IF(A10stdlife="n/a","n/a",IF(AC$3&gt;(A10stdlife+$E196),('PTRM input'!$H$152*(1+rvanilla02)^0.5)-SUM($H196:AB196),('PTRM input'!$H$152*(1+rvanilla02)^0.5)/A10stdlife))</f>
        <v>0</v>
      </c>
      <c r="AD196" s="107">
        <f>IF(A10stdlife="n/a","n/a",IF(AD$3&gt;(A10stdlife+$E196),('PTRM input'!$H$152*(1+rvanilla02)^0.5)-SUM($H196:AC196),('PTRM input'!$H$152*(1+rvanilla02)^0.5)/A10stdlife))</f>
        <v>0</v>
      </c>
      <c r="AE196" s="107">
        <f>IF(A10stdlife="n/a","n/a",IF(AE$3&gt;(A10stdlife+$E196),('PTRM input'!$H$152*(1+rvanilla02)^0.5)-SUM($H196:AD196),('PTRM input'!$H$152*(1+rvanilla02)^0.5)/A10stdlife))</f>
        <v>0</v>
      </c>
      <c r="AF196" s="107">
        <f>IF(A10stdlife="n/a","n/a",IF(AF$3&gt;(A10stdlife+$E196),('PTRM input'!$H$152*(1+rvanilla02)^0.5)-SUM($H196:AE196),('PTRM input'!$H$152*(1+rvanilla02)^0.5)/A10stdlife))</f>
        <v>0</v>
      </c>
      <c r="AG196" s="107">
        <f>IF(A10stdlife="n/a","n/a",IF(AG$3&gt;(A10stdlife+$E196),('PTRM input'!$H$152*(1+rvanilla02)^0.5)-SUM($H196:AF196),('PTRM input'!$H$152*(1+rvanilla02)^0.5)/A10stdlife))</f>
        <v>0</v>
      </c>
      <c r="AH196" s="107">
        <f>IF(A10stdlife="n/a","n/a",IF(AH$3&gt;(A10stdlife+$E196),('PTRM input'!$H$152*(1+rvanilla02)^0.5)-SUM($H196:AG196),('PTRM input'!$H$152*(1+rvanilla02)^0.5)/A10stdlife))</f>
        <v>0</v>
      </c>
      <c r="AI196" s="107">
        <f>IF(A10stdlife="n/a","n/a",IF(AI$3&gt;(A10stdlife+$E196),('PTRM input'!$H$152*(1+rvanilla02)^0.5)-SUM($H196:AH196),('PTRM input'!$H$152*(1+rvanilla02)^0.5)/A10stdlife))</f>
        <v>0</v>
      </c>
      <c r="AJ196" s="107">
        <f>IF(A10stdlife="n/a","n/a",IF(AJ$3&gt;(A10stdlife+$E196),('PTRM input'!$H$152*(1+rvanilla02)^0.5)-SUM($H196:AI196),('PTRM input'!$H$152*(1+rvanilla02)^0.5)/A10stdlife))</f>
        <v>0</v>
      </c>
      <c r="AK196" s="107">
        <f>IF(A10stdlife="n/a","n/a",IF(AK$3&gt;(A10stdlife+$E196),('PTRM input'!$H$152*(1+rvanilla02)^0.5)-SUM($H196:AJ196),('PTRM input'!$H$152*(1+rvanilla02)^0.5)/A10stdlife))</f>
        <v>0</v>
      </c>
      <c r="AL196" s="107">
        <f>IF(A10stdlife="n/a","n/a",IF(AL$3&gt;(A10stdlife+$E196),('PTRM input'!$H$152*(1+rvanilla02)^0.5)-SUM($H196:AK196),('PTRM input'!$H$152*(1+rvanilla02)^0.5)/A10stdlife))</f>
        <v>0</v>
      </c>
      <c r="AM196" s="107">
        <f>IF(A10stdlife="n/a","n/a",IF(AM$3&gt;(A10stdlife+$E196),('PTRM input'!$H$152*(1+rvanilla02)^0.5)-SUM($H196:AL196),('PTRM input'!$H$152*(1+rvanilla02)^0.5)/A10stdlife))</f>
        <v>0</v>
      </c>
      <c r="AN196" s="107">
        <f>IF(A10stdlife="n/a","n/a",IF(AN$3&gt;(A10stdlife+$E196),('PTRM input'!$H$152*(1+rvanilla02)^0.5)-SUM($H196:AM196),('PTRM input'!$H$152*(1+rvanilla02)^0.5)/A10stdlife))</f>
        <v>0</v>
      </c>
      <c r="AO196" s="107">
        <f>IF(A10stdlife="n/a","n/a",IF(AO$3&gt;(A10stdlife+$E196),('PTRM input'!$H$152*(1+rvanilla02)^0.5)-SUM($H196:AN196),('PTRM input'!$H$152*(1+rvanilla02)^0.5)/A10stdlife))</f>
        <v>0</v>
      </c>
      <c r="AP196" s="107">
        <f>IF(A10stdlife="n/a","n/a",IF(AP$3&gt;(A10stdlife+$E196),('PTRM input'!$H$152*(1+rvanilla02)^0.5)-SUM($H196:AO196),('PTRM input'!$H$152*(1+rvanilla02)^0.5)/A10stdlife))</f>
        <v>0</v>
      </c>
      <c r="AQ196" s="107">
        <f>IF(A10stdlife="n/a","n/a",IF(AQ$3&gt;(A10stdlife+$E196),('PTRM input'!$H$152*(1+rvanilla02)^0.5)-SUM($H196:AP196),('PTRM input'!$H$152*(1+rvanilla02)^0.5)/A10stdlife))</f>
        <v>0</v>
      </c>
      <c r="AR196" s="107">
        <f>IF(A10stdlife="n/a","n/a",IF(AR$3&gt;(A10stdlife+$E196),('PTRM input'!$H$152*(1+rvanilla02)^0.5)-SUM($H196:AQ196),('PTRM input'!$H$152*(1+rvanilla02)^0.5)/A10stdlife))</f>
        <v>0</v>
      </c>
      <c r="AS196" s="107">
        <f>IF(A10stdlife="n/a","n/a",IF(AS$3&gt;(A10stdlife+$E196),('PTRM input'!$H$152*(1+rvanilla02)^0.5)-SUM($H196:AR196),('PTRM input'!$H$152*(1+rvanilla02)^0.5)/A10stdlife))</f>
        <v>0</v>
      </c>
      <c r="AT196" s="107">
        <f>IF(A10stdlife="n/a","n/a",IF(AT$3&gt;(A10stdlife+$E196),('PTRM input'!$H$152*(1+rvanilla02)^0.5)-SUM($H196:AS196),('PTRM input'!$H$152*(1+rvanilla02)^0.5)/A10stdlife))</f>
        <v>0</v>
      </c>
      <c r="AU196" s="107">
        <f>IF(A10stdlife="n/a","n/a",IF(AU$3&gt;(A10stdlife+$E196),('PTRM input'!$H$152*(1+rvanilla02)^0.5)-SUM($H196:AT196),('PTRM input'!$H$152*(1+rvanilla02)^0.5)/A10stdlife))</f>
        <v>0</v>
      </c>
      <c r="AV196" s="107">
        <f>IF(A10stdlife="n/a","n/a",IF(AV$3&gt;(A10stdlife+$E196),('PTRM input'!$H$152*(1+rvanilla02)^0.5)-SUM($H196:AU196),('PTRM input'!$H$152*(1+rvanilla02)^0.5)/A10stdlife))</f>
        <v>0</v>
      </c>
      <c r="AW196" s="107">
        <f>IF(A10stdlife="n/a","n/a",IF(AW$3&gt;(A10stdlife+$E196),('PTRM input'!$H$152*(1+rvanilla02)^0.5)-SUM($H196:AV196),('PTRM input'!$H$152*(1+rvanilla02)^0.5)/A10stdlife))</f>
        <v>0</v>
      </c>
      <c r="AX196" s="107">
        <f>IF(A10stdlife="n/a","n/a",IF(AX$3&gt;(A10stdlife+$E196),('PTRM input'!$H$152*(1+rvanilla02)^0.5)-SUM($H196:AW196),('PTRM input'!$H$152*(1+rvanilla02)^0.5)/A10stdlife))</f>
        <v>0</v>
      </c>
      <c r="AY196" s="107">
        <f>IF(A10stdlife="n/a","n/a",IF(AY$3&gt;(A10stdlife+$E196),('PTRM input'!$H$152*(1+rvanilla02)^0.5)-SUM($H196:AX196),('PTRM input'!$H$152*(1+rvanilla02)^0.5)/A10stdlife))</f>
        <v>0</v>
      </c>
      <c r="AZ196" s="107">
        <f>IF(A10stdlife="n/a","n/a",IF(AZ$3&gt;(A10stdlife+$E196),('PTRM input'!$H$152*(1+rvanilla02)^0.5)-SUM($H196:AY196),('PTRM input'!$H$152*(1+rvanilla02)^0.5)/A10stdlife))</f>
        <v>0</v>
      </c>
      <c r="BA196" s="107">
        <f>IF(A10stdlife="n/a","n/a",IF(BA$3&gt;(A10stdlife+$E196),('PTRM input'!$H$152*(1+rvanilla02)^0.5)-SUM($H196:AZ196),('PTRM input'!$H$152*(1+rvanilla02)^0.5)/A10stdlife))</f>
        <v>0</v>
      </c>
      <c r="BB196" s="107">
        <f>IF(A10stdlife="n/a","n/a",IF(BB$3&gt;(A10stdlife+$E196),('PTRM input'!$H$152*(1+rvanilla02)^0.5)-SUM($H196:BA196),('PTRM input'!$H$152*(1+rvanilla02)^0.5)/A10stdlife))</f>
        <v>0</v>
      </c>
      <c r="BC196" s="107">
        <f>IF(A10stdlife="n/a","n/a",IF(BC$3&gt;(A10stdlife+$E196),('PTRM input'!$H$152*(1+rvanilla02)^0.5)-SUM($H196:BB196),('PTRM input'!$H$152*(1+rvanilla02)^0.5)/A10stdlife))</f>
        <v>0</v>
      </c>
      <c r="BD196" s="107">
        <f>IF(A10stdlife="n/a","n/a",IF(BD$3&gt;(A10stdlife+$E196),('PTRM input'!$H$152*(1+rvanilla02)^0.5)-SUM($H196:BC196),('PTRM input'!$H$152*(1+rvanilla02)^0.5)/A10stdlife))</f>
        <v>0</v>
      </c>
      <c r="BE196" s="107">
        <f>IF(A10stdlife="n/a","n/a",IF(BE$3&gt;(A10stdlife+$E196),('PTRM input'!$H$152*(1+rvanilla02)^0.5)-SUM($H196:BD196),('PTRM input'!$H$152*(1+rvanilla02)^0.5)/A10stdlife))</f>
        <v>0</v>
      </c>
      <c r="BF196" s="107">
        <f>IF(A10stdlife="n/a","n/a",IF(BF$3&gt;(A10stdlife+$E196),('PTRM input'!$H$152*(1+rvanilla02)^0.5)-SUM($H196:BE196),('PTRM input'!$H$152*(1+rvanilla02)^0.5)/A10stdlife))</f>
        <v>0</v>
      </c>
      <c r="BG196" s="107">
        <f>IF(A10stdlife="n/a","n/a",IF(BG$3&gt;(A10stdlife+$E196),('PTRM input'!$H$152*(1+rvanilla02)^0.5)-SUM($H196:BF196),('PTRM input'!$H$152*(1+rvanilla02)^0.5)/A10stdlife))</f>
        <v>0</v>
      </c>
      <c r="BH196" s="107">
        <f>IF(A10stdlife="n/a","n/a",IF(BH$3&gt;(A10stdlife+$E196),('PTRM input'!$H$152*(1+rvanilla02)^0.5)-SUM($H196:BG196),('PTRM input'!$H$152*(1+rvanilla02)^0.5)/A10stdlife))</f>
        <v>0</v>
      </c>
      <c r="BI196" s="107">
        <f>IF(A10stdlife="n/a","n/a",IF(BI$3&gt;(A10stdlife+$E196),('PTRM input'!$H$152*(1+rvanilla02)^0.5)-SUM($H196:BH196),('PTRM input'!$H$152*(1+rvanilla02)^0.5)/A10stdlife))</f>
        <v>0</v>
      </c>
      <c r="BJ196" s="237"/>
      <c r="BK196" s="237"/>
      <c r="BL196" s="237"/>
      <c r="BM196" s="237"/>
    </row>
    <row r="197" spans="1:65" s="190" customFormat="1" hidden="1" outlineLevel="2">
      <c r="A197" s="237"/>
      <c r="B197" s="33"/>
      <c r="C197" s="32"/>
      <c r="D197" s="1618"/>
      <c r="E197" s="169">
        <v>3</v>
      </c>
      <c r="F197" s="35"/>
      <c r="G197" s="184"/>
      <c r="H197" s="186"/>
      <c r="I197" s="185"/>
      <c r="J197" s="107">
        <f>IF(A10stdlife="n/a","n/a",IF(J$3&gt;(A10stdlife+$E197),('PTRM input'!$I$152*(1+rvanilla03)^0.5)-SUM($I197:I197),('PTRM input'!$I$152*(1+rvanilla03)^0.5)/A10stdlife))</f>
        <v>0</v>
      </c>
      <c r="K197" s="107">
        <f>IF(A10stdlife="n/a","n/a",IF(K$3&gt;(A10stdlife+$E197),('PTRM input'!$I$152*(1+rvanilla03)^0.5)-SUM($I197:J197),('PTRM input'!$I$152*(1+rvanilla03)^0.5)/A10stdlife))</f>
        <v>0</v>
      </c>
      <c r="L197" s="107">
        <f>IF(A10stdlife="n/a","n/a",IF(L$3&gt;(A10stdlife+$E197),('PTRM input'!$I$152*(1+rvanilla03)^0.5)-SUM($I197:K197),('PTRM input'!$I$152*(1+rvanilla03)^0.5)/A10stdlife))</f>
        <v>0</v>
      </c>
      <c r="M197" s="107">
        <f>IF(A10stdlife="n/a","n/a",IF(M$3&gt;(A10stdlife+$E197),('PTRM input'!$I$152*(1+rvanilla03)^0.5)-SUM($I197:L197),('PTRM input'!$I$152*(1+rvanilla03)^0.5)/A10stdlife))</f>
        <v>0</v>
      </c>
      <c r="N197" s="107">
        <f>IF(A10stdlife="n/a","n/a",IF(N$3&gt;(A10stdlife+$E197),('PTRM input'!$I$152*(1+rvanilla03)^0.5)-SUM($I197:M197),('PTRM input'!$I$152*(1+rvanilla03)^0.5)/A10stdlife))</f>
        <v>0</v>
      </c>
      <c r="O197" s="107">
        <f>IF(A10stdlife="n/a","n/a",IF(O$3&gt;(A10stdlife+$E197),('PTRM input'!$I$152*(1+rvanilla03)^0.5)-SUM($I197:N197),('PTRM input'!$I$152*(1+rvanilla03)^0.5)/A10stdlife))</f>
        <v>0</v>
      </c>
      <c r="P197" s="107">
        <f>IF(A10stdlife="n/a","n/a",IF(P$3&gt;(A10stdlife+$E197),('PTRM input'!$I$152*(1+rvanilla03)^0.5)-SUM($I197:O197),('PTRM input'!$I$152*(1+rvanilla03)^0.5)/A10stdlife))</f>
        <v>0</v>
      </c>
      <c r="Q197" s="107">
        <f>IF(A10stdlife="n/a","n/a",IF(Q$3&gt;(A10stdlife+$E197),('PTRM input'!$I$152*(1+rvanilla03)^0.5)-SUM($I197:P197),('PTRM input'!$I$152*(1+rvanilla03)^0.5)/A10stdlife))</f>
        <v>0</v>
      </c>
      <c r="R197" s="107">
        <f>IF(A10stdlife="n/a","n/a",IF(R$3&gt;(A10stdlife+$E197),('PTRM input'!$I$152*(1+rvanilla03)^0.5)-SUM($I197:Q197),('PTRM input'!$I$152*(1+rvanilla03)^0.5)/A10stdlife))</f>
        <v>0</v>
      </c>
      <c r="S197" s="107">
        <f>IF(A10stdlife="n/a","n/a",IF(S$3&gt;(A10stdlife+$E197),('PTRM input'!$I$152*(1+rvanilla03)^0.5)-SUM($I197:R197),('PTRM input'!$I$152*(1+rvanilla03)^0.5)/A10stdlife))</f>
        <v>0</v>
      </c>
      <c r="T197" s="107">
        <f>IF(A10stdlife="n/a","n/a",IF(T$3&gt;(A10stdlife+$E197),('PTRM input'!$I$152*(1+rvanilla03)^0.5)-SUM($I197:S197),('PTRM input'!$I$152*(1+rvanilla03)^0.5)/A10stdlife))</f>
        <v>0</v>
      </c>
      <c r="U197" s="107">
        <f>IF(A10stdlife="n/a","n/a",IF(U$3&gt;(A10stdlife+$E197),('PTRM input'!$I$152*(1+rvanilla03)^0.5)-SUM($I197:T197),('PTRM input'!$I$152*(1+rvanilla03)^0.5)/A10stdlife))</f>
        <v>0</v>
      </c>
      <c r="V197" s="107">
        <f>IF(A10stdlife="n/a","n/a",IF(V$3&gt;(A10stdlife+$E197),('PTRM input'!$I$152*(1+rvanilla03)^0.5)-SUM($I197:U197),('PTRM input'!$I$152*(1+rvanilla03)^0.5)/A10stdlife))</f>
        <v>0</v>
      </c>
      <c r="W197" s="107">
        <f>IF(A10stdlife="n/a","n/a",IF(W$3&gt;(A10stdlife+$E197),('PTRM input'!$I$152*(1+rvanilla03)^0.5)-SUM($I197:V197),('PTRM input'!$I$152*(1+rvanilla03)^0.5)/A10stdlife))</f>
        <v>0</v>
      </c>
      <c r="X197" s="107">
        <f>IF(A10stdlife="n/a","n/a",IF(X$3&gt;(A10stdlife+$E197),('PTRM input'!$I$152*(1+rvanilla03)^0.5)-SUM($I197:W197),('PTRM input'!$I$152*(1+rvanilla03)^0.5)/A10stdlife))</f>
        <v>0</v>
      </c>
      <c r="Y197" s="107">
        <f>IF(A10stdlife="n/a","n/a",IF(Y$3&gt;(A10stdlife+$E197),('PTRM input'!$I$152*(1+rvanilla03)^0.5)-SUM($I197:X197),('PTRM input'!$I$152*(1+rvanilla03)^0.5)/A10stdlife))</f>
        <v>0</v>
      </c>
      <c r="Z197" s="107">
        <f>IF(A10stdlife="n/a","n/a",IF(Z$3&gt;(A10stdlife+$E197),('PTRM input'!$I$152*(1+rvanilla03)^0.5)-SUM($I197:Y197),('PTRM input'!$I$152*(1+rvanilla03)^0.5)/A10stdlife))</f>
        <v>0</v>
      </c>
      <c r="AA197" s="107">
        <f>IF(A10stdlife="n/a","n/a",IF(AA$3&gt;(A10stdlife+$E197),('PTRM input'!$I$152*(1+rvanilla03)^0.5)-SUM($I197:Z197),('PTRM input'!$I$152*(1+rvanilla03)^0.5)/A10stdlife))</f>
        <v>0</v>
      </c>
      <c r="AB197" s="107">
        <f>IF(A10stdlife="n/a","n/a",IF(AB$3&gt;(A10stdlife+$E197),('PTRM input'!$I$152*(1+rvanilla03)^0.5)-SUM($I197:AA197),('PTRM input'!$I$152*(1+rvanilla03)^0.5)/A10stdlife))</f>
        <v>0</v>
      </c>
      <c r="AC197" s="107">
        <f>IF(A10stdlife="n/a","n/a",IF(AC$3&gt;(A10stdlife+$E197),('PTRM input'!$I$152*(1+rvanilla03)^0.5)-SUM($I197:AB197),('PTRM input'!$I$152*(1+rvanilla03)^0.5)/A10stdlife))</f>
        <v>0</v>
      </c>
      <c r="AD197" s="107">
        <f>IF(A10stdlife="n/a","n/a",IF(AD$3&gt;(A10stdlife+$E197),('PTRM input'!$I$152*(1+rvanilla03)^0.5)-SUM($I197:AC197),('PTRM input'!$I$152*(1+rvanilla03)^0.5)/A10stdlife))</f>
        <v>0</v>
      </c>
      <c r="AE197" s="107">
        <f>IF(A10stdlife="n/a","n/a",IF(AE$3&gt;(A10stdlife+$E197),('PTRM input'!$I$152*(1+rvanilla03)^0.5)-SUM($I197:AD197),('PTRM input'!$I$152*(1+rvanilla03)^0.5)/A10stdlife))</f>
        <v>0</v>
      </c>
      <c r="AF197" s="107">
        <f>IF(A10stdlife="n/a","n/a",IF(AF$3&gt;(A10stdlife+$E197),('PTRM input'!$I$152*(1+rvanilla03)^0.5)-SUM($I197:AE197),('PTRM input'!$I$152*(1+rvanilla03)^0.5)/A10stdlife))</f>
        <v>0</v>
      </c>
      <c r="AG197" s="107">
        <f>IF(A10stdlife="n/a","n/a",IF(AG$3&gt;(A10stdlife+$E197),('PTRM input'!$I$152*(1+rvanilla03)^0.5)-SUM($I197:AF197),('PTRM input'!$I$152*(1+rvanilla03)^0.5)/A10stdlife))</f>
        <v>0</v>
      </c>
      <c r="AH197" s="107">
        <f>IF(A10stdlife="n/a","n/a",IF(AH$3&gt;(A10stdlife+$E197),('PTRM input'!$I$152*(1+rvanilla03)^0.5)-SUM($I197:AG197),('PTRM input'!$I$152*(1+rvanilla03)^0.5)/A10stdlife))</f>
        <v>0</v>
      </c>
      <c r="AI197" s="107">
        <f>IF(A10stdlife="n/a","n/a",IF(AI$3&gt;(A10stdlife+$E197),('PTRM input'!$I$152*(1+rvanilla03)^0.5)-SUM($I197:AH197),('PTRM input'!$I$152*(1+rvanilla03)^0.5)/A10stdlife))</f>
        <v>0</v>
      </c>
      <c r="AJ197" s="107">
        <f>IF(A10stdlife="n/a","n/a",IF(AJ$3&gt;(A10stdlife+$E197),('PTRM input'!$I$152*(1+rvanilla03)^0.5)-SUM($I197:AI197),('PTRM input'!$I$152*(1+rvanilla03)^0.5)/A10stdlife))</f>
        <v>0</v>
      </c>
      <c r="AK197" s="107">
        <f>IF(A10stdlife="n/a","n/a",IF(AK$3&gt;(A10stdlife+$E197),('PTRM input'!$I$152*(1+rvanilla03)^0.5)-SUM($I197:AJ197),('PTRM input'!$I$152*(1+rvanilla03)^0.5)/A10stdlife))</f>
        <v>0</v>
      </c>
      <c r="AL197" s="107">
        <f>IF(A10stdlife="n/a","n/a",IF(AL$3&gt;(A10stdlife+$E197),('PTRM input'!$I$152*(1+rvanilla03)^0.5)-SUM($I197:AK197),('PTRM input'!$I$152*(1+rvanilla03)^0.5)/A10stdlife))</f>
        <v>0</v>
      </c>
      <c r="AM197" s="107">
        <f>IF(A10stdlife="n/a","n/a",IF(AM$3&gt;(A10stdlife+$E197),('PTRM input'!$I$152*(1+rvanilla03)^0.5)-SUM($I197:AL197),('PTRM input'!$I$152*(1+rvanilla03)^0.5)/A10stdlife))</f>
        <v>0</v>
      </c>
      <c r="AN197" s="107">
        <f>IF(A10stdlife="n/a","n/a",IF(AN$3&gt;(A10stdlife+$E197),('PTRM input'!$I$152*(1+rvanilla03)^0.5)-SUM($I197:AM197),('PTRM input'!$I$152*(1+rvanilla03)^0.5)/A10stdlife))</f>
        <v>0</v>
      </c>
      <c r="AO197" s="107">
        <f>IF(A10stdlife="n/a","n/a",IF(AO$3&gt;(A10stdlife+$E197),('PTRM input'!$I$152*(1+rvanilla03)^0.5)-SUM($I197:AN197),('PTRM input'!$I$152*(1+rvanilla03)^0.5)/A10stdlife))</f>
        <v>0</v>
      </c>
      <c r="AP197" s="107">
        <f>IF(A10stdlife="n/a","n/a",IF(AP$3&gt;(A10stdlife+$E197),('PTRM input'!$I$152*(1+rvanilla03)^0.5)-SUM($I197:AO197),('PTRM input'!$I$152*(1+rvanilla03)^0.5)/A10stdlife))</f>
        <v>0</v>
      </c>
      <c r="AQ197" s="107">
        <f>IF(A10stdlife="n/a","n/a",IF(AQ$3&gt;(A10stdlife+$E197),('PTRM input'!$I$152*(1+rvanilla03)^0.5)-SUM($I197:AP197),('PTRM input'!$I$152*(1+rvanilla03)^0.5)/A10stdlife))</f>
        <v>0</v>
      </c>
      <c r="AR197" s="107">
        <f>IF(A10stdlife="n/a","n/a",IF(AR$3&gt;(A10stdlife+$E197),('PTRM input'!$I$152*(1+rvanilla03)^0.5)-SUM($I197:AQ197),('PTRM input'!$I$152*(1+rvanilla03)^0.5)/A10stdlife))</f>
        <v>0</v>
      </c>
      <c r="AS197" s="107">
        <f>IF(A10stdlife="n/a","n/a",IF(AS$3&gt;(A10stdlife+$E197),('PTRM input'!$I$152*(1+rvanilla03)^0.5)-SUM($I197:AR197),('PTRM input'!$I$152*(1+rvanilla03)^0.5)/A10stdlife))</f>
        <v>0</v>
      </c>
      <c r="AT197" s="107">
        <f>IF(A10stdlife="n/a","n/a",IF(AT$3&gt;(A10stdlife+$E197),('PTRM input'!$I$152*(1+rvanilla03)^0.5)-SUM($I197:AS197),('PTRM input'!$I$152*(1+rvanilla03)^0.5)/A10stdlife))</f>
        <v>0</v>
      </c>
      <c r="AU197" s="107">
        <f>IF(A10stdlife="n/a","n/a",IF(AU$3&gt;(A10stdlife+$E197),('PTRM input'!$I$152*(1+rvanilla03)^0.5)-SUM($I197:AT197),('PTRM input'!$I$152*(1+rvanilla03)^0.5)/A10stdlife))</f>
        <v>0</v>
      </c>
      <c r="AV197" s="107">
        <f>IF(A10stdlife="n/a","n/a",IF(AV$3&gt;(A10stdlife+$E197),('PTRM input'!$I$152*(1+rvanilla03)^0.5)-SUM($I197:AU197),('PTRM input'!$I$152*(1+rvanilla03)^0.5)/A10stdlife))</f>
        <v>0</v>
      </c>
      <c r="AW197" s="107">
        <f>IF(A10stdlife="n/a","n/a",IF(AW$3&gt;(A10stdlife+$E197),('PTRM input'!$I$152*(1+rvanilla03)^0.5)-SUM($I197:AV197),('PTRM input'!$I$152*(1+rvanilla03)^0.5)/A10stdlife))</f>
        <v>0</v>
      </c>
      <c r="AX197" s="107">
        <f>IF(A10stdlife="n/a","n/a",IF(AX$3&gt;(A10stdlife+$E197),('PTRM input'!$I$152*(1+rvanilla03)^0.5)-SUM($I197:AW197),('PTRM input'!$I$152*(1+rvanilla03)^0.5)/A10stdlife))</f>
        <v>0</v>
      </c>
      <c r="AY197" s="107">
        <f>IF(A10stdlife="n/a","n/a",IF(AY$3&gt;(A10stdlife+$E197),('PTRM input'!$I$152*(1+rvanilla03)^0.5)-SUM($I197:AX197),('PTRM input'!$I$152*(1+rvanilla03)^0.5)/A10stdlife))</f>
        <v>0</v>
      </c>
      <c r="AZ197" s="107">
        <f>IF(A10stdlife="n/a","n/a",IF(AZ$3&gt;(A10stdlife+$E197),('PTRM input'!$I$152*(1+rvanilla03)^0.5)-SUM($I197:AY197),('PTRM input'!$I$152*(1+rvanilla03)^0.5)/A10stdlife))</f>
        <v>0</v>
      </c>
      <c r="BA197" s="107">
        <f>IF(A10stdlife="n/a","n/a",IF(BA$3&gt;(A10stdlife+$E197),('PTRM input'!$I$152*(1+rvanilla03)^0.5)-SUM($I197:AZ197),('PTRM input'!$I$152*(1+rvanilla03)^0.5)/A10stdlife))</f>
        <v>0</v>
      </c>
      <c r="BB197" s="107">
        <f>IF(A10stdlife="n/a","n/a",IF(BB$3&gt;(A10stdlife+$E197),('PTRM input'!$I$152*(1+rvanilla03)^0.5)-SUM($I197:BA197),('PTRM input'!$I$152*(1+rvanilla03)^0.5)/A10stdlife))</f>
        <v>0</v>
      </c>
      <c r="BC197" s="107">
        <f>IF(A10stdlife="n/a","n/a",IF(BC$3&gt;(A10stdlife+$E197),('PTRM input'!$I$152*(1+rvanilla03)^0.5)-SUM($I197:BB197),('PTRM input'!$I$152*(1+rvanilla03)^0.5)/A10stdlife))</f>
        <v>0</v>
      </c>
      <c r="BD197" s="107">
        <f>IF(A10stdlife="n/a","n/a",IF(BD$3&gt;(A10stdlife+$E197),('PTRM input'!$I$152*(1+rvanilla03)^0.5)-SUM($I197:BC197),('PTRM input'!$I$152*(1+rvanilla03)^0.5)/A10stdlife))</f>
        <v>0</v>
      </c>
      <c r="BE197" s="107">
        <f>IF(A10stdlife="n/a","n/a",IF(BE$3&gt;(A10stdlife+$E197),('PTRM input'!$I$152*(1+rvanilla03)^0.5)-SUM($I197:BD197),('PTRM input'!$I$152*(1+rvanilla03)^0.5)/A10stdlife))</f>
        <v>0</v>
      </c>
      <c r="BF197" s="107">
        <f>IF(A10stdlife="n/a","n/a",IF(BF$3&gt;(A10stdlife+$E197),('PTRM input'!$I$152*(1+rvanilla03)^0.5)-SUM($I197:BE197),('PTRM input'!$I$152*(1+rvanilla03)^0.5)/A10stdlife))</f>
        <v>0</v>
      </c>
      <c r="BG197" s="107">
        <f>IF(A10stdlife="n/a","n/a",IF(BG$3&gt;(A10stdlife+$E197),('PTRM input'!$I$152*(1+rvanilla03)^0.5)-SUM($I197:BF197),('PTRM input'!$I$152*(1+rvanilla03)^0.5)/A10stdlife))</f>
        <v>0</v>
      </c>
      <c r="BH197" s="107">
        <f>IF(A10stdlife="n/a","n/a",IF(BH$3&gt;(A10stdlife+$E197),('PTRM input'!$I$152*(1+rvanilla03)^0.5)-SUM($I197:BG197),('PTRM input'!$I$152*(1+rvanilla03)^0.5)/A10stdlife))</f>
        <v>0</v>
      </c>
      <c r="BI197" s="107">
        <f>IF(A10stdlife="n/a","n/a",IF(BI$3&gt;(A10stdlife+$E197),('PTRM input'!$I$152*(1+rvanilla03)^0.5)-SUM($I197:BH197),('PTRM input'!$I$152*(1+rvanilla03)^0.5)/A10stdlife))</f>
        <v>0</v>
      </c>
      <c r="BJ197" s="237"/>
      <c r="BK197" s="237"/>
      <c r="BL197" s="237"/>
      <c r="BM197" s="237"/>
    </row>
    <row r="198" spans="1:65" s="190" customFormat="1" hidden="1" outlineLevel="2">
      <c r="A198" s="237"/>
      <c r="B198" s="33"/>
      <c r="C198" s="32"/>
      <c r="D198" s="1618"/>
      <c r="E198" s="169">
        <v>4</v>
      </c>
      <c r="F198" s="35"/>
      <c r="G198" s="184"/>
      <c r="H198" s="186"/>
      <c r="I198" s="186"/>
      <c r="J198" s="185"/>
      <c r="K198" s="107">
        <f>IF(A10stdlife="n/a","n/a",IF(K$3&gt;(A10stdlife+$E198),('PTRM input'!$J$152*(1+rvanilla04)^0.5)-SUM($J198:J198),('PTRM input'!$J$152*(1+rvanilla04)^0.5)/A10stdlife))</f>
        <v>0</v>
      </c>
      <c r="L198" s="107">
        <f>IF(A10stdlife="n/a","n/a",IF(L$3&gt;(A10stdlife+$E198),('PTRM input'!$J$152*(1+rvanilla04)^0.5)-SUM($J198:K198),('PTRM input'!$J$152*(1+rvanilla04)^0.5)/A10stdlife))</f>
        <v>0</v>
      </c>
      <c r="M198" s="107">
        <f>IF(A10stdlife="n/a","n/a",IF(M$3&gt;(A10stdlife+$E198),('PTRM input'!$J$152*(1+rvanilla04)^0.5)-SUM($J198:L198),('PTRM input'!$J$152*(1+rvanilla04)^0.5)/A10stdlife))</f>
        <v>0</v>
      </c>
      <c r="N198" s="107">
        <f>IF(A10stdlife="n/a","n/a",IF(N$3&gt;(A10stdlife+$E198),('PTRM input'!$J$152*(1+rvanilla04)^0.5)-SUM($J198:M198),('PTRM input'!$J$152*(1+rvanilla04)^0.5)/A10stdlife))</f>
        <v>0</v>
      </c>
      <c r="O198" s="107">
        <f>IF(A10stdlife="n/a","n/a",IF(O$3&gt;(A10stdlife+$E198),('PTRM input'!$J$152*(1+rvanilla04)^0.5)-SUM($J198:N198),('PTRM input'!$J$152*(1+rvanilla04)^0.5)/A10stdlife))</f>
        <v>0</v>
      </c>
      <c r="P198" s="107">
        <f>IF(A10stdlife="n/a","n/a",IF(P$3&gt;(A10stdlife+$E198),('PTRM input'!$J$152*(1+rvanilla04)^0.5)-SUM($J198:O198),('PTRM input'!$J$152*(1+rvanilla04)^0.5)/A10stdlife))</f>
        <v>0</v>
      </c>
      <c r="Q198" s="107">
        <f>IF(A10stdlife="n/a","n/a",IF(Q$3&gt;(A10stdlife+$E198),('PTRM input'!$J$152*(1+rvanilla04)^0.5)-SUM($J198:P198),('PTRM input'!$J$152*(1+rvanilla04)^0.5)/A10stdlife))</f>
        <v>0</v>
      </c>
      <c r="R198" s="107">
        <f>IF(A10stdlife="n/a","n/a",IF(R$3&gt;(A10stdlife+$E198),('PTRM input'!$J$152*(1+rvanilla04)^0.5)-SUM($J198:Q198),('PTRM input'!$J$152*(1+rvanilla04)^0.5)/A10stdlife))</f>
        <v>0</v>
      </c>
      <c r="S198" s="107">
        <f>IF(A10stdlife="n/a","n/a",IF(S$3&gt;(A10stdlife+$E198),('PTRM input'!$J$152*(1+rvanilla04)^0.5)-SUM($J198:R198),('PTRM input'!$J$152*(1+rvanilla04)^0.5)/A10stdlife))</f>
        <v>0</v>
      </c>
      <c r="T198" s="107">
        <f>IF(A10stdlife="n/a","n/a",IF(T$3&gt;(A10stdlife+$E198),('PTRM input'!$J$152*(1+rvanilla04)^0.5)-SUM($J198:S198),('PTRM input'!$J$152*(1+rvanilla04)^0.5)/A10stdlife))</f>
        <v>0</v>
      </c>
      <c r="U198" s="107">
        <f>IF(A10stdlife="n/a","n/a",IF(U$3&gt;(A10stdlife+$E198),('PTRM input'!$J$152*(1+rvanilla04)^0.5)-SUM($J198:T198),('PTRM input'!$J$152*(1+rvanilla04)^0.5)/A10stdlife))</f>
        <v>0</v>
      </c>
      <c r="V198" s="107">
        <f>IF(A10stdlife="n/a","n/a",IF(V$3&gt;(A10stdlife+$E198),('PTRM input'!$J$152*(1+rvanilla04)^0.5)-SUM($J198:U198),('PTRM input'!$J$152*(1+rvanilla04)^0.5)/A10stdlife))</f>
        <v>0</v>
      </c>
      <c r="W198" s="107">
        <f>IF(A10stdlife="n/a","n/a",IF(W$3&gt;(A10stdlife+$E198),('PTRM input'!$J$152*(1+rvanilla04)^0.5)-SUM($J198:V198),('PTRM input'!$J$152*(1+rvanilla04)^0.5)/A10stdlife))</f>
        <v>0</v>
      </c>
      <c r="X198" s="107">
        <f>IF(A10stdlife="n/a","n/a",IF(X$3&gt;(A10stdlife+$E198),('PTRM input'!$J$152*(1+rvanilla04)^0.5)-SUM($J198:W198),('PTRM input'!$J$152*(1+rvanilla04)^0.5)/A10stdlife))</f>
        <v>0</v>
      </c>
      <c r="Y198" s="107">
        <f>IF(A10stdlife="n/a","n/a",IF(Y$3&gt;(A10stdlife+$E198),('PTRM input'!$J$152*(1+rvanilla04)^0.5)-SUM($J198:X198),('PTRM input'!$J$152*(1+rvanilla04)^0.5)/A10stdlife))</f>
        <v>0</v>
      </c>
      <c r="Z198" s="107">
        <f>IF(A10stdlife="n/a","n/a",IF(Z$3&gt;(A10stdlife+$E198),('PTRM input'!$J$152*(1+rvanilla04)^0.5)-SUM($J198:Y198),('PTRM input'!$J$152*(1+rvanilla04)^0.5)/A10stdlife))</f>
        <v>0</v>
      </c>
      <c r="AA198" s="107">
        <f>IF(A10stdlife="n/a","n/a",IF(AA$3&gt;(A10stdlife+$E198),('PTRM input'!$J$152*(1+rvanilla04)^0.5)-SUM($J198:Z198),('PTRM input'!$J$152*(1+rvanilla04)^0.5)/A10stdlife))</f>
        <v>0</v>
      </c>
      <c r="AB198" s="107">
        <f>IF(A10stdlife="n/a","n/a",IF(AB$3&gt;(A10stdlife+$E198),('PTRM input'!$J$152*(1+rvanilla04)^0.5)-SUM($J198:AA198),('PTRM input'!$J$152*(1+rvanilla04)^0.5)/A10stdlife))</f>
        <v>0</v>
      </c>
      <c r="AC198" s="107">
        <f>IF(A10stdlife="n/a","n/a",IF(AC$3&gt;(A10stdlife+$E198),('PTRM input'!$J$152*(1+rvanilla04)^0.5)-SUM($J198:AB198),('PTRM input'!$J$152*(1+rvanilla04)^0.5)/A10stdlife))</f>
        <v>0</v>
      </c>
      <c r="AD198" s="107">
        <f>IF(A10stdlife="n/a","n/a",IF(AD$3&gt;(A10stdlife+$E198),('PTRM input'!$J$152*(1+rvanilla04)^0.5)-SUM($J198:AC198),('PTRM input'!$J$152*(1+rvanilla04)^0.5)/A10stdlife))</f>
        <v>0</v>
      </c>
      <c r="AE198" s="107">
        <f>IF(A10stdlife="n/a","n/a",IF(AE$3&gt;(A10stdlife+$E198),('PTRM input'!$J$152*(1+rvanilla04)^0.5)-SUM($J198:AD198),('PTRM input'!$J$152*(1+rvanilla04)^0.5)/A10stdlife))</f>
        <v>0</v>
      </c>
      <c r="AF198" s="107">
        <f>IF(A10stdlife="n/a","n/a",IF(AF$3&gt;(A10stdlife+$E198),('PTRM input'!$J$152*(1+rvanilla04)^0.5)-SUM($J198:AE198),('PTRM input'!$J$152*(1+rvanilla04)^0.5)/A10stdlife))</f>
        <v>0</v>
      </c>
      <c r="AG198" s="107">
        <f>IF(A10stdlife="n/a","n/a",IF(AG$3&gt;(A10stdlife+$E198),('PTRM input'!$J$152*(1+rvanilla04)^0.5)-SUM($J198:AF198),('PTRM input'!$J$152*(1+rvanilla04)^0.5)/A10stdlife))</f>
        <v>0</v>
      </c>
      <c r="AH198" s="107">
        <f>IF(A10stdlife="n/a","n/a",IF(AH$3&gt;(A10stdlife+$E198),('PTRM input'!$J$152*(1+rvanilla04)^0.5)-SUM($J198:AG198),('PTRM input'!$J$152*(1+rvanilla04)^0.5)/A10stdlife))</f>
        <v>0</v>
      </c>
      <c r="AI198" s="107">
        <f>IF(A10stdlife="n/a","n/a",IF(AI$3&gt;(A10stdlife+$E198),('PTRM input'!$J$152*(1+rvanilla04)^0.5)-SUM($J198:AH198),('PTRM input'!$J$152*(1+rvanilla04)^0.5)/A10stdlife))</f>
        <v>0</v>
      </c>
      <c r="AJ198" s="107">
        <f>IF(A10stdlife="n/a","n/a",IF(AJ$3&gt;(A10stdlife+$E198),('PTRM input'!$J$152*(1+rvanilla04)^0.5)-SUM($J198:AI198),('PTRM input'!$J$152*(1+rvanilla04)^0.5)/A10stdlife))</f>
        <v>0</v>
      </c>
      <c r="AK198" s="107">
        <f>IF(A10stdlife="n/a","n/a",IF(AK$3&gt;(A10stdlife+$E198),('PTRM input'!$J$152*(1+rvanilla04)^0.5)-SUM($J198:AJ198),('PTRM input'!$J$152*(1+rvanilla04)^0.5)/A10stdlife))</f>
        <v>0</v>
      </c>
      <c r="AL198" s="107">
        <f>IF(A10stdlife="n/a","n/a",IF(AL$3&gt;(A10stdlife+$E198),('PTRM input'!$J$152*(1+rvanilla04)^0.5)-SUM($J198:AK198),('PTRM input'!$J$152*(1+rvanilla04)^0.5)/A10stdlife))</f>
        <v>0</v>
      </c>
      <c r="AM198" s="107">
        <f>IF(A10stdlife="n/a","n/a",IF(AM$3&gt;(A10stdlife+$E198),('PTRM input'!$J$152*(1+rvanilla04)^0.5)-SUM($J198:AL198),('PTRM input'!$J$152*(1+rvanilla04)^0.5)/A10stdlife))</f>
        <v>0</v>
      </c>
      <c r="AN198" s="107">
        <f>IF(A10stdlife="n/a","n/a",IF(AN$3&gt;(A10stdlife+$E198),('PTRM input'!$J$152*(1+rvanilla04)^0.5)-SUM($J198:AM198),('PTRM input'!$J$152*(1+rvanilla04)^0.5)/A10stdlife))</f>
        <v>0</v>
      </c>
      <c r="AO198" s="107">
        <f>IF(A10stdlife="n/a","n/a",IF(AO$3&gt;(A10stdlife+$E198),('PTRM input'!$J$152*(1+rvanilla04)^0.5)-SUM($J198:AN198),('PTRM input'!$J$152*(1+rvanilla04)^0.5)/A10stdlife))</f>
        <v>0</v>
      </c>
      <c r="AP198" s="107">
        <f>IF(A10stdlife="n/a","n/a",IF(AP$3&gt;(A10stdlife+$E198),('PTRM input'!$J$152*(1+rvanilla04)^0.5)-SUM($J198:AO198),('PTRM input'!$J$152*(1+rvanilla04)^0.5)/A10stdlife))</f>
        <v>0</v>
      </c>
      <c r="AQ198" s="107">
        <f>IF(A10stdlife="n/a","n/a",IF(AQ$3&gt;(A10stdlife+$E198),('PTRM input'!$J$152*(1+rvanilla04)^0.5)-SUM($J198:AP198),('PTRM input'!$J$152*(1+rvanilla04)^0.5)/A10stdlife))</f>
        <v>0</v>
      </c>
      <c r="AR198" s="107">
        <f>IF(A10stdlife="n/a","n/a",IF(AR$3&gt;(A10stdlife+$E198),('PTRM input'!$J$152*(1+rvanilla04)^0.5)-SUM($J198:AQ198),('PTRM input'!$J$152*(1+rvanilla04)^0.5)/A10stdlife))</f>
        <v>0</v>
      </c>
      <c r="AS198" s="107">
        <f>IF(A10stdlife="n/a","n/a",IF(AS$3&gt;(A10stdlife+$E198),('PTRM input'!$J$152*(1+rvanilla04)^0.5)-SUM($J198:AR198),('PTRM input'!$J$152*(1+rvanilla04)^0.5)/A10stdlife))</f>
        <v>0</v>
      </c>
      <c r="AT198" s="107">
        <f>IF(A10stdlife="n/a","n/a",IF(AT$3&gt;(A10stdlife+$E198),('PTRM input'!$J$152*(1+rvanilla04)^0.5)-SUM($J198:AS198),('PTRM input'!$J$152*(1+rvanilla04)^0.5)/A10stdlife))</f>
        <v>0</v>
      </c>
      <c r="AU198" s="107">
        <f>IF(A10stdlife="n/a","n/a",IF(AU$3&gt;(A10stdlife+$E198),('PTRM input'!$J$152*(1+rvanilla04)^0.5)-SUM($J198:AT198),('PTRM input'!$J$152*(1+rvanilla04)^0.5)/A10stdlife))</f>
        <v>0</v>
      </c>
      <c r="AV198" s="107">
        <f>IF(A10stdlife="n/a","n/a",IF(AV$3&gt;(A10stdlife+$E198),('PTRM input'!$J$152*(1+rvanilla04)^0.5)-SUM($J198:AU198),('PTRM input'!$J$152*(1+rvanilla04)^0.5)/A10stdlife))</f>
        <v>0</v>
      </c>
      <c r="AW198" s="107">
        <f>IF(A10stdlife="n/a","n/a",IF(AW$3&gt;(A10stdlife+$E198),('PTRM input'!$J$152*(1+rvanilla04)^0.5)-SUM($J198:AV198),('PTRM input'!$J$152*(1+rvanilla04)^0.5)/A10stdlife))</f>
        <v>0</v>
      </c>
      <c r="AX198" s="107">
        <f>IF(A10stdlife="n/a","n/a",IF(AX$3&gt;(A10stdlife+$E198),('PTRM input'!$J$152*(1+rvanilla04)^0.5)-SUM($J198:AW198),('PTRM input'!$J$152*(1+rvanilla04)^0.5)/A10stdlife))</f>
        <v>0</v>
      </c>
      <c r="AY198" s="107">
        <f>IF(A10stdlife="n/a","n/a",IF(AY$3&gt;(A10stdlife+$E198),('PTRM input'!$J$152*(1+rvanilla04)^0.5)-SUM($J198:AX198),('PTRM input'!$J$152*(1+rvanilla04)^0.5)/A10stdlife))</f>
        <v>0</v>
      </c>
      <c r="AZ198" s="107">
        <f>IF(A10stdlife="n/a","n/a",IF(AZ$3&gt;(A10stdlife+$E198),('PTRM input'!$J$152*(1+rvanilla04)^0.5)-SUM($J198:AY198),('PTRM input'!$J$152*(1+rvanilla04)^0.5)/A10stdlife))</f>
        <v>0</v>
      </c>
      <c r="BA198" s="107">
        <f>IF(A10stdlife="n/a","n/a",IF(BA$3&gt;(A10stdlife+$E198),('PTRM input'!$J$152*(1+rvanilla04)^0.5)-SUM($J198:AZ198),('PTRM input'!$J$152*(1+rvanilla04)^0.5)/A10stdlife))</f>
        <v>0</v>
      </c>
      <c r="BB198" s="107">
        <f>IF(A10stdlife="n/a","n/a",IF(BB$3&gt;(A10stdlife+$E198),('PTRM input'!$J$152*(1+rvanilla04)^0.5)-SUM($J198:BA198),('PTRM input'!$J$152*(1+rvanilla04)^0.5)/A10stdlife))</f>
        <v>0</v>
      </c>
      <c r="BC198" s="107">
        <f>IF(A10stdlife="n/a","n/a",IF(BC$3&gt;(A10stdlife+$E198),('PTRM input'!$J$152*(1+rvanilla04)^0.5)-SUM($J198:BB198),('PTRM input'!$J$152*(1+rvanilla04)^0.5)/A10stdlife))</f>
        <v>0</v>
      </c>
      <c r="BD198" s="107">
        <f>IF(A10stdlife="n/a","n/a",IF(BD$3&gt;(A10stdlife+$E198),('PTRM input'!$J$152*(1+rvanilla04)^0.5)-SUM($J198:BC198),('PTRM input'!$J$152*(1+rvanilla04)^0.5)/A10stdlife))</f>
        <v>0</v>
      </c>
      <c r="BE198" s="107">
        <f>IF(A10stdlife="n/a","n/a",IF(BE$3&gt;(A10stdlife+$E198),('PTRM input'!$J$152*(1+rvanilla04)^0.5)-SUM($J198:BD198),('PTRM input'!$J$152*(1+rvanilla04)^0.5)/A10stdlife))</f>
        <v>0</v>
      </c>
      <c r="BF198" s="107">
        <f>IF(A10stdlife="n/a","n/a",IF(BF$3&gt;(A10stdlife+$E198),('PTRM input'!$J$152*(1+rvanilla04)^0.5)-SUM($J198:BE198),('PTRM input'!$J$152*(1+rvanilla04)^0.5)/A10stdlife))</f>
        <v>0</v>
      </c>
      <c r="BG198" s="107">
        <f>IF(A10stdlife="n/a","n/a",IF(BG$3&gt;(A10stdlife+$E198),('PTRM input'!$J$152*(1+rvanilla04)^0.5)-SUM($J198:BF198),('PTRM input'!$J$152*(1+rvanilla04)^0.5)/A10stdlife))</f>
        <v>0</v>
      </c>
      <c r="BH198" s="107">
        <f>IF(A10stdlife="n/a","n/a",IF(BH$3&gt;(A10stdlife+$E198),('PTRM input'!$J$152*(1+rvanilla04)^0.5)-SUM($J198:BG198),('PTRM input'!$J$152*(1+rvanilla04)^0.5)/A10stdlife))</f>
        <v>0</v>
      </c>
      <c r="BI198" s="107">
        <f>IF(A10stdlife="n/a","n/a",IF(BI$3&gt;(A10stdlife+$E198),('PTRM input'!$J$152*(1+rvanilla04)^0.5)-SUM($J198:BH198),('PTRM input'!$J$152*(1+rvanilla04)^0.5)/A10stdlife))</f>
        <v>0</v>
      </c>
      <c r="BJ198" s="237"/>
      <c r="BK198" s="237"/>
      <c r="BL198" s="237"/>
      <c r="BM198" s="237"/>
    </row>
    <row r="199" spans="1:65" s="190" customFormat="1" hidden="1" outlineLevel="2">
      <c r="A199" s="237"/>
      <c r="B199" s="33"/>
      <c r="C199" s="32"/>
      <c r="D199" s="1618"/>
      <c r="E199" s="169">
        <v>5</v>
      </c>
      <c r="F199" s="35"/>
      <c r="G199" s="184"/>
      <c r="H199" s="186"/>
      <c r="I199" s="186"/>
      <c r="J199" s="186"/>
      <c r="K199" s="185"/>
      <c r="L199" s="107">
        <f>IF(A10stdlife="n/a","n/a",IF(L$3&gt;(A10stdlife+$E199),('PTRM input'!$K$152*(1+rvanilla05)^0.5)-SUM($K199:K199),('PTRM input'!$K$152*(1+rvanilla05)^0.5)/A10stdlife))</f>
        <v>0</v>
      </c>
      <c r="M199" s="107">
        <f>IF(A10stdlife="n/a","n/a",IF(M$3&gt;(A10stdlife+$E199),('PTRM input'!$K$152*(1+rvanilla05)^0.5)-SUM($K199:L199),('PTRM input'!$K$152*(1+rvanilla05)^0.5)/A10stdlife))</f>
        <v>0</v>
      </c>
      <c r="N199" s="107">
        <f>IF(A10stdlife="n/a","n/a",IF(N$3&gt;(A10stdlife+$E199),('PTRM input'!$K$152*(1+rvanilla05)^0.5)-SUM($K199:M199),('PTRM input'!$K$152*(1+rvanilla05)^0.5)/A10stdlife))</f>
        <v>0</v>
      </c>
      <c r="O199" s="107">
        <f>IF(A10stdlife="n/a","n/a",IF(O$3&gt;(A10stdlife+$E199),('PTRM input'!$K$152*(1+rvanilla05)^0.5)-SUM($K199:N199),('PTRM input'!$K$152*(1+rvanilla05)^0.5)/A10stdlife))</f>
        <v>0</v>
      </c>
      <c r="P199" s="107">
        <f>IF(A10stdlife="n/a","n/a",IF(P$3&gt;(A10stdlife+$E199),('PTRM input'!$K$152*(1+rvanilla05)^0.5)-SUM($K199:O199),('PTRM input'!$K$152*(1+rvanilla05)^0.5)/A10stdlife))</f>
        <v>0</v>
      </c>
      <c r="Q199" s="107">
        <f>IF(A10stdlife="n/a","n/a",IF(Q$3&gt;(A10stdlife+$E199),('PTRM input'!$K$152*(1+rvanilla05)^0.5)-SUM($K199:P199),('PTRM input'!$K$152*(1+rvanilla05)^0.5)/A10stdlife))</f>
        <v>0</v>
      </c>
      <c r="R199" s="107">
        <f>IF(A10stdlife="n/a","n/a",IF(R$3&gt;(A10stdlife+$E199),('PTRM input'!$K$152*(1+rvanilla05)^0.5)-SUM($K199:Q199),('PTRM input'!$K$152*(1+rvanilla05)^0.5)/A10stdlife))</f>
        <v>0</v>
      </c>
      <c r="S199" s="107">
        <f>IF(A10stdlife="n/a","n/a",IF(S$3&gt;(A10stdlife+$E199),('PTRM input'!$K$152*(1+rvanilla05)^0.5)-SUM($K199:R199),('PTRM input'!$K$152*(1+rvanilla05)^0.5)/A10stdlife))</f>
        <v>0</v>
      </c>
      <c r="T199" s="107">
        <f>IF(A10stdlife="n/a","n/a",IF(T$3&gt;(A10stdlife+$E199),('PTRM input'!$K$152*(1+rvanilla05)^0.5)-SUM($K199:S199),('PTRM input'!$K$152*(1+rvanilla05)^0.5)/A10stdlife))</f>
        <v>0</v>
      </c>
      <c r="U199" s="107">
        <f>IF(A10stdlife="n/a","n/a",IF(U$3&gt;(A10stdlife+$E199),('PTRM input'!$K$152*(1+rvanilla05)^0.5)-SUM($K199:T199),('PTRM input'!$K$152*(1+rvanilla05)^0.5)/A10stdlife))</f>
        <v>0</v>
      </c>
      <c r="V199" s="107">
        <f>IF(A10stdlife="n/a","n/a",IF(V$3&gt;(A10stdlife+$E199),('PTRM input'!$K$152*(1+rvanilla05)^0.5)-SUM($K199:U199),('PTRM input'!$K$152*(1+rvanilla05)^0.5)/A10stdlife))</f>
        <v>0</v>
      </c>
      <c r="W199" s="107">
        <f>IF(A10stdlife="n/a","n/a",IF(W$3&gt;(A10stdlife+$E199),('PTRM input'!$K$152*(1+rvanilla05)^0.5)-SUM($K199:V199),('PTRM input'!$K$152*(1+rvanilla05)^0.5)/A10stdlife))</f>
        <v>0</v>
      </c>
      <c r="X199" s="107">
        <f>IF(A10stdlife="n/a","n/a",IF(X$3&gt;(A10stdlife+$E199),('PTRM input'!$K$152*(1+rvanilla05)^0.5)-SUM($K199:W199),('PTRM input'!$K$152*(1+rvanilla05)^0.5)/A10stdlife))</f>
        <v>0</v>
      </c>
      <c r="Y199" s="107">
        <f>IF(A10stdlife="n/a","n/a",IF(Y$3&gt;(A10stdlife+$E199),('PTRM input'!$K$152*(1+rvanilla05)^0.5)-SUM($K199:X199),('PTRM input'!$K$152*(1+rvanilla05)^0.5)/A10stdlife))</f>
        <v>0</v>
      </c>
      <c r="Z199" s="107">
        <f>IF(A10stdlife="n/a","n/a",IF(Z$3&gt;(A10stdlife+$E199),('PTRM input'!$K$152*(1+rvanilla05)^0.5)-SUM($K199:Y199),('PTRM input'!$K$152*(1+rvanilla05)^0.5)/A10stdlife))</f>
        <v>0</v>
      </c>
      <c r="AA199" s="107">
        <f>IF(A10stdlife="n/a","n/a",IF(AA$3&gt;(A10stdlife+$E199),('PTRM input'!$K$152*(1+rvanilla05)^0.5)-SUM($K199:Z199),('PTRM input'!$K$152*(1+rvanilla05)^0.5)/A10stdlife))</f>
        <v>0</v>
      </c>
      <c r="AB199" s="107">
        <f>IF(A10stdlife="n/a","n/a",IF(AB$3&gt;(A10stdlife+$E199),('PTRM input'!$K$152*(1+rvanilla05)^0.5)-SUM($K199:AA199),('PTRM input'!$K$152*(1+rvanilla05)^0.5)/A10stdlife))</f>
        <v>0</v>
      </c>
      <c r="AC199" s="107">
        <f>IF(A10stdlife="n/a","n/a",IF(AC$3&gt;(A10stdlife+$E199),('PTRM input'!$K$152*(1+rvanilla05)^0.5)-SUM($K199:AB199),('PTRM input'!$K$152*(1+rvanilla05)^0.5)/A10stdlife))</f>
        <v>0</v>
      </c>
      <c r="AD199" s="107">
        <f>IF(A10stdlife="n/a","n/a",IF(AD$3&gt;(A10stdlife+$E199),('PTRM input'!$K$152*(1+rvanilla05)^0.5)-SUM($K199:AC199),('PTRM input'!$K$152*(1+rvanilla05)^0.5)/A10stdlife))</f>
        <v>0</v>
      </c>
      <c r="AE199" s="107">
        <f>IF(A10stdlife="n/a","n/a",IF(AE$3&gt;(A10stdlife+$E199),('PTRM input'!$K$152*(1+rvanilla05)^0.5)-SUM($K199:AD199),('PTRM input'!$K$152*(1+rvanilla05)^0.5)/A10stdlife))</f>
        <v>0</v>
      </c>
      <c r="AF199" s="107">
        <f>IF(A10stdlife="n/a","n/a",IF(AF$3&gt;(A10stdlife+$E199),('PTRM input'!$K$152*(1+rvanilla05)^0.5)-SUM($K199:AE199),('PTRM input'!$K$152*(1+rvanilla05)^0.5)/A10stdlife))</f>
        <v>0</v>
      </c>
      <c r="AG199" s="107">
        <f>IF(A10stdlife="n/a","n/a",IF(AG$3&gt;(A10stdlife+$E199),('PTRM input'!$K$152*(1+rvanilla05)^0.5)-SUM($K199:AF199),('PTRM input'!$K$152*(1+rvanilla05)^0.5)/A10stdlife))</f>
        <v>0</v>
      </c>
      <c r="AH199" s="107">
        <f>IF(A10stdlife="n/a","n/a",IF(AH$3&gt;(A10stdlife+$E199),('PTRM input'!$K$152*(1+rvanilla05)^0.5)-SUM($K199:AG199),('PTRM input'!$K$152*(1+rvanilla05)^0.5)/A10stdlife))</f>
        <v>0</v>
      </c>
      <c r="AI199" s="107">
        <f>IF(A10stdlife="n/a","n/a",IF(AI$3&gt;(A10stdlife+$E199),('PTRM input'!$K$152*(1+rvanilla05)^0.5)-SUM($K199:AH199),('PTRM input'!$K$152*(1+rvanilla05)^0.5)/A10stdlife))</f>
        <v>0</v>
      </c>
      <c r="AJ199" s="107">
        <f>IF(A10stdlife="n/a","n/a",IF(AJ$3&gt;(A10stdlife+$E199),('PTRM input'!$K$152*(1+rvanilla05)^0.5)-SUM($K199:AI199),('PTRM input'!$K$152*(1+rvanilla05)^0.5)/A10stdlife))</f>
        <v>0</v>
      </c>
      <c r="AK199" s="107">
        <f>IF(A10stdlife="n/a","n/a",IF(AK$3&gt;(A10stdlife+$E199),('PTRM input'!$K$152*(1+rvanilla05)^0.5)-SUM($K199:AJ199),('PTRM input'!$K$152*(1+rvanilla05)^0.5)/A10stdlife))</f>
        <v>0</v>
      </c>
      <c r="AL199" s="107">
        <f>IF(A10stdlife="n/a","n/a",IF(AL$3&gt;(A10stdlife+$E199),('PTRM input'!$K$152*(1+rvanilla05)^0.5)-SUM($K199:AK199),('PTRM input'!$K$152*(1+rvanilla05)^0.5)/A10stdlife))</f>
        <v>0</v>
      </c>
      <c r="AM199" s="107">
        <f>IF(A10stdlife="n/a","n/a",IF(AM$3&gt;(A10stdlife+$E199),('PTRM input'!$K$152*(1+rvanilla05)^0.5)-SUM($K199:AL199),('PTRM input'!$K$152*(1+rvanilla05)^0.5)/A10stdlife))</f>
        <v>0</v>
      </c>
      <c r="AN199" s="107">
        <f>IF(A10stdlife="n/a","n/a",IF(AN$3&gt;(A10stdlife+$E199),('PTRM input'!$K$152*(1+rvanilla05)^0.5)-SUM($K199:AM199),('PTRM input'!$K$152*(1+rvanilla05)^0.5)/A10stdlife))</f>
        <v>0</v>
      </c>
      <c r="AO199" s="107">
        <f>IF(A10stdlife="n/a","n/a",IF(AO$3&gt;(A10stdlife+$E199),('PTRM input'!$K$152*(1+rvanilla05)^0.5)-SUM($K199:AN199),('PTRM input'!$K$152*(1+rvanilla05)^0.5)/A10stdlife))</f>
        <v>0</v>
      </c>
      <c r="AP199" s="107">
        <f>IF(A10stdlife="n/a","n/a",IF(AP$3&gt;(A10stdlife+$E199),('PTRM input'!$K$152*(1+rvanilla05)^0.5)-SUM($K199:AO199),('PTRM input'!$K$152*(1+rvanilla05)^0.5)/A10stdlife))</f>
        <v>0</v>
      </c>
      <c r="AQ199" s="107">
        <f>IF(A10stdlife="n/a","n/a",IF(AQ$3&gt;(A10stdlife+$E199),('PTRM input'!$K$152*(1+rvanilla05)^0.5)-SUM($K199:AP199),('PTRM input'!$K$152*(1+rvanilla05)^0.5)/A10stdlife))</f>
        <v>0</v>
      </c>
      <c r="AR199" s="107">
        <f>IF(A10stdlife="n/a","n/a",IF(AR$3&gt;(A10stdlife+$E199),('PTRM input'!$K$152*(1+rvanilla05)^0.5)-SUM($K199:AQ199),('PTRM input'!$K$152*(1+rvanilla05)^0.5)/A10stdlife))</f>
        <v>0</v>
      </c>
      <c r="AS199" s="107">
        <f>IF(A10stdlife="n/a","n/a",IF(AS$3&gt;(A10stdlife+$E199),('PTRM input'!$K$152*(1+rvanilla05)^0.5)-SUM($K199:AR199),('PTRM input'!$K$152*(1+rvanilla05)^0.5)/A10stdlife))</f>
        <v>0</v>
      </c>
      <c r="AT199" s="107">
        <f>IF(A10stdlife="n/a","n/a",IF(AT$3&gt;(A10stdlife+$E199),('PTRM input'!$K$152*(1+rvanilla05)^0.5)-SUM($K199:AS199),('PTRM input'!$K$152*(1+rvanilla05)^0.5)/A10stdlife))</f>
        <v>0</v>
      </c>
      <c r="AU199" s="107">
        <f>IF(A10stdlife="n/a","n/a",IF(AU$3&gt;(A10stdlife+$E199),('PTRM input'!$K$152*(1+rvanilla05)^0.5)-SUM($K199:AT199),('PTRM input'!$K$152*(1+rvanilla05)^0.5)/A10stdlife))</f>
        <v>0</v>
      </c>
      <c r="AV199" s="107">
        <f>IF(A10stdlife="n/a","n/a",IF(AV$3&gt;(A10stdlife+$E199),('PTRM input'!$K$152*(1+rvanilla05)^0.5)-SUM($K199:AU199),('PTRM input'!$K$152*(1+rvanilla05)^0.5)/A10stdlife))</f>
        <v>0</v>
      </c>
      <c r="AW199" s="107">
        <f>IF(A10stdlife="n/a","n/a",IF(AW$3&gt;(A10stdlife+$E199),('PTRM input'!$K$152*(1+rvanilla05)^0.5)-SUM($K199:AV199),('PTRM input'!$K$152*(1+rvanilla05)^0.5)/A10stdlife))</f>
        <v>0</v>
      </c>
      <c r="AX199" s="107">
        <f>IF(A10stdlife="n/a","n/a",IF(AX$3&gt;(A10stdlife+$E199),('PTRM input'!$K$152*(1+rvanilla05)^0.5)-SUM($K199:AW199),('PTRM input'!$K$152*(1+rvanilla05)^0.5)/A10stdlife))</f>
        <v>0</v>
      </c>
      <c r="AY199" s="107">
        <f>IF(A10stdlife="n/a","n/a",IF(AY$3&gt;(A10stdlife+$E199),('PTRM input'!$K$152*(1+rvanilla05)^0.5)-SUM($K199:AX199),('PTRM input'!$K$152*(1+rvanilla05)^0.5)/A10stdlife))</f>
        <v>0</v>
      </c>
      <c r="AZ199" s="107">
        <f>IF(A10stdlife="n/a","n/a",IF(AZ$3&gt;(A10stdlife+$E199),('PTRM input'!$K$152*(1+rvanilla05)^0.5)-SUM($K199:AY199),('PTRM input'!$K$152*(1+rvanilla05)^0.5)/A10stdlife))</f>
        <v>0</v>
      </c>
      <c r="BA199" s="107">
        <f>IF(A10stdlife="n/a","n/a",IF(BA$3&gt;(A10stdlife+$E199),('PTRM input'!$K$152*(1+rvanilla05)^0.5)-SUM($K199:AZ199),('PTRM input'!$K$152*(1+rvanilla05)^0.5)/A10stdlife))</f>
        <v>0</v>
      </c>
      <c r="BB199" s="107">
        <f>IF(A10stdlife="n/a","n/a",IF(BB$3&gt;(A10stdlife+$E199),('PTRM input'!$K$152*(1+rvanilla05)^0.5)-SUM($K199:BA199),('PTRM input'!$K$152*(1+rvanilla05)^0.5)/A10stdlife))</f>
        <v>0</v>
      </c>
      <c r="BC199" s="107">
        <f>IF(A10stdlife="n/a","n/a",IF(BC$3&gt;(A10stdlife+$E199),('PTRM input'!$K$152*(1+rvanilla05)^0.5)-SUM($K199:BB199),('PTRM input'!$K$152*(1+rvanilla05)^0.5)/A10stdlife))</f>
        <v>0</v>
      </c>
      <c r="BD199" s="107">
        <f>IF(A10stdlife="n/a","n/a",IF(BD$3&gt;(A10stdlife+$E199),('PTRM input'!$K$152*(1+rvanilla05)^0.5)-SUM($K199:BC199),('PTRM input'!$K$152*(1+rvanilla05)^0.5)/A10stdlife))</f>
        <v>0</v>
      </c>
      <c r="BE199" s="107">
        <f>IF(A10stdlife="n/a","n/a",IF(BE$3&gt;(A10stdlife+$E199),('PTRM input'!$K$152*(1+rvanilla05)^0.5)-SUM($K199:BD199),('PTRM input'!$K$152*(1+rvanilla05)^0.5)/A10stdlife))</f>
        <v>0</v>
      </c>
      <c r="BF199" s="107">
        <f>IF(A10stdlife="n/a","n/a",IF(BF$3&gt;(A10stdlife+$E199),('PTRM input'!$K$152*(1+rvanilla05)^0.5)-SUM($K199:BE199),('PTRM input'!$K$152*(1+rvanilla05)^0.5)/A10stdlife))</f>
        <v>0</v>
      </c>
      <c r="BG199" s="107">
        <f>IF(A10stdlife="n/a","n/a",IF(BG$3&gt;(A10stdlife+$E199),('PTRM input'!$K$152*(1+rvanilla05)^0.5)-SUM($K199:BF199),('PTRM input'!$K$152*(1+rvanilla05)^0.5)/A10stdlife))</f>
        <v>0</v>
      </c>
      <c r="BH199" s="107">
        <f>IF(A10stdlife="n/a","n/a",IF(BH$3&gt;(A10stdlife+$E199),('PTRM input'!$K$152*(1+rvanilla05)^0.5)-SUM($K199:BG199),('PTRM input'!$K$152*(1+rvanilla05)^0.5)/A10stdlife))</f>
        <v>0</v>
      </c>
      <c r="BI199" s="107">
        <f>IF(A10stdlife="n/a","n/a",IF(BI$3&gt;(A10stdlife+$E199),('PTRM input'!$K$152*(1+rvanilla05)^0.5)-SUM($K199:BH199),('PTRM input'!$K$152*(1+rvanilla05)^0.5)/A10stdlife))</f>
        <v>0</v>
      </c>
      <c r="BJ199" s="237"/>
      <c r="BK199" s="237"/>
      <c r="BL199" s="237"/>
      <c r="BM199" s="237"/>
    </row>
    <row r="200" spans="1:65" s="190" customFormat="1" hidden="1" outlineLevel="2">
      <c r="A200" s="237"/>
      <c r="B200" s="33"/>
      <c r="C200" s="32"/>
      <c r="D200" s="1618"/>
      <c r="E200" s="169">
        <v>6</v>
      </c>
      <c r="F200" s="35"/>
      <c r="G200" s="184"/>
      <c r="H200" s="186"/>
      <c r="I200" s="186"/>
      <c r="J200" s="186"/>
      <c r="K200" s="186"/>
      <c r="L200" s="185"/>
      <c r="M200" s="107">
        <f>IF(A10stdlife="n/a","n/a",IF(M$3&gt;(A10stdlife+$E200),('PTRM input'!$L$152*(1+rvanilla06)^0.5)-SUM($L200:L200),('PTRM input'!$L$152*(1+rvanilla06)^0.5)/A10stdlife))</f>
        <v>0</v>
      </c>
      <c r="N200" s="107">
        <f>IF(A10stdlife="n/a","n/a",IF(N$3&gt;(A10stdlife+$E200),('PTRM input'!$L$152*(1+rvanilla06)^0.5)-SUM($L200:M200),('PTRM input'!$L$152*(1+rvanilla06)^0.5)/A10stdlife))</f>
        <v>0</v>
      </c>
      <c r="O200" s="107">
        <f>IF(A10stdlife="n/a","n/a",IF(O$3&gt;(A10stdlife+$E200),('PTRM input'!$L$152*(1+rvanilla06)^0.5)-SUM($L200:N200),('PTRM input'!$L$152*(1+rvanilla06)^0.5)/A10stdlife))</f>
        <v>0</v>
      </c>
      <c r="P200" s="107">
        <f>IF(A10stdlife="n/a","n/a",IF(P$3&gt;(A10stdlife+$E200),('PTRM input'!$L$152*(1+rvanilla06)^0.5)-SUM($L200:O200),('PTRM input'!$L$152*(1+rvanilla06)^0.5)/A10stdlife))</f>
        <v>0</v>
      </c>
      <c r="Q200" s="107">
        <f>IF(A10stdlife="n/a","n/a",IF(Q$3&gt;(A10stdlife+$E200),('PTRM input'!$L$152*(1+rvanilla06)^0.5)-SUM($L200:P200),('PTRM input'!$L$152*(1+rvanilla06)^0.5)/A10stdlife))</f>
        <v>0</v>
      </c>
      <c r="R200" s="107">
        <f>IF(A10stdlife="n/a","n/a",IF(R$3&gt;(A10stdlife+$E200),('PTRM input'!$L$152*(1+rvanilla06)^0.5)-SUM($L200:Q200),('PTRM input'!$L$152*(1+rvanilla06)^0.5)/A10stdlife))</f>
        <v>0</v>
      </c>
      <c r="S200" s="107">
        <f>IF(A10stdlife="n/a","n/a",IF(S$3&gt;(A10stdlife+$E200),('PTRM input'!$L$152*(1+rvanilla06)^0.5)-SUM($L200:R200),('PTRM input'!$L$152*(1+rvanilla06)^0.5)/A10stdlife))</f>
        <v>0</v>
      </c>
      <c r="T200" s="107">
        <f>IF(A10stdlife="n/a","n/a",IF(T$3&gt;(A10stdlife+$E200),('PTRM input'!$L$152*(1+rvanilla06)^0.5)-SUM($L200:S200),('PTRM input'!$L$152*(1+rvanilla06)^0.5)/A10stdlife))</f>
        <v>0</v>
      </c>
      <c r="U200" s="107">
        <f>IF(A10stdlife="n/a","n/a",IF(U$3&gt;(A10stdlife+$E200),('PTRM input'!$L$152*(1+rvanilla06)^0.5)-SUM($L200:T200),('PTRM input'!$L$152*(1+rvanilla06)^0.5)/A10stdlife))</f>
        <v>0</v>
      </c>
      <c r="V200" s="107">
        <f>IF(A10stdlife="n/a","n/a",IF(V$3&gt;(A10stdlife+$E200),('PTRM input'!$L$152*(1+rvanilla06)^0.5)-SUM($L200:U200),('PTRM input'!$L$152*(1+rvanilla06)^0.5)/A10stdlife))</f>
        <v>0</v>
      </c>
      <c r="W200" s="107">
        <f>IF(A10stdlife="n/a","n/a",IF(W$3&gt;(A10stdlife+$E200),('PTRM input'!$L$152*(1+rvanilla06)^0.5)-SUM($L200:V200),('PTRM input'!$L$152*(1+rvanilla06)^0.5)/A10stdlife))</f>
        <v>0</v>
      </c>
      <c r="X200" s="107">
        <f>IF(A10stdlife="n/a","n/a",IF(X$3&gt;(A10stdlife+$E200),('PTRM input'!$L$152*(1+rvanilla06)^0.5)-SUM($L200:W200),('PTRM input'!$L$152*(1+rvanilla06)^0.5)/A10stdlife))</f>
        <v>0</v>
      </c>
      <c r="Y200" s="107">
        <f>IF(A10stdlife="n/a","n/a",IF(Y$3&gt;(A10stdlife+$E200),('PTRM input'!$L$152*(1+rvanilla06)^0.5)-SUM($L200:X200),('PTRM input'!$L$152*(1+rvanilla06)^0.5)/A10stdlife))</f>
        <v>0</v>
      </c>
      <c r="Z200" s="107">
        <f>IF(A10stdlife="n/a","n/a",IF(Z$3&gt;(A10stdlife+$E200),('PTRM input'!$L$152*(1+rvanilla06)^0.5)-SUM($L200:Y200),('PTRM input'!$L$152*(1+rvanilla06)^0.5)/A10stdlife))</f>
        <v>0</v>
      </c>
      <c r="AA200" s="107">
        <f>IF(A10stdlife="n/a","n/a",IF(AA$3&gt;(A10stdlife+$E200),('PTRM input'!$L$152*(1+rvanilla06)^0.5)-SUM($L200:Z200),('PTRM input'!$L$152*(1+rvanilla06)^0.5)/A10stdlife))</f>
        <v>0</v>
      </c>
      <c r="AB200" s="107">
        <f>IF(A10stdlife="n/a","n/a",IF(AB$3&gt;(A10stdlife+$E200),('PTRM input'!$L$152*(1+rvanilla06)^0.5)-SUM($L200:AA200),('PTRM input'!$L$152*(1+rvanilla06)^0.5)/A10stdlife))</f>
        <v>0</v>
      </c>
      <c r="AC200" s="107">
        <f>IF(A10stdlife="n/a","n/a",IF(AC$3&gt;(A10stdlife+$E200),('PTRM input'!$L$152*(1+rvanilla06)^0.5)-SUM($L200:AB200),('PTRM input'!$L$152*(1+rvanilla06)^0.5)/A10stdlife))</f>
        <v>0</v>
      </c>
      <c r="AD200" s="107">
        <f>IF(A10stdlife="n/a","n/a",IF(AD$3&gt;(A10stdlife+$E200),('PTRM input'!$L$152*(1+rvanilla06)^0.5)-SUM($L200:AC200),('PTRM input'!$L$152*(1+rvanilla06)^0.5)/A10stdlife))</f>
        <v>0</v>
      </c>
      <c r="AE200" s="107">
        <f>IF(A10stdlife="n/a","n/a",IF(AE$3&gt;(A10stdlife+$E200),('PTRM input'!$L$152*(1+rvanilla06)^0.5)-SUM($L200:AD200),('PTRM input'!$L$152*(1+rvanilla06)^0.5)/A10stdlife))</f>
        <v>0</v>
      </c>
      <c r="AF200" s="107">
        <f>IF(A10stdlife="n/a","n/a",IF(AF$3&gt;(A10stdlife+$E200),('PTRM input'!$L$152*(1+rvanilla06)^0.5)-SUM($L200:AE200),('PTRM input'!$L$152*(1+rvanilla06)^0.5)/A10stdlife))</f>
        <v>0</v>
      </c>
      <c r="AG200" s="107">
        <f>IF(A10stdlife="n/a","n/a",IF(AG$3&gt;(A10stdlife+$E200),('PTRM input'!$L$152*(1+rvanilla06)^0.5)-SUM($L200:AF200),('PTRM input'!$L$152*(1+rvanilla06)^0.5)/A10stdlife))</f>
        <v>0</v>
      </c>
      <c r="AH200" s="107">
        <f>IF(A10stdlife="n/a","n/a",IF(AH$3&gt;(A10stdlife+$E200),('PTRM input'!$L$152*(1+rvanilla06)^0.5)-SUM($L200:AG200),('PTRM input'!$L$152*(1+rvanilla06)^0.5)/A10stdlife))</f>
        <v>0</v>
      </c>
      <c r="AI200" s="107">
        <f>IF(A10stdlife="n/a","n/a",IF(AI$3&gt;(A10stdlife+$E200),('PTRM input'!$L$152*(1+rvanilla06)^0.5)-SUM($L200:AH200),('PTRM input'!$L$152*(1+rvanilla06)^0.5)/A10stdlife))</f>
        <v>0</v>
      </c>
      <c r="AJ200" s="107">
        <f>IF(A10stdlife="n/a","n/a",IF(AJ$3&gt;(A10stdlife+$E200),('PTRM input'!$L$152*(1+rvanilla06)^0.5)-SUM($L200:AI200),('PTRM input'!$L$152*(1+rvanilla06)^0.5)/A10stdlife))</f>
        <v>0</v>
      </c>
      <c r="AK200" s="107">
        <f>IF(A10stdlife="n/a","n/a",IF(AK$3&gt;(A10stdlife+$E200),('PTRM input'!$L$152*(1+rvanilla06)^0.5)-SUM($L200:AJ200),('PTRM input'!$L$152*(1+rvanilla06)^0.5)/A10stdlife))</f>
        <v>0</v>
      </c>
      <c r="AL200" s="107">
        <f>IF(A10stdlife="n/a","n/a",IF(AL$3&gt;(A10stdlife+$E200),('PTRM input'!$L$152*(1+rvanilla06)^0.5)-SUM($L200:AK200),('PTRM input'!$L$152*(1+rvanilla06)^0.5)/A10stdlife))</f>
        <v>0</v>
      </c>
      <c r="AM200" s="107">
        <f>IF(A10stdlife="n/a","n/a",IF(AM$3&gt;(A10stdlife+$E200),('PTRM input'!$L$152*(1+rvanilla06)^0.5)-SUM($L200:AL200),('PTRM input'!$L$152*(1+rvanilla06)^0.5)/A10stdlife))</f>
        <v>0</v>
      </c>
      <c r="AN200" s="107">
        <f>IF(A10stdlife="n/a","n/a",IF(AN$3&gt;(A10stdlife+$E200),('PTRM input'!$L$152*(1+rvanilla06)^0.5)-SUM($L200:AM200),('PTRM input'!$L$152*(1+rvanilla06)^0.5)/A10stdlife))</f>
        <v>0</v>
      </c>
      <c r="AO200" s="107">
        <f>IF(A10stdlife="n/a","n/a",IF(AO$3&gt;(A10stdlife+$E200),('PTRM input'!$L$152*(1+rvanilla06)^0.5)-SUM($L200:AN200),('PTRM input'!$L$152*(1+rvanilla06)^0.5)/A10stdlife))</f>
        <v>0</v>
      </c>
      <c r="AP200" s="107">
        <f>IF(A10stdlife="n/a","n/a",IF(AP$3&gt;(A10stdlife+$E200),('PTRM input'!$L$152*(1+rvanilla06)^0.5)-SUM($L200:AO200),('PTRM input'!$L$152*(1+rvanilla06)^0.5)/A10stdlife))</f>
        <v>0</v>
      </c>
      <c r="AQ200" s="107">
        <f>IF(A10stdlife="n/a","n/a",IF(AQ$3&gt;(A10stdlife+$E200),('PTRM input'!$L$152*(1+rvanilla06)^0.5)-SUM($L200:AP200),('PTRM input'!$L$152*(1+rvanilla06)^0.5)/A10stdlife))</f>
        <v>0</v>
      </c>
      <c r="AR200" s="107">
        <f>IF(A10stdlife="n/a","n/a",IF(AR$3&gt;(A10stdlife+$E200),('PTRM input'!$L$152*(1+rvanilla06)^0.5)-SUM($L200:AQ200),('PTRM input'!$L$152*(1+rvanilla06)^0.5)/A10stdlife))</f>
        <v>0</v>
      </c>
      <c r="AS200" s="107">
        <f>IF(A10stdlife="n/a","n/a",IF(AS$3&gt;(A10stdlife+$E200),('PTRM input'!$L$152*(1+rvanilla06)^0.5)-SUM($L200:AR200),('PTRM input'!$L$152*(1+rvanilla06)^0.5)/A10stdlife))</f>
        <v>0</v>
      </c>
      <c r="AT200" s="107">
        <f>IF(A10stdlife="n/a","n/a",IF(AT$3&gt;(A10stdlife+$E200),('PTRM input'!$L$152*(1+rvanilla06)^0.5)-SUM($L200:AS200),('PTRM input'!$L$152*(1+rvanilla06)^0.5)/A10stdlife))</f>
        <v>0</v>
      </c>
      <c r="AU200" s="107">
        <f>IF(A10stdlife="n/a","n/a",IF(AU$3&gt;(A10stdlife+$E200),('PTRM input'!$L$152*(1+rvanilla06)^0.5)-SUM($L200:AT200),('PTRM input'!$L$152*(1+rvanilla06)^0.5)/A10stdlife))</f>
        <v>0</v>
      </c>
      <c r="AV200" s="107">
        <f>IF(A10stdlife="n/a","n/a",IF(AV$3&gt;(A10stdlife+$E200),('PTRM input'!$L$152*(1+rvanilla06)^0.5)-SUM($L200:AU200),('PTRM input'!$L$152*(1+rvanilla06)^0.5)/A10stdlife))</f>
        <v>0</v>
      </c>
      <c r="AW200" s="107">
        <f>IF(A10stdlife="n/a","n/a",IF(AW$3&gt;(A10stdlife+$E200),('PTRM input'!$L$152*(1+rvanilla06)^0.5)-SUM($L200:AV200),('PTRM input'!$L$152*(1+rvanilla06)^0.5)/A10stdlife))</f>
        <v>0</v>
      </c>
      <c r="AX200" s="107">
        <f>IF(A10stdlife="n/a","n/a",IF(AX$3&gt;(A10stdlife+$E200),('PTRM input'!$L$152*(1+rvanilla06)^0.5)-SUM($L200:AW200),('PTRM input'!$L$152*(1+rvanilla06)^0.5)/A10stdlife))</f>
        <v>0</v>
      </c>
      <c r="AY200" s="107">
        <f>IF(A10stdlife="n/a","n/a",IF(AY$3&gt;(A10stdlife+$E200),('PTRM input'!$L$152*(1+rvanilla06)^0.5)-SUM($L200:AX200),('PTRM input'!$L$152*(1+rvanilla06)^0.5)/A10stdlife))</f>
        <v>0</v>
      </c>
      <c r="AZ200" s="107">
        <f>IF(A10stdlife="n/a","n/a",IF(AZ$3&gt;(A10stdlife+$E200),('PTRM input'!$L$152*(1+rvanilla06)^0.5)-SUM($L200:AY200),('PTRM input'!$L$152*(1+rvanilla06)^0.5)/A10stdlife))</f>
        <v>0</v>
      </c>
      <c r="BA200" s="107">
        <f>IF(A10stdlife="n/a","n/a",IF(BA$3&gt;(A10stdlife+$E200),('PTRM input'!$L$152*(1+rvanilla06)^0.5)-SUM($L200:AZ200),('PTRM input'!$L$152*(1+rvanilla06)^0.5)/A10stdlife))</f>
        <v>0</v>
      </c>
      <c r="BB200" s="107">
        <f>IF(A10stdlife="n/a","n/a",IF(BB$3&gt;(A10stdlife+$E200),('PTRM input'!$L$152*(1+rvanilla06)^0.5)-SUM($L200:BA200),('PTRM input'!$L$152*(1+rvanilla06)^0.5)/A10stdlife))</f>
        <v>0</v>
      </c>
      <c r="BC200" s="107">
        <f>IF(A10stdlife="n/a","n/a",IF(BC$3&gt;(A10stdlife+$E200),('PTRM input'!$L$152*(1+rvanilla06)^0.5)-SUM($L200:BB200),('PTRM input'!$L$152*(1+rvanilla06)^0.5)/A10stdlife))</f>
        <v>0</v>
      </c>
      <c r="BD200" s="107">
        <f>IF(A10stdlife="n/a","n/a",IF(BD$3&gt;(A10stdlife+$E200),('PTRM input'!$L$152*(1+rvanilla06)^0.5)-SUM($L200:BC200),('PTRM input'!$L$152*(1+rvanilla06)^0.5)/A10stdlife))</f>
        <v>0</v>
      </c>
      <c r="BE200" s="107">
        <f>IF(A10stdlife="n/a","n/a",IF(BE$3&gt;(A10stdlife+$E200),('PTRM input'!$L$152*(1+rvanilla06)^0.5)-SUM($L200:BD200),('PTRM input'!$L$152*(1+rvanilla06)^0.5)/A10stdlife))</f>
        <v>0</v>
      </c>
      <c r="BF200" s="107">
        <f>IF(A10stdlife="n/a","n/a",IF(BF$3&gt;(A10stdlife+$E200),('PTRM input'!$L$152*(1+rvanilla06)^0.5)-SUM($L200:BE200),('PTRM input'!$L$152*(1+rvanilla06)^0.5)/A10stdlife))</f>
        <v>0</v>
      </c>
      <c r="BG200" s="107">
        <f>IF(A10stdlife="n/a","n/a",IF(BG$3&gt;(A10stdlife+$E200),('PTRM input'!$L$152*(1+rvanilla06)^0.5)-SUM($L200:BF200),('PTRM input'!$L$152*(1+rvanilla06)^0.5)/A10stdlife))</f>
        <v>0</v>
      </c>
      <c r="BH200" s="107">
        <f>IF(A10stdlife="n/a","n/a",IF(BH$3&gt;(A10stdlife+$E200),('PTRM input'!$L$152*(1+rvanilla06)^0.5)-SUM($L200:BG200),('PTRM input'!$L$152*(1+rvanilla06)^0.5)/A10stdlife))</f>
        <v>0</v>
      </c>
      <c r="BI200" s="107">
        <f>IF(A10stdlife="n/a","n/a",IF(BI$3&gt;(A10stdlife+$E200),('PTRM input'!$L$152*(1+rvanilla06)^0.5)-SUM($L200:BH200),('PTRM input'!$L$152*(1+rvanilla06)^0.5)/A10stdlife))</f>
        <v>0</v>
      </c>
      <c r="BJ200" s="237"/>
      <c r="BK200" s="237"/>
      <c r="BL200" s="237"/>
      <c r="BM200" s="237"/>
    </row>
    <row r="201" spans="1:65" s="190" customFormat="1" hidden="1" outlineLevel="2">
      <c r="A201" s="237"/>
      <c r="B201" s="33"/>
      <c r="C201" s="32"/>
      <c r="D201" s="1618"/>
      <c r="E201" s="169">
        <v>7</v>
      </c>
      <c r="F201" s="35"/>
      <c r="G201" s="184"/>
      <c r="H201" s="186"/>
      <c r="I201" s="186"/>
      <c r="J201" s="186"/>
      <c r="K201" s="186"/>
      <c r="L201" s="186"/>
      <c r="M201" s="185"/>
      <c r="N201" s="107">
        <f>IF(A10stdlife="n/a","n/a",IF(N$3&gt;(A10stdlife+$E201),('PTRM input'!$M$152*(1+rvanilla07)^0.5)-SUM($M201:M201),('PTRM input'!$M$152*(1+rvanilla07)^0.5)/A10stdlife))</f>
        <v>0</v>
      </c>
      <c r="O201" s="107">
        <f>IF(A10stdlife="n/a","n/a",IF(O$3&gt;(A10stdlife+$E201),('PTRM input'!$M$152*(1+rvanilla07)^0.5)-SUM($M201:N201),('PTRM input'!$M$152*(1+rvanilla07)^0.5)/A10stdlife))</f>
        <v>0</v>
      </c>
      <c r="P201" s="107">
        <f>IF(A10stdlife="n/a","n/a",IF(P$3&gt;(A10stdlife+$E201),('PTRM input'!$M$152*(1+rvanilla07)^0.5)-SUM($M201:O201),('PTRM input'!$M$152*(1+rvanilla07)^0.5)/A10stdlife))</f>
        <v>0</v>
      </c>
      <c r="Q201" s="107">
        <f>IF(A10stdlife="n/a","n/a",IF(Q$3&gt;(A10stdlife+$E201),('PTRM input'!$M$152*(1+rvanilla07)^0.5)-SUM($M201:P201),('PTRM input'!$M$152*(1+rvanilla07)^0.5)/A10stdlife))</f>
        <v>0</v>
      </c>
      <c r="R201" s="107">
        <f>IF(A10stdlife="n/a","n/a",IF(R$3&gt;(A10stdlife+$E201),('PTRM input'!$M$152*(1+rvanilla07)^0.5)-SUM($M201:Q201),('PTRM input'!$M$152*(1+rvanilla07)^0.5)/A10stdlife))</f>
        <v>0</v>
      </c>
      <c r="S201" s="107">
        <f>IF(A10stdlife="n/a","n/a",IF(S$3&gt;(A10stdlife+$E201),('PTRM input'!$M$152*(1+rvanilla07)^0.5)-SUM($M201:R201),('PTRM input'!$M$152*(1+rvanilla07)^0.5)/A10stdlife))</f>
        <v>0</v>
      </c>
      <c r="T201" s="107">
        <f>IF(A10stdlife="n/a","n/a",IF(T$3&gt;(A10stdlife+$E201),('PTRM input'!$M$152*(1+rvanilla07)^0.5)-SUM($M201:S201),('PTRM input'!$M$152*(1+rvanilla07)^0.5)/A10stdlife))</f>
        <v>0</v>
      </c>
      <c r="U201" s="107">
        <f>IF(A10stdlife="n/a","n/a",IF(U$3&gt;(A10stdlife+$E201),('PTRM input'!$M$152*(1+rvanilla07)^0.5)-SUM($M201:T201),('PTRM input'!$M$152*(1+rvanilla07)^0.5)/A10stdlife))</f>
        <v>0</v>
      </c>
      <c r="V201" s="107">
        <f>IF(A10stdlife="n/a","n/a",IF(V$3&gt;(A10stdlife+$E201),('PTRM input'!$M$152*(1+rvanilla07)^0.5)-SUM($M201:U201),('PTRM input'!$M$152*(1+rvanilla07)^0.5)/A10stdlife))</f>
        <v>0</v>
      </c>
      <c r="W201" s="107">
        <f>IF(A10stdlife="n/a","n/a",IF(W$3&gt;(A10stdlife+$E201),('PTRM input'!$M$152*(1+rvanilla07)^0.5)-SUM($M201:V201),('PTRM input'!$M$152*(1+rvanilla07)^0.5)/A10stdlife))</f>
        <v>0</v>
      </c>
      <c r="X201" s="107">
        <f>IF(A10stdlife="n/a","n/a",IF(X$3&gt;(A10stdlife+$E201),('PTRM input'!$M$152*(1+rvanilla07)^0.5)-SUM($M201:W201),('PTRM input'!$M$152*(1+rvanilla07)^0.5)/A10stdlife))</f>
        <v>0</v>
      </c>
      <c r="Y201" s="107">
        <f>IF(A10stdlife="n/a","n/a",IF(Y$3&gt;(A10stdlife+$E201),('PTRM input'!$M$152*(1+rvanilla07)^0.5)-SUM($M201:X201),('PTRM input'!$M$152*(1+rvanilla07)^0.5)/A10stdlife))</f>
        <v>0</v>
      </c>
      <c r="Z201" s="107">
        <f>IF(A10stdlife="n/a","n/a",IF(Z$3&gt;(A10stdlife+$E201),('PTRM input'!$M$152*(1+rvanilla07)^0.5)-SUM($M201:Y201),('PTRM input'!$M$152*(1+rvanilla07)^0.5)/A10stdlife))</f>
        <v>0</v>
      </c>
      <c r="AA201" s="107">
        <f>IF(A10stdlife="n/a","n/a",IF(AA$3&gt;(A10stdlife+$E201),('PTRM input'!$M$152*(1+rvanilla07)^0.5)-SUM($M201:Z201),('PTRM input'!$M$152*(1+rvanilla07)^0.5)/A10stdlife))</f>
        <v>0</v>
      </c>
      <c r="AB201" s="107">
        <f>IF(A10stdlife="n/a","n/a",IF(AB$3&gt;(A10stdlife+$E201),('PTRM input'!$M$152*(1+rvanilla07)^0.5)-SUM($M201:AA201),('PTRM input'!$M$152*(1+rvanilla07)^0.5)/A10stdlife))</f>
        <v>0</v>
      </c>
      <c r="AC201" s="107">
        <f>IF(A10stdlife="n/a","n/a",IF(AC$3&gt;(A10stdlife+$E201),('PTRM input'!$M$152*(1+rvanilla07)^0.5)-SUM($M201:AB201),('PTRM input'!$M$152*(1+rvanilla07)^0.5)/A10stdlife))</f>
        <v>0</v>
      </c>
      <c r="AD201" s="107">
        <f>IF(A10stdlife="n/a","n/a",IF(AD$3&gt;(A10stdlife+$E201),('PTRM input'!$M$152*(1+rvanilla07)^0.5)-SUM($M201:AC201),('PTRM input'!$M$152*(1+rvanilla07)^0.5)/A10stdlife))</f>
        <v>0</v>
      </c>
      <c r="AE201" s="107">
        <f>IF(A10stdlife="n/a","n/a",IF(AE$3&gt;(A10stdlife+$E201),('PTRM input'!$M$152*(1+rvanilla07)^0.5)-SUM($M201:AD201),('PTRM input'!$M$152*(1+rvanilla07)^0.5)/A10stdlife))</f>
        <v>0</v>
      </c>
      <c r="AF201" s="107">
        <f>IF(A10stdlife="n/a","n/a",IF(AF$3&gt;(A10stdlife+$E201),('PTRM input'!$M$152*(1+rvanilla07)^0.5)-SUM($M201:AE201),('PTRM input'!$M$152*(1+rvanilla07)^0.5)/A10stdlife))</f>
        <v>0</v>
      </c>
      <c r="AG201" s="107">
        <f>IF(A10stdlife="n/a","n/a",IF(AG$3&gt;(A10stdlife+$E201),('PTRM input'!$M$152*(1+rvanilla07)^0.5)-SUM($M201:AF201),('PTRM input'!$M$152*(1+rvanilla07)^0.5)/A10stdlife))</f>
        <v>0</v>
      </c>
      <c r="AH201" s="107">
        <f>IF(A10stdlife="n/a","n/a",IF(AH$3&gt;(A10stdlife+$E201),('PTRM input'!$M$152*(1+rvanilla07)^0.5)-SUM($M201:AG201),('PTRM input'!$M$152*(1+rvanilla07)^0.5)/A10stdlife))</f>
        <v>0</v>
      </c>
      <c r="AI201" s="107">
        <f>IF(A10stdlife="n/a","n/a",IF(AI$3&gt;(A10stdlife+$E201),('PTRM input'!$M$152*(1+rvanilla07)^0.5)-SUM($M201:AH201),('PTRM input'!$M$152*(1+rvanilla07)^0.5)/A10stdlife))</f>
        <v>0</v>
      </c>
      <c r="AJ201" s="107">
        <f>IF(A10stdlife="n/a","n/a",IF(AJ$3&gt;(A10stdlife+$E201),('PTRM input'!$M$152*(1+rvanilla07)^0.5)-SUM($M201:AI201),('PTRM input'!$M$152*(1+rvanilla07)^0.5)/A10stdlife))</f>
        <v>0</v>
      </c>
      <c r="AK201" s="107">
        <f>IF(A10stdlife="n/a","n/a",IF(AK$3&gt;(A10stdlife+$E201),('PTRM input'!$M$152*(1+rvanilla07)^0.5)-SUM($M201:AJ201),('PTRM input'!$M$152*(1+rvanilla07)^0.5)/A10stdlife))</f>
        <v>0</v>
      </c>
      <c r="AL201" s="107">
        <f>IF(A10stdlife="n/a","n/a",IF(AL$3&gt;(A10stdlife+$E201),('PTRM input'!$M$152*(1+rvanilla07)^0.5)-SUM($M201:AK201),('PTRM input'!$M$152*(1+rvanilla07)^0.5)/A10stdlife))</f>
        <v>0</v>
      </c>
      <c r="AM201" s="107">
        <f>IF(A10stdlife="n/a","n/a",IF(AM$3&gt;(A10stdlife+$E201),('PTRM input'!$M$152*(1+rvanilla07)^0.5)-SUM($M201:AL201),('PTRM input'!$M$152*(1+rvanilla07)^0.5)/A10stdlife))</f>
        <v>0</v>
      </c>
      <c r="AN201" s="107">
        <f>IF(A10stdlife="n/a","n/a",IF(AN$3&gt;(A10stdlife+$E201),('PTRM input'!$M$152*(1+rvanilla07)^0.5)-SUM($M201:AM201),('PTRM input'!$M$152*(1+rvanilla07)^0.5)/A10stdlife))</f>
        <v>0</v>
      </c>
      <c r="AO201" s="107">
        <f>IF(A10stdlife="n/a","n/a",IF(AO$3&gt;(A10stdlife+$E201),('PTRM input'!$M$152*(1+rvanilla07)^0.5)-SUM($M201:AN201),('PTRM input'!$M$152*(1+rvanilla07)^0.5)/A10stdlife))</f>
        <v>0</v>
      </c>
      <c r="AP201" s="107">
        <f>IF(A10stdlife="n/a","n/a",IF(AP$3&gt;(A10stdlife+$E201),('PTRM input'!$M$152*(1+rvanilla07)^0.5)-SUM($M201:AO201),('PTRM input'!$M$152*(1+rvanilla07)^0.5)/A10stdlife))</f>
        <v>0</v>
      </c>
      <c r="AQ201" s="107">
        <f>IF(A10stdlife="n/a","n/a",IF(AQ$3&gt;(A10stdlife+$E201),('PTRM input'!$M$152*(1+rvanilla07)^0.5)-SUM($M201:AP201),('PTRM input'!$M$152*(1+rvanilla07)^0.5)/A10stdlife))</f>
        <v>0</v>
      </c>
      <c r="AR201" s="107">
        <f>IF(A10stdlife="n/a","n/a",IF(AR$3&gt;(A10stdlife+$E201),('PTRM input'!$M$152*(1+rvanilla07)^0.5)-SUM($M201:AQ201),('PTRM input'!$M$152*(1+rvanilla07)^0.5)/A10stdlife))</f>
        <v>0</v>
      </c>
      <c r="AS201" s="107">
        <f>IF(A10stdlife="n/a","n/a",IF(AS$3&gt;(A10stdlife+$E201),('PTRM input'!$M$152*(1+rvanilla07)^0.5)-SUM($M201:AR201),('PTRM input'!$M$152*(1+rvanilla07)^0.5)/A10stdlife))</f>
        <v>0</v>
      </c>
      <c r="AT201" s="107">
        <f>IF(A10stdlife="n/a","n/a",IF(AT$3&gt;(A10stdlife+$E201),('PTRM input'!$M$152*(1+rvanilla07)^0.5)-SUM($M201:AS201),('PTRM input'!$M$152*(1+rvanilla07)^0.5)/A10stdlife))</f>
        <v>0</v>
      </c>
      <c r="AU201" s="107">
        <f>IF(A10stdlife="n/a","n/a",IF(AU$3&gt;(A10stdlife+$E201),('PTRM input'!$M$152*(1+rvanilla07)^0.5)-SUM($M201:AT201),('PTRM input'!$M$152*(1+rvanilla07)^0.5)/A10stdlife))</f>
        <v>0</v>
      </c>
      <c r="AV201" s="107">
        <f>IF(A10stdlife="n/a","n/a",IF(AV$3&gt;(A10stdlife+$E201),('PTRM input'!$M$152*(1+rvanilla07)^0.5)-SUM($M201:AU201),('PTRM input'!$M$152*(1+rvanilla07)^0.5)/A10stdlife))</f>
        <v>0</v>
      </c>
      <c r="AW201" s="107">
        <f>IF(A10stdlife="n/a","n/a",IF(AW$3&gt;(A10stdlife+$E201),('PTRM input'!$M$152*(1+rvanilla07)^0.5)-SUM($M201:AV201),('PTRM input'!$M$152*(1+rvanilla07)^0.5)/A10stdlife))</f>
        <v>0</v>
      </c>
      <c r="AX201" s="107">
        <f>IF(A10stdlife="n/a","n/a",IF(AX$3&gt;(A10stdlife+$E201),('PTRM input'!$M$152*(1+rvanilla07)^0.5)-SUM($M201:AW201),('PTRM input'!$M$152*(1+rvanilla07)^0.5)/A10stdlife))</f>
        <v>0</v>
      </c>
      <c r="AY201" s="107">
        <f>IF(A10stdlife="n/a","n/a",IF(AY$3&gt;(A10stdlife+$E201),('PTRM input'!$M$152*(1+rvanilla07)^0.5)-SUM($M201:AX201),('PTRM input'!$M$152*(1+rvanilla07)^0.5)/A10stdlife))</f>
        <v>0</v>
      </c>
      <c r="AZ201" s="107">
        <f>IF(A10stdlife="n/a","n/a",IF(AZ$3&gt;(A10stdlife+$E201),('PTRM input'!$M$152*(1+rvanilla07)^0.5)-SUM($M201:AY201),('PTRM input'!$M$152*(1+rvanilla07)^0.5)/A10stdlife))</f>
        <v>0</v>
      </c>
      <c r="BA201" s="107">
        <f>IF(A10stdlife="n/a","n/a",IF(BA$3&gt;(A10stdlife+$E201),('PTRM input'!$M$152*(1+rvanilla07)^0.5)-SUM($M201:AZ201),('PTRM input'!$M$152*(1+rvanilla07)^0.5)/A10stdlife))</f>
        <v>0</v>
      </c>
      <c r="BB201" s="107">
        <f>IF(A10stdlife="n/a","n/a",IF(BB$3&gt;(A10stdlife+$E201),('PTRM input'!$M$152*(1+rvanilla07)^0.5)-SUM($M201:BA201),('PTRM input'!$M$152*(1+rvanilla07)^0.5)/A10stdlife))</f>
        <v>0</v>
      </c>
      <c r="BC201" s="107">
        <f>IF(A10stdlife="n/a","n/a",IF(BC$3&gt;(A10stdlife+$E201),('PTRM input'!$M$152*(1+rvanilla07)^0.5)-SUM($M201:BB201),('PTRM input'!$M$152*(1+rvanilla07)^0.5)/A10stdlife))</f>
        <v>0</v>
      </c>
      <c r="BD201" s="107">
        <f>IF(A10stdlife="n/a","n/a",IF(BD$3&gt;(A10stdlife+$E201),('PTRM input'!$M$152*(1+rvanilla07)^0.5)-SUM($M201:BC201),('PTRM input'!$M$152*(1+rvanilla07)^0.5)/A10stdlife))</f>
        <v>0</v>
      </c>
      <c r="BE201" s="107">
        <f>IF(A10stdlife="n/a","n/a",IF(BE$3&gt;(A10stdlife+$E201),('PTRM input'!$M$152*(1+rvanilla07)^0.5)-SUM($M201:BD201),('PTRM input'!$M$152*(1+rvanilla07)^0.5)/A10stdlife))</f>
        <v>0</v>
      </c>
      <c r="BF201" s="107">
        <f>IF(A10stdlife="n/a","n/a",IF(BF$3&gt;(A10stdlife+$E201),('PTRM input'!$M$152*(1+rvanilla07)^0.5)-SUM($M201:BE201),('PTRM input'!$M$152*(1+rvanilla07)^0.5)/A10stdlife))</f>
        <v>0</v>
      </c>
      <c r="BG201" s="107">
        <f>IF(A10stdlife="n/a","n/a",IF(BG$3&gt;(A10stdlife+$E201),('PTRM input'!$M$152*(1+rvanilla07)^0.5)-SUM($M201:BF201),('PTRM input'!$M$152*(1+rvanilla07)^0.5)/A10stdlife))</f>
        <v>0</v>
      </c>
      <c r="BH201" s="107">
        <f>IF(A10stdlife="n/a","n/a",IF(BH$3&gt;(A10stdlife+$E201),('PTRM input'!$M$152*(1+rvanilla07)^0.5)-SUM($M201:BG201),('PTRM input'!$M$152*(1+rvanilla07)^0.5)/A10stdlife))</f>
        <v>0</v>
      </c>
      <c r="BI201" s="107">
        <f>IF(A10stdlife="n/a","n/a",IF(BI$3&gt;(A10stdlife+$E201),('PTRM input'!$M$152*(1+rvanilla07)^0.5)-SUM($M201:BH201),('PTRM input'!$M$152*(1+rvanilla07)^0.5)/A10stdlife))</f>
        <v>0</v>
      </c>
      <c r="BJ201" s="237"/>
      <c r="BK201" s="237"/>
      <c r="BL201" s="237"/>
      <c r="BM201" s="237"/>
    </row>
    <row r="202" spans="1:65" s="190" customFormat="1" hidden="1" outlineLevel="2">
      <c r="A202" s="237"/>
      <c r="B202" s="33"/>
      <c r="C202" s="32"/>
      <c r="D202" s="1618"/>
      <c r="E202" s="169">
        <v>8</v>
      </c>
      <c r="F202" s="35"/>
      <c r="G202" s="184"/>
      <c r="H202" s="186"/>
      <c r="I202" s="186"/>
      <c r="J202" s="186"/>
      <c r="K202" s="186"/>
      <c r="L202" s="186"/>
      <c r="M202" s="186"/>
      <c r="N202" s="185"/>
      <c r="O202" s="107">
        <f>IF(A10stdlife="n/a","n/a",IF(O$3&gt;(A10stdlife+$E202),('PTRM input'!$N$152*(1+rvanilla08)^0.5)-SUM($N202:N202),('PTRM input'!$N$152*(1+rvanilla08)^0.5)/A10stdlife))</f>
        <v>0</v>
      </c>
      <c r="P202" s="107">
        <f>IF(A10stdlife="n/a","n/a",IF(P$3&gt;(A10stdlife+$E202),('PTRM input'!$N$152*(1+rvanilla08)^0.5)-SUM($N202:O202),('PTRM input'!$N$152*(1+rvanilla08)^0.5)/A10stdlife))</f>
        <v>0</v>
      </c>
      <c r="Q202" s="107">
        <f>IF(A10stdlife="n/a","n/a",IF(Q$3&gt;(A10stdlife+$E202),('PTRM input'!$N$152*(1+rvanilla08)^0.5)-SUM($N202:P202),('PTRM input'!$N$152*(1+rvanilla08)^0.5)/A10stdlife))</f>
        <v>0</v>
      </c>
      <c r="R202" s="107">
        <f>IF(A10stdlife="n/a","n/a",IF(R$3&gt;(A10stdlife+$E202),('PTRM input'!$N$152*(1+rvanilla08)^0.5)-SUM($N202:Q202),('PTRM input'!$N$152*(1+rvanilla08)^0.5)/A10stdlife))</f>
        <v>0</v>
      </c>
      <c r="S202" s="107">
        <f>IF(A10stdlife="n/a","n/a",IF(S$3&gt;(A10stdlife+$E202),('PTRM input'!$N$152*(1+rvanilla08)^0.5)-SUM($N202:R202),('PTRM input'!$N$152*(1+rvanilla08)^0.5)/A10stdlife))</f>
        <v>0</v>
      </c>
      <c r="T202" s="107">
        <f>IF(A10stdlife="n/a","n/a",IF(T$3&gt;(A10stdlife+$E202),('PTRM input'!$N$152*(1+rvanilla08)^0.5)-SUM($N202:S202),('PTRM input'!$N$152*(1+rvanilla08)^0.5)/A10stdlife))</f>
        <v>0</v>
      </c>
      <c r="U202" s="107">
        <f>IF(A10stdlife="n/a","n/a",IF(U$3&gt;(A10stdlife+$E202),('PTRM input'!$N$152*(1+rvanilla08)^0.5)-SUM($N202:T202),('PTRM input'!$N$152*(1+rvanilla08)^0.5)/A10stdlife))</f>
        <v>0</v>
      </c>
      <c r="V202" s="107">
        <f>IF(A10stdlife="n/a","n/a",IF(V$3&gt;(A10stdlife+$E202),('PTRM input'!$N$152*(1+rvanilla08)^0.5)-SUM($N202:U202),('PTRM input'!$N$152*(1+rvanilla08)^0.5)/A10stdlife))</f>
        <v>0</v>
      </c>
      <c r="W202" s="107">
        <f>IF(A10stdlife="n/a","n/a",IF(W$3&gt;(A10stdlife+$E202),('PTRM input'!$N$152*(1+rvanilla08)^0.5)-SUM($N202:V202),('PTRM input'!$N$152*(1+rvanilla08)^0.5)/A10stdlife))</f>
        <v>0</v>
      </c>
      <c r="X202" s="107">
        <f>IF(A10stdlife="n/a","n/a",IF(X$3&gt;(A10stdlife+$E202),('PTRM input'!$N$152*(1+rvanilla08)^0.5)-SUM($N202:W202),('PTRM input'!$N$152*(1+rvanilla08)^0.5)/A10stdlife))</f>
        <v>0</v>
      </c>
      <c r="Y202" s="107">
        <f>IF(A10stdlife="n/a","n/a",IF(Y$3&gt;(A10stdlife+$E202),('PTRM input'!$N$152*(1+rvanilla08)^0.5)-SUM($N202:X202),('PTRM input'!$N$152*(1+rvanilla08)^0.5)/A10stdlife))</f>
        <v>0</v>
      </c>
      <c r="Z202" s="107">
        <f>IF(A10stdlife="n/a","n/a",IF(Z$3&gt;(A10stdlife+$E202),('PTRM input'!$N$152*(1+rvanilla08)^0.5)-SUM($N202:Y202),('PTRM input'!$N$152*(1+rvanilla08)^0.5)/A10stdlife))</f>
        <v>0</v>
      </c>
      <c r="AA202" s="107">
        <f>IF(A10stdlife="n/a","n/a",IF(AA$3&gt;(A10stdlife+$E202),('PTRM input'!$N$152*(1+rvanilla08)^0.5)-SUM($N202:Z202),('PTRM input'!$N$152*(1+rvanilla08)^0.5)/A10stdlife))</f>
        <v>0</v>
      </c>
      <c r="AB202" s="107">
        <f>IF(A10stdlife="n/a","n/a",IF(AB$3&gt;(A10stdlife+$E202),('PTRM input'!$N$152*(1+rvanilla08)^0.5)-SUM($N202:AA202),('PTRM input'!$N$152*(1+rvanilla08)^0.5)/A10stdlife))</f>
        <v>0</v>
      </c>
      <c r="AC202" s="107">
        <f>IF(A10stdlife="n/a","n/a",IF(AC$3&gt;(A10stdlife+$E202),('PTRM input'!$N$152*(1+rvanilla08)^0.5)-SUM($N202:AB202),('PTRM input'!$N$152*(1+rvanilla08)^0.5)/A10stdlife))</f>
        <v>0</v>
      </c>
      <c r="AD202" s="107">
        <f>IF(A10stdlife="n/a","n/a",IF(AD$3&gt;(A10stdlife+$E202),('PTRM input'!$N$152*(1+rvanilla08)^0.5)-SUM($N202:AC202),('PTRM input'!$N$152*(1+rvanilla08)^0.5)/A10stdlife))</f>
        <v>0</v>
      </c>
      <c r="AE202" s="107">
        <f>IF(A10stdlife="n/a","n/a",IF(AE$3&gt;(A10stdlife+$E202),('PTRM input'!$N$152*(1+rvanilla08)^0.5)-SUM($N202:AD202),('PTRM input'!$N$152*(1+rvanilla08)^0.5)/A10stdlife))</f>
        <v>0</v>
      </c>
      <c r="AF202" s="107">
        <f>IF(A10stdlife="n/a","n/a",IF(AF$3&gt;(A10stdlife+$E202),('PTRM input'!$N$152*(1+rvanilla08)^0.5)-SUM($N202:AE202),('PTRM input'!$N$152*(1+rvanilla08)^0.5)/A10stdlife))</f>
        <v>0</v>
      </c>
      <c r="AG202" s="107">
        <f>IF(A10stdlife="n/a","n/a",IF(AG$3&gt;(A10stdlife+$E202),('PTRM input'!$N$152*(1+rvanilla08)^0.5)-SUM($N202:AF202),('PTRM input'!$N$152*(1+rvanilla08)^0.5)/A10stdlife))</f>
        <v>0</v>
      </c>
      <c r="AH202" s="107">
        <f>IF(A10stdlife="n/a","n/a",IF(AH$3&gt;(A10stdlife+$E202),('PTRM input'!$N$152*(1+rvanilla08)^0.5)-SUM($N202:AG202),('PTRM input'!$N$152*(1+rvanilla08)^0.5)/A10stdlife))</f>
        <v>0</v>
      </c>
      <c r="AI202" s="107">
        <f>IF(A10stdlife="n/a","n/a",IF(AI$3&gt;(A10stdlife+$E202),('PTRM input'!$N$152*(1+rvanilla08)^0.5)-SUM($N202:AH202),('PTRM input'!$N$152*(1+rvanilla08)^0.5)/A10stdlife))</f>
        <v>0</v>
      </c>
      <c r="AJ202" s="107">
        <f>IF(A10stdlife="n/a","n/a",IF(AJ$3&gt;(A10stdlife+$E202),('PTRM input'!$N$152*(1+rvanilla08)^0.5)-SUM($N202:AI202),('PTRM input'!$N$152*(1+rvanilla08)^0.5)/A10stdlife))</f>
        <v>0</v>
      </c>
      <c r="AK202" s="107">
        <f>IF(A10stdlife="n/a","n/a",IF(AK$3&gt;(A10stdlife+$E202),('PTRM input'!$N$152*(1+rvanilla08)^0.5)-SUM($N202:AJ202),('PTRM input'!$N$152*(1+rvanilla08)^0.5)/A10stdlife))</f>
        <v>0</v>
      </c>
      <c r="AL202" s="107">
        <f>IF(A10stdlife="n/a","n/a",IF(AL$3&gt;(A10stdlife+$E202),('PTRM input'!$N$152*(1+rvanilla08)^0.5)-SUM($N202:AK202),('PTRM input'!$N$152*(1+rvanilla08)^0.5)/A10stdlife))</f>
        <v>0</v>
      </c>
      <c r="AM202" s="107">
        <f>IF(A10stdlife="n/a","n/a",IF(AM$3&gt;(A10stdlife+$E202),('PTRM input'!$N$152*(1+rvanilla08)^0.5)-SUM($N202:AL202),('PTRM input'!$N$152*(1+rvanilla08)^0.5)/A10stdlife))</f>
        <v>0</v>
      </c>
      <c r="AN202" s="107">
        <f>IF(A10stdlife="n/a","n/a",IF(AN$3&gt;(A10stdlife+$E202),('PTRM input'!$N$152*(1+rvanilla08)^0.5)-SUM($N202:AM202),('PTRM input'!$N$152*(1+rvanilla08)^0.5)/A10stdlife))</f>
        <v>0</v>
      </c>
      <c r="AO202" s="107">
        <f>IF(A10stdlife="n/a","n/a",IF(AO$3&gt;(A10stdlife+$E202),('PTRM input'!$N$152*(1+rvanilla08)^0.5)-SUM($N202:AN202),('PTRM input'!$N$152*(1+rvanilla08)^0.5)/A10stdlife))</f>
        <v>0</v>
      </c>
      <c r="AP202" s="107">
        <f>IF(A10stdlife="n/a","n/a",IF(AP$3&gt;(A10stdlife+$E202),('PTRM input'!$N$152*(1+rvanilla08)^0.5)-SUM($N202:AO202),('PTRM input'!$N$152*(1+rvanilla08)^0.5)/A10stdlife))</f>
        <v>0</v>
      </c>
      <c r="AQ202" s="107">
        <f>IF(A10stdlife="n/a","n/a",IF(AQ$3&gt;(A10stdlife+$E202),('PTRM input'!$N$152*(1+rvanilla08)^0.5)-SUM($N202:AP202),('PTRM input'!$N$152*(1+rvanilla08)^0.5)/A10stdlife))</f>
        <v>0</v>
      </c>
      <c r="AR202" s="107">
        <f>IF(A10stdlife="n/a","n/a",IF(AR$3&gt;(A10stdlife+$E202),('PTRM input'!$N$152*(1+rvanilla08)^0.5)-SUM($N202:AQ202),('PTRM input'!$N$152*(1+rvanilla08)^0.5)/A10stdlife))</f>
        <v>0</v>
      </c>
      <c r="AS202" s="107">
        <f>IF(A10stdlife="n/a","n/a",IF(AS$3&gt;(A10stdlife+$E202),('PTRM input'!$N$152*(1+rvanilla08)^0.5)-SUM($N202:AR202),('PTRM input'!$N$152*(1+rvanilla08)^0.5)/A10stdlife))</f>
        <v>0</v>
      </c>
      <c r="AT202" s="107">
        <f>IF(A10stdlife="n/a","n/a",IF(AT$3&gt;(A10stdlife+$E202),('PTRM input'!$N$152*(1+rvanilla08)^0.5)-SUM($N202:AS202),('PTRM input'!$N$152*(1+rvanilla08)^0.5)/A10stdlife))</f>
        <v>0</v>
      </c>
      <c r="AU202" s="107">
        <f>IF(A10stdlife="n/a","n/a",IF(AU$3&gt;(A10stdlife+$E202),('PTRM input'!$N$152*(1+rvanilla08)^0.5)-SUM($N202:AT202),('PTRM input'!$N$152*(1+rvanilla08)^0.5)/A10stdlife))</f>
        <v>0</v>
      </c>
      <c r="AV202" s="107">
        <f>IF(A10stdlife="n/a","n/a",IF(AV$3&gt;(A10stdlife+$E202),('PTRM input'!$N$152*(1+rvanilla08)^0.5)-SUM($N202:AU202),('PTRM input'!$N$152*(1+rvanilla08)^0.5)/A10stdlife))</f>
        <v>0</v>
      </c>
      <c r="AW202" s="107">
        <f>IF(A10stdlife="n/a","n/a",IF(AW$3&gt;(A10stdlife+$E202),('PTRM input'!$N$152*(1+rvanilla08)^0.5)-SUM($N202:AV202),('PTRM input'!$N$152*(1+rvanilla08)^0.5)/A10stdlife))</f>
        <v>0</v>
      </c>
      <c r="AX202" s="107">
        <f>IF(A10stdlife="n/a","n/a",IF(AX$3&gt;(A10stdlife+$E202),('PTRM input'!$N$152*(1+rvanilla08)^0.5)-SUM($N202:AW202),('PTRM input'!$N$152*(1+rvanilla08)^0.5)/A10stdlife))</f>
        <v>0</v>
      </c>
      <c r="AY202" s="107">
        <f>IF(A10stdlife="n/a","n/a",IF(AY$3&gt;(A10stdlife+$E202),('PTRM input'!$N$152*(1+rvanilla08)^0.5)-SUM($N202:AX202),('PTRM input'!$N$152*(1+rvanilla08)^0.5)/A10stdlife))</f>
        <v>0</v>
      </c>
      <c r="AZ202" s="107">
        <f>IF(A10stdlife="n/a","n/a",IF(AZ$3&gt;(A10stdlife+$E202),('PTRM input'!$N$152*(1+rvanilla08)^0.5)-SUM($N202:AY202),('PTRM input'!$N$152*(1+rvanilla08)^0.5)/A10stdlife))</f>
        <v>0</v>
      </c>
      <c r="BA202" s="107">
        <f>IF(A10stdlife="n/a","n/a",IF(BA$3&gt;(A10stdlife+$E202),('PTRM input'!$N$152*(1+rvanilla08)^0.5)-SUM($N202:AZ202),('PTRM input'!$N$152*(1+rvanilla08)^0.5)/A10stdlife))</f>
        <v>0</v>
      </c>
      <c r="BB202" s="107">
        <f>IF(A10stdlife="n/a","n/a",IF(BB$3&gt;(A10stdlife+$E202),('PTRM input'!$N$152*(1+rvanilla08)^0.5)-SUM($N202:BA202),('PTRM input'!$N$152*(1+rvanilla08)^0.5)/A10stdlife))</f>
        <v>0</v>
      </c>
      <c r="BC202" s="107">
        <f>IF(A10stdlife="n/a","n/a",IF(BC$3&gt;(A10stdlife+$E202),('PTRM input'!$N$152*(1+rvanilla08)^0.5)-SUM($N202:BB202),('PTRM input'!$N$152*(1+rvanilla08)^0.5)/A10stdlife))</f>
        <v>0</v>
      </c>
      <c r="BD202" s="107">
        <f>IF(A10stdlife="n/a","n/a",IF(BD$3&gt;(A10stdlife+$E202),('PTRM input'!$N$152*(1+rvanilla08)^0.5)-SUM($N202:BC202),('PTRM input'!$N$152*(1+rvanilla08)^0.5)/A10stdlife))</f>
        <v>0</v>
      </c>
      <c r="BE202" s="107">
        <f>IF(A10stdlife="n/a","n/a",IF(BE$3&gt;(A10stdlife+$E202),('PTRM input'!$N$152*(1+rvanilla08)^0.5)-SUM($N202:BD202),('PTRM input'!$N$152*(1+rvanilla08)^0.5)/A10stdlife))</f>
        <v>0</v>
      </c>
      <c r="BF202" s="107">
        <f>IF(A10stdlife="n/a","n/a",IF(BF$3&gt;(A10stdlife+$E202),('PTRM input'!$N$152*(1+rvanilla08)^0.5)-SUM($N202:BE202),('PTRM input'!$N$152*(1+rvanilla08)^0.5)/A10stdlife))</f>
        <v>0</v>
      </c>
      <c r="BG202" s="107">
        <f>IF(A10stdlife="n/a","n/a",IF(BG$3&gt;(A10stdlife+$E202),('PTRM input'!$N$152*(1+rvanilla08)^0.5)-SUM($N202:BF202),('PTRM input'!$N$152*(1+rvanilla08)^0.5)/A10stdlife))</f>
        <v>0</v>
      </c>
      <c r="BH202" s="107">
        <f>IF(A10stdlife="n/a","n/a",IF(BH$3&gt;(A10stdlife+$E202),('PTRM input'!$N$152*(1+rvanilla08)^0.5)-SUM($N202:BG202),('PTRM input'!$N$152*(1+rvanilla08)^0.5)/A10stdlife))</f>
        <v>0</v>
      </c>
      <c r="BI202" s="107">
        <f>IF(A10stdlife="n/a","n/a",IF(BI$3&gt;(A10stdlife+$E202),('PTRM input'!$N$152*(1+rvanilla08)^0.5)-SUM($N202:BH202),('PTRM input'!$N$152*(1+rvanilla08)^0.5)/A10stdlife))</f>
        <v>0</v>
      </c>
      <c r="BJ202" s="237"/>
      <c r="BK202" s="237"/>
      <c r="BL202" s="237"/>
      <c r="BM202" s="237"/>
    </row>
    <row r="203" spans="1:65" s="190" customFormat="1" hidden="1" outlineLevel="2">
      <c r="A203" s="237"/>
      <c r="B203" s="33"/>
      <c r="C203" s="32"/>
      <c r="D203" s="1618"/>
      <c r="E203" s="169">
        <v>9</v>
      </c>
      <c r="F203" s="35"/>
      <c r="G203" s="184"/>
      <c r="H203" s="186"/>
      <c r="I203" s="186"/>
      <c r="J203" s="186"/>
      <c r="K203" s="186"/>
      <c r="L203" s="186"/>
      <c r="M203" s="186"/>
      <c r="N203" s="186"/>
      <c r="O203" s="185"/>
      <c r="P203" s="107">
        <f>IF(A10stdlife="n/a","n/a",IF(P$3&gt;(A10stdlife+$E203),('PTRM input'!$O$152*(1+rvanilla09)^0.5)-SUM($O203:O203),('PTRM input'!$O$152*(1+rvanilla09)^0.5)/A10stdlife))</f>
        <v>0</v>
      </c>
      <c r="Q203" s="107">
        <f>IF(A10stdlife="n/a","n/a",IF(Q$3&gt;(A10stdlife+$E203),('PTRM input'!$O$152*(1+rvanilla09)^0.5)-SUM($O203:P203),('PTRM input'!$O$152*(1+rvanilla09)^0.5)/A10stdlife))</f>
        <v>0</v>
      </c>
      <c r="R203" s="107">
        <f>IF(A10stdlife="n/a","n/a",IF(R$3&gt;(A10stdlife+$E203),('PTRM input'!$O$152*(1+rvanilla09)^0.5)-SUM($O203:Q203),('PTRM input'!$O$152*(1+rvanilla09)^0.5)/A10stdlife))</f>
        <v>0</v>
      </c>
      <c r="S203" s="107">
        <f>IF(A10stdlife="n/a","n/a",IF(S$3&gt;(A10stdlife+$E203),('PTRM input'!$O$152*(1+rvanilla09)^0.5)-SUM($O203:R203),('PTRM input'!$O$152*(1+rvanilla09)^0.5)/A10stdlife))</f>
        <v>0</v>
      </c>
      <c r="T203" s="107">
        <f>IF(A10stdlife="n/a","n/a",IF(T$3&gt;(A10stdlife+$E203),('PTRM input'!$O$152*(1+rvanilla09)^0.5)-SUM($O203:S203),('PTRM input'!$O$152*(1+rvanilla09)^0.5)/A10stdlife))</f>
        <v>0</v>
      </c>
      <c r="U203" s="107">
        <f>IF(A10stdlife="n/a","n/a",IF(U$3&gt;(A10stdlife+$E203),('PTRM input'!$O$152*(1+rvanilla09)^0.5)-SUM($O203:T203),('PTRM input'!$O$152*(1+rvanilla09)^0.5)/A10stdlife))</f>
        <v>0</v>
      </c>
      <c r="V203" s="107">
        <f>IF(A10stdlife="n/a","n/a",IF(V$3&gt;(A10stdlife+$E203),('PTRM input'!$O$152*(1+rvanilla09)^0.5)-SUM($O203:U203),('PTRM input'!$O$152*(1+rvanilla09)^0.5)/A10stdlife))</f>
        <v>0</v>
      </c>
      <c r="W203" s="107">
        <f>IF(A10stdlife="n/a","n/a",IF(W$3&gt;(A10stdlife+$E203),('PTRM input'!$O$152*(1+rvanilla09)^0.5)-SUM($O203:V203),('PTRM input'!$O$152*(1+rvanilla09)^0.5)/A10stdlife))</f>
        <v>0</v>
      </c>
      <c r="X203" s="107">
        <f>IF(A10stdlife="n/a","n/a",IF(X$3&gt;(A10stdlife+$E203),('PTRM input'!$O$152*(1+rvanilla09)^0.5)-SUM($O203:W203),('PTRM input'!$O$152*(1+rvanilla09)^0.5)/A10stdlife))</f>
        <v>0</v>
      </c>
      <c r="Y203" s="107">
        <f>IF(A10stdlife="n/a","n/a",IF(Y$3&gt;(A10stdlife+$E203),('PTRM input'!$O$152*(1+rvanilla09)^0.5)-SUM($O203:X203),('PTRM input'!$O$152*(1+rvanilla09)^0.5)/A10stdlife))</f>
        <v>0</v>
      </c>
      <c r="Z203" s="107">
        <f>IF(A10stdlife="n/a","n/a",IF(Z$3&gt;(A10stdlife+$E203),('PTRM input'!$O$152*(1+rvanilla09)^0.5)-SUM($O203:Y203),('PTRM input'!$O$152*(1+rvanilla09)^0.5)/A10stdlife))</f>
        <v>0</v>
      </c>
      <c r="AA203" s="107">
        <f>IF(A10stdlife="n/a","n/a",IF(AA$3&gt;(A10stdlife+$E203),('PTRM input'!$O$152*(1+rvanilla09)^0.5)-SUM($O203:Z203),('PTRM input'!$O$152*(1+rvanilla09)^0.5)/A10stdlife))</f>
        <v>0</v>
      </c>
      <c r="AB203" s="107">
        <f>IF(A10stdlife="n/a","n/a",IF(AB$3&gt;(A10stdlife+$E203),('PTRM input'!$O$152*(1+rvanilla09)^0.5)-SUM($O203:AA203),('PTRM input'!$O$152*(1+rvanilla09)^0.5)/A10stdlife))</f>
        <v>0</v>
      </c>
      <c r="AC203" s="107">
        <f>IF(A10stdlife="n/a","n/a",IF(AC$3&gt;(A10stdlife+$E203),('PTRM input'!$O$152*(1+rvanilla09)^0.5)-SUM($O203:AB203),('PTRM input'!$O$152*(1+rvanilla09)^0.5)/A10stdlife))</f>
        <v>0</v>
      </c>
      <c r="AD203" s="107">
        <f>IF(A10stdlife="n/a","n/a",IF(AD$3&gt;(A10stdlife+$E203),('PTRM input'!$O$152*(1+rvanilla09)^0.5)-SUM($O203:AC203),('PTRM input'!$O$152*(1+rvanilla09)^0.5)/A10stdlife))</f>
        <v>0</v>
      </c>
      <c r="AE203" s="107">
        <f>IF(A10stdlife="n/a","n/a",IF(AE$3&gt;(A10stdlife+$E203),('PTRM input'!$O$152*(1+rvanilla09)^0.5)-SUM($O203:AD203),('PTRM input'!$O$152*(1+rvanilla09)^0.5)/A10stdlife))</f>
        <v>0</v>
      </c>
      <c r="AF203" s="107">
        <f>IF(A10stdlife="n/a","n/a",IF(AF$3&gt;(A10stdlife+$E203),('PTRM input'!$O$152*(1+rvanilla09)^0.5)-SUM($O203:AE203),('PTRM input'!$O$152*(1+rvanilla09)^0.5)/A10stdlife))</f>
        <v>0</v>
      </c>
      <c r="AG203" s="107">
        <f>IF(A10stdlife="n/a","n/a",IF(AG$3&gt;(A10stdlife+$E203),('PTRM input'!$O$152*(1+rvanilla09)^0.5)-SUM($O203:AF203),('PTRM input'!$O$152*(1+rvanilla09)^0.5)/A10stdlife))</f>
        <v>0</v>
      </c>
      <c r="AH203" s="107">
        <f>IF(A10stdlife="n/a","n/a",IF(AH$3&gt;(A10stdlife+$E203),('PTRM input'!$O$152*(1+rvanilla09)^0.5)-SUM($O203:AG203),('PTRM input'!$O$152*(1+rvanilla09)^0.5)/A10stdlife))</f>
        <v>0</v>
      </c>
      <c r="AI203" s="107">
        <f>IF(A10stdlife="n/a","n/a",IF(AI$3&gt;(A10stdlife+$E203),('PTRM input'!$O$152*(1+rvanilla09)^0.5)-SUM($O203:AH203),('PTRM input'!$O$152*(1+rvanilla09)^0.5)/A10stdlife))</f>
        <v>0</v>
      </c>
      <c r="AJ203" s="107">
        <f>IF(A10stdlife="n/a","n/a",IF(AJ$3&gt;(A10stdlife+$E203),('PTRM input'!$O$152*(1+rvanilla09)^0.5)-SUM($O203:AI203),('PTRM input'!$O$152*(1+rvanilla09)^0.5)/A10stdlife))</f>
        <v>0</v>
      </c>
      <c r="AK203" s="107">
        <f>IF(A10stdlife="n/a","n/a",IF(AK$3&gt;(A10stdlife+$E203),('PTRM input'!$O$152*(1+rvanilla09)^0.5)-SUM($O203:AJ203),('PTRM input'!$O$152*(1+rvanilla09)^0.5)/A10stdlife))</f>
        <v>0</v>
      </c>
      <c r="AL203" s="107">
        <f>IF(A10stdlife="n/a","n/a",IF(AL$3&gt;(A10stdlife+$E203),('PTRM input'!$O$152*(1+rvanilla09)^0.5)-SUM($O203:AK203),('PTRM input'!$O$152*(1+rvanilla09)^0.5)/A10stdlife))</f>
        <v>0</v>
      </c>
      <c r="AM203" s="107">
        <f>IF(A10stdlife="n/a","n/a",IF(AM$3&gt;(A10stdlife+$E203),('PTRM input'!$O$152*(1+rvanilla09)^0.5)-SUM($O203:AL203),('PTRM input'!$O$152*(1+rvanilla09)^0.5)/A10stdlife))</f>
        <v>0</v>
      </c>
      <c r="AN203" s="107">
        <f>IF(A10stdlife="n/a","n/a",IF(AN$3&gt;(A10stdlife+$E203),('PTRM input'!$O$152*(1+rvanilla09)^0.5)-SUM($O203:AM203),('PTRM input'!$O$152*(1+rvanilla09)^0.5)/A10stdlife))</f>
        <v>0</v>
      </c>
      <c r="AO203" s="107">
        <f>IF(A10stdlife="n/a","n/a",IF(AO$3&gt;(A10stdlife+$E203),('PTRM input'!$O$152*(1+rvanilla09)^0.5)-SUM($O203:AN203),('PTRM input'!$O$152*(1+rvanilla09)^0.5)/A10stdlife))</f>
        <v>0</v>
      </c>
      <c r="AP203" s="107">
        <f>IF(A10stdlife="n/a","n/a",IF(AP$3&gt;(A10stdlife+$E203),('PTRM input'!$O$152*(1+rvanilla09)^0.5)-SUM($O203:AO203),('PTRM input'!$O$152*(1+rvanilla09)^0.5)/A10stdlife))</f>
        <v>0</v>
      </c>
      <c r="AQ203" s="107">
        <f>IF(A10stdlife="n/a","n/a",IF(AQ$3&gt;(A10stdlife+$E203),('PTRM input'!$O$152*(1+rvanilla09)^0.5)-SUM($O203:AP203),('PTRM input'!$O$152*(1+rvanilla09)^0.5)/A10stdlife))</f>
        <v>0</v>
      </c>
      <c r="AR203" s="107">
        <f>IF(A10stdlife="n/a","n/a",IF(AR$3&gt;(A10stdlife+$E203),('PTRM input'!$O$152*(1+rvanilla09)^0.5)-SUM($O203:AQ203),('PTRM input'!$O$152*(1+rvanilla09)^0.5)/A10stdlife))</f>
        <v>0</v>
      </c>
      <c r="AS203" s="107">
        <f>IF(A10stdlife="n/a","n/a",IF(AS$3&gt;(A10stdlife+$E203),('PTRM input'!$O$152*(1+rvanilla09)^0.5)-SUM($O203:AR203),('PTRM input'!$O$152*(1+rvanilla09)^0.5)/A10stdlife))</f>
        <v>0</v>
      </c>
      <c r="AT203" s="107">
        <f>IF(A10stdlife="n/a","n/a",IF(AT$3&gt;(A10stdlife+$E203),('PTRM input'!$O$152*(1+rvanilla09)^0.5)-SUM($O203:AS203),('PTRM input'!$O$152*(1+rvanilla09)^0.5)/A10stdlife))</f>
        <v>0</v>
      </c>
      <c r="AU203" s="107">
        <f>IF(A10stdlife="n/a","n/a",IF(AU$3&gt;(A10stdlife+$E203),('PTRM input'!$O$152*(1+rvanilla09)^0.5)-SUM($O203:AT203),('PTRM input'!$O$152*(1+rvanilla09)^0.5)/A10stdlife))</f>
        <v>0</v>
      </c>
      <c r="AV203" s="107">
        <f>IF(A10stdlife="n/a","n/a",IF(AV$3&gt;(A10stdlife+$E203),('PTRM input'!$O$152*(1+rvanilla09)^0.5)-SUM($O203:AU203),('PTRM input'!$O$152*(1+rvanilla09)^0.5)/A10stdlife))</f>
        <v>0</v>
      </c>
      <c r="AW203" s="107">
        <f>IF(A10stdlife="n/a","n/a",IF(AW$3&gt;(A10stdlife+$E203),('PTRM input'!$O$152*(1+rvanilla09)^0.5)-SUM($O203:AV203),('PTRM input'!$O$152*(1+rvanilla09)^0.5)/A10stdlife))</f>
        <v>0</v>
      </c>
      <c r="AX203" s="107">
        <f>IF(A10stdlife="n/a","n/a",IF(AX$3&gt;(A10stdlife+$E203),('PTRM input'!$O$152*(1+rvanilla09)^0.5)-SUM($O203:AW203),('PTRM input'!$O$152*(1+rvanilla09)^0.5)/A10stdlife))</f>
        <v>0</v>
      </c>
      <c r="AY203" s="107">
        <f>IF(A10stdlife="n/a","n/a",IF(AY$3&gt;(A10stdlife+$E203),('PTRM input'!$O$152*(1+rvanilla09)^0.5)-SUM($O203:AX203),('PTRM input'!$O$152*(1+rvanilla09)^0.5)/A10stdlife))</f>
        <v>0</v>
      </c>
      <c r="AZ203" s="107">
        <f>IF(A10stdlife="n/a","n/a",IF(AZ$3&gt;(A10stdlife+$E203),('PTRM input'!$O$152*(1+rvanilla09)^0.5)-SUM($O203:AY203),('PTRM input'!$O$152*(1+rvanilla09)^0.5)/A10stdlife))</f>
        <v>0</v>
      </c>
      <c r="BA203" s="107">
        <f>IF(A10stdlife="n/a","n/a",IF(BA$3&gt;(A10stdlife+$E203),('PTRM input'!$O$152*(1+rvanilla09)^0.5)-SUM($O203:AZ203),('PTRM input'!$O$152*(1+rvanilla09)^0.5)/A10stdlife))</f>
        <v>0</v>
      </c>
      <c r="BB203" s="107">
        <f>IF(A10stdlife="n/a","n/a",IF(BB$3&gt;(A10stdlife+$E203),('PTRM input'!$O$152*(1+rvanilla09)^0.5)-SUM($O203:BA203),('PTRM input'!$O$152*(1+rvanilla09)^0.5)/A10stdlife))</f>
        <v>0</v>
      </c>
      <c r="BC203" s="107">
        <f>IF(A10stdlife="n/a","n/a",IF(BC$3&gt;(A10stdlife+$E203),('PTRM input'!$O$152*(1+rvanilla09)^0.5)-SUM($O203:BB203),('PTRM input'!$O$152*(1+rvanilla09)^0.5)/A10stdlife))</f>
        <v>0</v>
      </c>
      <c r="BD203" s="107">
        <f>IF(A10stdlife="n/a","n/a",IF(BD$3&gt;(A10stdlife+$E203),('PTRM input'!$O$152*(1+rvanilla09)^0.5)-SUM($O203:BC203),('PTRM input'!$O$152*(1+rvanilla09)^0.5)/A10stdlife))</f>
        <v>0</v>
      </c>
      <c r="BE203" s="107">
        <f>IF(A10stdlife="n/a","n/a",IF(BE$3&gt;(A10stdlife+$E203),('PTRM input'!$O$152*(1+rvanilla09)^0.5)-SUM($O203:BD203),('PTRM input'!$O$152*(1+rvanilla09)^0.5)/A10stdlife))</f>
        <v>0</v>
      </c>
      <c r="BF203" s="107">
        <f>IF(A10stdlife="n/a","n/a",IF(BF$3&gt;(A10stdlife+$E203),('PTRM input'!$O$152*(1+rvanilla09)^0.5)-SUM($O203:BE203),('PTRM input'!$O$152*(1+rvanilla09)^0.5)/A10stdlife))</f>
        <v>0</v>
      </c>
      <c r="BG203" s="107">
        <f>IF(A10stdlife="n/a","n/a",IF(BG$3&gt;(A10stdlife+$E203),('PTRM input'!$O$152*(1+rvanilla09)^0.5)-SUM($O203:BF203),('PTRM input'!$O$152*(1+rvanilla09)^0.5)/A10stdlife))</f>
        <v>0</v>
      </c>
      <c r="BH203" s="107">
        <f>IF(A10stdlife="n/a","n/a",IF(BH$3&gt;(A10stdlife+$E203),('PTRM input'!$O$152*(1+rvanilla09)^0.5)-SUM($O203:BG203),('PTRM input'!$O$152*(1+rvanilla09)^0.5)/A10stdlife))</f>
        <v>0</v>
      </c>
      <c r="BI203" s="107">
        <f>IF(A10stdlife="n/a","n/a",IF(BI$3&gt;(A10stdlife+$E203),('PTRM input'!$O$152*(1+rvanilla09)^0.5)-SUM($O203:BH203),('PTRM input'!$O$152*(1+rvanilla09)^0.5)/A10stdlife))</f>
        <v>0</v>
      </c>
      <c r="BJ203" s="237"/>
      <c r="BK203" s="237"/>
      <c r="BL203" s="237"/>
      <c r="BM203" s="237"/>
    </row>
    <row r="204" spans="1:65" s="190" customFormat="1" hidden="1" outlineLevel="2">
      <c r="A204" s="237"/>
      <c r="B204" s="33"/>
      <c r="C204" s="32"/>
      <c r="D204" s="1618"/>
      <c r="E204" s="170">
        <v>10</v>
      </c>
      <c r="F204" s="35"/>
      <c r="G204" s="184"/>
      <c r="H204" s="186"/>
      <c r="I204" s="186"/>
      <c r="J204" s="186"/>
      <c r="K204" s="186"/>
      <c r="L204" s="186"/>
      <c r="M204" s="186"/>
      <c r="N204" s="186"/>
      <c r="O204" s="186"/>
      <c r="P204" s="185"/>
      <c r="Q204" s="107">
        <f>IF(A10stdlife="n/a","n/a",IF(Q$3&gt;(A10stdlife+$E204),('PTRM input'!$P$152*(1+rvanilla10)^0.5)-SUM($P204:P204),('PTRM input'!$P$152*(1+rvanilla10)^0.5)/A10stdlife))</f>
        <v>0</v>
      </c>
      <c r="R204" s="107">
        <f>IF(A10stdlife="n/a","n/a",IF(R$3&gt;(A10stdlife+$E204),('PTRM input'!$P$152*(1+rvanilla10)^0.5)-SUM($P204:Q204),('PTRM input'!$P$152*(1+rvanilla10)^0.5)/A10stdlife))</f>
        <v>0</v>
      </c>
      <c r="S204" s="107">
        <f>IF(A10stdlife="n/a","n/a",IF(S$3&gt;(A10stdlife+$E204),('PTRM input'!$P$152*(1+rvanilla10)^0.5)-SUM($P204:R204),('PTRM input'!$P$152*(1+rvanilla10)^0.5)/A10stdlife))</f>
        <v>0</v>
      </c>
      <c r="T204" s="107">
        <f>IF(A10stdlife="n/a","n/a",IF(T$3&gt;(A10stdlife+$E204),('PTRM input'!$P$152*(1+rvanilla10)^0.5)-SUM($P204:S204),('PTRM input'!$P$152*(1+rvanilla10)^0.5)/A10stdlife))</f>
        <v>0</v>
      </c>
      <c r="U204" s="107">
        <f>IF(A10stdlife="n/a","n/a",IF(U$3&gt;(A10stdlife+$E204),('PTRM input'!$P$152*(1+rvanilla10)^0.5)-SUM($P204:T204),('PTRM input'!$P$152*(1+rvanilla10)^0.5)/A10stdlife))</f>
        <v>0</v>
      </c>
      <c r="V204" s="107">
        <f>IF(A10stdlife="n/a","n/a",IF(V$3&gt;(A10stdlife+$E204),('PTRM input'!$P$152*(1+rvanilla10)^0.5)-SUM($P204:U204),('PTRM input'!$P$152*(1+rvanilla10)^0.5)/A10stdlife))</f>
        <v>0</v>
      </c>
      <c r="W204" s="107">
        <f>IF(A10stdlife="n/a","n/a",IF(W$3&gt;(A10stdlife+$E204),('PTRM input'!$P$152*(1+rvanilla10)^0.5)-SUM($P204:V204),('PTRM input'!$P$152*(1+rvanilla10)^0.5)/A10stdlife))</f>
        <v>0</v>
      </c>
      <c r="X204" s="107">
        <f>IF(A10stdlife="n/a","n/a",IF(X$3&gt;(A10stdlife+$E204),('PTRM input'!$P$152*(1+rvanilla10)^0.5)-SUM($P204:W204),('PTRM input'!$P$152*(1+rvanilla10)^0.5)/A10stdlife))</f>
        <v>0</v>
      </c>
      <c r="Y204" s="107">
        <f>IF(A10stdlife="n/a","n/a",IF(Y$3&gt;(A10stdlife+$E204),('PTRM input'!$P$152*(1+rvanilla10)^0.5)-SUM($P204:X204),('PTRM input'!$P$152*(1+rvanilla10)^0.5)/A10stdlife))</f>
        <v>0</v>
      </c>
      <c r="Z204" s="107">
        <f>IF(A10stdlife="n/a","n/a",IF(Z$3&gt;(A10stdlife+$E204),('PTRM input'!$P$152*(1+rvanilla10)^0.5)-SUM($P204:Y204),('PTRM input'!$P$152*(1+rvanilla10)^0.5)/A10stdlife))</f>
        <v>0</v>
      </c>
      <c r="AA204" s="107">
        <f>IF(A10stdlife="n/a","n/a",IF(AA$3&gt;(A10stdlife+$E204),('PTRM input'!$P$152*(1+rvanilla10)^0.5)-SUM($P204:Z204),('PTRM input'!$P$152*(1+rvanilla10)^0.5)/A10stdlife))</f>
        <v>0</v>
      </c>
      <c r="AB204" s="107">
        <f>IF(A10stdlife="n/a","n/a",IF(AB$3&gt;(A10stdlife+$E204),('PTRM input'!$P$152*(1+rvanilla10)^0.5)-SUM($P204:AA204),('PTRM input'!$P$152*(1+rvanilla10)^0.5)/A10stdlife))</f>
        <v>0</v>
      </c>
      <c r="AC204" s="107">
        <f>IF(A10stdlife="n/a","n/a",IF(AC$3&gt;(A10stdlife+$E204),('PTRM input'!$P$152*(1+rvanilla10)^0.5)-SUM($P204:AB204),('PTRM input'!$P$152*(1+rvanilla10)^0.5)/A10stdlife))</f>
        <v>0</v>
      </c>
      <c r="AD204" s="107">
        <f>IF(A10stdlife="n/a","n/a",IF(AD$3&gt;(A10stdlife+$E204),('PTRM input'!$P$152*(1+rvanilla10)^0.5)-SUM($P204:AC204),('PTRM input'!$P$152*(1+rvanilla10)^0.5)/A10stdlife))</f>
        <v>0</v>
      </c>
      <c r="AE204" s="107">
        <f>IF(A10stdlife="n/a","n/a",IF(AE$3&gt;(A10stdlife+$E204),('PTRM input'!$P$152*(1+rvanilla10)^0.5)-SUM($P204:AD204),('PTRM input'!$P$152*(1+rvanilla10)^0.5)/A10stdlife))</f>
        <v>0</v>
      </c>
      <c r="AF204" s="107">
        <f>IF(A10stdlife="n/a","n/a",IF(AF$3&gt;(A10stdlife+$E204),('PTRM input'!$P$152*(1+rvanilla10)^0.5)-SUM($P204:AE204),('PTRM input'!$P$152*(1+rvanilla10)^0.5)/A10stdlife))</f>
        <v>0</v>
      </c>
      <c r="AG204" s="107">
        <f>IF(A10stdlife="n/a","n/a",IF(AG$3&gt;(A10stdlife+$E204),('PTRM input'!$P$152*(1+rvanilla10)^0.5)-SUM($P204:AF204),('PTRM input'!$P$152*(1+rvanilla10)^0.5)/A10stdlife))</f>
        <v>0</v>
      </c>
      <c r="AH204" s="107">
        <f>IF(A10stdlife="n/a","n/a",IF(AH$3&gt;(A10stdlife+$E204),('PTRM input'!$P$152*(1+rvanilla10)^0.5)-SUM($P204:AG204),('PTRM input'!$P$152*(1+rvanilla10)^0.5)/A10stdlife))</f>
        <v>0</v>
      </c>
      <c r="AI204" s="107">
        <f>IF(A10stdlife="n/a","n/a",IF(AI$3&gt;(A10stdlife+$E204),('PTRM input'!$P$152*(1+rvanilla10)^0.5)-SUM($P204:AH204),('PTRM input'!$P$152*(1+rvanilla10)^0.5)/A10stdlife))</f>
        <v>0</v>
      </c>
      <c r="AJ204" s="107">
        <f>IF(A10stdlife="n/a","n/a",IF(AJ$3&gt;(A10stdlife+$E204),('PTRM input'!$P$152*(1+rvanilla10)^0.5)-SUM($P204:AI204),('PTRM input'!$P$152*(1+rvanilla10)^0.5)/A10stdlife))</f>
        <v>0</v>
      </c>
      <c r="AK204" s="107">
        <f>IF(A10stdlife="n/a","n/a",IF(AK$3&gt;(A10stdlife+$E204),('PTRM input'!$P$152*(1+rvanilla10)^0.5)-SUM($P204:AJ204),('PTRM input'!$P$152*(1+rvanilla10)^0.5)/A10stdlife))</f>
        <v>0</v>
      </c>
      <c r="AL204" s="107">
        <f>IF(A10stdlife="n/a","n/a",IF(AL$3&gt;(A10stdlife+$E204),('PTRM input'!$P$152*(1+rvanilla10)^0.5)-SUM($P204:AK204),('PTRM input'!$P$152*(1+rvanilla10)^0.5)/A10stdlife))</f>
        <v>0</v>
      </c>
      <c r="AM204" s="107">
        <f>IF(A10stdlife="n/a","n/a",IF(AM$3&gt;(A10stdlife+$E204),('PTRM input'!$P$152*(1+rvanilla10)^0.5)-SUM($P204:AL204),('PTRM input'!$P$152*(1+rvanilla10)^0.5)/A10stdlife))</f>
        <v>0</v>
      </c>
      <c r="AN204" s="107">
        <f>IF(A10stdlife="n/a","n/a",IF(AN$3&gt;(A10stdlife+$E204),('PTRM input'!$P$152*(1+rvanilla10)^0.5)-SUM($P204:AM204),('PTRM input'!$P$152*(1+rvanilla10)^0.5)/A10stdlife))</f>
        <v>0</v>
      </c>
      <c r="AO204" s="107">
        <f>IF(A10stdlife="n/a","n/a",IF(AO$3&gt;(A10stdlife+$E204),('PTRM input'!$P$152*(1+rvanilla10)^0.5)-SUM($P204:AN204),('PTRM input'!$P$152*(1+rvanilla10)^0.5)/A10stdlife))</f>
        <v>0</v>
      </c>
      <c r="AP204" s="107">
        <f>IF(A10stdlife="n/a","n/a",IF(AP$3&gt;(A10stdlife+$E204),('PTRM input'!$P$152*(1+rvanilla10)^0.5)-SUM($P204:AO204),('PTRM input'!$P$152*(1+rvanilla10)^0.5)/A10stdlife))</f>
        <v>0</v>
      </c>
      <c r="AQ204" s="107">
        <f>IF(A10stdlife="n/a","n/a",IF(AQ$3&gt;(A10stdlife+$E204),('PTRM input'!$P$152*(1+rvanilla10)^0.5)-SUM($P204:AP204),('PTRM input'!$P$152*(1+rvanilla10)^0.5)/A10stdlife))</f>
        <v>0</v>
      </c>
      <c r="AR204" s="107">
        <f>IF(A10stdlife="n/a","n/a",IF(AR$3&gt;(A10stdlife+$E204),('PTRM input'!$P$152*(1+rvanilla10)^0.5)-SUM($P204:AQ204),('PTRM input'!$P$152*(1+rvanilla10)^0.5)/A10stdlife))</f>
        <v>0</v>
      </c>
      <c r="AS204" s="107">
        <f>IF(A10stdlife="n/a","n/a",IF(AS$3&gt;(A10stdlife+$E204),('PTRM input'!$P$152*(1+rvanilla10)^0.5)-SUM($P204:AR204),('PTRM input'!$P$152*(1+rvanilla10)^0.5)/A10stdlife))</f>
        <v>0</v>
      </c>
      <c r="AT204" s="107">
        <f>IF(A10stdlife="n/a","n/a",IF(AT$3&gt;(A10stdlife+$E204),('PTRM input'!$P$152*(1+rvanilla10)^0.5)-SUM($P204:AS204),('PTRM input'!$P$152*(1+rvanilla10)^0.5)/A10stdlife))</f>
        <v>0</v>
      </c>
      <c r="AU204" s="107">
        <f>IF(A10stdlife="n/a","n/a",IF(AU$3&gt;(A10stdlife+$E204),('PTRM input'!$P$152*(1+rvanilla10)^0.5)-SUM($P204:AT204),('PTRM input'!$P$152*(1+rvanilla10)^0.5)/A10stdlife))</f>
        <v>0</v>
      </c>
      <c r="AV204" s="107">
        <f>IF(A10stdlife="n/a","n/a",IF(AV$3&gt;(A10stdlife+$E204),('PTRM input'!$P$152*(1+rvanilla10)^0.5)-SUM($P204:AU204),('PTRM input'!$P$152*(1+rvanilla10)^0.5)/A10stdlife))</f>
        <v>0</v>
      </c>
      <c r="AW204" s="107">
        <f>IF(A10stdlife="n/a","n/a",IF(AW$3&gt;(A10stdlife+$E204),('PTRM input'!$P$152*(1+rvanilla10)^0.5)-SUM($P204:AV204),('PTRM input'!$P$152*(1+rvanilla10)^0.5)/A10stdlife))</f>
        <v>0</v>
      </c>
      <c r="AX204" s="107">
        <f>IF(A10stdlife="n/a","n/a",IF(AX$3&gt;(A10stdlife+$E204),('PTRM input'!$P$152*(1+rvanilla10)^0.5)-SUM($P204:AW204),('PTRM input'!$P$152*(1+rvanilla10)^0.5)/A10stdlife))</f>
        <v>0</v>
      </c>
      <c r="AY204" s="107">
        <f>IF(A10stdlife="n/a","n/a",IF(AY$3&gt;(A10stdlife+$E204),('PTRM input'!$P$152*(1+rvanilla10)^0.5)-SUM($P204:AX204),('PTRM input'!$P$152*(1+rvanilla10)^0.5)/A10stdlife))</f>
        <v>0</v>
      </c>
      <c r="AZ204" s="107">
        <f>IF(A10stdlife="n/a","n/a",IF(AZ$3&gt;(A10stdlife+$E204),('PTRM input'!$P$152*(1+rvanilla10)^0.5)-SUM($P204:AY204),('PTRM input'!$P$152*(1+rvanilla10)^0.5)/A10stdlife))</f>
        <v>0</v>
      </c>
      <c r="BA204" s="107">
        <f>IF(A10stdlife="n/a","n/a",IF(BA$3&gt;(A10stdlife+$E204),('PTRM input'!$P$152*(1+rvanilla10)^0.5)-SUM($P204:AZ204),('PTRM input'!$P$152*(1+rvanilla10)^0.5)/A10stdlife))</f>
        <v>0</v>
      </c>
      <c r="BB204" s="107">
        <f>IF(A10stdlife="n/a","n/a",IF(BB$3&gt;(A10stdlife+$E204),('PTRM input'!$P$152*(1+rvanilla10)^0.5)-SUM($P204:BA204),('PTRM input'!$P$152*(1+rvanilla10)^0.5)/A10stdlife))</f>
        <v>0</v>
      </c>
      <c r="BC204" s="107">
        <f>IF(A10stdlife="n/a","n/a",IF(BC$3&gt;(A10stdlife+$E204),('PTRM input'!$P$152*(1+rvanilla10)^0.5)-SUM($P204:BB204),('PTRM input'!$P$152*(1+rvanilla10)^0.5)/A10stdlife))</f>
        <v>0</v>
      </c>
      <c r="BD204" s="107">
        <f>IF(A10stdlife="n/a","n/a",IF(BD$3&gt;(A10stdlife+$E204),('PTRM input'!$P$152*(1+rvanilla10)^0.5)-SUM($P204:BC204),('PTRM input'!$P$152*(1+rvanilla10)^0.5)/A10stdlife))</f>
        <v>0</v>
      </c>
      <c r="BE204" s="107">
        <f>IF(A10stdlife="n/a","n/a",IF(BE$3&gt;(A10stdlife+$E204),('PTRM input'!$P$152*(1+rvanilla10)^0.5)-SUM($P204:BD204),('PTRM input'!$P$152*(1+rvanilla10)^0.5)/A10stdlife))</f>
        <v>0</v>
      </c>
      <c r="BF204" s="107">
        <f>IF(A10stdlife="n/a","n/a",IF(BF$3&gt;(A10stdlife+$E204),('PTRM input'!$P$152*(1+rvanilla10)^0.5)-SUM($P204:BE204),('PTRM input'!$P$152*(1+rvanilla10)^0.5)/A10stdlife))</f>
        <v>0</v>
      </c>
      <c r="BG204" s="107">
        <f>IF(A10stdlife="n/a","n/a",IF(BG$3&gt;(A10stdlife+$E204),('PTRM input'!$P$152*(1+rvanilla10)^0.5)-SUM($P204:BF204),('PTRM input'!$P$152*(1+rvanilla10)^0.5)/A10stdlife))</f>
        <v>0</v>
      </c>
      <c r="BH204" s="107">
        <f>IF(A10stdlife="n/a","n/a",IF(BH$3&gt;(A10stdlife+$E204),('PTRM input'!$P$152*(1+rvanilla10)^0.5)-SUM($P204:BG204),('PTRM input'!$P$152*(1+rvanilla10)^0.5)/A10stdlife))</f>
        <v>0</v>
      </c>
      <c r="BI204" s="107">
        <f>IF(A10stdlife="n/a","n/a",IF(BI$3&gt;(A10stdlife+$E204),('PTRM input'!$P$152*(1+rvanilla10)^0.5)-SUM($P204:BH204),('PTRM input'!$P$152*(1+rvanilla10)^0.5)/A10stdlife))</f>
        <v>0</v>
      </c>
      <c r="BJ204" s="237"/>
      <c r="BK204" s="237"/>
      <c r="BL204" s="237"/>
      <c r="BM204" s="237"/>
    </row>
    <row r="205" spans="1:65" s="190" customFormat="1" hidden="1" outlineLevel="1">
      <c r="A205" s="237"/>
      <c r="B205" s="18"/>
      <c r="C205" s="33">
        <f>Asset10</f>
        <v>0</v>
      </c>
      <c r="D205" s="18"/>
      <c r="E205" s="18"/>
      <c r="F205" s="31"/>
      <c r="G205" s="104">
        <f t="shared" ref="G205:AL205" si="55">SUM(G193:G204)</f>
        <v>0</v>
      </c>
      <c r="H205" s="104">
        <f t="shared" si="55"/>
        <v>0</v>
      </c>
      <c r="I205" s="104">
        <f t="shared" si="55"/>
        <v>0</v>
      </c>
      <c r="J205" s="104">
        <f t="shared" si="55"/>
        <v>0</v>
      </c>
      <c r="K205" s="104">
        <f t="shared" si="55"/>
        <v>0</v>
      </c>
      <c r="L205" s="104">
        <f t="shared" si="55"/>
        <v>0</v>
      </c>
      <c r="M205" s="104">
        <f t="shared" si="55"/>
        <v>0</v>
      </c>
      <c r="N205" s="104">
        <f t="shared" si="55"/>
        <v>0</v>
      </c>
      <c r="O205" s="104">
        <f t="shared" si="55"/>
        <v>0</v>
      </c>
      <c r="P205" s="104">
        <f t="shared" si="55"/>
        <v>0</v>
      </c>
      <c r="Q205" s="104">
        <f t="shared" si="55"/>
        <v>0</v>
      </c>
      <c r="R205" s="104">
        <f t="shared" si="55"/>
        <v>0</v>
      </c>
      <c r="S205" s="104">
        <f t="shared" si="55"/>
        <v>0</v>
      </c>
      <c r="T205" s="104">
        <f t="shared" si="55"/>
        <v>0</v>
      </c>
      <c r="U205" s="104">
        <f t="shared" si="55"/>
        <v>0</v>
      </c>
      <c r="V205" s="104">
        <f t="shared" si="55"/>
        <v>0</v>
      </c>
      <c r="W205" s="104">
        <f t="shared" si="55"/>
        <v>0</v>
      </c>
      <c r="X205" s="104">
        <f t="shared" si="55"/>
        <v>0</v>
      </c>
      <c r="Y205" s="104">
        <f t="shared" si="55"/>
        <v>0</v>
      </c>
      <c r="Z205" s="104">
        <f t="shared" si="55"/>
        <v>0</v>
      </c>
      <c r="AA205" s="104">
        <f t="shared" si="55"/>
        <v>0</v>
      </c>
      <c r="AB205" s="104">
        <f t="shared" si="55"/>
        <v>0</v>
      </c>
      <c r="AC205" s="104">
        <f t="shared" si="55"/>
        <v>0</v>
      </c>
      <c r="AD205" s="104">
        <f t="shared" si="55"/>
        <v>0</v>
      </c>
      <c r="AE205" s="104">
        <f t="shared" si="55"/>
        <v>0</v>
      </c>
      <c r="AF205" s="104">
        <f t="shared" si="55"/>
        <v>0</v>
      </c>
      <c r="AG205" s="104">
        <f t="shared" si="55"/>
        <v>0</v>
      </c>
      <c r="AH205" s="104">
        <f t="shared" si="55"/>
        <v>0</v>
      </c>
      <c r="AI205" s="104">
        <f t="shared" si="55"/>
        <v>0</v>
      </c>
      <c r="AJ205" s="104">
        <f t="shared" si="55"/>
        <v>0</v>
      </c>
      <c r="AK205" s="104">
        <f t="shared" si="55"/>
        <v>0</v>
      </c>
      <c r="AL205" s="104">
        <f t="shared" si="55"/>
        <v>0</v>
      </c>
      <c r="AM205" s="104">
        <f t="shared" ref="AM205:BI205" si="56">SUM(AM193:AM204)</f>
        <v>0</v>
      </c>
      <c r="AN205" s="104">
        <f t="shared" si="56"/>
        <v>0</v>
      </c>
      <c r="AO205" s="104">
        <f t="shared" si="56"/>
        <v>0</v>
      </c>
      <c r="AP205" s="104">
        <f t="shared" si="56"/>
        <v>0</v>
      </c>
      <c r="AQ205" s="104">
        <f t="shared" si="56"/>
        <v>0</v>
      </c>
      <c r="AR205" s="104">
        <f t="shared" si="56"/>
        <v>0</v>
      </c>
      <c r="AS205" s="104">
        <f t="shared" si="56"/>
        <v>0</v>
      </c>
      <c r="AT205" s="104">
        <f t="shared" si="56"/>
        <v>0</v>
      </c>
      <c r="AU205" s="104">
        <f t="shared" si="56"/>
        <v>0</v>
      </c>
      <c r="AV205" s="104">
        <f t="shared" si="56"/>
        <v>0</v>
      </c>
      <c r="AW205" s="104">
        <f t="shared" si="56"/>
        <v>0</v>
      </c>
      <c r="AX205" s="104">
        <f t="shared" si="56"/>
        <v>0</v>
      </c>
      <c r="AY205" s="104">
        <f t="shared" si="56"/>
        <v>0</v>
      </c>
      <c r="AZ205" s="104">
        <f t="shared" si="56"/>
        <v>0</v>
      </c>
      <c r="BA205" s="104">
        <f t="shared" si="56"/>
        <v>0</v>
      </c>
      <c r="BB205" s="104">
        <f t="shared" si="56"/>
        <v>0</v>
      </c>
      <c r="BC205" s="104">
        <f t="shared" si="56"/>
        <v>0</v>
      </c>
      <c r="BD205" s="104">
        <f t="shared" si="56"/>
        <v>0</v>
      </c>
      <c r="BE205" s="104">
        <f t="shared" si="56"/>
        <v>0</v>
      </c>
      <c r="BF205" s="104">
        <f t="shared" si="56"/>
        <v>0</v>
      </c>
      <c r="BG205" s="104">
        <f t="shared" si="56"/>
        <v>0</v>
      </c>
      <c r="BH205" s="104">
        <f t="shared" si="56"/>
        <v>0</v>
      </c>
      <c r="BI205" s="104">
        <f t="shared" si="56"/>
        <v>0</v>
      </c>
      <c r="BJ205" s="237"/>
      <c r="BK205" s="237"/>
      <c r="BL205" s="237"/>
      <c r="BM205" s="237"/>
    </row>
    <row r="206" spans="1:65" s="190" customFormat="1" ht="12.75" hidden="1" customHeight="1" outlineLevel="2">
      <c r="A206" s="237"/>
      <c r="B206" s="37">
        <f>C218</f>
        <v>0</v>
      </c>
      <c r="C206" s="38"/>
      <c r="D206" s="39" t="s">
        <v>58</v>
      </c>
      <c r="E206" s="38"/>
      <c r="F206" s="40"/>
      <c r="G206" s="106">
        <f>IF(G$3&gt;A11remlife,A11value-SUM($F206:F206),IF(A11remlife="N/A","n/a",A11value/A11remlife))</f>
        <v>0</v>
      </c>
      <c r="H206" s="106">
        <f>IF(H$3&gt;A11remlife,A11value-SUM($F206:G206),IF(A11remlife="N/A","n/a",A11value/A11remlife))</f>
        <v>0</v>
      </c>
      <c r="I206" s="106">
        <f>IF(I$3&gt;A11remlife,A11value-SUM($F206:H206),IF(A11remlife="N/A","n/a",A11value/A11remlife))</f>
        <v>0</v>
      </c>
      <c r="J206" s="106">
        <f>IF(J$3&gt;A11remlife,A11value-SUM($F206:I206),IF(A11remlife="N/A","n/a",A11value/A11remlife))</f>
        <v>0</v>
      </c>
      <c r="K206" s="106">
        <f>IF(K$3&gt;A11remlife,A11value-SUM($F206:J206),IF(A11remlife="N/A","n/a",A11value/A11remlife))</f>
        <v>0</v>
      </c>
      <c r="L206" s="106">
        <f>IF(L$3&gt;A11remlife,A11value-SUM($F206:K206),IF(A11remlife="N/A","n/a",A11value/A11remlife))</f>
        <v>0</v>
      </c>
      <c r="M206" s="106">
        <f>IF(M$3&gt;A11remlife,A11value-SUM($F206:L206),IF(A11remlife="N/A","n/a",A11value/A11remlife))</f>
        <v>0</v>
      </c>
      <c r="N206" s="106">
        <f>IF(N$3&gt;A11remlife,A11value-SUM($F206:M206),IF(A11remlife="N/A","n/a",A11value/A11remlife))</f>
        <v>0</v>
      </c>
      <c r="O206" s="106">
        <f>IF(O$3&gt;A11remlife,A11value-SUM($F206:N206),IF(A11remlife="N/A","n/a",A11value/A11remlife))</f>
        <v>0</v>
      </c>
      <c r="P206" s="106">
        <f>IF(P$3&gt;A11remlife,A11value-SUM($F206:O206),IF(A11remlife="N/A","n/a",A11value/A11remlife))</f>
        <v>0</v>
      </c>
      <c r="Q206" s="106">
        <f>IF(Q$3&gt;A11remlife,A11value-SUM($F206:P206),IF(A11remlife="N/A","n/a",A11value/A11remlife))</f>
        <v>0</v>
      </c>
      <c r="R206" s="106">
        <f>IF(R$3&gt;A11remlife,A11value-SUM($F206:Q206),IF(A11remlife="N/A","n/a",A11value/A11remlife))</f>
        <v>0</v>
      </c>
      <c r="S206" s="106">
        <f>IF(S$3&gt;A11remlife,A11value-SUM($F206:R206),IF(A11remlife="N/A","n/a",A11value/A11remlife))</f>
        <v>0</v>
      </c>
      <c r="T206" s="106">
        <f>IF(T$3&gt;A11remlife,A11value-SUM($F206:S206),IF(A11remlife="N/A","n/a",A11value/A11remlife))</f>
        <v>0</v>
      </c>
      <c r="U206" s="106">
        <f>IF(U$3&gt;A11remlife,A11value-SUM($F206:T206),IF(A11remlife="N/A","n/a",A11value/A11remlife))</f>
        <v>0</v>
      </c>
      <c r="V206" s="106">
        <f>IF(V$3&gt;A11remlife,A11value-SUM($F206:U206),IF(A11remlife="N/A","n/a",A11value/A11remlife))</f>
        <v>0</v>
      </c>
      <c r="W206" s="106">
        <f>IF(W$3&gt;A11remlife,A11value-SUM($F206:V206),IF(A11remlife="N/A","n/a",A11value/A11remlife))</f>
        <v>0</v>
      </c>
      <c r="X206" s="106">
        <f>IF(X$3&gt;A11remlife,A11value-SUM($F206:W206),IF(A11remlife="N/A","n/a",A11value/A11remlife))</f>
        <v>0</v>
      </c>
      <c r="Y206" s="106">
        <f>IF(Y$3&gt;A11remlife,A11value-SUM($F206:X206),IF(A11remlife="N/A","n/a",A11value/A11remlife))</f>
        <v>0</v>
      </c>
      <c r="Z206" s="106">
        <f>IF(Z$3&gt;A11remlife,A11value-SUM($F206:Y206),IF(A11remlife="N/A","n/a",A11value/A11remlife))</f>
        <v>0</v>
      </c>
      <c r="AA206" s="106">
        <f>IF(AA$3&gt;A11remlife,A11value-SUM($F206:Z206),IF(A11remlife="N/A","n/a",A11value/A11remlife))</f>
        <v>0</v>
      </c>
      <c r="AB206" s="106">
        <f>IF(AB$3&gt;A11remlife,A11value-SUM($F206:AA206),IF(A11remlife="N/A","n/a",A11value/A11remlife))</f>
        <v>0</v>
      </c>
      <c r="AC206" s="106">
        <f>IF(AC$3&gt;A11remlife,A11value-SUM($F206:AB206),IF(A11remlife="N/A","n/a",A11value/A11remlife))</f>
        <v>0</v>
      </c>
      <c r="AD206" s="106">
        <f>IF(AD$3&gt;A11remlife,A11value-SUM($F206:AC206),IF(A11remlife="N/A","n/a",A11value/A11remlife))</f>
        <v>0</v>
      </c>
      <c r="AE206" s="106">
        <f>IF(AE$3&gt;A11remlife,A11value-SUM($F206:AD206),IF(A11remlife="N/A","n/a",A11value/A11remlife))</f>
        <v>0</v>
      </c>
      <c r="AF206" s="106">
        <f>IF(AF$3&gt;A11remlife,A11value-SUM($F206:AE206),IF(A11remlife="N/A","n/a",A11value/A11remlife))</f>
        <v>0</v>
      </c>
      <c r="AG206" s="106">
        <f>IF(AG$3&gt;A11remlife,A11value-SUM($F206:AF206),IF(A11remlife="N/A","n/a",A11value/A11remlife))</f>
        <v>0</v>
      </c>
      <c r="AH206" s="106">
        <f>IF(AH$3&gt;A11remlife,A11value-SUM($F206:AG206),IF(A11remlife="N/A","n/a",A11value/A11remlife))</f>
        <v>0</v>
      </c>
      <c r="AI206" s="106">
        <f>IF(AI$3&gt;A11remlife,A11value-SUM($F206:AH206),IF(A11remlife="N/A","n/a",A11value/A11remlife))</f>
        <v>0</v>
      </c>
      <c r="AJ206" s="106">
        <f>IF(AJ$3&gt;A11remlife,A11value-SUM($F206:AI206),IF(A11remlife="N/A","n/a",A11value/A11remlife))</f>
        <v>0</v>
      </c>
      <c r="AK206" s="106">
        <f>IF(AK$3&gt;A11remlife,A11value-SUM($F206:AJ206),IF(A11remlife="N/A","n/a",A11value/A11remlife))</f>
        <v>0</v>
      </c>
      <c r="AL206" s="106">
        <f>IF(AL$3&gt;A11remlife,A11value-SUM($F206:AK206),IF(A11remlife="N/A","n/a",A11value/A11remlife))</f>
        <v>0</v>
      </c>
      <c r="AM206" s="106">
        <f>IF(AM$3&gt;A11remlife,A11value-SUM($F206:AL206),IF(A11remlife="N/A","n/a",A11value/A11remlife))</f>
        <v>0</v>
      </c>
      <c r="AN206" s="106">
        <f>IF(AN$3&gt;A11remlife,A11value-SUM($F206:AM206),IF(A11remlife="N/A","n/a",A11value/A11remlife))</f>
        <v>0</v>
      </c>
      <c r="AO206" s="106">
        <f>IF(AO$3&gt;A11remlife,A11value-SUM($F206:AN206),IF(A11remlife="N/A","n/a",A11value/A11remlife))</f>
        <v>0</v>
      </c>
      <c r="AP206" s="106">
        <f>IF(AP$3&gt;A11remlife,A11value-SUM($F206:AO206),IF(A11remlife="N/A","n/a",A11value/A11remlife))</f>
        <v>0</v>
      </c>
      <c r="AQ206" s="106">
        <f>IF(AQ$3&gt;A11remlife,A11value-SUM($F206:AP206),IF(A11remlife="N/A","n/a",A11value/A11remlife))</f>
        <v>0</v>
      </c>
      <c r="AR206" s="106">
        <f>IF(AR$3&gt;A11remlife,A11value-SUM($F206:AQ206),IF(A11remlife="N/A","n/a",A11value/A11remlife))</f>
        <v>0</v>
      </c>
      <c r="AS206" s="106">
        <f>IF(AS$3&gt;A11remlife,A11value-SUM($F206:AR206),IF(A11remlife="N/A","n/a",A11value/A11remlife))</f>
        <v>0</v>
      </c>
      <c r="AT206" s="106">
        <f>IF(AT$3&gt;A11remlife,A11value-SUM($F206:AS206),IF(A11remlife="N/A","n/a",A11value/A11remlife))</f>
        <v>0</v>
      </c>
      <c r="AU206" s="106">
        <f>IF(AU$3&gt;A11remlife,A11value-SUM($F206:AT206),IF(A11remlife="N/A","n/a",A11value/A11remlife))</f>
        <v>0</v>
      </c>
      <c r="AV206" s="106">
        <f>IF(AV$3&gt;A11remlife,A11value-SUM($F206:AU206),IF(A11remlife="N/A","n/a",A11value/A11remlife))</f>
        <v>0</v>
      </c>
      <c r="AW206" s="106">
        <f>IF(AW$3&gt;A11remlife,A11value-SUM($F206:AV206),IF(A11remlife="N/A","n/a",A11value/A11remlife))</f>
        <v>0</v>
      </c>
      <c r="AX206" s="106">
        <f>IF(AX$3&gt;A11remlife,A11value-SUM($F206:AW206),IF(A11remlife="N/A","n/a",A11value/A11remlife))</f>
        <v>0</v>
      </c>
      <c r="AY206" s="106">
        <f>IF(AY$3&gt;A11remlife,A11value-SUM($F206:AX206),IF(A11remlife="N/A","n/a",A11value/A11remlife))</f>
        <v>0</v>
      </c>
      <c r="AZ206" s="106">
        <f>IF(AZ$3&gt;A11remlife,A11value-SUM($F206:AY206),IF(A11remlife="N/A","n/a",A11value/A11remlife))</f>
        <v>0</v>
      </c>
      <c r="BA206" s="106">
        <f>IF(BA$3&gt;A11remlife,A11value-SUM($F206:AZ206),IF(A11remlife="N/A","n/a",A11value/A11remlife))</f>
        <v>0</v>
      </c>
      <c r="BB206" s="106">
        <f>IF(BB$3&gt;A11remlife,A11value-SUM($F206:BA206),IF(A11remlife="N/A","n/a",A11value/A11remlife))</f>
        <v>0</v>
      </c>
      <c r="BC206" s="106">
        <f>IF(BC$3&gt;A11remlife,A11value-SUM($F206:BB206),IF(A11remlife="N/A","n/a",A11value/A11remlife))</f>
        <v>0</v>
      </c>
      <c r="BD206" s="106">
        <f>IF(BD$3&gt;A11remlife,A11value-SUM($F206:BC206),IF(A11remlife="N/A","n/a",A11value/A11remlife))</f>
        <v>0</v>
      </c>
      <c r="BE206" s="106">
        <f>IF(BE$3&gt;A11remlife,A11value-SUM($F206:BD206),IF(A11remlife="N/A","n/a",A11value/A11remlife))</f>
        <v>0</v>
      </c>
      <c r="BF206" s="106">
        <f>IF(BF$3&gt;A11remlife,A11value-SUM($F206:BE206),IF(A11remlife="N/A","n/a",A11value/A11remlife))</f>
        <v>0</v>
      </c>
      <c r="BG206" s="106">
        <f>IF(BG$3&gt;A11remlife,A11value-SUM($F206:BF206),IF(A11remlife="N/A","n/a",A11value/A11remlife))</f>
        <v>0</v>
      </c>
      <c r="BH206" s="106">
        <f>IF(BH$3&gt;A11remlife,A11value-SUM($F206:BG206),IF(A11remlife="N/A","n/a",A11value/A11remlife))</f>
        <v>0</v>
      </c>
      <c r="BI206" s="106">
        <f>IF(BI$3&gt;A11remlife,A11value-SUM($F206:BH206),IF(A11remlife="N/A","n/a",A11value/A11remlife))</f>
        <v>0</v>
      </c>
      <c r="BJ206" s="237"/>
      <c r="BK206" s="237"/>
      <c r="BL206" s="237"/>
      <c r="BM206" s="237"/>
    </row>
    <row r="207" spans="1:65" s="190" customFormat="1" ht="12.75" hidden="1" customHeight="1" outlineLevel="2">
      <c r="A207" s="237"/>
      <c r="B207" s="33"/>
      <c r="C207" s="32"/>
      <c r="D207" s="1618" t="s">
        <v>357</v>
      </c>
      <c r="E207" s="169">
        <v>0</v>
      </c>
      <c r="F207" s="35"/>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237"/>
      <c r="BK207" s="237"/>
      <c r="BL207" s="237"/>
      <c r="BM207" s="237"/>
    </row>
    <row r="208" spans="1:65" s="190" customFormat="1" hidden="1" outlineLevel="2">
      <c r="A208" s="237"/>
      <c r="B208" s="33"/>
      <c r="C208" s="32"/>
      <c r="D208" s="1618"/>
      <c r="E208" s="169">
        <v>1</v>
      </c>
      <c r="F208" s="35"/>
      <c r="G208" s="183"/>
      <c r="H208" s="107">
        <f>IF(A11stdlife="n/a","n/a",IF(H$3&gt;(A11stdlife+$E208),('PTRM input'!$G$153*(1+rvanilla01)^0.5)-SUM($G208:G208),('PTRM input'!$G$153*(1+rvanilla01)^0.5)/A11stdlife))</f>
        <v>0</v>
      </c>
      <c r="I208" s="107">
        <f>IF(A11stdlife="n/a","n/a",IF(I$3&gt;(A11stdlife+$E208),('PTRM input'!$G$153*(1+rvanilla01)^0.5)-SUM($G208:H208),('PTRM input'!$G$153*(1+rvanilla01)^0.5)/A11stdlife))</f>
        <v>0</v>
      </c>
      <c r="J208" s="107">
        <f>IF(A11stdlife="n/a","n/a",IF(J$3&gt;(A11stdlife+$E208),('PTRM input'!$G$153*(1+rvanilla01)^0.5)-SUM($G208:I208),('PTRM input'!$G$153*(1+rvanilla01)^0.5)/A11stdlife))</f>
        <v>0</v>
      </c>
      <c r="K208" s="107">
        <f>IF(A11stdlife="n/a","n/a",IF(K$3&gt;(A11stdlife+$E208),('PTRM input'!$G$153*(1+rvanilla01)^0.5)-SUM($G208:J208),('PTRM input'!$G$153*(1+rvanilla01)^0.5)/A11stdlife))</f>
        <v>0</v>
      </c>
      <c r="L208" s="107">
        <f>IF(A11stdlife="n/a","n/a",IF(L$3&gt;(A11stdlife+$E208),('PTRM input'!$G$153*(1+rvanilla01)^0.5)-SUM($G208:K208),('PTRM input'!$G$153*(1+rvanilla01)^0.5)/A11stdlife))</f>
        <v>0</v>
      </c>
      <c r="M208" s="107">
        <f>IF(A11stdlife="n/a","n/a",IF(M$3&gt;(A11stdlife+$E208),('PTRM input'!$G$153*(1+rvanilla01)^0.5)-SUM($G208:L208),('PTRM input'!$G$153*(1+rvanilla01)^0.5)/A11stdlife))</f>
        <v>0</v>
      </c>
      <c r="N208" s="107">
        <f>IF(A11stdlife="n/a","n/a",IF(N$3&gt;(A11stdlife+$E208),('PTRM input'!$G$153*(1+rvanilla01)^0.5)-SUM($G208:M208),('PTRM input'!$G$153*(1+rvanilla01)^0.5)/A11stdlife))</f>
        <v>0</v>
      </c>
      <c r="O208" s="107">
        <f>IF(A11stdlife="n/a","n/a",IF(O$3&gt;(A11stdlife+$E208),('PTRM input'!$G$153*(1+rvanilla01)^0.5)-SUM($G208:N208),('PTRM input'!$G$153*(1+rvanilla01)^0.5)/A11stdlife))</f>
        <v>0</v>
      </c>
      <c r="P208" s="107">
        <f>IF(A11stdlife="n/a","n/a",IF(P$3&gt;(A11stdlife+$E208),('PTRM input'!$G$153*(1+rvanilla01)^0.5)-SUM($G208:O208),('PTRM input'!$G$153*(1+rvanilla01)^0.5)/A11stdlife))</f>
        <v>0</v>
      </c>
      <c r="Q208" s="107">
        <f>IF(A11stdlife="n/a","n/a",IF(Q$3&gt;(A11stdlife+$E208),('PTRM input'!$G$153*(1+rvanilla01)^0.5)-SUM($G208:P208),('PTRM input'!$G$153*(1+rvanilla01)^0.5)/A11stdlife))</f>
        <v>0</v>
      </c>
      <c r="R208" s="107">
        <f>IF(A11stdlife="n/a","n/a",IF(R$3&gt;(A11stdlife+$E208),('PTRM input'!$G$153*(1+rvanilla01)^0.5)-SUM($G208:Q208),('PTRM input'!$G$153*(1+rvanilla01)^0.5)/A11stdlife))</f>
        <v>0</v>
      </c>
      <c r="S208" s="107">
        <f>IF(A11stdlife="n/a","n/a",IF(S$3&gt;(A11stdlife+$E208),('PTRM input'!$G$153*(1+rvanilla01)^0.5)-SUM($G208:R208),('PTRM input'!$G$153*(1+rvanilla01)^0.5)/A11stdlife))</f>
        <v>0</v>
      </c>
      <c r="T208" s="107">
        <f>IF(A11stdlife="n/a","n/a",IF(T$3&gt;(A11stdlife+$E208),('PTRM input'!$G$153*(1+rvanilla01)^0.5)-SUM($G208:S208),('PTRM input'!$G$153*(1+rvanilla01)^0.5)/A11stdlife))</f>
        <v>0</v>
      </c>
      <c r="U208" s="107">
        <f>IF(A11stdlife="n/a","n/a",IF(U$3&gt;(A11stdlife+$E208),('PTRM input'!$G$153*(1+rvanilla01)^0.5)-SUM($G208:T208),('PTRM input'!$G$153*(1+rvanilla01)^0.5)/A11stdlife))</f>
        <v>0</v>
      </c>
      <c r="V208" s="107">
        <f>IF(A11stdlife="n/a","n/a",IF(V$3&gt;(A11stdlife+$E208),('PTRM input'!$G$153*(1+rvanilla01)^0.5)-SUM($G208:U208),('PTRM input'!$G$153*(1+rvanilla01)^0.5)/A11stdlife))</f>
        <v>0</v>
      </c>
      <c r="W208" s="107">
        <f>IF(A11stdlife="n/a","n/a",IF(W$3&gt;(A11stdlife+$E208),('PTRM input'!$G$153*(1+rvanilla01)^0.5)-SUM($G208:V208),('PTRM input'!$G$153*(1+rvanilla01)^0.5)/A11stdlife))</f>
        <v>0</v>
      </c>
      <c r="X208" s="107">
        <f>IF(A11stdlife="n/a","n/a",IF(X$3&gt;(A11stdlife+$E208),('PTRM input'!$G$153*(1+rvanilla01)^0.5)-SUM($G208:W208),('PTRM input'!$G$153*(1+rvanilla01)^0.5)/A11stdlife))</f>
        <v>0</v>
      </c>
      <c r="Y208" s="107">
        <f>IF(A11stdlife="n/a","n/a",IF(Y$3&gt;(A11stdlife+$E208),('PTRM input'!$G$153*(1+rvanilla01)^0.5)-SUM($G208:X208),('PTRM input'!$G$153*(1+rvanilla01)^0.5)/A11stdlife))</f>
        <v>0</v>
      </c>
      <c r="Z208" s="107">
        <f>IF(A11stdlife="n/a","n/a",IF(Z$3&gt;(A11stdlife+$E208),('PTRM input'!$G$153*(1+rvanilla01)^0.5)-SUM($G208:Y208),('PTRM input'!$G$153*(1+rvanilla01)^0.5)/A11stdlife))</f>
        <v>0</v>
      </c>
      <c r="AA208" s="107">
        <f>IF(A11stdlife="n/a","n/a",IF(AA$3&gt;(A11stdlife+$E208),('PTRM input'!$G$153*(1+rvanilla01)^0.5)-SUM($G208:Z208),('PTRM input'!$G$153*(1+rvanilla01)^0.5)/A11stdlife))</f>
        <v>0</v>
      </c>
      <c r="AB208" s="107">
        <f>IF(A11stdlife="n/a","n/a",IF(AB$3&gt;(A11stdlife+$E208),('PTRM input'!$G$153*(1+rvanilla01)^0.5)-SUM($G208:AA208),('PTRM input'!$G$153*(1+rvanilla01)^0.5)/A11stdlife))</f>
        <v>0</v>
      </c>
      <c r="AC208" s="107">
        <f>IF(A11stdlife="n/a","n/a",IF(AC$3&gt;(A11stdlife+$E208),('PTRM input'!$G$153*(1+rvanilla01)^0.5)-SUM($G208:AB208),('PTRM input'!$G$153*(1+rvanilla01)^0.5)/A11stdlife))</f>
        <v>0</v>
      </c>
      <c r="AD208" s="107">
        <f>IF(A11stdlife="n/a","n/a",IF(AD$3&gt;(A11stdlife+$E208),('PTRM input'!$G$153*(1+rvanilla01)^0.5)-SUM($G208:AC208),('PTRM input'!$G$153*(1+rvanilla01)^0.5)/A11stdlife))</f>
        <v>0</v>
      </c>
      <c r="AE208" s="107">
        <f>IF(A11stdlife="n/a","n/a",IF(AE$3&gt;(A11stdlife+$E208),('PTRM input'!$G$153*(1+rvanilla01)^0.5)-SUM($G208:AD208),('PTRM input'!$G$153*(1+rvanilla01)^0.5)/A11stdlife))</f>
        <v>0</v>
      </c>
      <c r="AF208" s="107">
        <f>IF(A11stdlife="n/a","n/a",IF(AF$3&gt;(A11stdlife+$E208),('PTRM input'!$G$153*(1+rvanilla01)^0.5)-SUM($G208:AE208),('PTRM input'!$G$153*(1+rvanilla01)^0.5)/A11stdlife))</f>
        <v>0</v>
      </c>
      <c r="AG208" s="107">
        <f>IF(A11stdlife="n/a","n/a",IF(AG$3&gt;(A11stdlife+$E208),('PTRM input'!$G$153*(1+rvanilla01)^0.5)-SUM($G208:AF208),('PTRM input'!$G$153*(1+rvanilla01)^0.5)/A11stdlife))</f>
        <v>0</v>
      </c>
      <c r="AH208" s="107">
        <f>IF(A11stdlife="n/a","n/a",IF(AH$3&gt;(A11stdlife+$E208),('PTRM input'!$G$153*(1+rvanilla01)^0.5)-SUM($G208:AG208),('PTRM input'!$G$153*(1+rvanilla01)^0.5)/A11stdlife))</f>
        <v>0</v>
      </c>
      <c r="AI208" s="107">
        <f>IF(A11stdlife="n/a","n/a",IF(AI$3&gt;(A11stdlife+$E208),('PTRM input'!$G$153*(1+rvanilla01)^0.5)-SUM($G208:AH208),('PTRM input'!$G$153*(1+rvanilla01)^0.5)/A11stdlife))</f>
        <v>0</v>
      </c>
      <c r="AJ208" s="107">
        <f>IF(A11stdlife="n/a","n/a",IF(AJ$3&gt;(A11stdlife+$E208),('PTRM input'!$G$153*(1+rvanilla01)^0.5)-SUM($G208:AI208),('PTRM input'!$G$153*(1+rvanilla01)^0.5)/A11stdlife))</f>
        <v>0</v>
      </c>
      <c r="AK208" s="107">
        <f>IF(A11stdlife="n/a","n/a",IF(AK$3&gt;(A11stdlife+$E208),('PTRM input'!$G$153*(1+rvanilla01)^0.5)-SUM($G208:AJ208),('PTRM input'!$G$153*(1+rvanilla01)^0.5)/A11stdlife))</f>
        <v>0</v>
      </c>
      <c r="AL208" s="107">
        <f>IF(A11stdlife="n/a","n/a",IF(AL$3&gt;(A11stdlife+$E208),('PTRM input'!$G$153*(1+rvanilla01)^0.5)-SUM($G208:AK208),('PTRM input'!$G$153*(1+rvanilla01)^0.5)/A11stdlife))</f>
        <v>0</v>
      </c>
      <c r="AM208" s="107">
        <f>IF(A11stdlife="n/a","n/a",IF(AM$3&gt;(A11stdlife+$E208),('PTRM input'!$G$153*(1+rvanilla01)^0.5)-SUM($G208:AL208),('PTRM input'!$G$153*(1+rvanilla01)^0.5)/A11stdlife))</f>
        <v>0</v>
      </c>
      <c r="AN208" s="107">
        <f>IF(A11stdlife="n/a","n/a",IF(AN$3&gt;(A11stdlife+$E208),('PTRM input'!$G$153*(1+rvanilla01)^0.5)-SUM($G208:AM208),('PTRM input'!$G$153*(1+rvanilla01)^0.5)/A11stdlife))</f>
        <v>0</v>
      </c>
      <c r="AO208" s="107">
        <f>IF(A11stdlife="n/a","n/a",IF(AO$3&gt;(A11stdlife+$E208),('PTRM input'!$G$153*(1+rvanilla01)^0.5)-SUM($G208:AN208),('PTRM input'!$G$153*(1+rvanilla01)^0.5)/A11stdlife))</f>
        <v>0</v>
      </c>
      <c r="AP208" s="107">
        <f>IF(A11stdlife="n/a","n/a",IF(AP$3&gt;(A11stdlife+$E208),('PTRM input'!$G$153*(1+rvanilla01)^0.5)-SUM($G208:AO208),('PTRM input'!$G$153*(1+rvanilla01)^0.5)/A11stdlife))</f>
        <v>0</v>
      </c>
      <c r="AQ208" s="107">
        <f>IF(A11stdlife="n/a","n/a",IF(AQ$3&gt;(A11stdlife+$E208),('PTRM input'!$G$153*(1+rvanilla01)^0.5)-SUM($G208:AP208),('PTRM input'!$G$153*(1+rvanilla01)^0.5)/A11stdlife))</f>
        <v>0</v>
      </c>
      <c r="AR208" s="107">
        <f>IF(A11stdlife="n/a","n/a",IF(AR$3&gt;(A11stdlife+$E208),('PTRM input'!$G$153*(1+rvanilla01)^0.5)-SUM($G208:AQ208),('PTRM input'!$G$153*(1+rvanilla01)^0.5)/A11stdlife))</f>
        <v>0</v>
      </c>
      <c r="AS208" s="107">
        <f>IF(A11stdlife="n/a","n/a",IF(AS$3&gt;(A11stdlife+$E208),('PTRM input'!$G$153*(1+rvanilla01)^0.5)-SUM($G208:AR208),('PTRM input'!$G$153*(1+rvanilla01)^0.5)/A11stdlife))</f>
        <v>0</v>
      </c>
      <c r="AT208" s="107">
        <f>IF(A11stdlife="n/a","n/a",IF(AT$3&gt;(A11stdlife+$E208),('PTRM input'!$G$153*(1+rvanilla01)^0.5)-SUM($G208:AS208),('PTRM input'!$G$153*(1+rvanilla01)^0.5)/A11stdlife))</f>
        <v>0</v>
      </c>
      <c r="AU208" s="107">
        <f>IF(A11stdlife="n/a","n/a",IF(AU$3&gt;(A11stdlife+$E208),('PTRM input'!$G$153*(1+rvanilla01)^0.5)-SUM($G208:AT208),('PTRM input'!$G$153*(1+rvanilla01)^0.5)/A11stdlife))</f>
        <v>0</v>
      </c>
      <c r="AV208" s="107">
        <f>IF(A11stdlife="n/a","n/a",IF(AV$3&gt;(A11stdlife+$E208),('PTRM input'!$G$153*(1+rvanilla01)^0.5)-SUM($G208:AU208),('PTRM input'!$G$153*(1+rvanilla01)^0.5)/A11stdlife))</f>
        <v>0</v>
      </c>
      <c r="AW208" s="107">
        <f>IF(A11stdlife="n/a","n/a",IF(AW$3&gt;(A11stdlife+$E208),('PTRM input'!$G$153*(1+rvanilla01)^0.5)-SUM($G208:AV208),('PTRM input'!$G$153*(1+rvanilla01)^0.5)/A11stdlife))</f>
        <v>0</v>
      </c>
      <c r="AX208" s="107">
        <f>IF(A11stdlife="n/a","n/a",IF(AX$3&gt;(A11stdlife+$E208),('PTRM input'!$G$153*(1+rvanilla01)^0.5)-SUM($G208:AW208),('PTRM input'!$G$153*(1+rvanilla01)^0.5)/A11stdlife))</f>
        <v>0</v>
      </c>
      <c r="AY208" s="107">
        <f>IF(A11stdlife="n/a","n/a",IF(AY$3&gt;(A11stdlife+$E208),('PTRM input'!$G$153*(1+rvanilla01)^0.5)-SUM($G208:AX208),('PTRM input'!$G$153*(1+rvanilla01)^0.5)/A11stdlife))</f>
        <v>0</v>
      </c>
      <c r="AZ208" s="107">
        <f>IF(A11stdlife="n/a","n/a",IF(AZ$3&gt;(A11stdlife+$E208),('PTRM input'!$G$153*(1+rvanilla01)^0.5)-SUM($G208:AY208),('PTRM input'!$G$153*(1+rvanilla01)^0.5)/A11stdlife))</f>
        <v>0</v>
      </c>
      <c r="BA208" s="107">
        <f>IF(A11stdlife="n/a","n/a",IF(BA$3&gt;(A11stdlife+$E208),('PTRM input'!$G$153*(1+rvanilla01)^0.5)-SUM($G208:AZ208),('PTRM input'!$G$153*(1+rvanilla01)^0.5)/A11stdlife))</f>
        <v>0</v>
      </c>
      <c r="BB208" s="107">
        <f>IF(A11stdlife="n/a","n/a",IF(BB$3&gt;(A11stdlife+$E208),('PTRM input'!$G$153*(1+rvanilla01)^0.5)-SUM($G208:BA208),('PTRM input'!$G$153*(1+rvanilla01)^0.5)/A11stdlife))</f>
        <v>0</v>
      </c>
      <c r="BC208" s="107">
        <f>IF(A11stdlife="n/a","n/a",IF(BC$3&gt;(A11stdlife+$E208),('PTRM input'!$G$153*(1+rvanilla01)^0.5)-SUM($G208:BB208),('PTRM input'!$G$153*(1+rvanilla01)^0.5)/A11stdlife))</f>
        <v>0</v>
      </c>
      <c r="BD208" s="107">
        <f>IF(A11stdlife="n/a","n/a",IF(BD$3&gt;(A11stdlife+$E208),('PTRM input'!$G$153*(1+rvanilla01)^0.5)-SUM($G208:BC208),('PTRM input'!$G$153*(1+rvanilla01)^0.5)/A11stdlife))</f>
        <v>0</v>
      </c>
      <c r="BE208" s="107">
        <f>IF(A11stdlife="n/a","n/a",IF(BE$3&gt;(A11stdlife+$E208),('PTRM input'!$G$153*(1+rvanilla01)^0.5)-SUM($G208:BD208),('PTRM input'!$G$153*(1+rvanilla01)^0.5)/A11stdlife))</f>
        <v>0</v>
      </c>
      <c r="BF208" s="107">
        <f>IF(A11stdlife="n/a","n/a",IF(BF$3&gt;(A11stdlife+$E208),('PTRM input'!$G$153*(1+rvanilla01)^0.5)-SUM($G208:BE208),('PTRM input'!$G$153*(1+rvanilla01)^0.5)/A11stdlife))</f>
        <v>0</v>
      </c>
      <c r="BG208" s="107">
        <f>IF(A11stdlife="n/a","n/a",IF(BG$3&gt;(A11stdlife+$E208),('PTRM input'!$G$153*(1+rvanilla01)^0.5)-SUM($G208:BF208),('PTRM input'!$G$153*(1+rvanilla01)^0.5)/A11stdlife))</f>
        <v>0</v>
      </c>
      <c r="BH208" s="107">
        <f>IF(A11stdlife="n/a","n/a",IF(BH$3&gt;(A11stdlife+$E208),('PTRM input'!$G$153*(1+rvanilla01)^0.5)-SUM($G208:BG208),('PTRM input'!$G$153*(1+rvanilla01)^0.5)/A11stdlife))</f>
        <v>0</v>
      </c>
      <c r="BI208" s="107">
        <f>IF(A11stdlife="n/a","n/a",IF(BI$3&gt;(A11stdlife+$E208),('PTRM input'!$G$153*(1+rvanilla01)^0.5)-SUM($G208:BH208),('PTRM input'!$G$153*(1+rvanilla01)^0.5)/A11stdlife))</f>
        <v>0</v>
      </c>
      <c r="BJ208" s="237"/>
      <c r="BK208" s="237"/>
      <c r="BL208" s="237"/>
      <c r="BM208" s="237"/>
    </row>
    <row r="209" spans="1:65" s="190" customFormat="1" hidden="1" outlineLevel="2">
      <c r="A209" s="237"/>
      <c r="B209" s="33"/>
      <c r="C209" s="32"/>
      <c r="D209" s="1618"/>
      <c r="E209" s="169">
        <v>2</v>
      </c>
      <c r="F209" s="35"/>
      <c r="G209" s="184"/>
      <c r="H209" s="185"/>
      <c r="I209" s="107">
        <f>IF(A11stdlife="n/a","n/a",IF(I$3&gt;(A11stdlife+$E209),('PTRM input'!$H$153*(1+rvanilla02)^0.5)-SUM($H209:H209),('PTRM input'!$H$153*(1+rvanilla02)^0.5)/A11stdlife))</f>
        <v>0</v>
      </c>
      <c r="J209" s="107">
        <f>IF(A11stdlife="n/a","n/a",IF(J$3&gt;(A11stdlife+$E209),('PTRM input'!$H$153*(1+rvanilla02)^0.5)-SUM($H209:I209),('PTRM input'!$H$153*(1+rvanilla02)^0.5)/A11stdlife))</f>
        <v>0</v>
      </c>
      <c r="K209" s="107">
        <f>IF(A11stdlife="n/a","n/a",IF(K$3&gt;(A11stdlife+$E209),('PTRM input'!$H$153*(1+rvanilla02)^0.5)-SUM($H209:J209),('PTRM input'!$H$153*(1+rvanilla02)^0.5)/A11stdlife))</f>
        <v>0</v>
      </c>
      <c r="L209" s="107">
        <f>IF(A11stdlife="n/a","n/a",IF(L$3&gt;(A11stdlife+$E209),('PTRM input'!$H$153*(1+rvanilla02)^0.5)-SUM($H209:K209),('PTRM input'!$H$153*(1+rvanilla02)^0.5)/A11stdlife))</f>
        <v>0</v>
      </c>
      <c r="M209" s="107">
        <f>IF(A11stdlife="n/a","n/a",IF(M$3&gt;(A11stdlife+$E209),('PTRM input'!$H$153*(1+rvanilla02)^0.5)-SUM($H209:L209),('PTRM input'!$H$153*(1+rvanilla02)^0.5)/A11stdlife))</f>
        <v>0</v>
      </c>
      <c r="N209" s="107">
        <f>IF(A11stdlife="n/a","n/a",IF(N$3&gt;(A11stdlife+$E209),('PTRM input'!$H$153*(1+rvanilla02)^0.5)-SUM($H209:M209),('PTRM input'!$H$153*(1+rvanilla02)^0.5)/A11stdlife))</f>
        <v>0</v>
      </c>
      <c r="O209" s="107">
        <f>IF(A11stdlife="n/a","n/a",IF(O$3&gt;(A11stdlife+$E209),('PTRM input'!$H$153*(1+rvanilla02)^0.5)-SUM($H209:N209),('PTRM input'!$H$153*(1+rvanilla02)^0.5)/A11stdlife))</f>
        <v>0</v>
      </c>
      <c r="P209" s="107">
        <f>IF(A11stdlife="n/a","n/a",IF(P$3&gt;(A11stdlife+$E209),('PTRM input'!$H$153*(1+rvanilla02)^0.5)-SUM($H209:O209),('PTRM input'!$H$153*(1+rvanilla02)^0.5)/A11stdlife))</f>
        <v>0</v>
      </c>
      <c r="Q209" s="107">
        <f>IF(A11stdlife="n/a","n/a",IF(Q$3&gt;(A11stdlife+$E209),('PTRM input'!$H$153*(1+rvanilla02)^0.5)-SUM($H209:P209),('PTRM input'!$H$153*(1+rvanilla02)^0.5)/A11stdlife))</f>
        <v>0</v>
      </c>
      <c r="R209" s="107">
        <f>IF(A11stdlife="n/a","n/a",IF(R$3&gt;(A11stdlife+$E209),('PTRM input'!$H$153*(1+rvanilla02)^0.5)-SUM($H209:Q209),('PTRM input'!$H$153*(1+rvanilla02)^0.5)/A11stdlife))</f>
        <v>0</v>
      </c>
      <c r="S209" s="107">
        <f>IF(A11stdlife="n/a","n/a",IF(S$3&gt;(A11stdlife+$E209),('PTRM input'!$H$153*(1+rvanilla02)^0.5)-SUM($H209:R209),('PTRM input'!$H$153*(1+rvanilla02)^0.5)/A11stdlife))</f>
        <v>0</v>
      </c>
      <c r="T209" s="107">
        <f>IF(A11stdlife="n/a","n/a",IF(T$3&gt;(A11stdlife+$E209),('PTRM input'!$H$153*(1+rvanilla02)^0.5)-SUM($H209:S209),('PTRM input'!$H$153*(1+rvanilla02)^0.5)/A11stdlife))</f>
        <v>0</v>
      </c>
      <c r="U209" s="107">
        <f>IF(A11stdlife="n/a","n/a",IF(U$3&gt;(A11stdlife+$E209),('PTRM input'!$H$153*(1+rvanilla02)^0.5)-SUM($H209:T209),('PTRM input'!$H$153*(1+rvanilla02)^0.5)/A11stdlife))</f>
        <v>0</v>
      </c>
      <c r="V209" s="107">
        <f>IF(A11stdlife="n/a","n/a",IF(V$3&gt;(A11stdlife+$E209),('PTRM input'!$H$153*(1+rvanilla02)^0.5)-SUM($H209:U209),('PTRM input'!$H$153*(1+rvanilla02)^0.5)/A11stdlife))</f>
        <v>0</v>
      </c>
      <c r="W209" s="107">
        <f>IF(A11stdlife="n/a","n/a",IF(W$3&gt;(A11stdlife+$E209),('PTRM input'!$H$153*(1+rvanilla02)^0.5)-SUM($H209:V209),('PTRM input'!$H$153*(1+rvanilla02)^0.5)/A11stdlife))</f>
        <v>0</v>
      </c>
      <c r="X209" s="107">
        <f>IF(A11stdlife="n/a","n/a",IF(X$3&gt;(A11stdlife+$E209),('PTRM input'!$H$153*(1+rvanilla02)^0.5)-SUM($H209:W209),('PTRM input'!$H$153*(1+rvanilla02)^0.5)/A11stdlife))</f>
        <v>0</v>
      </c>
      <c r="Y209" s="107">
        <f>IF(A11stdlife="n/a","n/a",IF(Y$3&gt;(A11stdlife+$E209),('PTRM input'!$H$153*(1+rvanilla02)^0.5)-SUM($H209:X209),('PTRM input'!$H$153*(1+rvanilla02)^0.5)/A11stdlife))</f>
        <v>0</v>
      </c>
      <c r="Z209" s="107">
        <f>IF(A11stdlife="n/a","n/a",IF(Z$3&gt;(A11stdlife+$E209),('PTRM input'!$H$153*(1+rvanilla02)^0.5)-SUM($H209:Y209),('PTRM input'!$H$153*(1+rvanilla02)^0.5)/A11stdlife))</f>
        <v>0</v>
      </c>
      <c r="AA209" s="107">
        <f>IF(A11stdlife="n/a","n/a",IF(AA$3&gt;(A11stdlife+$E209),('PTRM input'!$H$153*(1+rvanilla02)^0.5)-SUM($H209:Z209),('PTRM input'!$H$153*(1+rvanilla02)^0.5)/A11stdlife))</f>
        <v>0</v>
      </c>
      <c r="AB209" s="107">
        <f>IF(A11stdlife="n/a","n/a",IF(AB$3&gt;(A11stdlife+$E209),('PTRM input'!$H$153*(1+rvanilla02)^0.5)-SUM($H209:AA209),('PTRM input'!$H$153*(1+rvanilla02)^0.5)/A11stdlife))</f>
        <v>0</v>
      </c>
      <c r="AC209" s="107">
        <f>IF(A11stdlife="n/a","n/a",IF(AC$3&gt;(A11stdlife+$E209),('PTRM input'!$H$153*(1+rvanilla02)^0.5)-SUM($H209:AB209),('PTRM input'!$H$153*(1+rvanilla02)^0.5)/A11stdlife))</f>
        <v>0</v>
      </c>
      <c r="AD209" s="107">
        <f>IF(A11stdlife="n/a","n/a",IF(AD$3&gt;(A11stdlife+$E209),('PTRM input'!$H$153*(1+rvanilla02)^0.5)-SUM($H209:AC209),('PTRM input'!$H$153*(1+rvanilla02)^0.5)/A11stdlife))</f>
        <v>0</v>
      </c>
      <c r="AE209" s="107">
        <f>IF(A11stdlife="n/a","n/a",IF(AE$3&gt;(A11stdlife+$E209),('PTRM input'!$H$153*(1+rvanilla02)^0.5)-SUM($H209:AD209),('PTRM input'!$H$153*(1+rvanilla02)^0.5)/A11stdlife))</f>
        <v>0</v>
      </c>
      <c r="AF209" s="107">
        <f>IF(A11stdlife="n/a","n/a",IF(AF$3&gt;(A11stdlife+$E209),('PTRM input'!$H$153*(1+rvanilla02)^0.5)-SUM($H209:AE209),('PTRM input'!$H$153*(1+rvanilla02)^0.5)/A11stdlife))</f>
        <v>0</v>
      </c>
      <c r="AG209" s="107">
        <f>IF(A11stdlife="n/a","n/a",IF(AG$3&gt;(A11stdlife+$E209),('PTRM input'!$H$153*(1+rvanilla02)^0.5)-SUM($H209:AF209),('PTRM input'!$H$153*(1+rvanilla02)^0.5)/A11stdlife))</f>
        <v>0</v>
      </c>
      <c r="AH209" s="107">
        <f>IF(A11stdlife="n/a","n/a",IF(AH$3&gt;(A11stdlife+$E209),('PTRM input'!$H$153*(1+rvanilla02)^0.5)-SUM($H209:AG209),('PTRM input'!$H$153*(1+rvanilla02)^0.5)/A11stdlife))</f>
        <v>0</v>
      </c>
      <c r="AI209" s="107">
        <f>IF(A11stdlife="n/a","n/a",IF(AI$3&gt;(A11stdlife+$E209),('PTRM input'!$H$153*(1+rvanilla02)^0.5)-SUM($H209:AH209),('PTRM input'!$H$153*(1+rvanilla02)^0.5)/A11stdlife))</f>
        <v>0</v>
      </c>
      <c r="AJ209" s="107">
        <f>IF(A11stdlife="n/a","n/a",IF(AJ$3&gt;(A11stdlife+$E209),('PTRM input'!$H$153*(1+rvanilla02)^0.5)-SUM($H209:AI209),('PTRM input'!$H$153*(1+rvanilla02)^0.5)/A11stdlife))</f>
        <v>0</v>
      </c>
      <c r="AK209" s="107">
        <f>IF(A11stdlife="n/a","n/a",IF(AK$3&gt;(A11stdlife+$E209),('PTRM input'!$H$153*(1+rvanilla02)^0.5)-SUM($H209:AJ209),('PTRM input'!$H$153*(1+rvanilla02)^0.5)/A11stdlife))</f>
        <v>0</v>
      </c>
      <c r="AL209" s="107">
        <f>IF(A11stdlife="n/a","n/a",IF(AL$3&gt;(A11stdlife+$E209),('PTRM input'!$H$153*(1+rvanilla02)^0.5)-SUM($H209:AK209),('PTRM input'!$H$153*(1+rvanilla02)^0.5)/A11stdlife))</f>
        <v>0</v>
      </c>
      <c r="AM209" s="107">
        <f>IF(A11stdlife="n/a","n/a",IF(AM$3&gt;(A11stdlife+$E209),('PTRM input'!$H$153*(1+rvanilla02)^0.5)-SUM($H209:AL209),('PTRM input'!$H$153*(1+rvanilla02)^0.5)/A11stdlife))</f>
        <v>0</v>
      </c>
      <c r="AN209" s="107">
        <f>IF(A11stdlife="n/a","n/a",IF(AN$3&gt;(A11stdlife+$E209),('PTRM input'!$H$153*(1+rvanilla02)^0.5)-SUM($H209:AM209),('PTRM input'!$H$153*(1+rvanilla02)^0.5)/A11stdlife))</f>
        <v>0</v>
      </c>
      <c r="AO209" s="107">
        <f>IF(A11stdlife="n/a","n/a",IF(AO$3&gt;(A11stdlife+$E209),('PTRM input'!$H$153*(1+rvanilla02)^0.5)-SUM($H209:AN209),('PTRM input'!$H$153*(1+rvanilla02)^0.5)/A11stdlife))</f>
        <v>0</v>
      </c>
      <c r="AP209" s="107">
        <f>IF(A11stdlife="n/a","n/a",IF(AP$3&gt;(A11stdlife+$E209),('PTRM input'!$H$153*(1+rvanilla02)^0.5)-SUM($H209:AO209),('PTRM input'!$H$153*(1+rvanilla02)^0.5)/A11stdlife))</f>
        <v>0</v>
      </c>
      <c r="AQ209" s="107">
        <f>IF(A11stdlife="n/a","n/a",IF(AQ$3&gt;(A11stdlife+$E209),('PTRM input'!$H$153*(1+rvanilla02)^0.5)-SUM($H209:AP209),('PTRM input'!$H$153*(1+rvanilla02)^0.5)/A11stdlife))</f>
        <v>0</v>
      </c>
      <c r="AR209" s="107">
        <f>IF(A11stdlife="n/a","n/a",IF(AR$3&gt;(A11stdlife+$E209),('PTRM input'!$H$153*(1+rvanilla02)^0.5)-SUM($H209:AQ209),('PTRM input'!$H$153*(1+rvanilla02)^0.5)/A11stdlife))</f>
        <v>0</v>
      </c>
      <c r="AS209" s="107">
        <f>IF(A11stdlife="n/a","n/a",IF(AS$3&gt;(A11stdlife+$E209),('PTRM input'!$H$153*(1+rvanilla02)^0.5)-SUM($H209:AR209),('PTRM input'!$H$153*(1+rvanilla02)^0.5)/A11stdlife))</f>
        <v>0</v>
      </c>
      <c r="AT209" s="107">
        <f>IF(A11stdlife="n/a","n/a",IF(AT$3&gt;(A11stdlife+$E209),('PTRM input'!$H$153*(1+rvanilla02)^0.5)-SUM($H209:AS209),('PTRM input'!$H$153*(1+rvanilla02)^0.5)/A11stdlife))</f>
        <v>0</v>
      </c>
      <c r="AU209" s="107">
        <f>IF(A11stdlife="n/a","n/a",IF(AU$3&gt;(A11stdlife+$E209),('PTRM input'!$H$153*(1+rvanilla02)^0.5)-SUM($H209:AT209),('PTRM input'!$H$153*(1+rvanilla02)^0.5)/A11stdlife))</f>
        <v>0</v>
      </c>
      <c r="AV209" s="107">
        <f>IF(A11stdlife="n/a","n/a",IF(AV$3&gt;(A11stdlife+$E209),('PTRM input'!$H$153*(1+rvanilla02)^0.5)-SUM($H209:AU209),('PTRM input'!$H$153*(1+rvanilla02)^0.5)/A11stdlife))</f>
        <v>0</v>
      </c>
      <c r="AW209" s="107">
        <f>IF(A11stdlife="n/a","n/a",IF(AW$3&gt;(A11stdlife+$E209),('PTRM input'!$H$153*(1+rvanilla02)^0.5)-SUM($H209:AV209),('PTRM input'!$H$153*(1+rvanilla02)^0.5)/A11stdlife))</f>
        <v>0</v>
      </c>
      <c r="AX209" s="107">
        <f>IF(A11stdlife="n/a","n/a",IF(AX$3&gt;(A11stdlife+$E209),('PTRM input'!$H$153*(1+rvanilla02)^0.5)-SUM($H209:AW209),('PTRM input'!$H$153*(1+rvanilla02)^0.5)/A11stdlife))</f>
        <v>0</v>
      </c>
      <c r="AY209" s="107">
        <f>IF(A11stdlife="n/a","n/a",IF(AY$3&gt;(A11stdlife+$E209),('PTRM input'!$H$153*(1+rvanilla02)^0.5)-SUM($H209:AX209),('PTRM input'!$H$153*(1+rvanilla02)^0.5)/A11stdlife))</f>
        <v>0</v>
      </c>
      <c r="AZ209" s="107">
        <f>IF(A11stdlife="n/a","n/a",IF(AZ$3&gt;(A11stdlife+$E209),('PTRM input'!$H$153*(1+rvanilla02)^0.5)-SUM($H209:AY209),('PTRM input'!$H$153*(1+rvanilla02)^0.5)/A11stdlife))</f>
        <v>0</v>
      </c>
      <c r="BA209" s="107">
        <f>IF(A11stdlife="n/a","n/a",IF(BA$3&gt;(A11stdlife+$E209),('PTRM input'!$H$153*(1+rvanilla02)^0.5)-SUM($H209:AZ209),('PTRM input'!$H$153*(1+rvanilla02)^0.5)/A11stdlife))</f>
        <v>0</v>
      </c>
      <c r="BB209" s="107">
        <f>IF(A11stdlife="n/a","n/a",IF(BB$3&gt;(A11stdlife+$E209),('PTRM input'!$H$153*(1+rvanilla02)^0.5)-SUM($H209:BA209),('PTRM input'!$H$153*(1+rvanilla02)^0.5)/A11stdlife))</f>
        <v>0</v>
      </c>
      <c r="BC209" s="107">
        <f>IF(A11stdlife="n/a","n/a",IF(BC$3&gt;(A11stdlife+$E209),('PTRM input'!$H$153*(1+rvanilla02)^0.5)-SUM($H209:BB209),('PTRM input'!$H$153*(1+rvanilla02)^0.5)/A11stdlife))</f>
        <v>0</v>
      </c>
      <c r="BD209" s="107">
        <f>IF(A11stdlife="n/a","n/a",IF(BD$3&gt;(A11stdlife+$E209),('PTRM input'!$H$153*(1+rvanilla02)^0.5)-SUM($H209:BC209),('PTRM input'!$H$153*(1+rvanilla02)^0.5)/A11stdlife))</f>
        <v>0</v>
      </c>
      <c r="BE209" s="107">
        <f>IF(A11stdlife="n/a","n/a",IF(BE$3&gt;(A11stdlife+$E209),('PTRM input'!$H$153*(1+rvanilla02)^0.5)-SUM($H209:BD209),('PTRM input'!$H$153*(1+rvanilla02)^0.5)/A11stdlife))</f>
        <v>0</v>
      </c>
      <c r="BF209" s="107">
        <f>IF(A11stdlife="n/a","n/a",IF(BF$3&gt;(A11stdlife+$E209),('PTRM input'!$H$153*(1+rvanilla02)^0.5)-SUM($H209:BE209),('PTRM input'!$H$153*(1+rvanilla02)^0.5)/A11stdlife))</f>
        <v>0</v>
      </c>
      <c r="BG209" s="107">
        <f>IF(A11stdlife="n/a","n/a",IF(BG$3&gt;(A11stdlife+$E209),('PTRM input'!$H$153*(1+rvanilla02)^0.5)-SUM($H209:BF209),('PTRM input'!$H$153*(1+rvanilla02)^0.5)/A11stdlife))</f>
        <v>0</v>
      </c>
      <c r="BH209" s="107">
        <f>IF(A11stdlife="n/a","n/a",IF(BH$3&gt;(A11stdlife+$E209),('PTRM input'!$H$153*(1+rvanilla02)^0.5)-SUM($H209:BG209),('PTRM input'!$H$153*(1+rvanilla02)^0.5)/A11stdlife))</f>
        <v>0</v>
      </c>
      <c r="BI209" s="107">
        <f>IF(A11stdlife="n/a","n/a",IF(BI$3&gt;(A11stdlife+$E209),('PTRM input'!$H$153*(1+rvanilla02)^0.5)-SUM($H209:BH209),('PTRM input'!$H$153*(1+rvanilla02)^0.5)/A11stdlife))</f>
        <v>0</v>
      </c>
      <c r="BJ209" s="237"/>
      <c r="BK209" s="237"/>
      <c r="BL209" s="237"/>
      <c r="BM209" s="237"/>
    </row>
    <row r="210" spans="1:65" s="190" customFormat="1" hidden="1" outlineLevel="2">
      <c r="A210" s="237"/>
      <c r="B210" s="33"/>
      <c r="C210" s="32"/>
      <c r="D210" s="1618"/>
      <c r="E210" s="169">
        <v>3</v>
      </c>
      <c r="F210" s="35"/>
      <c r="G210" s="184"/>
      <c r="H210" s="186"/>
      <c r="I210" s="185"/>
      <c r="J210" s="107">
        <f>IF(A11stdlife="n/a","n/a",IF(J$3&gt;(A11stdlife+$E210),('PTRM input'!$I$153*(1+rvanilla03)^0.5)-SUM($I210:I210),('PTRM input'!$I$153*(1+rvanilla03)^0.5)/A11stdlife))</f>
        <v>0</v>
      </c>
      <c r="K210" s="107">
        <f>IF(A11stdlife="n/a","n/a",IF(K$3&gt;(A11stdlife+$E210),('PTRM input'!$I$153*(1+rvanilla03)^0.5)-SUM($I210:J210),('PTRM input'!$I$153*(1+rvanilla03)^0.5)/A11stdlife))</f>
        <v>0</v>
      </c>
      <c r="L210" s="107">
        <f>IF(A11stdlife="n/a","n/a",IF(L$3&gt;(A11stdlife+$E210),('PTRM input'!$I$153*(1+rvanilla03)^0.5)-SUM($I210:K210),('PTRM input'!$I$153*(1+rvanilla03)^0.5)/A11stdlife))</f>
        <v>0</v>
      </c>
      <c r="M210" s="107">
        <f>IF(A11stdlife="n/a","n/a",IF(M$3&gt;(A11stdlife+$E210),('PTRM input'!$I$153*(1+rvanilla03)^0.5)-SUM($I210:L210),('PTRM input'!$I$153*(1+rvanilla03)^0.5)/A11stdlife))</f>
        <v>0</v>
      </c>
      <c r="N210" s="107">
        <f>IF(A11stdlife="n/a","n/a",IF(N$3&gt;(A11stdlife+$E210),('PTRM input'!$I$153*(1+rvanilla03)^0.5)-SUM($I210:M210),('PTRM input'!$I$153*(1+rvanilla03)^0.5)/A11stdlife))</f>
        <v>0</v>
      </c>
      <c r="O210" s="107">
        <f>IF(A11stdlife="n/a","n/a",IF(O$3&gt;(A11stdlife+$E210),('PTRM input'!$I$153*(1+rvanilla03)^0.5)-SUM($I210:N210),('PTRM input'!$I$153*(1+rvanilla03)^0.5)/A11stdlife))</f>
        <v>0</v>
      </c>
      <c r="P210" s="107">
        <f>IF(A11stdlife="n/a","n/a",IF(P$3&gt;(A11stdlife+$E210),('PTRM input'!$I$153*(1+rvanilla03)^0.5)-SUM($I210:O210),('PTRM input'!$I$153*(1+rvanilla03)^0.5)/A11stdlife))</f>
        <v>0</v>
      </c>
      <c r="Q210" s="107">
        <f>IF(A11stdlife="n/a","n/a",IF(Q$3&gt;(A11stdlife+$E210),('PTRM input'!$I$153*(1+rvanilla03)^0.5)-SUM($I210:P210),('PTRM input'!$I$153*(1+rvanilla03)^0.5)/A11stdlife))</f>
        <v>0</v>
      </c>
      <c r="R210" s="107">
        <f>IF(A11stdlife="n/a","n/a",IF(R$3&gt;(A11stdlife+$E210),('PTRM input'!$I$153*(1+rvanilla03)^0.5)-SUM($I210:Q210),('PTRM input'!$I$153*(1+rvanilla03)^0.5)/A11stdlife))</f>
        <v>0</v>
      </c>
      <c r="S210" s="107">
        <f>IF(A11stdlife="n/a","n/a",IF(S$3&gt;(A11stdlife+$E210),('PTRM input'!$I$153*(1+rvanilla03)^0.5)-SUM($I210:R210),('PTRM input'!$I$153*(1+rvanilla03)^0.5)/A11stdlife))</f>
        <v>0</v>
      </c>
      <c r="T210" s="107">
        <f>IF(A11stdlife="n/a","n/a",IF(T$3&gt;(A11stdlife+$E210),('PTRM input'!$I$153*(1+rvanilla03)^0.5)-SUM($I210:S210),('PTRM input'!$I$153*(1+rvanilla03)^0.5)/A11stdlife))</f>
        <v>0</v>
      </c>
      <c r="U210" s="107">
        <f>IF(A11stdlife="n/a","n/a",IF(U$3&gt;(A11stdlife+$E210),('PTRM input'!$I$153*(1+rvanilla03)^0.5)-SUM($I210:T210),('PTRM input'!$I$153*(1+rvanilla03)^0.5)/A11stdlife))</f>
        <v>0</v>
      </c>
      <c r="V210" s="107">
        <f>IF(A11stdlife="n/a","n/a",IF(V$3&gt;(A11stdlife+$E210),('PTRM input'!$I$153*(1+rvanilla03)^0.5)-SUM($I210:U210),('PTRM input'!$I$153*(1+rvanilla03)^0.5)/A11stdlife))</f>
        <v>0</v>
      </c>
      <c r="W210" s="107">
        <f>IF(A11stdlife="n/a","n/a",IF(W$3&gt;(A11stdlife+$E210),('PTRM input'!$I$153*(1+rvanilla03)^0.5)-SUM($I210:V210),('PTRM input'!$I$153*(1+rvanilla03)^0.5)/A11stdlife))</f>
        <v>0</v>
      </c>
      <c r="X210" s="107">
        <f>IF(A11stdlife="n/a","n/a",IF(X$3&gt;(A11stdlife+$E210),('PTRM input'!$I$153*(1+rvanilla03)^0.5)-SUM($I210:W210),('PTRM input'!$I$153*(1+rvanilla03)^0.5)/A11stdlife))</f>
        <v>0</v>
      </c>
      <c r="Y210" s="107">
        <f>IF(A11stdlife="n/a","n/a",IF(Y$3&gt;(A11stdlife+$E210),('PTRM input'!$I$153*(1+rvanilla03)^0.5)-SUM($I210:X210),('PTRM input'!$I$153*(1+rvanilla03)^0.5)/A11stdlife))</f>
        <v>0</v>
      </c>
      <c r="Z210" s="107">
        <f>IF(A11stdlife="n/a","n/a",IF(Z$3&gt;(A11stdlife+$E210),('PTRM input'!$I$153*(1+rvanilla03)^0.5)-SUM($I210:Y210),('PTRM input'!$I$153*(1+rvanilla03)^0.5)/A11stdlife))</f>
        <v>0</v>
      </c>
      <c r="AA210" s="107">
        <f>IF(A11stdlife="n/a","n/a",IF(AA$3&gt;(A11stdlife+$E210),('PTRM input'!$I$153*(1+rvanilla03)^0.5)-SUM($I210:Z210),('PTRM input'!$I$153*(1+rvanilla03)^0.5)/A11stdlife))</f>
        <v>0</v>
      </c>
      <c r="AB210" s="107">
        <f>IF(A11stdlife="n/a","n/a",IF(AB$3&gt;(A11stdlife+$E210),('PTRM input'!$I$153*(1+rvanilla03)^0.5)-SUM($I210:AA210),('PTRM input'!$I$153*(1+rvanilla03)^0.5)/A11stdlife))</f>
        <v>0</v>
      </c>
      <c r="AC210" s="107">
        <f>IF(A11stdlife="n/a","n/a",IF(AC$3&gt;(A11stdlife+$E210),('PTRM input'!$I$153*(1+rvanilla03)^0.5)-SUM($I210:AB210),('PTRM input'!$I$153*(1+rvanilla03)^0.5)/A11stdlife))</f>
        <v>0</v>
      </c>
      <c r="AD210" s="107">
        <f>IF(A11stdlife="n/a","n/a",IF(AD$3&gt;(A11stdlife+$E210),('PTRM input'!$I$153*(1+rvanilla03)^0.5)-SUM($I210:AC210),('PTRM input'!$I$153*(1+rvanilla03)^0.5)/A11stdlife))</f>
        <v>0</v>
      </c>
      <c r="AE210" s="107">
        <f>IF(A11stdlife="n/a","n/a",IF(AE$3&gt;(A11stdlife+$E210),('PTRM input'!$I$153*(1+rvanilla03)^0.5)-SUM($I210:AD210),('PTRM input'!$I$153*(1+rvanilla03)^0.5)/A11stdlife))</f>
        <v>0</v>
      </c>
      <c r="AF210" s="107">
        <f>IF(A11stdlife="n/a","n/a",IF(AF$3&gt;(A11stdlife+$E210),('PTRM input'!$I$153*(1+rvanilla03)^0.5)-SUM($I210:AE210),('PTRM input'!$I$153*(1+rvanilla03)^0.5)/A11stdlife))</f>
        <v>0</v>
      </c>
      <c r="AG210" s="107">
        <f>IF(A11stdlife="n/a","n/a",IF(AG$3&gt;(A11stdlife+$E210),('PTRM input'!$I$153*(1+rvanilla03)^0.5)-SUM($I210:AF210),('PTRM input'!$I$153*(1+rvanilla03)^0.5)/A11stdlife))</f>
        <v>0</v>
      </c>
      <c r="AH210" s="107">
        <f>IF(A11stdlife="n/a","n/a",IF(AH$3&gt;(A11stdlife+$E210),('PTRM input'!$I$153*(1+rvanilla03)^0.5)-SUM($I210:AG210),('PTRM input'!$I$153*(1+rvanilla03)^0.5)/A11stdlife))</f>
        <v>0</v>
      </c>
      <c r="AI210" s="107">
        <f>IF(A11stdlife="n/a","n/a",IF(AI$3&gt;(A11stdlife+$E210),('PTRM input'!$I$153*(1+rvanilla03)^0.5)-SUM($I210:AH210),('PTRM input'!$I$153*(1+rvanilla03)^0.5)/A11stdlife))</f>
        <v>0</v>
      </c>
      <c r="AJ210" s="107">
        <f>IF(A11stdlife="n/a","n/a",IF(AJ$3&gt;(A11stdlife+$E210),('PTRM input'!$I$153*(1+rvanilla03)^0.5)-SUM($I210:AI210),('PTRM input'!$I$153*(1+rvanilla03)^0.5)/A11stdlife))</f>
        <v>0</v>
      </c>
      <c r="AK210" s="107">
        <f>IF(A11stdlife="n/a","n/a",IF(AK$3&gt;(A11stdlife+$E210),('PTRM input'!$I$153*(1+rvanilla03)^0.5)-SUM($I210:AJ210),('PTRM input'!$I$153*(1+rvanilla03)^0.5)/A11stdlife))</f>
        <v>0</v>
      </c>
      <c r="AL210" s="107">
        <f>IF(A11stdlife="n/a","n/a",IF(AL$3&gt;(A11stdlife+$E210),('PTRM input'!$I$153*(1+rvanilla03)^0.5)-SUM($I210:AK210),('PTRM input'!$I$153*(1+rvanilla03)^0.5)/A11stdlife))</f>
        <v>0</v>
      </c>
      <c r="AM210" s="107">
        <f>IF(A11stdlife="n/a","n/a",IF(AM$3&gt;(A11stdlife+$E210),('PTRM input'!$I$153*(1+rvanilla03)^0.5)-SUM($I210:AL210),('PTRM input'!$I$153*(1+rvanilla03)^0.5)/A11stdlife))</f>
        <v>0</v>
      </c>
      <c r="AN210" s="107">
        <f>IF(A11stdlife="n/a","n/a",IF(AN$3&gt;(A11stdlife+$E210),('PTRM input'!$I$153*(1+rvanilla03)^0.5)-SUM($I210:AM210),('PTRM input'!$I$153*(1+rvanilla03)^0.5)/A11stdlife))</f>
        <v>0</v>
      </c>
      <c r="AO210" s="107">
        <f>IF(A11stdlife="n/a","n/a",IF(AO$3&gt;(A11stdlife+$E210),('PTRM input'!$I$153*(1+rvanilla03)^0.5)-SUM($I210:AN210),('PTRM input'!$I$153*(1+rvanilla03)^0.5)/A11stdlife))</f>
        <v>0</v>
      </c>
      <c r="AP210" s="107">
        <f>IF(A11stdlife="n/a","n/a",IF(AP$3&gt;(A11stdlife+$E210),('PTRM input'!$I$153*(1+rvanilla03)^0.5)-SUM($I210:AO210),('PTRM input'!$I$153*(1+rvanilla03)^0.5)/A11stdlife))</f>
        <v>0</v>
      </c>
      <c r="AQ210" s="107">
        <f>IF(A11stdlife="n/a","n/a",IF(AQ$3&gt;(A11stdlife+$E210),('PTRM input'!$I$153*(1+rvanilla03)^0.5)-SUM($I210:AP210),('PTRM input'!$I$153*(1+rvanilla03)^0.5)/A11stdlife))</f>
        <v>0</v>
      </c>
      <c r="AR210" s="107">
        <f>IF(A11stdlife="n/a","n/a",IF(AR$3&gt;(A11stdlife+$E210),('PTRM input'!$I$153*(1+rvanilla03)^0.5)-SUM($I210:AQ210),('PTRM input'!$I$153*(1+rvanilla03)^0.5)/A11stdlife))</f>
        <v>0</v>
      </c>
      <c r="AS210" s="107">
        <f>IF(A11stdlife="n/a","n/a",IF(AS$3&gt;(A11stdlife+$E210),('PTRM input'!$I$153*(1+rvanilla03)^0.5)-SUM($I210:AR210),('PTRM input'!$I$153*(1+rvanilla03)^0.5)/A11stdlife))</f>
        <v>0</v>
      </c>
      <c r="AT210" s="107">
        <f>IF(A11stdlife="n/a","n/a",IF(AT$3&gt;(A11stdlife+$E210),('PTRM input'!$I$153*(1+rvanilla03)^0.5)-SUM($I210:AS210),('PTRM input'!$I$153*(1+rvanilla03)^0.5)/A11stdlife))</f>
        <v>0</v>
      </c>
      <c r="AU210" s="107">
        <f>IF(A11stdlife="n/a","n/a",IF(AU$3&gt;(A11stdlife+$E210),('PTRM input'!$I$153*(1+rvanilla03)^0.5)-SUM($I210:AT210),('PTRM input'!$I$153*(1+rvanilla03)^0.5)/A11stdlife))</f>
        <v>0</v>
      </c>
      <c r="AV210" s="107">
        <f>IF(A11stdlife="n/a","n/a",IF(AV$3&gt;(A11stdlife+$E210),('PTRM input'!$I$153*(1+rvanilla03)^0.5)-SUM($I210:AU210),('PTRM input'!$I$153*(1+rvanilla03)^0.5)/A11stdlife))</f>
        <v>0</v>
      </c>
      <c r="AW210" s="107">
        <f>IF(A11stdlife="n/a","n/a",IF(AW$3&gt;(A11stdlife+$E210),('PTRM input'!$I$153*(1+rvanilla03)^0.5)-SUM($I210:AV210),('PTRM input'!$I$153*(1+rvanilla03)^0.5)/A11stdlife))</f>
        <v>0</v>
      </c>
      <c r="AX210" s="107">
        <f>IF(A11stdlife="n/a","n/a",IF(AX$3&gt;(A11stdlife+$E210),('PTRM input'!$I$153*(1+rvanilla03)^0.5)-SUM($I210:AW210),('PTRM input'!$I$153*(1+rvanilla03)^0.5)/A11stdlife))</f>
        <v>0</v>
      </c>
      <c r="AY210" s="107">
        <f>IF(A11stdlife="n/a","n/a",IF(AY$3&gt;(A11stdlife+$E210),('PTRM input'!$I$153*(1+rvanilla03)^0.5)-SUM($I210:AX210),('PTRM input'!$I$153*(1+rvanilla03)^0.5)/A11stdlife))</f>
        <v>0</v>
      </c>
      <c r="AZ210" s="107">
        <f>IF(A11stdlife="n/a","n/a",IF(AZ$3&gt;(A11stdlife+$E210),('PTRM input'!$I$153*(1+rvanilla03)^0.5)-SUM($I210:AY210),('PTRM input'!$I$153*(1+rvanilla03)^0.5)/A11stdlife))</f>
        <v>0</v>
      </c>
      <c r="BA210" s="107">
        <f>IF(A11stdlife="n/a","n/a",IF(BA$3&gt;(A11stdlife+$E210),('PTRM input'!$I$153*(1+rvanilla03)^0.5)-SUM($I210:AZ210),('PTRM input'!$I$153*(1+rvanilla03)^0.5)/A11stdlife))</f>
        <v>0</v>
      </c>
      <c r="BB210" s="107">
        <f>IF(A11stdlife="n/a","n/a",IF(BB$3&gt;(A11stdlife+$E210),('PTRM input'!$I$153*(1+rvanilla03)^0.5)-SUM($I210:BA210),('PTRM input'!$I$153*(1+rvanilla03)^0.5)/A11stdlife))</f>
        <v>0</v>
      </c>
      <c r="BC210" s="107">
        <f>IF(A11stdlife="n/a","n/a",IF(BC$3&gt;(A11stdlife+$E210),('PTRM input'!$I$153*(1+rvanilla03)^0.5)-SUM($I210:BB210),('PTRM input'!$I$153*(1+rvanilla03)^0.5)/A11stdlife))</f>
        <v>0</v>
      </c>
      <c r="BD210" s="107">
        <f>IF(A11stdlife="n/a","n/a",IF(BD$3&gt;(A11stdlife+$E210),('PTRM input'!$I$153*(1+rvanilla03)^0.5)-SUM($I210:BC210),('PTRM input'!$I$153*(1+rvanilla03)^0.5)/A11stdlife))</f>
        <v>0</v>
      </c>
      <c r="BE210" s="107">
        <f>IF(A11stdlife="n/a","n/a",IF(BE$3&gt;(A11stdlife+$E210),('PTRM input'!$I$153*(1+rvanilla03)^0.5)-SUM($I210:BD210),('PTRM input'!$I$153*(1+rvanilla03)^0.5)/A11stdlife))</f>
        <v>0</v>
      </c>
      <c r="BF210" s="107">
        <f>IF(A11stdlife="n/a","n/a",IF(BF$3&gt;(A11stdlife+$E210),('PTRM input'!$I$153*(1+rvanilla03)^0.5)-SUM($I210:BE210),('PTRM input'!$I$153*(1+rvanilla03)^0.5)/A11stdlife))</f>
        <v>0</v>
      </c>
      <c r="BG210" s="107">
        <f>IF(A11stdlife="n/a","n/a",IF(BG$3&gt;(A11stdlife+$E210),('PTRM input'!$I$153*(1+rvanilla03)^0.5)-SUM($I210:BF210),('PTRM input'!$I$153*(1+rvanilla03)^0.5)/A11stdlife))</f>
        <v>0</v>
      </c>
      <c r="BH210" s="107">
        <f>IF(A11stdlife="n/a","n/a",IF(BH$3&gt;(A11stdlife+$E210),('PTRM input'!$I$153*(1+rvanilla03)^0.5)-SUM($I210:BG210),('PTRM input'!$I$153*(1+rvanilla03)^0.5)/A11stdlife))</f>
        <v>0</v>
      </c>
      <c r="BI210" s="107">
        <f>IF(A11stdlife="n/a","n/a",IF(BI$3&gt;(A11stdlife+$E210),('PTRM input'!$I$153*(1+rvanilla03)^0.5)-SUM($I210:BH210),('PTRM input'!$I$153*(1+rvanilla03)^0.5)/A11stdlife))</f>
        <v>0</v>
      </c>
      <c r="BJ210" s="237"/>
      <c r="BK210" s="237"/>
      <c r="BL210" s="237"/>
      <c r="BM210" s="237"/>
    </row>
    <row r="211" spans="1:65" s="190" customFormat="1" hidden="1" outlineLevel="2">
      <c r="A211" s="237"/>
      <c r="B211" s="33"/>
      <c r="C211" s="32"/>
      <c r="D211" s="1618"/>
      <c r="E211" s="169">
        <v>4</v>
      </c>
      <c r="F211" s="35"/>
      <c r="G211" s="184"/>
      <c r="H211" s="186"/>
      <c r="I211" s="186"/>
      <c r="J211" s="185"/>
      <c r="K211" s="107">
        <f>IF(A11stdlife="n/a","n/a",IF(K$3&gt;(A11stdlife+$E211),('PTRM input'!$J$153*(1+rvanilla04)^0.5)-SUM($J211:J211),('PTRM input'!$J$153*(1+rvanilla04)^0.5)/A11stdlife))</f>
        <v>0</v>
      </c>
      <c r="L211" s="107">
        <f>IF(A11stdlife="n/a","n/a",IF(L$3&gt;(A11stdlife+$E211),('PTRM input'!$J$153*(1+rvanilla04)^0.5)-SUM($J211:K211),('PTRM input'!$J$153*(1+rvanilla04)^0.5)/A11stdlife))</f>
        <v>0</v>
      </c>
      <c r="M211" s="107">
        <f>IF(A11stdlife="n/a","n/a",IF(M$3&gt;(A11stdlife+$E211),('PTRM input'!$J$153*(1+rvanilla04)^0.5)-SUM($J211:L211),('PTRM input'!$J$153*(1+rvanilla04)^0.5)/A11stdlife))</f>
        <v>0</v>
      </c>
      <c r="N211" s="107">
        <f>IF(A11stdlife="n/a","n/a",IF(N$3&gt;(A11stdlife+$E211),('PTRM input'!$J$153*(1+rvanilla04)^0.5)-SUM($J211:M211),('PTRM input'!$J$153*(1+rvanilla04)^0.5)/A11stdlife))</f>
        <v>0</v>
      </c>
      <c r="O211" s="107">
        <f>IF(A11stdlife="n/a","n/a",IF(O$3&gt;(A11stdlife+$E211),('PTRM input'!$J$153*(1+rvanilla04)^0.5)-SUM($J211:N211),('PTRM input'!$J$153*(1+rvanilla04)^0.5)/A11stdlife))</f>
        <v>0</v>
      </c>
      <c r="P211" s="107">
        <f>IF(A11stdlife="n/a","n/a",IF(P$3&gt;(A11stdlife+$E211),('PTRM input'!$J$153*(1+rvanilla04)^0.5)-SUM($J211:O211),('PTRM input'!$J$153*(1+rvanilla04)^0.5)/A11stdlife))</f>
        <v>0</v>
      </c>
      <c r="Q211" s="107">
        <f>IF(A11stdlife="n/a","n/a",IF(Q$3&gt;(A11stdlife+$E211),('PTRM input'!$J$153*(1+rvanilla04)^0.5)-SUM($J211:P211),('PTRM input'!$J$153*(1+rvanilla04)^0.5)/A11stdlife))</f>
        <v>0</v>
      </c>
      <c r="R211" s="107">
        <f>IF(A11stdlife="n/a","n/a",IF(R$3&gt;(A11stdlife+$E211),('PTRM input'!$J$153*(1+rvanilla04)^0.5)-SUM($J211:Q211),('PTRM input'!$J$153*(1+rvanilla04)^0.5)/A11stdlife))</f>
        <v>0</v>
      </c>
      <c r="S211" s="107">
        <f>IF(A11stdlife="n/a","n/a",IF(S$3&gt;(A11stdlife+$E211),('PTRM input'!$J$153*(1+rvanilla04)^0.5)-SUM($J211:R211),('PTRM input'!$J$153*(1+rvanilla04)^0.5)/A11stdlife))</f>
        <v>0</v>
      </c>
      <c r="T211" s="107">
        <f>IF(A11stdlife="n/a","n/a",IF(T$3&gt;(A11stdlife+$E211),('PTRM input'!$J$153*(1+rvanilla04)^0.5)-SUM($J211:S211),('PTRM input'!$J$153*(1+rvanilla04)^0.5)/A11stdlife))</f>
        <v>0</v>
      </c>
      <c r="U211" s="107">
        <f>IF(A11stdlife="n/a","n/a",IF(U$3&gt;(A11stdlife+$E211),('PTRM input'!$J$153*(1+rvanilla04)^0.5)-SUM($J211:T211),('PTRM input'!$J$153*(1+rvanilla04)^0.5)/A11stdlife))</f>
        <v>0</v>
      </c>
      <c r="V211" s="107">
        <f>IF(A11stdlife="n/a","n/a",IF(V$3&gt;(A11stdlife+$E211),('PTRM input'!$J$153*(1+rvanilla04)^0.5)-SUM($J211:U211),('PTRM input'!$J$153*(1+rvanilla04)^0.5)/A11stdlife))</f>
        <v>0</v>
      </c>
      <c r="W211" s="107">
        <f>IF(A11stdlife="n/a","n/a",IF(W$3&gt;(A11stdlife+$E211),('PTRM input'!$J$153*(1+rvanilla04)^0.5)-SUM($J211:V211),('PTRM input'!$J$153*(1+rvanilla04)^0.5)/A11stdlife))</f>
        <v>0</v>
      </c>
      <c r="X211" s="107">
        <f>IF(A11stdlife="n/a","n/a",IF(X$3&gt;(A11stdlife+$E211),('PTRM input'!$J$153*(1+rvanilla04)^0.5)-SUM($J211:W211),('PTRM input'!$J$153*(1+rvanilla04)^0.5)/A11stdlife))</f>
        <v>0</v>
      </c>
      <c r="Y211" s="107">
        <f>IF(A11stdlife="n/a","n/a",IF(Y$3&gt;(A11stdlife+$E211),('PTRM input'!$J$153*(1+rvanilla04)^0.5)-SUM($J211:X211),('PTRM input'!$J$153*(1+rvanilla04)^0.5)/A11stdlife))</f>
        <v>0</v>
      </c>
      <c r="Z211" s="107">
        <f>IF(A11stdlife="n/a","n/a",IF(Z$3&gt;(A11stdlife+$E211),('PTRM input'!$J$153*(1+rvanilla04)^0.5)-SUM($J211:Y211),('PTRM input'!$J$153*(1+rvanilla04)^0.5)/A11stdlife))</f>
        <v>0</v>
      </c>
      <c r="AA211" s="107">
        <f>IF(A11stdlife="n/a","n/a",IF(AA$3&gt;(A11stdlife+$E211),('PTRM input'!$J$153*(1+rvanilla04)^0.5)-SUM($J211:Z211),('PTRM input'!$J$153*(1+rvanilla04)^0.5)/A11stdlife))</f>
        <v>0</v>
      </c>
      <c r="AB211" s="107">
        <f>IF(A11stdlife="n/a","n/a",IF(AB$3&gt;(A11stdlife+$E211),('PTRM input'!$J$153*(1+rvanilla04)^0.5)-SUM($J211:AA211),('PTRM input'!$J$153*(1+rvanilla04)^0.5)/A11stdlife))</f>
        <v>0</v>
      </c>
      <c r="AC211" s="107">
        <f>IF(A11stdlife="n/a","n/a",IF(AC$3&gt;(A11stdlife+$E211),('PTRM input'!$J$153*(1+rvanilla04)^0.5)-SUM($J211:AB211),('PTRM input'!$J$153*(1+rvanilla04)^0.5)/A11stdlife))</f>
        <v>0</v>
      </c>
      <c r="AD211" s="107">
        <f>IF(A11stdlife="n/a","n/a",IF(AD$3&gt;(A11stdlife+$E211),('PTRM input'!$J$153*(1+rvanilla04)^0.5)-SUM($J211:AC211),('PTRM input'!$J$153*(1+rvanilla04)^0.5)/A11stdlife))</f>
        <v>0</v>
      </c>
      <c r="AE211" s="107">
        <f>IF(A11stdlife="n/a","n/a",IF(AE$3&gt;(A11stdlife+$E211),('PTRM input'!$J$153*(1+rvanilla04)^0.5)-SUM($J211:AD211),('PTRM input'!$J$153*(1+rvanilla04)^0.5)/A11stdlife))</f>
        <v>0</v>
      </c>
      <c r="AF211" s="107">
        <f>IF(A11stdlife="n/a","n/a",IF(AF$3&gt;(A11stdlife+$E211),('PTRM input'!$J$153*(1+rvanilla04)^0.5)-SUM($J211:AE211),('PTRM input'!$J$153*(1+rvanilla04)^0.5)/A11stdlife))</f>
        <v>0</v>
      </c>
      <c r="AG211" s="107">
        <f>IF(A11stdlife="n/a","n/a",IF(AG$3&gt;(A11stdlife+$E211),('PTRM input'!$J$153*(1+rvanilla04)^0.5)-SUM($J211:AF211),('PTRM input'!$J$153*(1+rvanilla04)^0.5)/A11stdlife))</f>
        <v>0</v>
      </c>
      <c r="AH211" s="107">
        <f>IF(A11stdlife="n/a","n/a",IF(AH$3&gt;(A11stdlife+$E211),('PTRM input'!$J$153*(1+rvanilla04)^0.5)-SUM($J211:AG211),('PTRM input'!$J$153*(1+rvanilla04)^0.5)/A11stdlife))</f>
        <v>0</v>
      </c>
      <c r="AI211" s="107">
        <f>IF(A11stdlife="n/a","n/a",IF(AI$3&gt;(A11stdlife+$E211),('PTRM input'!$J$153*(1+rvanilla04)^0.5)-SUM($J211:AH211),('PTRM input'!$J$153*(1+rvanilla04)^0.5)/A11stdlife))</f>
        <v>0</v>
      </c>
      <c r="AJ211" s="107">
        <f>IF(A11stdlife="n/a","n/a",IF(AJ$3&gt;(A11stdlife+$E211),('PTRM input'!$J$153*(1+rvanilla04)^0.5)-SUM($J211:AI211),('PTRM input'!$J$153*(1+rvanilla04)^0.5)/A11stdlife))</f>
        <v>0</v>
      </c>
      <c r="AK211" s="107">
        <f>IF(A11stdlife="n/a","n/a",IF(AK$3&gt;(A11stdlife+$E211),('PTRM input'!$J$153*(1+rvanilla04)^0.5)-SUM($J211:AJ211),('PTRM input'!$J$153*(1+rvanilla04)^0.5)/A11stdlife))</f>
        <v>0</v>
      </c>
      <c r="AL211" s="107">
        <f>IF(A11stdlife="n/a","n/a",IF(AL$3&gt;(A11stdlife+$E211),('PTRM input'!$J$153*(1+rvanilla04)^0.5)-SUM($J211:AK211),('PTRM input'!$J$153*(1+rvanilla04)^0.5)/A11stdlife))</f>
        <v>0</v>
      </c>
      <c r="AM211" s="107">
        <f>IF(A11stdlife="n/a","n/a",IF(AM$3&gt;(A11stdlife+$E211),('PTRM input'!$J$153*(1+rvanilla04)^0.5)-SUM($J211:AL211),('PTRM input'!$J$153*(1+rvanilla04)^0.5)/A11stdlife))</f>
        <v>0</v>
      </c>
      <c r="AN211" s="107">
        <f>IF(A11stdlife="n/a","n/a",IF(AN$3&gt;(A11stdlife+$E211),('PTRM input'!$J$153*(1+rvanilla04)^0.5)-SUM($J211:AM211),('PTRM input'!$J$153*(1+rvanilla04)^0.5)/A11stdlife))</f>
        <v>0</v>
      </c>
      <c r="AO211" s="107">
        <f>IF(A11stdlife="n/a","n/a",IF(AO$3&gt;(A11stdlife+$E211),('PTRM input'!$J$153*(1+rvanilla04)^0.5)-SUM($J211:AN211),('PTRM input'!$J$153*(1+rvanilla04)^0.5)/A11stdlife))</f>
        <v>0</v>
      </c>
      <c r="AP211" s="107">
        <f>IF(A11stdlife="n/a","n/a",IF(AP$3&gt;(A11stdlife+$E211),('PTRM input'!$J$153*(1+rvanilla04)^0.5)-SUM($J211:AO211),('PTRM input'!$J$153*(1+rvanilla04)^0.5)/A11stdlife))</f>
        <v>0</v>
      </c>
      <c r="AQ211" s="107">
        <f>IF(A11stdlife="n/a","n/a",IF(AQ$3&gt;(A11stdlife+$E211),('PTRM input'!$J$153*(1+rvanilla04)^0.5)-SUM($J211:AP211),('PTRM input'!$J$153*(1+rvanilla04)^0.5)/A11stdlife))</f>
        <v>0</v>
      </c>
      <c r="AR211" s="107">
        <f>IF(A11stdlife="n/a","n/a",IF(AR$3&gt;(A11stdlife+$E211),('PTRM input'!$J$153*(1+rvanilla04)^0.5)-SUM($J211:AQ211),('PTRM input'!$J$153*(1+rvanilla04)^0.5)/A11stdlife))</f>
        <v>0</v>
      </c>
      <c r="AS211" s="107">
        <f>IF(A11stdlife="n/a","n/a",IF(AS$3&gt;(A11stdlife+$E211),('PTRM input'!$J$153*(1+rvanilla04)^0.5)-SUM($J211:AR211),('PTRM input'!$J$153*(1+rvanilla04)^0.5)/A11stdlife))</f>
        <v>0</v>
      </c>
      <c r="AT211" s="107">
        <f>IF(A11stdlife="n/a","n/a",IF(AT$3&gt;(A11stdlife+$E211),('PTRM input'!$J$153*(1+rvanilla04)^0.5)-SUM($J211:AS211),('PTRM input'!$J$153*(1+rvanilla04)^0.5)/A11stdlife))</f>
        <v>0</v>
      </c>
      <c r="AU211" s="107">
        <f>IF(A11stdlife="n/a","n/a",IF(AU$3&gt;(A11stdlife+$E211),('PTRM input'!$J$153*(1+rvanilla04)^0.5)-SUM($J211:AT211),('PTRM input'!$J$153*(1+rvanilla04)^0.5)/A11stdlife))</f>
        <v>0</v>
      </c>
      <c r="AV211" s="107">
        <f>IF(A11stdlife="n/a","n/a",IF(AV$3&gt;(A11stdlife+$E211),('PTRM input'!$J$153*(1+rvanilla04)^0.5)-SUM($J211:AU211),('PTRM input'!$J$153*(1+rvanilla04)^0.5)/A11stdlife))</f>
        <v>0</v>
      </c>
      <c r="AW211" s="107">
        <f>IF(A11stdlife="n/a","n/a",IF(AW$3&gt;(A11stdlife+$E211),('PTRM input'!$J$153*(1+rvanilla04)^0.5)-SUM($J211:AV211),('PTRM input'!$J$153*(1+rvanilla04)^0.5)/A11stdlife))</f>
        <v>0</v>
      </c>
      <c r="AX211" s="107">
        <f>IF(A11stdlife="n/a","n/a",IF(AX$3&gt;(A11stdlife+$E211),('PTRM input'!$J$153*(1+rvanilla04)^0.5)-SUM($J211:AW211),('PTRM input'!$J$153*(1+rvanilla04)^0.5)/A11stdlife))</f>
        <v>0</v>
      </c>
      <c r="AY211" s="107">
        <f>IF(A11stdlife="n/a","n/a",IF(AY$3&gt;(A11stdlife+$E211),('PTRM input'!$J$153*(1+rvanilla04)^0.5)-SUM($J211:AX211),('PTRM input'!$J$153*(1+rvanilla04)^0.5)/A11stdlife))</f>
        <v>0</v>
      </c>
      <c r="AZ211" s="107">
        <f>IF(A11stdlife="n/a","n/a",IF(AZ$3&gt;(A11stdlife+$E211),('PTRM input'!$J$153*(1+rvanilla04)^0.5)-SUM($J211:AY211),('PTRM input'!$J$153*(1+rvanilla04)^0.5)/A11stdlife))</f>
        <v>0</v>
      </c>
      <c r="BA211" s="107">
        <f>IF(A11stdlife="n/a","n/a",IF(BA$3&gt;(A11stdlife+$E211),('PTRM input'!$J$153*(1+rvanilla04)^0.5)-SUM($J211:AZ211),('PTRM input'!$J$153*(1+rvanilla04)^0.5)/A11stdlife))</f>
        <v>0</v>
      </c>
      <c r="BB211" s="107">
        <f>IF(A11stdlife="n/a","n/a",IF(BB$3&gt;(A11stdlife+$E211),('PTRM input'!$J$153*(1+rvanilla04)^0.5)-SUM($J211:BA211),('PTRM input'!$J$153*(1+rvanilla04)^0.5)/A11stdlife))</f>
        <v>0</v>
      </c>
      <c r="BC211" s="107">
        <f>IF(A11stdlife="n/a","n/a",IF(BC$3&gt;(A11stdlife+$E211),('PTRM input'!$J$153*(1+rvanilla04)^0.5)-SUM($J211:BB211),('PTRM input'!$J$153*(1+rvanilla04)^0.5)/A11stdlife))</f>
        <v>0</v>
      </c>
      <c r="BD211" s="107">
        <f>IF(A11stdlife="n/a","n/a",IF(BD$3&gt;(A11stdlife+$E211),('PTRM input'!$J$153*(1+rvanilla04)^0.5)-SUM($J211:BC211),('PTRM input'!$J$153*(1+rvanilla04)^0.5)/A11stdlife))</f>
        <v>0</v>
      </c>
      <c r="BE211" s="107">
        <f>IF(A11stdlife="n/a","n/a",IF(BE$3&gt;(A11stdlife+$E211),('PTRM input'!$J$153*(1+rvanilla04)^0.5)-SUM($J211:BD211),('PTRM input'!$J$153*(1+rvanilla04)^0.5)/A11stdlife))</f>
        <v>0</v>
      </c>
      <c r="BF211" s="107">
        <f>IF(A11stdlife="n/a","n/a",IF(BF$3&gt;(A11stdlife+$E211),('PTRM input'!$J$153*(1+rvanilla04)^0.5)-SUM($J211:BE211),('PTRM input'!$J$153*(1+rvanilla04)^0.5)/A11stdlife))</f>
        <v>0</v>
      </c>
      <c r="BG211" s="107">
        <f>IF(A11stdlife="n/a","n/a",IF(BG$3&gt;(A11stdlife+$E211),('PTRM input'!$J$153*(1+rvanilla04)^0.5)-SUM($J211:BF211),('PTRM input'!$J$153*(1+rvanilla04)^0.5)/A11stdlife))</f>
        <v>0</v>
      </c>
      <c r="BH211" s="107">
        <f>IF(A11stdlife="n/a","n/a",IF(BH$3&gt;(A11stdlife+$E211),('PTRM input'!$J$153*(1+rvanilla04)^0.5)-SUM($J211:BG211),('PTRM input'!$J$153*(1+rvanilla04)^0.5)/A11stdlife))</f>
        <v>0</v>
      </c>
      <c r="BI211" s="107">
        <f>IF(A11stdlife="n/a","n/a",IF(BI$3&gt;(A11stdlife+$E211),('PTRM input'!$J$153*(1+rvanilla04)^0.5)-SUM($J211:BH211),('PTRM input'!$J$153*(1+rvanilla04)^0.5)/A11stdlife))</f>
        <v>0</v>
      </c>
      <c r="BJ211" s="237"/>
      <c r="BK211" s="237"/>
      <c r="BL211" s="237"/>
      <c r="BM211" s="237"/>
    </row>
    <row r="212" spans="1:65" s="190" customFormat="1" hidden="1" outlineLevel="2">
      <c r="A212" s="237"/>
      <c r="B212" s="33"/>
      <c r="C212" s="32"/>
      <c r="D212" s="1618"/>
      <c r="E212" s="169">
        <v>5</v>
      </c>
      <c r="F212" s="35"/>
      <c r="G212" s="184"/>
      <c r="H212" s="186"/>
      <c r="I212" s="186"/>
      <c r="J212" s="186"/>
      <c r="K212" s="185"/>
      <c r="L212" s="107">
        <f>IF(A11stdlife="n/a","n/a",IF(L$3&gt;(A11stdlife+$E212),('PTRM input'!$K$153*(1+rvanilla05)^0.5)-SUM($K212:K212),('PTRM input'!$K$153*(1+rvanilla05)^0.5)/A11stdlife))</f>
        <v>0</v>
      </c>
      <c r="M212" s="107">
        <f>IF(A11stdlife="n/a","n/a",IF(M$3&gt;(A11stdlife+$E212),('PTRM input'!$K$153*(1+rvanilla05)^0.5)-SUM($K212:L212),('PTRM input'!$K$153*(1+rvanilla05)^0.5)/A11stdlife))</f>
        <v>0</v>
      </c>
      <c r="N212" s="107">
        <f>IF(A11stdlife="n/a","n/a",IF(N$3&gt;(A11stdlife+$E212),('PTRM input'!$K$153*(1+rvanilla05)^0.5)-SUM($K212:M212),('PTRM input'!$K$153*(1+rvanilla05)^0.5)/A11stdlife))</f>
        <v>0</v>
      </c>
      <c r="O212" s="107">
        <f>IF(A11stdlife="n/a","n/a",IF(O$3&gt;(A11stdlife+$E212),('PTRM input'!$K$153*(1+rvanilla05)^0.5)-SUM($K212:N212),('PTRM input'!$K$153*(1+rvanilla05)^0.5)/A11stdlife))</f>
        <v>0</v>
      </c>
      <c r="P212" s="107">
        <f>IF(A11stdlife="n/a","n/a",IF(P$3&gt;(A11stdlife+$E212),('PTRM input'!$K$153*(1+rvanilla05)^0.5)-SUM($K212:O212),('PTRM input'!$K$153*(1+rvanilla05)^0.5)/A11stdlife))</f>
        <v>0</v>
      </c>
      <c r="Q212" s="107">
        <f>IF(A11stdlife="n/a","n/a",IF(Q$3&gt;(A11stdlife+$E212),('PTRM input'!$K$153*(1+rvanilla05)^0.5)-SUM($K212:P212),('PTRM input'!$K$153*(1+rvanilla05)^0.5)/A11stdlife))</f>
        <v>0</v>
      </c>
      <c r="R212" s="107">
        <f>IF(A11stdlife="n/a","n/a",IF(R$3&gt;(A11stdlife+$E212),('PTRM input'!$K$153*(1+rvanilla05)^0.5)-SUM($K212:Q212),('PTRM input'!$K$153*(1+rvanilla05)^0.5)/A11stdlife))</f>
        <v>0</v>
      </c>
      <c r="S212" s="107">
        <f>IF(A11stdlife="n/a","n/a",IF(S$3&gt;(A11stdlife+$E212),('PTRM input'!$K$153*(1+rvanilla05)^0.5)-SUM($K212:R212),('PTRM input'!$K$153*(1+rvanilla05)^0.5)/A11stdlife))</f>
        <v>0</v>
      </c>
      <c r="T212" s="107">
        <f>IF(A11stdlife="n/a","n/a",IF(T$3&gt;(A11stdlife+$E212),('PTRM input'!$K$153*(1+rvanilla05)^0.5)-SUM($K212:S212),('PTRM input'!$K$153*(1+rvanilla05)^0.5)/A11stdlife))</f>
        <v>0</v>
      </c>
      <c r="U212" s="107">
        <f>IF(A11stdlife="n/a","n/a",IF(U$3&gt;(A11stdlife+$E212),('PTRM input'!$K$153*(1+rvanilla05)^0.5)-SUM($K212:T212),('PTRM input'!$K$153*(1+rvanilla05)^0.5)/A11stdlife))</f>
        <v>0</v>
      </c>
      <c r="V212" s="107">
        <f>IF(A11stdlife="n/a","n/a",IF(V$3&gt;(A11stdlife+$E212),('PTRM input'!$K$153*(1+rvanilla05)^0.5)-SUM($K212:U212),('PTRM input'!$K$153*(1+rvanilla05)^0.5)/A11stdlife))</f>
        <v>0</v>
      </c>
      <c r="W212" s="107">
        <f>IF(A11stdlife="n/a","n/a",IF(W$3&gt;(A11stdlife+$E212),('PTRM input'!$K$153*(1+rvanilla05)^0.5)-SUM($K212:V212),('PTRM input'!$K$153*(1+rvanilla05)^0.5)/A11stdlife))</f>
        <v>0</v>
      </c>
      <c r="X212" s="107">
        <f>IF(A11stdlife="n/a","n/a",IF(X$3&gt;(A11stdlife+$E212),('PTRM input'!$K$153*(1+rvanilla05)^0.5)-SUM($K212:W212),('PTRM input'!$K$153*(1+rvanilla05)^0.5)/A11stdlife))</f>
        <v>0</v>
      </c>
      <c r="Y212" s="107">
        <f>IF(A11stdlife="n/a","n/a",IF(Y$3&gt;(A11stdlife+$E212),('PTRM input'!$K$153*(1+rvanilla05)^0.5)-SUM($K212:X212),('PTRM input'!$K$153*(1+rvanilla05)^0.5)/A11stdlife))</f>
        <v>0</v>
      </c>
      <c r="Z212" s="107">
        <f>IF(A11stdlife="n/a","n/a",IF(Z$3&gt;(A11stdlife+$E212),('PTRM input'!$K$153*(1+rvanilla05)^0.5)-SUM($K212:Y212),('PTRM input'!$K$153*(1+rvanilla05)^0.5)/A11stdlife))</f>
        <v>0</v>
      </c>
      <c r="AA212" s="107">
        <f>IF(A11stdlife="n/a","n/a",IF(AA$3&gt;(A11stdlife+$E212),('PTRM input'!$K$153*(1+rvanilla05)^0.5)-SUM($K212:Z212),('PTRM input'!$K$153*(1+rvanilla05)^0.5)/A11stdlife))</f>
        <v>0</v>
      </c>
      <c r="AB212" s="107">
        <f>IF(A11stdlife="n/a","n/a",IF(AB$3&gt;(A11stdlife+$E212),('PTRM input'!$K$153*(1+rvanilla05)^0.5)-SUM($K212:AA212),('PTRM input'!$K$153*(1+rvanilla05)^0.5)/A11stdlife))</f>
        <v>0</v>
      </c>
      <c r="AC212" s="107">
        <f>IF(A11stdlife="n/a","n/a",IF(AC$3&gt;(A11stdlife+$E212),('PTRM input'!$K$153*(1+rvanilla05)^0.5)-SUM($K212:AB212),('PTRM input'!$K$153*(1+rvanilla05)^0.5)/A11stdlife))</f>
        <v>0</v>
      </c>
      <c r="AD212" s="107">
        <f>IF(A11stdlife="n/a","n/a",IF(AD$3&gt;(A11stdlife+$E212),('PTRM input'!$K$153*(1+rvanilla05)^0.5)-SUM($K212:AC212),('PTRM input'!$K$153*(1+rvanilla05)^0.5)/A11stdlife))</f>
        <v>0</v>
      </c>
      <c r="AE212" s="107">
        <f>IF(A11stdlife="n/a","n/a",IF(AE$3&gt;(A11stdlife+$E212),('PTRM input'!$K$153*(1+rvanilla05)^0.5)-SUM($K212:AD212),('PTRM input'!$K$153*(1+rvanilla05)^0.5)/A11stdlife))</f>
        <v>0</v>
      </c>
      <c r="AF212" s="107">
        <f>IF(A11stdlife="n/a","n/a",IF(AF$3&gt;(A11stdlife+$E212),('PTRM input'!$K$153*(1+rvanilla05)^0.5)-SUM($K212:AE212),('PTRM input'!$K$153*(1+rvanilla05)^0.5)/A11stdlife))</f>
        <v>0</v>
      </c>
      <c r="AG212" s="107">
        <f>IF(A11stdlife="n/a","n/a",IF(AG$3&gt;(A11stdlife+$E212),('PTRM input'!$K$153*(1+rvanilla05)^0.5)-SUM($K212:AF212),('PTRM input'!$K$153*(1+rvanilla05)^0.5)/A11stdlife))</f>
        <v>0</v>
      </c>
      <c r="AH212" s="107">
        <f>IF(A11stdlife="n/a","n/a",IF(AH$3&gt;(A11stdlife+$E212),('PTRM input'!$K$153*(1+rvanilla05)^0.5)-SUM($K212:AG212),('PTRM input'!$K$153*(1+rvanilla05)^0.5)/A11stdlife))</f>
        <v>0</v>
      </c>
      <c r="AI212" s="107">
        <f>IF(A11stdlife="n/a","n/a",IF(AI$3&gt;(A11stdlife+$E212),('PTRM input'!$K$153*(1+rvanilla05)^0.5)-SUM($K212:AH212),('PTRM input'!$K$153*(1+rvanilla05)^0.5)/A11stdlife))</f>
        <v>0</v>
      </c>
      <c r="AJ212" s="107">
        <f>IF(A11stdlife="n/a","n/a",IF(AJ$3&gt;(A11stdlife+$E212),('PTRM input'!$K$153*(1+rvanilla05)^0.5)-SUM($K212:AI212),('PTRM input'!$K$153*(1+rvanilla05)^0.5)/A11stdlife))</f>
        <v>0</v>
      </c>
      <c r="AK212" s="107">
        <f>IF(A11stdlife="n/a","n/a",IF(AK$3&gt;(A11stdlife+$E212),('PTRM input'!$K$153*(1+rvanilla05)^0.5)-SUM($K212:AJ212),('PTRM input'!$K$153*(1+rvanilla05)^0.5)/A11stdlife))</f>
        <v>0</v>
      </c>
      <c r="AL212" s="107">
        <f>IF(A11stdlife="n/a","n/a",IF(AL$3&gt;(A11stdlife+$E212),('PTRM input'!$K$153*(1+rvanilla05)^0.5)-SUM($K212:AK212),('PTRM input'!$K$153*(1+rvanilla05)^0.5)/A11stdlife))</f>
        <v>0</v>
      </c>
      <c r="AM212" s="107">
        <f>IF(A11stdlife="n/a","n/a",IF(AM$3&gt;(A11stdlife+$E212),('PTRM input'!$K$153*(1+rvanilla05)^0.5)-SUM($K212:AL212),('PTRM input'!$K$153*(1+rvanilla05)^0.5)/A11stdlife))</f>
        <v>0</v>
      </c>
      <c r="AN212" s="107">
        <f>IF(A11stdlife="n/a","n/a",IF(AN$3&gt;(A11stdlife+$E212),('PTRM input'!$K$153*(1+rvanilla05)^0.5)-SUM($K212:AM212),('PTRM input'!$K$153*(1+rvanilla05)^0.5)/A11stdlife))</f>
        <v>0</v>
      </c>
      <c r="AO212" s="107">
        <f>IF(A11stdlife="n/a","n/a",IF(AO$3&gt;(A11stdlife+$E212),('PTRM input'!$K$153*(1+rvanilla05)^0.5)-SUM($K212:AN212),('PTRM input'!$K$153*(1+rvanilla05)^0.5)/A11stdlife))</f>
        <v>0</v>
      </c>
      <c r="AP212" s="107">
        <f>IF(A11stdlife="n/a","n/a",IF(AP$3&gt;(A11stdlife+$E212),('PTRM input'!$K$153*(1+rvanilla05)^0.5)-SUM($K212:AO212),('PTRM input'!$K$153*(1+rvanilla05)^0.5)/A11stdlife))</f>
        <v>0</v>
      </c>
      <c r="AQ212" s="107">
        <f>IF(A11stdlife="n/a","n/a",IF(AQ$3&gt;(A11stdlife+$E212),('PTRM input'!$K$153*(1+rvanilla05)^0.5)-SUM($K212:AP212),('PTRM input'!$K$153*(1+rvanilla05)^0.5)/A11stdlife))</f>
        <v>0</v>
      </c>
      <c r="AR212" s="107">
        <f>IF(A11stdlife="n/a","n/a",IF(AR$3&gt;(A11stdlife+$E212),('PTRM input'!$K$153*(1+rvanilla05)^0.5)-SUM($K212:AQ212),('PTRM input'!$K$153*(1+rvanilla05)^0.5)/A11stdlife))</f>
        <v>0</v>
      </c>
      <c r="AS212" s="107">
        <f>IF(A11stdlife="n/a","n/a",IF(AS$3&gt;(A11stdlife+$E212),('PTRM input'!$K$153*(1+rvanilla05)^0.5)-SUM($K212:AR212),('PTRM input'!$K$153*(1+rvanilla05)^0.5)/A11stdlife))</f>
        <v>0</v>
      </c>
      <c r="AT212" s="107">
        <f>IF(A11stdlife="n/a","n/a",IF(AT$3&gt;(A11stdlife+$E212),('PTRM input'!$K$153*(1+rvanilla05)^0.5)-SUM($K212:AS212),('PTRM input'!$K$153*(1+rvanilla05)^0.5)/A11stdlife))</f>
        <v>0</v>
      </c>
      <c r="AU212" s="107">
        <f>IF(A11stdlife="n/a","n/a",IF(AU$3&gt;(A11stdlife+$E212),('PTRM input'!$K$153*(1+rvanilla05)^0.5)-SUM($K212:AT212),('PTRM input'!$K$153*(1+rvanilla05)^0.5)/A11stdlife))</f>
        <v>0</v>
      </c>
      <c r="AV212" s="107">
        <f>IF(A11stdlife="n/a","n/a",IF(AV$3&gt;(A11stdlife+$E212),('PTRM input'!$K$153*(1+rvanilla05)^0.5)-SUM($K212:AU212),('PTRM input'!$K$153*(1+rvanilla05)^0.5)/A11stdlife))</f>
        <v>0</v>
      </c>
      <c r="AW212" s="107">
        <f>IF(A11stdlife="n/a","n/a",IF(AW$3&gt;(A11stdlife+$E212),('PTRM input'!$K$153*(1+rvanilla05)^0.5)-SUM($K212:AV212),('PTRM input'!$K$153*(1+rvanilla05)^0.5)/A11stdlife))</f>
        <v>0</v>
      </c>
      <c r="AX212" s="107">
        <f>IF(A11stdlife="n/a","n/a",IF(AX$3&gt;(A11stdlife+$E212),('PTRM input'!$K$153*(1+rvanilla05)^0.5)-SUM($K212:AW212),('PTRM input'!$K$153*(1+rvanilla05)^0.5)/A11stdlife))</f>
        <v>0</v>
      </c>
      <c r="AY212" s="107">
        <f>IF(A11stdlife="n/a","n/a",IF(AY$3&gt;(A11stdlife+$E212),('PTRM input'!$K$153*(1+rvanilla05)^0.5)-SUM($K212:AX212),('PTRM input'!$K$153*(1+rvanilla05)^0.5)/A11stdlife))</f>
        <v>0</v>
      </c>
      <c r="AZ212" s="107">
        <f>IF(A11stdlife="n/a","n/a",IF(AZ$3&gt;(A11stdlife+$E212),('PTRM input'!$K$153*(1+rvanilla05)^0.5)-SUM($K212:AY212),('PTRM input'!$K$153*(1+rvanilla05)^0.5)/A11stdlife))</f>
        <v>0</v>
      </c>
      <c r="BA212" s="107">
        <f>IF(A11stdlife="n/a","n/a",IF(BA$3&gt;(A11stdlife+$E212),('PTRM input'!$K$153*(1+rvanilla05)^0.5)-SUM($K212:AZ212),('PTRM input'!$K$153*(1+rvanilla05)^0.5)/A11stdlife))</f>
        <v>0</v>
      </c>
      <c r="BB212" s="107">
        <f>IF(A11stdlife="n/a","n/a",IF(BB$3&gt;(A11stdlife+$E212),('PTRM input'!$K$153*(1+rvanilla05)^0.5)-SUM($K212:BA212),('PTRM input'!$K$153*(1+rvanilla05)^0.5)/A11stdlife))</f>
        <v>0</v>
      </c>
      <c r="BC212" s="107">
        <f>IF(A11stdlife="n/a","n/a",IF(BC$3&gt;(A11stdlife+$E212),('PTRM input'!$K$153*(1+rvanilla05)^0.5)-SUM($K212:BB212),('PTRM input'!$K$153*(1+rvanilla05)^0.5)/A11stdlife))</f>
        <v>0</v>
      </c>
      <c r="BD212" s="107">
        <f>IF(A11stdlife="n/a","n/a",IF(BD$3&gt;(A11stdlife+$E212),('PTRM input'!$K$153*(1+rvanilla05)^0.5)-SUM($K212:BC212),('PTRM input'!$K$153*(1+rvanilla05)^0.5)/A11stdlife))</f>
        <v>0</v>
      </c>
      <c r="BE212" s="107">
        <f>IF(A11stdlife="n/a","n/a",IF(BE$3&gt;(A11stdlife+$E212),('PTRM input'!$K$153*(1+rvanilla05)^0.5)-SUM($K212:BD212),('PTRM input'!$K$153*(1+rvanilla05)^0.5)/A11stdlife))</f>
        <v>0</v>
      </c>
      <c r="BF212" s="107">
        <f>IF(A11stdlife="n/a","n/a",IF(BF$3&gt;(A11stdlife+$E212),('PTRM input'!$K$153*(1+rvanilla05)^0.5)-SUM($K212:BE212),('PTRM input'!$K$153*(1+rvanilla05)^0.5)/A11stdlife))</f>
        <v>0</v>
      </c>
      <c r="BG212" s="107">
        <f>IF(A11stdlife="n/a","n/a",IF(BG$3&gt;(A11stdlife+$E212),('PTRM input'!$K$153*(1+rvanilla05)^0.5)-SUM($K212:BF212),('PTRM input'!$K$153*(1+rvanilla05)^0.5)/A11stdlife))</f>
        <v>0</v>
      </c>
      <c r="BH212" s="107">
        <f>IF(A11stdlife="n/a","n/a",IF(BH$3&gt;(A11stdlife+$E212),('PTRM input'!$K$153*(1+rvanilla05)^0.5)-SUM($K212:BG212),('PTRM input'!$K$153*(1+rvanilla05)^0.5)/A11stdlife))</f>
        <v>0</v>
      </c>
      <c r="BI212" s="107">
        <f>IF(A11stdlife="n/a","n/a",IF(BI$3&gt;(A11stdlife+$E212),('PTRM input'!$K$153*(1+rvanilla05)^0.5)-SUM($K212:BH212),('PTRM input'!$K$153*(1+rvanilla05)^0.5)/A11stdlife))</f>
        <v>0</v>
      </c>
      <c r="BJ212" s="237"/>
      <c r="BK212" s="237"/>
      <c r="BL212" s="237"/>
      <c r="BM212" s="237"/>
    </row>
    <row r="213" spans="1:65" s="190" customFormat="1" hidden="1" outlineLevel="2">
      <c r="A213" s="237"/>
      <c r="B213" s="33"/>
      <c r="C213" s="32"/>
      <c r="D213" s="1618"/>
      <c r="E213" s="169">
        <v>6</v>
      </c>
      <c r="F213" s="35"/>
      <c r="G213" s="184"/>
      <c r="H213" s="186"/>
      <c r="I213" s="186"/>
      <c r="J213" s="186"/>
      <c r="K213" s="186"/>
      <c r="L213" s="185"/>
      <c r="M213" s="107">
        <f>IF(A11stdlife="n/a","n/a",IF(M$3&gt;(A11stdlife+$E213),('PTRM input'!$L$153*(1+rvanilla06)^0.5)-SUM($L213:L213),('PTRM input'!$L$153*(1+rvanilla06)^0.5)/A11stdlife))</f>
        <v>0</v>
      </c>
      <c r="N213" s="107">
        <f>IF(A11stdlife="n/a","n/a",IF(N$3&gt;(A11stdlife+$E213),('PTRM input'!$L$153*(1+rvanilla06)^0.5)-SUM($L213:M213),('PTRM input'!$L$153*(1+rvanilla06)^0.5)/A11stdlife))</f>
        <v>0</v>
      </c>
      <c r="O213" s="107">
        <f>IF(A11stdlife="n/a","n/a",IF(O$3&gt;(A11stdlife+$E213),('PTRM input'!$L$153*(1+rvanilla06)^0.5)-SUM($L213:N213),('PTRM input'!$L$153*(1+rvanilla06)^0.5)/A11stdlife))</f>
        <v>0</v>
      </c>
      <c r="P213" s="107">
        <f>IF(A11stdlife="n/a","n/a",IF(P$3&gt;(A11stdlife+$E213),('PTRM input'!$L$153*(1+rvanilla06)^0.5)-SUM($L213:O213),('PTRM input'!$L$153*(1+rvanilla06)^0.5)/A11stdlife))</f>
        <v>0</v>
      </c>
      <c r="Q213" s="107">
        <f>IF(A11stdlife="n/a","n/a",IF(Q$3&gt;(A11stdlife+$E213),('PTRM input'!$L$153*(1+rvanilla06)^0.5)-SUM($L213:P213),('PTRM input'!$L$153*(1+rvanilla06)^0.5)/A11stdlife))</f>
        <v>0</v>
      </c>
      <c r="R213" s="107">
        <f>IF(A11stdlife="n/a","n/a",IF(R$3&gt;(A11stdlife+$E213),('PTRM input'!$L$153*(1+rvanilla06)^0.5)-SUM($L213:Q213),('PTRM input'!$L$153*(1+rvanilla06)^0.5)/A11stdlife))</f>
        <v>0</v>
      </c>
      <c r="S213" s="107">
        <f>IF(A11stdlife="n/a","n/a",IF(S$3&gt;(A11stdlife+$E213),('PTRM input'!$L$153*(1+rvanilla06)^0.5)-SUM($L213:R213),('PTRM input'!$L$153*(1+rvanilla06)^0.5)/A11stdlife))</f>
        <v>0</v>
      </c>
      <c r="T213" s="107">
        <f>IF(A11stdlife="n/a","n/a",IF(T$3&gt;(A11stdlife+$E213),('PTRM input'!$L$153*(1+rvanilla06)^0.5)-SUM($L213:S213),('PTRM input'!$L$153*(1+rvanilla06)^0.5)/A11stdlife))</f>
        <v>0</v>
      </c>
      <c r="U213" s="107">
        <f>IF(A11stdlife="n/a","n/a",IF(U$3&gt;(A11stdlife+$E213),('PTRM input'!$L$153*(1+rvanilla06)^0.5)-SUM($L213:T213),('PTRM input'!$L$153*(1+rvanilla06)^0.5)/A11stdlife))</f>
        <v>0</v>
      </c>
      <c r="V213" s="107">
        <f>IF(A11stdlife="n/a","n/a",IF(V$3&gt;(A11stdlife+$E213),('PTRM input'!$L$153*(1+rvanilla06)^0.5)-SUM($L213:U213),('PTRM input'!$L$153*(1+rvanilla06)^0.5)/A11stdlife))</f>
        <v>0</v>
      </c>
      <c r="W213" s="107">
        <f>IF(A11stdlife="n/a","n/a",IF(W$3&gt;(A11stdlife+$E213),('PTRM input'!$L$153*(1+rvanilla06)^0.5)-SUM($L213:V213),('PTRM input'!$L$153*(1+rvanilla06)^0.5)/A11stdlife))</f>
        <v>0</v>
      </c>
      <c r="X213" s="107">
        <f>IF(A11stdlife="n/a","n/a",IF(X$3&gt;(A11stdlife+$E213),('PTRM input'!$L$153*(1+rvanilla06)^0.5)-SUM($L213:W213),('PTRM input'!$L$153*(1+rvanilla06)^0.5)/A11stdlife))</f>
        <v>0</v>
      </c>
      <c r="Y213" s="107">
        <f>IF(A11stdlife="n/a","n/a",IF(Y$3&gt;(A11stdlife+$E213),('PTRM input'!$L$153*(1+rvanilla06)^0.5)-SUM($L213:X213),('PTRM input'!$L$153*(1+rvanilla06)^0.5)/A11stdlife))</f>
        <v>0</v>
      </c>
      <c r="Z213" s="107">
        <f>IF(A11stdlife="n/a","n/a",IF(Z$3&gt;(A11stdlife+$E213),('PTRM input'!$L$153*(1+rvanilla06)^0.5)-SUM($L213:Y213),('PTRM input'!$L$153*(1+rvanilla06)^0.5)/A11stdlife))</f>
        <v>0</v>
      </c>
      <c r="AA213" s="107">
        <f>IF(A11stdlife="n/a","n/a",IF(AA$3&gt;(A11stdlife+$E213),('PTRM input'!$L$153*(1+rvanilla06)^0.5)-SUM($L213:Z213),('PTRM input'!$L$153*(1+rvanilla06)^0.5)/A11stdlife))</f>
        <v>0</v>
      </c>
      <c r="AB213" s="107">
        <f>IF(A11stdlife="n/a","n/a",IF(AB$3&gt;(A11stdlife+$E213),('PTRM input'!$L$153*(1+rvanilla06)^0.5)-SUM($L213:AA213),('PTRM input'!$L$153*(1+rvanilla06)^0.5)/A11stdlife))</f>
        <v>0</v>
      </c>
      <c r="AC213" s="107">
        <f>IF(A11stdlife="n/a","n/a",IF(AC$3&gt;(A11stdlife+$E213),('PTRM input'!$L$153*(1+rvanilla06)^0.5)-SUM($L213:AB213),('PTRM input'!$L$153*(1+rvanilla06)^0.5)/A11stdlife))</f>
        <v>0</v>
      </c>
      <c r="AD213" s="107">
        <f>IF(A11stdlife="n/a","n/a",IF(AD$3&gt;(A11stdlife+$E213),('PTRM input'!$L$153*(1+rvanilla06)^0.5)-SUM($L213:AC213),('PTRM input'!$L$153*(1+rvanilla06)^0.5)/A11stdlife))</f>
        <v>0</v>
      </c>
      <c r="AE213" s="107">
        <f>IF(A11stdlife="n/a","n/a",IF(AE$3&gt;(A11stdlife+$E213),('PTRM input'!$L$153*(1+rvanilla06)^0.5)-SUM($L213:AD213),('PTRM input'!$L$153*(1+rvanilla06)^0.5)/A11stdlife))</f>
        <v>0</v>
      </c>
      <c r="AF213" s="107">
        <f>IF(A11stdlife="n/a","n/a",IF(AF$3&gt;(A11stdlife+$E213),('PTRM input'!$L$153*(1+rvanilla06)^0.5)-SUM($L213:AE213),('PTRM input'!$L$153*(1+rvanilla06)^0.5)/A11stdlife))</f>
        <v>0</v>
      </c>
      <c r="AG213" s="107">
        <f>IF(A11stdlife="n/a","n/a",IF(AG$3&gt;(A11stdlife+$E213),('PTRM input'!$L$153*(1+rvanilla06)^0.5)-SUM($L213:AF213),('PTRM input'!$L$153*(1+rvanilla06)^0.5)/A11stdlife))</f>
        <v>0</v>
      </c>
      <c r="AH213" s="107">
        <f>IF(A11stdlife="n/a","n/a",IF(AH$3&gt;(A11stdlife+$E213),('PTRM input'!$L$153*(1+rvanilla06)^0.5)-SUM($L213:AG213),('PTRM input'!$L$153*(1+rvanilla06)^0.5)/A11stdlife))</f>
        <v>0</v>
      </c>
      <c r="AI213" s="107">
        <f>IF(A11stdlife="n/a","n/a",IF(AI$3&gt;(A11stdlife+$E213),('PTRM input'!$L$153*(1+rvanilla06)^0.5)-SUM($L213:AH213),('PTRM input'!$L$153*(1+rvanilla06)^0.5)/A11stdlife))</f>
        <v>0</v>
      </c>
      <c r="AJ213" s="107">
        <f>IF(A11stdlife="n/a","n/a",IF(AJ$3&gt;(A11stdlife+$E213),('PTRM input'!$L$153*(1+rvanilla06)^0.5)-SUM($L213:AI213),('PTRM input'!$L$153*(1+rvanilla06)^0.5)/A11stdlife))</f>
        <v>0</v>
      </c>
      <c r="AK213" s="107">
        <f>IF(A11stdlife="n/a","n/a",IF(AK$3&gt;(A11stdlife+$E213),('PTRM input'!$L$153*(1+rvanilla06)^0.5)-SUM($L213:AJ213),('PTRM input'!$L$153*(1+rvanilla06)^0.5)/A11stdlife))</f>
        <v>0</v>
      </c>
      <c r="AL213" s="107">
        <f>IF(A11stdlife="n/a","n/a",IF(AL$3&gt;(A11stdlife+$E213),('PTRM input'!$L$153*(1+rvanilla06)^0.5)-SUM($L213:AK213),('PTRM input'!$L$153*(1+rvanilla06)^0.5)/A11stdlife))</f>
        <v>0</v>
      </c>
      <c r="AM213" s="107">
        <f>IF(A11stdlife="n/a","n/a",IF(AM$3&gt;(A11stdlife+$E213),('PTRM input'!$L$153*(1+rvanilla06)^0.5)-SUM($L213:AL213),('PTRM input'!$L$153*(1+rvanilla06)^0.5)/A11stdlife))</f>
        <v>0</v>
      </c>
      <c r="AN213" s="107">
        <f>IF(A11stdlife="n/a","n/a",IF(AN$3&gt;(A11stdlife+$E213),('PTRM input'!$L$153*(1+rvanilla06)^0.5)-SUM($L213:AM213),('PTRM input'!$L$153*(1+rvanilla06)^0.5)/A11stdlife))</f>
        <v>0</v>
      </c>
      <c r="AO213" s="107">
        <f>IF(A11stdlife="n/a","n/a",IF(AO$3&gt;(A11stdlife+$E213),('PTRM input'!$L$153*(1+rvanilla06)^0.5)-SUM($L213:AN213),('PTRM input'!$L$153*(1+rvanilla06)^0.5)/A11stdlife))</f>
        <v>0</v>
      </c>
      <c r="AP213" s="107">
        <f>IF(A11stdlife="n/a","n/a",IF(AP$3&gt;(A11stdlife+$E213),('PTRM input'!$L$153*(1+rvanilla06)^0.5)-SUM($L213:AO213),('PTRM input'!$L$153*(1+rvanilla06)^0.5)/A11stdlife))</f>
        <v>0</v>
      </c>
      <c r="AQ213" s="107">
        <f>IF(A11stdlife="n/a","n/a",IF(AQ$3&gt;(A11stdlife+$E213),('PTRM input'!$L$153*(1+rvanilla06)^0.5)-SUM($L213:AP213),('PTRM input'!$L$153*(1+rvanilla06)^0.5)/A11stdlife))</f>
        <v>0</v>
      </c>
      <c r="AR213" s="107">
        <f>IF(A11stdlife="n/a","n/a",IF(AR$3&gt;(A11stdlife+$E213),('PTRM input'!$L$153*(1+rvanilla06)^0.5)-SUM($L213:AQ213),('PTRM input'!$L$153*(1+rvanilla06)^0.5)/A11stdlife))</f>
        <v>0</v>
      </c>
      <c r="AS213" s="107">
        <f>IF(A11stdlife="n/a","n/a",IF(AS$3&gt;(A11stdlife+$E213),('PTRM input'!$L$153*(1+rvanilla06)^0.5)-SUM($L213:AR213),('PTRM input'!$L$153*(1+rvanilla06)^0.5)/A11stdlife))</f>
        <v>0</v>
      </c>
      <c r="AT213" s="107">
        <f>IF(A11stdlife="n/a","n/a",IF(AT$3&gt;(A11stdlife+$E213),('PTRM input'!$L$153*(1+rvanilla06)^0.5)-SUM($L213:AS213),('PTRM input'!$L$153*(1+rvanilla06)^0.5)/A11stdlife))</f>
        <v>0</v>
      </c>
      <c r="AU213" s="107">
        <f>IF(A11stdlife="n/a","n/a",IF(AU$3&gt;(A11stdlife+$E213),('PTRM input'!$L$153*(1+rvanilla06)^0.5)-SUM($L213:AT213),('PTRM input'!$L$153*(1+rvanilla06)^0.5)/A11stdlife))</f>
        <v>0</v>
      </c>
      <c r="AV213" s="107">
        <f>IF(A11stdlife="n/a","n/a",IF(AV$3&gt;(A11stdlife+$E213),('PTRM input'!$L$153*(1+rvanilla06)^0.5)-SUM($L213:AU213),('PTRM input'!$L$153*(1+rvanilla06)^0.5)/A11stdlife))</f>
        <v>0</v>
      </c>
      <c r="AW213" s="107">
        <f>IF(A11stdlife="n/a","n/a",IF(AW$3&gt;(A11stdlife+$E213),('PTRM input'!$L$153*(1+rvanilla06)^0.5)-SUM($L213:AV213),('PTRM input'!$L$153*(1+rvanilla06)^0.5)/A11stdlife))</f>
        <v>0</v>
      </c>
      <c r="AX213" s="107">
        <f>IF(A11stdlife="n/a","n/a",IF(AX$3&gt;(A11stdlife+$E213),('PTRM input'!$L$153*(1+rvanilla06)^0.5)-SUM($L213:AW213),('PTRM input'!$L$153*(1+rvanilla06)^0.5)/A11stdlife))</f>
        <v>0</v>
      </c>
      <c r="AY213" s="107">
        <f>IF(A11stdlife="n/a","n/a",IF(AY$3&gt;(A11stdlife+$E213),('PTRM input'!$L$153*(1+rvanilla06)^0.5)-SUM($L213:AX213),('PTRM input'!$L$153*(1+rvanilla06)^0.5)/A11stdlife))</f>
        <v>0</v>
      </c>
      <c r="AZ213" s="107">
        <f>IF(A11stdlife="n/a","n/a",IF(AZ$3&gt;(A11stdlife+$E213),('PTRM input'!$L$153*(1+rvanilla06)^0.5)-SUM($L213:AY213),('PTRM input'!$L$153*(1+rvanilla06)^0.5)/A11stdlife))</f>
        <v>0</v>
      </c>
      <c r="BA213" s="107">
        <f>IF(A11stdlife="n/a","n/a",IF(BA$3&gt;(A11stdlife+$E213),('PTRM input'!$L$153*(1+rvanilla06)^0.5)-SUM($L213:AZ213),('PTRM input'!$L$153*(1+rvanilla06)^0.5)/A11stdlife))</f>
        <v>0</v>
      </c>
      <c r="BB213" s="107">
        <f>IF(A11stdlife="n/a","n/a",IF(BB$3&gt;(A11stdlife+$E213),('PTRM input'!$L$153*(1+rvanilla06)^0.5)-SUM($L213:BA213),('PTRM input'!$L$153*(1+rvanilla06)^0.5)/A11stdlife))</f>
        <v>0</v>
      </c>
      <c r="BC213" s="107">
        <f>IF(A11stdlife="n/a","n/a",IF(BC$3&gt;(A11stdlife+$E213),('PTRM input'!$L$153*(1+rvanilla06)^0.5)-SUM($L213:BB213),('PTRM input'!$L$153*(1+rvanilla06)^0.5)/A11stdlife))</f>
        <v>0</v>
      </c>
      <c r="BD213" s="107">
        <f>IF(A11stdlife="n/a","n/a",IF(BD$3&gt;(A11stdlife+$E213),('PTRM input'!$L$153*(1+rvanilla06)^0.5)-SUM($L213:BC213),('PTRM input'!$L$153*(1+rvanilla06)^0.5)/A11stdlife))</f>
        <v>0</v>
      </c>
      <c r="BE213" s="107">
        <f>IF(A11stdlife="n/a","n/a",IF(BE$3&gt;(A11stdlife+$E213),('PTRM input'!$L$153*(1+rvanilla06)^0.5)-SUM($L213:BD213),('PTRM input'!$L$153*(1+rvanilla06)^0.5)/A11stdlife))</f>
        <v>0</v>
      </c>
      <c r="BF213" s="107">
        <f>IF(A11stdlife="n/a","n/a",IF(BF$3&gt;(A11stdlife+$E213),('PTRM input'!$L$153*(1+rvanilla06)^0.5)-SUM($L213:BE213),('PTRM input'!$L$153*(1+rvanilla06)^0.5)/A11stdlife))</f>
        <v>0</v>
      </c>
      <c r="BG213" s="107">
        <f>IF(A11stdlife="n/a","n/a",IF(BG$3&gt;(A11stdlife+$E213),('PTRM input'!$L$153*(1+rvanilla06)^0.5)-SUM($L213:BF213),('PTRM input'!$L$153*(1+rvanilla06)^0.5)/A11stdlife))</f>
        <v>0</v>
      </c>
      <c r="BH213" s="107">
        <f>IF(A11stdlife="n/a","n/a",IF(BH$3&gt;(A11stdlife+$E213),('PTRM input'!$L$153*(1+rvanilla06)^0.5)-SUM($L213:BG213),('PTRM input'!$L$153*(1+rvanilla06)^0.5)/A11stdlife))</f>
        <v>0</v>
      </c>
      <c r="BI213" s="107">
        <f>IF(A11stdlife="n/a","n/a",IF(BI$3&gt;(A11stdlife+$E213),('PTRM input'!$L$153*(1+rvanilla06)^0.5)-SUM($L213:BH213),('PTRM input'!$L$153*(1+rvanilla06)^0.5)/A11stdlife))</f>
        <v>0</v>
      </c>
      <c r="BJ213" s="237"/>
      <c r="BK213" s="237"/>
      <c r="BL213" s="237"/>
      <c r="BM213" s="237"/>
    </row>
    <row r="214" spans="1:65" s="190" customFormat="1" hidden="1" outlineLevel="2">
      <c r="A214" s="237"/>
      <c r="B214" s="33"/>
      <c r="C214" s="32"/>
      <c r="D214" s="1618"/>
      <c r="E214" s="169">
        <v>7</v>
      </c>
      <c r="F214" s="35"/>
      <c r="G214" s="184"/>
      <c r="H214" s="186"/>
      <c r="I214" s="186"/>
      <c r="J214" s="186"/>
      <c r="K214" s="186"/>
      <c r="L214" s="186"/>
      <c r="M214" s="185"/>
      <c r="N214" s="107">
        <f>IF(A11stdlife="n/a","n/a",IF(N$3&gt;(A11stdlife+$E214),('PTRM input'!$M$153*(1+rvanilla07)^0.5)-SUM($M214:M214),('PTRM input'!$M$153*(1+rvanilla07)^0.5)/A11stdlife))</f>
        <v>0</v>
      </c>
      <c r="O214" s="107">
        <f>IF(A11stdlife="n/a","n/a",IF(O$3&gt;(A11stdlife+$E214),('PTRM input'!$M$153*(1+rvanilla07)^0.5)-SUM($M214:N214),('PTRM input'!$M$153*(1+rvanilla07)^0.5)/A11stdlife))</f>
        <v>0</v>
      </c>
      <c r="P214" s="107">
        <f>IF(A11stdlife="n/a","n/a",IF(P$3&gt;(A11stdlife+$E214),('PTRM input'!$M$153*(1+rvanilla07)^0.5)-SUM($M214:O214),('PTRM input'!$M$153*(1+rvanilla07)^0.5)/A11stdlife))</f>
        <v>0</v>
      </c>
      <c r="Q214" s="107">
        <f>IF(A11stdlife="n/a","n/a",IF(Q$3&gt;(A11stdlife+$E214),('PTRM input'!$M$153*(1+rvanilla07)^0.5)-SUM($M214:P214),('PTRM input'!$M$153*(1+rvanilla07)^0.5)/A11stdlife))</f>
        <v>0</v>
      </c>
      <c r="R214" s="107">
        <f>IF(A11stdlife="n/a","n/a",IF(R$3&gt;(A11stdlife+$E214),('PTRM input'!$M$153*(1+rvanilla07)^0.5)-SUM($M214:Q214),('PTRM input'!$M$153*(1+rvanilla07)^0.5)/A11stdlife))</f>
        <v>0</v>
      </c>
      <c r="S214" s="107">
        <f>IF(A11stdlife="n/a","n/a",IF(S$3&gt;(A11stdlife+$E214),('PTRM input'!$M$153*(1+rvanilla07)^0.5)-SUM($M214:R214),('PTRM input'!$M$153*(1+rvanilla07)^0.5)/A11stdlife))</f>
        <v>0</v>
      </c>
      <c r="T214" s="107">
        <f>IF(A11stdlife="n/a","n/a",IF(T$3&gt;(A11stdlife+$E214),('PTRM input'!$M$153*(1+rvanilla07)^0.5)-SUM($M214:S214),('PTRM input'!$M$153*(1+rvanilla07)^0.5)/A11stdlife))</f>
        <v>0</v>
      </c>
      <c r="U214" s="107">
        <f>IF(A11stdlife="n/a","n/a",IF(U$3&gt;(A11stdlife+$E214),('PTRM input'!$M$153*(1+rvanilla07)^0.5)-SUM($M214:T214),('PTRM input'!$M$153*(1+rvanilla07)^0.5)/A11stdlife))</f>
        <v>0</v>
      </c>
      <c r="V214" s="107">
        <f>IF(A11stdlife="n/a","n/a",IF(V$3&gt;(A11stdlife+$E214),('PTRM input'!$M$153*(1+rvanilla07)^0.5)-SUM($M214:U214),('PTRM input'!$M$153*(1+rvanilla07)^0.5)/A11stdlife))</f>
        <v>0</v>
      </c>
      <c r="W214" s="107">
        <f>IF(A11stdlife="n/a","n/a",IF(W$3&gt;(A11stdlife+$E214),('PTRM input'!$M$153*(1+rvanilla07)^0.5)-SUM($M214:V214),('PTRM input'!$M$153*(1+rvanilla07)^0.5)/A11stdlife))</f>
        <v>0</v>
      </c>
      <c r="X214" s="107">
        <f>IF(A11stdlife="n/a","n/a",IF(X$3&gt;(A11stdlife+$E214),('PTRM input'!$M$153*(1+rvanilla07)^0.5)-SUM($M214:W214),('PTRM input'!$M$153*(1+rvanilla07)^0.5)/A11stdlife))</f>
        <v>0</v>
      </c>
      <c r="Y214" s="107">
        <f>IF(A11stdlife="n/a","n/a",IF(Y$3&gt;(A11stdlife+$E214),('PTRM input'!$M$153*(1+rvanilla07)^0.5)-SUM($M214:X214),('PTRM input'!$M$153*(1+rvanilla07)^0.5)/A11stdlife))</f>
        <v>0</v>
      </c>
      <c r="Z214" s="107">
        <f>IF(A11stdlife="n/a","n/a",IF(Z$3&gt;(A11stdlife+$E214),('PTRM input'!$M$153*(1+rvanilla07)^0.5)-SUM($M214:Y214),('PTRM input'!$M$153*(1+rvanilla07)^0.5)/A11stdlife))</f>
        <v>0</v>
      </c>
      <c r="AA214" s="107">
        <f>IF(A11stdlife="n/a","n/a",IF(AA$3&gt;(A11stdlife+$E214),('PTRM input'!$M$153*(1+rvanilla07)^0.5)-SUM($M214:Z214),('PTRM input'!$M$153*(1+rvanilla07)^0.5)/A11stdlife))</f>
        <v>0</v>
      </c>
      <c r="AB214" s="107">
        <f>IF(A11stdlife="n/a","n/a",IF(AB$3&gt;(A11stdlife+$E214),('PTRM input'!$M$153*(1+rvanilla07)^0.5)-SUM($M214:AA214),('PTRM input'!$M$153*(1+rvanilla07)^0.5)/A11stdlife))</f>
        <v>0</v>
      </c>
      <c r="AC214" s="107">
        <f>IF(A11stdlife="n/a","n/a",IF(AC$3&gt;(A11stdlife+$E214),('PTRM input'!$M$153*(1+rvanilla07)^0.5)-SUM($M214:AB214),('PTRM input'!$M$153*(1+rvanilla07)^0.5)/A11stdlife))</f>
        <v>0</v>
      </c>
      <c r="AD214" s="107">
        <f>IF(A11stdlife="n/a","n/a",IF(AD$3&gt;(A11stdlife+$E214),('PTRM input'!$M$153*(1+rvanilla07)^0.5)-SUM($M214:AC214),('PTRM input'!$M$153*(1+rvanilla07)^0.5)/A11stdlife))</f>
        <v>0</v>
      </c>
      <c r="AE214" s="107">
        <f>IF(A11stdlife="n/a","n/a",IF(AE$3&gt;(A11stdlife+$E214),('PTRM input'!$M$153*(1+rvanilla07)^0.5)-SUM($M214:AD214),('PTRM input'!$M$153*(1+rvanilla07)^0.5)/A11stdlife))</f>
        <v>0</v>
      </c>
      <c r="AF214" s="107">
        <f>IF(A11stdlife="n/a","n/a",IF(AF$3&gt;(A11stdlife+$E214),('PTRM input'!$M$153*(1+rvanilla07)^0.5)-SUM($M214:AE214),('PTRM input'!$M$153*(1+rvanilla07)^0.5)/A11stdlife))</f>
        <v>0</v>
      </c>
      <c r="AG214" s="107">
        <f>IF(A11stdlife="n/a","n/a",IF(AG$3&gt;(A11stdlife+$E214),('PTRM input'!$M$153*(1+rvanilla07)^0.5)-SUM($M214:AF214),('PTRM input'!$M$153*(1+rvanilla07)^0.5)/A11stdlife))</f>
        <v>0</v>
      </c>
      <c r="AH214" s="107">
        <f>IF(A11stdlife="n/a","n/a",IF(AH$3&gt;(A11stdlife+$E214),('PTRM input'!$M$153*(1+rvanilla07)^0.5)-SUM($M214:AG214),('PTRM input'!$M$153*(1+rvanilla07)^0.5)/A11stdlife))</f>
        <v>0</v>
      </c>
      <c r="AI214" s="107">
        <f>IF(A11stdlife="n/a","n/a",IF(AI$3&gt;(A11stdlife+$E214),('PTRM input'!$M$153*(1+rvanilla07)^0.5)-SUM($M214:AH214),('PTRM input'!$M$153*(1+rvanilla07)^0.5)/A11stdlife))</f>
        <v>0</v>
      </c>
      <c r="AJ214" s="107">
        <f>IF(A11stdlife="n/a","n/a",IF(AJ$3&gt;(A11stdlife+$E214),('PTRM input'!$M$153*(1+rvanilla07)^0.5)-SUM($M214:AI214),('PTRM input'!$M$153*(1+rvanilla07)^0.5)/A11stdlife))</f>
        <v>0</v>
      </c>
      <c r="AK214" s="107">
        <f>IF(A11stdlife="n/a","n/a",IF(AK$3&gt;(A11stdlife+$E214),('PTRM input'!$M$153*(1+rvanilla07)^0.5)-SUM($M214:AJ214),('PTRM input'!$M$153*(1+rvanilla07)^0.5)/A11stdlife))</f>
        <v>0</v>
      </c>
      <c r="AL214" s="107">
        <f>IF(A11stdlife="n/a","n/a",IF(AL$3&gt;(A11stdlife+$E214),('PTRM input'!$M$153*(1+rvanilla07)^0.5)-SUM($M214:AK214),('PTRM input'!$M$153*(1+rvanilla07)^0.5)/A11stdlife))</f>
        <v>0</v>
      </c>
      <c r="AM214" s="107">
        <f>IF(A11stdlife="n/a","n/a",IF(AM$3&gt;(A11stdlife+$E214),('PTRM input'!$M$153*(1+rvanilla07)^0.5)-SUM($M214:AL214),('PTRM input'!$M$153*(1+rvanilla07)^0.5)/A11stdlife))</f>
        <v>0</v>
      </c>
      <c r="AN214" s="107">
        <f>IF(A11stdlife="n/a","n/a",IF(AN$3&gt;(A11stdlife+$E214),('PTRM input'!$M$153*(1+rvanilla07)^0.5)-SUM($M214:AM214),('PTRM input'!$M$153*(1+rvanilla07)^0.5)/A11stdlife))</f>
        <v>0</v>
      </c>
      <c r="AO214" s="107">
        <f>IF(A11stdlife="n/a","n/a",IF(AO$3&gt;(A11stdlife+$E214),('PTRM input'!$M$153*(1+rvanilla07)^0.5)-SUM($M214:AN214),('PTRM input'!$M$153*(1+rvanilla07)^0.5)/A11stdlife))</f>
        <v>0</v>
      </c>
      <c r="AP214" s="107">
        <f>IF(A11stdlife="n/a","n/a",IF(AP$3&gt;(A11stdlife+$E214),('PTRM input'!$M$153*(1+rvanilla07)^0.5)-SUM($M214:AO214),('PTRM input'!$M$153*(1+rvanilla07)^0.5)/A11stdlife))</f>
        <v>0</v>
      </c>
      <c r="AQ214" s="107">
        <f>IF(A11stdlife="n/a","n/a",IF(AQ$3&gt;(A11stdlife+$E214),('PTRM input'!$M$153*(1+rvanilla07)^0.5)-SUM($M214:AP214),('PTRM input'!$M$153*(1+rvanilla07)^0.5)/A11stdlife))</f>
        <v>0</v>
      </c>
      <c r="AR214" s="107">
        <f>IF(A11stdlife="n/a","n/a",IF(AR$3&gt;(A11stdlife+$E214),('PTRM input'!$M$153*(1+rvanilla07)^0.5)-SUM($M214:AQ214),('PTRM input'!$M$153*(1+rvanilla07)^0.5)/A11stdlife))</f>
        <v>0</v>
      </c>
      <c r="AS214" s="107">
        <f>IF(A11stdlife="n/a","n/a",IF(AS$3&gt;(A11stdlife+$E214),('PTRM input'!$M$153*(1+rvanilla07)^0.5)-SUM($M214:AR214),('PTRM input'!$M$153*(1+rvanilla07)^0.5)/A11stdlife))</f>
        <v>0</v>
      </c>
      <c r="AT214" s="107">
        <f>IF(A11stdlife="n/a","n/a",IF(AT$3&gt;(A11stdlife+$E214),('PTRM input'!$M$153*(1+rvanilla07)^0.5)-SUM($M214:AS214),('PTRM input'!$M$153*(1+rvanilla07)^0.5)/A11stdlife))</f>
        <v>0</v>
      </c>
      <c r="AU214" s="107">
        <f>IF(A11stdlife="n/a","n/a",IF(AU$3&gt;(A11stdlife+$E214),('PTRM input'!$M$153*(1+rvanilla07)^0.5)-SUM($M214:AT214),('PTRM input'!$M$153*(1+rvanilla07)^0.5)/A11stdlife))</f>
        <v>0</v>
      </c>
      <c r="AV214" s="107">
        <f>IF(A11stdlife="n/a","n/a",IF(AV$3&gt;(A11stdlife+$E214),('PTRM input'!$M$153*(1+rvanilla07)^0.5)-SUM($M214:AU214),('PTRM input'!$M$153*(1+rvanilla07)^0.5)/A11stdlife))</f>
        <v>0</v>
      </c>
      <c r="AW214" s="107">
        <f>IF(A11stdlife="n/a","n/a",IF(AW$3&gt;(A11stdlife+$E214),('PTRM input'!$M$153*(1+rvanilla07)^0.5)-SUM($M214:AV214),('PTRM input'!$M$153*(1+rvanilla07)^0.5)/A11stdlife))</f>
        <v>0</v>
      </c>
      <c r="AX214" s="107">
        <f>IF(A11stdlife="n/a","n/a",IF(AX$3&gt;(A11stdlife+$E214),('PTRM input'!$M$153*(1+rvanilla07)^0.5)-SUM($M214:AW214),('PTRM input'!$M$153*(1+rvanilla07)^0.5)/A11stdlife))</f>
        <v>0</v>
      </c>
      <c r="AY214" s="107">
        <f>IF(A11stdlife="n/a","n/a",IF(AY$3&gt;(A11stdlife+$E214),('PTRM input'!$M$153*(1+rvanilla07)^0.5)-SUM($M214:AX214),('PTRM input'!$M$153*(1+rvanilla07)^0.5)/A11stdlife))</f>
        <v>0</v>
      </c>
      <c r="AZ214" s="107">
        <f>IF(A11stdlife="n/a","n/a",IF(AZ$3&gt;(A11stdlife+$E214),('PTRM input'!$M$153*(1+rvanilla07)^0.5)-SUM($M214:AY214),('PTRM input'!$M$153*(1+rvanilla07)^0.5)/A11stdlife))</f>
        <v>0</v>
      </c>
      <c r="BA214" s="107">
        <f>IF(A11stdlife="n/a","n/a",IF(BA$3&gt;(A11stdlife+$E214),('PTRM input'!$M$153*(1+rvanilla07)^0.5)-SUM($M214:AZ214),('PTRM input'!$M$153*(1+rvanilla07)^0.5)/A11stdlife))</f>
        <v>0</v>
      </c>
      <c r="BB214" s="107">
        <f>IF(A11stdlife="n/a","n/a",IF(BB$3&gt;(A11stdlife+$E214),('PTRM input'!$M$153*(1+rvanilla07)^0.5)-SUM($M214:BA214),('PTRM input'!$M$153*(1+rvanilla07)^0.5)/A11stdlife))</f>
        <v>0</v>
      </c>
      <c r="BC214" s="107">
        <f>IF(A11stdlife="n/a","n/a",IF(BC$3&gt;(A11stdlife+$E214),('PTRM input'!$M$153*(1+rvanilla07)^0.5)-SUM($M214:BB214),('PTRM input'!$M$153*(1+rvanilla07)^0.5)/A11stdlife))</f>
        <v>0</v>
      </c>
      <c r="BD214" s="107">
        <f>IF(A11stdlife="n/a","n/a",IF(BD$3&gt;(A11stdlife+$E214),('PTRM input'!$M$153*(1+rvanilla07)^0.5)-SUM($M214:BC214),('PTRM input'!$M$153*(1+rvanilla07)^0.5)/A11stdlife))</f>
        <v>0</v>
      </c>
      <c r="BE214" s="107">
        <f>IF(A11stdlife="n/a","n/a",IF(BE$3&gt;(A11stdlife+$E214),('PTRM input'!$M$153*(1+rvanilla07)^0.5)-SUM($M214:BD214),('PTRM input'!$M$153*(1+rvanilla07)^0.5)/A11stdlife))</f>
        <v>0</v>
      </c>
      <c r="BF214" s="107">
        <f>IF(A11stdlife="n/a","n/a",IF(BF$3&gt;(A11stdlife+$E214),('PTRM input'!$M$153*(1+rvanilla07)^0.5)-SUM($M214:BE214),('PTRM input'!$M$153*(1+rvanilla07)^0.5)/A11stdlife))</f>
        <v>0</v>
      </c>
      <c r="BG214" s="107">
        <f>IF(A11stdlife="n/a","n/a",IF(BG$3&gt;(A11stdlife+$E214),('PTRM input'!$M$153*(1+rvanilla07)^0.5)-SUM($M214:BF214),('PTRM input'!$M$153*(1+rvanilla07)^0.5)/A11stdlife))</f>
        <v>0</v>
      </c>
      <c r="BH214" s="107">
        <f>IF(A11stdlife="n/a","n/a",IF(BH$3&gt;(A11stdlife+$E214),('PTRM input'!$M$153*(1+rvanilla07)^0.5)-SUM($M214:BG214),('PTRM input'!$M$153*(1+rvanilla07)^0.5)/A11stdlife))</f>
        <v>0</v>
      </c>
      <c r="BI214" s="107">
        <f>IF(A11stdlife="n/a","n/a",IF(BI$3&gt;(A11stdlife+$E214),('PTRM input'!$M$153*(1+rvanilla07)^0.5)-SUM($M214:BH214),('PTRM input'!$M$153*(1+rvanilla07)^0.5)/A11stdlife))</f>
        <v>0</v>
      </c>
      <c r="BJ214" s="237"/>
      <c r="BK214" s="237"/>
      <c r="BL214" s="237"/>
      <c r="BM214" s="237"/>
    </row>
    <row r="215" spans="1:65" s="190" customFormat="1" hidden="1" outlineLevel="2">
      <c r="A215" s="237"/>
      <c r="B215" s="33"/>
      <c r="C215" s="32"/>
      <c r="D215" s="1618"/>
      <c r="E215" s="169">
        <v>8</v>
      </c>
      <c r="F215" s="35"/>
      <c r="G215" s="184"/>
      <c r="H215" s="186"/>
      <c r="I215" s="186"/>
      <c r="J215" s="186"/>
      <c r="K215" s="186"/>
      <c r="L215" s="186"/>
      <c r="M215" s="186"/>
      <c r="N215" s="185"/>
      <c r="O215" s="107">
        <f>IF(A11stdlife="n/a","n/a",IF(O$3&gt;(A11stdlife+$E215),('PTRM input'!$N$153*(1+rvanilla08)^0.5)-SUM($N215:N215),('PTRM input'!$N$153*(1+rvanilla08)^0.5)/A11stdlife))</f>
        <v>0</v>
      </c>
      <c r="P215" s="107">
        <f>IF(A11stdlife="n/a","n/a",IF(P$3&gt;(A11stdlife+$E215),('PTRM input'!$N$153*(1+rvanilla08)^0.5)-SUM($N215:O215),('PTRM input'!$N$153*(1+rvanilla08)^0.5)/A11stdlife))</f>
        <v>0</v>
      </c>
      <c r="Q215" s="107">
        <f>IF(A11stdlife="n/a","n/a",IF(Q$3&gt;(A11stdlife+$E215),('PTRM input'!$N$153*(1+rvanilla08)^0.5)-SUM($N215:P215),('PTRM input'!$N$153*(1+rvanilla08)^0.5)/A11stdlife))</f>
        <v>0</v>
      </c>
      <c r="R215" s="107">
        <f>IF(A11stdlife="n/a","n/a",IF(R$3&gt;(A11stdlife+$E215),('PTRM input'!$N$153*(1+rvanilla08)^0.5)-SUM($N215:Q215),('PTRM input'!$N$153*(1+rvanilla08)^0.5)/A11stdlife))</f>
        <v>0</v>
      </c>
      <c r="S215" s="107">
        <f>IF(A11stdlife="n/a","n/a",IF(S$3&gt;(A11stdlife+$E215),('PTRM input'!$N$153*(1+rvanilla08)^0.5)-SUM($N215:R215),('PTRM input'!$N$153*(1+rvanilla08)^0.5)/A11stdlife))</f>
        <v>0</v>
      </c>
      <c r="T215" s="107">
        <f>IF(A11stdlife="n/a","n/a",IF(T$3&gt;(A11stdlife+$E215),('PTRM input'!$N$153*(1+rvanilla08)^0.5)-SUM($N215:S215),('PTRM input'!$N$153*(1+rvanilla08)^0.5)/A11stdlife))</f>
        <v>0</v>
      </c>
      <c r="U215" s="107">
        <f>IF(A11stdlife="n/a","n/a",IF(U$3&gt;(A11stdlife+$E215),('PTRM input'!$N$153*(1+rvanilla08)^0.5)-SUM($N215:T215),('PTRM input'!$N$153*(1+rvanilla08)^0.5)/A11stdlife))</f>
        <v>0</v>
      </c>
      <c r="V215" s="107">
        <f>IF(A11stdlife="n/a","n/a",IF(V$3&gt;(A11stdlife+$E215),('PTRM input'!$N$153*(1+rvanilla08)^0.5)-SUM($N215:U215),('PTRM input'!$N$153*(1+rvanilla08)^0.5)/A11stdlife))</f>
        <v>0</v>
      </c>
      <c r="W215" s="107">
        <f>IF(A11stdlife="n/a","n/a",IF(W$3&gt;(A11stdlife+$E215),('PTRM input'!$N$153*(1+rvanilla08)^0.5)-SUM($N215:V215),('PTRM input'!$N$153*(1+rvanilla08)^0.5)/A11stdlife))</f>
        <v>0</v>
      </c>
      <c r="X215" s="107">
        <f>IF(A11stdlife="n/a","n/a",IF(X$3&gt;(A11stdlife+$E215),('PTRM input'!$N$153*(1+rvanilla08)^0.5)-SUM($N215:W215),('PTRM input'!$N$153*(1+rvanilla08)^0.5)/A11stdlife))</f>
        <v>0</v>
      </c>
      <c r="Y215" s="107">
        <f>IF(A11stdlife="n/a","n/a",IF(Y$3&gt;(A11stdlife+$E215),('PTRM input'!$N$153*(1+rvanilla08)^0.5)-SUM($N215:X215),('PTRM input'!$N$153*(1+rvanilla08)^0.5)/A11stdlife))</f>
        <v>0</v>
      </c>
      <c r="Z215" s="107">
        <f>IF(A11stdlife="n/a","n/a",IF(Z$3&gt;(A11stdlife+$E215),('PTRM input'!$N$153*(1+rvanilla08)^0.5)-SUM($N215:Y215),('PTRM input'!$N$153*(1+rvanilla08)^0.5)/A11stdlife))</f>
        <v>0</v>
      </c>
      <c r="AA215" s="107">
        <f>IF(A11stdlife="n/a","n/a",IF(AA$3&gt;(A11stdlife+$E215),('PTRM input'!$N$153*(1+rvanilla08)^0.5)-SUM($N215:Z215),('PTRM input'!$N$153*(1+rvanilla08)^0.5)/A11stdlife))</f>
        <v>0</v>
      </c>
      <c r="AB215" s="107">
        <f>IF(A11stdlife="n/a","n/a",IF(AB$3&gt;(A11stdlife+$E215),('PTRM input'!$N$153*(1+rvanilla08)^0.5)-SUM($N215:AA215),('PTRM input'!$N$153*(1+rvanilla08)^0.5)/A11stdlife))</f>
        <v>0</v>
      </c>
      <c r="AC215" s="107">
        <f>IF(A11stdlife="n/a","n/a",IF(AC$3&gt;(A11stdlife+$E215),('PTRM input'!$N$153*(1+rvanilla08)^0.5)-SUM($N215:AB215),('PTRM input'!$N$153*(1+rvanilla08)^0.5)/A11stdlife))</f>
        <v>0</v>
      </c>
      <c r="AD215" s="107">
        <f>IF(A11stdlife="n/a","n/a",IF(AD$3&gt;(A11stdlife+$E215),('PTRM input'!$N$153*(1+rvanilla08)^0.5)-SUM($N215:AC215),('PTRM input'!$N$153*(1+rvanilla08)^0.5)/A11stdlife))</f>
        <v>0</v>
      </c>
      <c r="AE215" s="107">
        <f>IF(A11stdlife="n/a","n/a",IF(AE$3&gt;(A11stdlife+$E215),('PTRM input'!$N$153*(1+rvanilla08)^0.5)-SUM($N215:AD215),('PTRM input'!$N$153*(1+rvanilla08)^0.5)/A11stdlife))</f>
        <v>0</v>
      </c>
      <c r="AF215" s="107">
        <f>IF(A11stdlife="n/a","n/a",IF(AF$3&gt;(A11stdlife+$E215),('PTRM input'!$N$153*(1+rvanilla08)^0.5)-SUM($N215:AE215),('PTRM input'!$N$153*(1+rvanilla08)^0.5)/A11stdlife))</f>
        <v>0</v>
      </c>
      <c r="AG215" s="107">
        <f>IF(A11stdlife="n/a","n/a",IF(AG$3&gt;(A11stdlife+$E215),('PTRM input'!$N$153*(1+rvanilla08)^0.5)-SUM($N215:AF215),('PTRM input'!$N$153*(1+rvanilla08)^0.5)/A11stdlife))</f>
        <v>0</v>
      </c>
      <c r="AH215" s="107">
        <f>IF(A11stdlife="n/a","n/a",IF(AH$3&gt;(A11stdlife+$E215),('PTRM input'!$N$153*(1+rvanilla08)^0.5)-SUM($N215:AG215),('PTRM input'!$N$153*(1+rvanilla08)^0.5)/A11stdlife))</f>
        <v>0</v>
      </c>
      <c r="AI215" s="107">
        <f>IF(A11stdlife="n/a","n/a",IF(AI$3&gt;(A11stdlife+$E215),('PTRM input'!$N$153*(1+rvanilla08)^0.5)-SUM($N215:AH215),('PTRM input'!$N$153*(1+rvanilla08)^0.5)/A11stdlife))</f>
        <v>0</v>
      </c>
      <c r="AJ215" s="107">
        <f>IF(A11stdlife="n/a","n/a",IF(AJ$3&gt;(A11stdlife+$E215),('PTRM input'!$N$153*(1+rvanilla08)^0.5)-SUM($N215:AI215),('PTRM input'!$N$153*(1+rvanilla08)^0.5)/A11stdlife))</f>
        <v>0</v>
      </c>
      <c r="AK215" s="107">
        <f>IF(A11stdlife="n/a","n/a",IF(AK$3&gt;(A11stdlife+$E215),('PTRM input'!$N$153*(1+rvanilla08)^0.5)-SUM($N215:AJ215),('PTRM input'!$N$153*(1+rvanilla08)^0.5)/A11stdlife))</f>
        <v>0</v>
      </c>
      <c r="AL215" s="107">
        <f>IF(A11stdlife="n/a","n/a",IF(AL$3&gt;(A11stdlife+$E215),('PTRM input'!$N$153*(1+rvanilla08)^0.5)-SUM($N215:AK215),('PTRM input'!$N$153*(1+rvanilla08)^0.5)/A11stdlife))</f>
        <v>0</v>
      </c>
      <c r="AM215" s="107">
        <f>IF(A11stdlife="n/a","n/a",IF(AM$3&gt;(A11stdlife+$E215),('PTRM input'!$N$153*(1+rvanilla08)^0.5)-SUM($N215:AL215),('PTRM input'!$N$153*(1+rvanilla08)^0.5)/A11stdlife))</f>
        <v>0</v>
      </c>
      <c r="AN215" s="107">
        <f>IF(A11stdlife="n/a","n/a",IF(AN$3&gt;(A11stdlife+$E215),('PTRM input'!$N$153*(1+rvanilla08)^0.5)-SUM($N215:AM215),('PTRM input'!$N$153*(1+rvanilla08)^0.5)/A11stdlife))</f>
        <v>0</v>
      </c>
      <c r="AO215" s="107">
        <f>IF(A11stdlife="n/a","n/a",IF(AO$3&gt;(A11stdlife+$E215),('PTRM input'!$N$153*(1+rvanilla08)^0.5)-SUM($N215:AN215),('PTRM input'!$N$153*(1+rvanilla08)^0.5)/A11stdlife))</f>
        <v>0</v>
      </c>
      <c r="AP215" s="107">
        <f>IF(A11stdlife="n/a","n/a",IF(AP$3&gt;(A11stdlife+$E215),('PTRM input'!$N$153*(1+rvanilla08)^0.5)-SUM($N215:AO215),('PTRM input'!$N$153*(1+rvanilla08)^0.5)/A11stdlife))</f>
        <v>0</v>
      </c>
      <c r="AQ215" s="107">
        <f>IF(A11stdlife="n/a","n/a",IF(AQ$3&gt;(A11stdlife+$E215),('PTRM input'!$N$153*(1+rvanilla08)^0.5)-SUM($N215:AP215),('PTRM input'!$N$153*(1+rvanilla08)^0.5)/A11stdlife))</f>
        <v>0</v>
      </c>
      <c r="AR215" s="107">
        <f>IF(A11stdlife="n/a","n/a",IF(AR$3&gt;(A11stdlife+$E215),('PTRM input'!$N$153*(1+rvanilla08)^0.5)-SUM($N215:AQ215),('PTRM input'!$N$153*(1+rvanilla08)^0.5)/A11stdlife))</f>
        <v>0</v>
      </c>
      <c r="AS215" s="107">
        <f>IF(A11stdlife="n/a","n/a",IF(AS$3&gt;(A11stdlife+$E215),('PTRM input'!$N$153*(1+rvanilla08)^0.5)-SUM($N215:AR215),('PTRM input'!$N$153*(1+rvanilla08)^0.5)/A11stdlife))</f>
        <v>0</v>
      </c>
      <c r="AT215" s="107">
        <f>IF(A11stdlife="n/a","n/a",IF(AT$3&gt;(A11stdlife+$E215),('PTRM input'!$N$153*(1+rvanilla08)^0.5)-SUM($N215:AS215),('PTRM input'!$N$153*(1+rvanilla08)^0.5)/A11stdlife))</f>
        <v>0</v>
      </c>
      <c r="AU215" s="107">
        <f>IF(A11stdlife="n/a","n/a",IF(AU$3&gt;(A11stdlife+$E215),('PTRM input'!$N$153*(1+rvanilla08)^0.5)-SUM($N215:AT215),('PTRM input'!$N$153*(1+rvanilla08)^0.5)/A11stdlife))</f>
        <v>0</v>
      </c>
      <c r="AV215" s="107">
        <f>IF(A11stdlife="n/a","n/a",IF(AV$3&gt;(A11stdlife+$E215),('PTRM input'!$N$153*(1+rvanilla08)^0.5)-SUM($N215:AU215),('PTRM input'!$N$153*(1+rvanilla08)^0.5)/A11stdlife))</f>
        <v>0</v>
      </c>
      <c r="AW215" s="107">
        <f>IF(A11stdlife="n/a","n/a",IF(AW$3&gt;(A11stdlife+$E215),('PTRM input'!$N$153*(1+rvanilla08)^0.5)-SUM($N215:AV215),('PTRM input'!$N$153*(1+rvanilla08)^0.5)/A11stdlife))</f>
        <v>0</v>
      </c>
      <c r="AX215" s="107">
        <f>IF(A11stdlife="n/a","n/a",IF(AX$3&gt;(A11stdlife+$E215),('PTRM input'!$N$153*(1+rvanilla08)^0.5)-SUM($N215:AW215),('PTRM input'!$N$153*(1+rvanilla08)^0.5)/A11stdlife))</f>
        <v>0</v>
      </c>
      <c r="AY215" s="107">
        <f>IF(A11stdlife="n/a","n/a",IF(AY$3&gt;(A11stdlife+$E215),('PTRM input'!$N$153*(1+rvanilla08)^0.5)-SUM($N215:AX215),('PTRM input'!$N$153*(1+rvanilla08)^0.5)/A11stdlife))</f>
        <v>0</v>
      </c>
      <c r="AZ215" s="107">
        <f>IF(A11stdlife="n/a","n/a",IF(AZ$3&gt;(A11stdlife+$E215),('PTRM input'!$N$153*(1+rvanilla08)^0.5)-SUM($N215:AY215),('PTRM input'!$N$153*(1+rvanilla08)^0.5)/A11stdlife))</f>
        <v>0</v>
      </c>
      <c r="BA215" s="107">
        <f>IF(A11stdlife="n/a","n/a",IF(BA$3&gt;(A11stdlife+$E215),('PTRM input'!$N$153*(1+rvanilla08)^0.5)-SUM($N215:AZ215),('PTRM input'!$N$153*(1+rvanilla08)^0.5)/A11stdlife))</f>
        <v>0</v>
      </c>
      <c r="BB215" s="107">
        <f>IF(A11stdlife="n/a","n/a",IF(BB$3&gt;(A11stdlife+$E215),('PTRM input'!$N$153*(1+rvanilla08)^0.5)-SUM($N215:BA215),('PTRM input'!$N$153*(1+rvanilla08)^0.5)/A11stdlife))</f>
        <v>0</v>
      </c>
      <c r="BC215" s="107">
        <f>IF(A11stdlife="n/a","n/a",IF(BC$3&gt;(A11stdlife+$E215),('PTRM input'!$N$153*(1+rvanilla08)^0.5)-SUM($N215:BB215),('PTRM input'!$N$153*(1+rvanilla08)^0.5)/A11stdlife))</f>
        <v>0</v>
      </c>
      <c r="BD215" s="107">
        <f>IF(A11stdlife="n/a","n/a",IF(BD$3&gt;(A11stdlife+$E215),('PTRM input'!$N$153*(1+rvanilla08)^0.5)-SUM($N215:BC215),('PTRM input'!$N$153*(1+rvanilla08)^0.5)/A11stdlife))</f>
        <v>0</v>
      </c>
      <c r="BE215" s="107">
        <f>IF(A11stdlife="n/a","n/a",IF(BE$3&gt;(A11stdlife+$E215),('PTRM input'!$N$153*(1+rvanilla08)^0.5)-SUM($N215:BD215),('PTRM input'!$N$153*(1+rvanilla08)^0.5)/A11stdlife))</f>
        <v>0</v>
      </c>
      <c r="BF215" s="107">
        <f>IF(A11stdlife="n/a","n/a",IF(BF$3&gt;(A11stdlife+$E215),('PTRM input'!$N$153*(1+rvanilla08)^0.5)-SUM($N215:BE215),('PTRM input'!$N$153*(1+rvanilla08)^0.5)/A11stdlife))</f>
        <v>0</v>
      </c>
      <c r="BG215" s="107">
        <f>IF(A11stdlife="n/a","n/a",IF(BG$3&gt;(A11stdlife+$E215),('PTRM input'!$N$153*(1+rvanilla08)^0.5)-SUM($N215:BF215),('PTRM input'!$N$153*(1+rvanilla08)^0.5)/A11stdlife))</f>
        <v>0</v>
      </c>
      <c r="BH215" s="107">
        <f>IF(A11stdlife="n/a","n/a",IF(BH$3&gt;(A11stdlife+$E215),('PTRM input'!$N$153*(1+rvanilla08)^0.5)-SUM($N215:BG215),('PTRM input'!$N$153*(1+rvanilla08)^0.5)/A11stdlife))</f>
        <v>0</v>
      </c>
      <c r="BI215" s="107">
        <f>IF(A11stdlife="n/a","n/a",IF(BI$3&gt;(A11stdlife+$E215),('PTRM input'!$N$153*(1+rvanilla08)^0.5)-SUM($N215:BH215),('PTRM input'!$N$153*(1+rvanilla08)^0.5)/A11stdlife))</f>
        <v>0</v>
      </c>
      <c r="BJ215" s="237"/>
      <c r="BK215" s="237"/>
      <c r="BL215" s="237"/>
      <c r="BM215" s="237"/>
    </row>
    <row r="216" spans="1:65" s="190" customFormat="1" hidden="1" outlineLevel="2">
      <c r="A216" s="237"/>
      <c r="B216" s="33"/>
      <c r="C216" s="32"/>
      <c r="D216" s="1618"/>
      <c r="E216" s="169">
        <v>9</v>
      </c>
      <c r="F216" s="35"/>
      <c r="G216" s="184"/>
      <c r="H216" s="186"/>
      <c r="I216" s="186"/>
      <c r="J216" s="186"/>
      <c r="K216" s="186"/>
      <c r="L216" s="186"/>
      <c r="M216" s="186"/>
      <c r="N216" s="186"/>
      <c r="O216" s="185"/>
      <c r="P216" s="107">
        <f>IF(A11stdlife="n/a","n/a",IF(P$3&gt;(A11stdlife+$E216),('PTRM input'!$O$153*(1+rvanilla09)^0.5)-SUM($O216:O216),('PTRM input'!$O$153*(1+rvanilla09)^0.5)/A11stdlife))</f>
        <v>0</v>
      </c>
      <c r="Q216" s="107">
        <f>IF(A11stdlife="n/a","n/a",IF(Q$3&gt;(A11stdlife+$E216),('PTRM input'!$O$153*(1+rvanilla09)^0.5)-SUM($O216:P216),('PTRM input'!$O$153*(1+rvanilla09)^0.5)/A11stdlife))</f>
        <v>0</v>
      </c>
      <c r="R216" s="107">
        <f>IF(A11stdlife="n/a","n/a",IF(R$3&gt;(A11stdlife+$E216),('PTRM input'!$O$153*(1+rvanilla09)^0.5)-SUM($O216:Q216),('PTRM input'!$O$153*(1+rvanilla09)^0.5)/A11stdlife))</f>
        <v>0</v>
      </c>
      <c r="S216" s="107">
        <f>IF(A11stdlife="n/a","n/a",IF(S$3&gt;(A11stdlife+$E216),('PTRM input'!$O$153*(1+rvanilla09)^0.5)-SUM($O216:R216),('PTRM input'!$O$153*(1+rvanilla09)^0.5)/A11stdlife))</f>
        <v>0</v>
      </c>
      <c r="T216" s="107">
        <f>IF(A11stdlife="n/a","n/a",IF(T$3&gt;(A11stdlife+$E216),('PTRM input'!$O$153*(1+rvanilla09)^0.5)-SUM($O216:S216),('PTRM input'!$O$153*(1+rvanilla09)^0.5)/A11stdlife))</f>
        <v>0</v>
      </c>
      <c r="U216" s="107">
        <f>IF(A11stdlife="n/a","n/a",IF(U$3&gt;(A11stdlife+$E216),('PTRM input'!$O$153*(1+rvanilla09)^0.5)-SUM($O216:T216),('PTRM input'!$O$153*(1+rvanilla09)^0.5)/A11stdlife))</f>
        <v>0</v>
      </c>
      <c r="V216" s="107">
        <f>IF(A11stdlife="n/a","n/a",IF(V$3&gt;(A11stdlife+$E216),('PTRM input'!$O$153*(1+rvanilla09)^0.5)-SUM($O216:U216),('PTRM input'!$O$153*(1+rvanilla09)^0.5)/A11stdlife))</f>
        <v>0</v>
      </c>
      <c r="W216" s="107">
        <f>IF(A11stdlife="n/a","n/a",IF(W$3&gt;(A11stdlife+$E216),('PTRM input'!$O$153*(1+rvanilla09)^0.5)-SUM($O216:V216),('PTRM input'!$O$153*(1+rvanilla09)^0.5)/A11stdlife))</f>
        <v>0</v>
      </c>
      <c r="X216" s="107">
        <f>IF(A11stdlife="n/a","n/a",IF(X$3&gt;(A11stdlife+$E216),('PTRM input'!$O$153*(1+rvanilla09)^0.5)-SUM($O216:W216),('PTRM input'!$O$153*(1+rvanilla09)^0.5)/A11stdlife))</f>
        <v>0</v>
      </c>
      <c r="Y216" s="107">
        <f>IF(A11stdlife="n/a","n/a",IF(Y$3&gt;(A11stdlife+$E216),('PTRM input'!$O$153*(1+rvanilla09)^0.5)-SUM($O216:X216),('PTRM input'!$O$153*(1+rvanilla09)^0.5)/A11stdlife))</f>
        <v>0</v>
      </c>
      <c r="Z216" s="107">
        <f>IF(A11stdlife="n/a","n/a",IF(Z$3&gt;(A11stdlife+$E216),('PTRM input'!$O$153*(1+rvanilla09)^0.5)-SUM($O216:Y216),('PTRM input'!$O$153*(1+rvanilla09)^0.5)/A11stdlife))</f>
        <v>0</v>
      </c>
      <c r="AA216" s="107">
        <f>IF(A11stdlife="n/a","n/a",IF(AA$3&gt;(A11stdlife+$E216),('PTRM input'!$O$153*(1+rvanilla09)^0.5)-SUM($O216:Z216),('PTRM input'!$O$153*(1+rvanilla09)^0.5)/A11stdlife))</f>
        <v>0</v>
      </c>
      <c r="AB216" s="107">
        <f>IF(A11stdlife="n/a","n/a",IF(AB$3&gt;(A11stdlife+$E216),('PTRM input'!$O$153*(1+rvanilla09)^0.5)-SUM($O216:AA216),('PTRM input'!$O$153*(1+rvanilla09)^0.5)/A11stdlife))</f>
        <v>0</v>
      </c>
      <c r="AC216" s="107">
        <f>IF(A11stdlife="n/a","n/a",IF(AC$3&gt;(A11stdlife+$E216),('PTRM input'!$O$153*(1+rvanilla09)^0.5)-SUM($O216:AB216),('PTRM input'!$O$153*(1+rvanilla09)^0.5)/A11stdlife))</f>
        <v>0</v>
      </c>
      <c r="AD216" s="107">
        <f>IF(A11stdlife="n/a","n/a",IF(AD$3&gt;(A11stdlife+$E216),('PTRM input'!$O$153*(1+rvanilla09)^0.5)-SUM($O216:AC216),('PTRM input'!$O$153*(1+rvanilla09)^0.5)/A11stdlife))</f>
        <v>0</v>
      </c>
      <c r="AE216" s="107">
        <f>IF(A11stdlife="n/a","n/a",IF(AE$3&gt;(A11stdlife+$E216),('PTRM input'!$O$153*(1+rvanilla09)^0.5)-SUM($O216:AD216),('PTRM input'!$O$153*(1+rvanilla09)^0.5)/A11stdlife))</f>
        <v>0</v>
      </c>
      <c r="AF216" s="107">
        <f>IF(A11stdlife="n/a","n/a",IF(AF$3&gt;(A11stdlife+$E216),('PTRM input'!$O$153*(1+rvanilla09)^0.5)-SUM($O216:AE216),('PTRM input'!$O$153*(1+rvanilla09)^0.5)/A11stdlife))</f>
        <v>0</v>
      </c>
      <c r="AG216" s="107">
        <f>IF(A11stdlife="n/a","n/a",IF(AG$3&gt;(A11stdlife+$E216),('PTRM input'!$O$153*(1+rvanilla09)^0.5)-SUM($O216:AF216),('PTRM input'!$O$153*(1+rvanilla09)^0.5)/A11stdlife))</f>
        <v>0</v>
      </c>
      <c r="AH216" s="107">
        <f>IF(A11stdlife="n/a","n/a",IF(AH$3&gt;(A11stdlife+$E216),('PTRM input'!$O$153*(1+rvanilla09)^0.5)-SUM($O216:AG216),('PTRM input'!$O$153*(1+rvanilla09)^0.5)/A11stdlife))</f>
        <v>0</v>
      </c>
      <c r="AI216" s="107">
        <f>IF(A11stdlife="n/a","n/a",IF(AI$3&gt;(A11stdlife+$E216),('PTRM input'!$O$153*(1+rvanilla09)^0.5)-SUM($O216:AH216),('PTRM input'!$O$153*(1+rvanilla09)^0.5)/A11stdlife))</f>
        <v>0</v>
      </c>
      <c r="AJ216" s="107">
        <f>IF(A11stdlife="n/a","n/a",IF(AJ$3&gt;(A11stdlife+$E216),('PTRM input'!$O$153*(1+rvanilla09)^0.5)-SUM($O216:AI216),('PTRM input'!$O$153*(1+rvanilla09)^0.5)/A11stdlife))</f>
        <v>0</v>
      </c>
      <c r="AK216" s="107">
        <f>IF(A11stdlife="n/a","n/a",IF(AK$3&gt;(A11stdlife+$E216),('PTRM input'!$O$153*(1+rvanilla09)^0.5)-SUM($O216:AJ216),('PTRM input'!$O$153*(1+rvanilla09)^0.5)/A11stdlife))</f>
        <v>0</v>
      </c>
      <c r="AL216" s="107">
        <f>IF(A11stdlife="n/a","n/a",IF(AL$3&gt;(A11stdlife+$E216),('PTRM input'!$O$153*(1+rvanilla09)^0.5)-SUM($O216:AK216),('PTRM input'!$O$153*(1+rvanilla09)^0.5)/A11stdlife))</f>
        <v>0</v>
      </c>
      <c r="AM216" s="107">
        <f>IF(A11stdlife="n/a","n/a",IF(AM$3&gt;(A11stdlife+$E216),('PTRM input'!$O$153*(1+rvanilla09)^0.5)-SUM($O216:AL216),('PTRM input'!$O$153*(1+rvanilla09)^0.5)/A11stdlife))</f>
        <v>0</v>
      </c>
      <c r="AN216" s="107">
        <f>IF(A11stdlife="n/a","n/a",IF(AN$3&gt;(A11stdlife+$E216),('PTRM input'!$O$153*(1+rvanilla09)^0.5)-SUM($O216:AM216),('PTRM input'!$O$153*(1+rvanilla09)^0.5)/A11stdlife))</f>
        <v>0</v>
      </c>
      <c r="AO216" s="107">
        <f>IF(A11stdlife="n/a","n/a",IF(AO$3&gt;(A11stdlife+$E216),('PTRM input'!$O$153*(1+rvanilla09)^0.5)-SUM($O216:AN216),('PTRM input'!$O$153*(1+rvanilla09)^0.5)/A11stdlife))</f>
        <v>0</v>
      </c>
      <c r="AP216" s="107">
        <f>IF(A11stdlife="n/a","n/a",IF(AP$3&gt;(A11stdlife+$E216),('PTRM input'!$O$153*(1+rvanilla09)^0.5)-SUM($O216:AO216),('PTRM input'!$O$153*(1+rvanilla09)^0.5)/A11stdlife))</f>
        <v>0</v>
      </c>
      <c r="AQ216" s="107">
        <f>IF(A11stdlife="n/a","n/a",IF(AQ$3&gt;(A11stdlife+$E216),('PTRM input'!$O$153*(1+rvanilla09)^0.5)-SUM($O216:AP216),('PTRM input'!$O$153*(1+rvanilla09)^0.5)/A11stdlife))</f>
        <v>0</v>
      </c>
      <c r="AR216" s="107">
        <f>IF(A11stdlife="n/a","n/a",IF(AR$3&gt;(A11stdlife+$E216),('PTRM input'!$O$153*(1+rvanilla09)^0.5)-SUM($O216:AQ216),('PTRM input'!$O$153*(1+rvanilla09)^0.5)/A11stdlife))</f>
        <v>0</v>
      </c>
      <c r="AS216" s="107">
        <f>IF(A11stdlife="n/a","n/a",IF(AS$3&gt;(A11stdlife+$E216),('PTRM input'!$O$153*(1+rvanilla09)^0.5)-SUM($O216:AR216),('PTRM input'!$O$153*(1+rvanilla09)^0.5)/A11stdlife))</f>
        <v>0</v>
      </c>
      <c r="AT216" s="107">
        <f>IF(A11stdlife="n/a","n/a",IF(AT$3&gt;(A11stdlife+$E216),('PTRM input'!$O$153*(1+rvanilla09)^0.5)-SUM($O216:AS216),('PTRM input'!$O$153*(1+rvanilla09)^0.5)/A11stdlife))</f>
        <v>0</v>
      </c>
      <c r="AU216" s="107">
        <f>IF(A11stdlife="n/a","n/a",IF(AU$3&gt;(A11stdlife+$E216),('PTRM input'!$O$153*(1+rvanilla09)^0.5)-SUM($O216:AT216),('PTRM input'!$O$153*(1+rvanilla09)^0.5)/A11stdlife))</f>
        <v>0</v>
      </c>
      <c r="AV216" s="107">
        <f>IF(A11stdlife="n/a","n/a",IF(AV$3&gt;(A11stdlife+$E216),('PTRM input'!$O$153*(1+rvanilla09)^0.5)-SUM($O216:AU216),('PTRM input'!$O$153*(1+rvanilla09)^0.5)/A11stdlife))</f>
        <v>0</v>
      </c>
      <c r="AW216" s="107">
        <f>IF(A11stdlife="n/a","n/a",IF(AW$3&gt;(A11stdlife+$E216),('PTRM input'!$O$153*(1+rvanilla09)^0.5)-SUM($O216:AV216),('PTRM input'!$O$153*(1+rvanilla09)^0.5)/A11stdlife))</f>
        <v>0</v>
      </c>
      <c r="AX216" s="107">
        <f>IF(A11stdlife="n/a","n/a",IF(AX$3&gt;(A11stdlife+$E216),('PTRM input'!$O$153*(1+rvanilla09)^0.5)-SUM($O216:AW216),('PTRM input'!$O$153*(1+rvanilla09)^0.5)/A11stdlife))</f>
        <v>0</v>
      </c>
      <c r="AY216" s="107">
        <f>IF(A11stdlife="n/a","n/a",IF(AY$3&gt;(A11stdlife+$E216),('PTRM input'!$O$153*(1+rvanilla09)^0.5)-SUM($O216:AX216),('PTRM input'!$O$153*(1+rvanilla09)^0.5)/A11stdlife))</f>
        <v>0</v>
      </c>
      <c r="AZ216" s="107">
        <f>IF(A11stdlife="n/a","n/a",IF(AZ$3&gt;(A11stdlife+$E216),('PTRM input'!$O$153*(1+rvanilla09)^0.5)-SUM($O216:AY216),('PTRM input'!$O$153*(1+rvanilla09)^0.5)/A11stdlife))</f>
        <v>0</v>
      </c>
      <c r="BA216" s="107">
        <f>IF(A11stdlife="n/a","n/a",IF(BA$3&gt;(A11stdlife+$E216),('PTRM input'!$O$153*(1+rvanilla09)^0.5)-SUM($O216:AZ216),('PTRM input'!$O$153*(1+rvanilla09)^0.5)/A11stdlife))</f>
        <v>0</v>
      </c>
      <c r="BB216" s="107">
        <f>IF(A11stdlife="n/a","n/a",IF(BB$3&gt;(A11stdlife+$E216),('PTRM input'!$O$153*(1+rvanilla09)^0.5)-SUM($O216:BA216),('PTRM input'!$O$153*(1+rvanilla09)^0.5)/A11stdlife))</f>
        <v>0</v>
      </c>
      <c r="BC216" s="107">
        <f>IF(A11stdlife="n/a","n/a",IF(BC$3&gt;(A11stdlife+$E216),('PTRM input'!$O$153*(1+rvanilla09)^0.5)-SUM($O216:BB216),('PTRM input'!$O$153*(1+rvanilla09)^0.5)/A11stdlife))</f>
        <v>0</v>
      </c>
      <c r="BD216" s="107">
        <f>IF(A11stdlife="n/a","n/a",IF(BD$3&gt;(A11stdlife+$E216),('PTRM input'!$O$153*(1+rvanilla09)^0.5)-SUM($O216:BC216),('PTRM input'!$O$153*(1+rvanilla09)^0.5)/A11stdlife))</f>
        <v>0</v>
      </c>
      <c r="BE216" s="107">
        <f>IF(A11stdlife="n/a","n/a",IF(BE$3&gt;(A11stdlife+$E216),('PTRM input'!$O$153*(1+rvanilla09)^0.5)-SUM($O216:BD216),('PTRM input'!$O$153*(1+rvanilla09)^0.5)/A11stdlife))</f>
        <v>0</v>
      </c>
      <c r="BF216" s="107">
        <f>IF(A11stdlife="n/a","n/a",IF(BF$3&gt;(A11stdlife+$E216),('PTRM input'!$O$153*(1+rvanilla09)^0.5)-SUM($O216:BE216),('PTRM input'!$O$153*(1+rvanilla09)^0.5)/A11stdlife))</f>
        <v>0</v>
      </c>
      <c r="BG216" s="107">
        <f>IF(A11stdlife="n/a","n/a",IF(BG$3&gt;(A11stdlife+$E216),('PTRM input'!$O$153*(1+rvanilla09)^0.5)-SUM($O216:BF216),('PTRM input'!$O$153*(1+rvanilla09)^0.5)/A11stdlife))</f>
        <v>0</v>
      </c>
      <c r="BH216" s="107">
        <f>IF(A11stdlife="n/a","n/a",IF(BH$3&gt;(A11stdlife+$E216),('PTRM input'!$O$153*(1+rvanilla09)^0.5)-SUM($O216:BG216),('PTRM input'!$O$153*(1+rvanilla09)^0.5)/A11stdlife))</f>
        <v>0</v>
      </c>
      <c r="BI216" s="107">
        <f>IF(A11stdlife="n/a","n/a",IF(BI$3&gt;(A11stdlife+$E216),('PTRM input'!$O$153*(1+rvanilla09)^0.5)-SUM($O216:BH216),('PTRM input'!$O$153*(1+rvanilla09)^0.5)/A11stdlife))</f>
        <v>0</v>
      </c>
      <c r="BJ216" s="237"/>
      <c r="BK216" s="237"/>
      <c r="BL216" s="237"/>
      <c r="BM216" s="237"/>
    </row>
    <row r="217" spans="1:65" s="190" customFormat="1" hidden="1" outlineLevel="2">
      <c r="A217" s="237"/>
      <c r="B217" s="33"/>
      <c r="C217" s="32"/>
      <c r="D217" s="1618"/>
      <c r="E217" s="170">
        <v>10</v>
      </c>
      <c r="F217" s="35"/>
      <c r="G217" s="184"/>
      <c r="H217" s="186"/>
      <c r="I217" s="186"/>
      <c r="J217" s="186"/>
      <c r="K217" s="186"/>
      <c r="L217" s="186"/>
      <c r="M217" s="186"/>
      <c r="N217" s="186"/>
      <c r="O217" s="186"/>
      <c r="P217" s="185"/>
      <c r="Q217" s="107">
        <f>IF(A11stdlife="n/a","n/a",IF(Q$3&gt;(A11stdlife+$E217),('PTRM input'!$P$153*(1+rvanilla10)^0.5)-SUM($P217:P217),('PTRM input'!$P$153*(1+rvanilla10)^0.5)/A11stdlife))</f>
        <v>0</v>
      </c>
      <c r="R217" s="107">
        <f>IF(A11stdlife="n/a","n/a",IF(R$3&gt;(A11stdlife+$E217),('PTRM input'!$P$153*(1+rvanilla10)^0.5)-SUM($P217:Q217),('PTRM input'!$P$153*(1+rvanilla10)^0.5)/A11stdlife))</f>
        <v>0</v>
      </c>
      <c r="S217" s="107">
        <f>IF(A11stdlife="n/a","n/a",IF(S$3&gt;(A11stdlife+$E217),('PTRM input'!$P$153*(1+rvanilla10)^0.5)-SUM($P217:R217),('PTRM input'!$P$153*(1+rvanilla10)^0.5)/A11stdlife))</f>
        <v>0</v>
      </c>
      <c r="T217" s="107">
        <f>IF(A11stdlife="n/a","n/a",IF(T$3&gt;(A11stdlife+$E217),('PTRM input'!$P$153*(1+rvanilla10)^0.5)-SUM($P217:S217),('PTRM input'!$P$153*(1+rvanilla10)^0.5)/A11stdlife))</f>
        <v>0</v>
      </c>
      <c r="U217" s="107">
        <f>IF(A11stdlife="n/a","n/a",IF(U$3&gt;(A11stdlife+$E217),('PTRM input'!$P$153*(1+rvanilla10)^0.5)-SUM($P217:T217),('PTRM input'!$P$153*(1+rvanilla10)^0.5)/A11stdlife))</f>
        <v>0</v>
      </c>
      <c r="V217" s="107">
        <f>IF(A11stdlife="n/a","n/a",IF(V$3&gt;(A11stdlife+$E217),('PTRM input'!$P$153*(1+rvanilla10)^0.5)-SUM($P217:U217),('PTRM input'!$P$153*(1+rvanilla10)^0.5)/A11stdlife))</f>
        <v>0</v>
      </c>
      <c r="W217" s="107">
        <f>IF(A11stdlife="n/a","n/a",IF(W$3&gt;(A11stdlife+$E217),('PTRM input'!$P$153*(1+rvanilla10)^0.5)-SUM($P217:V217),('PTRM input'!$P$153*(1+rvanilla10)^0.5)/A11stdlife))</f>
        <v>0</v>
      </c>
      <c r="X217" s="107">
        <f>IF(A11stdlife="n/a","n/a",IF(X$3&gt;(A11stdlife+$E217),('PTRM input'!$P$153*(1+rvanilla10)^0.5)-SUM($P217:W217),('PTRM input'!$P$153*(1+rvanilla10)^0.5)/A11stdlife))</f>
        <v>0</v>
      </c>
      <c r="Y217" s="107">
        <f>IF(A11stdlife="n/a","n/a",IF(Y$3&gt;(A11stdlife+$E217),('PTRM input'!$P$153*(1+rvanilla10)^0.5)-SUM($P217:X217),('PTRM input'!$P$153*(1+rvanilla10)^0.5)/A11stdlife))</f>
        <v>0</v>
      </c>
      <c r="Z217" s="107">
        <f>IF(A11stdlife="n/a","n/a",IF(Z$3&gt;(A11stdlife+$E217),('PTRM input'!$P$153*(1+rvanilla10)^0.5)-SUM($P217:Y217),('PTRM input'!$P$153*(1+rvanilla10)^0.5)/A11stdlife))</f>
        <v>0</v>
      </c>
      <c r="AA217" s="107">
        <f>IF(A11stdlife="n/a","n/a",IF(AA$3&gt;(A11stdlife+$E217),('PTRM input'!$P$153*(1+rvanilla10)^0.5)-SUM($P217:Z217),('PTRM input'!$P$153*(1+rvanilla10)^0.5)/A11stdlife))</f>
        <v>0</v>
      </c>
      <c r="AB217" s="107">
        <f>IF(A11stdlife="n/a","n/a",IF(AB$3&gt;(A11stdlife+$E217),('PTRM input'!$P$153*(1+rvanilla10)^0.5)-SUM($P217:AA217),('PTRM input'!$P$153*(1+rvanilla10)^0.5)/A11stdlife))</f>
        <v>0</v>
      </c>
      <c r="AC217" s="107">
        <f>IF(A11stdlife="n/a","n/a",IF(AC$3&gt;(A11stdlife+$E217),('PTRM input'!$P$153*(1+rvanilla10)^0.5)-SUM($P217:AB217),('PTRM input'!$P$153*(1+rvanilla10)^0.5)/A11stdlife))</f>
        <v>0</v>
      </c>
      <c r="AD217" s="107">
        <f>IF(A11stdlife="n/a","n/a",IF(AD$3&gt;(A11stdlife+$E217),('PTRM input'!$P$153*(1+rvanilla10)^0.5)-SUM($P217:AC217),('PTRM input'!$P$153*(1+rvanilla10)^0.5)/A11stdlife))</f>
        <v>0</v>
      </c>
      <c r="AE217" s="107">
        <f>IF(A11stdlife="n/a","n/a",IF(AE$3&gt;(A11stdlife+$E217),('PTRM input'!$P$153*(1+rvanilla10)^0.5)-SUM($P217:AD217),('PTRM input'!$P$153*(1+rvanilla10)^0.5)/A11stdlife))</f>
        <v>0</v>
      </c>
      <c r="AF217" s="107">
        <f>IF(A11stdlife="n/a","n/a",IF(AF$3&gt;(A11stdlife+$E217),('PTRM input'!$P$153*(1+rvanilla10)^0.5)-SUM($P217:AE217),('PTRM input'!$P$153*(1+rvanilla10)^0.5)/A11stdlife))</f>
        <v>0</v>
      </c>
      <c r="AG217" s="107">
        <f>IF(A11stdlife="n/a","n/a",IF(AG$3&gt;(A11stdlife+$E217),('PTRM input'!$P$153*(1+rvanilla10)^0.5)-SUM($P217:AF217),('PTRM input'!$P$153*(1+rvanilla10)^0.5)/A11stdlife))</f>
        <v>0</v>
      </c>
      <c r="AH217" s="107">
        <f>IF(A11stdlife="n/a","n/a",IF(AH$3&gt;(A11stdlife+$E217),('PTRM input'!$P$153*(1+rvanilla10)^0.5)-SUM($P217:AG217),('PTRM input'!$P$153*(1+rvanilla10)^0.5)/A11stdlife))</f>
        <v>0</v>
      </c>
      <c r="AI217" s="107">
        <f>IF(A11stdlife="n/a","n/a",IF(AI$3&gt;(A11stdlife+$E217),('PTRM input'!$P$153*(1+rvanilla10)^0.5)-SUM($P217:AH217),('PTRM input'!$P$153*(1+rvanilla10)^0.5)/A11stdlife))</f>
        <v>0</v>
      </c>
      <c r="AJ217" s="107">
        <f>IF(A11stdlife="n/a","n/a",IF(AJ$3&gt;(A11stdlife+$E217),('PTRM input'!$P$153*(1+rvanilla10)^0.5)-SUM($P217:AI217),('PTRM input'!$P$153*(1+rvanilla10)^0.5)/A11stdlife))</f>
        <v>0</v>
      </c>
      <c r="AK217" s="107">
        <f>IF(A11stdlife="n/a","n/a",IF(AK$3&gt;(A11stdlife+$E217),('PTRM input'!$P$153*(1+rvanilla10)^0.5)-SUM($P217:AJ217),('PTRM input'!$P$153*(1+rvanilla10)^0.5)/A11stdlife))</f>
        <v>0</v>
      </c>
      <c r="AL217" s="107">
        <f>IF(A11stdlife="n/a","n/a",IF(AL$3&gt;(A11stdlife+$E217),('PTRM input'!$P$153*(1+rvanilla10)^0.5)-SUM($P217:AK217),('PTRM input'!$P$153*(1+rvanilla10)^0.5)/A11stdlife))</f>
        <v>0</v>
      </c>
      <c r="AM217" s="107">
        <f>IF(A11stdlife="n/a","n/a",IF(AM$3&gt;(A11stdlife+$E217),('PTRM input'!$P$153*(1+rvanilla10)^0.5)-SUM($P217:AL217),('PTRM input'!$P$153*(1+rvanilla10)^0.5)/A11stdlife))</f>
        <v>0</v>
      </c>
      <c r="AN217" s="107">
        <f>IF(A11stdlife="n/a","n/a",IF(AN$3&gt;(A11stdlife+$E217),('PTRM input'!$P$153*(1+rvanilla10)^0.5)-SUM($P217:AM217),('PTRM input'!$P$153*(1+rvanilla10)^0.5)/A11stdlife))</f>
        <v>0</v>
      </c>
      <c r="AO217" s="107">
        <f>IF(A11stdlife="n/a","n/a",IF(AO$3&gt;(A11stdlife+$E217),('PTRM input'!$P$153*(1+rvanilla10)^0.5)-SUM($P217:AN217),('PTRM input'!$P$153*(1+rvanilla10)^0.5)/A11stdlife))</f>
        <v>0</v>
      </c>
      <c r="AP217" s="107">
        <f>IF(A11stdlife="n/a","n/a",IF(AP$3&gt;(A11stdlife+$E217),('PTRM input'!$P$153*(1+rvanilla10)^0.5)-SUM($P217:AO217),('PTRM input'!$P$153*(1+rvanilla10)^0.5)/A11stdlife))</f>
        <v>0</v>
      </c>
      <c r="AQ217" s="107">
        <f>IF(A11stdlife="n/a","n/a",IF(AQ$3&gt;(A11stdlife+$E217),('PTRM input'!$P$153*(1+rvanilla10)^0.5)-SUM($P217:AP217),('PTRM input'!$P$153*(1+rvanilla10)^0.5)/A11stdlife))</f>
        <v>0</v>
      </c>
      <c r="AR217" s="107">
        <f>IF(A11stdlife="n/a","n/a",IF(AR$3&gt;(A11stdlife+$E217),('PTRM input'!$P$153*(1+rvanilla10)^0.5)-SUM($P217:AQ217),('PTRM input'!$P$153*(1+rvanilla10)^0.5)/A11stdlife))</f>
        <v>0</v>
      </c>
      <c r="AS217" s="107">
        <f>IF(A11stdlife="n/a","n/a",IF(AS$3&gt;(A11stdlife+$E217),('PTRM input'!$P$153*(1+rvanilla10)^0.5)-SUM($P217:AR217),('PTRM input'!$P$153*(1+rvanilla10)^0.5)/A11stdlife))</f>
        <v>0</v>
      </c>
      <c r="AT217" s="107">
        <f>IF(A11stdlife="n/a","n/a",IF(AT$3&gt;(A11stdlife+$E217),('PTRM input'!$P$153*(1+rvanilla10)^0.5)-SUM($P217:AS217),('PTRM input'!$P$153*(1+rvanilla10)^0.5)/A11stdlife))</f>
        <v>0</v>
      </c>
      <c r="AU217" s="107">
        <f>IF(A11stdlife="n/a","n/a",IF(AU$3&gt;(A11stdlife+$E217),('PTRM input'!$P$153*(1+rvanilla10)^0.5)-SUM($P217:AT217),('PTRM input'!$P$153*(1+rvanilla10)^0.5)/A11stdlife))</f>
        <v>0</v>
      </c>
      <c r="AV217" s="107">
        <f>IF(A11stdlife="n/a","n/a",IF(AV$3&gt;(A11stdlife+$E217),('PTRM input'!$P$153*(1+rvanilla10)^0.5)-SUM($P217:AU217),('PTRM input'!$P$153*(1+rvanilla10)^0.5)/A11stdlife))</f>
        <v>0</v>
      </c>
      <c r="AW217" s="107">
        <f>IF(A11stdlife="n/a","n/a",IF(AW$3&gt;(A11stdlife+$E217),('PTRM input'!$P$153*(1+rvanilla10)^0.5)-SUM($P217:AV217),('PTRM input'!$P$153*(1+rvanilla10)^0.5)/A11stdlife))</f>
        <v>0</v>
      </c>
      <c r="AX217" s="107">
        <f>IF(A11stdlife="n/a","n/a",IF(AX$3&gt;(A11stdlife+$E217),('PTRM input'!$P$153*(1+rvanilla10)^0.5)-SUM($P217:AW217),('PTRM input'!$P$153*(1+rvanilla10)^0.5)/A11stdlife))</f>
        <v>0</v>
      </c>
      <c r="AY217" s="107">
        <f>IF(A11stdlife="n/a","n/a",IF(AY$3&gt;(A11stdlife+$E217),('PTRM input'!$P$153*(1+rvanilla10)^0.5)-SUM($P217:AX217),('PTRM input'!$P$153*(1+rvanilla10)^0.5)/A11stdlife))</f>
        <v>0</v>
      </c>
      <c r="AZ217" s="107">
        <f>IF(A11stdlife="n/a","n/a",IF(AZ$3&gt;(A11stdlife+$E217),('PTRM input'!$P$153*(1+rvanilla10)^0.5)-SUM($P217:AY217),('PTRM input'!$P$153*(1+rvanilla10)^0.5)/A11stdlife))</f>
        <v>0</v>
      </c>
      <c r="BA217" s="107">
        <f>IF(A11stdlife="n/a","n/a",IF(BA$3&gt;(A11stdlife+$E217),('PTRM input'!$P$153*(1+rvanilla10)^0.5)-SUM($P217:AZ217),('PTRM input'!$P$153*(1+rvanilla10)^0.5)/A11stdlife))</f>
        <v>0</v>
      </c>
      <c r="BB217" s="107">
        <f>IF(A11stdlife="n/a","n/a",IF(BB$3&gt;(A11stdlife+$E217),('PTRM input'!$P$153*(1+rvanilla10)^0.5)-SUM($P217:BA217),('PTRM input'!$P$153*(1+rvanilla10)^0.5)/A11stdlife))</f>
        <v>0</v>
      </c>
      <c r="BC217" s="107">
        <f>IF(A11stdlife="n/a","n/a",IF(BC$3&gt;(A11stdlife+$E217),('PTRM input'!$P$153*(1+rvanilla10)^0.5)-SUM($P217:BB217),('PTRM input'!$P$153*(1+rvanilla10)^0.5)/A11stdlife))</f>
        <v>0</v>
      </c>
      <c r="BD217" s="107">
        <f>IF(A11stdlife="n/a","n/a",IF(BD$3&gt;(A11stdlife+$E217),('PTRM input'!$P$153*(1+rvanilla10)^0.5)-SUM($P217:BC217),('PTRM input'!$P$153*(1+rvanilla10)^0.5)/A11stdlife))</f>
        <v>0</v>
      </c>
      <c r="BE217" s="107">
        <f>IF(A11stdlife="n/a","n/a",IF(BE$3&gt;(A11stdlife+$E217),('PTRM input'!$P$153*(1+rvanilla10)^0.5)-SUM($P217:BD217),('PTRM input'!$P$153*(1+rvanilla10)^0.5)/A11stdlife))</f>
        <v>0</v>
      </c>
      <c r="BF217" s="107">
        <f>IF(A11stdlife="n/a","n/a",IF(BF$3&gt;(A11stdlife+$E217),('PTRM input'!$P$153*(1+rvanilla10)^0.5)-SUM($P217:BE217),('PTRM input'!$P$153*(1+rvanilla10)^0.5)/A11stdlife))</f>
        <v>0</v>
      </c>
      <c r="BG217" s="107">
        <f>IF(A11stdlife="n/a","n/a",IF(BG$3&gt;(A11stdlife+$E217),('PTRM input'!$P$153*(1+rvanilla10)^0.5)-SUM($P217:BF217),('PTRM input'!$P$153*(1+rvanilla10)^0.5)/A11stdlife))</f>
        <v>0</v>
      </c>
      <c r="BH217" s="107">
        <f>IF(A11stdlife="n/a","n/a",IF(BH$3&gt;(A11stdlife+$E217),('PTRM input'!$P$153*(1+rvanilla10)^0.5)-SUM($P217:BG217),('PTRM input'!$P$153*(1+rvanilla10)^0.5)/A11stdlife))</f>
        <v>0</v>
      </c>
      <c r="BI217" s="107">
        <f>IF(A11stdlife="n/a","n/a",IF(BI$3&gt;(A11stdlife+$E217),('PTRM input'!$P$153*(1+rvanilla10)^0.5)-SUM($P217:BH217),('PTRM input'!$P$153*(1+rvanilla10)^0.5)/A11stdlife))</f>
        <v>0</v>
      </c>
      <c r="BJ217" s="237"/>
      <c r="BK217" s="237"/>
      <c r="BL217" s="237"/>
      <c r="BM217" s="237"/>
    </row>
    <row r="218" spans="1:65" s="190" customFormat="1" hidden="1" outlineLevel="1">
      <c r="A218" s="237"/>
      <c r="B218" s="18"/>
      <c r="C218" s="33">
        <f>Asset11</f>
        <v>0</v>
      </c>
      <c r="D218" s="18"/>
      <c r="E218" s="18"/>
      <c r="F218" s="31"/>
      <c r="G218" s="104">
        <f t="shared" ref="G218:AL218" si="57">SUM(G206:G217)</f>
        <v>0</v>
      </c>
      <c r="H218" s="104">
        <f t="shared" si="57"/>
        <v>0</v>
      </c>
      <c r="I218" s="104">
        <f t="shared" si="57"/>
        <v>0</v>
      </c>
      <c r="J218" s="104">
        <f t="shared" si="57"/>
        <v>0</v>
      </c>
      <c r="K218" s="104">
        <f t="shared" si="57"/>
        <v>0</v>
      </c>
      <c r="L218" s="104">
        <f t="shared" si="57"/>
        <v>0</v>
      </c>
      <c r="M218" s="104">
        <f t="shared" si="57"/>
        <v>0</v>
      </c>
      <c r="N218" s="104">
        <f t="shared" si="57"/>
        <v>0</v>
      </c>
      <c r="O218" s="104">
        <f t="shared" si="57"/>
        <v>0</v>
      </c>
      <c r="P218" s="104">
        <f t="shared" si="57"/>
        <v>0</v>
      </c>
      <c r="Q218" s="104">
        <f t="shared" si="57"/>
        <v>0</v>
      </c>
      <c r="R218" s="104">
        <f t="shared" si="57"/>
        <v>0</v>
      </c>
      <c r="S218" s="104">
        <f t="shared" si="57"/>
        <v>0</v>
      </c>
      <c r="T218" s="104">
        <f t="shared" si="57"/>
        <v>0</v>
      </c>
      <c r="U218" s="104">
        <f t="shared" si="57"/>
        <v>0</v>
      </c>
      <c r="V218" s="104">
        <f t="shared" si="57"/>
        <v>0</v>
      </c>
      <c r="W218" s="104">
        <f t="shared" si="57"/>
        <v>0</v>
      </c>
      <c r="X218" s="104">
        <f t="shared" si="57"/>
        <v>0</v>
      </c>
      <c r="Y218" s="104">
        <f t="shared" si="57"/>
        <v>0</v>
      </c>
      <c r="Z218" s="104">
        <f t="shared" si="57"/>
        <v>0</v>
      </c>
      <c r="AA218" s="104">
        <f t="shared" si="57"/>
        <v>0</v>
      </c>
      <c r="AB218" s="104">
        <f t="shared" si="57"/>
        <v>0</v>
      </c>
      <c r="AC218" s="104">
        <f t="shared" si="57"/>
        <v>0</v>
      </c>
      <c r="AD218" s="104">
        <f t="shared" si="57"/>
        <v>0</v>
      </c>
      <c r="AE218" s="104">
        <f t="shared" si="57"/>
        <v>0</v>
      </c>
      <c r="AF218" s="104">
        <f t="shared" si="57"/>
        <v>0</v>
      </c>
      <c r="AG218" s="104">
        <f t="shared" si="57"/>
        <v>0</v>
      </c>
      <c r="AH218" s="104">
        <f t="shared" si="57"/>
        <v>0</v>
      </c>
      <c r="AI218" s="104">
        <f t="shared" si="57"/>
        <v>0</v>
      </c>
      <c r="AJ218" s="104">
        <f t="shared" si="57"/>
        <v>0</v>
      </c>
      <c r="AK218" s="104">
        <f t="shared" si="57"/>
        <v>0</v>
      </c>
      <c r="AL218" s="104">
        <f t="shared" si="57"/>
        <v>0</v>
      </c>
      <c r="AM218" s="104">
        <f t="shared" ref="AM218:BI218" si="58">SUM(AM206:AM217)</f>
        <v>0</v>
      </c>
      <c r="AN218" s="104">
        <f t="shared" si="58"/>
        <v>0</v>
      </c>
      <c r="AO218" s="104">
        <f t="shared" si="58"/>
        <v>0</v>
      </c>
      <c r="AP218" s="104">
        <f t="shared" si="58"/>
        <v>0</v>
      </c>
      <c r="AQ218" s="104">
        <f t="shared" si="58"/>
        <v>0</v>
      </c>
      <c r="AR218" s="104">
        <f t="shared" si="58"/>
        <v>0</v>
      </c>
      <c r="AS218" s="104">
        <f t="shared" si="58"/>
        <v>0</v>
      </c>
      <c r="AT218" s="104">
        <f t="shared" si="58"/>
        <v>0</v>
      </c>
      <c r="AU218" s="104">
        <f t="shared" si="58"/>
        <v>0</v>
      </c>
      <c r="AV218" s="104">
        <f t="shared" si="58"/>
        <v>0</v>
      </c>
      <c r="AW218" s="104">
        <f t="shared" si="58"/>
        <v>0</v>
      </c>
      <c r="AX218" s="104">
        <f t="shared" si="58"/>
        <v>0</v>
      </c>
      <c r="AY218" s="104">
        <f t="shared" si="58"/>
        <v>0</v>
      </c>
      <c r="AZ218" s="104">
        <f t="shared" si="58"/>
        <v>0</v>
      </c>
      <c r="BA218" s="104">
        <f t="shared" si="58"/>
        <v>0</v>
      </c>
      <c r="BB218" s="104">
        <f t="shared" si="58"/>
        <v>0</v>
      </c>
      <c r="BC218" s="104">
        <f t="shared" si="58"/>
        <v>0</v>
      </c>
      <c r="BD218" s="104">
        <f t="shared" si="58"/>
        <v>0</v>
      </c>
      <c r="BE218" s="104">
        <f t="shared" si="58"/>
        <v>0</v>
      </c>
      <c r="BF218" s="104">
        <f t="shared" si="58"/>
        <v>0</v>
      </c>
      <c r="BG218" s="104">
        <f t="shared" si="58"/>
        <v>0</v>
      </c>
      <c r="BH218" s="104">
        <f t="shared" si="58"/>
        <v>0</v>
      </c>
      <c r="BI218" s="104">
        <f t="shared" si="58"/>
        <v>0</v>
      </c>
      <c r="BJ218" s="237"/>
      <c r="BK218" s="237"/>
      <c r="BL218" s="237"/>
      <c r="BM218" s="237"/>
    </row>
    <row r="219" spans="1:65" s="190" customFormat="1" ht="12.75" hidden="1" customHeight="1" outlineLevel="2">
      <c r="A219" s="237"/>
      <c r="B219" s="37">
        <f>C231</f>
        <v>0</v>
      </c>
      <c r="C219" s="38"/>
      <c r="D219" s="39" t="s">
        <v>58</v>
      </c>
      <c r="E219" s="38"/>
      <c r="F219" s="40"/>
      <c r="G219" s="106">
        <f>IF(G$3&gt;A12remlife,A12value-SUM($F219:F219),IF(A12remlife="N/A","n/a",A12value/A12remlife))</f>
        <v>0</v>
      </c>
      <c r="H219" s="106">
        <f>IF(H$3&gt;A12remlife,A12value-SUM($F219:G219),IF(A12remlife="N/A","n/a",A12value/A12remlife))</f>
        <v>0</v>
      </c>
      <c r="I219" s="106">
        <f>IF(I$3&gt;A12remlife,A12value-SUM($F219:H219),IF(A12remlife="N/A","n/a",A12value/A12remlife))</f>
        <v>0</v>
      </c>
      <c r="J219" s="106">
        <f>IF(J$3&gt;A12remlife,A12value-SUM($F219:I219),IF(A12remlife="N/A","n/a",A12value/A12remlife))</f>
        <v>0</v>
      </c>
      <c r="K219" s="106">
        <f>IF(K$3&gt;A12remlife,A12value-SUM($F219:J219),IF(A12remlife="N/A","n/a",A12value/A12remlife))</f>
        <v>0</v>
      </c>
      <c r="L219" s="106">
        <f>IF(L$3&gt;A12remlife,A12value-SUM($F219:K219),IF(A12remlife="N/A","n/a",A12value/A12remlife))</f>
        <v>0</v>
      </c>
      <c r="M219" s="106">
        <f>IF(M$3&gt;A12remlife,A12value-SUM($F219:L219),IF(A12remlife="N/A","n/a",A12value/A12remlife))</f>
        <v>0</v>
      </c>
      <c r="N219" s="106">
        <f>IF(N$3&gt;A12remlife,A12value-SUM($F219:M219),IF(A12remlife="N/A","n/a",A12value/A12remlife))</f>
        <v>0</v>
      </c>
      <c r="O219" s="106">
        <f>IF(O$3&gt;A12remlife,A12value-SUM($F219:N219),IF(A12remlife="N/A","n/a",A12value/A12remlife))</f>
        <v>0</v>
      </c>
      <c r="P219" s="106">
        <f>IF(P$3&gt;A12remlife,A12value-SUM($F219:O219),IF(A12remlife="N/A","n/a",A12value/A12remlife))</f>
        <v>0</v>
      </c>
      <c r="Q219" s="106">
        <f>IF(Q$3&gt;A12remlife,A12value-SUM($F219:P219),IF(A12remlife="N/A","n/a",A12value/A12remlife))</f>
        <v>0</v>
      </c>
      <c r="R219" s="106">
        <f>IF(R$3&gt;A12remlife,A12value-SUM($F219:Q219),IF(A12remlife="N/A","n/a",A12value/A12remlife))</f>
        <v>0</v>
      </c>
      <c r="S219" s="106">
        <f>IF(S$3&gt;A12remlife,A12value-SUM($F219:R219),IF(A12remlife="N/A","n/a",A12value/A12remlife))</f>
        <v>0</v>
      </c>
      <c r="T219" s="106">
        <f>IF(T$3&gt;A12remlife,A12value-SUM($F219:S219),IF(A12remlife="N/A","n/a",A12value/A12remlife))</f>
        <v>0</v>
      </c>
      <c r="U219" s="106">
        <f>IF(U$3&gt;A12remlife,A12value-SUM($F219:T219),IF(A12remlife="N/A","n/a",A12value/A12remlife))</f>
        <v>0</v>
      </c>
      <c r="V219" s="106">
        <f>IF(V$3&gt;A12remlife,A12value-SUM($F219:U219),IF(A12remlife="N/A","n/a",A12value/A12remlife))</f>
        <v>0</v>
      </c>
      <c r="W219" s="106">
        <f>IF(W$3&gt;A12remlife,A12value-SUM($F219:V219),IF(A12remlife="N/A","n/a",A12value/A12remlife))</f>
        <v>0</v>
      </c>
      <c r="X219" s="106">
        <f>IF(X$3&gt;A12remlife,A12value-SUM($F219:W219),IF(A12remlife="N/A","n/a",A12value/A12remlife))</f>
        <v>0</v>
      </c>
      <c r="Y219" s="106">
        <f>IF(Y$3&gt;A12remlife,A12value-SUM($F219:X219),IF(A12remlife="N/A","n/a",A12value/A12remlife))</f>
        <v>0</v>
      </c>
      <c r="Z219" s="106">
        <f>IF(Z$3&gt;A12remlife,A12value-SUM($F219:Y219),IF(A12remlife="N/A","n/a",A12value/A12remlife))</f>
        <v>0</v>
      </c>
      <c r="AA219" s="106">
        <f>IF(AA$3&gt;A12remlife,A12value-SUM($F219:Z219),IF(A12remlife="N/A","n/a",A12value/A12remlife))</f>
        <v>0</v>
      </c>
      <c r="AB219" s="106">
        <f>IF(AB$3&gt;A12remlife,A12value-SUM($F219:AA219),IF(A12remlife="N/A","n/a",A12value/A12remlife))</f>
        <v>0</v>
      </c>
      <c r="AC219" s="106">
        <f>IF(AC$3&gt;A12remlife,A12value-SUM($F219:AB219),IF(A12remlife="N/A","n/a",A12value/A12remlife))</f>
        <v>0</v>
      </c>
      <c r="AD219" s="106">
        <f>IF(AD$3&gt;A12remlife,A12value-SUM($F219:AC219),IF(A12remlife="N/A","n/a",A12value/A12remlife))</f>
        <v>0</v>
      </c>
      <c r="AE219" s="106">
        <f>IF(AE$3&gt;A12remlife,A12value-SUM($F219:AD219),IF(A12remlife="N/A","n/a",A12value/A12remlife))</f>
        <v>0</v>
      </c>
      <c r="AF219" s="106">
        <f>IF(AF$3&gt;A12remlife,A12value-SUM($F219:AE219),IF(A12remlife="N/A","n/a",A12value/A12remlife))</f>
        <v>0</v>
      </c>
      <c r="AG219" s="106">
        <f>IF(AG$3&gt;A12remlife,A12value-SUM($F219:AF219),IF(A12remlife="N/A","n/a",A12value/A12remlife))</f>
        <v>0</v>
      </c>
      <c r="AH219" s="106">
        <f>IF(AH$3&gt;A12remlife,A12value-SUM($F219:AG219),IF(A12remlife="N/A","n/a",A12value/A12remlife))</f>
        <v>0</v>
      </c>
      <c r="AI219" s="106">
        <f>IF(AI$3&gt;A12remlife,A12value-SUM($F219:AH219),IF(A12remlife="N/A","n/a",A12value/A12remlife))</f>
        <v>0</v>
      </c>
      <c r="AJ219" s="106">
        <f>IF(AJ$3&gt;A12remlife,A12value-SUM($F219:AI219),IF(A12remlife="N/A","n/a",A12value/A12remlife))</f>
        <v>0</v>
      </c>
      <c r="AK219" s="106">
        <f>IF(AK$3&gt;A12remlife,A12value-SUM($F219:AJ219),IF(A12remlife="N/A","n/a",A12value/A12remlife))</f>
        <v>0</v>
      </c>
      <c r="AL219" s="106">
        <f>IF(AL$3&gt;A12remlife,A12value-SUM($F219:AK219),IF(A12remlife="N/A","n/a",A12value/A12remlife))</f>
        <v>0</v>
      </c>
      <c r="AM219" s="106">
        <f>IF(AM$3&gt;A12remlife,A12value-SUM($F219:AL219),IF(A12remlife="N/A","n/a",A12value/A12remlife))</f>
        <v>0</v>
      </c>
      <c r="AN219" s="106">
        <f>IF(AN$3&gt;A12remlife,A12value-SUM($F219:AM219),IF(A12remlife="N/A","n/a",A12value/A12remlife))</f>
        <v>0</v>
      </c>
      <c r="AO219" s="106">
        <f>IF(AO$3&gt;A12remlife,A12value-SUM($F219:AN219),IF(A12remlife="N/A","n/a",A12value/A12remlife))</f>
        <v>0</v>
      </c>
      <c r="AP219" s="106">
        <f>IF(AP$3&gt;A12remlife,A12value-SUM($F219:AO219),IF(A12remlife="N/A","n/a",A12value/A12remlife))</f>
        <v>0</v>
      </c>
      <c r="AQ219" s="106">
        <f>IF(AQ$3&gt;A12remlife,A12value-SUM($F219:AP219),IF(A12remlife="N/A","n/a",A12value/A12remlife))</f>
        <v>0</v>
      </c>
      <c r="AR219" s="106">
        <f>IF(AR$3&gt;A12remlife,A12value-SUM($F219:AQ219),IF(A12remlife="N/A","n/a",A12value/A12remlife))</f>
        <v>0</v>
      </c>
      <c r="AS219" s="106">
        <f>IF(AS$3&gt;A12remlife,A12value-SUM($F219:AR219),IF(A12remlife="N/A","n/a",A12value/A12remlife))</f>
        <v>0</v>
      </c>
      <c r="AT219" s="106">
        <f>IF(AT$3&gt;A12remlife,A12value-SUM($F219:AS219),IF(A12remlife="N/A","n/a",A12value/A12remlife))</f>
        <v>0</v>
      </c>
      <c r="AU219" s="106">
        <f>IF(AU$3&gt;A12remlife,A12value-SUM($F219:AT219),IF(A12remlife="N/A","n/a",A12value/A12remlife))</f>
        <v>0</v>
      </c>
      <c r="AV219" s="106">
        <f>IF(AV$3&gt;A12remlife,A12value-SUM($F219:AU219),IF(A12remlife="N/A","n/a",A12value/A12remlife))</f>
        <v>0</v>
      </c>
      <c r="AW219" s="106">
        <f>IF(AW$3&gt;A12remlife,A12value-SUM($F219:AV219),IF(A12remlife="N/A","n/a",A12value/A12remlife))</f>
        <v>0</v>
      </c>
      <c r="AX219" s="106">
        <f>IF(AX$3&gt;A12remlife,A12value-SUM($F219:AW219),IF(A12remlife="N/A","n/a",A12value/A12remlife))</f>
        <v>0</v>
      </c>
      <c r="AY219" s="106">
        <f>IF(AY$3&gt;A12remlife,A12value-SUM($F219:AX219),IF(A12remlife="N/A","n/a",A12value/A12remlife))</f>
        <v>0</v>
      </c>
      <c r="AZ219" s="106">
        <f>IF(AZ$3&gt;A12remlife,A12value-SUM($F219:AY219),IF(A12remlife="N/A","n/a",A12value/A12remlife))</f>
        <v>0</v>
      </c>
      <c r="BA219" s="106">
        <f>IF(BA$3&gt;A12remlife,A12value-SUM($F219:AZ219),IF(A12remlife="N/A","n/a",A12value/A12remlife))</f>
        <v>0</v>
      </c>
      <c r="BB219" s="106">
        <f>IF(BB$3&gt;A12remlife,A12value-SUM($F219:BA219),IF(A12remlife="N/A","n/a",A12value/A12remlife))</f>
        <v>0</v>
      </c>
      <c r="BC219" s="106">
        <f>IF(BC$3&gt;A12remlife,A12value-SUM($F219:BB219),IF(A12remlife="N/A","n/a",A12value/A12remlife))</f>
        <v>0</v>
      </c>
      <c r="BD219" s="106">
        <f>IF(BD$3&gt;A12remlife,A12value-SUM($F219:BC219),IF(A12remlife="N/A","n/a",A12value/A12remlife))</f>
        <v>0</v>
      </c>
      <c r="BE219" s="106">
        <f>IF(BE$3&gt;A12remlife,A12value-SUM($F219:BD219),IF(A12remlife="N/A","n/a",A12value/A12remlife))</f>
        <v>0</v>
      </c>
      <c r="BF219" s="106">
        <f>IF(BF$3&gt;A12remlife,A12value-SUM($F219:BE219),IF(A12remlife="N/A","n/a",A12value/A12remlife))</f>
        <v>0</v>
      </c>
      <c r="BG219" s="106">
        <f>IF(BG$3&gt;A12remlife,A12value-SUM($F219:BF219),IF(A12remlife="N/A","n/a",A12value/A12remlife))</f>
        <v>0</v>
      </c>
      <c r="BH219" s="106">
        <f>IF(BH$3&gt;A12remlife,A12value-SUM($F219:BG219),IF(A12remlife="N/A","n/a",A12value/A12remlife))</f>
        <v>0</v>
      </c>
      <c r="BI219" s="106">
        <f>IF(BI$3&gt;A12remlife,A12value-SUM($F219:BH219),IF(A12remlife="N/A","n/a",A12value/A12remlife))</f>
        <v>0</v>
      </c>
      <c r="BJ219" s="237"/>
      <c r="BK219" s="237"/>
      <c r="BL219" s="237"/>
      <c r="BM219" s="237"/>
    </row>
    <row r="220" spans="1:65" s="190" customFormat="1" ht="12.75" hidden="1" customHeight="1" outlineLevel="2">
      <c r="A220" s="237"/>
      <c r="B220" s="33"/>
      <c r="C220" s="32"/>
      <c r="D220" s="1618" t="s">
        <v>357</v>
      </c>
      <c r="E220" s="169">
        <v>0</v>
      </c>
      <c r="F220" s="35"/>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237"/>
      <c r="BK220" s="237"/>
      <c r="BL220" s="237"/>
      <c r="BM220" s="237"/>
    </row>
    <row r="221" spans="1:65" s="190" customFormat="1" hidden="1" outlineLevel="2">
      <c r="A221" s="237"/>
      <c r="B221" s="33"/>
      <c r="C221" s="32"/>
      <c r="D221" s="1618"/>
      <c r="E221" s="169">
        <v>1</v>
      </c>
      <c r="F221" s="35"/>
      <c r="G221" s="183"/>
      <c r="H221" s="107">
        <f>IF(A12stdlife="n/a","n/a",IF(H$3&gt;(A12stdlife+$E221),('PTRM input'!$G$154*(1+rvanilla01)^0.5)-SUM($G221:G221),('PTRM input'!$G$154*(1+rvanilla01)^0.5)/A12stdlife))</f>
        <v>0</v>
      </c>
      <c r="I221" s="107">
        <f>IF(A12stdlife="n/a","n/a",IF(I$3&gt;(A12stdlife+$E221),('PTRM input'!$G$154*(1+rvanilla01)^0.5)-SUM($G221:H221),('PTRM input'!$G$154*(1+rvanilla01)^0.5)/A12stdlife))</f>
        <v>0</v>
      </c>
      <c r="J221" s="107">
        <f>IF(A12stdlife="n/a","n/a",IF(J$3&gt;(A12stdlife+$E221),('PTRM input'!$G$154*(1+rvanilla01)^0.5)-SUM($G221:I221),('PTRM input'!$G$154*(1+rvanilla01)^0.5)/A12stdlife))</f>
        <v>0</v>
      </c>
      <c r="K221" s="107">
        <f>IF(A12stdlife="n/a","n/a",IF(K$3&gt;(A12stdlife+$E221),('PTRM input'!$G$154*(1+rvanilla01)^0.5)-SUM($G221:J221),('PTRM input'!$G$154*(1+rvanilla01)^0.5)/A12stdlife))</f>
        <v>0</v>
      </c>
      <c r="L221" s="107">
        <f>IF(A12stdlife="n/a","n/a",IF(L$3&gt;(A12stdlife+$E221),('PTRM input'!$G$154*(1+rvanilla01)^0.5)-SUM($G221:K221),('PTRM input'!$G$154*(1+rvanilla01)^0.5)/A12stdlife))</f>
        <v>0</v>
      </c>
      <c r="M221" s="107">
        <f>IF(A12stdlife="n/a","n/a",IF(M$3&gt;(A12stdlife+$E221),('PTRM input'!$G$154*(1+rvanilla01)^0.5)-SUM($G221:L221),('PTRM input'!$G$154*(1+rvanilla01)^0.5)/A12stdlife))</f>
        <v>0</v>
      </c>
      <c r="N221" s="107">
        <f>IF(A12stdlife="n/a","n/a",IF(N$3&gt;(A12stdlife+$E221),('PTRM input'!$G$154*(1+rvanilla01)^0.5)-SUM($G221:M221),('PTRM input'!$G$154*(1+rvanilla01)^0.5)/A12stdlife))</f>
        <v>0</v>
      </c>
      <c r="O221" s="107">
        <f>IF(A12stdlife="n/a","n/a",IF(O$3&gt;(A12stdlife+$E221),('PTRM input'!$G$154*(1+rvanilla01)^0.5)-SUM($G221:N221),('PTRM input'!$G$154*(1+rvanilla01)^0.5)/A12stdlife))</f>
        <v>0</v>
      </c>
      <c r="P221" s="107">
        <f>IF(A12stdlife="n/a","n/a",IF(P$3&gt;(A12stdlife+$E221),('PTRM input'!$G$154*(1+rvanilla01)^0.5)-SUM($G221:O221),('PTRM input'!$G$154*(1+rvanilla01)^0.5)/A12stdlife))</f>
        <v>0</v>
      </c>
      <c r="Q221" s="107">
        <f>IF(A12stdlife="n/a","n/a",IF(Q$3&gt;(A12stdlife+$E221),('PTRM input'!$G$154*(1+rvanilla01)^0.5)-SUM($G221:P221),('PTRM input'!$G$154*(1+rvanilla01)^0.5)/A12stdlife))</f>
        <v>0</v>
      </c>
      <c r="R221" s="107">
        <f>IF(A12stdlife="n/a","n/a",IF(R$3&gt;(A12stdlife+$E221),('PTRM input'!$G$154*(1+rvanilla01)^0.5)-SUM($G221:Q221),('PTRM input'!$G$154*(1+rvanilla01)^0.5)/A12stdlife))</f>
        <v>0</v>
      </c>
      <c r="S221" s="107">
        <f>IF(A12stdlife="n/a","n/a",IF(S$3&gt;(A12stdlife+$E221),('PTRM input'!$G$154*(1+rvanilla01)^0.5)-SUM($G221:R221),('PTRM input'!$G$154*(1+rvanilla01)^0.5)/A12stdlife))</f>
        <v>0</v>
      </c>
      <c r="T221" s="107">
        <f>IF(A12stdlife="n/a","n/a",IF(T$3&gt;(A12stdlife+$E221),('PTRM input'!$G$154*(1+rvanilla01)^0.5)-SUM($G221:S221),('PTRM input'!$G$154*(1+rvanilla01)^0.5)/A12stdlife))</f>
        <v>0</v>
      </c>
      <c r="U221" s="107">
        <f>IF(A12stdlife="n/a","n/a",IF(U$3&gt;(A12stdlife+$E221),('PTRM input'!$G$154*(1+rvanilla01)^0.5)-SUM($G221:T221),('PTRM input'!$G$154*(1+rvanilla01)^0.5)/A12stdlife))</f>
        <v>0</v>
      </c>
      <c r="V221" s="107">
        <f>IF(A12stdlife="n/a","n/a",IF(V$3&gt;(A12stdlife+$E221),('PTRM input'!$G$154*(1+rvanilla01)^0.5)-SUM($G221:U221),('PTRM input'!$G$154*(1+rvanilla01)^0.5)/A12stdlife))</f>
        <v>0</v>
      </c>
      <c r="W221" s="107">
        <f>IF(A12stdlife="n/a","n/a",IF(W$3&gt;(A12stdlife+$E221),('PTRM input'!$G$154*(1+rvanilla01)^0.5)-SUM($G221:V221),('PTRM input'!$G$154*(1+rvanilla01)^0.5)/A12stdlife))</f>
        <v>0</v>
      </c>
      <c r="X221" s="107">
        <f>IF(A12stdlife="n/a","n/a",IF(X$3&gt;(A12stdlife+$E221),('PTRM input'!$G$154*(1+rvanilla01)^0.5)-SUM($G221:W221),('PTRM input'!$G$154*(1+rvanilla01)^0.5)/A12stdlife))</f>
        <v>0</v>
      </c>
      <c r="Y221" s="107">
        <f>IF(A12stdlife="n/a","n/a",IF(Y$3&gt;(A12stdlife+$E221),('PTRM input'!$G$154*(1+rvanilla01)^0.5)-SUM($G221:X221),('PTRM input'!$G$154*(1+rvanilla01)^0.5)/A12stdlife))</f>
        <v>0</v>
      </c>
      <c r="Z221" s="107">
        <f>IF(A12stdlife="n/a","n/a",IF(Z$3&gt;(A12stdlife+$E221),('PTRM input'!$G$154*(1+rvanilla01)^0.5)-SUM($G221:Y221),('PTRM input'!$G$154*(1+rvanilla01)^0.5)/A12stdlife))</f>
        <v>0</v>
      </c>
      <c r="AA221" s="107">
        <f>IF(A12stdlife="n/a","n/a",IF(AA$3&gt;(A12stdlife+$E221),('PTRM input'!$G$154*(1+rvanilla01)^0.5)-SUM($G221:Z221),('PTRM input'!$G$154*(1+rvanilla01)^0.5)/A12stdlife))</f>
        <v>0</v>
      </c>
      <c r="AB221" s="107">
        <f>IF(A12stdlife="n/a","n/a",IF(AB$3&gt;(A12stdlife+$E221),('PTRM input'!$G$154*(1+rvanilla01)^0.5)-SUM($G221:AA221),('PTRM input'!$G$154*(1+rvanilla01)^0.5)/A12stdlife))</f>
        <v>0</v>
      </c>
      <c r="AC221" s="107">
        <f>IF(A12stdlife="n/a","n/a",IF(AC$3&gt;(A12stdlife+$E221),('PTRM input'!$G$154*(1+rvanilla01)^0.5)-SUM($G221:AB221),('PTRM input'!$G$154*(1+rvanilla01)^0.5)/A12stdlife))</f>
        <v>0</v>
      </c>
      <c r="AD221" s="107">
        <f>IF(A12stdlife="n/a","n/a",IF(AD$3&gt;(A12stdlife+$E221),('PTRM input'!$G$154*(1+rvanilla01)^0.5)-SUM($G221:AC221),('PTRM input'!$G$154*(1+rvanilla01)^0.5)/A12stdlife))</f>
        <v>0</v>
      </c>
      <c r="AE221" s="107">
        <f>IF(A12stdlife="n/a","n/a",IF(AE$3&gt;(A12stdlife+$E221),('PTRM input'!$G$154*(1+rvanilla01)^0.5)-SUM($G221:AD221),('PTRM input'!$G$154*(1+rvanilla01)^0.5)/A12stdlife))</f>
        <v>0</v>
      </c>
      <c r="AF221" s="107">
        <f>IF(A12stdlife="n/a","n/a",IF(AF$3&gt;(A12stdlife+$E221),('PTRM input'!$G$154*(1+rvanilla01)^0.5)-SUM($G221:AE221),('PTRM input'!$G$154*(1+rvanilla01)^0.5)/A12stdlife))</f>
        <v>0</v>
      </c>
      <c r="AG221" s="107">
        <f>IF(A12stdlife="n/a","n/a",IF(AG$3&gt;(A12stdlife+$E221),('PTRM input'!$G$154*(1+rvanilla01)^0.5)-SUM($G221:AF221),('PTRM input'!$G$154*(1+rvanilla01)^0.5)/A12stdlife))</f>
        <v>0</v>
      </c>
      <c r="AH221" s="107">
        <f>IF(A12stdlife="n/a","n/a",IF(AH$3&gt;(A12stdlife+$E221),('PTRM input'!$G$154*(1+rvanilla01)^0.5)-SUM($G221:AG221),('PTRM input'!$G$154*(1+rvanilla01)^0.5)/A12stdlife))</f>
        <v>0</v>
      </c>
      <c r="AI221" s="107">
        <f>IF(A12stdlife="n/a","n/a",IF(AI$3&gt;(A12stdlife+$E221),('PTRM input'!$G$154*(1+rvanilla01)^0.5)-SUM($G221:AH221),('PTRM input'!$G$154*(1+rvanilla01)^0.5)/A12stdlife))</f>
        <v>0</v>
      </c>
      <c r="AJ221" s="107">
        <f>IF(A12stdlife="n/a","n/a",IF(AJ$3&gt;(A12stdlife+$E221),('PTRM input'!$G$154*(1+rvanilla01)^0.5)-SUM($G221:AI221),('PTRM input'!$G$154*(1+rvanilla01)^0.5)/A12stdlife))</f>
        <v>0</v>
      </c>
      <c r="AK221" s="107">
        <f>IF(A12stdlife="n/a","n/a",IF(AK$3&gt;(A12stdlife+$E221),('PTRM input'!$G$154*(1+rvanilla01)^0.5)-SUM($G221:AJ221),('PTRM input'!$G$154*(1+rvanilla01)^0.5)/A12stdlife))</f>
        <v>0</v>
      </c>
      <c r="AL221" s="107">
        <f>IF(A12stdlife="n/a","n/a",IF(AL$3&gt;(A12stdlife+$E221),('PTRM input'!$G$154*(1+rvanilla01)^0.5)-SUM($G221:AK221),('PTRM input'!$G$154*(1+rvanilla01)^0.5)/A12stdlife))</f>
        <v>0</v>
      </c>
      <c r="AM221" s="107">
        <f>IF(A12stdlife="n/a","n/a",IF(AM$3&gt;(A12stdlife+$E221),('PTRM input'!$G$154*(1+rvanilla01)^0.5)-SUM($G221:AL221),('PTRM input'!$G$154*(1+rvanilla01)^0.5)/A12stdlife))</f>
        <v>0</v>
      </c>
      <c r="AN221" s="107">
        <f>IF(A12stdlife="n/a","n/a",IF(AN$3&gt;(A12stdlife+$E221),('PTRM input'!$G$154*(1+rvanilla01)^0.5)-SUM($G221:AM221),('PTRM input'!$G$154*(1+rvanilla01)^0.5)/A12stdlife))</f>
        <v>0</v>
      </c>
      <c r="AO221" s="107">
        <f>IF(A12stdlife="n/a","n/a",IF(AO$3&gt;(A12stdlife+$E221),('PTRM input'!$G$154*(1+rvanilla01)^0.5)-SUM($G221:AN221),('PTRM input'!$G$154*(1+rvanilla01)^0.5)/A12stdlife))</f>
        <v>0</v>
      </c>
      <c r="AP221" s="107">
        <f>IF(A12stdlife="n/a","n/a",IF(AP$3&gt;(A12stdlife+$E221),('PTRM input'!$G$154*(1+rvanilla01)^0.5)-SUM($G221:AO221),('PTRM input'!$G$154*(1+rvanilla01)^0.5)/A12stdlife))</f>
        <v>0</v>
      </c>
      <c r="AQ221" s="107">
        <f>IF(A12stdlife="n/a","n/a",IF(AQ$3&gt;(A12stdlife+$E221),('PTRM input'!$G$154*(1+rvanilla01)^0.5)-SUM($G221:AP221),('PTRM input'!$G$154*(1+rvanilla01)^0.5)/A12stdlife))</f>
        <v>0</v>
      </c>
      <c r="AR221" s="107">
        <f>IF(A12stdlife="n/a","n/a",IF(AR$3&gt;(A12stdlife+$E221),('PTRM input'!$G$154*(1+rvanilla01)^0.5)-SUM($G221:AQ221),('PTRM input'!$G$154*(1+rvanilla01)^0.5)/A12stdlife))</f>
        <v>0</v>
      </c>
      <c r="AS221" s="107">
        <f>IF(A12stdlife="n/a","n/a",IF(AS$3&gt;(A12stdlife+$E221),('PTRM input'!$G$154*(1+rvanilla01)^0.5)-SUM($G221:AR221),('PTRM input'!$G$154*(1+rvanilla01)^0.5)/A12stdlife))</f>
        <v>0</v>
      </c>
      <c r="AT221" s="107">
        <f>IF(A12stdlife="n/a","n/a",IF(AT$3&gt;(A12stdlife+$E221),('PTRM input'!$G$154*(1+rvanilla01)^0.5)-SUM($G221:AS221),('PTRM input'!$G$154*(1+rvanilla01)^0.5)/A12stdlife))</f>
        <v>0</v>
      </c>
      <c r="AU221" s="107">
        <f>IF(A12stdlife="n/a","n/a",IF(AU$3&gt;(A12stdlife+$E221),('PTRM input'!$G$154*(1+rvanilla01)^0.5)-SUM($G221:AT221),('PTRM input'!$G$154*(1+rvanilla01)^0.5)/A12stdlife))</f>
        <v>0</v>
      </c>
      <c r="AV221" s="107">
        <f>IF(A12stdlife="n/a","n/a",IF(AV$3&gt;(A12stdlife+$E221),('PTRM input'!$G$154*(1+rvanilla01)^0.5)-SUM($G221:AU221),('PTRM input'!$G$154*(1+rvanilla01)^0.5)/A12stdlife))</f>
        <v>0</v>
      </c>
      <c r="AW221" s="107">
        <f>IF(A12stdlife="n/a","n/a",IF(AW$3&gt;(A12stdlife+$E221),('PTRM input'!$G$154*(1+rvanilla01)^0.5)-SUM($G221:AV221),('PTRM input'!$G$154*(1+rvanilla01)^0.5)/A12stdlife))</f>
        <v>0</v>
      </c>
      <c r="AX221" s="107">
        <f>IF(A12stdlife="n/a","n/a",IF(AX$3&gt;(A12stdlife+$E221),('PTRM input'!$G$154*(1+rvanilla01)^0.5)-SUM($G221:AW221),('PTRM input'!$G$154*(1+rvanilla01)^0.5)/A12stdlife))</f>
        <v>0</v>
      </c>
      <c r="AY221" s="107">
        <f>IF(A12stdlife="n/a","n/a",IF(AY$3&gt;(A12stdlife+$E221),('PTRM input'!$G$154*(1+rvanilla01)^0.5)-SUM($G221:AX221),('PTRM input'!$G$154*(1+rvanilla01)^0.5)/A12stdlife))</f>
        <v>0</v>
      </c>
      <c r="AZ221" s="107">
        <f>IF(A12stdlife="n/a","n/a",IF(AZ$3&gt;(A12stdlife+$E221),('PTRM input'!$G$154*(1+rvanilla01)^0.5)-SUM($G221:AY221),('PTRM input'!$G$154*(1+rvanilla01)^0.5)/A12stdlife))</f>
        <v>0</v>
      </c>
      <c r="BA221" s="107">
        <f>IF(A12stdlife="n/a","n/a",IF(BA$3&gt;(A12stdlife+$E221),('PTRM input'!$G$154*(1+rvanilla01)^0.5)-SUM($G221:AZ221),('PTRM input'!$G$154*(1+rvanilla01)^0.5)/A12stdlife))</f>
        <v>0</v>
      </c>
      <c r="BB221" s="107">
        <f>IF(A12stdlife="n/a","n/a",IF(BB$3&gt;(A12stdlife+$E221),('PTRM input'!$G$154*(1+rvanilla01)^0.5)-SUM($G221:BA221),('PTRM input'!$G$154*(1+rvanilla01)^0.5)/A12stdlife))</f>
        <v>0</v>
      </c>
      <c r="BC221" s="107">
        <f>IF(A12stdlife="n/a","n/a",IF(BC$3&gt;(A12stdlife+$E221),('PTRM input'!$G$154*(1+rvanilla01)^0.5)-SUM($G221:BB221),('PTRM input'!$G$154*(1+rvanilla01)^0.5)/A12stdlife))</f>
        <v>0</v>
      </c>
      <c r="BD221" s="107">
        <f>IF(A12stdlife="n/a","n/a",IF(BD$3&gt;(A12stdlife+$E221),('PTRM input'!$G$154*(1+rvanilla01)^0.5)-SUM($G221:BC221),('PTRM input'!$G$154*(1+rvanilla01)^0.5)/A12stdlife))</f>
        <v>0</v>
      </c>
      <c r="BE221" s="107">
        <f>IF(A12stdlife="n/a","n/a",IF(BE$3&gt;(A12stdlife+$E221),('PTRM input'!$G$154*(1+rvanilla01)^0.5)-SUM($G221:BD221),('PTRM input'!$G$154*(1+rvanilla01)^0.5)/A12stdlife))</f>
        <v>0</v>
      </c>
      <c r="BF221" s="107">
        <f>IF(A12stdlife="n/a","n/a",IF(BF$3&gt;(A12stdlife+$E221),('PTRM input'!$G$154*(1+rvanilla01)^0.5)-SUM($G221:BE221),('PTRM input'!$G$154*(1+rvanilla01)^0.5)/A12stdlife))</f>
        <v>0</v>
      </c>
      <c r="BG221" s="107">
        <f>IF(A12stdlife="n/a","n/a",IF(BG$3&gt;(A12stdlife+$E221),('PTRM input'!$G$154*(1+rvanilla01)^0.5)-SUM($G221:BF221),('PTRM input'!$G$154*(1+rvanilla01)^0.5)/A12stdlife))</f>
        <v>0</v>
      </c>
      <c r="BH221" s="107">
        <f>IF(A12stdlife="n/a","n/a",IF(BH$3&gt;(A12stdlife+$E221),('PTRM input'!$G$154*(1+rvanilla01)^0.5)-SUM($G221:BG221),('PTRM input'!$G$154*(1+rvanilla01)^0.5)/A12stdlife))</f>
        <v>0</v>
      </c>
      <c r="BI221" s="107">
        <f>IF(A12stdlife="n/a","n/a",IF(BI$3&gt;(A12stdlife+$E221),('PTRM input'!$G$154*(1+rvanilla01)^0.5)-SUM($G221:BH221),('PTRM input'!$G$154*(1+rvanilla01)^0.5)/A12stdlife))</f>
        <v>0</v>
      </c>
      <c r="BJ221" s="237"/>
      <c r="BK221" s="237"/>
      <c r="BL221" s="237"/>
      <c r="BM221" s="237"/>
    </row>
    <row r="222" spans="1:65" s="190" customFormat="1" hidden="1" outlineLevel="2">
      <c r="A222" s="237"/>
      <c r="B222" s="33"/>
      <c r="C222" s="32"/>
      <c r="D222" s="1618"/>
      <c r="E222" s="169">
        <v>2</v>
      </c>
      <c r="F222" s="35"/>
      <c r="G222" s="184"/>
      <c r="H222" s="185"/>
      <c r="I222" s="107">
        <f>IF(A12stdlife="n/a","n/a",IF(I$3&gt;(A12stdlife+$E222),('PTRM input'!$H$154*(1+rvanilla02)^0.5)-SUM($H222:H222),('PTRM input'!$H$154*(1+rvanilla02)^0.5)/A12stdlife))</f>
        <v>0</v>
      </c>
      <c r="J222" s="107">
        <f>IF(A12stdlife="n/a","n/a",IF(J$3&gt;(A12stdlife+$E222),('PTRM input'!$H$154*(1+rvanilla02)^0.5)-SUM($H222:I222),('PTRM input'!$H$154*(1+rvanilla02)^0.5)/A12stdlife))</f>
        <v>0</v>
      </c>
      <c r="K222" s="107">
        <f>IF(A12stdlife="n/a","n/a",IF(K$3&gt;(A12stdlife+$E222),('PTRM input'!$H$154*(1+rvanilla02)^0.5)-SUM($H222:J222),('PTRM input'!$H$154*(1+rvanilla02)^0.5)/A12stdlife))</f>
        <v>0</v>
      </c>
      <c r="L222" s="107">
        <f>IF(A12stdlife="n/a","n/a",IF(L$3&gt;(A12stdlife+$E222),('PTRM input'!$H$154*(1+rvanilla02)^0.5)-SUM($H222:K222),('PTRM input'!$H$154*(1+rvanilla02)^0.5)/A12stdlife))</f>
        <v>0</v>
      </c>
      <c r="M222" s="107">
        <f>IF(A12stdlife="n/a","n/a",IF(M$3&gt;(A12stdlife+$E222),('PTRM input'!$H$154*(1+rvanilla02)^0.5)-SUM($H222:L222),('PTRM input'!$H$154*(1+rvanilla02)^0.5)/A12stdlife))</f>
        <v>0</v>
      </c>
      <c r="N222" s="107">
        <f>IF(A12stdlife="n/a","n/a",IF(N$3&gt;(A12stdlife+$E222),('PTRM input'!$H$154*(1+rvanilla02)^0.5)-SUM($H222:M222),('PTRM input'!$H$154*(1+rvanilla02)^0.5)/A12stdlife))</f>
        <v>0</v>
      </c>
      <c r="O222" s="107">
        <f>IF(A12stdlife="n/a","n/a",IF(O$3&gt;(A12stdlife+$E222),('PTRM input'!$H$154*(1+rvanilla02)^0.5)-SUM($H222:N222),('PTRM input'!$H$154*(1+rvanilla02)^0.5)/A12stdlife))</f>
        <v>0</v>
      </c>
      <c r="P222" s="107">
        <f>IF(A12stdlife="n/a","n/a",IF(P$3&gt;(A12stdlife+$E222),('PTRM input'!$H$154*(1+rvanilla02)^0.5)-SUM($H222:O222),('PTRM input'!$H$154*(1+rvanilla02)^0.5)/A12stdlife))</f>
        <v>0</v>
      </c>
      <c r="Q222" s="107">
        <f>IF(A12stdlife="n/a","n/a",IF(Q$3&gt;(A12stdlife+$E222),('PTRM input'!$H$154*(1+rvanilla02)^0.5)-SUM($H222:P222),('PTRM input'!$H$154*(1+rvanilla02)^0.5)/A12stdlife))</f>
        <v>0</v>
      </c>
      <c r="R222" s="107">
        <f>IF(A12stdlife="n/a","n/a",IF(R$3&gt;(A12stdlife+$E222),('PTRM input'!$H$154*(1+rvanilla02)^0.5)-SUM($H222:Q222),('PTRM input'!$H$154*(1+rvanilla02)^0.5)/A12stdlife))</f>
        <v>0</v>
      </c>
      <c r="S222" s="107">
        <f>IF(A12stdlife="n/a","n/a",IF(S$3&gt;(A12stdlife+$E222),('PTRM input'!$H$154*(1+rvanilla02)^0.5)-SUM($H222:R222),('PTRM input'!$H$154*(1+rvanilla02)^0.5)/A12stdlife))</f>
        <v>0</v>
      </c>
      <c r="T222" s="107">
        <f>IF(A12stdlife="n/a","n/a",IF(T$3&gt;(A12stdlife+$E222),('PTRM input'!$H$154*(1+rvanilla02)^0.5)-SUM($H222:S222),('PTRM input'!$H$154*(1+rvanilla02)^0.5)/A12stdlife))</f>
        <v>0</v>
      </c>
      <c r="U222" s="107">
        <f>IF(A12stdlife="n/a","n/a",IF(U$3&gt;(A12stdlife+$E222),('PTRM input'!$H$154*(1+rvanilla02)^0.5)-SUM($H222:T222),('PTRM input'!$H$154*(1+rvanilla02)^0.5)/A12stdlife))</f>
        <v>0</v>
      </c>
      <c r="V222" s="107">
        <f>IF(A12stdlife="n/a","n/a",IF(V$3&gt;(A12stdlife+$E222),('PTRM input'!$H$154*(1+rvanilla02)^0.5)-SUM($H222:U222),('PTRM input'!$H$154*(1+rvanilla02)^0.5)/A12stdlife))</f>
        <v>0</v>
      </c>
      <c r="W222" s="107">
        <f>IF(A12stdlife="n/a","n/a",IF(W$3&gt;(A12stdlife+$E222),('PTRM input'!$H$154*(1+rvanilla02)^0.5)-SUM($H222:V222),('PTRM input'!$H$154*(1+rvanilla02)^0.5)/A12stdlife))</f>
        <v>0</v>
      </c>
      <c r="X222" s="107">
        <f>IF(A12stdlife="n/a","n/a",IF(X$3&gt;(A12stdlife+$E222),('PTRM input'!$H$154*(1+rvanilla02)^0.5)-SUM($H222:W222),('PTRM input'!$H$154*(1+rvanilla02)^0.5)/A12stdlife))</f>
        <v>0</v>
      </c>
      <c r="Y222" s="107">
        <f>IF(A12stdlife="n/a","n/a",IF(Y$3&gt;(A12stdlife+$E222),('PTRM input'!$H$154*(1+rvanilla02)^0.5)-SUM($H222:X222),('PTRM input'!$H$154*(1+rvanilla02)^0.5)/A12stdlife))</f>
        <v>0</v>
      </c>
      <c r="Z222" s="107">
        <f>IF(A12stdlife="n/a","n/a",IF(Z$3&gt;(A12stdlife+$E222),('PTRM input'!$H$154*(1+rvanilla02)^0.5)-SUM($H222:Y222),('PTRM input'!$H$154*(1+rvanilla02)^0.5)/A12stdlife))</f>
        <v>0</v>
      </c>
      <c r="AA222" s="107">
        <f>IF(A12stdlife="n/a","n/a",IF(AA$3&gt;(A12stdlife+$E222),('PTRM input'!$H$154*(1+rvanilla02)^0.5)-SUM($H222:Z222),('PTRM input'!$H$154*(1+rvanilla02)^0.5)/A12stdlife))</f>
        <v>0</v>
      </c>
      <c r="AB222" s="107">
        <f>IF(A12stdlife="n/a","n/a",IF(AB$3&gt;(A12stdlife+$E222),('PTRM input'!$H$154*(1+rvanilla02)^0.5)-SUM($H222:AA222),('PTRM input'!$H$154*(1+rvanilla02)^0.5)/A12stdlife))</f>
        <v>0</v>
      </c>
      <c r="AC222" s="107">
        <f>IF(A12stdlife="n/a","n/a",IF(AC$3&gt;(A12stdlife+$E222),('PTRM input'!$H$154*(1+rvanilla02)^0.5)-SUM($H222:AB222),('PTRM input'!$H$154*(1+rvanilla02)^0.5)/A12stdlife))</f>
        <v>0</v>
      </c>
      <c r="AD222" s="107">
        <f>IF(A12stdlife="n/a","n/a",IF(AD$3&gt;(A12stdlife+$E222),('PTRM input'!$H$154*(1+rvanilla02)^0.5)-SUM($H222:AC222),('PTRM input'!$H$154*(1+rvanilla02)^0.5)/A12stdlife))</f>
        <v>0</v>
      </c>
      <c r="AE222" s="107">
        <f>IF(A12stdlife="n/a","n/a",IF(AE$3&gt;(A12stdlife+$E222),('PTRM input'!$H$154*(1+rvanilla02)^0.5)-SUM($H222:AD222),('PTRM input'!$H$154*(1+rvanilla02)^0.5)/A12stdlife))</f>
        <v>0</v>
      </c>
      <c r="AF222" s="107">
        <f>IF(A12stdlife="n/a","n/a",IF(AF$3&gt;(A12stdlife+$E222),('PTRM input'!$H$154*(1+rvanilla02)^0.5)-SUM($H222:AE222),('PTRM input'!$H$154*(1+rvanilla02)^0.5)/A12stdlife))</f>
        <v>0</v>
      </c>
      <c r="AG222" s="107">
        <f>IF(A12stdlife="n/a","n/a",IF(AG$3&gt;(A12stdlife+$E222),('PTRM input'!$H$154*(1+rvanilla02)^0.5)-SUM($H222:AF222),('PTRM input'!$H$154*(1+rvanilla02)^0.5)/A12stdlife))</f>
        <v>0</v>
      </c>
      <c r="AH222" s="107">
        <f>IF(A12stdlife="n/a","n/a",IF(AH$3&gt;(A12stdlife+$E222),('PTRM input'!$H$154*(1+rvanilla02)^0.5)-SUM($H222:AG222),('PTRM input'!$H$154*(1+rvanilla02)^0.5)/A12stdlife))</f>
        <v>0</v>
      </c>
      <c r="AI222" s="107">
        <f>IF(A12stdlife="n/a","n/a",IF(AI$3&gt;(A12stdlife+$E222),('PTRM input'!$H$154*(1+rvanilla02)^0.5)-SUM($H222:AH222),('PTRM input'!$H$154*(1+rvanilla02)^0.5)/A12stdlife))</f>
        <v>0</v>
      </c>
      <c r="AJ222" s="107">
        <f>IF(A12stdlife="n/a","n/a",IF(AJ$3&gt;(A12stdlife+$E222),('PTRM input'!$H$154*(1+rvanilla02)^0.5)-SUM($H222:AI222),('PTRM input'!$H$154*(1+rvanilla02)^0.5)/A12stdlife))</f>
        <v>0</v>
      </c>
      <c r="AK222" s="107">
        <f>IF(A12stdlife="n/a","n/a",IF(AK$3&gt;(A12stdlife+$E222),('PTRM input'!$H$154*(1+rvanilla02)^0.5)-SUM($H222:AJ222),('PTRM input'!$H$154*(1+rvanilla02)^0.5)/A12stdlife))</f>
        <v>0</v>
      </c>
      <c r="AL222" s="107">
        <f>IF(A12stdlife="n/a","n/a",IF(AL$3&gt;(A12stdlife+$E222),('PTRM input'!$H$154*(1+rvanilla02)^0.5)-SUM($H222:AK222),('PTRM input'!$H$154*(1+rvanilla02)^0.5)/A12stdlife))</f>
        <v>0</v>
      </c>
      <c r="AM222" s="107">
        <f>IF(A12stdlife="n/a","n/a",IF(AM$3&gt;(A12stdlife+$E222),('PTRM input'!$H$154*(1+rvanilla02)^0.5)-SUM($H222:AL222),('PTRM input'!$H$154*(1+rvanilla02)^0.5)/A12stdlife))</f>
        <v>0</v>
      </c>
      <c r="AN222" s="107">
        <f>IF(A12stdlife="n/a","n/a",IF(AN$3&gt;(A12stdlife+$E222),('PTRM input'!$H$154*(1+rvanilla02)^0.5)-SUM($H222:AM222),('PTRM input'!$H$154*(1+rvanilla02)^0.5)/A12stdlife))</f>
        <v>0</v>
      </c>
      <c r="AO222" s="107">
        <f>IF(A12stdlife="n/a","n/a",IF(AO$3&gt;(A12stdlife+$E222),('PTRM input'!$H$154*(1+rvanilla02)^0.5)-SUM($H222:AN222),('PTRM input'!$H$154*(1+rvanilla02)^0.5)/A12stdlife))</f>
        <v>0</v>
      </c>
      <c r="AP222" s="107">
        <f>IF(A12stdlife="n/a","n/a",IF(AP$3&gt;(A12stdlife+$E222),('PTRM input'!$H$154*(1+rvanilla02)^0.5)-SUM($H222:AO222),('PTRM input'!$H$154*(1+rvanilla02)^0.5)/A12stdlife))</f>
        <v>0</v>
      </c>
      <c r="AQ222" s="107">
        <f>IF(A12stdlife="n/a","n/a",IF(AQ$3&gt;(A12stdlife+$E222),('PTRM input'!$H$154*(1+rvanilla02)^0.5)-SUM($H222:AP222),('PTRM input'!$H$154*(1+rvanilla02)^0.5)/A12stdlife))</f>
        <v>0</v>
      </c>
      <c r="AR222" s="107">
        <f>IF(A12stdlife="n/a","n/a",IF(AR$3&gt;(A12stdlife+$E222),('PTRM input'!$H$154*(1+rvanilla02)^0.5)-SUM($H222:AQ222),('PTRM input'!$H$154*(1+rvanilla02)^0.5)/A12stdlife))</f>
        <v>0</v>
      </c>
      <c r="AS222" s="107">
        <f>IF(A12stdlife="n/a","n/a",IF(AS$3&gt;(A12stdlife+$E222),('PTRM input'!$H$154*(1+rvanilla02)^0.5)-SUM($H222:AR222),('PTRM input'!$H$154*(1+rvanilla02)^0.5)/A12stdlife))</f>
        <v>0</v>
      </c>
      <c r="AT222" s="107">
        <f>IF(A12stdlife="n/a","n/a",IF(AT$3&gt;(A12stdlife+$E222),('PTRM input'!$H$154*(1+rvanilla02)^0.5)-SUM($H222:AS222),('PTRM input'!$H$154*(1+rvanilla02)^0.5)/A12stdlife))</f>
        <v>0</v>
      </c>
      <c r="AU222" s="107">
        <f>IF(A12stdlife="n/a","n/a",IF(AU$3&gt;(A12stdlife+$E222),('PTRM input'!$H$154*(1+rvanilla02)^0.5)-SUM($H222:AT222),('PTRM input'!$H$154*(1+rvanilla02)^0.5)/A12stdlife))</f>
        <v>0</v>
      </c>
      <c r="AV222" s="107">
        <f>IF(A12stdlife="n/a","n/a",IF(AV$3&gt;(A12stdlife+$E222),('PTRM input'!$H$154*(1+rvanilla02)^0.5)-SUM($H222:AU222),('PTRM input'!$H$154*(1+rvanilla02)^0.5)/A12stdlife))</f>
        <v>0</v>
      </c>
      <c r="AW222" s="107">
        <f>IF(A12stdlife="n/a","n/a",IF(AW$3&gt;(A12stdlife+$E222),('PTRM input'!$H$154*(1+rvanilla02)^0.5)-SUM($H222:AV222),('PTRM input'!$H$154*(1+rvanilla02)^0.5)/A12stdlife))</f>
        <v>0</v>
      </c>
      <c r="AX222" s="107">
        <f>IF(A12stdlife="n/a","n/a",IF(AX$3&gt;(A12stdlife+$E222),('PTRM input'!$H$154*(1+rvanilla02)^0.5)-SUM($H222:AW222),('PTRM input'!$H$154*(1+rvanilla02)^0.5)/A12stdlife))</f>
        <v>0</v>
      </c>
      <c r="AY222" s="107">
        <f>IF(A12stdlife="n/a","n/a",IF(AY$3&gt;(A12stdlife+$E222),('PTRM input'!$H$154*(1+rvanilla02)^0.5)-SUM($H222:AX222),('PTRM input'!$H$154*(1+rvanilla02)^0.5)/A12stdlife))</f>
        <v>0</v>
      </c>
      <c r="AZ222" s="107">
        <f>IF(A12stdlife="n/a","n/a",IF(AZ$3&gt;(A12stdlife+$E222),('PTRM input'!$H$154*(1+rvanilla02)^0.5)-SUM($H222:AY222),('PTRM input'!$H$154*(1+rvanilla02)^0.5)/A12stdlife))</f>
        <v>0</v>
      </c>
      <c r="BA222" s="107">
        <f>IF(A12stdlife="n/a","n/a",IF(BA$3&gt;(A12stdlife+$E222),('PTRM input'!$H$154*(1+rvanilla02)^0.5)-SUM($H222:AZ222),('PTRM input'!$H$154*(1+rvanilla02)^0.5)/A12stdlife))</f>
        <v>0</v>
      </c>
      <c r="BB222" s="107">
        <f>IF(A12stdlife="n/a","n/a",IF(BB$3&gt;(A12stdlife+$E222),('PTRM input'!$H$154*(1+rvanilla02)^0.5)-SUM($H222:BA222),('PTRM input'!$H$154*(1+rvanilla02)^0.5)/A12stdlife))</f>
        <v>0</v>
      </c>
      <c r="BC222" s="107">
        <f>IF(A12stdlife="n/a","n/a",IF(BC$3&gt;(A12stdlife+$E222),('PTRM input'!$H$154*(1+rvanilla02)^0.5)-SUM($H222:BB222),('PTRM input'!$H$154*(1+rvanilla02)^0.5)/A12stdlife))</f>
        <v>0</v>
      </c>
      <c r="BD222" s="107">
        <f>IF(A12stdlife="n/a","n/a",IF(BD$3&gt;(A12stdlife+$E222),('PTRM input'!$H$154*(1+rvanilla02)^0.5)-SUM($H222:BC222),('PTRM input'!$H$154*(1+rvanilla02)^0.5)/A12stdlife))</f>
        <v>0</v>
      </c>
      <c r="BE222" s="107">
        <f>IF(A12stdlife="n/a","n/a",IF(BE$3&gt;(A12stdlife+$E222),('PTRM input'!$H$154*(1+rvanilla02)^0.5)-SUM($H222:BD222),('PTRM input'!$H$154*(1+rvanilla02)^0.5)/A12stdlife))</f>
        <v>0</v>
      </c>
      <c r="BF222" s="107">
        <f>IF(A12stdlife="n/a","n/a",IF(BF$3&gt;(A12stdlife+$E222),('PTRM input'!$H$154*(1+rvanilla02)^0.5)-SUM($H222:BE222),('PTRM input'!$H$154*(1+rvanilla02)^0.5)/A12stdlife))</f>
        <v>0</v>
      </c>
      <c r="BG222" s="107">
        <f>IF(A12stdlife="n/a","n/a",IF(BG$3&gt;(A12stdlife+$E222),('PTRM input'!$H$154*(1+rvanilla02)^0.5)-SUM($H222:BF222),('PTRM input'!$H$154*(1+rvanilla02)^0.5)/A12stdlife))</f>
        <v>0</v>
      </c>
      <c r="BH222" s="107">
        <f>IF(A12stdlife="n/a","n/a",IF(BH$3&gt;(A12stdlife+$E222),('PTRM input'!$H$154*(1+rvanilla02)^0.5)-SUM($H222:BG222),('PTRM input'!$H$154*(1+rvanilla02)^0.5)/A12stdlife))</f>
        <v>0</v>
      </c>
      <c r="BI222" s="107">
        <f>IF(A12stdlife="n/a","n/a",IF(BI$3&gt;(A12stdlife+$E222),('PTRM input'!$H$154*(1+rvanilla02)^0.5)-SUM($H222:BH222),('PTRM input'!$H$154*(1+rvanilla02)^0.5)/A12stdlife))</f>
        <v>0</v>
      </c>
      <c r="BJ222" s="237"/>
      <c r="BK222" s="237"/>
      <c r="BL222" s="237"/>
      <c r="BM222" s="237"/>
    </row>
    <row r="223" spans="1:65" s="190" customFormat="1" hidden="1" outlineLevel="2">
      <c r="A223" s="237"/>
      <c r="B223" s="33"/>
      <c r="C223" s="32"/>
      <c r="D223" s="1618"/>
      <c r="E223" s="169">
        <v>3</v>
      </c>
      <c r="F223" s="35"/>
      <c r="G223" s="184"/>
      <c r="H223" s="186"/>
      <c r="I223" s="185"/>
      <c r="J223" s="107">
        <f>IF(A12stdlife="n/a","n/a",IF(J$3&gt;(A12stdlife+$E223),('PTRM input'!$I$154*(1+rvanilla03)^0.5)-SUM($I223:I223),('PTRM input'!$I$154*(1+rvanilla03)^0.5)/A12stdlife))</f>
        <v>0</v>
      </c>
      <c r="K223" s="107">
        <f>IF(A12stdlife="n/a","n/a",IF(K$3&gt;(A12stdlife+$E223),('PTRM input'!$I$154*(1+rvanilla03)^0.5)-SUM($I223:J223),('PTRM input'!$I$154*(1+rvanilla03)^0.5)/A12stdlife))</f>
        <v>0</v>
      </c>
      <c r="L223" s="107">
        <f>IF(A12stdlife="n/a","n/a",IF(L$3&gt;(A12stdlife+$E223),('PTRM input'!$I$154*(1+rvanilla03)^0.5)-SUM($I223:K223),('PTRM input'!$I$154*(1+rvanilla03)^0.5)/A12stdlife))</f>
        <v>0</v>
      </c>
      <c r="M223" s="107">
        <f>IF(A12stdlife="n/a","n/a",IF(M$3&gt;(A12stdlife+$E223),('PTRM input'!$I$154*(1+rvanilla03)^0.5)-SUM($I223:L223),('PTRM input'!$I$154*(1+rvanilla03)^0.5)/A12stdlife))</f>
        <v>0</v>
      </c>
      <c r="N223" s="107">
        <f>IF(A12stdlife="n/a","n/a",IF(N$3&gt;(A12stdlife+$E223),('PTRM input'!$I$154*(1+rvanilla03)^0.5)-SUM($I223:M223),('PTRM input'!$I$154*(1+rvanilla03)^0.5)/A12stdlife))</f>
        <v>0</v>
      </c>
      <c r="O223" s="107">
        <f>IF(A12stdlife="n/a","n/a",IF(O$3&gt;(A12stdlife+$E223),('PTRM input'!$I$154*(1+rvanilla03)^0.5)-SUM($I223:N223),('PTRM input'!$I$154*(1+rvanilla03)^0.5)/A12stdlife))</f>
        <v>0</v>
      </c>
      <c r="P223" s="107">
        <f>IF(A12stdlife="n/a","n/a",IF(P$3&gt;(A12stdlife+$E223),('PTRM input'!$I$154*(1+rvanilla03)^0.5)-SUM($I223:O223),('PTRM input'!$I$154*(1+rvanilla03)^0.5)/A12stdlife))</f>
        <v>0</v>
      </c>
      <c r="Q223" s="107">
        <f>IF(A12stdlife="n/a","n/a",IF(Q$3&gt;(A12stdlife+$E223),('PTRM input'!$I$154*(1+rvanilla03)^0.5)-SUM($I223:P223),('PTRM input'!$I$154*(1+rvanilla03)^0.5)/A12stdlife))</f>
        <v>0</v>
      </c>
      <c r="R223" s="107">
        <f>IF(A12stdlife="n/a","n/a",IF(R$3&gt;(A12stdlife+$E223),('PTRM input'!$I$154*(1+rvanilla03)^0.5)-SUM($I223:Q223),('PTRM input'!$I$154*(1+rvanilla03)^0.5)/A12stdlife))</f>
        <v>0</v>
      </c>
      <c r="S223" s="107">
        <f>IF(A12stdlife="n/a","n/a",IF(S$3&gt;(A12stdlife+$E223),('PTRM input'!$I$154*(1+rvanilla03)^0.5)-SUM($I223:R223),('PTRM input'!$I$154*(1+rvanilla03)^0.5)/A12stdlife))</f>
        <v>0</v>
      </c>
      <c r="T223" s="107">
        <f>IF(A12stdlife="n/a","n/a",IF(T$3&gt;(A12stdlife+$E223),('PTRM input'!$I$154*(1+rvanilla03)^0.5)-SUM($I223:S223),('PTRM input'!$I$154*(1+rvanilla03)^0.5)/A12stdlife))</f>
        <v>0</v>
      </c>
      <c r="U223" s="107">
        <f>IF(A12stdlife="n/a","n/a",IF(U$3&gt;(A12stdlife+$E223),('PTRM input'!$I$154*(1+rvanilla03)^0.5)-SUM($I223:T223),('PTRM input'!$I$154*(1+rvanilla03)^0.5)/A12stdlife))</f>
        <v>0</v>
      </c>
      <c r="V223" s="107">
        <f>IF(A12stdlife="n/a","n/a",IF(V$3&gt;(A12stdlife+$E223),('PTRM input'!$I$154*(1+rvanilla03)^0.5)-SUM($I223:U223),('PTRM input'!$I$154*(1+rvanilla03)^0.5)/A12stdlife))</f>
        <v>0</v>
      </c>
      <c r="W223" s="107">
        <f>IF(A12stdlife="n/a","n/a",IF(W$3&gt;(A12stdlife+$E223),('PTRM input'!$I$154*(1+rvanilla03)^0.5)-SUM($I223:V223),('PTRM input'!$I$154*(1+rvanilla03)^0.5)/A12stdlife))</f>
        <v>0</v>
      </c>
      <c r="X223" s="107">
        <f>IF(A12stdlife="n/a","n/a",IF(X$3&gt;(A12stdlife+$E223),('PTRM input'!$I$154*(1+rvanilla03)^0.5)-SUM($I223:W223),('PTRM input'!$I$154*(1+rvanilla03)^0.5)/A12stdlife))</f>
        <v>0</v>
      </c>
      <c r="Y223" s="107">
        <f>IF(A12stdlife="n/a","n/a",IF(Y$3&gt;(A12stdlife+$E223),('PTRM input'!$I$154*(1+rvanilla03)^0.5)-SUM($I223:X223),('PTRM input'!$I$154*(1+rvanilla03)^0.5)/A12stdlife))</f>
        <v>0</v>
      </c>
      <c r="Z223" s="107">
        <f>IF(A12stdlife="n/a","n/a",IF(Z$3&gt;(A12stdlife+$E223),('PTRM input'!$I$154*(1+rvanilla03)^0.5)-SUM($I223:Y223),('PTRM input'!$I$154*(1+rvanilla03)^0.5)/A12stdlife))</f>
        <v>0</v>
      </c>
      <c r="AA223" s="107">
        <f>IF(A12stdlife="n/a","n/a",IF(AA$3&gt;(A12stdlife+$E223),('PTRM input'!$I$154*(1+rvanilla03)^0.5)-SUM($I223:Z223),('PTRM input'!$I$154*(1+rvanilla03)^0.5)/A12stdlife))</f>
        <v>0</v>
      </c>
      <c r="AB223" s="107">
        <f>IF(A12stdlife="n/a","n/a",IF(AB$3&gt;(A12stdlife+$E223),('PTRM input'!$I$154*(1+rvanilla03)^0.5)-SUM($I223:AA223),('PTRM input'!$I$154*(1+rvanilla03)^0.5)/A12stdlife))</f>
        <v>0</v>
      </c>
      <c r="AC223" s="107">
        <f>IF(A12stdlife="n/a","n/a",IF(AC$3&gt;(A12stdlife+$E223),('PTRM input'!$I$154*(1+rvanilla03)^0.5)-SUM($I223:AB223),('PTRM input'!$I$154*(1+rvanilla03)^0.5)/A12stdlife))</f>
        <v>0</v>
      </c>
      <c r="AD223" s="107">
        <f>IF(A12stdlife="n/a","n/a",IF(AD$3&gt;(A12stdlife+$E223),('PTRM input'!$I$154*(1+rvanilla03)^0.5)-SUM($I223:AC223),('PTRM input'!$I$154*(1+rvanilla03)^0.5)/A12stdlife))</f>
        <v>0</v>
      </c>
      <c r="AE223" s="107">
        <f>IF(A12stdlife="n/a","n/a",IF(AE$3&gt;(A12stdlife+$E223),('PTRM input'!$I$154*(1+rvanilla03)^0.5)-SUM($I223:AD223),('PTRM input'!$I$154*(1+rvanilla03)^0.5)/A12stdlife))</f>
        <v>0</v>
      </c>
      <c r="AF223" s="107">
        <f>IF(A12stdlife="n/a","n/a",IF(AF$3&gt;(A12stdlife+$E223),('PTRM input'!$I$154*(1+rvanilla03)^0.5)-SUM($I223:AE223),('PTRM input'!$I$154*(1+rvanilla03)^0.5)/A12stdlife))</f>
        <v>0</v>
      </c>
      <c r="AG223" s="107">
        <f>IF(A12stdlife="n/a","n/a",IF(AG$3&gt;(A12stdlife+$E223),('PTRM input'!$I$154*(1+rvanilla03)^0.5)-SUM($I223:AF223),('PTRM input'!$I$154*(1+rvanilla03)^0.5)/A12stdlife))</f>
        <v>0</v>
      </c>
      <c r="AH223" s="107">
        <f>IF(A12stdlife="n/a","n/a",IF(AH$3&gt;(A12stdlife+$E223),('PTRM input'!$I$154*(1+rvanilla03)^0.5)-SUM($I223:AG223),('PTRM input'!$I$154*(1+rvanilla03)^0.5)/A12stdlife))</f>
        <v>0</v>
      </c>
      <c r="AI223" s="107">
        <f>IF(A12stdlife="n/a","n/a",IF(AI$3&gt;(A12stdlife+$E223),('PTRM input'!$I$154*(1+rvanilla03)^0.5)-SUM($I223:AH223),('PTRM input'!$I$154*(1+rvanilla03)^0.5)/A12stdlife))</f>
        <v>0</v>
      </c>
      <c r="AJ223" s="107">
        <f>IF(A12stdlife="n/a","n/a",IF(AJ$3&gt;(A12stdlife+$E223),('PTRM input'!$I$154*(1+rvanilla03)^0.5)-SUM($I223:AI223),('PTRM input'!$I$154*(1+rvanilla03)^0.5)/A12stdlife))</f>
        <v>0</v>
      </c>
      <c r="AK223" s="107">
        <f>IF(A12stdlife="n/a","n/a",IF(AK$3&gt;(A12stdlife+$E223),('PTRM input'!$I$154*(1+rvanilla03)^0.5)-SUM($I223:AJ223),('PTRM input'!$I$154*(1+rvanilla03)^0.5)/A12stdlife))</f>
        <v>0</v>
      </c>
      <c r="AL223" s="107">
        <f>IF(A12stdlife="n/a","n/a",IF(AL$3&gt;(A12stdlife+$E223),('PTRM input'!$I$154*(1+rvanilla03)^0.5)-SUM($I223:AK223),('PTRM input'!$I$154*(1+rvanilla03)^0.5)/A12stdlife))</f>
        <v>0</v>
      </c>
      <c r="AM223" s="107">
        <f>IF(A12stdlife="n/a","n/a",IF(AM$3&gt;(A12stdlife+$E223),('PTRM input'!$I$154*(1+rvanilla03)^0.5)-SUM($I223:AL223),('PTRM input'!$I$154*(1+rvanilla03)^0.5)/A12stdlife))</f>
        <v>0</v>
      </c>
      <c r="AN223" s="107">
        <f>IF(A12stdlife="n/a","n/a",IF(AN$3&gt;(A12stdlife+$E223),('PTRM input'!$I$154*(1+rvanilla03)^0.5)-SUM($I223:AM223),('PTRM input'!$I$154*(1+rvanilla03)^0.5)/A12stdlife))</f>
        <v>0</v>
      </c>
      <c r="AO223" s="107">
        <f>IF(A12stdlife="n/a","n/a",IF(AO$3&gt;(A12stdlife+$E223),('PTRM input'!$I$154*(1+rvanilla03)^0.5)-SUM($I223:AN223),('PTRM input'!$I$154*(1+rvanilla03)^0.5)/A12stdlife))</f>
        <v>0</v>
      </c>
      <c r="AP223" s="107">
        <f>IF(A12stdlife="n/a","n/a",IF(AP$3&gt;(A12stdlife+$E223),('PTRM input'!$I$154*(1+rvanilla03)^0.5)-SUM($I223:AO223),('PTRM input'!$I$154*(1+rvanilla03)^0.5)/A12stdlife))</f>
        <v>0</v>
      </c>
      <c r="AQ223" s="107">
        <f>IF(A12stdlife="n/a","n/a",IF(AQ$3&gt;(A12stdlife+$E223),('PTRM input'!$I$154*(1+rvanilla03)^0.5)-SUM($I223:AP223),('PTRM input'!$I$154*(1+rvanilla03)^0.5)/A12stdlife))</f>
        <v>0</v>
      </c>
      <c r="AR223" s="107">
        <f>IF(A12stdlife="n/a","n/a",IF(AR$3&gt;(A12stdlife+$E223),('PTRM input'!$I$154*(1+rvanilla03)^0.5)-SUM($I223:AQ223),('PTRM input'!$I$154*(1+rvanilla03)^0.5)/A12stdlife))</f>
        <v>0</v>
      </c>
      <c r="AS223" s="107">
        <f>IF(A12stdlife="n/a","n/a",IF(AS$3&gt;(A12stdlife+$E223),('PTRM input'!$I$154*(1+rvanilla03)^0.5)-SUM($I223:AR223),('PTRM input'!$I$154*(1+rvanilla03)^0.5)/A12stdlife))</f>
        <v>0</v>
      </c>
      <c r="AT223" s="107">
        <f>IF(A12stdlife="n/a","n/a",IF(AT$3&gt;(A12stdlife+$E223),('PTRM input'!$I$154*(1+rvanilla03)^0.5)-SUM($I223:AS223),('PTRM input'!$I$154*(1+rvanilla03)^0.5)/A12stdlife))</f>
        <v>0</v>
      </c>
      <c r="AU223" s="107">
        <f>IF(A12stdlife="n/a","n/a",IF(AU$3&gt;(A12stdlife+$E223),('PTRM input'!$I$154*(1+rvanilla03)^0.5)-SUM($I223:AT223),('PTRM input'!$I$154*(1+rvanilla03)^0.5)/A12stdlife))</f>
        <v>0</v>
      </c>
      <c r="AV223" s="107">
        <f>IF(A12stdlife="n/a","n/a",IF(AV$3&gt;(A12stdlife+$E223),('PTRM input'!$I$154*(1+rvanilla03)^0.5)-SUM($I223:AU223),('PTRM input'!$I$154*(1+rvanilla03)^0.5)/A12stdlife))</f>
        <v>0</v>
      </c>
      <c r="AW223" s="107">
        <f>IF(A12stdlife="n/a","n/a",IF(AW$3&gt;(A12stdlife+$E223),('PTRM input'!$I$154*(1+rvanilla03)^0.5)-SUM($I223:AV223),('PTRM input'!$I$154*(1+rvanilla03)^0.5)/A12stdlife))</f>
        <v>0</v>
      </c>
      <c r="AX223" s="107">
        <f>IF(A12stdlife="n/a","n/a",IF(AX$3&gt;(A12stdlife+$E223),('PTRM input'!$I$154*(1+rvanilla03)^0.5)-SUM($I223:AW223),('PTRM input'!$I$154*(1+rvanilla03)^0.5)/A12stdlife))</f>
        <v>0</v>
      </c>
      <c r="AY223" s="107">
        <f>IF(A12stdlife="n/a","n/a",IF(AY$3&gt;(A12stdlife+$E223),('PTRM input'!$I$154*(1+rvanilla03)^0.5)-SUM($I223:AX223),('PTRM input'!$I$154*(1+rvanilla03)^0.5)/A12stdlife))</f>
        <v>0</v>
      </c>
      <c r="AZ223" s="107">
        <f>IF(A12stdlife="n/a","n/a",IF(AZ$3&gt;(A12stdlife+$E223),('PTRM input'!$I$154*(1+rvanilla03)^0.5)-SUM($I223:AY223),('PTRM input'!$I$154*(1+rvanilla03)^0.5)/A12stdlife))</f>
        <v>0</v>
      </c>
      <c r="BA223" s="107">
        <f>IF(A12stdlife="n/a","n/a",IF(BA$3&gt;(A12stdlife+$E223),('PTRM input'!$I$154*(1+rvanilla03)^0.5)-SUM($I223:AZ223),('PTRM input'!$I$154*(1+rvanilla03)^0.5)/A12stdlife))</f>
        <v>0</v>
      </c>
      <c r="BB223" s="107">
        <f>IF(A12stdlife="n/a","n/a",IF(BB$3&gt;(A12stdlife+$E223),('PTRM input'!$I$154*(1+rvanilla03)^0.5)-SUM($I223:BA223),('PTRM input'!$I$154*(1+rvanilla03)^0.5)/A12stdlife))</f>
        <v>0</v>
      </c>
      <c r="BC223" s="107">
        <f>IF(A12stdlife="n/a","n/a",IF(BC$3&gt;(A12stdlife+$E223),('PTRM input'!$I$154*(1+rvanilla03)^0.5)-SUM($I223:BB223),('PTRM input'!$I$154*(1+rvanilla03)^0.5)/A12stdlife))</f>
        <v>0</v>
      </c>
      <c r="BD223" s="107">
        <f>IF(A12stdlife="n/a","n/a",IF(BD$3&gt;(A12stdlife+$E223),('PTRM input'!$I$154*(1+rvanilla03)^0.5)-SUM($I223:BC223),('PTRM input'!$I$154*(1+rvanilla03)^0.5)/A12stdlife))</f>
        <v>0</v>
      </c>
      <c r="BE223" s="107">
        <f>IF(A12stdlife="n/a","n/a",IF(BE$3&gt;(A12stdlife+$E223),('PTRM input'!$I$154*(1+rvanilla03)^0.5)-SUM($I223:BD223),('PTRM input'!$I$154*(1+rvanilla03)^0.5)/A12stdlife))</f>
        <v>0</v>
      </c>
      <c r="BF223" s="107">
        <f>IF(A12stdlife="n/a","n/a",IF(BF$3&gt;(A12stdlife+$E223),('PTRM input'!$I$154*(1+rvanilla03)^0.5)-SUM($I223:BE223),('PTRM input'!$I$154*(1+rvanilla03)^0.5)/A12stdlife))</f>
        <v>0</v>
      </c>
      <c r="BG223" s="107">
        <f>IF(A12stdlife="n/a","n/a",IF(BG$3&gt;(A12stdlife+$E223),('PTRM input'!$I$154*(1+rvanilla03)^0.5)-SUM($I223:BF223),('PTRM input'!$I$154*(1+rvanilla03)^0.5)/A12stdlife))</f>
        <v>0</v>
      </c>
      <c r="BH223" s="107">
        <f>IF(A12stdlife="n/a","n/a",IF(BH$3&gt;(A12stdlife+$E223),('PTRM input'!$I$154*(1+rvanilla03)^0.5)-SUM($I223:BG223),('PTRM input'!$I$154*(1+rvanilla03)^0.5)/A12stdlife))</f>
        <v>0</v>
      </c>
      <c r="BI223" s="107">
        <f>IF(A12stdlife="n/a","n/a",IF(BI$3&gt;(A12stdlife+$E223),('PTRM input'!$I$154*(1+rvanilla03)^0.5)-SUM($I223:BH223),('PTRM input'!$I$154*(1+rvanilla03)^0.5)/A12stdlife))</f>
        <v>0</v>
      </c>
      <c r="BJ223" s="237"/>
      <c r="BK223" s="237"/>
      <c r="BL223" s="237"/>
      <c r="BM223" s="237"/>
    </row>
    <row r="224" spans="1:65" s="190" customFormat="1" hidden="1" outlineLevel="2">
      <c r="A224" s="237"/>
      <c r="B224" s="33"/>
      <c r="C224" s="32"/>
      <c r="D224" s="1618"/>
      <c r="E224" s="169">
        <v>4</v>
      </c>
      <c r="F224" s="35"/>
      <c r="G224" s="184"/>
      <c r="H224" s="186"/>
      <c r="I224" s="186"/>
      <c r="J224" s="185"/>
      <c r="K224" s="107">
        <f>IF(A12stdlife="n/a","n/a",IF(K$3&gt;(A12stdlife+$E224),('PTRM input'!$J$154*(1+rvanilla04)^0.5)-SUM($J224:J224),('PTRM input'!$J$154*(1+rvanilla04)^0.5)/A12stdlife))</f>
        <v>0</v>
      </c>
      <c r="L224" s="107">
        <f>IF(A12stdlife="n/a","n/a",IF(L$3&gt;(A12stdlife+$E224),('PTRM input'!$J$154*(1+rvanilla04)^0.5)-SUM($J224:K224),('PTRM input'!$J$154*(1+rvanilla04)^0.5)/A12stdlife))</f>
        <v>0</v>
      </c>
      <c r="M224" s="107">
        <f>IF(A12stdlife="n/a","n/a",IF(M$3&gt;(A12stdlife+$E224),('PTRM input'!$J$154*(1+rvanilla04)^0.5)-SUM($J224:L224),('PTRM input'!$J$154*(1+rvanilla04)^0.5)/A12stdlife))</f>
        <v>0</v>
      </c>
      <c r="N224" s="107">
        <f>IF(A12stdlife="n/a","n/a",IF(N$3&gt;(A12stdlife+$E224),('PTRM input'!$J$154*(1+rvanilla04)^0.5)-SUM($J224:M224),('PTRM input'!$J$154*(1+rvanilla04)^0.5)/A12stdlife))</f>
        <v>0</v>
      </c>
      <c r="O224" s="107">
        <f>IF(A12stdlife="n/a","n/a",IF(O$3&gt;(A12stdlife+$E224),('PTRM input'!$J$154*(1+rvanilla04)^0.5)-SUM($J224:N224),('PTRM input'!$J$154*(1+rvanilla04)^0.5)/A12stdlife))</f>
        <v>0</v>
      </c>
      <c r="P224" s="107">
        <f>IF(A12stdlife="n/a","n/a",IF(P$3&gt;(A12stdlife+$E224),('PTRM input'!$J$154*(1+rvanilla04)^0.5)-SUM($J224:O224),('PTRM input'!$J$154*(1+rvanilla04)^0.5)/A12stdlife))</f>
        <v>0</v>
      </c>
      <c r="Q224" s="107">
        <f>IF(A12stdlife="n/a","n/a",IF(Q$3&gt;(A12stdlife+$E224),('PTRM input'!$J$154*(1+rvanilla04)^0.5)-SUM($J224:P224),('PTRM input'!$J$154*(1+rvanilla04)^0.5)/A12stdlife))</f>
        <v>0</v>
      </c>
      <c r="R224" s="107">
        <f>IF(A12stdlife="n/a","n/a",IF(R$3&gt;(A12stdlife+$E224),('PTRM input'!$J$154*(1+rvanilla04)^0.5)-SUM($J224:Q224),('PTRM input'!$J$154*(1+rvanilla04)^0.5)/A12stdlife))</f>
        <v>0</v>
      </c>
      <c r="S224" s="107">
        <f>IF(A12stdlife="n/a","n/a",IF(S$3&gt;(A12stdlife+$E224),('PTRM input'!$J$154*(1+rvanilla04)^0.5)-SUM($J224:R224),('PTRM input'!$J$154*(1+rvanilla04)^0.5)/A12stdlife))</f>
        <v>0</v>
      </c>
      <c r="T224" s="107">
        <f>IF(A12stdlife="n/a","n/a",IF(T$3&gt;(A12stdlife+$E224),('PTRM input'!$J$154*(1+rvanilla04)^0.5)-SUM($J224:S224),('PTRM input'!$J$154*(1+rvanilla04)^0.5)/A12stdlife))</f>
        <v>0</v>
      </c>
      <c r="U224" s="107">
        <f>IF(A12stdlife="n/a","n/a",IF(U$3&gt;(A12stdlife+$E224),('PTRM input'!$J$154*(1+rvanilla04)^0.5)-SUM($J224:T224),('PTRM input'!$J$154*(1+rvanilla04)^0.5)/A12stdlife))</f>
        <v>0</v>
      </c>
      <c r="V224" s="107">
        <f>IF(A12stdlife="n/a","n/a",IF(V$3&gt;(A12stdlife+$E224),('PTRM input'!$J$154*(1+rvanilla04)^0.5)-SUM($J224:U224),('PTRM input'!$J$154*(1+rvanilla04)^0.5)/A12stdlife))</f>
        <v>0</v>
      </c>
      <c r="W224" s="107">
        <f>IF(A12stdlife="n/a","n/a",IF(W$3&gt;(A12stdlife+$E224),('PTRM input'!$J$154*(1+rvanilla04)^0.5)-SUM($J224:V224),('PTRM input'!$J$154*(1+rvanilla04)^0.5)/A12stdlife))</f>
        <v>0</v>
      </c>
      <c r="X224" s="107">
        <f>IF(A12stdlife="n/a","n/a",IF(X$3&gt;(A12stdlife+$E224),('PTRM input'!$J$154*(1+rvanilla04)^0.5)-SUM($J224:W224),('PTRM input'!$J$154*(1+rvanilla04)^0.5)/A12stdlife))</f>
        <v>0</v>
      </c>
      <c r="Y224" s="107">
        <f>IF(A12stdlife="n/a","n/a",IF(Y$3&gt;(A12stdlife+$E224),('PTRM input'!$J$154*(1+rvanilla04)^0.5)-SUM($J224:X224),('PTRM input'!$J$154*(1+rvanilla04)^0.5)/A12stdlife))</f>
        <v>0</v>
      </c>
      <c r="Z224" s="107">
        <f>IF(A12stdlife="n/a","n/a",IF(Z$3&gt;(A12stdlife+$E224),('PTRM input'!$J$154*(1+rvanilla04)^0.5)-SUM($J224:Y224),('PTRM input'!$J$154*(1+rvanilla04)^0.5)/A12stdlife))</f>
        <v>0</v>
      </c>
      <c r="AA224" s="107">
        <f>IF(A12stdlife="n/a","n/a",IF(AA$3&gt;(A12stdlife+$E224),('PTRM input'!$J$154*(1+rvanilla04)^0.5)-SUM($J224:Z224),('PTRM input'!$J$154*(1+rvanilla04)^0.5)/A12stdlife))</f>
        <v>0</v>
      </c>
      <c r="AB224" s="107">
        <f>IF(A12stdlife="n/a","n/a",IF(AB$3&gt;(A12stdlife+$E224),('PTRM input'!$J$154*(1+rvanilla04)^0.5)-SUM($J224:AA224),('PTRM input'!$J$154*(1+rvanilla04)^0.5)/A12stdlife))</f>
        <v>0</v>
      </c>
      <c r="AC224" s="107">
        <f>IF(A12stdlife="n/a","n/a",IF(AC$3&gt;(A12stdlife+$E224),('PTRM input'!$J$154*(1+rvanilla04)^0.5)-SUM($J224:AB224),('PTRM input'!$J$154*(1+rvanilla04)^0.5)/A12stdlife))</f>
        <v>0</v>
      </c>
      <c r="AD224" s="107">
        <f>IF(A12stdlife="n/a","n/a",IF(AD$3&gt;(A12stdlife+$E224),('PTRM input'!$J$154*(1+rvanilla04)^0.5)-SUM($J224:AC224),('PTRM input'!$J$154*(1+rvanilla04)^0.5)/A12stdlife))</f>
        <v>0</v>
      </c>
      <c r="AE224" s="107">
        <f>IF(A12stdlife="n/a","n/a",IF(AE$3&gt;(A12stdlife+$E224),('PTRM input'!$J$154*(1+rvanilla04)^0.5)-SUM($J224:AD224),('PTRM input'!$J$154*(1+rvanilla04)^0.5)/A12stdlife))</f>
        <v>0</v>
      </c>
      <c r="AF224" s="107">
        <f>IF(A12stdlife="n/a","n/a",IF(AF$3&gt;(A12stdlife+$E224),('PTRM input'!$J$154*(1+rvanilla04)^0.5)-SUM($J224:AE224),('PTRM input'!$J$154*(1+rvanilla04)^0.5)/A12stdlife))</f>
        <v>0</v>
      </c>
      <c r="AG224" s="107">
        <f>IF(A12stdlife="n/a","n/a",IF(AG$3&gt;(A12stdlife+$E224),('PTRM input'!$J$154*(1+rvanilla04)^0.5)-SUM($J224:AF224),('PTRM input'!$J$154*(1+rvanilla04)^0.5)/A12stdlife))</f>
        <v>0</v>
      </c>
      <c r="AH224" s="107">
        <f>IF(A12stdlife="n/a","n/a",IF(AH$3&gt;(A12stdlife+$E224),('PTRM input'!$J$154*(1+rvanilla04)^0.5)-SUM($J224:AG224),('PTRM input'!$J$154*(1+rvanilla04)^0.5)/A12stdlife))</f>
        <v>0</v>
      </c>
      <c r="AI224" s="107">
        <f>IF(A12stdlife="n/a","n/a",IF(AI$3&gt;(A12stdlife+$E224),('PTRM input'!$J$154*(1+rvanilla04)^0.5)-SUM($J224:AH224),('PTRM input'!$J$154*(1+rvanilla04)^0.5)/A12stdlife))</f>
        <v>0</v>
      </c>
      <c r="AJ224" s="107">
        <f>IF(A12stdlife="n/a","n/a",IF(AJ$3&gt;(A12stdlife+$E224),('PTRM input'!$J$154*(1+rvanilla04)^0.5)-SUM($J224:AI224),('PTRM input'!$J$154*(1+rvanilla04)^0.5)/A12stdlife))</f>
        <v>0</v>
      </c>
      <c r="AK224" s="107">
        <f>IF(A12stdlife="n/a","n/a",IF(AK$3&gt;(A12stdlife+$E224),('PTRM input'!$J$154*(1+rvanilla04)^0.5)-SUM($J224:AJ224),('PTRM input'!$J$154*(1+rvanilla04)^0.5)/A12stdlife))</f>
        <v>0</v>
      </c>
      <c r="AL224" s="107">
        <f>IF(A12stdlife="n/a","n/a",IF(AL$3&gt;(A12stdlife+$E224),('PTRM input'!$J$154*(1+rvanilla04)^0.5)-SUM($J224:AK224),('PTRM input'!$J$154*(1+rvanilla04)^0.5)/A12stdlife))</f>
        <v>0</v>
      </c>
      <c r="AM224" s="107">
        <f>IF(A12stdlife="n/a","n/a",IF(AM$3&gt;(A12stdlife+$E224),('PTRM input'!$J$154*(1+rvanilla04)^0.5)-SUM($J224:AL224),('PTRM input'!$J$154*(1+rvanilla04)^0.5)/A12stdlife))</f>
        <v>0</v>
      </c>
      <c r="AN224" s="107">
        <f>IF(A12stdlife="n/a","n/a",IF(AN$3&gt;(A12stdlife+$E224),('PTRM input'!$J$154*(1+rvanilla04)^0.5)-SUM($J224:AM224),('PTRM input'!$J$154*(1+rvanilla04)^0.5)/A12stdlife))</f>
        <v>0</v>
      </c>
      <c r="AO224" s="107">
        <f>IF(A12stdlife="n/a","n/a",IF(AO$3&gt;(A12stdlife+$E224),('PTRM input'!$J$154*(1+rvanilla04)^0.5)-SUM($J224:AN224),('PTRM input'!$J$154*(1+rvanilla04)^0.5)/A12stdlife))</f>
        <v>0</v>
      </c>
      <c r="AP224" s="107">
        <f>IF(A12stdlife="n/a","n/a",IF(AP$3&gt;(A12stdlife+$E224),('PTRM input'!$J$154*(1+rvanilla04)^0.5)-SUM($J224:AO224),('PTRM input'!$J$154*(1+rvanilla04)^0.5)/A12stdlife))</f>
        <v>0</v>
      </c>
      <c r="AQ224" s="107">
        <f>IF(A12stdlife="n/a","n/a",IF(AQ$3&gt;(A12stdlife+$E224),('PTRM input'!$J$154*(1+rvanilla04)^0.5)-SUM($J224:AP224),('PTRM input'!$J$154*(1+rvanilla04)^0.5)/A12stdlife))</f>
        <v>0</v>
      </c>
      <c r="AR224" s="107">
        <f>IF(A12stdlife="n/a","n/a",IF(AR$3&gt;(A12stdlife+$E224),('PTRM input'!$J$154*(1+rvanilla04)^0.5)-SUM($J224:AQ224),('PTRM input'!$J$154*(1+rvanilla04)^0.5)/A12stdlife))</f>
        <v>0</v>
      </c>
      <c r="AS224" s="107">
        <f>IF(A12stdlife="n/a","n/a",IF(AS$3&gt;(A12stdlife+$E224),('PTRM input'!$J$154*(1+rvanilla04)^0.5)-SUM($J224:AR224),('PTRM input'!$J$154*(1+rvanilla04)^0.5)/A12stdlife))</f>
        <v>0</v>
      </c>
      <c r="AT224" s="107">
        <f>IF(A12stdlife="n/a","n/a",IF(AT$3&gt;(A12stdlife+$E224),('PTRM input'!$J$154*(1+rvanilla04)^0.5)-SUM($J224:AS224),('PTRM input'!$J$154*(1+rvanilla04)^0.5)/A12stdlife))</f>
        <v>0</v>
      </c>
      <c r="AU224" s="107">
        <f>IF(A12stdlife="n/a","n/a",IF(AU$3&gt;(A12stdlife+$E224),('PTRM input'!$J$154*(1+rvanilla04)^0.5)-SUM($J224:AT224),('PTRM input'!$J$154*(1+rvanilla04)^0.5)/A12stdlife))</f>
        <v>0</v>
      </c>
      <c r="AV224" s="107">
        <f>IF(A12stdlife="n/a","n/a",IF(AV$3&gt;(A12stdlife+$E224),('PTRM input'!$J$154*(1+rvanilla04)^0.5)-SUM($J224:AU224),('PTRM input'!$J$154*(1+rvanilla04)^0.5)/A12stdlife))</f>
        <v>0</v>
      </c>
      <c r="AW224" s="107">
        <f>IF(A12stdlife="n/a","n/a",IF(AW$3&gt;(A12stdlife+$E224),('PTRM input'!$J$154*(1+rvanilla04)^0.5)-SUM($J224:AV224),('PTRM input'!$J$154*(1+rvanilla04)^0.5)/A12stdlife))</f>
        <v>0</v>
      </c>
      <c r="AX224" s="107">
        <f>IF(A12stdlife="n/a","n/a",IF(AX$3&gt;(A12stdlife+$E224),('PTRM input'!$J$154*(1+rvanilla04)^0.5)-SUM($J224:AW224),('PTRM input'!$J$154*(1+rvanilla04)^0.5)/A12stdlife))</f>
        <v>0</v>
      </c>
      <c r="AY224" s="107">
        <f>IF(A12stdlife="n/a","n/a",IF(AY$3&gt;(A12stdlife+$E224),('PTRM input'!$J$154*(1+rvanilla04)^0.5)-SUM($J224:AX224),('PTRM input'!$J$154*(1+rvanilla04)^0.5)/A12stdlife))</f>
        <v>0</v>
      </c>
      <c r="AZ224" s="107">
        <f>IF(A12stdlife="n/a","n/a",IF(AZ$3&gt;(A12stdlife+$E224),('PTRM input'!$J$154*(1+rvanilla04)^0.5)-SUM($J224:AY224),('PTRM input'!$J$154*(1+rvanilla04)^0.5)/A12stdlife))</f>
        <v>0</v>
      </c>
      <c r="BA224" s="107">
        <f>IF(A12stdlife="n/a","n/a",IF(BA$3&gt;(A12stdlife+$E224),('PTRM input'!$J$154*(1+rvanilla04)^0.5)-SUM($J224:AZ224),('PTRM input'!$J$154*(1+rvanilla04)^0.5)/A12stdlife))</f>
        <v>0</v>
      </c>
      <c r="BB224" s="107">
        <f>IF(A12stdlife="n/a","n/a",IF(BB$3&gt;(A12stdlife+$E224),('PTRM input'!$J$154*(1+rvanilla04)^0.5)-SUM($J224:BA224),('PTRM input'!$J$154*(1+rvanilla04)^0.5)/A12stdlife))</f>
        <v>0</v>
      </c>
      <c r="BC224" s="107">
        <f>IF(A12stdlife="n/a","n/a",IF(BC$3&gt;(A12stdlife+$E224),('PTRM input'!$J$154*(1+rvanilla04)^0.5)-SUM($J224:BB224),('PTRM input'!$J$154*(1+rvanilla04)^0.5)/A12stdlife))</f>
        <v>0</v>
      </c>
      <c r="BD224" s="107">
        <f>IF(A12stdlife="n/a","n/a",IF(BD$3&gt;(A12stdlife+$E224),('PTRM input'!$J$154*(1+rvanilla04)^0.5)-SUM($J224:BC224),('PTRM input'!$J$154*(1+rvanilla04)^0.5)/A12stdlife))</f>
        <v>0</v>
      </c>
      <c r="BE224" s="107">
        <f>IF(A12stdlife="n/a","n/a",IF(BE$3&gt;(A12stdlife+$E224),('PTRM input'!$J$154*(1+rvanilla04)^0.5)-SUM($J224:BD224),('PTRM input'!$J$154*(1+rvanilla04)^0.5)/A12stdlife))</f>
        <v>0</v>
      </c>
      <c r="BF224" s="107">
        <f>IF(A12stdlife="n/a","n/a",IF(BF$3&gt;(A12stdlife+$E224),('PTRM input'!$J$154*(1+rvanilla04)^0.5)-SUM($J224:BE224),('PTRM input'!$J$154*(1+rvanilla04)^0.5)/A12stdlife))</f>
        <v>0</v>
      </c>
      <c r="BG224" s="107">
        <f>IF(A12stdlife="n/a","n/a",IF(BG$3&gt;(A12stdlife+$E224),('PTRM input'!$J$154*(1+rvanilla04)^0.5)-SUM($J224:BF224),('PTRM input'!$J$154*(1+rvanilla04)^0.5)/A12stdlife))</f>
        <v>0</v>
      </c>
      <c r="BH224" s="107">
        <f>IF(A12stdlife="n/a","n/a",IF(BH$3&gt;(A12stdlife+$E224),('PTRM input'!$J$154*(1+rvanilla04)^0.5)-SUM($J224:BG224),('PTRM input'!$J$154*(1+rvanilla04)^0.5)/A12stdlife))</f>
        <v>0</v>
      </c>
      <c r="BI224" s="107">
        <f>IF(A12stdlife="n/a","n/a",IF(BI$3&gt;(A12stdlife+$E224),('PTRM input'!$J$154*(1+rvanilla04)^0.5)-SUM($J224:BH224),('PTRM input'!$J$154*(1+rvanilla04)^0.5)/A12stdlife))</f>
        <v>0</v>
      </c>
      <c r="BJ224" s="237"/>
      <c r="BK224" s="237"/>
      <c r="BL224" s="237"/>
      <c r="BM224" s="237"/>
    </row>
    <row r="225" spans="1:65" s="190" customFormat="1" hidden="1" outlineLevel="2">
      <c r="A225" s="237"/>
      <c r="B225" s="33"/>
      <c r="C225" s="32"/>
      <c r="D225" s="1618"/>
      <c r="E225" s="169">
        <v>5</v>
      </c>
      <c r="F225" s="35"/>
      <c r="G225" s="184"/>
      <c r="H225" s="186"/>
      <c r="I225" s="186"/>
      <c r="J225" s="186"/>
      <c r="K225" s="185"/>
      <c r="L225" s="107">
        <f>IF(A12stdlife="n/a","n/a",IF(L$3&gt;(A12stdlife+$E225),('PTRM input'!$K$154*(1+rvanilla05)^0.5)-SUM($K225:K225),('PTRM input'!$K$154*(1+rvanilla05)^0.5)/A12stdlife))</f>
        <v>0</v>
      </c>
      <c r="M225" s="107">
        <f>IF(A12stdlife="n/a","n/a",IF(M$3&gt;(A12stdlife+$E225),('PTRM input'!$K$154*(1+rvanilla05)^0.5)-SUM($K225:L225),('PTRM input'!$K$154*(1+rvanilla05)^0.5)/A12stdlife))</f>
        <v>0</v>
      </c>
      <c r="N225" s="107">
        <f>IF(A12stdlife="n/a","n/a",IF(N$3&gt;(A12stdlife+$E225),('PTRM input'!$K$154*(1+rvanilla05)^0.5)-SUM($K225:M225),('PTRM input'!$K$154*(1+rvanilla05)^0.5)/A12stdlife))</f>
        <v>0</v>
      </c>
      <c r="O225" s="107">
        <f>IF(A12stdlife="n/a","n/a",IF(O$3&gt;(A12stdlife+$E225),('PTRM input'!$K$154*(1+rvanilla05)^0.5)-SUM($K225:N225),('PTRM input'!$K$154*(1+rvanilla05)^0.5)/A12stdlife))</f>
        <v>0</v>
      </c>
      <c r="P225" s="107">
        <f>IF(A12stdlife="n/a","n/a",IF(P$3&gt;(A12stdlife+$E225),('PTRM input'!$K$154*(1+rvanilla05)^0.5)-SUM($K225:O225),('PTRM input'!$K$154*(1+rvanilla05)^0.5)/A12stdlife))</f>
        <v>0</v>
      </c>
      <c r="Q225" s="107">
        <f>IF(A12stdlife="n/a","n/a",IF(Q$3&gt;(A12stdlife+$E225),('PTRM input'!$K$154*(1+rvanilla05)^0.5)-SUM($K225:P225),('PTRM input'!$K$154*(1+rvanilla05)^0.5)/A12stdlife))</f>
        <v>0</v>
      </c>
      <c r="R225" s="107">
        <f>IF(A12stdlife="n/a","n/a",IF(R$3&gt;(A12stdlife+$E225),('PTRM input'!$K$154*(1+rvanilla05)^0.5)-SUM($K225:Q225),('PTRM input'!$K$154*(1+rvanilla05)^0.5)/A12stdlife))</f>
        <v>0</v>
      </c>
      <c r="S225" s="107">
        <f>IF(A12stdlife="n/a","n/a",IF(S$3&gt;(A12stdlife+$E225),('PTRM input'!$K$154*(1+rvanilla05)^0.5)-SUM($K225:R225),('PTRM input'!$K$154*(1+rvanilla05)^0.5)/A12stdlife))</f>
        <v>0</v>
      </c>
      <c r="T225" s="107">
        <f>IF(A12stdlife="n/a","n/a",IF(T$3&gt;(A12stdlife+$E225),('PTRM input'!$K$154*(1+rvanilla05)^0.5)-SUM($K225:S225),('PTRM input'!$K$154*(1+rvanilla05)^0.5)/A12stdlife))</f>
        <v>0</v>
      </c>
      <c r="U225" s="107">
        <f>IF(A12stdlife="n/a","n/a",IF(U$3&gt;(A12stdlife+$E225),('PTRM input'!$K$154*(1+rvanilla05)^0.5)-SUM($K225:T225),('PTRM input'!$K$154*(1+rvanilla05)^0.5)/A12stdlife))</f>
        <v>0</v>
      </c>
      <c r="V225" s="107">
        <f>IF(A12stdlife="n/a","n/a",IF(V$3&gt;(A12stdlife+$E225),('PTRM input'!$K$154*(1+rvanilla05)^0.5)-SUM($K225:U225),('PTRM input'!$K$154*(1+rvanilla05)^0.5)/A12stdlife))</f>
        <v>0</v>
      </c>
      <c r="W225" s="107">
        <f>IF(A12stdlife="n/a","n/a",IF(W$3&gt;(A12stdlife+$E225),('PTRM input'!$K$154*(1+rvanilla05)^0.5)-SUM($K225:V225),('PTRM input'!$K$154*(1+rvanilla05)^0.5)/A12stdlife))</f>
        <v>0</v>
      </c>
      <c r="X225" s="107">
        <f>IF(A12stdlife="n/a","n/a",IF(X$3&gt;(A12stdlife+$E225),('PTRM input'!$K$154*(1+rvanilla05)^0.5)-SUM($K225:W225),('PTRM input'!$K$154*(1+rvanilla05)^0.5)/A12stdlife))</f>
        <v>0</v>
      </c>
      <c r="Y225" s="107">
        <f>IF(A12stdlife="n/a","n/a",IF(Y$3&gt;(A12stdlife+$E225),('PTRM input'!$K$154*(1+rvanilla05)^0.5)-SUM($K225:X225),('PTRM input'!$K$154*(1+rvanilla05)^0.5)/A12stdlife))</f>
        <v>0</v>
      </c>
      <c r="Z225" s="107">
        <f>IF(A12stdlife="n/a","n/a",IF(Z$3&gt;(A12stdlife+$E225),('PTRM input'!$K$154*(1+rvanilla05)^0.5)-SUM($K225:Y225),('PTRM input'!$K$154*(1+rvanilla05)^0.5)/A12stdlife))</f>
        <v>0</v>
      </c>
      <c r="AA225" s="107">
        <f>IF(A12stdlife="n/a","n/a",IF(AA$3&gt;(A12stdlife+$E225),('PTRM input'!$K$154*(1+rvanilla05)^0.5)-SUM($K225:Z225),('PTRM input'!$K$154*(1+rvanilla05)^0.5)/A12stdlife))</f>
        <v>0</v>
      </c>
      <c r="AB225" s="107">
        <f>IF(A12stdlife="n/a","n/a",IF(AB$3&gt;(A12stdlife+$E225),('PTRM input'!$K$154*(1+rvanilla05)^0.5)-SUM($K225:AA225),('PTRM input'!$K$154*(1+rvanilla05)^0.5)/A12stdlife))</f>
        <v>0</v>
      </c>
      <c r="AC225" s="107">
        <f>IF(A12stdlife="n/a","n/a",IF(AC$3&gt;(A12stdlife+$E225),('PTRM input'!$K$154*(1+rvanilla05)^0.5)-SUM($K225:AB225),('PTRM input'!$K$154*(1+rvanilla05)^0.5)/A12stdlife))</f>
        <v>0</v>
      </c>
      <c r="AD225" s="107">
        <f>IF(A12stdlife="n/a","n/a",IF(AD$3&gt;(A12stdlife+$E225),('PTRM input'!$K$154*(1+rvanilla05)^0.5)-SUM($K225:AC225),('PTRM input'!$K$154*(1+rvanilla05)^0.5)/A12stdlife))</f>
        <v>0</v>
      </c>
      <c r="AE225" s="107">
        <f>IF(A12stdlife="n/a","n/a",IF(AE$3&gt;(A12stdlife+$E225),('PTRM input'!$K$154*(1+rvanilla05)^0.5)-SUM($K225:AD225),('PTRM input'!$K$154*(1+rvanilla05)^0.5)/A12stdlife))</f>
        <v>0</v>
      </c>
      <c r="AF225" s="107">
        <f>IF(A12stdlife="n/a","n/a",IF(AF$3&gt;(A12stdlife+$E225),('PTRM input'!$K$154*(1+rvanilla05)^0.5)-SUM($K225:AE225),('PTRM input'!$K$154*(1+rvanilla05)^0.5)/A12stdlife))</f>
        <v>0</v>
      </c>
      <c r="AG225" s="107">
        <f>IF(A12stdlife="n/a","n/a",IF(AG$3&gt;(A12stdlife+$E225),('PTRM input'!$K$154*(1+rvanilla05)^0.5)-SUM($K225:AF225),('PTRM input'!$K$154*(1+rvanilla05)^0.5)/A12stdlife))</f>
        <v>0</v>
      </c>
      <c r="AH225" s="107">
        <f>IF(A12stdlife="n/a","n/a",IF(AH$3&gt;(A12stdlife+$E225),('PTRM input'!$K$154*(1+rvanilla05)^0.5)-SUM($K225:AG225),('PTRM input'!$K$154*(1+rvanilla05)^0.5)/A12stdlife))</f>
        <v>0</v>
      </c>
      <c r="AI225" s="107">
        <f>IF(A12stdlife="n/a","n/a",IF(AI$3&gt;(A12stdlife+$E225),('PTRM input'!$K$154*(1+rvanilla05)^0.5)-SUM($K225:AH225),('PTRM input'!$K$154*(1+rvanilla05)^0.5)/A12stdlife))</f>
        <v>0</v>
      </c>
      <c r="AJ225" s="107">
        <f>IF(A12stdlife="n/a","n/a",IF(AJ$3&gt;(A12stdlife+$E225),('PTRM input'!$K$154*(1+rvanilla05)^0.5)-SUM($K225:AI225),('PTRM input'!$K$154*(1+rvanilla05)^0.5)/A12stdlife))</f>
        <v>0</v>
      </c>
      <c r="AK225" s="107">
        <f>IF(A12stdlife="n/a","n/a",IF(AK$3&gt;(A12stdlife+$E225),('PTRM input'!$K$154*(1+rvanilla05)^0.5)-SUM($K225:AJ225),('PTRM input'!$K$154*(1+rvanilla05)^0.5)/A12stdlife))</f>
        <v>0</v>
      </c>
      <c r="AL225" s="107">
        <f>IF(A12stdlife="n/a","n/a",IF(AL$3&gt;(A12stdlife+$E225),('PTRM input'!$K$154*(1+rvanilla05)^0.5)-SUM($K225:AK225),('PTRM input'!$K$154*(1+rvanilla05)^0.5)/A12stdlife))</f>
        <v>0</v>
      </c>
      <c r="AM225" s="107">
        <f>IF(A12stdlife="n/a","n/a",IF(AM$3&gt;(A12stdlife+$E225),('PTRM input'!$K$154*(1+rvanilla05)^0.5)-SUM($K225:AL225),('PTRM input'!$K$154*(1+rvanilla05)^0.5)/A12stdlife))</f>
        <v>0</v>
      </c>
      <c r="AN225" s="107">
        <f>IF(A12stdlife="n/a","n/a",IF(AN$3&gt;(A12stdlife+$E225),('PTRM input'!$K$154*(1+rvanilla05)^0.5)-SUM($K225:AM225),('PTRM input'!$K$154*(1+rvanilla05)^0.5)/A12stdlife))</f>
        <v>0</v>
      </c>
      <c r="AO225" s="107">
        <f>IF(A12stdlife="n/a","n/a",IF(AO$3&gt;(A12stdlife+$E225),('PTRM input'!$K$154*(1+rvanilla05)^0.5)-SUM($K225:AN225),('PTRM input'!$K$154*(1+rvanilla05)^0.5)/A12stdlife))</f>
        <v>0</v>
      </c>
      <c r="AP225" s="107">
        <f>IF(A12stdlife="n/a","n/a",IF(AP$3&gt;(A12stdlife+$E225),('PTRM input'!$K$154*(1+rvanilla05)^0.5)-SUM($K225:AO225),('PTRM input'!$K$154*(1+rvanilla05)^0.5)/A12stdlife))</f>
        <v>0</v>
      </c>
      <c r="AQ225" s="107">
        <f>IF(A12stdlife="n/a","n/a",IF(AQ$3&gt;(A12stdlife+$E225),('PTRM input'!$K$154*(1+rvanilla05)^0.5)-SUM($K225:AP225),('PTRM input'!$K$154*(1+rvanilla05)^0.5)/A12stdlife))</f>
        <v>0</v>
      </c>
      <c r="AR225" s="107">
        <f>IF(A12stdlife="n/a","n/a",IF(AR$3&gt;(A12stdlife+$E225),('PTRM input'!$K$154*(1+rvanilla05)^0.5)-SUM($K225:AQ225),('PTRM input'!$K$154*(1+rvanilla05)^0.5)/A12stdlife))</f>
        <v>0</v>
      </c>
      <c r="AS225" s="107">
        <f>IF(A12stdlife="n/a","n/a",IF(AS$3&gt;(A12stdlife+$E225),('PTRM input'!$K$154*(1+rvanilla05)^0.5)-SUM($K225:AR225),('PTRM input'!$K$154*(1+rvanilla05)^0.5)/A12stdlife))</f>
        <v>0</v>
      </c>
      <c r="AT225" s="107">
        <f>IF(A12stdlife="n/a","n/a",IF(AT$3&gt;(A12stdlife+$E225),('PTRM input'!$K$154*(1+rvanilla05)^0.5)-SUM($K225:AS225),('PTRM input'!$K$154*(1+rvanilla05)^0.5)/A12stdlife))</f>
        <v>0</v>
      </c>
      <c r="AU225" s="107">
        <f>IF(A12stdlife="n/a","n/a",IF(AU$3&gt;(A12stdlife+$E225),('PTRM input'!$K$154*(1+rvanilla05)^0.5)-SUM($K225:AT225),('PTRM input'!$K$154*(1+rvanilla05)^0.5)/A12stdlife))</f>
        <v>0</v>
      </c>
      <c r="AV225" s="107">
        <f>IF(A12stdlife="n/a","n/a",IF(AV$3&gt;(A12stdlife+$E225),('PTRM input'!$K$154*(1+rvanilla05)^0.5)-SUM($K225:AU225),('PTRM input'!$K$154*(1+rvanilla05)^0.5)/A12stdlife))</f>
        <v>0</v>
      </c>
      <c r="AW225" s="107">
        <f>IF(A12stdlife="n/a","n/a",IF(AW$3&gt;(A12stdlife+$E225),('PTRM input'!$K$154*(1+rvanilla05)^0.5)-SUM($K225:AV225),('PTRM input'!$K$154*(1+rvanilla05)^0.5)/A12stdlife))</f>
        <v>0</v>
      </c>
      <c r="AX225" s="107">
        <f>IF(A12stdlife="n/a","n/a",IF(AX$3&gt;(A12stdlife+$E225),('PTRM input'!$K$154*(1+rvanilla05)^0.5)-SUM($K225:AW225),('PTRM input'!$K$154*(1+rvanilla05)^0.5)/A12stdlife))</f>
        <v>0</v>
      </c>
      <c r="AY225" s="107">
        <f>IF(A12stdlife="n/a","n/a",IF(AY$3&gt;(A12stdlife+$E225),('PTRM input'!$K$154*(1+rvanilla05)^0.5)-SUM($K225:AX225),('PTRM input'!$K$154*(1+rvanilla05)^0.5)/A12stdlife))</f>
        <v>0</v>
      </c>
      <c r="AZ225" s="107">
        <f>IF(A12stdlife="n/a","n/a",IF(AZ$3&gt;(A12stdlife+$E225),('PTRM input'!$K$154*(1+rvanilla05)^0.5)-SUM($K225:AY225),('PTRM input'!$K$154*(1+rvanilla05)^0.5)/A12stdlife))</f>
        <v>0</v>
      </c>
      <c r="BA225" s="107">
        <f>IF(A12stdlife="n/a","n/a",IF(BA$3&gt;(A12stdlife+$E225),('PTRM input'!$K$154*(1+rvanilla05)^0.5)-SUM($K225:AZ225),('PTRM input'!$K$154*(1+rvanilla05)^0.5)/A12stdlife))</f>
        <v>0</v>
      </c>
      <c r="BB225" s="107">
        <f>IF(A12stdlife="n/a","n/a",IF(BB$3&gt;(A12stdlife+$E225),('PTRM input'!$K$154*(1+rvanilla05)^0.5)-SUM($K225:BA225),('PTRM input'!$K$154*(1+rvanilla05)^0.5)/A12stdlife))</f>
        <v>0</v>
      </c>
      <c r="BC225" s="107">
        <f>IF(A12stdlife="n/a","n/a",IF(BC$3&gt;(A12stdlife+$E225),('PTRM input'!$K$154*(1+rvanilla05)^0.5)-SUM($K225:BB225),('PTRM input'!$K$154*(1+rvanilla05)^0.5)/A12stdlife))</f>
        <v>0</v>
      </c>
      <c r="BD225" s="107">
        <f>IF(A12stdlife="n/a","n/a",IF(BD$3&gt;(A12stdlife+$E225),('PTRM input'!$K$154*(1+rvanilla05)^0.5)-SUM($K225:BC225),('PTRM input'!$K$154*(1+rvanilla05)^0.5)/A12stdlife))</f>
        <v>0</v>
      </c>
      <c r="BE225" s="107">
        <f>IF(A12stdlife="n/a","n/a",IF(BE$3&gt;(A12stdlife+$E225),('PTRM input'!$K$154*(1+rvanilla05)^0.5)-SUM($K225:BD225),('PTRM input'!$K$154*(1+rvanilla05)^0.5)/A12stdlife))</f>
        <v>0</v>
      </c>
      <c r="BF225" s="107">
        <f>IF(A12stdlife="n/a","n/a",IF(BF$3&gt;(A12stdlife+$E225),('PTRM input'!$K$154*(1+rvanilla05)^0.5)-SUM($K225:BE225),('PTRM input'!$K$154*(1+rvanilla05)^0.5)/A12stdlife))</f>
        <v>0</v>
      </c>
      <c r="BG225" s="107">
        <f>IF(A12stdlife="n/a","n/a",IF(BG$3&gt;(A12stdlife+$E225),('PTRM input'!$K$154*(1+rvanilla05)^0.5)-SUM($K225:BF225),('PTRM input'!$K$154*(1+rvanilla05)^0.5)/A12stdlife))</f>
        <v>0</v>
      </c>
      <c r="BH225" s="107">
        <f>IF(A12stdlife="n/a","n/a",IF(BH$3&gt;(A12stdlife+$E225),('PTRM input'!$K$154*(1+rvanilla05)^0.5)-SUM($K225:BG225),('PTRM input'!$K$154*(1+rvanilla05)^0.5)/A12stdlife))</f>
        <v>0</v>
      </c>
      <c r="BI225" s="107">
        <f>IF(A12stdlife="n/a","n/a",IF(BI$3&gt;(A12stdlife+$E225),('PTRM input'!$K$154*(1+rvanilla05)^0.5)-SUM($K225:BH225),('PTRM input'!$K$154*(1+rvanilla05)^0.5)/A12stdlife))</f>
        <v>0</v>
      </c>
      <c r="BJ225" s="237"/>
      <c r="BK225" s="237"/>
      <c r="BL225" s="237"/>
      <c r="BM225" s="237"/>
    </row>
    <row r="226" spans="1:65" s="190" customFormat="1" hidden="1" outlineLevel="2">
      <c r="A226" s="237"/>
      <c r="B226" s="33"/>
      <c r="C226" s="32"/>
      <c r="D226" s="1618"/>
      <c r="E226" s="169">
        <v>6</v>
      </c>
      <c r="F226" s="35"/>
      <c r="G226" s="184"/>
      <c r="H226" s="186"/>
      <c r="I226" s="186"/>
      <c r="J226" s="186"/>
      <c r="K226" s="186"/>
      <c r="L226" s="185"/>
      <c r="M226" s="107">
        <f>IF(A12stdlife="n/a","n/a",IF(M$3&gt;(A12stdlife+$E226),('PTRM input'!$L$154*(1+rvanilla06)^0.5)-SUM($L226:L226),('PTRM input'!$L$154*(1+rvanilla06)^0.5)/A12stdlife))</f>
        <v>0</v>
      </c>
      <c r="N226" s="107">
        <f>IF(A12stdlife="n/a","n/a",IF(N$3&gt;(A12stdlife+$E226),('PTRM input'!$L$154*(1+rvanilla06)^0.5)-SUM($L226:M226),('PTRM input'!$L$154*(1+rvanilla06)^0.5)/A12stdlife))</f>
        <v>0</v>
      </c>
      <c r="O226" s="107">
        <f>IF(A12stdlife="n/a","n/a",IF(O$3&gt;(A12stdlife+$E226),('PTRM input'!$L$154*(1+rvanilla06)^0.5)-SUM($L226:N226),('PTRM input'!$L$154*(1+rvanilla06)^0.5)/A12stdlife))</f>
        <v>0</v>
      </c>
      <c r="P226" s="107">
        <f>IF(A12stdlife="n/a","n/a",IF(P$3&gt;(A12stdlife+$E226),('PTRM input'!$L$154*(1+rvanilla06)^0.5)-SUM($L226:O226),('PTRM input'!$L$154*(1+rvanilla06)^0.5)/A12stdlife))</f>
        <v>0</v>
      </c>
      <c r="Q226" s="107">
        <f>IF(A12stdlife="n/a","n/a",IF(Q$3&gt;(A12stdlife+$E226),('PTRM input'!$L$154*(1+rvanilla06)^0.5)-SUM($L226:P226),('PTRM input'!$L$154*(1+rvanilla06)^0.5)/A12stdlife))</f>
        <v>0</v>
      </c>
      <c r="R226" s="107">
        <f>IF(A12stdlife="n/a","n/a",IF(R$3&gt;(A12stdlife+$E226),('PTRM input'!$L$154*(1+rvanilla06)^0.5)-SUM($L226:Q226),('PTRM input'!$L$154*(1+rvanilla06)^0.5)/A12stdlife))</f>
        <v>0</v>
      </c>
      <c r="S226" s="107">
        <f>IF(A12stdlife="n/a","n/a",IF(S$3&gt;(A12stdlife+$E226),('PTRM input'!$L$154*(1+rvanilla06)^0.5)-SUM($L226:R226),('PTRM input'!$L$154*(1+rvanilla06)^0.5)/A12stdlife))</f>
        <v>0</v>
      </c>
      <c r="T226" s="107">
        <f>IF(A12stdlife="n/a","n/a",IF(T$3&gt;(A12stdlife+$E226),('PTRM input'!$L$154*(1+rvanilla06)^0.5)-SUM($L226:S226),('PTRM input'!$L$154*(1+rvanilla06)^0.5)/A12stdlife))</f>
        <v>0</v>
      </c>
      <c r="U226" s="107">
        <f>IF(A12stdlife="n/a","n/a",IF(U$3&gt;(A12stdlife+$E226),('PTRM input'!$L$154*(1+rvanilla06)^0.5)-SUM($L226:T226),('PTRM input'!$L$154*(1+rvanilla06)^0.5)/A12stdlife))</f>
        <v>0</v>
      </c>
      <c r="V226" s="107">
        <f>IF(A12stdlife="n/a","n/a",IF(V$3&gt;(A12stdlife+$E226),('PTRM input'!$L$154*(1+rvanilla06)^0.5)-SUM($L226:U226),('PTRM input'!$L$154*(1+rvanilla06)^0.5)/A12stdlife))</f>
        <v>0</v>
      </c>
      <c r="W226" s="107">
        <f>IF(A12stdlife="n/a","n/a",IF(W$3&gt;(A12stdlife+$E226),('PTRM input'!$L$154*(1+rvanilla06)^0.5)-SUM($L226:V226),('PTRM input'!$L$154*(1+rvanilla06)^0.5)/A12stdlife))</f>
        <v>0</v>
      </c>
      <c r="X226" s="107">
        <f>IF(A12stdlife="n/a","n/a",IF(X$3&gt;(A12stdlife+$E226),('PTRM input'!$L$154*(1+rvanilla06)^0.5)-SUM($L226:W226),('PTRM input'!$L$154*(1+rvanilla06)^0.5)/A12stdlife))</f>
        <v>0</v>
      </c>
      <c r="Y226" s="107">
        <f>IF(A12stdlife="n/a","n/a",IF(Y$3&gt;(A12stdlife+$E226),('PTRM input'!$L$154*(1+rvanilla06)^0.5)-SUM($L226:X226),('PTRM input'!$L$154*(1+rvanilla06)^0.5)/A12stdlife))</f>
        <v>0</v>
      </c>
      <c r="Z226" s="107">
        <f>IF(A12stdlife="n/a","n/a",IF(Z$3&gt;(A12stdlife+$E226),('PTRM input'!$L$154*(1+rvanilla06)^0.5)-SUM($L226:Y226),('PTRM input'!$L$154*(1+rvanilla06)^0.5)/A12stdlife))</f>
        <v>0</v>
      </c>
      <c r="AA226" s="107">
        <f>IF(A12stdlife="n/a","n/a",IF(AA$3&gt;(A12stdlife+$E226),('PTRM input'!$L$154*(1+rvanilla06)^0.5)-SUM($L226:Z226),('PTRM input'!$L$154*(1+rvanilla06)^0.5)/A12stdlife))</f>
        <v>0</v>
      </c>
      <c r="AB226" s="107">
        <f>IF(A12stdlife="n/a","n/a",IF(AB$3&gt;(A12stdlife+$E226),('PTRM input'!$L$154*(1+rvanilla06)^0.5)-SUM($L226:AA226),('PTRM input'!$L$154*(1+rvanilla06)^0.5)/A12stdlife))</f>
        <v>0</v>
      </c>
      <c r="AC226" s="107">
        <f>IF(A12stdlife="n/a","n/a",IF(AC$3&gt;(A12stdlife+$E226),('PTRM input'!$L$154*(1+rvanilla06)^0.5)-SUM($L226:AB226),('PTRM input'!$L$154*(1+rvanilla06)^0.5)/A12stdlife))</f>
        <v>0</v>
      </c>
      <c r="AD226" s="107">
        <f>IF(A12stdlife="n/a","n/a",IF(AD$3&gt;(A12stdlife+$E226),('PTRM input'!$L$154*(1+rvanilla06)^0.5)-SUM($L226:AC226),('PTRM input'!$L$154*(1+rvanilla06)^0.5)/A12stdlife))</f>
        <v>0</v>
      </c>
      <c r="AE226" s="107">
        <f>IF(A12stdlife="n/a","n/a",IF(AE$3&gt;(A12stdlife+$E226),('PTRM input'!$L$154*(1+rvanilla06)^0.5)-SUM($L226:AD226),('PTRM input'!$L$154*(1+rvanilla06)^0.5)/A12stdlife))</f>
        <v>0</v>
      </c>
      <c r="AF226" s="107">
        <f>IF(A12stdlife="n/a","n/a",IF(AF$3&gt;(A12stdlife+$E226),('PTRM input'!$L$154*(1+rvanilla06)^0.5)-SUM($L226:AE226),('PTRM input'!$L$154*(1+rvanilla06)^0.5)/A12stdlife))</f>
        <v>0</v>
      </c>
      <c r="AG226" s="107">
        <f>IF(A12stdlife="n/a","n/a",IF(AG$3&gt;(A12stdlife+$E226),('PTRM input'!$L$154*(1+rvanilla06)^0.5)-SUM($L226:AF226),('PTRM input'!$L$154*(1+rvanilla06)^0.5)/A12stdlife))</f>
        <v>0</v>
      </c>
      <c r="AH226" s="107">
        <f>IF(A12stdlife="n/a","n/a",IF(AH$3&gt;(A12stdlife+$E226),('PTRM input'!$L$154*(1+rvanilla06)^0.5)-SUM($L226:AG226),('PTRM input'!$L$154*(1+rvanilla06)^0.5)/A12stdlife))</f>
        <v>0</v>
      </c>
      <c r="AI226" s="107">
        <f>IF(A12stdlife="n/a","n/a",IF(AI$3&gt;(A12stdlife+$E226),('PTRM input'!$L$154*(1+rvanilla06)^0.5)-SUM($L226:AH226),('PTRM input'!$L$154*(1+rvanilla06)^0.5)/A12stdlife))</f>
        <v>0</v>
      </c>
      <c r="AJ226" s="107">
        <f>IF(A12stdlife="n/a","n/a",IF(AJ$3&gt;(A12stdlife+$E226),('PTRM input'!$L$154*(1+rvanilla06)^0.5)-SUM($L226:AI226),('PTRM input'!$L$154*(1+rvanilla06)^0.5)/A12stdlife))</f>
        <v>0</v>
      </c>
      <c r="AK226" s="107">
        <f>IF(A12stdlife="n/a","n/a",IF(AK$3&gt;(A12stdlife+$E226),('PTRM input'!$L$154*(1+rvanilla06)^0.5)-SUM($L226:AJ226),('PTRM input'!$L$154*(1+rvanilla06)^0.5)/A12stdlife))</f>
        <v>0</v>
      </c>
      <c r="AL226" s="107">
        <f>IF(A12stdlife="n/a","n/a",IF(AL$3&gt;(A12stdlife+$E226),('PTRM input'!$L$154*(1+rvanilla06)^0.5)-SUM($L226:AK226),('PTRM input'!$L$154*(1+rvanilla06)^0.5)/A12stdlife))</f>
        <v>0</v>
      </c>
      <c r="AM226" s="107">
        <f>IF(A12stdlife="n/a","n/a",IF(AM$3&gt;(A12stdlife+$E226),('PTRM input'!$L$154*(1+rvanilla06)^0.5)-SUM($L226:AL226),('PTRM input'!$L$154*(1+rvanilla06)^0.5)/A12stdlife))</f>
        <v>0</v>
      </c>
      <c r="AN226" s="107">
        <f>IF(A12stdlife="n/a","n/a",IF(AN$3&gt;(A12stdlife+$E226),('PTRM input'!$L$154*(1+rvanilla06)^0.5)-SUM($L226:AM226),('PTRM input'!$L$154*(1+rvanilla06)^0.5)/A12stdlife))</f>
        <v>0</v>
      </c>
      <c r="AO226" s="107">
        <f>IF(A12stdlife="n/a","n/a",IF(AO$3&gt;(A12stdlife+$E226),('PTRM input'!$L$154*(1+rvanilla06)^0.5)-SUM($L226:AN226),('PTRM input'!$L$154*(1+rvanilla06)^0.5)/A12stdlife))</f>
        <v>0</v>
      </c>
      <c r="AP226" s="107">
        <f>IF(A12stdlife="n/a","n/a",IF(AP$3&gt;(A12stdlife+$E226),('PTRM input'!$L$154*(1+rvanilla06)^0.5)-SUM($L226:AO226),('PTRM input'!$L$154*(1+rvanilla06)^0.5)/A12stdlife))</f>
        <v>0</v>
      </c>
      <c r="AQ226" s="107">
        <f>IF(A12stdlife="n/a","n/a",IF(AQ$3&gt;(A12stdlife+$E226),('PTRM input'!$L$154*(1+rvanilla06)^0.5)-SUM($L226:AP226),('PTRM input'!$L$154*(1+rvanilla06)^0.5)/A12stdlife))</f>
        <v>0</v>
      </c>
      <c r="AR226" s="107">
        <f>IF(A12stdlife="n/a","n/a",IF(AR$3&gt;(A12stdlife+$E226),('PTRM input'!$L$154*(1+rvanilla06)^0.5)-SUM($L226:AQ226),('PTRM input'!$L$154*(1+rvanilla06)^0.5)/A12stdlife))</f>
        <v>0</v>
      </c>
      <c r="AS226" s="107">
        <f>IF(A12stdlife="n/a","n/a",IF(AS$3&gt;(A12stdlife+$E226),('PTRM input'!$L$154*(1+rvanilla06)^0.5)-SUM($L226:AR226),('PTRM input'!$L$154*(1+rvanilla06)^0.5)/A12stdlife))</f>
        <v>0</v>
      </c>
      <c r="AT226" s="107">
        <f>IF(A12stdlife="n/a","n/a",IF(AT$3&gt;(A12stdlife+$E226),('PTRM input'!$L$154*(1+rvanilla06)^0.5)-SUM($L226:AS226),('PTRM input'!$L$154*(1+rvanilla06)^0.5)/A12stdlife))</f>
        <v>0</v>
      </c>
      <c r="AU226" s="107">
        <f>IF(A12stdlife="n/a","n/a",IF(AU$3&gt;(A12stdlife+$E226),('PTRM input'!$L$154*(1+rvanilla06)^0.5)-SUM($L226:AT226),('PTRM input'!$L$154*(1+rvanilla06)^0.5)/A12stdlife))</f>
        <v>0</v>
      </c>
      <c r="AV226" s="107">
        <f>IF(A12stdlife="n/a","n/a",IF(AV$3&gt;(A12stdlife+$E226),('PTRM input'!$L$154*(1+rvanilla06)^0.5)-SUM($L226:AU226),('PTRM input'!$L$154*(1+rvanilla06)^0.5)/A12stdlife))</f>
        <v>0</v>
      </c>
      <c r="AW226" s="107">
        <f>IF(A12stdlife="n/a","n/a",IF(AW$3&gt;(A12stdlife+$E226),('PTRM input'!$L$154*(1+rvanilla06)^0.5)-SUM($L226:AV226),('PTRM input'!$L$154*(1+rvanilla06)^0.5)/A12stdlife))</f>
        <v>0</v>
      </c>
      <c r="AX226" s="107">
        <f>IF(A12stdlife="n/a","n/a",IF(AX$3&gt;(A12stdlife+$E226),('PTRM input'!$L$154*(1+rvanilla06)^0.5)-SUM($L226:AW226),('PTRM input'!$L$154*(1+rvanilla06)^0.5)/A12stdlife))</f>
        <v>0</v>
      </c>
      <c r="AY226" s="107">
        <f>IF(A12stdlife="n/a","n/a",IF(AY$3&gt;(A12stdlife+$E226),('PTRM input'!$L$154*(1+rvanilla06)^0.5)-SUM($L226:AX226),('PTRM input'!$L$154*(1+rvanilla06)^0.5)/A12stdlife))</f>
        <v>0</v>
      </c>
      <c r="AZ226" s="107">
        <f>IF(A12stdlife="n/a","n/a",IF(AZ$3&gt;(A12stdlife+$E226),('PTRM input'!$L$154*(1+rvanilla06)^0.5)-SUM($L226:AY226),('PTRM input'!$L$154*(1+rvanilla06)^0.5)/A12stdlife))</f>
        <v>0</v>
      </c>
      <c r="BA226" s="107">
        <f>IF(A12stdlife="n/a","n/a",IF(BA$3&gt;(A12stdlife+$E226),('PTRM input'!$L$154*(1+rvanilla06)^0.5)-SUM($L226:AZ226),('PTRM input'!$L$154*(1+rvanilla06)^0.5)/A12stdlife))</f>
        <v>0</v>
      </c>
      <c r="BB226" s="107">
        <f>IF(A12stdlife="n/a","n/a",IF(BB$3&gt;(A12stdlife+$E226),('PTRM input'!$L$154*(1+rvanilla06)^0.5)-SUM($L226:BA226),('PTRM input'!$L$154*(1+rvanilla06)^0.5)/A12stdlife))</f>
        <v>0</v>
      </c>
      <c r="BC226" s="107">
        <f>IF(A12stdlife="n/a","n/a",IF(BC$3&gt;(A12stdlife+$E226),('PTRM input'!$L$154*(1+rvanilla06)^0.5)-SUM($L226:BB226),('PTRM input'!$L$154*(1+rvanilla06)^0.5)/A12stdlife))</f>
        <v>0</v>
      </c>
      <c r="BD226" s="107">
        <f>IF(A12stdlife="n/a","n/a",IF(BD$3&gt;(A12stdlife+$E226),('PTRM input'!$L$154*(1+rvanilla06)^0.5)-SUM($L226:BC226),('PTRM input'!$L$154*(1+rvanilla06)^0.5)/A12stdlife))</f>
        <v>0</v>
      </c>
      <c r="BE226" s="107">
        <f>IF(A12stdlife="n/a","n/a",IF(BE$3&gt;(A12stdlife+$E226),('PTRM input'!$L$154*(1+rvanilla06)^0.5)-SUM($L226:BD226),('PTRM input'!$L$154*(1+rvanilla06)^0.5)/A12stdlife))</f>
        <v>0</v>
      </c>
      <c r="BF226" s="107">
        <f>IF(A12stdlife="n/a","n/a",IF(BF$3&gt;(A12stdlife+$E226),('PTRM input'!$L$154*(1+rvanilla06)^0.5)-SUM($L226:BE226),('PTRM input'!$L$154*(1+rvanilla06)^0.5)/A12stdlife))</f>
        <v>0</v>
      </c>
      <c r="BG226" s="107">
        <f>IF(A12stdlife="n/a","n/a",IF(BG$3&gt;(A12stdlife+$E226),('PTRM input'!$L$154*(1+rvanilla06)^0.5)-SUM($L226:BF226),('PTRM input'!$L$154*(1+rvanilla06)^0.5)/A12stdlife))</f>
        <v>0</v>
      </c>
      <c r="BH226" s="107">
        <f>IF(A12stdlife="n/a","n/a",IF(BH$3&gt;(A12stdlife+$E226),('PTRM input'!$L$154*(1+rvanilla06)^0.5)-SUM($L226:BG226),('PTRM input'!$L$154*(1+rvanilla06)^0.5)/A12stdlife))</f>
        <v>0</v>
      </c>
      <c r="BI226" s="107">
        <f>IF(A12stdlife="n/a","n/a",IF(BI$3&gt;(A12stdlife+$E226),('PTRM input'!$L$154*(1+rvanilla06)^0.5)-SUM($L226:BH226),('PTRM input'!$L$154*(1+rvanilla06)^0.5)/A12stdlife))</f>
        <v>0</v>
      </c>
      <c r="BJ226" s="237"/>
      <c r="BK226" s="237"/>
      <c r="BL226" s="237"/>
      <c r="BM226" s="237"/>
    </row>
    <row r="227" spans="1:65" s="190" customFormat="1" hidden="1" outlineLevel="2">
      <c r="A227" s="237"/>
      <c r="B227" s="33"/>
      <c r="C227" s="32"/>
      <c r="D227" s="1618"/>
      <c r="E227" s="169">
        <v>7</v>
      </c>
      <c r="F227" s="35"/>
      <c r="G227" s="184"/>
      <c r="H227" s="186"/>
      <c r="I227" s="186"/>
      <c r="J227" s="186"/>
      <c r="K227" s="186"/>
      <c r="L227" s="186"/>
      <c r="M227" s="185"/>
      <c r="N227" s="107">
        <f>IF(A12stdlife="n/a","n/a",IF(N$3&gt;(A12stdlife+$E227),('PTRM input'!$M$154*(1+rvanilla07)^0.5)-SUM($M227:M227),('PTRM input'!$M$154*(1+rvanilla07)^0.5)/A12stdlife))</f>
        <v>0</v>
      </c>
      <c r="O227" s="107">
        <f>IF(A12stdlife="n/a","n/a",IF(O$3&gt;(A12stdlife+$E227),('PTRM input'!$M$154*(1+rvanilla07)^0.5)-SUM($M227:N227),('PTRM input'!$M$154*(1+rvanilla07)^0.5)/A12stdlife))</f>
        <v>0</v>
      </c>
      <c r="P227" s="107">
        <f>IF(A12stdlife="n/a","n/a",IF(P$3&gt;(A12stdlife+$E227),('PTRM input'!$M$154*(1+rvanilla07)^0.5)-SUM($M227:O227),('PTRM input'!$M$154*(1+rvanilla07)^0.5)/A12stdlife))</f>
        <v>0</v>
      </c>
      <c r="Q227" s="107">
        <f>IF(A12stdlife="n/a","n/a",IF(Q$3&gt;(A12stdlife+$E227),('PTRM input'!$M$154*(1+rvanilla07)^0.5)-SUM($M227:P227),('PTRM input'!$M$154*(1+rvanilla07)^0.5)/A12stdlife))</f>
        <v>0</v>
      </c>
      <c r="R227" s="107">
        <f>IF(A12stdlife="n/a","n/a",IF(R$3&gt;(A12stdlife+$E227),('PTRM input'!$M$154*(1+rvanilla07)^0.5)-SUM($M227:Q227),('PTRM input'!$M$154*(1+rvanilla07)^0.5)/A12stdlife))</f>
        <v>0</v>
      </c>
      <c r="S227" s="107">
        <f>IF(A12stdlife="n/a","n/a",IF(S$3&gt;(A12stdlife+$E227),('PTRM input'!$M$154*(1+rvanilla07)^0.5)-SUM($M227:R227),('PTRM input'!$M$154*(1+rvanilla07)^0.5)/A12stdlife))</f>
        <v>0</v>
      </c>
      <c r="T227" s="107">
        <f>IF(A12stdlife="n/a","n/a",IF(T$3&gt;(A12stdlife+$E227),('PTRM input'!$M$154*(1+rvanilla07)^0.5)-SUM($M227:S227),('PTRM input'!$M$154*(1+rvanilla07)^0.5)/A12stdlife))</f>
        <v>0</v>
      </c>
      <c r="U227" s="107">
        <f>IF(A12stdlife="n/a","n/a",IF(U$3&gt;(A12stdlife+$E227),('PTRM input'!$M$154*(1+rvanilla07)^0.5)-SUM($M227:T227),('PTRM input'!$M$154*(1+rvanilla07)^0.5)/A12stdlife))</f>
        <v>0</v>
      </c>
      <c r="V227" s="107">
        <f>IF(A12stdlife="n/a","n/a",IF(V$3&gt;(A12stdlife+$E227),('PTRM input'!$M$154*(1+rvanilla07)^0.5)-SUM($M227:U227),('PTRM input'!$M$154*(1+rvanilla07)^0.5)/A12stdlife))</f>
        <v>0</v>
      </c>
      <c r="W227" s="107">
        <f>IF(A12stdlife="n/a","n/a",IF(W$3&gt;(A12stdlife+$E227),('PTRM input'!$M$154*(1+rvanilla07)^0.5)-SUM($M227:V227),('PTRM input'!$M$154*(1+rvanilla07)^0.5)/A12stdlife))</f>
        <v>0</v>
      </c>
      <c r="X227" s="107">
        <f>IF(A12stdlife="n/a","n/a",IF(X$3&gt;(A12stdlife+$E227),('PTRM input'!$M$154*(1+rvanilla07)^0.5)-SUM($M227:W227),('PTRM input'!$M$154*(1+rvanilla07)^0.5)/A12stdlife))</f>
        <v>0</v>
      </c>
      <c r="Y227" s="107">
        <f>IF(A12stdlife="n/a","n/a",IF(Y$3&gt;(A12stdlife+$E227),('PTRM input'!$M$154*(1+rvanilla07)^0.5)-SUM($M227:X227),('PTRM input'!$M$154*(1+rvanilla07)^0.5)/A12stdlife))</f>
        <v>0</v>
      </c>
      <c r="Z227" s="107">
        <f>IF(A12stdlife="n/a","n/a",IF(Z$3&gt;(A12stdlife+$E227),('PTRM input'!$M$154*(1+rvanilla07)^0.5)-SUM($M227:Y227),('PTRM input'!$M$154*(1+rvanilla07)^0.5)/A12stdlife))</f>
        <v>0</v>
      </c>
      <c r="AA227" s="107">
        <f>IF(A12stdlife="n/a","n/a",IF(AA$3&gt;(A12stdlife+$E227),('PTRM input'!$M$154*(1+rvanilla07)^0.5)-SUM($M227:Z227),('PTRM input'!$M$154*(1+rvanilla07)^0.5)/A12stdlife))</f>
        <v>0</v>
      </c>
      <c r="AB227" s="107">
        <f>IF(A12stdlife="n/a","n/a",IF(AB$3&gt;(A12stdlife+$E227),('PTRM input'!$M$154*(1+rvanilla07)^0.5)-SUM($M227:AA227),('PTRM input'!$M$154*(1+rvanilla07)^0.5)/A12stdlife))</f>
        <v>0</v>
      </c>
      <c r="AC227" s="107">
        <f>IF(A12stdlife="n/a","n/a",IF(AC$3&gt;(A12stdlife+$E227),('PTRM input'!$M$154*(1+rvanilla07)^0.5)-SUM($M227:AB227),('PTRM input'!$M$154*(1+rvanilla07)^0.5)/A12stdlife))</f>
        <v>0</v>
      </c>
      <c r="AD227" s="107">
        <f>IF(A12stdlife="n/a","n/a",IF(AD$3&gt;(A12stdlife+$E227),('PTRM input'!$M$154*(1+rvanilla07)^0.5)-SUM($M227:AC227),('PTRM input'!$M$154*(1+rvanilla07)^0.5)/A12stdlife))</f>
        <v>0</v>
      </c>
      <c r="AE227" s="107">
        <f>IF(A12stdlife="n/a","n/a",IF(AE$3&gt;(A12stdlife+$E227),('PTRM input'!$M$154*(1+rvanilla07)^0.5)-SUM($M227:AD227),('PTRM input'!$M$154*(1+rvanilla07)^0.5)/A12stdlife))</f>
        <v>0</v>
      </c>
      <c r="AF227" s="107">
        <f>IF(A12stdlife="n/a","n/a",IF(AF$3&gt;(A12stdlife+$E227),('PTRM input'!$M$154*(1+rvanilla07)^0.5)-SUM($M227:AE227),('PTRM input'!$M$154*(1+rvanilla07)^0.5)/A12stdlife))</f>
        <v>0</v>
      </c>
      <c r="AG227" s="107">
        <f>IF(A12stdlife="n/a","n/a",IF(AG$3&gt;(A12stdlife+$E227),('PTRM input'!$M$154*(1+rvanilla07)^0.5)-SUM($M227:AF227),('PTRM input'!$M$154*(1+rvanilla07)^0.5)/A12stdlife))</f>
        <v>0</v>
      </c>
      <c r="AH227" s="107">
        <f>IF(A12stdlife="n/a","n/a",IF(AH$3&gt;(A12stdlife+$E227),('PTRM input'!$M$154*(1+rvanilla07)^0.5)-SUM($M227:AG227),('PTRM input'!$M$154*(1+rvanilla07)^0.5)/A12stdlife))</f>
        <v>0</v>
      </c>
      <c r="AI227" s="107">
        <f>IF(A12stdlife="n/a","n/a",IF(AI$3&gt;(A12stdlife+$E227),('PTRM input'!$M$154*(1+rvanilla07)^0.5)-SUM($M227:AH227),('PTRM input'!$M$154*(1+rvanilla07)^0.5)/A12stdlife))</f>
        <v>0</v>
      </c>
      <c r="AJ227" s="107">
        <f>IF(A12stdlife="n/a","n/a",IF(AJ$3&gt;(A12stdlife+$E227),('PTRM input'!$M$154*(1+rvanilla07)^0.5)-SUM($M227:AI227),('PTRM input'!$M$154*(1+rvanilla07)^0.5)/A12stdlife))</f>
        <v>0</v>
      </c>
      <c r="AK227" s="107">
        <f>IF(A12stdlife="n/a","n/a",IF(AK$3&gt;(A12stdlife+$E227),('PTRM input'!$M$154*(1+rvanilla07)^0.5)-SUM($M227:AJ227),('PTRM input'!$M$154*(1+rvanilla07)^0.5)/A12stdlife))</f>
        <v>0</v>
      </c>
      <c r="AL227" s="107">
        <f>IF(A12stdlife="n/a","n/a",IF(AL$3&gt;(A12stdlife+$E227),('PTRM input'!$M$154*(1+rvanilla07)^0.5)-SUM($M227:AK227),('PTRM input'!$M$154*(1+rvanilla07)^0.5)/A12stdlife))</f>
        <v>0</v>
      </c>
      <c r="AM227" s="107">
        <f>IF(A12stdlife="n/a","n/a",IF(AM$3&gt;(A12stdlife+$E227),('PTRM input'!$M$154*(1+rvanilla07)^0.5)-SUM($M227:AL227),('PTRM input'!$M$154*(1+rvanilla07)^0.5)/A12stdlife))</f>
        <v>0</v>
      </c>
      <c r="AN227" s="107">
        <f>IF(A12stdlife="n/a","n/a",IF(AN$3&gt;(A12stdlife+$E227),('PTRM input'!$M$154*(1+rvanilla07)^0.5)-SUM($M227:AM227),('PTRM input'!$M$154*(1+rvanilla07)^0.5)/A12stdlife))</f>
        <v>0</v>
      </c>
      <c r="AO227" s="107">
        <f>IF(A12stdlife="n/a","n/a",IF(AO$3&gt;(A12stdlife+$E227),('PTRM input'!$M$154*(1+rvanilla07)^0.5)-SUM($M227:AN227),('PTRM input'!$M$154*(1+rvanilla07)^0.5)/A12stdlife))</f>
        <v>0</v>
      </c>
      <c r="AP227" s="107">
        <f>IF(A12stdlife="n/a","n/a",IF(AP$3&gt;(A12stdlife+$E227),('PTRM input'!$M$154*(1+rvanilla07)^0.5)-SUM($M227:AO227),('PTRM input'!$M$154*(1+rvanilla07)^0.5)/A12stdlife))</f>
        <v>0</v>
      </c>
      <c r="AQ227" s="107">
        <f>IF(A12stdlife="n/a","n/a",IF(AQ$3&gt;(A12stdlife+$E227),('PTRM input'!$M$154*(1+rvanilla07)^0.5)-SUM($M227:AP227),('PTRM input'!$M$154*(1+rvanilla07)^0.5)/A12stdlife))</f>
        <v>0</v>
      </c>
      <c r="AR227" s="107">
        <f>IF(A12stdlife="n/a","n/a",IF(AR$3&gt;(A12stdlife+$E227),('PTRM input'!$M$154*(1+rvanilla07)^0.5)-SUM($M227:AQ227),('PTRM input'!$M$154*(1+rvanilla07)^0.5)/A12stdlife))</f>
        <v>0</v>
      </c>
      <c r="AS227" s="107">
        <f>IF(A12stdlife="n/a","n/a",IF(AS$3&gt;(A12stdlife+$E227),('PTRM input'!$M$154*(1+rvanilla07)^0.5)-SUM($M227:AR227),('PTRM input'!$M$154*(1+rvanilla07)^0.5)/A12stdlife))</f>
        <v>0</v>
      </c>
      <c r="AT227" s="107">
        <f>IF(A12stdlife="n/a","n/a",IF(AT$3&gt;(A12stdlife+$E227),('PTRM input'!$M$154*(1+rvanilla07)^0.5)-SUM($M227:AS227),('PTRM input'!$M$154*(1+rvanilla07)^0.5)/A12stdlife))</f>
        <v>0</v>
      </c>
      <c r="AU227" s="107">
        <f>IF(A12stdlife="n/a","n/a",IF(AU$3&gt;(A12stdlife+$E227),('PTRM input'!$M$154*(1+rvanilla07)^0.5)-SUM($M227:AT227),('PTRM input'!$M$154*(1+rvanilla07)^0.5)/A12stdlife))</f>
        <v>0</v>
      </c>
      <c r="AV227" s="107">
        <f>IF(A12stdlife="n/a","n/a",IF(AV$3&gt;(A12stdlife+$E227),('PTRM input'!$M$154*(1+rvanilla07)^0.5)-SUM($M227:AU227),('PTRM input'!$M$154*(1+rvanilla07)^0.5)/A12stdlife))</f>
        <v>0</v>
      </c>
      <c r="AW227" s="107">
        <f>IF(A12stdlife="n/a","n/a",IF(AW$3&gt;(A12stdlife+$E227),('PTRM input'!$M$154*(1+rvanilla07)^0.5)-SUM($M227:AV227),('PTRM input'!$M$154*(1+rvanilla07)^0.5)/A12stdlife))</f>
        <v>0</v>
      </c>
      <c r="AX227" s="107">
        <f>IF(A12stdlife="n/a","n/a",IF(AX$3&gt;(A12stdlife+$E227),('PTRM input'!$M$154*(1+rvanilla07)^0.5)-SUM($M227:AW227),('PTRM input'!$M$154*(1+rvanilla07)^0.5)/A12stdlife))</f>
        <v>0</v>
      </c>
      <c r="AY227" s="107">
        <f>IF(A12stdlife="n/a","n/a",IF(AY$3&gt;(A12stdlife+$E227),('PTRM input'!$M$154*(1+rvanilla07)^0.5)-SUM($M227:AX227),('PTRM input'!$M$154*(1+rvanilla07)^0.5)/A12stdlife))</f>
        <v>0</v>
      </c>
      <c r="AZ227" s="107">
        <f>IF(A12stdlife="n/a","n/a",IF(AZ$3&gt;(A12stdlife+$E227),('PTRM input'!$M$154*(1+rvanilla07)^0.5)-SUM($M227:AY227),('PTRM input'!$M$154*(1+rvanilla07)^0.5)/A12stdlife))</f>
        <v>0</v>
      </c>
      <c r="BA227" s="107">
        <f>IF(A12stdlife="n/a","n/a",IF(BA$3&gt;(A12stdlife+$E227),('PTRM input'!$M$154*(1+rvanilla07)^0.5)-SUM($M227:AZ227),('PTRM input'!$M$154*(1+rvanilla07)^0.5)/A12stdlife))</f>
        <v>0</v>
      </c>
      <c r="BB227" s="107">
        <f>IF(A12stdlife="n/a","n/a",IF(BB$3&gt;(A12stdlife+$E227),('PTRM input'!$M$154*(1+rvanilla07)^0.5)-SUM($M227:BA227),('PTRM input'!$M$154*(1+rvanilla07)^0.5)/A12stdlife))</f>
        <v>0</v>
      </c>
      <c r="BC227" s="107">
        <f>IF(A12stdlife="n/a","n/a",IF(BC$3&gt;(A12stdlife+$E227),('PTRM input'!$M$154*(1+rvanilla07)^0.5)-SUM($M227:BB227),('PTRM input'!$M$154*(1+rvanilla07)^0.5)/A12stdlife))</f>
        <v>0</v>
      </c>
      <c r="BD227" s="107">
        <f>IF(A12stdlife="n/a","n/a",IF(BD$3&gt;(A12stdlife+$E227),('PTRM input'!$M$154*(1+rvanilla07)^0.5)-SUM($M227:BC227),('PTRM input'!$M$154*(1+rvanilla07)^0.5)/A12stdlife))</f>
        <v>0</v>
      </c>
      <c r="BE227" s="107">
        <f>IF(A12stdlife="n/a","n/a",IF(BE$3&gt;(A12stdlife+$E227),('PTRM input'!$M$154*(1+rvanilla07)^0.5)-SUM($M227:BD227),('PTRM input'!$M$154*(1+rvanilla07)^0.5)/A12stdlife))</f>
        <v>0</v>
      </c>
      <c r="BF227" s="107">
        <f>IF(A12stdlife="n/a","n/a",IF(BF$3&gt;(A12stdlife+$E227),('PTRM input'!$M$154*(1+rvanilla07)^0.5)-SUM($M227:BE227),('PTRM input'!$M$154*(1+rvanilla07)^0.5)/A12stdlife))</f>
        <v>0</v>
      </c>
      <c r="BG227" s="107">
        <f>IF(A12stdlife="n/a","n/a",IF(BG$3&gt;(A12stdlife+$E227),('PTRM input'!$M$154*(1+rvanilla07)^0.5)-SUM($M227:BF227),('PTRM input'!$M$154*(1+rvanilla07)^0.5)/A12stdlife))</f>
        <v>0</v>
      </c>
      <c r="BH227" s="107">
        <f>IF(A12stdlife="n/a","n/a",IF(BH$3&gt;(A12stdlife+$E227),('PTRM input'!$M$154*(1+rvanilla07)^0.5)-SUM($M227:BG227),('PTRM input'!$M$154*(1+rvanilla07)^0.5)/A12stdlife))</f>
        <v>0</v>
      </c>
      <c r="BI227" s="107">
        <f>IF(A12stdlife="n/a","n/a",IF(BI$3&gt;(A12stdlife+$E227),('PTRM input'!$M$154*(1+rvanilla07)^0.5)-SUM($M227:BH227),('PTRM input'!$M$154*(1+rvanilla07)^0.5)/A12stdlife))</f>
        <v>0</v>
      </c>
      <c r="BJ227" s="237"/>
      <c r="BK227" s="237"/>
      <c r="BL227" s="237"/>
      <c r="BM227" s="237"/>
    </row>
    <row r="228" spans="1:65" s="190" customFormat="1" hidden="1" outlineLevel="2">
      <c r="A228" s="237"/>
      <c r="B228" s="33"/>
      <c r="C228" s="32"/>
      <c r="D228" s="1618"/>
      <c r="E228" s="169">
        <v>8</v>
      </c>
      <c r="F228" s="35"/>
      <c r="G228" s="184"/>
      <c r="H228" s="186"/>
      <c r="I228" s="186"/>
      <c r="J228" s="186"/>
      <c r="K228" s="186"/>
      <c r="L228" s="186"/>
      <c r="M228" s="186"/>
      <c r="N228" s="185"/>
      <c r="O228" s="107">
        <f>IF(A12stdlife="n/a","n/a",IF(O$3&gt;(A12stdlife+$E228),('PTRM input'!$N$154*(1+rvanilla08)^0.5)-SUM($N228:N228),('PTRM input'!$N$154*(1+rvanilla08)^0.5)/A12stdlife))</f>
        <v>0</v>
      </c>
      <c r="P228" s="107">
        <f>IF(A12stdlife="n/a","n/a",IF(P$3&gt;(A12stdlife+$E228),('PTRM input'!$N$154*(1+rvanilla08)^0.5)-SUM($N228:O228),('PTRM input'!$N$154*(1+rvanilla08)^0.5)/A12stdlife))</f>
        <v>0</v>
      </c>
      <c r="Q228" s="107">
        <f>IF(A12stdlife="n/a","n/a",IF(Q$3&gt;(A12stdlife+$E228),('PTRM input'!$N$154*(1+rvanilla08)^0.5)-SUM($N228:P228),('PTRM input'!$N$154*(1+rvanilla08)^0.5)/A12stdlife))</f>
        <v>0</v>
      </c>
      <c r="R228" s="107">
        <f>IF(A12stdlife="n/a","n/a",IF(R$3&gt;(A12stdlife+$E228),('PTRM input'!$N$154*(1+rvanilla08)^0.5)-SUM($N228:Q228),('PTRM input'!$N$154*(1+rvanilla08)^0.5)/A12stdlife))</f>
        <v>0</v>
      </c>
      <c r="S228" s="107">
        <f>IF(A12stdlife="n/a","n/a",IF(S$3&gt;(A12stdlife+$E228),('PTRM input'!$N$154*(1+rvanilla08)^0.5)-SUM($N228:R228),('PTRM input'!$N$154*(1+rvanilla08)^0.5)/A12stdlife))</f>
        <v>0</v>
      </c>
      <c r="T228" s="107">
        <f>IF(A12stdlife="n/a","n/a",IF(T$3&gt;(A12stdlife+$E228),('PTRM input'!$N$154*(1+rvanilla08)^0.5)-SUM($N228:S228),('PTRM input'!$N$154*(1+rvanilla08)^0.5)/A12stdlife))</f>
        <v>0</v>
      </c>
      <c r="U228" s="107">
        <f>IF(A12stdlife="n/a","n/a",IF(U$3&gt;(A12stdlife+$E228),('PTRM input'!$N$154*(1+rvanilla08)^0.5)-SUM($N228:T228),('PTRM input'!$N$154*(1+rvanilla08)^0.5)/A12stdlife))</f>
        <v>0</v>
      </c>
      <c r="V228" s="107">
        <f>IF(A12stdlife="n/a","n/a",IF(V$3&gt;(A12stdlife+$E228),('PTRM input'!$N$154*(1+rvanilla08)^0.5)-SUM($N228:U228),('PTRM input'!$N$154*(1+rvanilla08)^0.5)/A12stdlife))</f>
        <v>0</v>
      </c>
      <c r="W228" s="107">
        <f>IF(A12stdlife="n/a","n/a",IF(W$3&gt;(A12stdlife+$E228),('PTRM input'!$N$154*(1+rvanilla08)^0.5)-SUM($N228:V228),('PTRM input'!$N$154*(1+rvanilla08)^0.5)/A12stdlife))</f>
        <v>0</v>
      </c>
      <c r="X228" s="107">
        <f>IF(A12stdlife="n/a","n/a",IF(X$3&gt;(A12stdlife+$E228),('PTRM input'!$N$154*(1+rvanilla08)^0.5)-SUM($N228:W228),('PTRM input'!$N$154*(1+rvanilla08)^0.5)/A12stdlife))</f>
        <v>0</v>
      </c>
      <c r="Y228" s="107">
        <f>IF(A12stdlife="n/a","n/a",IF(Y$3&gt;(A12stdlife+$E228),('PTRM input'!$N$154*(1+rvanilla08)^0.5)-SUM($N228:X228),('PTRM input'!$N$154*(1+rvanilla08)^0.5)/A12stdlife))</f>
        <v>0</v>
      </c>
      <c r="Z228" s="107">
        <f>IF(A12stdlife="n/a","n/a",IF(Z$3&gt;(A12stdlife+$E228),('PTRM input'!$N$154*(1+rvanilla08)^0.5)-SUM($N228:Y228),('PTRM input'!$N$154*(1+rvanilla08)^0.5)/A12stdlife))</f>
        <v>0</v>
      </c>
      <c r="AA228" s="107">
        <f>IF(A12stdlife="n/a","n/a",IF(AA$3&gt;(A12stdlife+$E228),('PTRM input'!$N$154*(1+rvanilla08)^0.5)-SUM($N228:Z228),('PTRM input'!$N$154*(1+rvanilla08)^0.5)/A12stdlife))</f>
        <v>0</v>
      </c>
      <c r="AB228" s="107">
        <f>IF(A12stdlife="n/a","n/a",IF(AB$3&gt;(A12stdlife+$E228),('PTRM input'!$N$154*(1+rvanilla08)^0.5)-SUM($N228:AA228),('PTRM input'!$N$154*(1+rvanilla08)^0.5)/A12stdlife))</f>
        <v>0</v>
      </c>
      <c r="AC228" s="107">
        <f>IF(A12stdlife="n/a","n/a",IF(AC$3&gt;(A12stdlife+$E228),('PTRM input'!$N$154*(1+rvanilla08)^0.5)-SUM($N228:AB228),('PTRM input'!$N$154*(1+rvanilla08)^0.5)/A12stdlife))</f>
        <v>0</v>
      </c>
      <c r="AD228" s="107">
        <f>IF(A12stdlife="n/a","n/a",IF(AD$3&gt;(A12stdlife+$E228),('PTRM input'!$N$154*(1+rvanilla08)^0.5)-SUM($N228:AC228),('PTRM input'!$N$154*(1+rvanilla08)^0.5)/A12stdlife))</f>
        <v>0</v>
      </c>
      <c r="AE228" s="107">
        <f>IF(A12stdlife="n/a","n/a",IF(AE$3&gt;(A12stdlife+$E228),('PTRM input'!$N$154*(1+rvanilla08)^0.5)-SUM($N228:AD228),('PTRM input'!$N$154*(1+rvanilla08)^0.5)/A12stdlife))</f>
        <v>0</v>
      </c>
      <c r="AF228" s="107">
        <f>IF(A12stdlife="n/a","n/a",IF(AF$3&gt;(A12stdlife+$E228),('PTRM input'!$N$154*(1+rvanilla08)^0.5)-SUM($N228:AE228),('PTRM input'!$N$154*(1+rvanilla08)^0.5)/A12stdlife))</f>
        <v>0</v>
      </c>
      <c r="AG228" s="107">
        <f>IF(A12stdlife="n/a","n/a",IF(AG$3&gt;(A12stdlife+$E228),('PTRM input'!$N$154*(1+rvanilla08)^0.5)-SUM($N228:AF228),('PTRM input'!$N$154*(1+rvanilla08)^0.5)/A12stdlife))</f>
        <v>0</v>
      </c>
      <c r="AH228" s="107">
        <f>IF(A12stdlife="n/a","n/a",IF(AH$3&gt;(A12stdlife+$E228),('PTRM input'!$N$154*(1+rvanilla08)^0.5)-SUM($N228:AG228),('PTRM input'!$N$154*(1+rvanilla08)^0.5)/A12stdlife))</f>
        <v>0</v>
      </c>
      <c r="AI228" s="107">
        <f>IF(A12stdlife="n/a","n/a",IF(AI$3&gt;(A12stdlife+$E228),('PTRM input'!$N$154*(1+rvanilla08)^0.5)-SUM($N228:AH228),('PTRM input'!$N$154*(1+rvanilla08)^0.5)/A12stdlife))</f>
        <v>0</v>
      </c>
      <c r="AJ228" s="107">
        <f>IF(A12stdlife="n/a","n/a",IF(AJ$3&gt;(A12stdlife+$E228),('PTRM input'!$N$154*(1+rvanilla08)^0.5)-SUM($N228:AI228),('PTRM input'!$N$154*(1+rvanilla08)^0.5)/A12stdlife))</f>
        <v>0</v>
      </c>
      <c r="AK228" s="107">
        <f>IF(A12stdlife="n/a","n/a",IF(AK$3&gt;(A12stdlife+$E228),('PTRM input'!$N$154*(1+rvanilla08)^0.5)-SUM($N228:AJ228),('PTRM input'!$N$154*(1+rvanilla08)^0.5)/A12stdlife))</f>
        <v>0</v>
      </c>
      <c r="AL228" s="107">
        <f>IF(A12stdlife="n/a","n/a",IF(AL$3&gt;(A12stdlife+$E228),('PTRM input'!$N$154*(1+rvanilla08)^0.5)-SUM($N228:AK228),('PTRM input'!$N$154*(1+rvanilla08)^0.5)/A12stdlife))</f>
        <v>0</v>
      </c>
      <c r="AM228" s="107">
        <f>IF(A12stdlife="n/a","n/a",IF(AM$3&gt;(A12stdlife+$E228),('PTRM input'!$N$154*(1+rvanilla08)^0.5)-SUM($N228:AL228),('PTRM input'!$N$154*(1+rvanilla08)^0.5)/A12stdlife))</f>
        <v>0</v>
      </c>
      <c r="AN228" s="107">
        <f>IF(A12stdlife="n/a","n/a",IF(AN$3&gt;(A12stdlife+$E228),('PTRM input'!$N$154*(1+rvanilla08)^0.5)-SUM($N228:AM228),('PTRM input'!$N$154*(1+rvanilla08)^0.5)/A12stdlife))</f>
        <v>0</v>
      </c>
      <c r="AO228" s="107">
        <f>IF(A12stdlife="n/a","n/a",IF(AO$3&gt;(A12stdlife+$E228),('PTRM input'!$N$154*(1+rvanilla08)^0.5)-SUM($N228:AN228),('PTRM input'!$N$154*(1+rvanilla08)^0.5)/A12stdlife))</f>
        <v>0</v>
      </c>
      <c r="AP228" s="107">
        <f>IF(A12stdlife="n/a","n/a",IF(AP$3&gt;(A12stdlife+$E228),('PTRM input'!$N$154*(1+rvanilla08)^0.5)-SUM($N228:AO228),('PTRM input'!$N$154*(1+rvanilla08)^0.5)/A12stdlife))</f>
        <v>0</v>
      </c>
      <c r="AQ228" s="107">
        <f>IF(A12stdlife="n/a","n/a",IF(AQ$3&gt;(A12stdlife+$E228),('PTRM input'!$N$154*(1+rvanilla08)^0.5)-SUM($N228:AP228),('PTRM input'!$N$154*(1+rvanilla08)^0.5)/A12stdlife))</f>
        <v>0</v>
      </c>
      <c r="AR228" s="107">
        <f>IF(A12stdlife="n/a","n/a",IF(AR$3&gt;(A12stdlife+$E228),('PTRM input'!$N$154*(1+rvanilla08)^0.5)-SUM($N228:AQ228),('PTRM input'!$N$154*(1+rvanilla08)^0.5)/A12stdlife))</f>
        <v>0</v>
      </c>
      <c r="AS228" s="107">
        <f>IF(A12stdlife="n/a","n/a",IF(AS$3&gt;(A12stdlife+$E228),('PTRM input'!$N$154*(1+rvanilla08)^0.5)-SUM($N228:AR228),('PTRM input'!$N$154*(1+rvanilla08)^0.5)/A12stdlife))</f>
        <v>0</v>
      </c>
      <c r="AT228" s="107">
        <f>IF(A12stdlife="n/a","n/a",IF(AT$3&gt;(A12stdlife+$E228),('PTRM input'!$N$154*(1+rvanilla08)^0.5)-SUM($N228:AS228),('PTRM input'!$N$154*(1+rvanilla08)^0.5)/A12stdlife))</f>
        <v>0</v>
      </c>
      <c r="AU228" s="107">
        <f>IF(A12stdlife="n/a","n/a",IF(AU$3&gt;(A12stdlife+$E228),('PTRM input'!$N$154*(1+rvanilla08)^0.5)-SUM($N228:AT228),('PTRM input'!$N$154*(1+rvanilla08)^0.5)/A12stdlife))</f>
        <v>0</v>
      </c>
      <c r="AV228" s="107">
        <f>IF(A12stdlife="n/a","n/a",IF(AV$3&gt;(A12stdlife+$E228),('PTRM input'!$N$154*(1+rvanilla08)^0.5)-SUM($N228:AU228),('PTRM input'!$N$154*(1+rvanilla08)^0.5)/A12stdlife))</f>
        <v>0</v>
      </c>
      <c r="AW228" s="107">
        <f>IF(A12stdlife="n/a","n/a",IF(AW$3&gt;(A12stdlife+$E228),('PTRM input'!$N$154*(1+rvanilla08)^0.5)-SUM($N228:AV228),('PTRM input'!$N$154*(1+rvanilla08)^0.5)/A12stdlife))</f>
        <v>0</v>
      </c>
      <c r="AX228" s="107">
        <f>IF(A12stdlife="n/a","n/a",IF(AX$3&gt;(A12stdlife+$E228),('PTRM input'!$N$154*(1+rvanilla08)^0.5)-SUM($N228:AW228),('PTRM input'!$N$154*(1+rvanilla08)^0.5)/A12stdlife))</f>
        <v>0</v>
      </c>
      <c r="AY228" s="107">
        <f>IF(A12stdlife="n/a","n/a",IF(AY$3&gt;(A12stdlife+$E228),('PTRM input'!$N$154*(1+rvanilla08)^0.5)-SUM($N228:AX228),('PTRM input'!$N$154*(1+rvanilla08)^0.5)/A12stdlife))</f>
        <v>0</v>
      </c>
      <c r="AZ228" s="107">
        <f>IF(A12stdlife="n/a","n/a",IF(AZ$3&gt;(A12stdlife+$E228),('PTRM input'!$N$154*(1+rvanilla08)^0.5)-SUM($N228:AY228),('PTRM input'!$N$154*(1+rvanilla08)^0.5)/A12stdlife))</f>
        <v>0</v>
      </c>
      <c r="BA228" s="107">
        <f>IF(A12stdlife="n/a","n/a",IF(BA$3&gt;(A12stdlife+$E228),('PTRM input'!$N$154*(1+rvanilla08)^0.5)-SUM($N228:AZ228),('PTRM input'!$N$154*(1+rvanilla08)^0.5)/A12stdlife))</f>
        <v>0</v>
      </c>
      <c r="BB228" s="107">
        <f>IF(A12stdlife="n/a","n/a",IF(BB$3&gt;(A12stdlife+$E228),('PTRM input'!$N$154*(1+rvanilla08)^0.5)-SUM($N228:BA228),('PTRM input'!$N$154*(1+rvanilla08)^0.5)/A12stdlife))</f>
        <v>0</v>
      </c>
      <c r="BC228" s="107">
        <f>IF(A12stdlife="n/a","n/a",IF(BC$3&gt;(A12stdlife+$E228),('PTRM input'!$N$154*(1+rvanilla08)^0.5)-SUM($N228:BB228),('PTRM input'!$N$154*(1+rvanilla08)^0.5)/A12stdlife))</f>
        <v>0</v>
      </c>
      <c r="BD228" s="107">
        <f>IF(A12stdlife="n/a","n/a",IF(BD$3&gt;(A12stdlife+$E228),('PTRM input'!$N$154*(1+rvanilla08)^0.5)-SUM($N228:BC228),('PTRM input'!$N$154*(1+rvanilla08)^0.5)/A12stdlife))</f>
        <v>0</v>
      </c>
      <c r="BE228" s="107">
        <f>IF(A12stdlife="n/a","n/a",IF(BE$3&gt;(A12stdlife+$E228),('PTRM input'!$N$154*(1+rvanilla08)^0.5)-SUM($N228:BD228),('PTRM input'!$N$154*(1+rvanilla08)^0.5)/A12stdlife))</f>
        <v>0</v>
      </c>
      <c r="BF228" s="107">
        <f>IF(A12stdlife="n/a","n/a",IF(BF$3&gt;(A12stdlife+$E228),('PTRM input'!$N$154*(1+rvanilla08)^0.5)-SUM($N228:BE228),('PTRM input'!$N$154*(1+rvanilla08)^0.5)/A12stdlife))</f>
        <v>0</v>
      </c>
      <c r="BG228" s="107">
        <f>IF(A12stdlife="n/a","n/a",IF(BG$3&gt;(A12stdlife+$E228),('PTRM input'!$N$154*(1+rvanilla08)^0.5)-SUM($N228:BF228),('PTRM input'!$N$154*(1+rvanilla08)^0.5)/A12stdlife))</f>
        <v>0</v>
      </c>
      <c r="BH228" s="107">
        <f>IF(A12stdlife="n/a","n/a",IF(BH$3&gt;(A12stdlife+$E228),('PTRM input'!$N$154*(1+rvanilla08)^0.5)-SUM($N228:BG228),('PTRM input'!$N$154*(1+rvanilla08)^0.5)/A12stdlife))</f>
        <v>0</v>
      </c>
      <c r="BI228" s="107">
        <f>IF(A12stdlife="n/a","n/a",IF(BI$3&gt;(A12stdlife+$E228),('PTRM input'!$N$154*(1+rvanilla08)^0.5)-SUM($N228:BH228),('PTRM input'!$N$154*(1+rvanilla08)^0.5)/A12stdlife))</f>
        <v>0</v>
      </c>
      <c r="BJ228" s="237"/>
      <c r="BK228" s="237"/>
      <c r="BL228" s="237"/>
      <c r="BM228" s="237"/>
    </row>
    <row r="229" spans="1:65" s="190" customFormat="1" hidden="1" outlineLevel="2">
      <c r="A229" s="237"/>
      <c r="B229" s="33"/>
      <c r="C229" s="32"/>
      <c r="D229" s="1618"/>
      <c r="E229" s="169">
        <v>9</v>
      </c>
      <c r="F229" s="35"/>
      <c r="G229" s="184"/>
      <c r="H229" s="186"/>
      <c r="I229" s="186"/>
      <c r="J229" s="186"/>
      <c r="K229" s="186"/>
      <c r="L229" s="186"/>
      <c r="M229" s="186"/>
      <c r="N229" s="186"/>
      <c r="O229" s="185"/>
      <c r="P229" s="107">
        <f>IF(A12stdlife="n/a","n/a",IF(P$3&gt;(A12stdlife+$E229),('PTRM input'!$O$154*(1+rvanilla09)^0.5)-SUM($O229:O229),('PTRM input'!$O$154*(1+rvanilla09)^0.5)/A12stdlife))</f>
        <v>0</v>
      </c>
      <c r="Q229" s="107">
        <f>IF(A12stdlife="n/a","n/a",IF(Q$3&gt;(A12stdlife+$E229),('PTRM input'!$O$154*(1+rvanilla09)^0.5)-SUM($O229:P229),('PTRM input'!$O$154*(1+rvanilla09)^0.5)/A12stdlife))</f>
        <v>0</v>
      </c>
      <c r="R229" s="107">
        <f>IF(A12stdlife="n/a","n/a",IF(R$3&gt;(A12stdlife+$E229),('PTRM input'!$O$154*(1+rvanilla09)^0.5)-SUM($O229:Q229),('PTRM input'!$O$154*(1+rvanilla09)^0.5)/A12stdlife))</f>
        <v>0</v>
      </c>
      <c r="S229" s="107">
        <f>IF(A12stdlife="n/a","n/a",IF(S$3&gt;(A12stdlife+$E229),('PTRM input'!$O$154*(1+rvanilla09)^0.5)-SUM($O229:R229),('PTRM input'!$O$154*(1+rvanilla09)^0.5)/A12stdlife))</f>
        <v>0</v>
      </c>
      <c r="T229" s="107">
        <f>IF(A12stdlife="n/a","n/a",IF(T$3&gt;(A12stdlife+$E229),('PTRM input'!$O$154*(1+rvanilla09)^0.5)-SUM($O229:S229),('PTRM input'!$O$154*(1+rvanilla09)^0.5)/A12stdlife))</f>
        <v>0</v>
      </c>
      <c r="U229" s="107">
        <f>IF(A12stdlife="n/a","n/a",IF(U$3&gt;(A12stdlife+$E229),('PTRM input'!$O$154*(1+rvanilla09)^0.5)-SUM($O229:T229),('PTRM input'!$O$154*(1+rvanilla09)^0.5)/A12stdlife))</f>
        <v>0</v>
      </c>
      <c r="V229" s="107">
        <f>IF(A12stdlife="n/a","n/a",IF(V$3&gt;(A12stdlife+$E229),('PTRM input'!$O$154*(1+rvanilla09)^0.5)-SUM($O229:U229),('PTRM input'!$O$154*(1+rvanilla09)^0.5)/A12stdlife))</f>
        <v>0</v>
      </c>
      <c r="W229" s="107">
        <f>IF(A12stdlife="n/a","n/a",IF(W$3&gt;(A12stdlife+$E229),('PTRM input'!$O$154*(1+rvanilla09)^0.5)-SUM($O229:V229),('PTRM input'!$O$154*(1+rvanilla09)^0.5)/A12stdlife))</f>
        <v>0</v>
      </c>
      <c r="X229" s="107">
        <f>IF(A12stdlife="n/a","n/a",IF(X$3&gt;(A12stdlife+$E229),('PTRM input'!$O$154*(1+rvanilla09)^0.5)-SUM($O229:W229),('PTRM input'!$O$154*(1+rvanilla09)^0.5)/A12stdlife))</f>
        <v>0</v>
      </c>
      <c r="Y229" s="107">
        <f>IF(A12stdlife="n/a","n/a",IF(Y$3&gt;(A12stdlife+$E229),('PTRM input'!$O$154*(1+rvanilla09)^0.5)-SUM($O229:X229),('PTRM input'!$O$154*(1+rvanilla09)^0.5)/A12stdlife))</f>
        <v>0</v>
      </c>
      <c r="Z229" s="107">
        <f>IF(A12stdlife="n/a","n/a",IF(Z$3&gt;(A12stdlife+$E229),('PTRM input'!$O$154*(1+rvanilla09)^0.5)-SUM($O229:Y229),('PTRM input'!$O$154*(1+rvanilla09)^0.5)/A12stdlife))</f>
        <v>0</v>
      </c>
      <c r="AA229" s="107">
        <f>IF(A12stdlife="n/a","n/a",IF(AA$3&gt;(A12stdlife+$E229),('PTRM input'!$O$154*(1+rvanilla09)^0.5)-SUM($O229:Z229),('PTRM input'!$O$154*(1+rvanilla09)^0.5)/A12stdlife))</f>
        <v>0</v>
      </c>
      <c r="AB229" s="107">
        <f>IF(A12stdlife="n/a","n/a",IF(AB$3&gt;(A12stdlife+$E229),('PTRM input'!$O$154*(1+rvanilla09)^0.5)-SUM($O229:AA229),('PTRM input'!$O$154*(1+rvanilla09)^0.5)/A12stdlife))</f>
        <v>0</v>
      </c>
      <c r="AC229" s="107">
        <f>IF(A12stdlife="n/a","n/a",IF(AC$3&gt;(A12stdlife+$E229),('PTRM input'!$O$154*(1+rvanilla09)^0.5)-SUM($O229:AB229),('PTRM input'!$O$154*(1+rvanilla09)^0.5)/A12stdlife))</f>
        <v>0</v>
      </c>
      <c r="AD229" s="107">
        <f>IF(A12stdlife="n/a","n/a",IF(AD$3&gt;(A12stdlife+$E229),('PTRM input'!$O$154*(1+rvanilla09)^0.5)-SUM($O229:AC229),('PTRM input'!$O$154*(1+rvanilla09)^0.5)/A12stdlife))</f>
        <v>0</v>
      </c>
      <c r="AE229" s="107">
        <f>IF(A12stdlife="n/a","n/a",IF(AE$3&gt;(A12stdlife+$E229),('PTRM input'!$O$154*(1+rvanilla09)^0.5)-SUM($O229:AD229),('PTRM input'!$O$154*(1+rvanilla09)^0.5)/A12stdlife))</f>
        <v>0</v>
      </c>
      <c r="AF229" s="107">
        <f>IF(A12stdlife="n/a","n/a",IF(AF$3&gt;(A12stdlife+$E229),('PTRM input'!$O$154*(1+rvanilla09)^0.5)-SUM($O229:AE229),('PTRM input'!$O$154*(1+rvanilla09)^0.5)/A12stdlife))</f>
        <v>0</v>
      </c>
      <c r="AG229" s="107">
        <f>IF(A12stdlife="n/a","n/a",IF(AG$3&gt;(A12stdlife+$E229),('PTRM input'!$O$154*(1+rvanilla09)^0.5)-SUM($O229:AF229),('PTRM input'!$O$154*(1+rvanilla09)^0.5)/A12stdlife))</f>
        <v>0</v>
      </c>
      <c r="AH229" s="107">
        <f>IF(A12stdlife="n/a","n/a",IF(AH$3&gt;(A12stdlife+$E229),('PTRM input'!$O$154*(1+rvanilla09)^0.5)-SUM($O229:AG229),('PTRM input'!$O$154*(1+rvanilla09)^0.5)/A12stdlife))</f>
        <v>0</v>
      </c>
      <c r="AI229" s="107">
        <f>IF(A12stdlife="n/a","n/a",IF(AI$3&gt;(A12stdlife+$E229),('PTRM input'!$O$154*(1+rvanilla09)^0.5)-SUM($O229:AH229),('PTRM input'!$O$154*(1+rvanilla09)^0.5)/A12stdlife))</f>
        <v>0</v>
      </c>
      <c r="AJ229" s="107">
        <f>IF(A12stdlife="n/a","n/a",IF(AJ$3&gt;(A12stdlife+$E229),('PTRM input'!$O$154*(1+rvanilla09)^0.5)-SUM($O229:AI229),('PTRM input'!$O$154*(1+rvanilla09)^0.5)/A12stdlife))</f>
        <v>0</v>
      </c>
      <c r="AK229" s="107">
        <f>IF(A12stdlife="n/a","n/a",IF(AK$3&gt;(A12stdlife+$E229),('PTRM input'!$O$154*(1+rvanilla09)^0.5)-SUM($O229:AJ229),('PTRM input'!$O$154*(1+rvanilla09)^0.5)/A12stdlife))</f>
        <v>0</v>
      </c>
      <c r="AL229" s="107">
        <f>IF(A12stdlife="n/a","n/a",IF(AL$3&gt;(A12stdlife+$E229),('PTRM input'!$O$154*(1+rvanilla09)^0.5)-SUM($O229:AK229),('PTRM input'!$O$154*(1+rvanilla09)^0.5)/A12stdlife))</f>
        <v>0</v>
      </c>
      <c r="AM229" s="107">
        <f>IF(A12stdlife="n/a","n/a",IF(AM$3&gt;(A12stdlife+$E229),('PTRM input'!$O$154*(1+rvanilla09)^0.5)-SUM($O229:AL229),('PTRM input'!$O$154*(1+rvanilla09)^0.5)/A12stdlife))</f>
        <v>0</v>
      </c>
      <c r="AN229" s="107">
        <f>IF(A12stdlife="n/a","n/a",IF(AN$3&gt;(A12stdlife+$E229),('PTRM input'!$O$154*(1+rvanilla09)^0.5)-SUM($O229:AM229),('PTRM input'!$O$154*(1+rvanilla09)^0.5)/A12stdlife))</f>
        <v>0</v>
      </c>
      <c r="AO229" s="107">
        <f>IF(A12stdlife="n/a","n/a",IF(AO$3&gt;(A12stdlife+$E229),('PTRM input'!$O$154*(1+rvanilla09)^0.5)-SUM($O229:AN229),('PTRM input'!$O$154*(1+rvanilla09)^0.5)/A12stdlife))</f>
        <v>0</v>
      </c>
      <c r="AP229" s="107">
        <f>IF(A12stdlife="n/a","n/a",IF(AP$3&gt;(A12stdlife+$E229),('PTRM input'!$O$154*(1+rvanilla09)^0.5)-SUM($O229:AO229),('PTRM input'!$O$154*(1+rvanilla09)^0.5)/A12stdlife))</f>
        <v>0</v>
      </c>
      <c r="AQ229" s="107">
        <f>IF(A12stdlife="n/a","n/a",IF(AQ$3&gt;(A12stdlife+$E229),('PTRM input'!$O$154*(1+rvanilla09)^0.5)-SUM($O229:AP229),('PTRM input'!$O$154*(1+rvanilla09)^0.5)/A12stdlife))</f>
        <v>0</v>
      </c>
      <c r="AR229" s="107">
        <f>IF(A12stdlife="n/a","n/a",IF(AR$3&gt;(A12stdlife+$E229),('PTRM input'!$O$154*(1+rvanilla09)^0.5)-SUM($O229:AQ229),('PTRM input'!$O$154*(1+rvanilla09)^0.5)/A12stdlife))</f>
        <v>0</v>
      </c>
      <c r="AS229" s="107">
        <f>IF(A12stdlife="n/a","n/a",IF(AS$3&gt;(A12stdlife+$E229),('PTRM input'!$O$154*(1+rvanilla09)^0.5)-SUM($O229:AR229),('PTRM input'!$O$154*(1+rvanilla09)^0.5)/A12stdlife))</f>
        <v>0</v>
      </c>
      <c r="AT229" s="107">
        <f>IF(A12stdlife="n/a","n/a",IF(AT$3&gt;(A12stdlife+$E229),('PTRM input'!$O$154*(1+rvanilla09)^0.5)-SUM($O229:AS229),('PTRM input'!$O$154*(1+rvanilla09)^0.5)/A12stdlife))</f>
        <v>0</v>
      </c>
      <c r="AU229" s="107">
        <f>IF(A12stdlife="n/a","n/a",IF(AU$3&gt;(A12stdlife+$E229),('PTRM input'!$O$154*(1+rvanilla09)^0.5)-SUM($O229:AT229),('PTRM input'!$O$154*(1+rvanilla09)^0.5)/A12stdlife))</f>
        <v>0</v>
      </c>
      <c r="AV229" s="107">
        <f>IF(A12stdlife="n/a","n/a",IF(AV$3&gt;(A12stdlife+$E229),('PTRM input'!$O$154*(1+rvanilla09)^0.5)-SUM($O229:AU229),('PTRM input'!$O$154*(1+rvanilla09)^0.5)/A12stdlife))</f>
        <v>0</v>
      </c>
      <c r="AW229" s="107">
        <f>IF(A12stdlife="n/a","n/a",IF(AW$3&gt;(A12stdlife+$E229),('PTRM input'!$O$154*(1+rvanilla09)^0.5)-SUM($O229:AV229),('PTRM input'!$O$154*(1+rvanilla09)^0.5)/A12stdlife))</f>
        <v>0</v>
      </c>
      <c r="AX229" s="107">
        <f>IF(A12stdlife="n/a","n/a",IF(AX$3&gt;(A12stdlife+$E229),('PTRM input'!$O$154*(1+rvanilla09)^0.5)-SUM($O229:AW229),('PTRM input'!$O$154*(1+rvanilla09)^0.5)/A12stdlife))</f>
        <v>0</v>
      </c>
      <c r="AY229" s="107">
        <f>IF(A12stdlife="n/a","n/a",IF(AY$3&gt;(A12stdlife+$E229),('PTRM input'!$O$154*(1+rvanilla09)^0.5)-SUM($O229:AX229),('PTRM input'!$O$154*(1+rvanilla09)^0.5)/A12stdlife))</f>
        <v>0</v>
      </c>
      <c r="AZ229" s="107">
        <f>IF(A12stdlife="n/a","n/a",IF(AZ$3&gt;(A12stdlife+$E229),('PTRM input'!$O$154*(1+rvanilla09)^0.5)-SUM($O229:AY229),('PTRM input'!$O$154*(1+rvanilla09)^0.5)/A12stdlife))</f>
        <v>0</v>
      </c>
      <c r="BA229" s="107">
        <f>IF(A12stdlife="n/a","n/a",IF(BA$3&gt;(A12stdlife+$E229),('PTRM input'!$O$154*(1+rvanilla09)^0.5)-SUM($O229:AZ229),('PTRM input'!$O$154*(1+rvanilla09)^0.5)/A12stdlife))</f>
        <v>0</v>
      </c>
      <c r="BB229" s="107">
        <f>IF(A12stdlife="n/a","n/a",IF(BB$3&gt;(A12stdlife+$E229),('PTRM input'!$O$154*(1+rvanilla09)^0.5)-SUM($O229:BA229),('PTRM input'!$O$154*(1+rvanilla09)^0.5)/A12stdlife))</f>
        <v>0</v>
      </c>
      <c r="BC229" s="107">
        <f>IF(A12stdlife="n/a","n/a",IF(BC$3&gt;(A12stdlife+$E229),('PTRM input'!$O$154*(1+rvanilla09)^0.5)-SUM($O229:BB229),('PTRM input'!$O$154*(1+rvanilla09)^0.5)/A12stdlife))</f>
        <v>0</v>
      </c>
      <c r="BD229" s="107">
        <f>IF(A12stdlife="n/a","n/a",IF(BD$3&gt;(A12stdlife+$E229),('PTRM input'!$O$154*(1+rvanilla09)^0.5)-SUM($O229:BC229),('PTRM input'!$O$154*(1+rvanilla09)^0.5)/A12stdlife))</f>
        <v>0</v>
      </c>
      <c r="BE229" s="107">
        <f>IF(A12stdlife="n/a","n/a",IF(BE$3&gt;(A12stdlife+$E229),('PTRM input'!$O$154*(1+rvanilla09)^0.5)-SUM($O229:BD229),('PTRM input'!$O$154*(1+rvanilla09)^0.5)/A12stdlife))</f>
        <v>0</v>
      </c>
      <c r="BF229" s="107">
        <f>IF(A12stdlife="n/a","n/a",IF(BF$3&gt;(A12stdlife+$E229),('PTRM input'!$O$154*(1+rvanilla09)^0.5)-SUM($O229:BE229),('PTRM input'!$O$154*(1+rvanilla09)^0.5)/A12stdlife))</f>
        <v>0</v>
      </c>
      <c r="BG229" s="107">
        <f>IF(A12stdlife="n/a","n/a",IF(BG$3&gt;(A12stdlife+$E229),('PTRM input'!$O$154*(1+rvanilla09)^0.5)-SUM($O229:BF229),('PTRM input'!$O$154*(1+rvanilla09)^0.5)/A12stdlife))</f>
        <v>0</v>
      </c>
      <c r="BH229" s="107">
        <f>IF(A12stdlife="n/a","n/a",IF(BH$3&gt;(A12stdlife+$E229),('PTRM input'!$O$154*(1+rvanilla09)^0.5)-SUM($O229:BG229),('PTRM input'!$O$154*(1+rvanilla09)^0.5)/A12stdlife))</f>
        <v>0</v>
      </c>
      <c r="BI229" s="107">
        <f>IF(A12stdlife="n/a","n/a",IF(BI$3&gt;(A12stdlife+$E229),('PTRM input'!$O$154*(1+rvanilla09)^0.5)-SUM($O229:BH229),('PTRM input'!$O$154*(1+rvanilla09)^0.5)/A12stdlife))</f>
        <v>0</v>
      </c>
      <c r="BJ229" s="237"/>
      <c r="BK229" s="237"/>
      <c r="BL229" s="237"/>
      <c r="BM229" s="237"/>
    </row>
    <row r="230" spans="1:65" s="190" customFormat="1" hidden="1" outlineLevel="2">
      <c r="A230" s="237"/>
      <c r="B230" s="33"/>
      <c r="C230" s="32"/>
      <c r="D230" s="1618"/>
      <c r="E230" s="170">
        <v>10</v>
      </c>
      <c r="F230" s="35"/>
      <c r="G230" s="184"/>
      <c r="H230" s="186"/>
      <c r="I230" s="186"/>
      <c r="J230" s="186"/>
      <c r="K230" s="186"/>
      <c r="L230" s="186"/>
      <c r="M230" s="186"/>
      <c r="N230" s="186"/>
      <c r="O230" s="186"/>
      <c r="P230" s="185"/>
      <c r="Q230" s="107">
        <f>IF(A12stdlife="n/a","n/a",IF(Q$3&gt;(A12stdlife+$E230),('PTRM input'!$P$154*(1+rvanilla10)^0.5)-SUM($P230:P230),('PTRM input'!$P$154*(1+rvanilla10)^0.5)/A12stdlife))</f>
        <v>0</v>
      </c>
      <c r="R230" s="107">
        <f>IF(A12stdlife="n/a","n/a",IF(R$3&gt;(A12stdlife+$E230),('PTRM input'!$P$154*(1+rvanilla10)^0.5)-SUM($P230:Q230),('PTRM input'!$P$154*(1+rvanilla10)^0.5)/A12stdlife))</f>
        <v>0</v>
      </c>
      <c r="S230" s="107">
        <f>IF(A12stdlife="n/a","n/a",IF(S$3&gt;(A12stdlife+$E230),('PTRM input'!$P$154*(1+rvanilla10)^0.5)-SUM($P230:R230),('PTRM input'!$P$154*(1+rvanilla10)^0.5)/A12stdlife))</f>
        <v>0</v>
      </c>
      <c r="T230" s="107">
        <f>IF(A12stdlife="n/a","n/a",IF(T$3&gt;(A12stdlife+$E230),('PTRM input'!$P$154*(1+rvanilla10)^0.5)-SUM($P230:S230),('PTRM input'!$P$154*(1+rvanilla10)^0.5)/A12stdlife))</f>
        <v>0</v>
      </c>
      <c r="U230" s="107">
        <f>IF(A12stdlife="n/a","n/a",IF(U$3&gt;(A12stdlife+$E230),('PTRM input'!$P$154*(1+rvanilla10)^0.5)-SUM($P230:T230),('PTRM input'!$P$154*(1+rvanilla10)^0.5)/A12stdlife))</f>
        <v>0</v>
      </c>
      <c r="V230" s="107">
        <f>IF(A12stdlife="n/a","n/a",IF(V$3&gt;(A12stdlife+$E230),('PTRM input'!$P$154*(1+rvanilla10)^0.5)-SUM($P230:U230),('PTRM input'!$P$154*(1+rvanilla10)^0.5)/A12stdlife))</f>
        <v>0</v>
      </c>
      <c r="W230" s="107">
        <f>IF(A12stdlife="n/a","n/a",IF(W$3&gt;(A12stdlife+$E230),('PTRM input'!$P$154*(1+rvanilla10)^0.5)-SUM($P230:V230),('PTRM input'!$P$154*(1+rvanilla10)^0.5)/A12stdlife))</f>
        <v>0</v>
      </c>
      <c r="X230" s="107">
        <f>IF(A12stdlife="n/a","n/a",IF(X$3&gt;(A12stdlife+$E230),('PTRM input'!$P$154*(1+rvanilla10)^0.5)-SUM($P230:W230),('PTRM input'!$P$154*(1+rvanilla10)^0.5)/A12stdlife))</f>
        <v>0</v>
      </c>
      <c r="Y230" s="107">
        <f>IF(A12stdlife="n/a","n/a",IF(Y$3&gt;(A12stdlife+$E230),('PTRM input'!$P$154*(1+rvanilla10)^0.5)-SUM($P230:X230),('PTRM input'!$P$154*(1+rvanilla10)^0.5)/A12stdlife))</f>
        <v>0</v>
      </c>
      <c r="Z230" s="107">
        <f>IF(A12stdlife="n/a","n/a",IF(Z$3&gt;(A12stdlife+$E230),('PTRM input'!$P$154*(1+rvanilla10)^0.5)-SUM($P230:Y230),('PTRM input'!$P$154*(1+rvanilla10)^0.5)/A12stdlife))</f>
        <v>0</v>
      </c>
      <c r="AA230" s="107">
        <f>IF(A12stdlife="n/a","n/a",IF(AA$3&gt;(A12stdlife+$E230),('PTRM input'!$P$154*(1+rvanilla10)^0.5)-SUM($P230:Z230),('PTRM input'!$P$154*(1+rvanilla10)^0.5)/A12stdlife))</f>
        <v>0</v>
      </c>
      <c r="AB230" s="107">
        <f>IF(A12stdlife="n/a","n/a",IF(AB$3&gt;(A12stdlife+$E230),('PTRM input'!$P$154*(1+rvanilla10)^0.5)-SUM($P230:AA230),('PTRM input'!$P$154*(1+rvanilla10)^0.5)/A12stdlife))</f>
        <v>0</v>
      </c>
      <c r="AC230" s="107">
        <f>IF(A12stdlife="n/a","n/a",IF(AC$3&gt;(A12stdlife+$E230),('PTRM input'!$P$154*(1+rvanilla10)^0.5)-SUM($P230:AB230),('PTRM input'!$P$154*(1+rvanilla10)^0.5)/A12stdlife))</f>
        <v>0</v>
      </c>
      <c r="AD230" s="107">
        <f>IF(A12stdlife="n/a","n/a",IF(AD$3&gt;(A12stdlife+$E230),('PTRM input'!$P$154*(1+rvanilla10)^0.5)-SUM($P230:AC230),('PTRM input'!$P$154*(1+rvanilla10)^0.5)/A12stdlife))</f>
        <v>0</v>
      </c>
      <c r="AE230" s="107">
        <f>IF(A12stdlife="n/a","n/a",IF(AE$3&gt;(A12stdlife+$E230),('PTRM input'!$P$154*(1+rvanilla10)^0.5)-SUM($P230:AD230),('PTRM input'!$P$154*(1+rvanilla10)^0.5)/A12stdlife))</f>
        <v>0</v>
      </c>
      <c r="AF230" s="107">
        <f>IF(A12stdlife="n/a","n/a",IF(AF$3&gt;(A12stdlife+$E230),('PTRM input'!$P$154*(1+rvanilla10)^0.5)-SUM($P230:AE230),('PTRM input'!$P$154*(1+rvanilla10)^0.5)/A12stdlife))</f>
        <v>0</v>
      </c>
      <c r="AG230" s="107">
        <f>IF(A12stdlife="n/a","n/a",IF(AG$3&gt;(A12stdlife+$E230),('PTRM input'!$P$154*(1+rvanilla10)^0.5)-SUM($P230:AF230),('PTRM input'!$P$154*(1+rvanilla10)^0.5)/A12stdlife))</f>
        <v>0</v>
      </c>
      <c r="AH230" s="107">
        <f>IF(A12stdlife="n/a","n/a",IF(AH$3&gt;(A12stdlife+$E230),('PTRM input'!$P$154*(1+rvanilla10)^0.5)-SUM($P230:AG230),('PTRM input'!$P$154*(1+rvanilla10)^0.5)/A12stdlife))</f>
        <v>0</v>
      </c>
      <c r="AI230" s="107">
        <f>IF(A12stdlife="n/a","n/a",IF(AI$3&gt;(A12stdlife+$E230),('PTRM input'!$P$154*(1+rvanilla10)^0.5)-SUM($P230:AH230),('PTRM input'!$P$154*(1+rvanilla10)^0.5)/A12stdlife))</f>
        <v>0</v>
      </c>
      <c r="AJ230" s="107">
        <f>IF(A12stdlife="n/a","n/a",IF(AJ$3&gt;(A12stdlife+$E230),('PTRM input'!$P$154*(1+rvanilla10)^0.5)-SUM($P230:AI230),('PTRM input'!$P$154*(1+rvanilla10)^0.5)/A12stdlife))</f>
        <v>0</v>
      </c>
      <c r="AK230" s="107">
        <f>IF(A12stdlife="n/a","n/a",IF(AK$3&gt;(A12stdlife+$E230),('PTRM input'!$P$154*(1+rvanilla10)^0.5)-SUM($P230:AJ230),('PTRM input'!$P$154*(1+rvanilla10)^0.5)/A12stdlife))</f>
        <v>0</v>
      </c>
      <c r="AL230" s="107">
        <f>IF(A12stdlife="n/a","n/a",IF(AL$3&gt;(A12stdlife+$E230),('PTRM input'!$P$154*(1+rvanilla10)^0.5)-SUM($P230:AK230),('PTRM input'!$P$154*(1+rvanilla10)^0.5)/A12stdlife))</f>
        <v>0</v>
      </c>
      <c r="AM230" s="107">
        <f>IF(A12stdlife="n/a","n/a",IF(AM$3&gt;(A12stdlife+$E230),('PTRM input'!$P$154*(1+rvanilla10)^0.5)-SUM($P230:AL230),('PTRM input'!$P$154*(1+rvanilla10)^0.5)/A12stdlife))</f>
        <v>0</v>
      </c>
      <c r="AN230" s="107">
        <f>IF(A12stdlife="n/a","n/a",IF(AN$3&gt;(A12stdlife+$E230),('PTRM input'!$P$154*(1+rvanilla10)^0.5)-SUM($P230:AM230),('PTRM input'!$P$154*(1+rvanilla10)^0.5)/A12stdlife))</f>
        <v>0</v>
      </c>
      <c r="AO230" s="107">
        <f>IF(A12stdlife="n/a","n/a",IF(AO$3&gt;(A12stdlife+$E230),('PTRM input'!$P$154*(1+rvanilla10)^0.5)-SUM($P230:AN230),('PTRM input'!$P$154*(1+rvanilla10)^0.5)/A12stdlife))</f>
        <v>0</v>
      </c>
      <c r="AP230" s="107">
        <f>IF(A12stdlife="n/a","n/a",IF(AP$3&gt;(A12stdlife+$E230),('PTRM input'!$P$154*(1+rvanilla10)^0.5)-SUM($P230:AO230),('PTRM input'!$P$154*(1+rvanilla10)^0.5)/A12stdlife))</f>
        <v>0</v>
      </c>
      <c r="AQ230" s="107">
        <f>IF(A12stdlife="n/a","n/a",IF(AQ$3&gt;(A12stdlife+$E230),('PTRM input'!$P$154*(1+rvanilla10)^0.5)-SUM($P230:AP230),('PTRM input'!$P$154*(1+rvanilla10)^0.5)/A12stdlife))</f>
        <v>0</v>
      </c>
      <c r="AR230" s="107">
        <f>IF(A12stdlife="n/a","n/a",IF(AR$3&gt;(A12stdlife+$E230),('PTRM input'!$P$154*(1+rvanilla10)^0.5)-SUM($P230:AQ230),('PTRM input'!$P$154*(1+rvanilla10)^0.5)/A12stdlife))</f>
        <v>0</v>
      </c>
      <c r="AS230" s="107">
        <f>IF(A12stdlife="n/a","n/a",IF(AS$3&gt;(A12stdlife+$E230),('PTRM input'!$P$154*(1+rvanilla10)^0.5)-SUM($P230:AR230),('PTRM input'!$P$154*(1+rvanilla10)^0.5)/A12stdlife))</f>
        <v>0</v>
      </c>
      <c r="AT230" s="107">
        <f>IF(A12stdlife="n/a","n/a",IF(AT$3&gt;(A12stdlife+$E230),('PTRM input'!$P$154*(1+rvanilla10)^0.5)-SUM($P230:AS230),('PTRM input'!$P$154*(1+rvanilla10)^0.5)/A12stdlife))</f>
        <v>0</v>
      </c>
      <c r="AU230" s="107">
        <f>IF(A12stdlife="n/a","n/a",IF(AU$3&gt;(A12stdlife+$E230),('PTRM input'!$P$154*(1+rvanilla10)^0.5)-SUM($P230:AT230),('PTRM input'!$P$154*(1+rvanilla10)^0.5)/A12stdlife))</f>
        <v>0</v>
      </c>
      <c r="AV230" s="107">
        <f>IF(A12stdlife="n/a","n/a",IF(AV$3&gt;(A12stdlife+$E230),('PTRM input'!$P$154*(1+rvanilla10)^0.5)-SUM($P230:AU230),('PTRM input'!$P$154*(1+rvanilla10)^0.5)/A12stdlife))</f>
        <v>0</v>
      </c>
      <c r="AW230" s="107">
        <f>IF(A12stdlife="n/a","n/a",IF(AW$3&gt;(A12stdlife+$E230),('PTRM input'!$P$154*(1+rvanilla10)^0.5)-SUM($P230:AV230),('PTRM input'!$P$154*(1+rvanilla10)^0.5)/A12stdlife))</f>
        <v>0</v>
      </c>
      <c r="AX230" s="107">
        <f>IF(A12stdlife="n/a","n/a",IF(AX$3&gt;(A12stdlife+$E230),('PTRM input'!$P$154*(1+rvanilla10)^0.5)-SUM($P230:AW230),('PTRM input'!$P$154*(1+rvanilla10)^0.5)/A12stdlife))</f>
        <v>0</v>
      </c>
      <c r="AY230" s="107">
        <f>IF(A12stdlife="n/a","n/a",IF(AY$3&gt;(A12stdlife+$E230),('PTRM input'!$P$154*(1+rvanilla10)^0.5)-SUM($P230:AX230),('PTRM input'!$P$154*(1+rvanilla10)^0.5)/A12stdlife))</f>
        <v>0</v>
      </c>
      <c r="AZ230" s="107">
        <f>IF(A12stdlife="n/a","n/a",IF(AZ$3&gt;(A12stdlife+$E230),('PTRM input'!$P$154*(1+rvanilla10)^0.5)-SUM($P230:AY230),('PTRM input'!$P$154*(1+rvanilla10)^0.5)/A12stdlife))</f>
        <v>0</v>
      </c>
      <c r="BA230" s="107">
        <f>IF(A12stdlife="n/a","n/a",IF(BA$3&gt;(A12stdlife+$E230),('PTRM input'!$P$154*(1+rvanilla10)^0.5)-SUM($P230:AZ230),('PTRM input'!$P$154*(1+rvanilla10)^0.5)/A12stdlife))</f>
        <v>0</v>
      </c>
      <c r="BB230" s="107">
        <f>IF(A12stdlife="n/a","n/a",IF(BB$3&gt;(A12stdlife+$E230),('PTRM input'!$P$154*(1+rvanilla10)^0.5)-SUM($P230:BA230),('PTRM input'!$P$154*(1+rvanilla10)^0.5)/A12stdlife))</f>
        <v>0</v>
      </c>
      <c r="BC230" s="107">
        <f>IF(A12stdlife="n/a","n/a",IF(BC$3&gt;(A12stdlife+$E230),('PTRM input'!$P$154*(1+rvanilla10)^0.5)-SUM($P230:BB230),('PTRM input'!$P$154*(1+rvanilla10)^0.5)/A12stdlife))</f>
        <v>0</v>
      </c>
      <c r="BD230" s="107">
        <f>IF(A12stdlife="n/a","n/a",IF(BD$3&gt;(A12stdlife+$E230),('PTRM input'!$P$154*(1+rvanilla10)^0.5)-SUM($P230:BC230),('PTRM input'!$P$154*(1+rvanilla10)^0.5)/A12stdlife))</f>
        <v>0</v>
      </c>
      <c r="BE230" s="107">
        <f>IF(A12stdlife="n/a","n/a",IF(BE$3&gt;(A12stdlife+$E230),('PTRM input'!$P$154*(1+rvanilla10)^0.5)-SUM($P230:BD230),('PTRM input'!$P$154*(1+rvanilla10)^0.5)/A12stdlife))</f>
        <v>0</v>
      </c>
      <c r="BF230" s="107">
        <f>IF(A12stdlife="n/a","n/a",IF(BF$3&gt;(A12stdlife+$E230),('PTRM input'!$P$154*(1+rvanilla10)^0.5)-SUM($P230:BE230),('PTRM input'!$P$154*(1+rvanilla10)^0.5)/A12stdlife))</f>
        <v>0</v>
      </c>
      <c r="BG230" s="107">
        <f>IF(A12stdlife="n/a","n/a",IF(BG$3&gt;(A12stdlife+$E230),('PTRM input'!$P$154*(1+rvanilla10)^0.5)-SUM($P230:BF230),('PTRM input'!$P$154*(1+rvanilla10)^0.5)/A12stdlife))</f>
        <v>0</v>
      </c>
      <c r="BH230" s="107">
        <f>IF(A12stdlife="n/a","n/a",IF(BH$3&gt;(A12stdlife+$E230),('PTRM input'!$P$154*(1+rvanilla10)^0.5)-SUM($P230:BG230),('PTRM input'!$P$154*(1+rvanilla10)^0.5)/A12stdlife))</f>
        <v>0</v>
      </c>
      <c r="BI230" s="107">
        <f>IF(A12stdlife="n/a","n/a",IF(BI$3&gt;(A12stdlife+$E230),('PTRM input'!$P$154*(1+rvanilla10)^0.5)-SUM($P230:BH230),('PTRM input'!$P$154*(1+rvanilla10)^0.5)/A12stdlife))</f>
        <v>0</v>
      </c>
      <c r="BJ230" s="237"/>
      <c r="BK230" s="237"/>
      <c r="BL230" s="237"/>
      <c r="BM230" s="237"/>
    </row>
    <row r="231" spans="1:65" s="190" customFormat="1" hidden="1" outlineLevel="1">
      <c r="A231" s="237"/>
      <c r="B231" s="18"/>
      <c r="C231" s="33">
        <f>Asset12</f>
        <v>0</v>
      </c>
      <c r="D231" s="18"/>
      <c r="E231" s="18"/>
      <c r="F231" s="31"/>
      <c r="G231" s="104">
        <f t="shared" ref="G231:AL231" si="59">SUM(G219:G230)</f>
        <v>0</v>
      </c>
      <c r="H231" s="104">
        <f t="shared" si="59"/>
        <v>0</v>
      </c>
      <c r="I231" s="104">
        <f t="shared" si="59"/>
        <v>0</v>
      </c>
      <c r="J231" s="104">
        <f t="shared" si="59"/>
        <v>0</v>
      </c>
      <c r="K231" s="104">
        <f t="shared" si="59"/>
        <v>0</v>
      </c>
      <c r="L231" s="104">
        <f t="shared" si="59"/>
        <v>0</v>
      </c>
      <c r="M231" s="104">
        <f t="shared" si="59"/>
        <v>0</v>
      </c>
      <c r="N231" s="104">
        <f t="shared" si="59"/>
        <v>0</v>
      </c>
      <c r="O231" s="104">
        <f t="shared" si="59"/>
        <v>0</v>
      </c>
      <c r="P231" s="104">
        <f t="shared" si="59"/>
        <v>0</v>
      </c>
      <c r="Q231" s="104">
        <f t="shared" si="59"/>
        <v>0</v>
      </c>
      <c r="R231" s="104">
        <f t="shared" si="59"/>
        <v>0</v>
      </c>
      <c r="S231" s="104">
        <f t="shared" si="59"/>
        <v>0</v>
      </c>
      <c r="T231" s="104">
        <f t="shared" si="59"/>
        <v>0</v>
      </c>
      <c r="U231" s="104">
        <f t="shared" si="59"/>
        <v>0</v>
      </c>
      <c r="V231" s="104">
        <f t="shared" si="59"/>
        <v>0</v>
      </c>
      <c r="W231" s="104">
        <f t="shared" si="59"/>
        <v>0</v>
      </c>
      <c r="X231" s="104">
        <f t="shared" si="59"/>
        <v>0</v>
      </c>
      <c r="Y231" s="104">
        <f t="shared" si="59"/>
        <v>0</v>
      </c>
      <c r="Z231" s="104">
        <f t="shared" si="59"/>
        <v>0</v>
      </c>
      <c r="AA231" s="104">
        <f t="shared" si="59"/>
        <v>0</v>
      </c>
      <c r="AB231" s="104">
        <f t="shared" si="59"/>
        <v>0</v>
      </c>
      <c r="AC231" s="104">
        <f t="shared" si="59"/>
        <v>0</v>
      </c>
      <c r="AD231" s="104">
        <f t="shared" si="59"/>
        <v>0</v>
      </c>
      <c r="AE231" s="104">
        <f t="shared" si="59"/>
        <v>0</v>
      </c>
      <c r="AF231" s="104">
        <f t="shared" si="59"/>
        <v>0</v>
      </c>
      <c r="AG231" s="104">
        <f t="shared" si="59"/>
        <v>0</v>
      </c>
      <c r="AH231" s="104">
        <f t="shared" si="59"/>
        <v>0</v>
      </c>
      <c r="AI231" s="104">
        <f t="shared" si="59"/>
        <v>0</v>
      </c>
      <c r="AJ231" s="104">
        <f t="shared" si="59"/>
        <v>0</v>
      </c>
      <c r="AK231" s="104">
        <f t="shared" si="59"/>
        <v>0</v>
      </c>
      <c r="AL231" s="104">
        <f t="shared" si="59"/>
        <v>0</v>
      </c>
      <c r="AM231" s="104">
        <f t="shared" ref="AM231:BI231" si="60">SUM(AM219:AM230)</f>
        <v>0</v>
      </c>
      <c r="AN231" s="104">
        <f t="shared" si="60"/>
        <v>0</v>
      </c>
      <c r="AO231" s="104">
        <f t="shared" si="60"/>
        <v>0</v>
      </c>
      <c r="AP231" s="104">
        <f t="shared" si="60"/>
        <v>0</v>
      </c>
      <c r="AQ231" s="104">
        <f t="shared" si="60"/>
        <v>0</v>
      </c>
      <c r="AR231" s="104">
        <f t="shared" si="60"/>
        <v>0</v>
      </c>
      <c r="AS231" s="104">
        <f t="shared" si="60"/>
        <v>0</v>
      </c>
      <c r="AT231" s="104">
        <f t="shared" si="60"/>
        <v>0</v>
      </c>
      <c r="AU231" s="104">
        <f t="shared" si="60"/>
        <v>0</v>
      </c>
      <c r="AV231" s="104">
        <f t="shared" si="60"/>
        <v>0</v>
      </c>
      <c r="AW231" s="104">
        <f t="shared" si="60"/>
        <v>0</v>
      </c>
      <c r="AX231" s="104">
        <f t="shared" si="60"/>
        <v>0</v>
      </c>
      <c r="AY231" s="104">
        <f t="shared" si="60"/>
        <v>0</v>
      </c>
      <c r="AZ231" s="104">
        <f t="shared" si="60"/>
        <v>0</v>
      </c>
      <c r="BA231" s="104">
        <f t="shared" si="60"/>
        <v>0</v>
      </c>
      <c r="BB231" s="104">
        <f t="shared" si="60"/>
        <v>0</v>
      </c>
      <c r="BC231" s="104">
        <f t="shared" si="60"/>
        <v>0</v>
      </c>
      <c r="BD231" s="104">
        <f t="shared" si="60"/>
        <v>0</v>
      </c>
      <c r="BE231" s="104">
        <f t="shared" si="60"/>
        <v>0</v>
      </c>
      <c r="BF231" s="104">
        <f t="shared" si="60"/>
        <v>0</v>
      </c>
      <c r="BG231" s="104">
        <f t="shared" si="60"/>
        <v>0</v>
      </c>
      <c r="BH231" s="104">
        <f t="shared" si="60"/>
        <v>0</v>
      </c>
      <c r="BI231" s="104">
        <f t="shared" si="60"/>
        <v>0</v>
      </c>
      <c r="BJ231" s="237"/>
      <c r="BK231" s="237"/>
      <c r="BL231" s="237"/>
      <c r="BM231" s="237"/>
    </row>
    <row r="232" spans="1:65" s="190" customFormat="1" ht="12.75" hidden="1" customHeight="1" outlineLevel="2">
      <c r="A232" s="237"/>
      <c r="B232" s="37">
        <f>C244</f>
        <v>0</v>
      </c>
      <c r="C232" s="38"/>
      <c r="D232" s="39" t="s">
        <v>58</v>
      </c>
      <c r="E232" s="38"/>
      <c r="F232" s="40"/>
      <c r="G232" s="106">
        <f>IF(G$3&gt;A13remlife,A13value-SUM($F232:F232),IF(A13remlife="N/A","n/a",A13value/A13remlife))</f>
        <v>0</v>
      </c>
      <c r="H232" s="106">
        <f>IF(H$3&gt;A13remlife,A13value-SUM($F232:G232),IF(A13remlife="N/A","n/a",A13value/A13remlife))</f>
        <v>0</v>
      </c>
      <c r="I232" s="106">
        <f>IF(I$3&gt;A13remlife,A13value-SUM($F232:H232),IF(A13remlife="N/A","n/a",A13value/A13remlife))</f>
        <v>0</v>
      </c>
      <c r="J232" s="106">
        <f>IF(J$3&gt;A13remlife,A13value-SUM($F232:I232),IF(A13remlife="N/A","n/a",A13value/A13remlife))</f>
        <v>0</v>
      </c>
      <c r="K232" s="106">
        <f>IF(K$3&gt;A13remlife,A13value-SUM($F232:J232),IF(A13remlife="N/A","n/a",A13value/A13remlife))</f>
        <v>0</v>
      </c>
      <c r="L232" s="106">
        <f>IF(L$3&gt;A13remlife,A13value-SUM($F232:K232),IF(A13remlife="N/A","n/a",A13value/A13remlife))</f>
        <v>0</v>
      </c>
      <c r="M232" s="106">
        <f>IF(M$3&gt;A13remlife,A13value-SUM($F232:L232),IF(A13remlife="N/A","n/a",A13value/A13remlife))</f>
        <v>0</v>
      </c>
      <c r="N232" s="106">
        <f>IF(N$3&gt;A13remlife,A13value-SUM($F232:M232),IF(A13remlife="N/A","n/a",A13value/A13remlife))</f>
        <v>0</v>
      </c>
      <c r="O232" s="106">
        <f>IF(O$3&gt;A13remlife,A13value-SUM($F232:N232),IF(A13remlife="N/A","n/a",A13value/A13remlife))</f>
        <v>0</v>
      </c>
      <c r="P232" s="106">
        <f>IF(P$3&gt;A13remlife,A13value-SUM($F232:O232),IF(A13remlife="N/A","n/a",A13value/A13remlife))</f>
        <v>0</v>
      </c>
      <c r="Q232" s="106">
        <f>IF(Q$3&gt;A13remlife,A13value-SUM($F232:P232),IF(A13remlife="N/A","n/a",A13value/A13remlife))</f>
        <v>0</v>
      </c>
      <c r="R232" s="106">
        <f>IF(R$3&gt;A13remlife,A13value-SUM($F232:Q232),IF(A13remlife="N/A","n/a",A13value/A13remlife))</f>
        <v>0</v>
      </c>
      <c r="S232" s="106">
        <f>IF(S$3&gt;A13remlife,A13value-SUM($F232:R232),IF(A13remlife="N/A","n/a",A13value/A13remlife))</f>
        <v>0</v>
      </c>
      <c r="T232" s="106">
        <f>IF(T$3&gt;A13remlife,A13value-SUM($F232:S232),IF(A13remlife="N/A","n/a",A13value/A13remlife))</f>
        <v>0</v>
      </c>
      <c r="U232" s="106">
        <f>IF(U$3&gt;A13remlife,A13value-SUM($F232:T232),IF(A13remlife="N/A","n/a",A13value/A13remlife))</f>
        <v>0</v>
      </c>
      <c r="V232" s="106">
        <f>IF(V$3&gt;A13remlife,A13value-SUM($F232:U232),IF(A13remlife="N/A","n/a",A13value/A13remlife))</f>
        <v>0</v>
      </c>
      <c r="W232" s="106">
        <f>IF(W$3&gt;A13remlife,A13value-SUM($F232:V232),IF(A13remlife="N/A","n/a",A13value/A13remlife))</f>
        <v>0</v>
      </c>
      <c r="X232" s="106">
        <f>IF(X$3&gt;A13remlife,A13value-SUM($F232:W232),IF(A13remlife="N/A","n/a",A13value/A13remlife))</f>
        <v>0</v>
      </c>
      <c r="Y232" s="106">
        <f>IF(Y$3&gt;A13remlife,A13value-SUM($F232:X232),IF(A13remlife="N/A","n/a",A13value/A13remlife))</f>
        <v>0</v>
      </c>
      <c r="Z232" s="106">
        <f>IF(Z$3&gt;A13remlife,A13value-SUM($F232:Y232),IF(A13remlife="N/A","n/a",A13value/A13remlife))</f>
        <v>0</v>
      </c>
      <c r="AA232" s="106">
        <f>IF(AA$3&gt;A13remlife,A13value-SUM($F232:Z232),IF(A13remlife="N/A","n/a",A13value/A13remlife))</f>
        <v>0</v>
      </c>
      <c r="AB232" s="106">
        <f>IF(AB$3&gt;A13remlife,A13value-SUM($F232:AA232),IF(A13remlife="N/A","n/a",A13value/A13remlife))</f>
        <v>0</v>
      </c>
      <c r="AC232" s="106">
        <f>IF(AC$3&gt;A13remlife,A13value-SUM($F232:AB232),IF(A13remlife="N/A","n/a",A13value/A13remlife))</f>
        <v>0</v>
      </c>
      <c r="AD232" s="106">
        <f>IF(AD$3&gt;A13remlife,A13value-SUM($F232:AC232),IF(A13remlife="N/A","n/a",A13value/A13remlife))</f>
        <v>0</v>
      </c>
      <c r="AE232" s="106">
        <f>IF(AE$3&gt;A13remlife,A13value-SUM($F232:AD232),IF(A13remlife="N/A","n/a",A13value/A13remlife))</f>
        <v>0</v>
      </c>
      <c r="AF232" s="106">
        <f>IF(AF$3&gt;A13remlife,A13value-SUM($F232:AE232),IF(A13remlife="N/A","n/a",A13value/A13remlife))</f>
        <v>0</v>
      </c>
      <c r="AG232" s="106">
        <f>IF(AG$3&gt;A13remlife,A13value-SUM($F232:AF232),IF(A13remlife="N/A","n/a",A13value/A13remlife))</f>
        <v>0</v>
      </c>
      <c r="AH232" s="106">
        <f>IF(AH$3&gt;A13remlife,A13value-SUM($F232:AG232),IF(A13remlife="N/A","n/a",A13value/A13remlife))</f>
        <v>0</v>
      </c>
      <c r="AI232" s="106">
        <f>IF(AI$3&gt;A13remlife,A13value-SUM($F232:AH232),IF(A13remlife="N/A","n/a",A13value/A13remlife))</f>
        <v>0</v>
      </c>
      <c r="AJ232" s="106">
        <f>IF(AJ$3&gt;A13remlife,A13value-SUM($F232:AI232),IF(A13remlife="N/A","n/a",A13value/A13remlife))</f>
        <v>0</v>
      </c>
      <c r="AK232" s="106">
        <f>IF(AK$3&gt;A13remlife,A13value-SUM($F232:AJ232),IF(A13remlife="N/A","n/a",A13value/A13remlife))</f>
        <v>0</v>
      </c>
      <c r="AL232" s="106">
        <f>IF(AL$3&gt;A13remlife,A13value-SUM($F232:AK232),IF(A13remlife="N/A","n/a",A13value/A13remlife))</f>
        <v>0</v>
      </c>
      <c r="AM232" s="106">
        <f>IF(AM$3&gt;A13remlife,A13value-SUM($F232:AL232),IF(A13remlife="N/A","n/a",A13value/A13remlife))</f>
        <v>0</v>
      </c>
      <c r="AN232" s="106">
        <f>IF(AN$3&gt;A13remlife,A13value-SUM($F232:AM232),IF(A13remlife="N/A","n/a",A13value/A13remlife))</f>
        <v>0</v>
      </c>
      <c r="AO232" s="106">
        <f>IF(AO$3&gt;A13remlife,A13value-SUM($F232:AN232),IF(A13remlife="N/A","n/a",A13value/A13remlife))</f>
        <v>0</v>
      </c>
      <c r="AP232" s="106">
        <f>IF(AP$3&gt;A13remlife,A13value-SUM($F232:AO232),IF(A13remlife="N/A","n/a",A13value/A13remlife))</f>
        <v>0</v>
      </c>
      <c r="AQ232" s="106">
        <f>IF(AQ$3&gt;A13remlife,A13value-SUM($F232:AP232),IF(A13remlife="N/A","n/a",A13value/A13remlife))</f>
        <v>0</v>
      </c>
      <c r="AR232" s="106">
        <f>IF(AR$3&gt;A13remlife,A13value-SUM($F232:AQ232),IF(A13remlife="N/A","n/a",A13value/A13remlife))</f>
        <v>0</v>
      </c>
      <c r="AS232" s="106">
        <f>IF(AS$3&gt;A13remlife,A13value-SUM($F232:AR232),IF(A13remlife="N/A","n/a",A13value/A13remlife))</f>
        <v>0</v>
      </c>
      <c r="AT232" s="106">
        <f>IF(AT$3&gt;A13remlife,A13value-SUM($F232:AS232),IF(A13remlife="N/A","n/a",A13value/A13remlife))</f>
        <v>0</v>
      </c>
      <c r="AU232" s="106">
        <f>IF(AU$3&gt;A13remlife,A13value-SUM($F232:AT232),IF(A13remlife="N/A","n/a",A13value/A13remlife))</f>
        <v>0</v>
      </c>
      <c r="AV232" s="106">
        <f>IF(AV$3&gt;A13remlife,A13value-SUM($F232:AU232),IF(A13remlife="N/A","n/a",A13value/A13remlife))</f>
        <v>0</v>
      </c>
      <c r="AW232" s="106">
        <f>IF(AW$3&gt;A13remlife,A13value-SUM($F232:AV232),IF(A13remlife="N/A","n/a",A13value/A13remlife))</f>
        <v>0</v>
      </c>
      <c r="AX232" s="106">
        <f>IF(AX$3&gt;A13remlife,A13value-SUM($F232:AW232),IF(A13remlife="N/A","n/a",A13value/A13remlife))</f>
        <v>0</v>
      </c>
      <c r="AY232" s="106">
        <f>IF(AY$3&gt;A13remlife,A13value-SUM($F232:AX232),IF(A13remlife="N/A","n/a",A13value/A13remlife))</f>
        <v>0</v>
      </c>
      <c r="AZ232" s="106">
        <f>IF(AZ$3&gt;A13remlife,A13value-SUM($F232:AY232),IF(A13remlife="N/A","n/a",A13value/A13remlife))</f>
        <v>0</v>
      </c>
      <c r="BA232" s="106">
        <f>IF(BA$3&gt;A13remlife,A13value-SUM($F232:AZ232),IF(A13remlife="N/A","n/a",A13value/A13remlife))</f>
        <v>0</v>
      </c>
      <c r="BB232" s="106">
        <f>IF(BB$3&gt;A13remlife,A13value-SUM($F232:BA232),IF(A13remlife="N/A","n/a",A13value/A13remlife))</f>
        <v>0</v>
      </c>
      <c r="BC232" s="106">
        <f>IF(BC$3&gt;A13remlife,A13value-SUM($F232:BB232),IF(A13remlife="N/A","n/a",A13value/A13remlife))</f>
        <v>0</v>
      </c>
      <c r="BD232" s="106">
        <f>IF(BD$3&gt;A13remlife,A13value-SUM($F232:BC232),IF(A13remlife="N/A","n/a",A13value/A13remlife))</f>
        <v>0</v>
      </c>
      <c r="BE232" s="106">
        <f>IF(BE$3&gt;A13remlife,A13value-SUM($F232:BD232),IF(A13remlife="N/A","n/a",A13value/A13remlife))</f>
        <v>0</v>
      </c>
      <c r="BF232" s="106">
        <f>IF(BF$3&gt;A13remlife,A13value-SUM($F232:BE232),IF(A13remlife="N/A","n/a",A13value/A13remlife))</f>
        <v>0</v>
      </c>
      <c r="BG232" s="106">
        <f>IF(BG$3&gt;A13remlife,A13value-SUM($F232:BF232),IF(A13remlife="N/A","n/a",A13value/A13remlife))</f>
        <v>0</v>
      </c>
      <c r="BH232" s="106">
        <f>IF(BH$3&gt;A13remlife,A13value-SUM($F232:BG232),IF(A13remlife="N/A","n/a",A13value/A13remlife))</f>
        <v>0</v>
      </c>
      <c r="BI232" s="106">
        <f>IF(BI$3&gt;A13remlife,A13value-SUM($F232:BH232),IF(A13remlife="N/A","n/a",A13value/A13remlife))</f>
        <v>0</v>
      </c>
      <c r="BJ232" s="237"/>
      <c r="BK232" s="237"/>
      <c r="BL232" s="237"/>
      <c r="BM232" s="237"/>
    </row>
    <row r="233" spans="1:65" s="190" customFormat="1" ht="12.75" hidden="1" customHeight="1" outlineLevel="2">
      <c r="A233" s="237"/>
      <c r="B233" s="33"/>
      <c r="C233" s="32"/>
      <c r="D233" s="1618" t="s">
        <v>357</v>
      </c>
      <c r="E233" s="169">
        <v>0</v>
      </c>
      <c r="F233" s="35"/>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237"/>
      <c r="BK233" s="237"/>
      <c r="BL233" s="237"/>
      <c r="BM233" s="237"/>
    </row>
    <row r="234" spans="1:65" s="190" customFormat="1" hidden="1" outlineLevel="2">
      <c r="A234" s="237"/>
      <c r="B234" s="33"/>
      <c r="C234" s="32"/>
      <c r="D234" s="1618"/>
      <c r="E234" s="169">
        <v>1</v>
      </c>
      <c r="F234" s="35"/>
      <c r="G234" s="183"/>
      <c r="H234" s="107">
        <f>IF(A13stdlife="n/a","n/a",IF(H$3&gt;(A13stdlife+$E234),('PTRM input'!$G$155*(1+rvanilla01)^0.5)-SUM($G234:G234),('PTRM input'!$G$155*(1+rvanilla01)^0.5)/A13stdlife))</f>
        <v>0</v>
      </c>
      <c r="I234" s="107">
        <f>IF(A13stdlife="n/a","n/a",IF(I$3&gt;(A13stdlife+$E234),('PTRM input'!$G$155*(1+rvanilla01)^0.5)-SUM($G234:H234),('PTRM input'!$G$155*(1+rvanilla01)^0.5)/A13stdlife))</f>
        <v>0</v>
      </c>
      <c r="J234" s="107">
        <f>IF(A13stdlife="n/a","n/a",IF(J$3&gt;(A13stdlife+$E234),('PTRM input'!$G$155*(1+rvanilla01)^0.5)-SUM($G234:I234),('PTRM input'!$G$155*(1+rvanilla01)^0.5)/A13stdlife))</f>
        <v>0</v>
      </c>
      <c r="K234" s="107">
        <f>IF(A13stdlife="n/a","n/a",IF(K$3&gt;(A13stdlife+$E234),('PTRM input'!$G$155*(1+rvanilla01)^0.5)-SUM($G234:J234),('PTRM input'!$G$155*(1+rvanilla01)^0.5)/A13stdlife))</f>
        <v>0</v>
      </c>
      <c r="L234" s="107">
        <f>IF(A13stdlife="n/a","n/a",IF(L$3&gt;(A13stdlife+$E234),('PTRM input'!$G$155*(1+rvanilla01)^0.5)-SUM($G234:K234),('PTRM input'!$G$155*(1+rvanilla01)^0.5)/A13stdlife))</f>
        <v>0</v>
      </c>
      <c r="M234" s="107">
        <f>IF(A13stdlife="n/a","n/a",IF(M$3&gt;(A13stdlife+$E234),('PTRM input'!$G$155*(1+rvanilla01)^0.5)-SUM($G234:L234),('PTRM input'!$G$155*(1+rvanilla01)^0.5)/A13stdlife))</f>
        <v>0</v>
      </c>
      <c r="N234" s="107">
        <f>IF(A13stdlife="n/a","n/a",IF(N$3&gt;(A13stdlife+$E234),('PTRM input'!$G$155*(1+rvanilla01)^0.5)-SUM($G234:M234),('PTRM input'!$G$155*(1+rvanilla01)^0.5)/A13stdlife))</f>
        <v>0</v>
      </c>
      <c r="O234" s="107">
        <f>IF(A13stdlife="n/a","n/a",IF(O$3&gt;(A13stdlife+$E234),('PTRM input'!$G$155*(1+rvanilla01)^0.5)-SUM($G234:N234),('PTRM input'!$G$155*(1+rvanilla01)^0.5)/A13stdlife))</f>
        <v>0</v>
      </c>
      <c r="P234" s="107">
        <f>IF(A13stdlife="n/a","n/a",IF(P$3&gt;(A13stdlife+$E234),('PTRM input'!$G$155*(1+rvanilla01)^0.5)-SUM($G234:O234),('PTRM input'!$G$155*(1+rvanilla01)^0.5)/A13stdlife))</f>
        <v>0</v>
      </c>
      <c r="Q234" s="107">
        <f>IF(A13stdlife="n/a","n/a",IF(Q$3&gt;(A13stdlife+$E234),('PTRM input'!$G$155*(1+rvanilla01)^0.5)-SUM($G234:P234),('PTRM input'!$G$155*(1+rvanilla01)^0.5)/A13stdlife))</f>
        <v>0</v>
      </c>
      <c r="R234" s="107">
        <f>IF(A13stdlife="n/a","n/a",IF(R$3&gt;(A13stdlife+$E234),('PTRM input'!$G$155*(1+rvanilla01)^0.5)-SUM($G234:Q234),('PTRM input'!$G$155*(1+rvanilla01)^0.5)/A13stdlife))</f>
        <v>0</v>
      </c>
      <c r="S234" s="107">
        <f>IF(A13stdlife="n/a","n/a",IF(S$3&gt;(A13stdlife+$E234),('PTRM input'!$G$155*(1+rvanilla01)^0.5)-SUM($G234:R234),('PTRM input'!$G$155*(1+rvanilla01)^0.5)/A13stdlife))</f>
        <v>0</v>
      </c>
      <c r="T234" s="107">
        <f>IF(A13stdlife="n/a","n/a",IF(T$3&gt;(A13stdlife+$E234),('PTRM input'!$G$155*(1+rvanilla01)^0.5)-SUM($G234:S234),('PTRM input'!$G$155*(1+rvanilla01)^0.5)/A13stdlife))</f>
        <v>0</v>
      </c>
      <c r="U234" s="107">
        <f>IF(A13stdlife="n/a","n/a",IF(U$3&gt;(A13stdlife+$E234),('PTRM input'!$G$155*(1+rvanilla01)^0.5)-SUM($G234:T234),('PTRM input'!$G$155*(1+rvanilla01)^0.5)/A13stdlife))</f>
        <v>0</v>
      </c>
      <c r="V234" s="107">
        <f>IF(A13stdlife="n/a","n/a",IF(V$3&gt;(A13stdlife+$E234),('PTRM input'!$G$155*(1+rvanilla01)^0.5)-SUM($G234:U234),('PTRM input'!$G$155*(1+rvanilla01)^0.5)/A13stdlife))</f>
        <v>0</v>
      </c>
      <c r="W234" s="107">
        <f>IF(A13stdlife="n/a","n/a",IF(W$3&gt;(A13stdlife+$E234),('PTRM input'!$G$155*(1+rvanilla01)^0.5)-SUM($G234:V234),('PTRM input'!$G$155*(1+rvanilla01)^0.5)/A13stdlife))</f>
        <v>0</v>
      </c>
      <c r="X234" s="107">
        <f>IF(A13stdlife="n/a","n/a",IF(X$3&gt;(A13stdlife+$E234),('PTRM input'!$G$155*(1+rvanilla01)^0.5)-SUM($G234:W234),('PTRM input'!$G$155*(1+rvanilla01)^0.5)/A13stdlife))</f>
        <v>0</v>
      </c>
      <c r="Y234" s="107">
        <f>IF(A13stdlife="n/a","n/a",IF(Y$3&gt;(A13stdlife+$E234),('PTRM input'!$G$155*(1+rvanilla01)^0.5)-SUM($G234:X234),('PTRM input'!$G$155*(1+rvanilla01)^0.5)/A13stdlife))</f>
        <v>0</v>
      </c>
      <c r="Z234" s="107">
        <f>IF(A13stdlife="n/a","n/a",IF(Z$3&gt;(A13stdlife+$E234),('PTRM input'!$G$155*(1+rvanilla01)^0.5)-SUM($G234:Y234),('PTRM input'!$G$155*(1+rvanilla01)^0.5)/A13stdlife))</f>
        <v>0</v>
      </c>
      <c r="AA234" s="107">
        <f>IF(A13stdlife="n/a","n/a",IF(AA$3&gt;(A13stdlife+$E234),('PTRM input'!$G$155*(1+rvanilla01)^0.5)-SUM($G234:Z234),('PTRM input'!$G$155*(1+rvanilla01)^0.5)/A13stdlife))</f>
        <v>0</v>
      </c>
      <c r="AB234" s="107">
        <f>IF(A13stdlife="n/a","n/a",IF(AB$3&gt;(A13stdlife+$E234),('PTRM input'!$G$155*(1+rvanilla01)^0.5)-SUM($G234:AA234),('PTRM input'!$G$155*(1+rvanilla01)^0.5)/A13stdlife))</f>
        <v>0</v>
      </c>
      <c r="AC234" s="107">
        <f>IF(A13stdlife="n/a","n/a",IF(AC$3&gt;(A13stdlife+$E234),('PTRM input'!$G$155*(1+rvanilla01)^0.5)-SUM($G234:AB234),('PTRM input'!$G$155*(1+rvanilla01)^0.5)/A13stdlife))</f>
        <v>0</v>
      </c>
      <c r="AD234" s="107">
        <f>IF(A13stdlife="n/a","n/a",IF(AD$3&gt;(A13stdlife+$E234),('PTRM input'!$G$155*(1+rvanilla01)^0.5)-SUM($G234:AC234),('PTRM input'!$G$155*(1+rvanilla01)^0.5)/A13stdlife))</f>
        <v>0</v>
      </c>
      <c r="AE234" s="107">
        <f>IF(A13stdlife="n/a","n/a",IF(AE$3&gt;(A13stdlife+$E234),('PTRM input'!$G$155*(1+rvanilla01)^0.5)-SUM($G234:AD234),('PTRM input'!$G$155*(1+rvanilla01)^0.5)/A13stdlife))</f>
        <v>0</v>
      </c>
      <c r="AF234" s="107">
        <f>IF(A13stdlife="n/a","n/a",IF(AF$3&gt;(A13stdlife+$E234),('PTRM input'!$G$155*(1+rvanilla01)^0.5)-SUM($G234:AE234),('PTRM input'!$G$155*(1+rvanilla01)^0.5)/A13stdlife))</f>
        <v>0</v>
      </c>
      <c r="AG234" s="107">
        <f>IF(A13stdlife="n/a","n/a",IF(AG$3&gt;(A13stdlife+$E234),('PTRM input'!$G$155*(1+rvanilla01)^0.5)-SUM($G234:AF234),('PTRM input'!$G$155*(1+rvanilla01)^0.5)/A13stdlife))</f>
        <v>0</v>
      </c>
      <c r="AH234" s="107">
        <f>IF(A13stdlife="n/a","n/a",IF(AH$3&gt;(A13stdlife+$E234),('PTRM input'!$G$155*(1+rvanilla01)^0.5)-SUM($G234:AG234),('PTRM input'!$G$155*(1+rvanilla01)^0.5)/A13stdlife))</f>
        <v>0</v>
      </c>
      <c r="AI234" s="107">
        <f>IF(A13stdlife="n/a","n/a",IF(AI$3&gt;(A13stdlife+$E234),('PTRM input'!$G$155*(1+rvanilla01)^0.5)-SUM($G234:AH234),('PTRM input'!$G$155*(1+rvanilla01)^0.5)/A13stdlife))</f>
        <v>0</v>
      </c>
      <c r="AJ234" s="107">
        <f>IF(A13stdlife="n/a","n/a",IF(AJ$3&gt;(A13stdlife+$E234),('PTRM input'!$G$155*(1+rvanilla01)^0.5)-SUM($G234:AI234),('PTRM input'!$G$155*(1+rvanilla01)^0.5)/A13stdlife))</f>
        <v>0</v>
      </c>
      <c r="AK234" s="107">
        <f>IF(A13stdlife="n/a","n/a",IF(AK$3&gt;(A13stdlife+$E234),('PTRM input'!$G$155*(1+rvanilla01)^0.5)-SUM($G234:AJ234),('PTRM input'!$G$155*(1+rvanilla01)^0.5)/A13stdlife))</f>
        <v>0</v>
      </c>
      <c r="AL234" s="107">
        <f>IF(A13stdlife="n/a","n/a",IF(AL$3&gt;(A13stdlife+$E234),('PTRM input'!$G$155*(1+rvanilla01)^0.5)-SUM($G234:AK234),('PTRM input'!$G$155*(1+rvanilla01)^0.5)/A13stdlife))</f>
        <v>0</v>
      </c>
      <c r="AM234" s="107">
        <f>IF(A13stdlife="n/a","n/a",IF(AM$3&gt;(A13stdlife+$E234),('PTRM input'!$G$155*(1+rvanilla01)^0.5)-SUM($G234:AL234),('PTRM input'!$G$155*(1+rvanilla01)^0.5)/A13stdlife))</f>
        <v>0</v>
      </c>
      <c r="AN234" s="107">
        <f>IF(A13stdlife="n/a","n/a",IF(AN$3&gt;(A13stdlife+$E234),('PTRM input'!$G$155*(1+rvanilla01)^0.5)-SUM($G234:AM234),('PTRM input'!$G$155*(1+rvanilla01)^0.5)/A13stdlife))</f>
        <v>0</v>
      </c>
      <c r="AO234" s="107">
        <f>IF(A13stdlife="n/a","n/a",IF(AO$3&gt;(A13stdlife+$E234),('PTRM input'!$G$155*(1+rvanilla01)^0.5)-SUM($G234:AN234),('PTRM input'!$G$155*(1+rvanilla01)^0.5)/A13stdlife))</f>
        <v>0</v>
      </c>
      <c r="AP234" s="107">
        <f>IF(A13stdlife="n/a","n/a",IF(AP$3&gt;(A13stdlife+$E234),('PTRM input'!$G$155*(1+rvanilla01)^0.5)-SUM($G234:AO234),('PTRM input'!$G$155*(1+rvanilla01)^0.5)/A13stdlife))</f>
        <v>0</v>
      </c>
      <c r="AQ234" s="107">
        <f>IF(A13stdlife="n/a","n/a",IF(AQ$3&gt;(A13stdlife+$E234),('PTRM input'!$G$155*(1+rvanilla01)^0.5)-SUM($G234:AP234),('PTRM input'!$G$155*(1+rvanilla01)^0.5)/A13stdlife))</f>
        <v>0</v>
      </c>
      <c r="AR234" s="107">
        <f>IF(A13stdlife="n/a","n/a",IF(AR$3&gt;(A13stdlife+$E234),('PTRM input'!$G$155*(1+rvanilla01)^0.5)-SUM($G234:AQ234),('PTRM input'!$G$155*(1+rvanilla01)^0.5)/A13stdlife))</f>
        <v>0</v>
      </c>
      <c r="AS234" s="107">
        <f>IF(A13stdlife="n/a","n/a",IF(AS$3&gt;(A13stdlife+$E234),('PTRM input'!$G$155*(1+rvanilla01)^0.5)-SUM($G234:AR234),('PTRM input'!$G$155*(1+rvanilla01)^0.5)/A13stdlife))</f>
        <v>0</v>
      </c>
      <c r="AT234" s="107">
        <f>IF(A13stdlife="n/a","n/a",IF(AT$3&gt;(A13stdlife+$E234),('PTRM input'!$G$155*(1+rvanilla01)^0.5)-SUM($G234:AS234),('PTRM input'!$G$155*(1+rvanilla01)^0.5)/A13stdlife))</f>
        <v>0</v>
      </c>
      <c r="AU234" s="107">
        <f>IF(A13stdlife="n/a","n/a",IF(AU$3&gt;(A13stdlife+$E234),('PTRM input'!$G$155*(1+rvanilla01)^0.5)-SUM($G234:AT234),('PTRM input'!$G$155*(1+rvanilla01)^0.5)/A13stdlife))</f>
        <v>0</v>
      </c>
      <c r="AV234" s="107">
        <f>IF(A13stdlife="n/a","n/a",IF(AV$3&gt;(A13stdlife+$E234),('PTRM input'!$G$155*(1+rvanilla01)^0.5)-SUM($G234:AU234),('PTRM input'!$G$155*(1+rvanilla01)^0.5)/A13stdlife))</f>
        <v>0</v>
      </c>
      <c r="AW234" s="107">
        <f>IF(A13stdlife="n/a","n/a",IF(AW$3&gt;(A13stdlife+$E234),('PTRM input'!$G$155*(1+rvanilla01)^0.5)-SUM($G234:AV234),('PTRM input'!$G$155*(1+rvanilla01)^0.5)/A13stdlife))</f>
        <v>0</v>
      </c>
      <c r="AX234" s="107">
        <f>IF(A13stdlife="n/a","n/a",IF(AX$3&gt;(A13stdlife+$E234),('PTRM input'!$G$155*(1+rvanilla01)^0.5)-SUM($G234:AW234),('PTRM input'!$G$155*(1+rvanilla01)^0.5)/A13stdlife))</f>
        <v>0</v>
      </c>
      <c r="AY234" s="107">
        <f>IF(A13stdlife="n/a","n/a",IF(AY$3&gt;(A13stdlife+$E234),('PTRM input'!$G$155*(1+rvanilla01)^0.5)-SUM($G234:AX234),('PTRM input'!$G$155*(1+rvanilla01)^0.5)/A13stdlife))</f>
        <v>0</v>
      </c>
      <c r="AZ234" s="107">
        <f>IF(A13stdlife="n/a","n/a",IF(AZ$3&gt;(A13stdlife+$E234),('PTRM input'!$G$155*(1+rvanilla01)^0.5)-SUM($G234:AY234),('PTRM input'!$G$155*(1+rvanilla01)^0.5)/A13stdlife))</f>
        <v>0</v>
      </c>
      <c r="BA234" s="107">
        <f>IF(A13stdlife="n/a","n/a",IF(BA$3&gt;(A13stdlife+$E234),('PTRM input'!$G$155*(1+rvanilla01)^0.5)-SUM($G234:AZ234),('PTRM input'!$G$155*(1+rvanilla01)^0.5)/A13stdlife))</f>
        <v>0</v>
      </c>
      <c r="BB234" s="107">
        <f>IF(A13stdlife="n/a","n/a",IF(BB$3&gt;(A13stdlife+$E234),('PTRM input'!$G$155*(1+rvanilla01)^0.5)-SUM($G234:BA234),('PTRM input'!$G$155*(1+rvanilla01)^0.5)/A13stdlife))</f>
        <v>0</v>
      </c>
      <c r="BC234" s="107">
        <f>IF(A13stdlife="n/a","n/a",IF(BC$3&gt;(A13stdlife+$E234),('PTRM input'!$G$155*(1+rvanilla01)^0.5)-SUM($G234:BB234),('PTRM input'!$G$155*(1+rvanilla01)^0.5)/A13stdlife))</f>
        <v>0</v>
      </c>
      <c r="BD234" s="107">
        <f>IF(A13stdlife="n/a","n/a",IF(BD$3&gt;(A13stdlife+$E234),('PTRM input'!$G$155*(1+rvanilla01)^0.5)-SUM($G234:BC234),('PTRM input'!$G$155*(1+rvanilla01)^0.5)/A13stdlife))</f>
        <v>0</v>
      </c>
      <c r="BE234" s="107">
        <f>IF(A13stdlife="n/a","n/a",IF(BE$3&gt;(A13stdlife+$E234),('PTRM input'!$G$155*(1+rvanilla01)^0.5)-SUM($G234:BD234),('PTRM input'!$G$155*(1+rvanilla01)^0.5)/A13stdlife))</f>
        <v>0</v>
      </c>
      <c r="BF234" s="107">
        <f>IF(A13stdlife="n/a","n/a",IF(BF$3&gt;(A13stdlife+$E234),('PTRM input'!$G$155*(1+rvanilla01)^0.5)-SUM($G234:BE234),('PTRM input'!$G$155*(1+rvanilla01)^0.5)/A13stdlife))</f>
        <v>0</v>
      </c>
      <c r="BG234" s="107">
        <f>IF(A13stdlife="n/a","n/a",IF(BG$3&gt;(A13stdlife+$E234),('PTRM input'!$G$155*(1+rvanilla01)^0.5)-SUM($G234:BF234),('PTRM input'!$G$155*(1+rvanilla01)^0.5)/A13stdlife))</f>
        <v>0</v>
      </c>
      <c r="BH234" s="107">
        <f>IF(A13stdlife="n/a","n/a",IF(BH$3&gt;(A13stdlife+$E234),('PTRM input'!$G$155*(1+rvanilla01)^0.5)-SUM($G234:BG234),('PTRM input'!$G$155*(1+rvanilla01)^0.5)/A13stdlife))</f>
        <v>0</v>
      </c>
      <c r="BI234" s="107">
        <f>IF(A13stdlife="n/a","n/a",IF(BI$3&gt;(A13stdlife+$E234),('PTRM input'!$G$155*(1+rvanilla01)^0.5)-SUM($G234:BH234),('PTRM input'!$G$155*(1+rvanilla01)^0.5)/A13stdlife))</f>
        <v>0</v>
      </c>
      <c r="BJ234" s="237"/>
      <c r="BK234" s="237"/>
      <c r="BL234" s="237"/>
      <c r="BM234" s="237"/>
    </row>
    <row r="235" spans="1:65" s="190" customFormat="1" hidden="1" outlineLevel="2">
      <c r="A235" s="237"/>
      <c r="B235" s="33"/>
      <c r="C235" s="32"/>
      <c r="D235" s="1618"/>
      <c r="E235" s="169">
        <v>2</v>
      </c>
      <c r="F235" s="35"/>
      <c r="G235" s="184"/>
      <c r="H235" s="185"/>
      <c r="I235" s="107">
        <f>IF(A13stdlife="n/a","n/a",IF(I$3&gt;(A13stdlife+$E235),('PTRM input'!$H$155*(1+rvanilla02)^0.5)-SUM($H235:H235),('PTRM input'!$H$155*(1+rvanilla02)^0.5)/A13stdlife))</f>
        <v>0</v>
      </c>
      <c r="J235" s="107">
        <f>IF(A13stdlife="n/a","n/a",IF(J$3&gt;(A13stdlife+$E235),('PTRM input'!$H$155*(1+rvanilla02)^0.5)-SUM($H235:I235),('PTRM input'!$H$155*(1+rvanilla02)^0.5)/A13stdlife))</f>
        <v>0</v>
      </c>
      <c r="K235" s="107">
        <f>IF(A13stdlife="n/a","n/a",IF(K$3&gt;(A13stdlife+$E235),('PTRM input'!$H$155*(1+rvanilla02)^0.5)-SUM($H235:J235),('PTRM input'!$H$155*(1+rvanilla02)^0.5)/A13stdlife))</f>
        <v>0</v>
      </c>
      <c r="L235" s="107">
        <f>IF(A13stdlife="n/a","n/a",IF(L$3&gt;(A13stdlife+$E235),('PTRM input'!$H$155*(1+rvanilla02)^0.5)-SUM($H235:K235),('PTRM input'!$H$155*(1+rvanilla02)^0.5)/A13stdlife))</f>
        <v>0</v>
      </c>
      <c r="M235" s="107">
        <f>IF(A13stdlife="n/a","n/a",IF(M$3&gt;(A13stdlife+$E235),('PTRM input'!$H$155*(1+rvanilla02)^0.5)-SUM($H235:L235),('PTRM input'!$H$155*(1+rvanilla02)^0.5)/A13stdlife))</f>
        <v>0</v>
      </c>
      <c r="N235" s="107">
        <f>IF(A13stdlife="n/a","n/a",IF(N$3&gt;(A13stdlife+$E235),('PTRM input'!$H$155*(1+rvanilla02)^0.5)-SUM($H235:M235),('PTRM input'!$H$155*(1+rvanilla02)^0.5)/A13stdlife))</f>
        <v>0</v>
      </c>
      <c r="O235" s="107">
        <f>IF(A13stdlife="n/a","n/a",IF(O$3&gt;(A13stdlife+$E235),('PTRM input'!$H$155*(1+rvanilla02)^0.5)-SUM($H235:N235),('PTRM input'!$H$155*(1+rvanilla02)^0.5)/A13stdlife))</f>
        <v>0</v>
      </c>
      <c r="P235" s="107">
        <f>IF(A13stdlife="n/a","n/a",IF(P$3&gt;(A13stdlife+$E235),('PTRM input'!$H$155*(1+rvanilla02)^0.5)-SUM($H235:O235),('PTRM input'!$H$155*(1+rvanilla02)^0.5)/A13stdlife))</f>
        <v>0</v>
      </c>
      <c r="Q235" s="107">
        <f>IF(A13stdlife="n/a","n/a",IF(Q$3&gt;(A13stdlife+$E235),('PTRM input'!$H$155*(1+rvanilla02)^0.5)-SUM($H235:P235),('PTRM input'!$H$155*(1+rvanilla02)^0.5)/A13stdlife))</f>
        <v>0</v>
      </c>
      <c r="R235" s="107">
        <f>IF(A13stdlife="n/a","n/a",IF(R$3&gt;(A13stdlife+$E235),('PTRM input'!$H$155*(1+rvanilla02)^0.5)-SUM($H235:Q235),('PTRM input'!$H$155*(1+rvanilla02)^0.5)/A13stdlife))</f>
        <v>0</v>
      </c>
      <c r="S235" s="107">
        <f>IF(A13stdlife="n/a","n/a",IF(S$3&gt;(A13stdlife+$E235),('PTRM input'!$H$155*(1+rvanilla02)^0.5)-SUM($H235:R235),('PTRM input'!$H$155*(1+rvanilla02)^0.5)/A13stdlife))</f>
        <v>0</v>
      </c>
      <c r="T235" s="107">
        <f>IF(A13stdlife="n/a","n/a",IF(T$3&gt;(A13stdlife+$E235),('PTRM input'!$H$155*(1+rvanilla02)^0.5)-SUM($H235:S235),('PTRM input'!$H$155*(1+rvanilla02)^0.5)/A13stdlife))</f>
        <v>0</v>
      </c>
      <c r="U235" s="107">
        <f>IF(A13stdlife="n/a","n/a",IF(U$3&gt;(A13stdlife+$E235),('PTRM input'!$H$155*(1+rvanilla02)^0.5)-SUM($H235:T235),('PTRM input'!$H$155*(1+rvanilla02)^0.5)/A13stdlife))</f>
        <v>0</v>
      </c>
      <c r="V235" s="107">
        <f>IF(A13stdlife="n/a","n/a",IF(V$3&gt;(A13stdlife+$E235),('PTRM input'!$H$155*(1+rvanilla02)^0.5)-SUM($H235:U235),('PTRM input'!$H$155*(1+rvanilla02)^0.5)/A13stdlife))</f>
        <v>0</v>
      </c>
      <c r="W235" s="107">
        <f>IF(A13stdlife="n/a","n/a",IF(W$3&gt;(A13stdlife+$E235),('PTRM input'!$H$155*(1+rvanilla02)^0.5)-SUM($H235:V235),('PTRM input'!$H$155*(1+rvanilla02)^0.5)/A13stdlife))</f>
        <v>0</v>
      </c>
      <c r="X235" s="107">
        <f>IF(A13stdlife="n/a","n/a",IF(X$3&gt;(A13stdlife+$E235),('PTRM input'!$H$155*(1+rvanilla02)^0.5)-SUM($H235:W235),('PTRM input'!$H$155*(1+rvanilla02)^0.5)/A13stdlife))</f>
        <v>0</v>
      </c>
      <c r="Y235" s="107">
        <f>IF(A13stdlife="n/a","n/a",IF(Y$3&gt;(A13stdlife+$E235),('PTRM input'!$H$155*(1+rvanilla02)^0.5)-SUM($H235:X235),('PTRM input'!$H$155*(1+rvanilla02)^0.5)/A13stdlife))</f>
        <v>0</v>
      </c>
      <c r="Z235" s="107">
        <f>IF(A13stdlife="n/a","n/a",IF(Z$3&gt;(A13stdlife+$E235),('PTRM input'!$H$155*(1+rvanilla02)^0.5)-SUM($H235:Y235),('PTRM input'!$H$155*(1+rvanilla02)^0.5)/A13stdlife))</f>
        <v>0</v>
      </c>
      <c r="AA235" s="107">
        <f>IF(A13stdlife="n/a","n/a",IF(AA$3&gt;(A13stdlife+$E235),('PTRM input'!$H$155*(1+rvanilla02)^0.5)-SUM($H235:Z235),('PTRM input'!$H$155*(1+rvanilla02)^0.5)/A13stdlife))</f>
        <v>0</v>
      </c>
      <c r="AB235" s="107">
        <f>IF(A13stdlife="n/a","n/a",IF(AB$3&gt;(A13stdlife+$E235),('PTRM input'!$H$155*(1+rvanilla02)^0.5)-SUM($H235:AA235),('PTRM input'!$H$155*(1+rvanilla02)^0.5)/A13stdlife))</f>
        <v>0</v>
      </c>
      <c r="AC235" s="107">
        <f>IF(A13stdlife="n/a","n/a",IF(AC$3&gt;(A13stdlife+$E235),('PTRM input'!$H$155*(1+rvanilla02)^0.5)-SUM($H235:AB235),('PTRM input'!$H$155*(1+rvanilla02)^0.5)/A13stdlife))</f>
        <v>0</v>
      </c>
      <c r="AD235" s="107">
        <f>IF(A13stdlife="n/a","n/a",IF(AD$3&gt;(A13stdlife+$E235),('PTRM input'!$H$155*(1+rvanilla02)^0.5)-SUM($H235:AC235),('PTRM input'!$H$155*(1+rvanilla02)^0.5)/A13stdlife))</f>
        <v>0</v>
      </c>
      <c r="AE235" s="107">
        <f>IF(A13stdlife="n/a","n/a",IF(AE$3&gt;(A13stdlife+$E235),('PTRM input'!$H$155*(1+rvanilla02)^0.5)-SUM($H235:AD235),('PTRM input'!$H$155*(1+rvanilla02)^0.5)/A13stdlife))</f>
        <v>0</v>
      </c>
      <c r="AF235" s="107">
        <f>IF(A13stdlife="n/a","n/a",IF(AF$3&gt;(A13stdlife+$E235),('PTRM input'!$H$155*(1+rvanilla02)^0.5)-SUM($H235:AE235),('PTRM input'!$H$155*(1+rvanilla02)^0.5)/A13stdlife))</f>
        <v>0</v>
      </c>
      <c r="AG235" s="107">
        <f>IF(A13stdlife="n/a","n/a",IF(AG$3&gt;(A13stdlife+$E235),('PTRM input'!$H$155*(1+rvanilla02)^0.5)-SUM($H235:AF235),('PTRM input'!$H$155*(1+rvanilla02)^0.5)/A13stdlife))</f>
        <v>0</v>
      </c>
      <c r="AH235" s="107">
        <f>IF(A13stdlife="n/a","n/a",IF(AH$3&gt;(A13stdlife+$E235),('PTRM input'!$H$155*(1+rvanilla02)^0.5)-SUM($H235:AG235),('PTRM input'!$H$155*(1+rvanilla02)^0.5)/A13stdlife))</f>
        <v>0</v>
      </c>
      <c r="AI235" s="107">
        <f>IF(A13stdlife="n/a","n/a",IF(AI$3&gt;(A13stdlife+$E235),('PTRM input'!$H$155*(1+rvanilla02)^0.5)-SUM($H235:AH235),('PTRM input'!$H$155*(1+rvanilla02)^0.5)/A13stdlife))</f>
        <v>0</v>
      </c>
      <c r="AJ235" s="107">
        <f>IF(A13stdlife="n/a","n/a",IF(AJ$3&gt;(A13stdlife+$E235),('PTRM input'!$H$155*(1+rvanilla02)^0.5)-SUM($H235:AI235),('PTRM input'!$H$155*(1+rvanilla02)^0.5)/A13stdlife))</f>
        <v>0</v>
      </c>
      <c r="AK235" s="107">
        <f>IF(A13stdlife="n/a","n/a",IF(AK$3&gt;(A13stdlife+$E235),('PTRM input'!$H$155*(1+rvanilla02)^0.5)-SUM($H235:AJ235),('PTRM input'!$H$155*(1+rvanilla02)^0.5)/A13stdlife))</f>
        <v>0</v>
      </c>
      <c r="AL235" s="107">
        <f>IF(A13stdlife="n/a","n/a",IF(AL$3&gt;(A13stdlife+$E235),('PTRM input'!$H$155*(1+rvanilla02)^0.5)-SUM($H235:AK235),('PTRM input'!$H$155*(1+rvanilla02)^0.5)/A13stdlife))</f>
        <v>0</v>
      </c>
      <c r="AM235" s="107">
        <f>IF(A13stdlife="n/a","n/a",IF(AM$3&gt;(A13stdlife+$E235),('PTRM input'!$H$155*(1+rvanilla02)^0.5)-SUM($H235:AL235),('PTRM input'!$H$155*(1+rvanilla02)^0.5)/A13stdlife))</f>
        <v>0</v>
      </c>
      <c r="AN235" s="107">
        <f>IF(A13stdlife="n/a","n/a",IF(AN$3&gt;(A13stdlife+$E235),('PTRM input'!$H$155*(1+rvanilla02)^0.5)-SUM($H235:AM235),('PTRM input'!$H$155*(1+rvanilla02)^0.5)/A13stdlife))</f>
        <v>0</v>
      </c>
      <c r="AO235" s="107">
        <f>IF(A13stdlife="n/a","n/a",IF(AO$3&gt;(A13stdlife+$E235),('PTRM input'!$H$155*(1+rvanilla02)^0.5)-SUM($H235:AN235),('PTRM input'!$H$155*(1+rvanilla02)^0.5)/A13stdlife))</f>
        <v>0</v>
      </c>
      <c r="AP235" s="107">
        <f>IF(A13stdlife="n/a","n/a",IF(AP$3&gt;(A13stdlife+$E235),('PTRM input'!$H$155*(1+rvanilla02)^0.5)-SUM($H235:AO235),('PTRM input'!$H$155*(1+rvanilla02)^0.5)/A13stdlife))</f>
        <v>0</v>
      </c>
      <c r="AQ235" s="107">
        <f>IF(A13stdlife="n/a","n/a",IF(AQ$3&gt;(A13stdlife+$E235),('PTRM input'!$H$155*(1+rvanilla02)^0.5)-SUM($H235:AP235),('PTRM input'!$H$155*(1+rvanilla02)^0.5)/A13stdlife))</f>
        <v>0</v>
      </c>
      <c r="AR235" s="107">
        <f>IF(A13stdlife="n/a","n/a",IF(AR$3&gt;(A13stdlife+$E235),('PTRM input'!$H$155*(1+rvanilla02)^0.5)-SUM($H235:AQ235),('PTRM input'!$H$155*(1+rvanilla02)^0.5)/A13stdlife))</f>
        <v>0</v>
      </c>
      <c r="AS235" s="107">
        <f>IF(A13stdlife="n/a","n/a",IF(AS$3&gt;(A13stdlife+$E235),('PTRM input'!$H$155*(1+rvanilla02)^0.5)-SUM($H235:AR235),('PTRM input'!$H$155*(1+rvanilla02)^0.5)/A13stdlife))</f>
        <v>0</v>
      </c>
      <c r="AT235" s="107">
        <f>IF(A13stdlife="n/a","n/a",IF(AT$3&gt;(A13stdlife+$E235),('PTRM input'!$H$155*(1+rvanilla02)^0.5)-SUM($H235:AS235),('PTRM input'!$H$155*(1+rvanilla02)^0.5)/A13stdlife))</f>
        <v>0</v>
      </c>
      <c r="AU235" s="107">
        <f>IF(A13stdlife="n/a","n/a",IF(AU$3&gt;(A13stdlife+$E235),('PTRM input'!$H$155*(1+rvanilla02)^0.5)-SUM($H235:AT235),('PTRM input'!$H$155*(1+rvanilla02)^0.5)/A13stdlife))</f>
        <v>0</v>
      </c>
      <c r="AV235" s="107">
        <f>IF(A13stdlife="n/a","n/a",IF(AV$3&gt;(A13stdlife+$E235),('PTRM input'!$H$155*(1+rvanilla02)^0.5)-SUM($H235:AU235),('PTRM input'!$H$155*(1+rvanilla02)^0.5)/A13stdlife))</f>
        <v>0</v>
      </c>
      <c r="AW235" s="107">
        <f>IF(A13stdlife="n/a","n/a",IF(AW$3&gt;(A13stdlife+$E235),('PTRM input'!$H$155*(1+rvanilla02)^0.5)-SUM($H235:AV235),('PTRM input'!$H$155*(1+rvanilla02)^0.5)/A13stdlife))</f>
        <v>0</v>
      </c>
      <c r="AX235" s="107">
        <f>IF(A13stdlife="n/a","n/a",IF(AX$3&gt;(A13stdlife+$E235),('PTRM input'!$H$155*(1+rvanilla02)^0.5)-SUM($H235:AW235),('PTRM input'!$H$155*(1+rvanilla02)^0.5)/A13stdlife))</f>
        <v>0</v>
      </c>
      <c r="AY235" s="107">
        <f>IF(A13stdlife="n/a","n/a",IF(AY$3&gt;(A13stdlife+$E235),('PTRM input'!$H$155*(1+rvanilla02)^0.5)-SUM($H235:AX235),('PTRM input'!$H$155*(1+rvanilla02)^0.5)/A13stdlife))</f>
        <v>0</v>
      </c>
      <c r="AZ235" s="107">
        <f>IF(A13stdlife="n/a","n/a",IF(AZ$3&gt;(A13stdlife+$E235),('PTRM input'!$H$155*(1+rvanilla02)^0.5)-SUM($H235:AY235),('PTRM input'!$H$155*(1+rvanilla02)^0.5)/A13stdlife))</f>
        <v>0</v>
      </c>
      <c r="BA235" s="107">
        <f>IF(A13stdlife="n/a","n/a",IF(BA$3&gt;(A13stdlife+$E235),('PTRM input'!$H$155*(1+rvanilla02)^0.5)-SUM($H235:AZ235),('PTRM input'!$H$155*(1+rvanilla02)^0.5)/A13stdlife))</f>
        <v>0</v>
      </c>
      <c r="BB235" s="107">
        <f>IF(A13stdlife="n/a","n/a",IF(BB$3&gt;(A13stdlife+$E235),('PTRM input'!$H$155*(1+rvanilla02)^0.5)-SUM($H235:BA235),('PTRM input'!$H$155*(1+rvanilla02)^0.5)/A13stdlife))</f>
        <v>0</v>
      </c>
      <c r="BC235" s="107">
        <f>IF(A13stdlife="n/a","n/a",IF(BC$3&gt;(A13stdlife+$E235),('PTRM input'!$H$155*(1+rvanilla02)^0.5)-SUM($H235:BB235),('PTRM input'!$H$155*(1+rvanilla02)^0.5)/A13stdlife))</f>
        <v>0</v>
      </c>
      <c r="BD235" s="107">
        <f>IF(A13stdlife="n/a","n/a",IF(BD$3&gt;(A13stdlife+$E235),('PTRM input'!$H$155*(1+rvanilla02)^0.5)-SUM($H235:BC235),('PTRM input'!$H$155*(1+rvanilla02)^0.5)/A13stdlife))</f>
        <v>0</v>
      </c>
      <c r="BE235" s="107">
        <f>IF(A13stdlife="n/a","n/a",IF(BE$3&gt;(A13stdlife+$E235),('PTRM input'!$H$155*(1+rvanilla02)^0.5)-SUM($H235:BD235),('PTRM input'!$H$155*(1+rvanilla02)^0.5)/A13stdlife))</f>
        <v>0</v>
      </c>
      <c r="BF235" s="107">
        <f>IF(A13stdlife="n/a","n/a",IF(BF$3&gt;(A13stdlife+$E235),('PTRM input'!$H$155*(1+rvanilla02)^0.5)-SUM($H235:BE235),('PTRM input'!$H$155*(1+rvanilla02)^0.5)/A13stdlife))</f>
        <v>0</v>
      </c>
      <c r="BG235" s="107">
        <f>IF(A13stdlife="n/a","n/a",IF(BG$3&gt;(A13stdlife+$E235),('PTRM input'!$H$155*(1+rvanilla02)^0.5)-SUM($H235:BF235),('PTRM input'!$H$155*(1+rvanilla02)^0.5)/A13stdlife))</f>
        <v>0</v>
      </c>
      <c r="BH235" s="107">
        <f>IF(A13stdlife="n/a","n/a",IF(BH$3&gt;(A13stdlife+$E235),('PTRM input'!$H$155*(1+rvanilla02)^0.5)-SUM($H235:BG235),('PTRM input'!$H$155*(1+rvanilla02)^0.5)/A13stdlife))</f>
        <v>0</v>
      </c>
      <c r="BI235" s="107">
        <f>IF(A13stdlife="n/a","n/a",IF(BI$3&gt;(A13stdlife+$E235),('PTRM input'!$H$155*(1+rvanilla02)^0.5)-SUM($H235:BH235),('PTRM input'!$H$155*(1+rvanilla02)^0.5)/A13stdlife))</f>
        <v>0</v>
      </c>
      <c r="BJ235" s="237"/>
      <c r="BK235" s="237"/>
      <c r="BL235" s="237"/>
      <c r="BM235" s="237"/>
    </row>
    <row r="236" spans="1:65" s="190" customFormat="1" hidden="1" outlineLevel="2">
      <c r="A236" s="237"/>
      <c r="B236" s="33"/>
      <c r="C236" s="32"/>
      <c r="D236" s="1618"/>
      <c r="E236" s="169">
        <v>3</v>
      </c>
      <c r="F236" s="35"/>
      <c r="G236" s="184"/>
      <c r="H236" s="186"/>
      <c r="I236" s="185"/>
      <c r="J236" s="107">
        <f>IF(A13stdlife="n/a","n/a",IF(J$3&gt;(A13stdlife+$E236),('PTRM input'!$I$155*(1+rvanilla03)^0.5)-SUM($I236:I236),('PTRM input'!$I$155*(1+rvanilla03)^0.5)/A13stdlife))</f>
        <v>0</v>
      </c>
      <c r="K236" s="107">
        <f>IF(A13stdlife="n/a","n/a",IF(K$3&gt;(A13stdlife+$E236),('PTRM input'!$I$155*(1+rvanilla03)^0.5)-SUM($I236:J236),('PTRM input'!$I$155*(1+rvanilla03)^0.5)/A13stdlife))</f>
        <v>0</v>
      </c>
      <c r="L236" s="107">
        <f>IF(A13stdlife="n/a","n/a",IF(L$3&gt;(A13stdlife+$E236),('PTRM input'!$I$155*(1+rvanilla03)^0.5)-SUM($I236:K236),('PTRM input'!$I$155*(1+rvanilla03)^0.5)/A13stdlife))</f>
        <v>0</v>
      </c>
      <c r="M236" s="107">
        <f>IF(A13stdlife="n/a","n/a",IF(M$3&gt;(A13stdlife+$E236),('PTRM input'!$I$155*(1+rvanilla03)^0.5)-SUM($I236:L236),('PTRM input'!$I$155*(1+rvanilla03)^0.5)/A13stdlife))</f>
        <v>0</v>
      </c>
      <c r="N236" s="107">
        <f>IF(A13stdlife="n/a","n/a",IF(N$3&gt;(A13stdlife+$E236),('PTRM input'!$I$155*(1+rvanilla03)^0.5)-SUM($I236:M236),('PTRM input'!$I$155*(1+rvanilla03)^0.5)/A13stdlife))</f>
        <v>0</v>
      </c>
      <c r="O236" s="107">
        <f>IF(A13stdlife="n/a","n/a",IF(O$3&gt;(A13stdlife+$E236),('PTRM input'!$I$155*(1+rvanilla03)^0.5)-SUM($I236:N236),('PTRM input'!$I$155*(1+rvanilla03)^0.5)/A13stdlife))</f>
        <v>0</v>
      </c>
      <c r="P236" s="107">
        <f>IF(A13stdlife="n/a","n/a",IF(P$3&gt;(A13stdlife+$E236),('PTRM input'!$I$155*(1+rvanilla03)^0.5)-SUM($I236:O236),('PTRM input'!$I$155*(1+rvanilla03)^0.5)/A13stdlife))</f>
        <v>0</v>
      </c>
      <c r="Q236" s="107">
        <f>IF(A13stdlife="n/a","n/a",IF(Q$3&gt;(A13stdlife+$E236),('PTRM input'!$I$155*(1+rvanilla03)^0.5)-SUM($I236:P236),('PTRM input'!$I$155*(1+rvanilla03)^0.5)/A13stdlife))</f>
        <v>0</v>
      </c>
      <c r="R236" s="107">
        <f>IF(A13stdlife="n/a","n/a",IF(R$3&gt;(A13stdlife+$E236),('PTRM input'!$I$155*(1+rvanilla03)^0.5)-SUM($I236:Q236),('PTRM input'!$I$155*(1+rvanilla03)^0.5)/A13stdlife))</f>
        <v>0</v>
      </c>
      <c r="S236" s="107">
        <f>IF(A13stdlife="n/a","n/a",IF(S$3&gt;(A13stdlife+$E236),('PTRM input'!$I$155*(1+rvanilla03)^0.5)-SUM($I236:R236),('PTRM input'!$I$155*(1+rvanilla03)^0.5)/A13stdlife))</f>
        <v>0</v>
      </c>
      <c r="T236" s="107">
        <f>IF(A13stdlife="n/a","n/a",IF(T$3&gt;(A13stdlife+$E236),('PTRM input'!$I$155*(1+rvanilla03)^0.5)-SUM($I236:S236),('PTRM input'!$I$155*(1+rvanilla03)^0.5)/A13stdlife))</f>
        <v>0</v>
      </c>
      <c r="U236" s="107">
        <f>IF(A13stdlife="n/a","n/a",IF(U$3&gt;(A13stdlife+$E236),('PTRM input'!$I$155*(1+rvanilla03)^0.5)-SUM($I236:T236),('PTRM input'!$I$155*(1+rvanilla03)^0.5)/A13stdlife))</f>
        <v>0</v>
      </c>
      <c r="V236" s="107">
        <f>IF(A13stdlife="n/a","n/a",IF(V$3&gt;(A13stdlife+$E236),('PTRM input'!$I$155*(1+rvanilla03)^0.5)-SUM($I236:U236),('PTRM input'!$I$155*(1+rvanilla03)^0.5)/A13stdlife))</f>
        <v>0</v>
      </c>
      <c r="W236" s="107">
        <f>IF(A13stdlife="n/a","n/a",IF(W$3&gt;(A13stdlife+$E236),('PTRM input'!$I$155*(1+rvanilla03)^0.5)-SUM($I236:V236),('PTRM input'!$I$155*(1+rvanilla03)^0.5)/A13stdlife))</f>
        <v>0</v>
      </c>
      <c r="X236" s="107">
        <f>IF(A13stdlife="n/a","n/a",IF(X$3&gt;(A13stdlife+$E236),('PTRM input'!$I$155*(1+rvanilla03)^0.5)-SUM($I236:W236),('PTRM input'!$I$155*(1+rvanilla03)^0.5)/A13stdlife))</f>
        <v>0</v>
      </c>
      <c r="Y236" s="107">
        <f>IF(A13stdlife="n/a","n/a",IF(Y$3&gt;(A13stdlife+$E236),('PTRM input'!$I$155*(1+rvanilla03)^0.5)-SUM($I236:X236),('PTRM input'!$I$155*(1+rvanilla03)^0.5)/A13stdlife))</f>
        <v>0</v>
      </c>
      <c r="Z236" s="107">
        <f>IF(A13stdlife="n/a","n/a",IF(Z$3&gt;(A13stdlife+$E236),('PTRM input'!$I$155*(1+rvanilla03)^0.5)-SUM($I236:Y236),('PTRM input'!$I$155*(1+rvanilla03)^0.5)/A13stdlife))</f>
        <v>0</v>
      </c>
      <c r="AA236" s="107">
        <f>IF(A13stdlife="n/a","n/a",IF(AA$3&gt;(A13stdlife+$E236),('PTRM input'!$I$155*(1+rvanilla03)^0.5)-SUM($I236:Z236),('PTRM input'!$I$155*(1+rvanilla03)^0.5)/A13stdlife))</f>
        <v>0</v>
      </c>
      <c r="AB236" s="107">
        <f>IF(A13stdlife="n/a","n/a",IF(AB$3&gt;(A13stdlife+$E236),('PTRM input'!$I$155*(1+rvanilla03)^0.5)-SUM($I236:AA236),('PTRM input'!$I$155*(1+rvanilla03)^0.5)/A13stdlife))</f>
        <v>0</v>
      </c>
      <c r="AC236" s="107">
        <f>IF(A13stdlife="n/a","n/a",IF(AC$3&gt;(A13stdlife+$E236),('PTRM input'!$I$155*(1+rvanilla03)^0.5)-SUM($I236:AB236),('PTRM input'!$I$155*(1+rvanilla03)^0.5)/A13stdlife))</f>
        <v>0</v>
      </c>
      <c r="AD236" s="107">
        <f>IF(A13stdlife="n/a","n/a",IF(AD$3&gt;(A13stdlife+$E236),('PTRM input'!$I$155*(1+rvanilla03)^0.5)-SUM($I236:AC236),('PTRM input'!$I$155*(1+rvanilla03)^0.5)/A13stdlife))</f>
        <v>0</v>
      </c>
      <c r="AE236" s="107">
        <f>IF(A13stdlife="n/a","n/a",IF(AE$3&gt;(A13stdlife+$E236),('PTRM input'!$I$155*(1+rvanilla03)^0.5)-SUM($I236:AD236),('PTRM input'!$I$155*(1+rvanilla03)^0.5)/A13stdlife))</f>
        <v>0</v>
      </c>
      <c r="AF236" s="107">
        <f>IF(A13stdlife="n/a","n/a",IF(AF$3&gt;(A13stdlife+$E236),('PTRM input'!$I$155*(1+rvanilla03)^0.5)-SUM($I236:AE236),('PTRM input'!$I$155*(1+rvanilla03)^0.5)/A13stdlife))</f>
        <v>0</v>
      </c>
      <c r="AG236" s="107">
        <f>IF(A13stdlife="n/a","n/a",IF(AG$3&gt;(A13stdlife+$E236),('PTRM input'!$I$155*(1+rvanilla03)^0.5)-SUM($I236:AF236),('PTRM input'!$I$155*(1+rvanilla03)^0.5)/A13stdlife))</f>
        <v>0</v>
      </c>
      <c r="AH236" s="107">
        <f>IF(A13stdlife="n/a","n/a",IF(AH$3&gt;(A13stdlife+$E236),('PTRM input'!$I$155*(1+rvanilla03)^0.5)-SUM($I236:AG236),('PTRM input'!$I$155*(1+rvanilla03)^0.5)/A13stdlife))</f>
        <v>0</v>
      </c>
      <c r="AI236" s="107">
        <f>IF(A13stdlife="n/a","n/a",IF(AI$3&gt;(A13stdlife+$E236),('PTRM input'!$I$155*(1+rvanilla03)^0.5)-SUM($I236:AH236),('PTRM input'!$I$155*(1+rvanilla03)^0.5)/A13stdlife))</f>
        <v>0</v>
      </c>
      <c r="AJ236" s="107">
        <f>IF(A13stdlife="n/a","n/a",IF(AJ$3&gt;(A13stdlife+$E236),('PTRM input'!$I$155*(1+rvanilla03)^0.5)-SUM($I236:AI236),('PTRM input'!$I$155*(1+rvanilla03)^0.5)/A13stdlife))</f>
        <v>0</v>
      </c>
      <c r="AK236" s="107">
        <f>IF(A13stdlife="n/a","n/a",IF(AK$3&gt;(A13stdlife+$E236),('PTRM input'!$I$155*(1+rvanilla03)^0.5)-SUM($I236:AJ236),('PTRM input'!$I$155*(1+rvanilla03)^0.5)/A13stdlife))</f>
        <v>0</v>
      </c>
      <c r="AL236" s="107">
        <f>IF(A13stdlife="n/a","n/a",IF(AL$3&gt;(A13stdlife+$E236),('PTRM input'!$I$155*(1+rvanilla03)^0.5)-SUM($I236:AK236),('PTRM input'!$I$155*(1+rvanilla03)^0.5)/A13stdlife))</f>
        <v>0</v>
      </c>
      <c r="AM236" s="107">
        <f>IF(A13stdlife="n/a","n/a",IF(AM$3&gt;(A13stdlife+$E236),('PTRM input'!$I$155*(1+rvanilla03)^0.5)-SUM($I236:AL236),('PTRM input'!$I$155*(1+rvanilla03)^0.5)/A13stdlife))</f>
        <v>0</v>
      </c>
      <c r="AN236" s="107">
        <f>IF(A13stdlife="n/a","n/a",IF(AN$3&gt;(A13stdlife+$E236),('PTRM input'!$I$155*(1+rvanilla03)^0.5)-SUM($I236:AM236),('PTRM input'!$I$155*(1+rvanilla03)^0.5)/A13stdlife))</f>
        <v>0</v>
      </c>
      <c r="AO236" s="107">
        <f>IF(A13stdlife="n/a","n/a",IF(AO$3&gt;(A13stdlife+$E236),('PTRM input'!$I$155*(1+rvanilla03)^0.5)-SUM($I236:AN236),('PTRM input'!$I$155*(1+rvanilla03)^0.5)/A13stdlife))</f>
        <v>0</v>
      </c>
      <c r="AP236" s="107">
        <f>IF(A13stdlife="n/a","n/a",IF(AP$3&gt;(A13stdlife+$E236),('PTRM input'!$I$155*(1+rvanilla03)^0.5)-SUM($I236:AO236),('PTRM input'!$I$155*(1+rvanilla03)^0.5)/A13stdlife))</f>
        <v>0</v>
      </c>
      <c r="AQ236" s="107">
        <f>IF(A13stdlife="n/a","n/a",IF(AQ$3&gt;(A13stdlife+$E236),('PTRM input'!$I$155*(1+rvanilla03)^0.5)-SUM($I236:AP236),('PTRM input'!$I$155*(1+rvanilla03)^0.5)/A13stdlife))</f>
        <v>0</v>
      </c>
      <c r="AR236" s="107">
        <f>IF(A13stdlife="n/a","n/a",IF(AR$3&gt;(A13stdlife+$E236),('PTRM input'!$I$155*(1+rvanilla03)^0.5)-SUM($I236:AQ236),('PTRM input'!$I$155*(1+rvanilla03)^0.5)/A13stdlife))</f>
        <v>0</v>
      </c>
      <c r="AS236" s="107">
        <f>IF(A13stdlife="n/a","n/a",IF(AS$3&gt;(A13stdlife+$E236),('PTRM input'!$I$155*(1+rvanilla03)^0.5)-SUM($I236:AR236),('PTRM input'!$I$155*(1+rvanilla03)^0.5)/A13stdlife))</f>
        <v>0</v>
      </c>
      <c r="AT236" s="107">
        <f>IF(A13stdlife="n/a","n/a",IF(AT$3&gt;(A13stdlife+$E236),('PTRM input'!$I$155*(1+rvanilla03)^0.5)-SUM($I236:AS236),('PTRM input'!$I$155*(1+rvanilla03)^0.5)/A13stdlife))</f>
        <v>0</v>
      </c>
      <c r="AU236" s="107">
        <f>IF(A13stdlife="n/a","n/a",IF(AU$3&gt;(A13stdlife+$E236),('PTRM input'!$I$155*(1+rvanilla03)^0.5)-SUM($I236:AT236),('PTRM input'!$I$155*(1+rvanilla03)^0.5)/A13stdlife))</f>
        <v>0</v>
      </c>
      <c r="AV236" s="107">
        <f>IF(A13stdlife="n/a","n/a",IF(AV$3&gt;(A13stdlife+$E236),('PTRM input'!$I$155*(1+rvanilla03)^0.5)-SUM($I236:AU236),('PTRM input'!$I$155*(1+rvanilla03)^0.5)/A13stdlife))</f>
        <v>0</v>
      </c>
      <c r="AW236" s="107">
        <f>IF(A13stdlife="n/a","n/a",IF(AW$3&gt;(A13stdlife+$E236),('PTRM input'!$I$155*(1+rvanilla03)^0.5)-SUM($I236:AV236),('PTRM input'!$I$155*(1+rvanilla03)^0.5)/A13stdlife))</f>
        <v>0</v>
      </c>
      <c r="AX236" s="107">
        <f>IF(A13stdlife="n/a","n/a",IF(AX$3&gt;(A13stdlife+$E236),('PTRM input'!$I$155*(1+rvanilla03)^0.5)-SUM($I236:AW236),('PTRM input'!$I$155*(1+rvanilla03)^0.5)/A13stdlife))</f>
        <v>0</v>
      </c>
      <c r="AY236" s="107">
        <f>IF(A13stdlife="n/a","n/a",IF(AY$3&gt;(A13stdlife+$E236),('PTRM input'!$I$155*(1+rvanilla03)^0.5)-SUM($I236:AX236),('PTRM input'!$I$155*(1+rvanilla03)^0.5)/A13stdlife))</f>
        <v>0</v>
      </c>
      <c r="AZ236" s="107">
        <f>IF(A13stdlife="n/a","n/a",IF(AZ$3&gt;(A13stdlife+$E236),('PTRM input'!$I$155*(1+rvanilla03)^0.5)-SUM($I236:AY236),('PTRM input'!$I$155*(1+rvanilla03)^0.5)/A13stdlife))</f>
        <v>0</v>
      </c>
      <c r="BA236" s="107">
        <f>IF(A13stdlife="n/a","n/a",IF(BA$3&gt;(A13stdlife+$E236),('PTRM input'!$I$155*(1+rvanilla03)^0.5)-SUM($I236:AZ236),('PTRM input'!$I$155*(1+rvanilla03)^0.5)/A13stdlife))</f>
        <v>0</v>
      </c>
      <c r="BB236" s="107">
        <f>IF(A13stdlife="n/a","n/a",IF(BB$3&gt;(A13stdlife+$E236),('PTRM input'!$I$155*(1+rvanilla03)^0.5)-SUM($I236:BA236),('PTRM input'!$I$155*(1+rvanilla03)^0.5)/A13stdlife))</f>
        <v>0</v>
      </c>
      <c r="BC236" s="107">
        <f>IF(A13stdlife="n/a","n/a",IF(BC$3&gt;(A13stdlife+$E236),('PTRM input'!$I$155*(1+rvanilla03)^0.5)-SUM($I236:BB236),('PTRM input'!$I$155*(1+rvanilla03)^0.5)/A13stdlife))</f>
        <v>0</v>
      </c>
      <c r="BD236" s="107">
        <f>IF(A13stdlife="n/a","n/a",IF(BD$3&gt;(A13stdlife+$E236),('PTRM input'!$I$155*(1+rvanilla03)^0.5)-SUM($I236:BC236),('PTRM input'!$I$155*(1+rvanilla03)^0.5)/A13stdlife))</f>
        <v>0</v>
      </c>
      <c r="BE236" s="107">
        <f>IF(A13stdlife="n/a","n/a",IF(BE$3&gt;(A13stdlife+$E236),('PTRM input'!$I$155*(1+rvanilla03)^0.5)-SUM($I236:BD236),('PTRM input'!$I$155*(1+rvanilla03)^0.5)/A13stdlife))</f>
        <v>0</v>
      </c>
      <c r="BF236" s="107">
        <f>IF(A13stdlife="n/a","n/a",IF(BF$3&gt;(A13stdlife+$E236),('PTRM input'!$I$155*(1+rvanilla03)^0.5)-SUM($I236:BE236),('PTRM input'!$I$155*(1+rvanilla03)^0.5)/A13stdlife))</f>
        <v>0</v>
      </c>
      <c r="BG236" s="107">
        <f>IF(A13stdlife="n/a","n/a",IF(BG$3&gt;(A13stdlife+$E236),('PTRM input'!$I$155*(1+rvanilla03)^0.5)-SUM($I236:BF236),('PTRM input'!$I$155*(1+rvanilla03)^0.5)/A13stdlife))</f>
        <v>0</v>
      </c>
      <c r="BH236" s="107">
        <f>IF(A13stdlife="n/a","n/a",IF(BH$3&gt;(A13stdlife+$E236),('PTRM input'!$I$155*(1+rvanilla03)^0.5)-SUM($I236:BG236),('PTRM input'!$I$155*(1+rvanilla03)^0.5)/A13stdlife))</f>
        <v>0</v>
      </c>
      <c r="BI236" s="107">
        <f>IF(A13stdlife="n/a","n/a",IF(BI$3&gt;(A13stdlife+$E236),('PTRM input'!$I$155*(1+rvanilla03)^0.5)-SUM($I236:BH236),('PTRM input'!$I$155*(1+rvanilla03)^0.5)/A13stdlife))</f>
        <v>0</v>
      </c>
      <c r="BJ236" s="237"/>
      <c r="BK236" s="237"/>
      <c r="BL236" s="237"/>
      <c r="BM236" s="237"/>
    </row>
    <row r="237" spans="1:65" s="190" customFormat="1" hidden="1" outlineLevel="2">
      <c r="A237" s="237"/>
      <c r="B237" s="33"/>
      <c r="C237" s="32"/>
      <c r="D237" s="1618"/>
      <c r="E237" s="169">
        <v>4</v>
      </c>
      <c r="F237" s="35"/>
      <c r="G237" s="184"/>
      <c r="H237" s="186"/>
      <c r="I237" s="186"/>
      <c r="J237" s="185"/>
      <c r="K237" s="107">
        <f>IF(A13stdlife="n/a","n/a",IF(K$3&gt;(A13stdlife+$E237),('PTRM input'!$J$155*(1+rvanilla04)^0.5)-SUM($J237:J237),('PTRM input'!$J$155*(1+rvanilla04)^0.5)/A13stdlife))</f>
        <v>0</v>
      </c>
      <c r="L237" s="107">
        <f>IF(A13stdlife="n/a","n/a",IF(L$3&gt;(A13stdlife+$E237),('PTRM input'!$J$155*(1+rvanilla04)^0.5)-SUM($J237:K237),('PTRM input'!$J$155*(1+rvanilla04)^0.5)/A13stdlife))</f>
        <v>0</v>
      </c>
      <c r="M237" s="107">
        <f>IF(A13stdlife="n/a","n/a",IF(M$3&gt;(A13stdlife+$E237),('PTRM input'!$J$155*(1+rvanilla04)^0.5)-SUM($J237:L237),('PTRM input'!$J$155*(1+rvanilla04)^0.5)/A13stdlife))</f>
        <v>0</v>
      </c>
      <c r="N237" s="107">
        <f>IF(A13stdlife="n/a","n/a",IF(N$3&gt;(A13stdlife+$E237),('PTRM input'!$J$155*(1+rvanilla04)^0.5)-SUM($J237:M237),('PTRM input'!$J$155*(1+rvanilla04)^0.5)/A13stdlife))</f>
        <v>0</v>
      </c>
      <c r="O237" s="107">
        <f>IF(A13stdlife="n/a","n/a",IF(O$3&gt;(A13stdlife+$E237),('PTRM input'!$J$155*(1+rvanilla04)^0.5)-SUM($J237:N237),('PTRM input'!$J$155*(1+rvanilla04)^0.5)/A13stdlife))</f>
        <v>0</v>
      </c>
      <c r="P237" s="107">
        <f>IF(A13stdlife="n/a","n/a",IF(P$3&gt;(A13stdlife+$E237),('PTRM input'!$J$155*(1+rvanilla04)^0.5)-SUM($J237:O237),('PTRM input'!$J$155*(1+rvanilla04)^0.5)/A13stdlife))</f>
        <v>0</v>
      </c>
      <c r="Q237" s="107">
        <f>IF(A13stdlife="n/a","n/a",IF(Q$3&gt;(A13stdlife+$E237),('PTRM input'!$J$155*(1+rvanilla04)^0.5)-SUM($J237:P237),('PTRM input'!$J$155*(1+rvanilla04)^0.5)/A13stdlife))</f>
        <v>0</v>
      </c>
      <c r="R237" s="107">
        <f>IF(A13stdlife="n/a","n/a",IF(R$3&gt;(A13stdlife+$E237),('PTRM input'!$J$155*(1+rvanilla04)^0.5)-SUM($J237:Q237),('PTRM input'!$J$155*(1+rvanilla04)^0.5)/A13stdlife))</f>
        <v>0</v>
      </c>
      <c r="S237" s="107">
        <f>IF(A13stdlife="n/a","n/a",IF(S$3&gt;(A13stdlife+$E237),('PTRM input'!$J$155*(1+rvanilla04)^0.5)-SUM($J237:R237),('PTRM input'!$J$155*(1+rvanilla04)^0.5)/A13stdlife))</f>
        <v>0</v>
      </c>
      <c r="T237" s="107">
        <f>IF(A13stdlife="n/a","n/a",IF(T$3&gt;(A13stdlife+$E237),('PTRM input'!$J$155*(1+rvanilla04)^0.5)-SUM($J237:S237),('PTRM input'!$J$155*(1+rvanilla04)^0.5)/A13stdlife))</f>
        <v>0</v>
      </c>
      <c r="U237" s="107">
        <f>IF(A13stdlife="n/a","n/a",IF(U$3&gt;(A13stdlife+$E237),('PTRM input'!$J$155*(1+rvanilla04)^0.5)-SUM($J237:T237),('PTRM input'!$J$155*(1+rvanilla04)^0.5)/A13stdlife))</f>
        <v>0</v>
      </c>
      <c r="V237" s="107">
        <f>IF(A13stdlife="n/a","n/a",IF(V$3&gt;(A13stdlife+$E237),('PTRM input'!$J$155*(1+rvanilla04)^0.5)-SUM($J237:U237),('PTRM input'!$J$155*(1+rvanilla04)^0.5)/A13stdlife))</f>
        <v>0</v>
      </c>
      <c r="W237" s="107">
        <f>IF(A13stdlife="n/a","n/a",IF(W$3&gt;(A13stdlife+$E237),('PTRM input'!$J$155*(1+rvanilla04)^0.5)-SUM($J237:V237),('PTRM input'!$J$155*(1+rvanilla04)^0.5)/A13stdlife))</f>
        <v>0</v>
      </c>
      <c r="X237" s="107">
        <f>IF(A13stdlife="n/a","n/a",IF(X$3&gt;(A13stdlife+$E237),('PTRM input'!$J$155*(1+rvanilla04)^0.5)-SUM($J237:W237),('PTRM input'!$J$155*(1+rvanilla04)^0.5)/A13stdlife))</f>
        <v>0</v>
      </c>
      <c r="Y237" s="107">
        <f>IF(A13stdlife="n/a","n/a",IF(Y$3&gt;(A13stdlife+$E237),('PTRM input'!$J$155*(1+rvanilla04)^0.5)-SUM($J237:X237),('PTRM input'!$J$155*(1+rvanilla04)^0.5)/A13stdlife))</f>
        <v>0</v>
      </c>
      <c r="Z237" s="107">
        <f>IF(A13stdlife="n/a","n/a",IF(Z$3&gt;(A13stdlife+$E237),('PTRM input'!$J$155*(1+rvanilla04)^0.5)-SUM($J237:Y237),('PTRM input'!$J$155*(1+rvanilla04)^0.5)/A13stdlife))</f>
        <v>0</v>
      </c>
      <c r="AA237" s="107">
        <f>IF(A13stdlife="n/a","n/a",IF(AA$3&gt;(A13stdlife+$E237),('PTRM input'!$J$155*(1+rvanilla04)^0.5)-SUM($J237:Z237),('PTRM input'!$J$155*(1+rvanilla04)^0.5)/A13stdlife))</f>
        <v>0</v>
      </c>
      <c r="AB237" s="107">
        <f>IF(A13stdlife="n/a","n/a",IF(AB$3&gt;(A13stdlife+$E237),('PTRM input'!$J$155*(1+rvanilla04)^0.5)-SUM($J237:AA237),('PTRM input'!$J$155*(1+rvanilla04)^0.5)/A13stdlife))</f>
        <v>0</v>
      </c>
      <c r="AC237" s="107">
        <f>IF(A13stdlife="n/a","n/a",IF(AC$3&gt;(A13stdlife+$E237),('PTRM input'!$J$155*(1+rvanilla04)^0.5)-SUM($J237:AB237),('PTRM input'!$J$155*(1+rvanilla04)^0.5)/A13stdlife))</f>
        <v>0</v>
      </c>
      <c r="AD237" s="107">
        <f>IF(A13stdlife="n/a","n/a",IF(AD$3&gt;(A13stdlife+$E237),('PTRM input'!$J$155*(1+rvanilla04)^0.5)-SUM($J237:AC237),('PTRM input'!$J$155*(1+rvanilla04)^0.5)/A13stdlife))</f>
        <v>0</v>
      </c>
      <c r="AE237" s="107">
        <f>IF(A13stdlife="n/a","n/a",IF(AE$3&gt;(A13stdlife+$E237),('PTRM input'!$J$155*(1+rvanilla04)^0.5)-SUM($J237:AD237),('PTRM input'!$J$155*(1+rvanilla04)^0.5)/A13stdlife))</f>
        <v>0</v>
      </c>
      <c r="AF237" s="107">
        <f>IF(A13stdlife="n/a","n/a",IF(AF$3&gt;(A13stdlife+$E237),('PTRM input'!$J$155*(1+rvanilla04)^0.5)-SUM($J237:AE237),('PTRM input'!$J$155*(1+rvanilla04)^0.5)/A13stdlife))</f>
        <v>0</v>
      </c>
      <c r="AG237" s="107">
        <f>IF(A13stdlife="n/a","n/a",IF(AG$3&gt;(A13stdlife+$E237),('PTRM input'!$J$155*(1+rvanilla04)^0.5)-SUM($J237:AF237),('PTRM input'!$J$155*(1+rvanilla04)^0.5)/A13stdlife))</f>
        <v>0</v>
      </c>
      <c r="AH237" s="107">
        <f>IF(A13stdlife="n/a","n/a",IF(AH$3&gt;(A13stdlife+$E237),('PTRM input'!$J$155*(1+rvanilla04)^0.5)-SUM($J237:AG237),('PTRM input'!$J$155*(1+rvanilla04)^0.5)/A13stdlife))</f>
        <v>0</v>
      </c>
      <c r="AI237" s="107">
        <f>IF(A13stdlife="n/a","n/a",IF(AI$3&gt;(A13stdlife+$E237),('PTRM input'!$J$155*(1+rvanilla04)^0.5)-SUM($J237:AH237),('PTRM input'!$J$155*(1+rvanilla04)^0.5)/A13stdlife))</f>
        <v>0</v>
      </c>
      <c r="AJ237" s="107">
        <f>IF(A13stdlife="n/a","n/a",IF(AJ$3&gt;(A13stdlife+$E237),('PTRM input'!$J$155*(1+rvanilla04)^0.5)-SUM($J237:AI237),('PTRM input'!$J$155*(1+rvanilla04)^0.5)/A13stdlife))</f>
        <v>0</v>
      </c>
      <c r="AK237" s="107">
        <f>IF(A13stdlife="n/a","n/a",IF(AK$3&gt;(A13stdlife+$E237),('PTRM input'!$J$155*(1+rvanilla04)^0.5)-SUM($J237:AJ237),('PTRM input'!$J$155*(1+rvanilla04)^0.5)/A13stdlife))</f>
        <v>0</v>
      </c>
      <c r="AL237" s="107">
        <f>IF(A13stdlife="n/a","n/a",IF(AL$3&gt;(A13stdlife+$E237),('PTRM input'!$J$155*(1+rvanilla04)^0.5)-SUM($J237:AK237),('PTRM input'!$J$155*(1+rvanilla04)^0.5)/A13stdlife))</f>
        <v>0</v>
      </c>
      <c r="AM237" s="107">
        <f>IF(A13stdlife="n/a","n/a",IF(AM$3&gt;(A13stdlife+$E237),('PTRM input'!$J$155*(1+rvanilla04)^0.5)-SUM($J237:AL237),('PTRM input'!$J$155*(1+rvanilla04)^0.5)/A13stdlife))</f>
        <v>0</v>
      </c>
      <c r="AN237" s="107">
        <f>IF(A13stdlife="n/a","n/a",IF(AN$3&gt;(A13stdlife+$E237),('PTRM input'!$J$155*(1+rvanilla04)^0.5)-SUM($J237:AM237),('PTRM input'!$J$155*(1+rvanilla04)^0.5)/A13stdlife))</f>
        <v>0</v>
      </c>
      <c r="AO237" s="107">
        <f>IF(A13stdlife="n/a","n/a",IF(AO$3&gt;(A13stdlife+$E237),('PTRM input'!$J$155*(1+rvanilla04)^0.5)-SUM($J237:AN237),('PTRM input'!$J$155*(1+rvanilla04)^0.5)/A13stdlife))</f>
        <v>0</v>
      </c>
      <c r="AP237" s="107">
        <f>IF(A13stdlife="n/a","n/a",IF(AP$3&gt;(A13stdlife+$E237),('PTRM input'!$J$155*(1+rvanilla04)^0.5)-SUM($J237:AO237),('PTRM input'!$J$155*(1+rvanilla04)^0.5)/A13stdlife))</f>
        <v>0</v>
      </c>
      <c r="AQ237" s="107">
        <f>IF(A13stdlife="n/a","n/a",IF(AQ$3&gt;(A13stdlife+$E237),('PTRM input'!$J$155*(1+rvanilla04)^0.5)-SUM($J237:AP237),('PTRM input'!$J$155*(1+rvanilla04)^0.5)/A13stdlife))</f>
        <v>0</v>
      </c>
      <c r="AR237" s="107">
        <f>IF(A13stdlife="n/a","n/a",IF(AR$3&gt;(A13stdlife+$E237),('PTRM input'!$J$155*(1+rvanilla04)^0.5)-SUM($J237:AQ237),('PTRM input'!$J$155*(1+rvanilla04)^0.5)/A13stdlife))</f>
        <v>0</v>
      </c>
      <c r="AS237" s="107">
        <f>IF(A13stdlife="n/a","n/a",IF(AS$3&gt;(A13stdlife+$E237),('PTRM input'!$J$155*(1+rvanilla04)^0.5)-SUM($J237:AR237),('PTRM input'!$J$155*(1+rvanilla04)^0.5)/A13stdlife))</f>
        <v>0</v>
      </c>
      <c r="AT237" s="107">
        <f>IF(A13stdlife="n/a","n/a",IF(AT$3&gt;(A13stdlife+$E237),('PTRM input'!$J$155*(1+rvanilla04)^0.5)-SUM($J237:AS237),('PTRM input'!$J$155*(1+rvanilla04)^0.5)/A13stdlife))</f>
        <v>0</v>
      </c>
      <c r="AU237" s="107">
        <f>IF(A13stdlife="n/a","n/a",IF(AU$3&gt;(A13stdlife+$E237),('PTRM input'!$J$155*(1+rvanilla04)^0.5)-SUM($J237:AT237),('PTRM input'!$J$155*(1+rvanilla04)^0.5)/A13stdlife))</f>
        <v>0</v>
      </c>
      <c r="AV237" s="107">
        <f>IF(A13stdlife="n/a","n/a",IF(AV$3&gt;(A13stdlife+$E237),('PTRM input'!$J$155*(1+rvanilla04)^0.5)-SUM($J237:AU237),('PTRM input'!$J$155*(1+rvanilla04)^0.5)/A13stdlife))</f>
        <v>0</v>
      </c>
      <c r="AW237" s="107">
        <f>IF(A13stdlife="n/a","n/a",IF(AW$3&gt;(A13stdlife+$E237),('PTRM input'!$J$155*(1+rvanilla04)^0.5)-SUM($J237:AV237),('PTRM input'!$J$155*(1+rvanilla04)^0.5)/A13stdlife))</f>
        <v>0</v>
      </c>
      <c r="AX237" s="107">
        <f>IF(A13stdlife="n/a","n/a",IF(AX$3&gt;(A13stdlife+$E237),('PTRM input'!$J$155*(1+rvanilla04)^0.5)-SUM($J237:AW237),('PTRM input'!$J$155*(1+rvanilla04)^0.5)/A13stdlife))</f>
        <v>0</v>
      </c>
      <c r="AY237" s="107">
        <f>IF(A13stdlife="n/a","n/a",IF(AY$3&gt;(A13stdlife+$E237),('PTRM input'!$J$155*(1+rvanilla04)^0.5)-SUM($J237:AX237),('PTRM input'!$J$155*(1+rvanilla04)^0.5)/A13stdlife))</f>
        <v>0</v>
      </c>
      <c r="AZ237" s="107">
        <f>IF(A13stdlife="n/a","n/a",IF(AZ$3&gt;(A13stdlife+$E237),('PTRM input'!$J$155*(1+rvanilla04)^0.5)-SUM($J237:AY237),('PTRM input'!$J$155*(1+rvanilla04)^0.5)/A13stdlife))</f>
        <v>0</v>
      </c>
      <c r="BA237" s="107">
        <f>IF(A13stdlife="n/a","n/a",IF(BA$3&gt;(A13stdlife+$E237),('PTRM input'!$J$155*(1+rvanilla04)^0.5)-SUM($J237:AZ237),('PTRM input'!$J$155*(1+rvanilla04)^0.5)/A13stdlife))</f>
        <v>0</v>
      </c>
      <c r="BB237" s="107">
        <f>IF(A13stdlife="n/a","n/a",IF(BB$3&gt;(A13stdlife+$E237),('PTRM input'!$J$155*(1+rvanilla04)^0.5)-SUM($J237:BA237),('PTRM input'!$J$155*(1+rvanilla04)^0.5)/A13stdlife))</f>
        <v>0</v>
      </c>
      <c r="BC237" s="107">
        <f>IF(A13stdlife="n/a","n/a",IF(BC$3&gt;(A13stdlife+$E237),('PTRM input'!$J$155*(1+rvanilla04)^0.5)-SUM($J237:BB237),('PTRM input'!$J$155*(1+rvanilla04)^0.5)/A13stdlife))</f>
        <v>0</v>
      </c>
      <c r="BD237" s="107">
        <f>IF(A13stdlife="n/a","n/a",IF(BD$3&gt;(A13stdlife+$E237),('PTRM input'!$J$155*(1+rvanilla04)^0.5)-SUM($J237:BC237),('PTRM input'!$J$155*(1+rvanilla04)^0.5)/A13stdlife))</f>
        <v>0</v>
      </c>
      <c r="BE237" s="107">
        <f>IF(A13stdlife="n/a","n/a",IF(BE$3&gt;(A13stdlife+$E237),('PTRM input'!$J$155*(1+rvanilla04)^0.5)-SUM($J237:BD237),('PTRM input'!$J$155*(1+rvanilla04)^0.5)/A13stdlife))</f>
        <v>0</v>
      </c>
      <c r="BF237" s="107">
        <f>IF(A13stdlife="n/a","n/a",IF(BF$3&gt;(A13stdlife+$E237),('PTRM input'!$J$155*(1+rvanilla04)^0.5)-SUM($J237:BE237),('PTRM input'!$J$155*(1+rvanilla04)^0.5)/A13stdlife))</f>
        <v>0</v>
      </c>
      <c r="BG237" s="107">
        <f>IF(A13stdlife="n/a","n/a",IF(BG$3&gt;(A13stdlife+$E237),('PTRM input'!$J$155*(1+rvanilla04)^0.5)-SUM($J237:BF237),('PTRM input'!$J$155*(1+rvanilla04)^0.5)/A13stdlife))</f>
        <v>0</v>
      </c>
      <c r="BH237" s="107">
        <f>IF(A13stdlife="n/a","n/a",IF(BH$3&gt;(A13stdlife+$E237),('PTRM input'!$J$155*(1+rvanilla04)^0.5)-SUM($J237:BG237),('PTRM input'!$J$155*(1+rvanilla04)^0.5)/A13stdlife))</f>
        <v>0</v>
      </c>
      <c r="BI237" s="107">
        <f>IF(A13stdlife="n/a","n/a",IF(BI$3&gt;(A13stdlife+$E237),('PTRM input'!$J$155*(1+rvanilla04)^0.5)-SUM($J237:BH237),('PTRM input'!$J$155*(1+rvanilla04)^0.5)/A13stdlife))</f>
        <v>0</v>
      </c>
      <c r="BJ237" s="237"/>
      <c r="BK237" s="237"/>
      <c r="BL237" s="237"/>
      <c r="BM237" s="237"/>
    </row>
    <row r="238" spans="1:65" s="190" customFormat="1" hidden="1" outlineLevel="2">
      <c r="A238" s="237"/>
      <c r="B238" s="33"/>
      <c r="C238" s="32"/>
      <c r="D238" s="1618"/>
      <c r="E238" s="169">
        <v>5</v>
      </c>
      <c r="F238" s="35"/>
      <c r="G238" s="184"/>
      <c r="H238" s="186"/>
      <c r="I238" s="186"/>
      <c r="J238" s="186"/>
      <c r="K238" s="185"/>
      <c r="L238" s="107">
        <f>IF(A13stdlife="n/a","n/a",IF(L$3&gt;(A13stdlife+$E238),('PTRM input'!$K$155*(1+rvanilla05)^0.5)-SUM($K238:K238),('PTRM input'!$K$155*(1+rvanilla05)^0.5)/A13stdlife))</f>
        <v>0</v>
      </c>
      <c r="M238" s="107">
        <f>IF(A13stdlife="n/a","n/a",IF(M$3&gt;(A13stdlife+$E238),('PTRM input'!$K$155*(1+rvanilla05)^0.5)-SUM($K238:L238),('PTRM input'!$K$155*(1+rvanilla05)^0.5)/A13stdlife))</f>
        <v>0</v>
      </c>
      <c r="N238" s="107">
        <f>IF(A13stdlife="n/a","n/a",IF(N$3&gt;(A13stdlife+$E238),('PTRM input'!$K$155*(1+rvanilla05)^0.5)-SUM($K238:M238),('PTRM input'!$K$155*(1+rvanilla05)^0.5)/A13stdlife))</f>
        <v>0</v>
      </c>
      <c r="O238" s="107">
        <f>IF(A13stdlife="n/a","n/a",IF(O$3&gt;(A13stdlife+$E238),('PTRM input'!$K$155*(1+rvanilla05)^0.5)-SUM($K238:N238),('PTRM input'!$K$155*(1+rvanilla05)^0.5)/A13stdlife))</f>
        <v>0</v>
      </c>
      <c r="P238" s="107">
        <f>IF(A13stdlife="n/a","n/a",IF(P$3&gt;(A13stdlife+$E238),('PTRM input'!$K$155*(1+rvanilla05)^0.5)-SUM($K238:O238),('PTRM input'!$K$155*(1+rvanilla05)^0.5)/A13stdlife))</f>
        <v>0</v>
      </c>
      <c r="Q238" s="107">
        <f>IF(A13stdlife="n/a","n/a",IF(Q$3&gt;(A13stdlife+$E238),('PTRM input'!$K$155*(1+rvanilla05)^0.5)-SUM($K238:P238),('PTRM input'!$K$155*(1+rvanilla05)^0.5)/A13stdlife))</f>
        <v>0</v>
      </c>
      <c r="R238" s="107">
        <f>IF(A13stdlife="n/a","n/a",IF(R$3&gt;(A13stdlife+$E238),('PTRM input'!$K$155*(1+rvanilla05)^0.5)-SUM($K238:Q238),('PTRM input'!$K$155*(1+rvanilla05)^0.5)/A13stdlife))</f>
        <v>0</v>
      </c>
      <c r="S238" s="107">
        <f>IF(A13stdlife="n/a","n/a",IF(S$3&gt;(A13stdlife+$E238),('PTRM input'!$K$155*(1+rvanilla05)^0.5)-SUM($K238:R238),('PTRM input'!$K$155*(1+rvanilla05)^0.5)/A13stdlife))</f>
        <v>0</v>
      </c>
      <c r="T238" s="107">
        <f>IF(A13stdlife="n/a","n/a",IF(T$3&gt;(A13stdlife+$E238),('PTRM input'!$K$155*(1+rvanilla05)^0.5)-SUM($K238:S238),('PTRM input'!$K$155*(1+rvanilla05)^0.5)/A13stdlife))</f>
        <v>0</v>
      </c>
      <c r="U238" s="107">
        <f>IF(A13stdlife="n/a","n/a",IF(U$3&gt;(A13stdlife+$E238),('PTRM input'!$K$155*(1+rvanilla05)^0.5)-SUM($K238:T238),('PTRM input'!$K$155*(1+rvanilla05)^0.5)/A13stdlife))</f>
        <v>0</v>
      </c>
      <c r="V238" s="107">
        <f>IF(A13stdlife="n/a","n/a",IF(V$3&gt;(A13stdlife+$E238),('PTRM input'!$K$155*(1+rvanilla05)^0.5)-SUM($K238:U238),('PTRM input'!$K$155*(1+rvanilla05)^0.5)/A13stdlife))</f>
        <v>0</v>
      </c>
      <c r="W238" s="107">
        <f>IF(A13stdlife="n/a","n/a",IF(W$3&gt;(A13stdlife+$E238),('PTRM input'!$K$155*(1+rvanilla05)^0.5)-SUM($K238:V238),('PTRM input'!$K$155*(1+rvanilla05)^0.5)/A13stdlife))</f>
        <v>0</v>
      </c>
      <c r="X238" s="107">
        <f>IF(A13stdlife="n/a","n/a",IF(X$3&gt;(A13stdlife+$E238),('PTRM input'!$K$155*(1+rvanilla05)^0.5)-SUM($K238:W238),('PTRM input'!$K$155*(1+rvanilla05)^0.5)/A13stdlife))</f>
        <v>0</v>
      </c>
      <c r="Y238" s="107">
        <f>IF(A13stdlife="n/a","n/a",IF(Y$3&gt;(A13stdlife+$E238),('PTRM input'!$K$155*(1+rvanilla05)^0.5)-SUM($K238:X238),('PTRM input'!$K$155*(1+rvanilla05)^0.5)/A13stdlife))</f>
        <v>0</v>
      </c>
      <c r="Z238" s="107">
        <f>IF(A13stdlife="n/a","n/a",IF(Z$3&gt;(A13stdlife+$E238),('PTRM input'!$K$155*(1+rvanilla05)^0.5)-SUM($K238:Y238),('PTRM input'!$K$155*(1+rvanilla05)^0.5)/A13stdlife))</f>
        <v>0</v>
      </c>
      <c r="AA238" s="107">
        <f>IF(A13stdlife="n/a","n/a",IF(AA$3&gt;(A13stdlife+$E238),('PTRM input'!$K$155*(1+rvanilla05)^0.5)-SUM($K238:Z238),('PTRM input'!$K$155*(1+rvanilla05)^0.5)/A13stdlife))</f>
        <v>0</v>
      </c>
      <c r="AB238" s="107">
        <f>IF(A13stdlife="n/a","n/a",IF(AB$3&gt;(A13stdlife+$E238),('PTRM input'!$K$155*(1+rvanilla05)^0.5)-SUM($K238:AA238),('PTRM input'!$K$155*(1+rvanilla05)^0.5)/A13stdlife))</f>
        <v>0</v>
      </c>
      <c r="AC238" s="107">
        <f>IF(A13stdlife="n/a","n/a",IF(AC$3&gt;(A13stdlife+$E238),('PTRM input'!$K$155*(1+rvanilla05)^0.5)-SUM($K238:AB238),('PTRM input'!$K$155*(1+rvanilla05)^0.5)/A13stdlife))</f>
        <v>0</v>
      </c>
      <c r="AD238" s="107">
        <f>IF(A13stdlife="n/a","n/a",IF(AD$3&gt;(A13stdlife+$E238),('PTRM input'!$K$155*(1+rvanilla05)^0.5)-SUM($K238:AC238),('PTRM input'!$K$155*(1+rvanilla05)^0.5)/A13stdlife))</f>
        <v>0</v>
      </c>
      <c r="AE238" s="107">
        <f>IF(A13stdlife="n/a","n/a",IF(AE$3&gt;(A13stdlife+$E238),('PTRM input'!$K$155*(1+rvanilla05)^0.5)-SUM($K238:AD238),('PTRM input'!$K$155*(1+rvanilla05)^0.5)/A13stdlife))</f>
        <v>0</v>
      </c>
      <c r="AF238" s="107">
        <f>IF(A13stdlife="n/a","n/a",IF(AF$3&gt;(A13stdlife+$E238),('PTRM input'!$K$155*(1+rvanilla05)^0.5)-SUM($K238:AE238),('PTRM input'!$K$155*(1+rvanilla05)^0.5)/A13stdlife))</f>
        <v>0</v>
      </c>
      <c r="AG238" s="107">
        <f>IF(A13stdlife="n/a","n/a",IF(AG$3&gt;(A13stdlife+$E238),('PTRM input'!$K$155*(1+rvanilla05)^0.5)-SUM($K238:AF238),('PTRM input'!$K$155*(1+rvanilla05)^0.5)/A13stdlife))</f>
        <v>0</v>
      </c>
      <c r="AH238" s="107">
        <f>IF(A13stdlife="n/a","n/a",IF(AH$3&gt;(A13stdlife+$E238),('PTRM input'!$K$155*(1+rvanilla05)^0.5)-SUM($K238:AG238),('PTRM input'!$K$155*(1+rvanilla05)^0.5)/A13stdlife))</f>
        <v>0</v>
      </c>
      <c r="AI238" s="107">
        <f>IF(A13stdlife="n/a","n/a",IF(AI$3&gt;(A13stdlife+$E238),('PTRM input'!$K$155*(1+rvanilla05)^0.5)-SUM($K238:AH238),('PTRM input'!$K$155*(1+rvanilla05)^0.5)/A13stdlife))</f>
        <v>0</v>
      </c>
      <c r="AJ238" s="107">
        <f>IF(A13stdlife="n/a","n/a",IF(AJ$3&gt;(A13stdlife+$E238),('PTRM input'!$K$155*(1+rvanilla05)^0.5)-SUM($K238:AI238),('PTRM input'!$K$155*(1+rvanilla05)^0.5)/A13stdlife))</f>
        <v>0</v>
      </c>
      <c r="AK238" s="107">
        <f>IF(A13stdlife="n/a","n/a",IF(AK$3&gt;(A13stdlife+$E238),('PTRM input'!$K$155*(1+rvanilla05)^0.5)-SUM($K238:AJ238),('PTRM input'!$K$155*(1+rvanilla05)^0.5)/A13stdlife))</f>
        <v>0</v>
      </c>
      <c r="AL238" s="107">
        <f>IF(A13stdlife="n/a","n/a",IF(AL$3&gt;(A13stdlife+$E238),('PTRM input'!$K$155*(1+rvanilla05)^0.5)-SUM($K238:AK238),('PTRM input'!$K$155*(1+rvanilla05)^0.5)/A13stdlife))</f>
        <v>0</v>
      </c>
      <c r="AM238" s="107">
        <f>IF(A13stdlife="n/a","n/a",IF(AM$3&gt;(A13stdlife+$E238),('PTRM input'!$K$155*(1+rvanilla05)^0.5)-SUM($K238:AL238),('PTRM input'!$K$155*(1+rvanilla05)^0.5)/A13stdlife))</f>
        <v>0</v>
      </c>
      <c r="AN238" s="107">
        <f>IF(A13stdlife="n/a","n/a",IF(AN$3&gt;(A13stdlife+$E238),('PTRM input'!$K$155*(1+rvanilla05)^0.5)-SUM($K238:AM238),('PTRM input'!$K$155*(1+rvanilla05)^0.5)/A13stdlife))</f>
        <v>0</v>
      </c>
      <c r="AO238" s="107">
        <f>IF(A13stdlife="n/a","n/a",IF(AO$3&gt;(A13stdlife+$E238),('PTRM input'!$K$155*(1+rvanilla05)^0.5)-SUM($K238:AN238),('PTRM input'!$K$155*(1+rvanilla05)^0.5)/A13stdlife))</f>
        <v>0</v>
      </c>
      <c r="AP238" s="107">
        <f>IF(A13stdlife="n/a","n/a",IF(AP$3&gt;(A13stdlife+$E238),('PTRM input'!$K$155*(1+rvanilla05)^0.5)-SUM($K238:AO238),('PTRM input'!$K$155*(1+rvanilla05)^0.5)/A13stdlife))</f>
        <v>0</v>
      </c>
      <c r="AQ238" s="107">
        <f>IF(A13stdlife="n/a","n/a",IF(AQ$3&gt;(A13stdlife+$E238),('PTRM input'!$K$155*(1+rvanilla05)^0.5)-SUM($K238:AP238),('PTRM input'!$K$155*(1+rvanilla05)^0.5)/A13stdlife))</f>
        <v>0</v>
      </c>
      <c r="AR238" s="107">
        <f>IF(A13stdlife="n/a","n/a",IF(AR$3&gt;(A13stdlife+$E238),('PTRM input'!$K$155*(1+rvanilla05)^0.5)-SUM($K238:AQ238),('PTRM input'!$K$155*(1+rvanilla05)^0.5)/A13stdlife))</f>
        <v>0</v>
      </c>
      <c r="AS238" s="107">
        <f>IF(A13stdlife="n/a","n/a",IF(AS$3&gt;(A13stdlife+$E238),('PTRM input'!$K$155*(1+rvanilla05)^0.5)-SUM($K238:AR238),('PTRM input'!$K$155*(1+rvanilla05)^0.5)/A13stdlife))</f>
        <v>0</v>
      </c>
      <c r="AT238" s="107">
        <f>IF(A13stdlife="n/a","n/a",IF(AT$3&gt;(A13stdlife+$E238),('PTRM input'!$K$155*(1+rvanilla05)^0.5)-SUM($K238:AS238),('PTRM input'!$K$155*(1+rvanilla05)^0.5)/A13stdlife))</f>
        <v>0</v>
      </c>
      <c r="AU238" s="107">
        <f>IF(A13stdlife="n/a","n/a",IF(AU$3&gt;(A13stdlife+$E238),('PTRM input'!$K$155*(1+rvanilla05)^0.5)-SUM($K238:AT238),('PTRM input'!$K$155*(1+rvanilla05)^0.5)/A13stdlife))</f>
        <v>0</v>
      </c>
      <c r="AV238" s="107">
        <f>IF(A13stdlife="n/a","n/a",IF(AV$3&gt;(A13stdlife+$E238),('PTRM input'!$K$155*(1+rvanilla05)^0.5)-SUM($K238:AU238),('PTRM input'!$K$155*(1+rvanilla05)^0.5)/A13stdlife))</f>
        <v>0</v>
      </c>
      <c r="AW238" s="107">
        <f>IF(A13stdlife="n/a","n/a",IF(AW$3&gt;(A13stdlife+$E238),('PTRM input'!$K$155*(1+rvanilla05)^0.5)-SUM($K238:AV238),('PTRM input'!$K$155*(1+rvanilla05)^0.5)/A13stdlife))</f>
        <v>0</v>
      </c>
      <c r="AX238" s="107">
        <f>IF(A13stdlife="n/a","n/a",IF(AX$3&gt;(A13stdlife+$E238),('PTRM input'!$K$155*(1+rvanilla05)^0.5)-SUM($K238:AW238),('PTRM input'!$K$155*(1+rvanilla05)^0.5)/A13stdlife))</f>
        <v>0</v>
      </c>
      <c r="AY238" s="107">
        <f>IF(A13stdlife="n/a","n/a",IF(AY$3&gt;(A13stdlife+$E238),('PTRM input'!$K$155*(1+rvanilla05)^0.5)-SUM($K238:AX238),('PTRM input'!$K$155*(1+rvanilla05)^0.5)/A13stdlife))</f>
        <v>0</v>
      </c>
      <c r="AZ238" s="107">
        <f>IF(A13stdlife="n/a","n/a",IF(AZ$3&gt;(A13stdlife+$E238),('PTRM input'!$K$155*(1+rvanilla05)^0.5)-SUM($K238:AY238),('PTRM input'!$K$155*(1+rvanilla05)^0.5)/A13stdlife))</f>
        <v>0</v>
      </c>
      <c r="BA238" s="107">
        <f>IF(A13stdlife="n/a","n/a",IF(BA$3&gt;(A13stdlife+$E238),('PTRM input'!$K$155*(1+rvanilla05)^0.5)-SUM($K238:AZ238),('PTRM input'!$K$155*(1+rvanilla05)^0.5)/A13stdlife))</f>
        <v>0</v>
      </c>
      <c r="BB238" s="107">
        <f>IF(A13stdlife="n/a","n/a",IF(BB$3&gt;(A13stdlife+$E238),('PTRM input'!$K$155*(1+rvanilla05)^0.5)-SUM($K238:BA238),('PTRM input'!$K$155*(1+rvanilla05)^0.5)/A13stdlife))</f>
        <v>0</v>
      </c>
      <c r="BC238" s="107">
        <f>IF(A13stdlife="n/a","n/a",IF(BC$3&gt;(A13stdlife+$E238),('PTRM input'!$K$155*(1+rvanilla05)^0.5)-SUM($K238:BB238),('PTRM input'!$K$155*(1+rvanilla05)^0.5)/A13stdlife))</f>
        <v>0</v>
      </c>
      <c r="BD238" s="107">
        <f>IF(A13stdlife="n/a","n/a",IF(BD$3&gt;(A13stdlife+$E238),('PTRM input'!$K$155*(1+rvanilla05)^0.5)-SUM($K238:BC238),('PTRM input'!$K$155*(1+rvanilla05)^0.5)/A13stdlife))</f>
        <v>0</v>
      </c>
      <c r="BE238" s="107">
        <f>IF(A13stdlife="n/a","n/a",IF(BE$3&gt;(A13stdlife+$E238),('PTRM input'!$K$155*(1+rvanilla05)^0.5)-SUM($K238:BD238),('PTRM input'!$K$155*(1+rvanilla05)^0.5)/A13stdlife))</f>
        <v>0</v>
      </c>
      <c r="BF238" s="107">
        <f>IF(A13stdlife="n/a","n/a",IF(BF$3&gt;(A13stdlife+$E238),('PTRM input'!$K$155*(1+rvanilla05)^0.5)-SUM($K238:BE238),('PTRM input'!$K$155*(1+rvanilla05)^0.5)/A13stdlife))</f>
        <v>0</v>
      </c>
      <c r="BG238" s="107">
        <f>IF(A13stdlife="n/a","n/a",IF(BG$3&gt;(A13stdlife+$E238),('PTRM input'!$K$155*(1+rvanilla05)^0.5)-SUM($K238:BF238),('PTRM input'!$K$155*(1+rvanilla05)^0.5)/A13stdlife))</f>
        <v>0</v>
      </c>
      <c r="BH238" s="107">
        <f>IF(A13stdlife="n/a","n/a",IF(BH$3&gt;(A13stdlife+$E238),('PTRM input'!$K$155*(1+rvanilla05)^0.5)-SUM($K238:BG238),('PTRM input'!$K$155*(1+rvanilla05)^0.5)/A13stdlife))</f>
        <v>0</v>
      </c>
      <c r="BI238" s="107">
        <f>IF(A13stdlife="n/a","n/a",IF(BI$3&gt;(A13stdlife+$E238),('PTRM input'!$K$155*(1+rvanilla05)^0.5)-SUM($K238:BH238),('PTRM input'!$K$155*(1+rvanilla05)^0.5)/A13stdlife))</f>
        <v>0</v>
      </c>
      <c r="BJ238" s="237"/>
      <c r="BK238" s="237"/>
      <c r="BL238" s="237"/>
      <c r="BM238" s="237"/>
    </row>
    <row r="239" spans="1:65" s="190" customFormat="1" hidden="1" outlineLevel="2">
      <c r="A239" s="237"/>
      <c r="B239" s="33"/>
      <c r="C239" s="32"/>
      <c r="D239" s="1618"/>
      <c r="E239" s="169">
        <v>6</v>
      </c>
      <c r="F239" s="35"/>
      <c r="G239" s="184"/>
      <c r="H239" s="186"/>
      <c r="I239" s="186"/>
      <c r="J239" s="186"/>
      <c r="K239" s="186"/>
      <c r="L239" s="185"/>
      <c r="M239" s="107">
        <f>IF(A13stdlife="n/a","n/a",IF(M$3&gt;(A13stdlife+$E239),('PTRM input'!$L$155*(1+rvanilla06)^0.5)-SUM($L239:L239),('PTRM input'!$L$155*(1+rvanilla06)^0.5)/A13stdlife))</f>
        <v>0</v>
      </c>
      <c r="N239" s="107">
        <f>IF(A13stdlife="n/a","n/a",IF(N$3&gt;(A13stdlife+$E239),('PTRM input'!$L$155*(1+rvanilla06)^0.5)-SUM($L239:M239),('PTRM input'!$L$155*(1+rvanilla06)^0.5)/A13stdlife))</f>
        <v>0</v>
      </c>
      <c r="O239" s="107">
        <f>IF(A13stdlife="n/a","n/a",IF(O$3&gt;(A13stdlife+$E239),('PTRM input'!$L$155*(1+rvanilla06)^0.5)-SUM($L239:N239),('PTRM input'!$L$155*(1+rvanilla06)^0.5)/A13stdlife))</f>
        <v>0</v>
      </c>
      <c r="P239" s="107">
        <f>IF(A13stdlife="n/a","n/a",IF(P$3&gt;(A13stdlife+$E239),('PTRM input'!$L$155*(1+rvanilla06)^0.5)-SUM($L239:O239),('PTRM input'!$L$155*(1+rvanilla06)^0.5)/A13stdlife))</f>
        <v>0</v>
      </c>
      <c r="Q239" s="107">
        <f>IF(A13stdlife="n/a","n/a",IF(Q$3&gt;(A13stdlife+$E239),('PTRM input'!$L$155*(1+rvanilla06)^0.5)-SUM($L239:P239),('PTRM input'!$L$155*(1+rvanilla06)^0.5)/A13stdlife))</f>
        <v>0</v>
      </c>
      <c r="R239" s="107">
        <f>IF(A13stdlife="n/a","n/a",IF(R$3&gt;(A13stdlife+$E239),('PTRM input'!$L$155*(1+rvanilla06)^0.5)-SUM($L239:Q239),('PTRM input'!$L$155*(1+rvanilla06)^0.5)/A13stdlife))</f>
        <v>0</v>
      </c>
      <c r="S239" s="107">
        <f>IF(A13stdlife="n/a","n/a",IF(S$3&gt;(A13stdlife+$E239),('PTRM input'!$L$155*(1+rvanilla06)^0.5)-SUM($L239:R239),('PTRM input'!$L$155*(1+rvanilla06)^0.5)/A13stdlife))</f>
        <v>0</v>
      </c>
      <c r="T239" s="107">
        <f>IF(A13stdlife="n/a","n/a",IF(T$3&gt;(A13stdlife+$E239),('PTRM input'!$L$155*(1+rvanilla06)^0.5)-SUM($L239:S239),('PTRM input'!$L$155*(1+rvanilla06)^0.5)/A13stdlife))</f>
        <v>0</v>
      </c>
      <c r="U239" s="107">
        <f>IF(A13stdlife="n/a","n/a",IF(U$3&gt;(A13stdlife+$E239),('PTRM input'!$L$155*(1+rvanilla06)^0.5)-SUM($L239:T239),('PTRM input'!$L$155*(1+rvanilla06)^0.5)/A13stdlife))</f>
        <v>0</v>
      </c>
      <c r="V239" s="107">
        <f>IF(A13stdlife="n/a","n/a",IF(V$3&gt;(A13stdlife+$E239),('PTRM input'!$L$155*(1+rvanilla06)^0.5)-SUM($L239:U239),('PTRM input'!$L$155*(1+rvanilla06)^0.5)/A13stdlife))</f>
        <v>0</v>
      </c>
      <c r="W239" s="107">
        <f>IF(A13stdlife="n/a","n/a",IF(W$3&gt;(A13stdlife+$E239),('PTRM input'!$L$155*(1+rvanilla06)^0.5)-SUM($L239:V239),('PTRM input'!$L$155*(1+rvanilla06)^0.5)/A13stdlife))</f>
        <v>0</v>
      </c>
      <c r="X239" s="107">
        <f>IF(A13stdlife="n/a","n/a",IF(X$3&gt;(A13stdlife+$E239),('PTRM input'!$L$155*(1+rvanilla06)^0.5)-SUM($L239:W239),('PTRM input'!$L$155*(1+rvanilla06)^0.5)/A13stdlife))</f>
        <v>0</v>
      </c>
      <c r="Y239" s="107">
        <f>IF(A13stdlife="n/a","n/a",IF(Y$3&gt;(A13stdlife+$E239),('PTRM input'!$L$155*(1+rvanilla06)^0.5)-SUM($L239:X239),('PTRM input'!$L$155*(1+rvanilla06)^0.5)/A13stdlife))</f>
        <v>0</v>
      </c>
      <c r="Z239" s="107">
        <f>IF(A13stdlife="n/a","n/a",IF(Z$3&gt;(A13stdlife+$E239),('PTRM input'!$L$155*(1+rvanilla06)^0.5)-SUM($L239:Y239),('PTRM input'!$L$155*(1+rvanilla06)^0.5)/A13stdlife))</f>
        <v>0</v>
      </c>
      <c r="AA239" s="107">
        <f>IF(A13stdlife="n/a","n/a",IF(AA$3&gt;(A13stdlife+$E239),('PTRM input'!$L$155*(1+rvanilla06)^0.5)-SUM($L239:Z239),('PTRM input'!$L$155*(1+rvanilla06)^0.5)/A13stdlife))</f>
        <v>0</v>
      </c>
      <c r="AB239" s="107">
        <f>IF(A13stdlife="n/a","n/a",IF(AB$3&gt;(A13stdlife+$E239),('PTRM input'!$L$155*(1+rvanilla06)^0.5)-SUM($L239:AA239),('PTRM input'!$L$155*(1+rvanilla06)^0.5)/A13stdlife))</f>
        <v>0</v>
      </c>
      <c r="AC239" s="107">
        <f>IF(A13stdlife="n/a","n/a",IF(AC$3&gt;(A13stdlife+$E239),('PTRM input'!$L$155*(1+rvanilla06)^0.5)-SUM($L239:AB239),('PTRM input'!$L$155*(1+rvanilla06)^0.5)/A13stdlife))</f>
        <v>0</v>
      </c>
      <c r="AD239" s="107">
        <f>IF(A13stdlife="n/a","n/a",IF(AD$3&gt;(A13stdlife+$E239),('PTRM input'!$L$155*(1+rvanilla06)^0.5)-SUM($L239:AC239),('PTRM input'!$L$155*(1+rvanilla06)^0.5)/A13stdlife))</f>
        <v>0</v>
      </c>
      <c r="AE239" s="107">
        <f>IF(A13stdlife="n/a","n/a",IF(AE$3&gt;(A13stdlife+$E239),('PTRM input'!$L$155*(1+rvanilla06)^0.5)-SUM($L239:AD239),('PTRM input'!$L$155*(1+rvanilla06)^0.5)/A13stdlife))</f>
        <v>0</v>
      </c>
      <c r="AF239" s="107">
        <f>IF(A13stdlife="n/a","n/a",IF(AF$3&gt;(A13stdlife+$E239),('PTRM input'!$L$155*(1+rvanilla06)^0.5)-SUM($L239:AE239),('PTRM input'!$L$155*(1+rvanilla06)^0.5)/A13stdlife))</f>
        <v>0</v>
      </c>
      <c r="AG239" s="107">
        <f>IF(A13stdlife="n/a","n/a",IF(AG$3&gt;(A13stdlife+$E239),('PTRM input'!$L$155*(1+rvanilla06)^0.5)-SUM($L239:AF239),('PTRM input'!$L$155*(1+rvanilla06)^0.5)/A13stdlife))</f>
        <v>0</v>
      </c>
      <c r="AH239" s="107">
        <f>IF(A13stdlife="n/a","n/a",IF(AH$3&gt;(A13stdlife+$E239),('PTRM input'!$L$155*(1+rvanilla06)^0.5)-SUM($L239:AG239),('PTRM input'!$L$155*(1+rvanilla06)^0.5)/A13stdlife))</f>
        <v>0</v>
      </c>
      <c r="AI239" s="107">
        <f>IF(A13stdlife="n/a","n/a",IF(AI$3&gt;(A13stdlife+$E239),('PTRM input'!$L$155*(1+rvanilla06)^0.5)-SUM($L239:AH239),('PTRM input'!$L$155*(1+rvanilla06)^0.5)/A13stdlife))</f>
        <v>0</v>
      </c>
      <c r="AJ239" s="107">
        <f>IF(A13stdlife="n/a","n/a",IF(AJ$3&gt;(A13stdlife+$E239),('PTRM input'!$L$155*(1+rvanilla06)^0.5)-SUM($L239:AI239),('PTRM input'!$L$155*(1+rvanilla06)^0.5)/A13stdlife))</f>
        <v>0</v>
      </c>
      <c r="AK239" s="107">
        <f>IF(A13stdlife="n/a","n/a",IF(AK$3&gt;(A13stdlife+$E239),('PTRM input'!$L$155*(1+rvanilla06)^0.5)-SUM($L239:AJ239),('PTRM input'!$L$155*(1+rvanilla06)^0.5)/A13stdlife))</f>
        <v>0</v>
      </c>
      <c r="AL239" s="107">
        <f>IF(A13stdlife="n/a","n/a",IF(AL$3&gt;(A13stdlife+$E239),('PTRM input'!$L$155*(1+rvanilla06)^0.5)-SUM($L239:AK239),('PTRM input'!$L$155*(1+rvanilla06)^0.5)/A13stdlife))</f>
        <v>0</v>
      </c>
      <c r="AM239" s="107">
        <f>IF(A13stdlife="n/a","n/a",IF(AM$3&gt;(A13stdlife+$E239),('PTRM input'!$L$155*(1+rvanilla06)^0.5)-SUM($L239:AL239),('PTRM input'!$L$155*(1+rvanilla06)^0.5)/A13stdlife))</f>
        <v>0</v>
      </c>
      <c r="AN239" s="107">
        <f>IF(A13stdlife="n/a","n/a",IF(AN$3&gt;(A13stdlife+$E239),('PTRM input'!$L$155*(1+rvanilla06)^0.5)-SUM($L239:AM239),('PTRM input'!$L$155*(1+rvanilla06)^0.5)/A13stdlife))</f>
        <v>0</v>
      </c>
      <c r="AO239" s="107">
        <f>IF(A13stdlife="n/a","n/a",IF(AO$3&gt;(A13stdlife+$E239),('PTRM input'!$L$155*(1+rvanilla06)^0.5)-SUM($L239:AN239),('PTRM input'!$L$155*(1+rvanilla06)^0.5)/A13stdlife))</f>
        <v>0</v>
      </c>
      <c r="AP239" s="107">
        <f>IF(A13stdlife="n/a","n/a",IF(AP$3&gt;(A13stdlife+$E239),('PTRM input'!$L$155*(1+rvanilla06)^0.5)-SUM($L239:AO239),('PTRM input'!$L$155*(1+rvanilla06)^0.5)/A13stdlife))</f>
        <v>0</v>
      </c>
      <c r="AQ239" s="107">
        <f>IF(A13stdlife="n/a","n/a",IF(AQ$3&gt;(A13stdlife+$E239),('PTRM input'!$L$155*(1+rvanilla06)^0.5)-SUM($L239:AP239),('PTRM input'!$L$155*(1+rvanilla06)^0.5)/A13stdlife))</f>
        <v>0</v>
      </c>
      <c r="AR239" s="107">
        <f>IF(A13stdlife="n/a","n/a",IF(AR$3&gt;(A13stdlife+$E239),('PTRM input'!$L$155*(1+rvanilla06)^0.5)-SUM($L239:AQ239),('PTRM input'!$L$155*(1+rvanilla06)^0.5)/A13stdlife))</f>
        <v>0</v>
      </c>
      <c r="AS239" s="107">
        <f>IF(A13stdlife="n/a","n/a",IF(AS$3&gt;(A13stdlife+$E239),('PTRM input'!$L$155*(1+rvanilla06)^0.5)-SUM($L239:AR239),('PTRM input'!$L$155*(1+rvanilla06)^0.5)/A13stdlife))</f>
        <v>0</v>
      </c>
      <c r="AT239" s="107">
        <f>IF(A13stdlife="n/a","n/a",IF(AT$3&gt;(A13stdlife+$E239),('PTRM input'!$L$155*(1+rvanilla06)^0.5)-SUM($L239:AS239),('PTRM input'!$L$155*(1+rvanilla06)^0.5)/A13stdlife))</f>
        <v>0</v>
      </c>
      <c r="AU239" s="107">
        <f>IF(A13stdlife="n/a","n/a",IF(AU$3&gt;(A13stdlife+$E239),('PTRM input'!$L$155*(1+rvanilla06)^0.5)-SUM($L239:AT239),('PTRM input'!$L$155*(1+rvanilla06)^0.5)/A13stdlife))</f>
        <v>0</v>
      </c>
      <c r="AV239" s="107">
        <f>IF(A13stdlife="n/a","n/a",IF(AV$3&gt;(A13stdlife+$E239),('PTRM input'!$L$155*(1+rvanilla06)^0.5)-SUM($L239:AU239),('PTRM input'!$L$155*(1+rvanilla06)^0.5)/A13stdlife))</f>
        <v>0</v>
      </c>
      <c r="AW239" s="107">
        <f>IF(A13stdlife="n/a","n/a",IF(AW$3&gt;(A13stdlife+$E239),('PTRM input'!$L$155*(1+rvanilla06)^0.5)-SUM($L239:AV239),('PTRM input'!$L$155*(1+rvanilla06)^0.5)/A13stdlife))</f>
        <v>0</v>
      </c>
      <c r="AX239" s="107">
        <f>IF(A13stdlife="n/a","n/a",IF(AX$3&gt;(A13stdlife+$E239),('PTRM input'!$L$155*(1+rvanilla06)^0.5)-SUM($L239:AW239),('PTRM input'!$L$155*(1+rvanilla06)^0.5)/A13stdlife))</f>
        <v>0</v>
      </c>
      <c r="AY239" s="107">
        <f>IF(A13stdlife="n/a","n/a",IF(AY$3&gt;(A13stdlife+$E239),('PTRM input'!$L$155*(1+rvanilla06)^0.5)-SUM($L239:AX239),('PTRM input'!$L$155*(1+rvanilla06)^0.5)/A13stdlife))</f>
        <v>0</v>
      </c>
      <c r="AZ239" s="107">
        <f>IF(A13stdlife="n/a","n/a",IF(AZ$3&gt;(A13stdlife+$E239),('PTRM input'!$L$155*(1+rvanilla06)^0.5)-SUM($L239:AY239),('PTRM input'!$L$155*(1+rvanilla06)^0.5)/A13stdlife))</f>
        <v>0</v>
      </c>
      <c r="BA239" s="107">
        <f>IF(A13stdlife="n/a","n/a",IF(BA$3&gt;(A13stdlife+$E239),('PTRM input'!$L$155*(1+rvanilla06)^0.5)-SUM($L239:AZ239),('PTRM input'!$L$155*(1+rvanilla06)^0.5)/A13stdlife))</f>
        <v>0</v>
      </c>
      <c r="BB239" s="107">
        <f>IF(A13stdlife="n/a","n/a",IF(BB$3&gt;(A13stdlife+$E239),('PTRM input'!$L$155*(1+rvanilla06)^0.5)-SUM($L239:BA239),('PTRM input'!$L$155*(1+rvanilla06)^0.5)/A13stdlife))</f>
        <v>0</v>
      </c>
      <c r="BC239" s="107">
        <f>IF(A13stdlife="n/a","n/a",IF(BC$3&gt;(A13stdlife+$E239),('PTRM input'!$L$155*(1+rvanilla06)^0.5)-SUM($L239:BB239),('PTRM input'!$L$155*(1+rvanilla06)^0.5)/A13stdlife))</f>
        <v>0</v>
      </c>
      <c r="BD239" s="107">
        <f>IF(A13stdlife="n/a","n/a",IF(BD$3&gt;(A13stdlife+$E239),('PTRM input'!$L$155*(1+rvanilla06)^0.5)-SUM($L239:BC239),('PTRM input'!$L$155*(1+rvanilla06)^0.5)/A13stdlife))</f>
        <v>0</v>
      </c>
      <c r="BE239" s="107">
        <f>IF(A13stdlife="n/a","n/a",IF(BE$3&gt;(A13stdlife+$E239),('PTRM input'!$L$155*(1+rvanilla06)^0.5)-SUM($L239:BD239),('PTRM input'!$L$155*(1+rvanilla06)^0.5)/A13stdlife))</f>
        <v>0</v>
      </c>
      <c r="BF239" s="107">
        <f>IF(A13stdlife="n/a","n/a",IF(BF$3&gt;(A13stdlife+$E239),('PTRM input'!$L$155*(1+rvanilla06)^0.5)-SUM($L239:BE239),('PTRM input'!$L$155*(1+rvanilla06)^0.5)/A13stdlife))</f>
        <v>0</v>
      </c>
      <c r="BG239" s="107">
        <f>IF(A13stdlife="n/a","n/a",IF(BG$3&gt;(A13stdlife+$E239),('PTRM input'!$L$155*(1+rvanilla06)^0.5)-SUM($L239:BF239),('PTRM input'!$L$155*(1+rvanilla06)^0.5)/A13stdlife))</f>
        <v>0</v>
      </c>
      <c r="BH239" s="107">
        <f>IF(A13stdlife="n/a","n/a",IF(BH$3&gt;(A13stdlife+$E239),('PTRM input'!$L$155*(1+rvanilla06)^0.5)-SUM($L239:BG239),('PTRM input'!$L$155*(1+rvanilla06)^0.5)/A13stdlife))</f>
        <v>0</v>
      </c>
      <c r="BI239" s="107">
        <f>IF(A13stdlife="n/a","n/a",IF(BI$3&gt;(A13stdlife+$E239),('PTRM input'!$L$155*(1+rvanilla06)^0.5)-SUM($L239:BH239),('PTRM input'!$L$155*(1+rvanilla06)^0.5)/A13stdlife))</f>
        <v>0</v>
      </c>
      <c r="BJ239" s="237"/>
      <c r="BK239" s="237"/>
      <c r="BL239" s="237"/>
      <c r="BM239" s="237"/>
    </row>
    <row r="240" spans="1:65" s="190" customFormat="1" hidden="1" outlineLevel="2">
      <c r="A240" s="237"/>
      <c r="B240" s="33"/>
      <c r="C240" s="32"/>
      <c r="D240" s="1618"/>
      <c r="E240" s="169">
        <v>7</v>
      </c>
      <c r="F240" s="35"/>
      <c r="G240" s="184"/>
      <c r="H240" s="186"/>
      <c r="I240" s="186"/>
      <c r="J240" s="186"/>
      <c r="K240" s="186"/>
      <c r="L240" s="186"/>
      <c r="M240" s="185"/>
      <c r="N240" s="107">
        <f>IF(A13stdlife="n/a","n/a",IF(N$3&gt;(A13stdlife+$E240),('PTRM input'!$M$155*(1+rvanilla07)^0.5)-SUM($M240:M240),('PTRM input'!$M$155*(1+rvanilla07)^0.5)/A13stdlife))</f>
        <v>0</v>
      </c>
      <c r="O240" s="107">
        <f>IF(A13stdlife="n/a","n/a",IF(O$3&gt;(A13stdlife+$E240),('PTRM input'!$M$155*(1+rvanilla07)^0.5)-SUM($M240:N240),('PTRM input'!$M$155*(1+rvanilla07)^0.5)/A13stdlife))</f>
        <v>0</v>
      </c>
      <c r="P240" s="107">
        <f>IF(A13stdlife="n/a","n/a",IF(P$3&gt;(A13stdlife+$E240),('PTRM input'!$M$155*(1+rvanilla07)^0.5)-SUM($M240:O240),('PTRM input'!$M$155*(1+rvanilla07)^0.5)/A13stdlife))</f>
        <v>0</v>
      </c>
      <c r="Q240" s="107">
        <f>IF(A13stdlife="n/a","n/a",IF(Q$3&gt;(A13stdlife+$E240),('PTRM input'!$M$155*(1+rvanilla07)^0.5)-SUM($M240:P240),('PTRM input'!$M$155*(1+rvanilla07)^0.5)/A13stdlife))</f>
        <v>0</v>
      </c>
      <c r="R240" s="107">
        <f>IF(A13stdlife="n/a","n/a",IF(R$3&gt;(A13stdlife+$E240),('PTRM input'!$M$155*(1+rvanilla07)^0.5)-SUM($M240:Q240),('PTRM input'!$M$155*(1+rvanilla07)^0.5)/A13stdlife))</f>
        <v>0</v>
      </c>
      <c r="S240" s="107">
        <f>IF(A13stdlife="n/a","n/a",IF(S$3&gt;(A13stdlife+$E240),('PTRM input'!$M$155*(1+rvanilla07)^0.5)-SUM($M240:R240),('PTRM input'!$M$155*(1+rvanilla07)^0.5)/A13stdlife))</f>
        <v>0</v>
      </c>
      <c r="T240" s="107">
        <f>IF(A13stdlife="n/a","n/a",IF(T$3&gt;(A13stdlife+$E240),('PTRM input'!$M$155*(1+rvanilla07)^0.5)-SUM($M240:S240),('PTRM input'!$M$155*(1+rvanilla07)^0.5)/A13stdlife))</f>
        <v>0</v>
      </c>
      <c r="U240" s="107">
        <f>IF(A13stdlife="n/a","n/a",IF(U$3&gt;(A13stdlife+$E240),('PTRM input'!$M$155*(1+rvanilla07)^0.5)-SUM($M240:T240),('PTRM input'!$M$155*(1+rvanilla07)^0.5)/A13stdlife))</f>
        <v>0</v>
      </c>
      <c r="V240" s="107">
        <f>IF(A13stdlife="n/a","n/a",IF(V$3&gt;(A13stdlife+$E240),('PTRM input'!$M$155*(1+rvanilla07)^0.5)-SUM($M240:U240),('PTRM input'!$M$155*(1+rvanilla07)^0.5)/A13stdlife))</f>
        <v>0</v>
      </c>
      <c r="W240" s="107">
        <f>IF(A13stdlife="n/a","n/a",IF(W$3&gt;(A13stdlife+$E240),('PTRM input'!$M$155*(1+rvanilla07)^0.5)-SUM($M240:V240),('PTRM input'!$M$155*(1+rvanilla07)^0.5)/A13stdlife))</f>
        <v>0</v>
      </c>
      <c r="X240" s="107">
        <f>IF(A13stdlife="n/a","n/a",IF(X$3&gt;(A13stdlife+$E240),('PTRM input'!$M$155*(1+rvanilla07)^0.5)-SUM($M240:W240),('PTRM input'!$M$155*(1+rvanilla07)^0.5)/A13stdlife))</f>
        <v>0</v>
      </c>
      <c r="Y240" s="107">
        <f>IF(A13stdlife="n/a","n/a",IF(Y$3&gt;(A13stdlife+$E240),('PTRM input'!$M$155*(1+rvanilla07)^0.5)-SUM($M240:X240),('PTRM input'!$M$155*(1+rvanilla07)^0.5)/A13stdlife))</f>
        <v>0</v>
      </c>
      <c r="Z240" s="107">
        <f>IF(A13stdlife="n/a","n/a",IF(Z$3&gt;(A13stdlife+$E240),('PTRM input'!$M$155*(1+rvanilla07)^0.5)-SUM($M240:Y240),('PTRM input'!$M$155*(1+rvanilla07)^0.5)/A13stdlife))</f>
        <v>0</v>
      </c>
      <c r="AA240" s="107">
        <f>IF(A13stdlife="n/a","n/a",IF(AA$3&gt;(A13stdlife+$E240),('PTRM input'!$M$155*(1+rvanilla07)^0.5)-SUM($M240:Z240),('PTRM input'!$M$155*(1+rvanilla07)^0.5)/A13stdlife))</f>
        <v>0</v>
      </c>
      <c r="AB240" s="107">
        <f>IF(A13stdlife="n/a","n/a",IF(AB$3&gt;(A13stdlife+$E240),('PTRM input'!$M$155*(1+rvanilla07)^0.5)-SUM($M240:AA240),('PTRM input'!$M$155*(1+rvanilla07)^0.5)/A13stdlife))</f>
        <v>0</v>
      </c>
      <c r="AC240" s="107">
        <f>IF(A13stdlife="n/a","n/a",IF(AC$3&gt;(A13stdlife+$E240),('PTRM input'!$M$155*(1+rvanilla07)^0.5)-SUM($M240:AB240),('PTRM input'!$M$155*(1+rvanilla07)^0.5)/A13stdlife))</f>
        <v>0</v>
      </c>
      <c r="AD240" s="107">
        <f>IF(A13stdlife="n/a","n/a",IF(AD$3&gt;(A13stdlife+$E240),('PTRM input'!$M$155*(1+rvanilla07)^0.5)-SUM($M240:AC240),('PTRM input'!$M$155*(1+rvanilla07)^0.5)/A13stdlife))</f>
        <v>0</v>
      </c>
      <c r="AE240" s="107">
        <f>IF(A13stdlife="n/a","n/a",IF(AE$3&gt;(A13stdlife+$E240),('PTRM input'!$M$155*(1+rvanilla07)^0.5)-SUM($M240:AD240),('PTRM input'!$M$155*(1+rvanilla07)^0.5)/A13stdlife))</f>
        <v>0</v>
      </c>
      <c r="AF240" s="107">
        <f>IF(A13stdlife="n/a","n/a",IF(AF$3&gt;(A13stdlife+$E240),('PTRM input'!$M$155*(1+rvanilla07)^0.5)-SUM($M240:AE240),('PTRM input'!$M$155*(1+rvanilla07)^0.5)/A13stdlife))</f>
        <v>0</v>
      </c>
      <c r="AG240" s="107">
        <f>IF(A13stdlife="n/a","n/a",IF(AG$3&gt;(A13stdlife+$E240),('PTRM input'!$M$155*(1+rvanilla07)^0.5)-SUM($M240:AF240),('PTRM input'!$M$155*(1+rvanilla07)^0.5)/A13stdlife))</f>
        <v>0</v>
      </c>
      <c r="AH240" s="107">
        <f>IF(A13stdlife="n/a","n/a",IF(AH$3&gt;(A13stdlife+$E240),('PTRM input'!$M$155*(1+rvanilla07)^0.5)-SUM($M240:AG240),('PTRM input'!$M$155*(1+rvanilla07)^0.5)/A13stdlife))</f>
        <v>0</v>
      </c>
      <c r="AI240" s="107">
        <f>IF(A13stdlife="n/a","n/a",IF(AI$3&gt;(A13stdlife+$E240),('PTRM input'!$M$155*(1+rvanilla07)^0.5)-SUM($M240:AH240),('PTRM input'!$M$155*(1+rvanilla07)^0.5)/A13stdlife))</f>
        <v>0</v>
      </c>
      <c r="AJ240" s="107">
        <f>IF(A13stdlife="n/a","n/a",IF(AJ$3&gt;(A13stdlife+$E240),('PTRM input'!$M$155*(1+rvanilla07)^0.5)-SUM($M240:AI240),('PTRM input'!$M$155*(1+rvanilla07)^0.5)/A13stdlife))</f>
        <v>0</v>
      </c>
      <c r="AK240" s="107">
        <f>IF(A13stdlife="n/a","n/a",IF(AK$3&gt;(A13stdlife+$E240),('PTRM input'!$M$155*(1+rvanilla07)^0.5)-SUM($M240:AJ240),('PTRM input'!$M$155*(1+rvanilla07)^0.5)/A13stdlife))</f>
        <v>0</v>
      </c>
      <c r="AL240" s="107">
        <f>IF(A13stdlife="n/a","n/a",IF(AL$3&gt;(A13stdlife+$E240),('PTRM input'!$M$155*(1+rvanilla07)^0.5)-SUM($M240:AK240),('PTRM input'!$M$155*(1+rvanilla07)^0.5)/A13stdlife))</f>
        <v>0</v>
      </c>
      <c r="AM240" s="107">
        <f>IF(A13stdlife="n/a","n/a",IF(AM$3&gt;(A13stdlife+$E240),('PTRM input'!$M$155*(1+rvanilla07)^0.5)-SUM($M240:AL240),('PTRM input'!$M$155*(1+rvanilla07)^0.5)/A13stdlife))</f>
        <v>0</v>
      </c>
      <c r="AN240" s="107">
        <f>IF(A13stdlife="n/a","n/a",IF(AN$3&gt;(A13stdlife+$E240),('PTRM input'!$M$155*(1+rvanilla07)^0.5)-SUM($M240:AM240),('PTRM input'!$M$155*(1+rvanilla07)^0.5)/A13stdlife))</f>
        <v>0</v>
      </c>
      <c r="AO240" s="107">
        <f>IF(A13stdlife="n/a","n/a",IF(AO$3&gt;(A13stdlife+$E240),('PTRM input'!$M$155*(1+rvanilla07)^0.5)-SUM($M240:AN240),('PTRM input'!$M$155*(1+rvanilla07)^0.5)/A13stdlife))</f>
        <v>0</v>
      </c>
      <c r="AP240" s="107">
        <f>IF(A13stdlife="n/a","n/a",IF(AP$3&gt;(A13stdlife+$E240),('PTRM input'!$M$155*(1+rvanilla07)^0.5)-SUM($M240:AO240),('PTRM input'!$M$155*(1+rvanilla07)^0.5)/A13stdlife))</f>
        <v>0</v>
      </c>
      <c r="AQ240" s="107">
        <f>IF(A13stdlife="n/a","n/a",IF(AQ$3&gt;(A13stdlife+$E240),('PTRM input'!$M$155*(1+rvanilla07)^0.5)-SUM($M240:AP240),('PTRM input'!$M$155*(1+rvanilla07)^0.5)/A13stdlife))</f>
        <v>0</v>
      </c>
      <c r="AR240" s="107">
        <f>IF(A13stdlife="n/a","n/a",IF(AR$3&gt;(A13stdlife+$E240),('PTRM input'!$M$155*(1+rvanilla07)^0.5)-SUM($M240:AQ240),('PTRM input'!$M$155*(1+rvanilla07)^0.5)/A13stdlife))</f>
        <v>0</v>
      </c>
      <c r="AS240" s="107">
        <f>IF(A13stdlife="n/a","n/a",IF(AS$3&gt;(A13stdlife+$E240),('PTRM input'!$M$155*(1+rvanilla07)^0.5)-SUM($M240:AR240),('PTRM input'!$M$155*(1+rvanilla07)^0.5)/A13stdlife))</f>
        <v>0</v>
      </c>
      <c r="AT240" s="107">
        <f>IF(A13stdlife="n/a","n/a",IF(AT$3&gt;(A13stdlife+$E240),('PTRM input'!$M$155*(1+rvanilla07)^0.5)-SUM($M240:AS240),('PTRM input'!$M$155*(1+rvanilla07)^0.5)/A13stdlife))</f>
        <v>0</v>
      </c>
      <c r="AU240" s="107">
        <f>IF(A13stdlife="n/a","n/a",IF(AU$3&gt;(A13stdlife+$E240),('PTRM input'!$M$155*(1+rvanilla07)^0.5)-SUM($M240:AT240),('PTRM input'!$M$155*(1+rvanilla07)^0.5)/A13stdlife))</f>
        <v>0</v>
      </c>
      <c r="AV240" s="107">
        <f>IF(A13stdlife="n/a","n/a",IF(AV$3&gt;(A13stdlife+$E240),('PTRM input'!$M$155*(1+rvanilla07)^0.5)-SUM($M240:AU240),('PTRM input'!$M$155*(1+rvanilla07)^0.5)/A13stdlife))</f>
        <v>0</v>
      </c>
      <c r="AW240" s="107">
        <f>IF(A13stdlife="n/a","n/a",IF(AW$3&gt;(A13stdlife+$E240),('PTRM input'!$M$155*(1+rvanilla07)^0.5)-SUM($M240:AV240),('PTRM input'!$M$155*(1+rvanilla07)^0.5)/A13stdlife))</f>
        <v>0</v>
      </c>
      <c r="AX240" s="107">
        <f>IF(A13stdlife="n/a","n/a",IF(AX$3&gt;(A13stdlife+$E240),('PTRM input'!$M$155*(1+rvanilla07)^0.5)-SUM($M240:AW240),('PTRM input'!$M$155*(1+rvanilla07)^0.5)/A13stdlife))</f>
        <v>0</v>
      </c>
      <c r="AY240" s="107">
        <f>IF(A13stdlife="n/a","n/a",IF(AY$3&gt;(A13stdlife+$E240),('PTRM input'!$M$155*(1+rvanilla07)^0.5)-SUM($M240:AX240),('PTRM input'!$M$155*(1+rvanilla07)^0.5)/A13stdlife))</f>
        <v>0</v>
      </c>
      <c r="AZ240" s="107">
        <f>IF(A13stdlife="n/a","n/a",IF(AZ$3&gt;(A13stdlife+$E240),('PTRM input'!$M$155*(1+rvanilla07)^0.5)-SUM($M240:AY240),('PTRM input'!$M$155*(1+rvanilla07)^0.5)/A13stdlife))</f>
        <v>0</v>
      </c>
      <c r="BA240" s="107">
        <f>IF(A13stdlife="n/a","n/a",IF(BA$3&gt;(A13stdlife+$E240),('PTRM input'!$M$155*(1+rvanilla07)^0.5)-SUM($M240:AZ240),('PTRM input'!$M$155*(1+rvanilla07)^0.5)/A13stdlife))</f>
        <v>0</v>
      </c>
      <c r="BB240" s="107">
        <f>IF(A13stdlife="n/a","n/a",IF(BB$3&gt;(A13stdlife+$E240),('PTRM input'!$M$155*(1+rvanilla07)^0.5)-SUM($M240:BA240),('PTRM input'!$M$155*(1+rvanilla07)^0.5)/A13stdlife))</f>
        <v>0</v>
      </c>
      <c r="BC240" s="107">
        <f>IF(A13stdlife="n/a","n/a",IF(BC$3&gt;(A13stdlife+$E240),('PTRM input'!$M$155*(1+rvanilla07)^0.5)-SUM($M240:BB240),('PTRM input'!$M$155*(1+rvanilla07)^0.5)/A13stdlife))</f>
        <v>0</v>
      </c>
      <c r="BD240" s="107">
        <f>IF(A13stdlife="n/a","n/a",IF(BD$3&gt;(A13stdlife+$E240),('PTRM input'!$M$155*(1+rvanilla07)^0.5)-SUM($M240:BC240),('PTRM input'!$M$155*(1+rvanilla07)^0.5)/A13stdlife))</f>
        <v>0</v>
      </c>
      <c r="BE240" s="107">
        <f>IF(A13stdlife="n/a","n/a",IF(BE$3&gt;(A13stdlife+$E240),('PTRM input'!$M$155*(1+rvanilla07)^0.5)-SUM($M240:BD240),('PTRM input'!$M$155*(1+rvanilla07)^0.5)/A13stdlife))</f>
        <v>0</v>
      </c>
      <c r="BF240" s="107">
        <f>IF(A13stdlife="n/a","n/a",IF(BF$3&gt;(A13stdlife+$E240),('PTRM input'!$M$155*(1+rvanilla07)^0.5)-SUM($M240:BE240),('PTRM input'!$M$155*(1+rvanilla07)^0.5)/A13stdlife))</f>
        <v>0</v>
      </c>
      <c r="BG240" s="107">
        <f>IF(A13stdlife="n/a","n/a",IF(BG$3&gt;(A13stdlife+$E240),('PTRM input'!$M$155*(1+rvanilla07)^0.5)-SUM($M240:BF240),('PTRM input'!$M$155*(1+rvanilla07)^0.5)/A13stdlife))</f>
        <v>0</v>
      </c>
      <c r="BH240" s="107">
        <f>IF(A13stdlife="n/a","n/a",IF(BH$3&gt;(A13stdlife+$E240),('PTRM input'!$M$155*(1+rvanilla07)^0.5)-SUM($M240:BG240),('PTRM input'!$M$155*(1+rvanilla07)^0.5)/A13stdlife))</f>
        <v>0</v>
      </c>
      <c r="BI240" s="107">
        <f>IF(A13stdlife="n/a","n/a",IF(BI$3&gt;(A13stdlife+$E240),('PTRM input'!$M$155*(1+rvanilla07)^0.5)-SUM($M240:BH240),('PTRM input'!$M$155*(1+rvanilla07)^0.5)/A13stdlife))</f>
        <v>0</v>
      </c>
      <c r="BJ240" s="237"/>
      <c r="BK240" s="237"/>
      <c r="BL240" s="237"/>
      <c r="BM240" s="237"/>
    </row>
    <row r="241" spans="1:65" s="190" customFormat="1" hidden="1" outlineLevel="2">
      <c r="A241" s="237"/>
      <c r="B241" s="33"/>
      <c r="C241" s="32"/>
      <c r="D241" s="1618"/>
      <c r="E241" s="169">
        <v>8</v>
      </c>
      <c r="F241" s="35"/>
      <c r="G241" s="184"/>
      <c r="H241" s="186"/>
      <c r="I241" s="186"/>
      <c r="J241" s="186"/>
      <c r="K241" s="186"/>
      <c r="L241" s="186"/>
      <c r="M241" s="186"/>
      <c r="N241" s="185"/>
      <c r="O241" s="107">
        <f>IF(A13stdlife="n/a","n/a",IF(O$3&gt;(A13stdlife+$E241),('PTRM input'!$N$155*(1+rvanilla08)^0.5)-SUM($N241:N241),('PTRM input'!$N$155*(1+rvanilla08)^0.5)/A13stdlife))</f>
        <v>0</v>
      </c>
      <c r="P241" s="107">
        <f>IF(A13stdlife="n/a","n/a",IF(P$3&gt;(A13stdlife+$E241),('PTRM input'!$N$155*(1+rvanilla08)^0.5)-SUM($N241:O241),('PTRM input'!$N$155*(1+rvanilla08)^0.5)/A13stdlife))</f>
        <v>0</v>
      </c>
      <c r="Q241" s="107">
        <f>IF(A13stdlife="n/a","n/a",IF(Q$3&gt;(A13stdlife+$E241),('PTRM input'!$N$155*(1+rvanilla08)^0.5)-SUM($N241:P241),('PTRM input'!$N$155*(1+rvanilla08)^0.5)/A13stdlife))</f>
        <v>0</v>
      </c>
      <c r="R241" s="107">
        <f>IF(A13stdlife="n/a","n/a",IF(R$3&gt;(A13stdlife+$E241),('PTRM input'!$N$155*(1+rvanilla08)^0.5)-SUM($N241:Q241),('PTRM input'!$N$155*(1+rvanilla08)^0.5)/A13stdlife))</f>
        <v>0</v>
      </c>
      <c r="S241" s="107">
        <f>IF(A13stdlife="n/a","n/a",IF(S$3&gt;(A13stdlife+$E241),('PTRM input'!$N$155*(1+rvanilla08)^0.5)-SUM($N241:R241),('PTRM input'!$N$155*(1+rvanilla08)^0.5)/A13stdlife))</f>
        <v>0</v>
      </c>
      <c r="T241" s="107">
        <f>IF(A13stdlife="n/a","n/a",IF(T$3&gt;(A13stdlife+$E241),('PTRM input'!$N$155*(1+rvanilla08)^0.5)-SUM($N241:S241),('PTRM input'!$N$155*(1+rvanilla08)^0.5)/A13stdlife))</f>
        <v>0</v>
      </c>
      <c r="U241" s="107">
        <f>IF(A13stdlife="n/a","n/a",IF(U$3&gt;(A13stdlife+$E241),('PTRM input'!$N$155*(1+rvanilla08)^0.5)-SUM($N241:T241),('PTRM input'!$N$155*(1+rvanilla08)^0.5)/A13stdlife))</f>
        <v>0</v>
      </c>
      <c r="V241" s="107">
        <f>IF(A13stdlife="n/a","n/a",IF(V$3&gt;(A13stdlife+$E241),('PTRM input'!$N$155*(1+rvanilla08)^0.5)-SUM($N241:U241),('PTRM input'!$N$155*(1+rvanilla08)^0.5)/A13stdlife))</f>
        <v>0</v>
      </c>
      <c r="W241" s="107">
        <f>IF(A13stdlife="n/a","n/a",IF(W$3&gt;(A13stdlife+$E241),('PTRM input'!$N$155*(1+rvanilla08)^0.5)-SUM($N241:V241),('PTRM input'!$N$155*(1+rvanilla08)^0.5)/A13stdlife))</f>
        <v>0</v>
      </c>
      <c r="X241" s="107">
        <f>IF(A13stdlife="n/a","n/a",IF(X$3&gt;(A13stdlife+$E241),('PTRM input'!$N$155*(1+rvanilla08)^0.5)-SUM($N241:W241),('PTRM input'!$N$155*(1+rvanilla08)^0.5)/A13stdlife))</f>
        <v>0</v>
      </c>
      <c r="Y241" s="107">
        <f>IF(A13stdlife="n/a","n/a",IF(Y$3&gt;(A13stdlife+$E241),('PTRM input'!$N$155*(1+rvanilla08)^0.5)-SUM($N241:X241),('PTRM input'!$N$155*(1+rvanilla08)^0.5)/A13stdlife))</f>
        <v>0</v>
      </c>
      <c r="Z241" s="107">
        <f>IF(A13stdlife="n/a","n/a",IF(Z$3&gt;(A13stdlife+$E241),('PTRM input'!$N$155*(1+rvanilla08)^0.5)-SUM($N241:Y241),('PTRM input'!$N$155*(1+rvanilla08)^0.5)/A13stdlife))</f>
        <v>0</v>
      </c>
      <c r="AA241" s="107">
        <f>IF(A13stdlife="n/a","n/a",IF(AA$3&gt;(A13stdlife+$E241),('PTRM input'!$N$155*(1+rvanilla08)^0.5)-SUM($N241:Z241),('PTRM input'!$N$155*(1+rvanilla08)^0.5)/A13stdlife))</f>
        <v>0</v>
      </c>
      <c r="AB241" s="107">
        <f>IF(A13stdlife="n/a","n/a",IF(AB$3&gt;(A13stdlife+$E241),('PTRM input'!$N$155*(1+rvanilla08)^0.5)-SUM($N241:AA241),('PTRM input'!$N$155*(1+rvanilla08)^0.5)/A13stdlife))</f>
        <v>0</v>
      </c>
      <c r="AC241" s="107">
        <f>IF(A13stdlife="n/a","n/a",IF(AC$3&gt;(A13stdlife+$E241),('PTRM input'!$N$155*(1+rvanilla08)^0.5)-SUM($N241:AB241),('PTRM input'!$N$155*(1+rvanilla08)^0.5)/A13stdlife))</f>
        <v>0</v>
      </c>
      <c r="AD241" s="107">
        <f>IF(A13stdlife="n/a","n/a",IF(AD$3&gt;(A13stdlife+$E241),('PTRM input'!$N$155*(1+rvanilla08)^0.5)-SUM($N241:AC241),('PTRM input'!$N$155*(1+rvanilla08)^0.5)/A13stdlife))</f>
        <v>0</v>
      </c>
      <c r="AE241" s="107">
        <f>IF(A13stdlife="n/a","n/a",IF(AE$3&gt;(A13stdlife+$E241),('PTRM input'!$N$155*(1+rvanilla08)^0.5)-SUM($N241:AD241),('PTRM input'!$N$155*(1+rvanilla08)^0.5)/A13stdlife))</f>
        <v>0</v>
      </c>
      <c r="AF241" s="107">
        <f>IF(A13stdlife="n/a","n/a",IF(AF$3&gt;(A13stdlife+$E241),('PTRM input'!$N$155*(1+rvanilla08)^0.5)-SUM($N241:AE241),('PTRM input'!$N$155*(1+rvanilla08)^0.5)/A13stdlife))</f>
        <v>0</v>
      </c>
      <c r="AG241" s="107">
        <f>IF(A13stdlife="n/a","n/a",IF(AG$3&gt;(A13stdlife+$E241),('PTRM input'!$N$155*(1+rvanilla08)^0.5)-SUM($N241:AF241),('PTRM input'!$N$155*(1+rvanilla08)^0.5)/A13stdlife))</f>
        <v>0</v>
      </c>
      <c r="AH241" s="107">
        <f>IF(A13stdlife="n/a","n/a",IF(AH$3&gt;(A13stdlife+$E241),('PTRM input'!$N$155*(1+rvanilla08)^0.5)-SUM($N241:AG241),('PTRM input'!$N$155*(1+rvanilla08)^0.5)/A13stdlife))</f>
        <v>0</v>
      </c>
      <c r="AI241" s="107">
        <f>IF(A13stdlife="n/a","n/a",IF(AI$3&gt;(A13stdlife+$E241),('PTRM input'!$N$155*(1+rvanilla08)^0.5)-SUM($N241:AH241),('PTRM input'!$N$155*(1+rvanilla08)^0.5)/A13stdlife))</f>
        <v>0</v>
      </c>
      <c r="AJ241" s="107">
        <f>IF(A13stdlife="n/a","n/a",IF(AJ$3&gt;(A13stdlife+$E241),('PTRM input'!$N$155*(1+rvanilla08)^0.5)-SUM($N241:AI241),('PTRM input'!$N$155*(1+rvanilla08)^0.5)/A13stdlife))</f>
        <v>0</v>
      </c>
      <c r="AK241" s="107">
        <f>IF(A13stdlife="n/a","n/a",IF(AK$3&gt;(A13stdlife+$E241),('PTRM input'!$N$155*(1+rvanilla08)^0.5)-SUM($N241:AJ241),('PTRM input'!$N$155*(1+rvanilla08)^0.5)/A13stdlife))</f>
        <v>0</v>
      </c>
      <c r="AL241" s="107">
        <f>IF(A13stdlife="n/a","n/a",IF(AL$3&gt;(A13stdlife+$E241),('PTRM input'!$N$155*(1+rvanilla08)^0.5)-SUM($N241:AK241),('PTRM input'!$N$155*(1+rvanilla08)^0.5)/A13stdlife))</f>
        <v>0</v>
      </c>
      <c r="AM241" s="107">
        <f>IF(A13stdlife="n/a","n/a",IF(AM$3&gt;(A13stdlife+$E241),('PTRM input'!$N$155*(1+rvanilla08)^0.5)-SUM($N241:AL241),('PTRM input'!$N$155*(1+rvanilla08)^0.5)/A13stdlife))</f>
        <v>0</v>
      </c>
      <c r="AN241" s="107">
        <f>IF(A13stdlife="n/a","n/a",IF(AN$3&gt;(A13stdlife+$E241),('PTRM input'!$N$155*(1+rvanilla08)^0.5)-SUM($N241:AM241),('PTRM input'!$N$155*(1+rvanilla08)^0.5)/A13stdlife))</f>
        <v>0</v>
      </c>
      <c r="AO241" s="107">
        <f>IF(A13stdlife="n/a","n/a",IF(AO$3&gt;(A13stdlife+$E241),('PTRM input'!$N$155*(1+rvanilla08)^0.5)-SUM($N241:AN241),('PTRM input'!$N$155*(1+rvanilla08)^0.5)/A13stdlife))</f>
        <v>0</v>
      </c>
      <c r="AP241" s="107">
        <f>IF(A13stdlife="n/a","n/a",IF(AP$3&gt;(A13stdlife+$E241),('PTRM input'!$N$155*(1+rvanilla08)^0.5)-SUM($N241:AO241),('PTRM input'!$N$155*(1+rvanilla08)^0.5)/A13stdlife))</f>
        <v>0</v>
      </c>
      <c r="AQ241" s="107">
        <f>IF(A13stdlife="n/a","n/a",IF(AQ$3&gt;(A13stdlife+$E241),('PTRM input'!$N$155*(1+rvanilla08)^0.5)-SUM($N241:AP241),('PTRM input'!$N$155*(1+rvanilla08)^0.5)/A13stdlife))</f>
        <v>0</v>
      </c>
      <c r="AR241" s="107">
        <f>IF(A13stdlife="n/a","n/a",IF(AR$3&gt;(A13stdlife+$E241),('PTRM input'!$N$155*(1+rvanilla08)^0.5)-SUM($N241:AQ241),('PTRM input'!$N$155*(1+rvanilla08)^0.5)/A13stdlife))</f>
        <v>0</v>
      </c>
      <c r="AS241" s="107">
        <f>IF(A13stdlife="n/a","n/a",IF(AS$3&gt;(A13stdlife+$E241),('PTRM input'!$N$155*(1+rvanilla08)^0.5)-SUM($N241:AR241),('PTRM input'!$N$155*(1+rvanilla08)^0.5)/A13stdlife))</f>
        <v>0</v>
      </c>
      <c r="AT241" s="107">
        <f>IF(A13stdlife="n/a","n/a",IF(AT$3&gt;(A13stdlife+$E241),('PTRM input'!$N$155*(1+rvanilla08)^0.5)-SUM($N241:AS241),('PTRM input'!$N$155*(1+rvanilla08)^0.5)/A13stdlife))</f>
        <v>0</v>
      </c>
      <c r="AU241" s="107">
        <f>IF(A13stdlife="n/a","n/a",IF(AU$3&gt;(A13stdlife+$E241),('PTRM input'!$N$155*(1+rvanilla08)^0.5)-SUM($N241:AT241),('PTRM input'!$N$155*(1+rvanilla08)^0.5)/A13stdlife))</f>
        <v>0</v>
      </c>
      <c r="AV241" s="107">
        <f>IF(A13stdlife="n/a","n/a",IF(AV$3&gt;(A13stdlife+$E241),('PTRM input'!$N$155*(1+rvanilla08)^0.5)-SUM($N241:AU241),('PTRM input'!$N$155*(1+rvanilla08)^0.5)/A13stdlife))</f>
        <v>0</v>
      </c>
      <c r="AW241" s="107">
        <f>IF(A13stdlife="n/a","n/a",IF(AW$3&gt;(A13stdlife+$E241),('PTRM input'!$N$155*(1+rvanilla08)^0.5)-SUM($N241:AV241),('PTRM input'!$N$155*(1+rvanilla08)^0.5)/A13stdlife))</f>
        <v>0</v>
      </c>
      <c r="AX241" s="107">
        <f>IF(A13stdlife="n/a","n/a",IF(AX$3&gt;(A13stdlife+$E241),('PTRM input'!$N$155*(1+rvanilla08)^0.5)-SUM($N241:AW241),('PTRM input'!$N$155*(1+rvanilla08)^0.5)/A13stdlife))</f>
        <v>0</v>
      </c>
      <c r="AY241" s="107">
        <f>IF(A13stdlife="n/a","n/a",IF(AY$3&gt;(A13stdlife+$E241),('PTRM input'!$N$155*(1+rvanilla08)^0.5)-SUM($N241:AX241),('PTRM input'!$N$155*(1+rvanilla08)^0.5)/A13stdlife))</f>
        <v>0</v>
      </c>
      <c r="AZ241" s="107">
        <f>IF(A13stdlife="n/a","n/a",IF(AZ$3&gt;(A13stdlife+$E241),('PTRM input'!$N$155*(1+rvanilla08)^0.5)-SUM($N241:AY241),('PTRM input'!$N$155*(1+rvanilla08)^0.5)/A13stdlife))</f>
        <v>0</v>
      </c>
      <c r="BA241" s="107">
        <f>IF(A13stdlife="n/a","n/a",IF(BA$3&gt;(A13stdlife+$E241),('PTRM input'!$N$155*(1+rvanilla08)^0.5)-SUM($N241:AZ241),('PTRM input'!$N$155*(1+rvanilla08)^0.5)/A13stdlife))</f>
        <v>0</v>
      </c>
      <c r="BB241" s="107">
        <f>IF(A13stdlife="n/a","n/a",IF(BB$3&gt;(A13stdlife+$E241),('PTRM input'!$N$155*(1+rvanilla08)^0.5)-SUM($N241:BA241),('PTRM input'!$N$155*(1+rvanilla08)^0.5)/A13stdlife))</f>
        <v>0</v>
      </c>
      <c r="BC241" s="107">
        <f>IF(A13stdlife="n/a","n/a",IF(BC$3&gt;(A13stdlife+$E241),('PTRM input'!$N$155*(1+rvanilla08)^0.5)-SUM($N241:BB241),('PTRM input'!$N$155*(1+rvanilla08)^0.5)/A13stdlife))</f>
        <v>0</v>
      </c>
      <c r="BD241" s="107">
        <f>IF(A13stdlife="n/a","n/a",IF(BD$3&gt;(A13stdlife+$E241),('PTRM input'!$N$155*(1+rvanilla08)^0.5)-SUM($N241:BC241),('PTRM input'!$N$155*(1+rvanilla08)^0.5)/A13stdlife))</f>
        <v>0</v>
      </c>
      <c r="BE241" s="107">
        <f>IF(A13stdlife="n/a","n/a",IF(BE$3&gt;(A13stdlife+$E241),('PTRM input'!$N$155*(1+rvanilla08)^0.5)-SUM($N241:BD241),('PTRM input'!$N$155*(1+rvanilla08)^0.5)/A13stdlife))</f>
        <v>0</v>
      </c>
      <c r="BF241" s="107">
        <f>IF(A13stdlife="n/a","n/a",IF(BF$3&gt;(A13stdlife+$E241),('PTRM input'!$N$155*(1+rvanilla08)^0.5)-SUM($N241:BE241),('PTRM input'!$N$155*(1+rvanilla08)^0.5)/A13stdlife))</f>
        <v>0</v>
      </c>
      <c r="BG241" s="107">
        <f>IF(A13stdlife="n/a","n/a",IF(BG$3&gt;(A13stdlife+$E241),('PTRM input'!$N$155*(1+rvanilla08)^0.5)-SUM($N241:BF241),('PTRM input'!$N$155*(1+rvanilla08)^0.5)/A13stdlife))</f>
        <v>0</v>
      </c>
      <c r="BH241" s="107">
        <f>IF(A13stdlife="n/a","n/a",IF(BH$3&gt;(A13stdlife+$E241),('PTRM input'!$N$155*(1+rvanilla08)^0.5)-SUM($N241:BG241),('PTRM input'!$N$155*(1+rvanilla08)^0.5)/A13stdlife))</f>
        <v>0</v>
      </c>
      <c r="BI241" s="107">
        <f>IF(A13stdlife="n/a","n/a",IF(BI$3&gt;(A13stdlife+$E241),('PTRM input'!$N$155*(1+rvanilla08)^0.5)-SUM($N241:BH241),('PTRM input'!$N$155*(1+rvanilla08)^0.5)/A13stdlife))</f>
        <v>0</v>
      </c>
      <c r="BJ241" s="237"/>
      <c r="BK241" s="237"/>
      <c r="BL241" s="237"/>
      <c r="BM241" s="237"/>
    </row>
    <row r="242" spans="1:65" s="190" customFormat="1" hidden="1" outlineLevel="2">
      <c r="A242" s="237"/>
      <c r="B242" s="33"/>
      <c r="C242" s="32"/>
      <c r="D242" s="1618"/>
      <c r="E242" s="169">
        <v>9</v>
      </c>
      <c r="F242" s="35"/>
      <c r="G242" s="184"/>
      <c r="H242" s="186"/>
      <c r="I242" s="186"/>
      <c r="J242" s="186"/>
      <c r="K242" s="186"/>
      <c r="L242" s="186"/>
      <c r="M242" s="186"/>
      <c r="N242" s="186"/>
      <c r="O242" s="185"/>
      <c r="P242" s="107">
        <f>IF(A13stdlife="n/a","n/a",IF(P$3&gt;(A13stdlife+$E242),('PTRM input'!$O$155*(1+rvanilla09)^0.5)-SUM($O242:O242),('PTRM input'!$O$155*(1+rvanilla09)^0.5)/A13stdlife))</f>
        <v>0</v>
      </c>
      <c r="Q242" s="107">
        <f>IF(A13stdlife="n/a","n/a",IF(Q$3&gt;(A13stdlife+$E242),('PTRM input'!$O$155*(1+rvanilla09)^0.5)-SUM($O242:P242),('PTRM input'!$O$155*(1+rvanilla09)^0.5)/A13stdlife))</f>
        <v>0</v>
      </c>
      <c r="R242" s="107">
        <f>IF(A13stdlife="n/a","n/a",IF(R$3&gt;(A13stdlife+$E242),('PTRM input'!$O$155*(1+rvanilla09)^0.5)-SUM($O242:Q242),('PTRM input'!$O$155*(1+rvanilla09)^0.5)/A13stdlife))</f>
        <v>0</v>
      </c>
      <c r="S242" s="107">
        <f>IF(A13stdlife="n/a","n/a",IF(S$3&gt;(A13stdlife+$E242),('PTRM input'!$O$155*(1+rvanilla09)^0.5)-SUM($O242:R242),('PTRM input'!$O$155*(1+rvanilla09)^0.5)/A13stdlife))</f>
        <v>0</v>
      </c>
      <c r="T242" s="107">
        <f>IF(A13stdlife="n/a","n/a",IF(T$3&gt;(A13stdlife+$E242),('PTRM input'!$O$155*(1+rvanilla09)^0.5)-SUM($O242:S242),('PTRM input'!$O$155*(1+rvanilla09)^0.5)/A13stdlife))</f>
        <v>0</v>
      </c>
      <c r="U242" s="107">
        <f>IF(A13stdlife="n/a","n/a",IF(U$3&gt;(A13stdlife+$E242),('PTRM input'!$O$155*(1+rvanilla09)^0.5)-SUM($O242:T242),('PTRM input'!$O$155*(1+rvanilla09)^0.5)/A13stdlife))</f>
        <v>0</v>
      </c>
      <c r="V242" s="107">
        <f>IF(A13stdlife="n/a","n/a",IF(V$3&gt;(A13stdlife+$E242),('PTRM input'!$O$155*(1+rvanilla09)^0.5)-SUM($O242:U242),('PTRM input'!$O$155*(1+rvanilla09)^0.5)/A13stdlife))</f>
        <v>0</v>
      </c>
      <c r="W242" s="107">
        <f>IF(A13stdlife="n/a","n/a",IF(W$3&gt;(A13stdlife+$E242),('PTRM input'!$O$155*(1+rvanilla09)^0.5)-SUM($O242:V242),('PTRM input'!$O$155*(1+rvanilla09)^0.5)/A13stdlife))</f>
        <v>0</v>
      </c>
      <c r="X242" s="107">
        <f>IF(A13stdlife="n/a","n/a",IF(X$3&gt;(A13stdlife+$E242),('PTRM input'!$O$155*(1+rvanilla09)^0.5)-SUM($O242:W242),('PTRM input'!$O$155*(1+rvanilla09)^0.5)/A13stdlife))</f>
        <v>0</v>
      </c>
      <c r="Y242" s="107">
        <f>IF(A13stdlife="n/a","n/a",IF(Y$3&gt;(A13stdlife+$E242),('PTRM input'!$O$155*(1+rvanilla09)^0.5)-SUM($O242:X242),('PTRM input'!$O$155*(1+rvanilla09)^0.5)/A13stdlife))</f>
        <v>0</v>
      </c>
      <c r="Z242" s="107">
        <f>IF(A13stdlife="n/a","n/a",IF(Z$3&gt;(A13stdlife+$E242),('PTRM input'!$O$155*(1+rvanilla09)^0.5)-SUM($O242:Y242),('PTRM input'!$O$155*(1+rvanilla09)^0.5)/A13stdlife))</f>
        <v>0</v>
      </c>
      <c r="AA242" s="107">
        <f>IF(A13stdlife="n/a","n/a",IF(AA$3&gt;(A13stdlife+$E242),('PTRM input'!$O$155*(1+rvanilla09)^0.5)-SUM($O242:Z242),('PTRM input'!$O$155*(1+rvanilla09)^0.5)/A13stdlife))</f>
        <v>0</v>
      </c>
      <c r="AB242" s="107">
        <f>IF(A13stdlife="n/a","n/a",IF(AB$3&gt;(A13stdlife+$E242),('PTRM input'!$O$155*(1+rvanilla09)^0.5)-SUM($O242:AA242),('PTRM input'!$O$155*(1+rvanilla09)^0.5)/A13stdlife))</f>
        <v>0</v>
      </c>
      <c r="AC242" s="107">
        <f>IF(A13stdlife="n/a","n/a",IF(AC$3&gt;(A13stdlife+$E242),('PTRM input'!$O$155*(1+rvanilla09)^0.5)-SUM($O242:AB242),('PTRM input'!$O$155*(1+rvanilla09)^0.5)/A13stdlife))</f>
        <v>0</v>
      </c>
      <c r="AD242" s="107">
        <f>IF(A13stdlife="n/a","n/a",IF(AD$3&gt;(A13stdlife+$E242),('PTRM input'!$O$155*(1+rvanilla09)^0.5)-SUM($O242:AC242),('PTRM input'!$O$155*(1+rvanilla09)^0.5)/A13stdlife))</f>
        <v>0</v>
      </c>
      <c r="AE242" s="107">
        <f>IF(A13stdlife="n/a","n/a",IF(AE$3&gt;(A13stdlife+$E242),('PTRM input'!$O$155*(1+rvanilla09)^0.5)-SUM($O242:AD242),('PTRM input'!$O$155*(1+rvanilla09)^0.5)/A13stdlife))</f>
        <v>0</v>
      </c>
      <c r="AF242" s="107">
        <f>IF(A13stdlife="n/a","n/a",IF(AF$3&gt;(A13stdlife+$E242),('PTRM input'!$O$155*(1+rvanilla09)^0.5)-SUM($O242:AE242),('PTRM input'!$O$155*(1+rvanilla09)^0.5)/A13stdlife))</f>
        <v>0</v>
      </c>
      <c r="AG242" s="107">
        <f>IF(A13stdlife="n/a","n/a",IF(AG$3&gt;(A13stdlife+$E242),('PTRM input'!$O$155*(1+rvanilla09)^0.5)-SUM($O242:AF242),('PTRM input'!$O$155*(1+rvanilla09)^0.5)/A13stdlife))</f>
        <v>0</v>
      </c>
      <c r="AH242" s="107">
        <f>IF(A13stdlife="n/a","n/a",IF(AH$3&gt;(A13stdlife+$E242),('PTRM input'!$O$155*(1+rvanilla09)^0.5)-SUM($O242:AG242),('PTRM input'!$O$155*(1+rvanilla09)^0.5)/A13stdlife))</f>
        <v>0</v>
      </c>
      <c r="AI242" s="107">
        <f>IF(A13stdlife="n/a","n/a",IF(AI$3&gt;(A13stdlife+$E242),('PTRM input'!$O$155*(1+rvanilla09)^0.5)-SUM($O242:AH242),('PTRM input'!$O$155*(1+rvanilla09)^0.5)/A13stdlife))</f>
        <v>0</v>
      </c>
      <c r="AJ242" s="107">
        <f>IF(A13stdlife="n/a","n/a",IF(AJ$3&gt;(A13stdlife+$E242),('PTRM input'!$O$155*(1+rvanilla09)^0.5)-SUM($O242:AI242),('PTRM input'!$O$155*(1+rvanilla09)^0.5)/A13stdlife))</f>
        <v>0</v>
      </c>
      <c r="AK242" s="107">
        <f>IF(A13stdlife="n/a","n/a",IF(AK$3&gt;(A13stdlife+$E242),('PTRM input'!$O$155*(1+rvanilla09)^0.5)-SUM($O242:AJ242),('PTRM input'!$O$155*(1+rvanilla09)^0.5)/A13stdlife))</f>
        <v>0</v>
      </c>
      <c r="AL242" s="107">
        <f>IF(A13stdlife="n/a","n/a",IF(AL$3&gt;(A13stdlife+$E242),('PTRM input'!$O$155*(1+rvanilla09)^0.5)-SUM($O242:AK242),('PTRM input'!$O$155*(1+rvanilla09)^0.5)/A13stdlife))</f>
        <v>0</v>
      </c>
      <c r="AM242" s="107">
        <f>IF(A13stdlife="n/a","n/a",IF(AM$3&gt;(A13stdlife+$E242),('PTRM input'!$O$155*(1+rvanilla09)^0.5)-SUM($O242:AL242),('PTRM input'!$O$155*(1+rvanilla09)^0.5)/A13stdlife))</f>
        <v>0</v>
      </c>
      <c r="AN242" s="107">
        <f>IF(A13stdlife="n/a","n/a",IF(AN$3&gt;(A13stdlife+$E242),('PTRM input'!$O$155*(1+rvanilla09)^0.5)-SUM($O242:AM242),('PTRM input'!$O$155*(1+rvanilla09)^0.5)/A13stdlife))</f>
        <v>0</v>
      </c>
      <c r="AO242" s="107">
        <f>IF(A13stdlife="n/a","n/a",IF(AO$3&gt;(A13stdlife+$E242),('PTRM input'!$O$155*(1+rvanilla09)^0.5)-SUM($O242:AN242),('PTRM input'!$O$155*(1+rvanilla09)^0.5)/A13stdlife))</f>
        <v>0</v>
      </c>
      <c r="AP242" s="107">
        <f>IF(A13stdlife="n/a","n/a",IF(AP$3&gt;(A13stdlife+$E242),('PTRM input'!$O$155*(1+rvanilla09)^0.5)-SUM($O242:AO242),('PTRM input'!$O$155*(1+rvanilla09)^0.5)/A13stdlife))</f>
        <v>0</v>
      </c>
      <c r="AQ242" s="107">
        <f>IF(A13stdlife="n/a","n/a",IF(AQ$3&gt;(A13stdlife+$E242),('PTRM input'!$O$155*(1+rvanilla09)^0.5)-SUM($O242:AP242),('PTRM input'!$O$155*(1+rvanilla09)^0.5)/A13stdlife))</f>
        <v>0</v>
      </c>
      <c r="AR242" s="107">
        <f>IF(A13stdlife="n/a","n/a",IF(AR$3&gt;(A13stdlife+$E242),('PTRM input'!$O$155*(1+rvanilla09)^0.5)-SUM($O242:AQ242),('PTRM input'!$O$155*(1+rvanilla09)^0.5)/A13stdlife))</f>
        <v>0</v>
      </c>
      <c r="AS242" s="107">
        <f>IF(A13stdlife="n/a","n/a",IF(AS$3&gt;(A13stdlife+$E242),('PTRM input'!$O$155*(1+rvanilla09)^0.5)-SUM($O242:AR242),('PTRM input'!$O$155*(1+rvanilla09)^0.5)/A13stdlife))</f>
        <v>0</v>
      </c>
      <c r="AT242" s="107">
        <f>IF(A13stdlife="n/a","n/a",IF(AT$3&gt;(A13stdlife+$E242),('PTRM input'!$O$155*(1+rvanilla09)^0.5)-SUM($O242:AS242),('PTRM input'!$O$155*(1+rvanilla09)^0.5)/A13stdlife))</f>
        <v>0</v>
      </c>
      <c r="AU242" s="107">
        <f>IF(A13stdlife="n/a","n/a",IF(AU$3&gt;(A13stdlife+$E242),('PTRM input'!$O$155*(1+rvanilla09)^0.5)-SUM($O242:AT242),('PTRM input'!$O$155*(1+rvanilla09)^0.5)/A13stdlife))</f>
        <v>0</v>
      </c>
      <c r="AV242" s="107">
        <f>IF(A13stdlife="n/a","n/a",IF(AV$3&gt;(A13stdlife+$E242),('PTRM input'!$O$155*(1+rvanilla09)^0.5)-SUM($O242:AU242),('PTRM input'!$O$155*(1+rvanilla09)^0.5)/A13stdlife))</f>
        <v>0</v>
      </c>
      <c r="AW242" s="107">
        <f>IF(A13stdlife="n/a","n/a",IF(AW$3&gt;(A13stdlife+$E242),('PTRM input'!$O$155*(1+rvanilla09)^0.5)-SUM($O242:AV242),('PTRM input'!$O$155*(1+rvanilla09)^0.5)/A13stdlife))</f>
        <v>0</v>
      </c>
      <c r="AX242" s="107">
        <f>IF(A13stdlife="n/a","n/a",IF(AX$3&gt;(A13stdlife+$E242),('PTRM input'!$O$155*(1+rvanilla09)^0.5)-SUM($O242:AW242),('PTRM input'!$O$155*(1+rvanilla09)^0.5)/A13stdlife))</f>
        <v>0</v>
      </c>
      <c r="AY242" s="107">
        <f>IF(A13stdlife="n/a","n/a",IF(AY$3&gt;(A13stdlife+$E242),('PTRM input'!$O$155*(1+rvanilla09)^0.5)-SUM($O242:AX242),('PTRM input'!$O$155*(1+rvanilla09)^0.5)/A13stdlife))</f>
        <v>0</v>
      </c>
      <c r="AZ242" s="107">
        <f>IF(A13stdlife="n/a","n/a",IF(AZ$3&gt;(A13stdlife+$E242),('PTRM input'!$O$155*(1+rvanilla09)^0.5)-SUM($O242:AY242),('PTRM input'!$O$155*(1+rvanilla09)^0.5)/A13stdlife))</f>
        <v>0</v>
      </c>
      <c r="BA242" s="107">
        <f>IF(A13stdlife="n/a","n/a",IF(BA$3&gt;(A13stdlife+$E242),('PTRM input'!$O$155*(1+rvanilla09)^0.5)-SUM($O242:AZ242),('PTRM input'!$O$155*(1+rvanilla09)^0.5)/A13stdlife))</f>
        <v>0</v>
      </c>
      <c r="BB242" s="107">
        <f>IF(A13stdlife="n/a","n/a",IF(BB$3&gt;(A13stdlife+$E242),('PTRM input'!$O$155*(1+rvanilla09)^0.5)-SUM($O242:BA242),('PTRM input'!$O$155*(1+rvanilla09)^0.5)/A13stdlife))</f>
        <v>0</v>
      </c>
      <c r="BC242" s="107">
        <f>IF(A13stdlife="n/a","n/a",IF(BC$3&gt;(A13stdlife+$E242),('PTRM input'!$O$155*(1+rvanilla09)^0.5)-SUM($O242:BB242),('PTRM input'!$O$155*(1+rvanilla09)^0.5)/A13stdlife))</f>
        <v>0</v>
      </c>
      <c r="BD242" s="107">
        <f>IF(A13stdlife="n/a","n/a",IF(BD$3&gt;(A13stdlife+$E242),('PTRM input'!$O$155*(1+rvanilla09)^0.5)-SUM($O242:BC242),('PTRM input'!$O$155*(1+rvanilla09)^0.5)/A13stdlife))</f>
        <v>0</v>
      </c>
      <c r="BE242" s="107">
        <f>IF(A13stdlife="n/a","n/a",IF(BE$3&gt;(A13stdlife+$E242),('PTRM input'!$O$155*(1+rvanilla09)^0.5)-SUM($O242:BD242),('PTRM input'!$O$155*(1+rvanilla09)^0.5)/A13stdlife))</f>
        <v>0</v>
      </c>
      <c r="BF242" s="107">
        <f>IF(A13stdlife="n/a","n/a",IF(BF$3&gt;(A13stdlife+$E242),('PTRM input'!$O$155*(1+rvanilla09)^0.5)-SUM($O242:BE242),('PTRM input'!$O$155*(1+rvanilla09)^0.5)/A13stdlife))</f>
        <v>0</v>
      </c>
      <c r="BG242" s="107">
        <f>IF(A13stdlife="n/a","n/a",IF(BG$3&gt;(A13stdlife+$E242),('PTRM input'!$O$155*(1+rvanilla09)^0.5)-SUM($O242:BF242),('PTRM input'!$O$155*(1+rvanilla09)^0.5)/A13stdlife))</f>
        <v>0</v>
      </c>
      <c r="BH242" s="107">
        <f>IF(A13stdlife="n/a","n/a",IF(BH$3&gt;(A13stdlife+$E242),('PTRM input'!$O$155*(1+rvanilla09)^0.5)-SUM($O242:BG242),('PTRM input'!$O$155*(1+rvanilla09)^0.5)/A13stdlife))</f>
        <v>0</v>
      </c>
      <c r="BI242" s="107">
        <f>IF(A13stdlife="n/a","n/a",IF(BI$3&gt;(A13stdlife+$E242),('PTRM input'!$O$155*(1+rvanilla09)^0.5)-SUM($O242:BH242),('PTRM input'!$O$155*(1+rvanilla09)^0.5)/A13stdlife))</f>
        <v>0</v>
      </c>
      <c r="BJ242" s="237"/>
      <c r="BK242" s="237"/>
      <c r="BL242" s="237"/>
      <c r="BM242" s="237"/>
    </row>
    <row r="243" spans="1:65" s="190" customFormat="1" hidden="1" outlineLevel="2">
      <c r="A243" s="237"/>
      <c r="B243" s="33"/>
      <c r="C243" s="32"/>
      <c r="D243" s="1618"/>
      <c r="E243" s="170">
        <v>10</v>
      </c>
      <c r="F243" s="35"/>
      <c r="G243" s="184"/>
      <c r="H243" s="186"/>
      <c r="I243" s="186"/>
      <c r="J243" s="186"/>
      <c r="K243" s="186"/>
      <c r="L243" s="186"/>
      <c r="M243" s="186"/>
      <c r="N243" s="186"/>
      <c r="O243" s="186"/>
      <c r="P243" s="185"/>
      <c r="Q243" s="107">
        <f>IF(A13stdlife="n/a","n/a",IF(Q$3&gt;(A13stdlife+$E243),('PTRM input'!$P$155*(1+rvanilla10)^0.5)-SUM($P243:P243),('PTRM input'!$P$155*(1+rvanilla10)^0.5)/A13stdlife))</f>
        <v>0</v>
      </c>
      <c r="R243" s="107">
        <f>IF(A13stdlife="n/a","n/a",IF(R$3&gt;(A13stdlife+$E243),('PTRM input'!$P$155*(1+rvanilla10)^0.5)-SUM($P243:Q243),('PTRM input'!$P$155*(1+rvanilla10)^0.5)/A13stdlife))</f>
        <v>0</v>
      </c>
      <c r="S243" s="107">
        <f>IF(A13stdlife="n/a","n/a",IF(S$3&gt;(A13stdlife+$E243),('PTRM input'!$P$155*(1+rvanilla10)^0.5)-SUM($P243:R243),('PTRM input'!$P$155*(1+rvanilla10)^0.5)/A13stdlife))</f>
        <v>0</v>
      </c>
      <c r="T243" s="107">
        <f>IF(A13stdlife="n/a","n/a",IF(T$3&gt;(A13stdlife+$E243),('PTRM input'!$P$155*(1+rvanilla10)^0.5)-SUM($P243:S243),('PTRM input'!$P$155*(1+rvanilla10)^0.5)/A13stdlife))</f>
        <v>0</v>
      </c>
      <c r="U243" s="107">
        <f>IF(A13stdlife="n/a","n/a",IF(U$3&gt;(A13stdlife+$E243),('PTRM input'!$P$155*(1+rvanilla10)^0.5)-SUM($P243:T243),('PTRM input'!$P$155*(1+rvanilla10)^0.5)/A13stdlife))</f>
        <v>0</v>
      </c>
      <c r="V243" s="107">
        <f>IF(A13stdlife="n/a","n/a",IF(V$3&gt;(A13stdlife+$E243),('PTRM input'!$P$155*(1+rvanilla10)^0.5)-SUM($P243:U243),('PTRM input'!$P$155*(1+rvanilla10)^0.5)/A13stdlife))</f>
        <v>0</v>
      </c>
      <c r="W243" s="107">
        <f>IF(A13stdlife="n/a","n/a",IF(W$3&gt;(A13stdlife+$E243),('PTRM input'!$P$155*(1+rvanilla10)^0.5)-SUM($P243:V243),('PTRM input'!$P$155*(1+rvanilla10)^0.5)/A13stdlife))</f>
        <v>0</v>
      </c>
      <c r="X243" s="107">
        <f>IF(A13stdlife="n/a","n/a",IF(X$3&gt;(A13stdlife+$E243),('PTRM input'!$P$155*(1+rvanilla10)^0.5)-SUM($P243:W243),('PTRM input'!$P$155*(1+rvanilla10)^0.5)/A13stdlife))</f>
        <v>0</v>
      </c>
      <c r="Y243" s="107">
        <f>IF(A13stdlife="n/a","n/a",IF(Y$3&gt;(A13stdlife+$E243),('PTRM input'!$P$155*(1+rvanilla10)^0.5)-SUM($P243:X243),('PTRM input'!$P$155*(1+rvanilla10)^0.5)/A13stdlife))</f>
        <v>0</v>
      </c>
      <c r="Z243" s="107">
        <f>IF(A13stdlife="n/a","n/a",IF(Z$3&gt;(A13stdlife+$E243),('PTRM input'!$P$155*(1+rvanilla10)^0.5)-SUM($P243:Y243),('PTRM input'!$P$155*(1+rvanilla10)^0.5)/A13stdlife))</f>
        <v>0</v>
      </c>
      <c r="AA243" s="107">
        <f>IF(A13stdlife="n/a","n/a",IF(AA$3&gt;(A13stdlife+$E243),('PTRM input'!$P$155*(1+rvanilla10)^0.5)-SUM($P243:Z243),('PTRM input'!$P$155*(1+rvanilla10)^0.5)/A13stdlife))</f>
        <v>0</v>
      </c>
      <c r="AB243" s="107">
        <f>IF(A13stdlife="n/a","n/a",IF(AB$3&gt;(A13stdlife+$E243),('PTRM input'!$P$155*(1+rvanilla10)^0.5)-SUM($P243:AA243),('PTRM input'!$P$155*(1+rvanilla10)^0.5)/A13stdlife))</f>
        <v>0</v>
      </c>
      <c r="AC243" s="107">
        <f>IF(A13stdlife="n/a","n/a",IF(AC$3&gt;(A13stdlife+$E243),('PTRM input'!$P$155*(1+rvanilla10)^0.5)-SUM($P243:AB243),('PTRM input'!$P$155*(1+rvanilla10)^0.5)/A13stdlife))</f>
        <v>0</v>
      </c>
      <c r="AD243" s="107">
        <f>IF(A13stdlife="n/a","n/a",IF(AD$3&gt;(A13stdlife+$E243),('PTRM input'!$P$155*(1+rvanilla10)^0.5)-SUM($P243:AC243),('PTRM input'!$P$155*(1+rvanilla10)^0.5)/A13stdlife))</f>
        <v>0</v>
      </c>
      <c r="AE243" s="107">
        <f>IF(A13stdlife="n/a","n/a",IF(AE$3&gt;(A13stdlife+$E243),('PTRM input'!$P$155*(1+rvanilla10)^0.5)-SUM($P243:AD243),('PTRM input'!$P$155*(1+rvanilla10)^0.5)/A13stdlife))</f>
        <v>0</v>
      </c>
      <c r="AF243" s="107">
        <f>IF(A13stdlife="n/a","n/a",IF(AF$3&gt;(A13stdlife+$E243),('PTRM input'!$P$155*(1+rvanilla10)^0.5)-SUM($P243:AE243),('PTRM input'!$P$155*(1+rvanilla10)^0.5)/A13stdlife))</f>
        <v>0</v>
      </c>
      <c r="AG243" s="107">
        <f>IF(A13stdlife="n/a","n/a",IF(AG$3&gt;(A13stdlife+$E243),('PTRM input'!$P$155*(1+rvanilla10)^0.5)-SUM($P243:AF243),('PTRM input'!$P$155*(1+rvanilla10)^0.5)/A13stdlife))</f>
        <v>0</v>
      </c>
      <c r="AH243" s="107">
        <f>IF(A13stdlife="n/a","n/a",IF(AH$3&gt;(A13stdlife+$E243),('PTRM input'!$P$155*(1+rvanilla10)^0.5)-SUM($P243:AG243),('PTRM input'!$P$155*(1+rvanilla10)^0.5)/A13stdlife))</f>
        <v>0</v>
      </c>
      <c r="AI243" s="107">
        <f>IF(A13stdlife="n/a","n/a",IF(AI$3&gt;(A13stdlife+$E243),('PTRM input'!$P$155*(1+rvanilla10)^0.5)-SUM($P243:AH243),('PTRM input'!$P$155*(1+rvanilla10)^0.5)/A13stdlife))</f>
        <v>0</v>
      </c>
      <c r="AJ243" s="107">
        <f>IF(A13stdlife="n/a","n/a",IF(AJ$3&gt;(A13stdlife+$E243),('PTRM input'!$P$155*(1+rvanilla10)^0.5)-SUM($P243:AI243),('PTRM input'!$P$155*(1+rvanilla10)^0.5)/A13stdlife))</f>
        <v>0</v>
      </c>
      <c r="AK243" s="107">
        <f>IF(A13stdlife="n/a","n/a",IF(AK$3&gt;(A13stdlife+$E243),('PTRM input'!$P$155*(1+rvanilla10)^0.5)-SUM($P243:AJ243),('PTRM input'!$P$155*(1+rvanilla10)^0.5)/A13stdlife))</f>
        <v>0</v>
      </c>
      <c r="AL243" s="107">
        <f>IF(A13stdlife="n/a","n/a",IF(AL$3&gt;(A13stdlife+$E243),('PTRM input'!$P$155*(1+rvanilla10)^0.5)-SUM($P243:AK243),('PTRM input'!$P$155*(1+rvanilla10)^0.5)/A13stdlife))</f>
        <v>0</v>
      </c>
      <c r="AM243" s="107">
        <f>IF(A13stdlife="n/a","n/a",IF(AM$3&gt;(A13stdlife+$E243),('PTRM input'!$P$155*(1+rvanilla10)^0.5)-SUM($P243:AL243),('PTRM input'!$P$155*(1+rvanilla10)^0.5)/A13stdlife))</f>
        <v>0</v>
      </c>
      <c r="AN243" s="107">
        <f>IF(A13stdlife="n/a","n/a",IF(AN$3&gt;(A13stdlife+$E243),('PTRM input'!$P$155*(1+rvanilla10)^0.5)-SUM($P243:AM243),('PTRM input'!$P$155*(1+rvanilla10)^0.5)/A13stdlife))</f>
        <v>0</v>
      </c>
      <c r="AO243" s="107">
        <f>IF(A13stdlife="n/a","n/a",IF(AO$3&gt;(A13stdlife+$E243),('PTRM input'!$P$155*(1+rvanilla10)^0.5)-SUM($P243:AN243),('PTRM input'!$P$155*(1+rvanilla10)^0.5)/A13stdlife))</f>
        <v>0</v>
      </c>
      <c r="AP243" s="107">
        <f>IF(A13stdlife="n/a","n/a",IF(AP$3&gt;(A13stdlife+$E243),('PTRM input'!$P$155*(1+rvanilla10)^0.5)-SUM($P243:AO243),('PTRM input'!$P$155*(1+rvanilla10)^0.5)/A13stdlife))</f>
        <v>0</v>
      </c>
      <c r="AQ243" s="107">
        <f>IF(A13stdlife="n/a","n/a",IF(AQ$3&gt;(A13stdlife+$E243),('PTRM input'!$P$155*(1+rvanilla10)^0.5)-SUM($P243:AP243),('PTRM input'!$P$155*(1+rvanilla10)^0.5)/A13stdlife))</f>
        <v>0</v>
      </c>
      <c r="AR243" s="107">
        <f>IF(A13stdlife="n/a","n/a",IF(AR$3&gt;(A13stdlife+$E243),('PTRM input'!$P$155*(1+rvanilla10)^0.5)-SUM($P243:AQ243),('PTRM input'!$P$155*(1+rvanilla10)^0.5)/A13stdlife))</f>
        <v>0</v>
      </c>
      <c r="AS243" s="107">
        <f>IF(A13stdlife="n/a","n/a",IF(AS$3&gt;(A13stdlife+$E243),('PTRM input'!$P$155*(1+rvanilla10)^0.5)-SUM($P243:AR243),('PTRM input'!$P$155*(1+rvanilla10)^0.5)/A13stdlife))</f>
        <v>0</v>
      </c>
      <c r="AT243" s="107">
        <f>IF(A13stdlife="n/a","n/a",IF(AT$3&gt;(A13stdlife+$E243),('PTRM input'!$P$155*(1+rvanilla10)^0.5)-SUM($P243:AS243),('PTRM input'!$P$155*(1+rvanilla10)^0.5)/A13stdlife))</f>
        <v>0</v>
      </c>
      <c r="AU243" s="107">
        <f>IF(A13stdlife="n/a","n/a",IF(AU$3&gt;(A13stdlife+$E243),('PTRM input'!$P$155*(1+rvanilla10)^0.5)-SUM($P243:AT243),('PTRM input'!$P$155*(1+rvanilla10)^0.5)/A13stdlife))</f>
        <v>0</v>
      </c>
      <c r="AV243" s="107">
        <f>IF(A13stdlife="n/a","n/a",IF(AV$3&gt;(A13stdlife+$E243),('PTRM input'!$P$155*(1+rvanilla10)^0.5)-SUM($P243:AU243),('PTRM input'!$P$155*(1+rvanilla10)^0.5)/A13stdlife))</f>
        <v>0</v>
      </c>
      <c r="AW243" s="107">
        <f>IF(A13stdlife="n/a","n/a",IF(AW$3&gt;(A13stdlife+$E243),('PTRM input'!$P$155*(1+rvanilla10)^0.5)-SUM($P243:AV243),('PTRM input'!$P$155*(1+rvanilla10)^0.5)/A13stdlife))</f>
        <v>0</v>
      </c>
      <c r="AX243" s="107">
        <f>IF(A13stdlife="n/a","n/a",IF(AX$3&gt;(A13stdlife+$E243),('PTRM input'!$P$155*(1+rvanilla10)^0.5)-SUM($P243:AW243),('PTRM input'!$P$155*(1+rvanilla10)^0.5)/A13stdlife))</f>
        <v>0</v>
      </c>
      <c r="AY243" s="107">
        <f>IF(A13stdlife="n/a","n/a",IF(AY$3&gt;(A13stdlife+$E243),('PTRM input'!$P$155*(1+rvanilla10)^0.5)-SUM($P243:AX243),('PTRM input'!$P$155*(1+rvanilla10)^0.5)/A13stdlife))</f>
        <v>0</v>
      </c>
      <c r="AZ243" s="107">
        <f>IF(A13stdlife="n/a","n/a",IF(AZ$3&gt;(A13stdlife+$E243),('PTRM input'!$P$155*(1+rvanilla10)^0.5)-SUM($P243:AY243),('PTRM input'!$P$155*(1+rvanilla10)^0.5)/A13stdlife))</f>
        <v>0</v>
      </c>
      <c r="BA243" s="107">
        <f>IF(A13stdlife="n/a","n/a",IF(BA$3&gt;(A13stdlife+$E243),('PTRM input'!$P$155*(1+rvanilla10)^0.5)-SUM($P243:AZ243),('PTRM input'!$P$155*(1+rvanilla10)^0.5)/A13stdlife))</f>
        <v>0</v>
      </c>
      <c r="BB243" s="107">
        <f>IF(A13stdlife="n/a","n/a",IF(BB$3&gt;(A13stdlife+$E243),('PTRM input'!$P$155*(1+rvanilla10)^0.5)-SUM($P243:BA243),('PTRM input'!$P$155*(1+rvanilla10)^0.5)/A13stdlife))</f>
        <v>0</v>
      </c>
      <c r="BC243" s="107">
        <f>IF(A13stdlife="n/a","n/a",IF(BC$3&gt;(A13stdlife+$E243),('PTRM input'!$P$155*(1+rvanilla10)^0.5)-SUM($P243:BB243),('PTRM input'!$P$155*(1+rvanilla10)^0.5)/A13stdlife))</f>
        <v>0</v>
      </c>
      <c r="BD243" s="107">
        <f>IF(A13stdlife="n/a","n/a",IF(BD$3&gt;(A13stdlife+$E243),('PTRM input'!$P$155*(1+rvanilla10)^0.5)-SUM($P243:BC243),('PTRM input'!$P$155*(1+rvanilla10)^0.5)/A13stdlife))</f>
        <v>0</v>
      </c>
      <c r="BE243" s="107">
        <f>IF(A13stdlife="n/a","n/a",IF(BE$3&gt;(A13stdlife+$E243),('PTRM input'!$P$155*(1+rvanilla10)^0.5)-SUM($P243:BD243),('PTRM input'!$P$155*(1+rvanilla10)^0.5)/A13stdlife))</f>
        <v>0</v>
      </c>
      <c r="BF243" s="107">
        <f>IF(A13stdlife="n/a","n/a",IF(BF$3&gt;(A13stdlife+$E243),('PTRM input'!$P$155*(1+rvanilla10)^0.5)-SUM($P243:BE243),('PTRM input'!$P$155*(1+rvanilla10)^0.5)/A13stdlife))</f>
        <v>0</v>
      </c>
      <c r="BG243" s="107">
        <f>IF(A13stdlife="n/a","n/a",IF(BG$3&gt;(A13stdlife+$E243),('PTRM input'!$P$155*(1+rvanilla10)^0.5)-SUM($P243:BF243),('PTRM input'!$P$155*(1+rvanilla10)^0.5)/A13stdlife))</f>
        <v>0</v>
      </c>
      <c r="BH243" s="107">
        <f>IF(A13stdlife="n/a","n/a",IF(BH$3&gt;(A13stdlife+$E243),('PTRM input'!$P$155*(1+rvanilla10)^0.5)-SUM($P243:BG243),('PTRM input'!$P$155*(1+rvanilla10)^0.5)/A13stdlife))</f>
        <v>0</v>
      </c>
      <c r="BI243" s="107">
        <f>IF(A13stdlife="n/a","n/a",IF(BI$3&gt;(A13stdlife+$E243),('PTRM input'!$P$155*(1+rvanilla10)^0.5)-SUM($P243:BH243),('PTRM input'!$P$155*(1+rvanilla10)^0.5)/A13stdlife))</f>
        <v>0</v>
      </c>
      <c r="BJ243" s="237"/>
      <c r="BK243" s="237"/>
      <c r="BL243" s="237"/>
      <c r="BM243" s="237"/>
    </row>
    <row r="244" spans="1:65" s="190" customFormat="1" hidden="1" outlineLevel="1">
      <c r="A244" s="237"/>
      <c r="B244" s="18"/>
      <c r="C244" s="33">
        <f>Asset13</f>
        <v>0</v>
      </c>
      <c r="D244" s="18"/>
      <c r="E244" s="18"/>
      <c r="F244" s="31"/>
      <c r="G244" s="104">
        <f t="shared" ref="G244:AL244" si="61">SUM(G232:G243)</f>
        <v>0</v>
      </c>
      <c r="H244" s="104">
        <f t="shared" si="61"/>
        <v>0</v>
      </c>
      <c r="I244" s="104">
        <f t="shared" si="61"/>
        <v>0</v>
      </c>
      <c r="J244" s="104">
        <f t="shared" si="61"/>
        <v>0</v>
      </c>
      <c r="K244" s="104">
        <f t="shared" si="61"/>
        <v>0</v>
      </c>
      <c r="L244" s="104">
        <f t="shared" si="61"/>
        <v>0</v>
      </c>
      <c r="M244" s="104">
        <f t="shared" si="61"/>
        <v>0</v>
      </c>
      <c r="N244" s="104">
        <f t="shared" si="61"/>
        <v>0</v>
      </c>
      <c r="O244" s="104">
        <f t="shared" si="61"/>
        <v>0</v>
      </c>
      <c r="P244" s="104">
        <f t="shared" si="61"/>
        <v>0</v>
      </c>
      <c r="Q244" s="104">
        <f t="shared" si="61"/>
        <v>0</v>
      </c>
      <c r="R244" s="104">
        <f t="shared" si="61"/>
        <v>0</v>
      </c>
      <c r="S244" s="104">
        <f t="shared" si="61"/>
        <v>0</v>
      </c>
      <c r="T244" s="104">
        <f t="shared" si="61"/>
        <v>0</v>
      </c>
      <c r="U244" s="104">
        <f t="shared" si="61"/>
        <v>0</v>
      </c>
      <c r="V244" s="104">
        <f t="shared" si="61"/>
        <v>0</v>
      </c>
      <c r="W244" s="104">
        <f t="shared" si="61"/>
        <v>0</v>
      </c>
      <c r="X244" s="104">
        <f t="shared" si="61"/>
        <v>0</v>
      </c>
      <c r="Y244" s="104">
        <f t="shared" si="61"/>
        <v>0</v>
      </c>
      <c r="Z244" s="104">
        <f t="shared" si="61"/>
        <v>0</v>
      </c>
      <c r="AA244" s="104">
        <f t="shared" si="61"/>
        <v>0</v>
      </c>
      <c r="AB244" s="104">
        <f t="shared" si="61"/>
        <v>0</v>
      </c>
      <c r="AC244" s="104">
        <f t="shared" si="61"/>
        <v>0</v>
      </c>
      <c r="AD244" s="104">
        <f t="shared" si="61"/>
        <v>0</v>
      </c>
      <c r="AE244" s="104">
        <f t="shared" si="61"/>
        <v>0</v>
      </c>
      <c r="AF244" s="104">
        <f t="shared" si="61"/>
        <v>0</v>
      </c>
      <c r="AG244" s="104">
        <f t="shared" si="61"/>
        <v>0</v>
      </c>
      <c r="AH244" s="104">
        <f t="shared" si="61"/>
        <v>0</v>
      </c>
      <c r="AI244" s="104">
        <f t="shared" si="61"/>
        <v>0</v>
      </c>
      <c r="AJ244" s="104">
        <f t="shared" si="61"/>
        <v>0</v>
      </c>
      <c r="AK244" s="104">
        <f t="shared" si="61"/>
        <v>0</v>
      </c>
      <c r="AL244" s="104">
        <f t="shared" si="61"/>
        <v>0</v>
      </c>
      <c r="AM244" s="104">
        <f t="shared" ref="AM244:BI244" si="62">SUM(AM232:AM243)</f>
        <v>0</v>
      </c>
      <c r="AN244" s="104">
        <f t="shared" si="62"/>
        <v>0</v>
      </c>
      <c r="AO244" s="104">
        <f t="shared" si="62"/>
        <v>0</v>
      </c>
      <c r="AP244" s="104">
        <f t="shared" si="62"/>
        <v>0</v>
      </c>
      <c r="AQ244" s="104">
        <f t="shared" si="62"/>
        <v>0</v>
      </c>
      <c r="AR244" s="104">
        <f t="shared" si="62"/>
        <v>0</v>
      </c>
      <c r="AS244" s="104">
        <f t="shared" si="62"/>
        <v>0</v>
      </c>
      <c r="AT244" s="104">
        <f t="shared" si="62"/>
        <v>0</v>
      </c>
      <c r="AU244" s="104">
        <f t="shared" si="62"/>
        <v>0</v>
      </c>
      <c r="AV244" s="104">
        <f t="shared" si="62"/>
        <v>0</v>
      </c>
      <c r="AW244" s="104">
        <f t="shared" si="62"/>
        <v>0</v>
      </c>
      <c r="AX244" s="104">
        <f t="shared" si="62"/>
        <v>0</v>
      </c>
      <c r="AY244" s="104">
        <f t="shared" si="62"/>
        <v>0</v>
      </c>
      <c r="AZ244" s="104">
        <f t="shared" si="62"/>
        <v>0</v>
      </c>
      <c r="BA244" s="104">
        <f t="shared" si="62"/>
        <v>0</v>
      </c>
      <c r="BB244" s="104">
        <f t="shared" si="62"/>
        <v>0</v>
      </c>
      <c r="BC244" s="104">
        <f t="shared" si="62"/>
        <v>0</v>
      </c>
      <c r="BD244" s="104">
        <f t="shared" si="62"/>
        <v>0</v>
      </c>
      <c r="BE244" s="104">
        <f t="shared" si="62"/>
        <v>0</v>
      </c>
      <c r="BF244" s="104">
        <f t="shared" si="62"/>
        <v>0</v>
      </c>
      <c r="BG244" s="104">
        <f t="shared" si="62"/>
        <v>0</v>
      </c>
      <c r="BH244" s="104">
        <f t="shared" si="62"/>
        <v>0</v>
      </c>
      <c r="BI244" s="104">
        <f t="shared" si="62"/>
        <v>0</v>
      </c>
      <c r="BJ244" s="237"/>
      <c r="BK244" s="237"/>
      <c r="BL244" s="237"/>
      <c r="BM244" s="237"/>
    </row>
    <row r="245" spans="1:65" s="190" customFormat="1" ht="12.75" hidden="1" customHeight="1" outlineLevel="2">
      <c r="A245" s="237"/>
      <c r="B245" s="37">
        <f>C257</f>
        <v>0</v>
      </c>
      <c r="C245" s="38"/>
      <c r="D245" s="39" t="s">
        <v>58</v>
      </c>
      <c r="E245" s="38"/>
      <c r="F245" s="40"/>
      <c r="G245" s="106">
        <f>IF(G$3&gt;A14remlife,A14value-SUM($F245:F245),IF(A14remlife="N/A","n/a",A14value/A14remlife))</f>
        <v>0</v>
      </c>
      <c r="H245" s="106">
        <f>IF(H$3&gt;A14remlife,A14value-SUM($F245:G245),IF(A14remlife="N/A","n/a",A14value/A14remlife))</f>
        <v>0</v>
      </c>
      <c r="I245" s="106">
        <f>IF(I$3&gt;A14remlife,A14value-SUM($F245:H245),IF(A14remlife="N/A","n/a",A14value/A14remlife))</f>
        <v>0</v>
      </c>
      <c r="J245" s="106">
        <f>IF(J$3&gt;A14remlife,A14value-SUM($F245:I245),IF(A14remlife="N/A","n/a",A14value/A14remlife))</f>
        <v>0</v>
      </c>
      <c r="K245" s="106">
        <f>IF(K$3&gt;A14remlife,A14value-SUM($F245:J245),IF(A14remlife="N/A","n/a",A14value/A14remlife))</f>
        <v>0</v>
      </c>
      <c r="L245" s="106">
        <f>IF(L$3&gt;A14remlife,A14value-SUM($F245:K245),IF(A14remlife="N/A","n/a",A14value/A14remlife))</f>
        <v>0</v>
      </c>
      <c r="M245" s="106">
        <f>IF(M$3&gt;A14remlife,A14value-SUM($F245:L245),IF(A14remlife="N/A","n/a",A14value/A14remlife))</f>
        <v>0</v>
      </c>
      <c r="N245" s="106">
        <f>IF(N$3&gt;A14remlife,A14value-SUM($F245:M245),IF(A14remlife="N/A","n/a",A14value/A14remlife))</f>
        <v>0</v>
      </c>
      <c r="O245" s="106">
        <f>IF(O$3&gt;A14remlife,A14value-SUM($F245:N245),IF(A14remlife="N/A","n/a",A14value/A14remlife))</f>
        <v>0</v>
      </c>
      <c r="P245" s="106">
        <f>IF(P$3&gt;A14remlife,A14value-SUM($F245:O245),IF(A14remlife="N/A","n/a",A14value/A14remlife))</f>
        <v>0</v>
      </c>
      <c r="Q245" s="106">
        <f>IF(Q$3&gt;A14remlife,A14value-SUM($F245:P245),IF(A14remlife="N/A","n/a",A14value/A14remlife))</f>
        <v>0</v>
      </c>
      <c r="R245" s="106">
        <f>IF(R$3&gt;A14remlife,A14value-SUM($F245:Q245),IF(A14remlife="N/A","n/a",A14value/A14remlife))</f>
        <v>0</v>
      </c>
      <c r="S245" s="106">
        <f>IF(S$3&gt;A14remlife,A14value-SUM($F245:R245),IF(A14remlife="N/A","n/a",A14value/A14remlife))</f>
        <v>0</v>
      </c>
      <c r="T245" s="106">
        <f>IF(T$3&gt;A14remlife,A14value-SUM($F245:S245),IF(A14remlife="N/A","n/a",A14value/A14remlife))</f>
        <v>0</v>
      </c>
      <c r="U245" s="106">
        <f>IF(U$3&gt;A14remlife,A14value-SUM($F245:T245),IF(A14remlife="N/A","n/a",A14value/A14remlife))</f>
        <v>0</v>
      </c>
      <c r="V245" s="106">
        <f>IF(V$3&gt;A14remlife,A14value-SUM($F245:U245),IF(A14remlife="N/A","n/a",A14value/A14remlife))</f>
        <v>0</v>
      </c>
      <c r="W245" s="106">
        <f>IF(W$3&gt;A14remlife,A14value-SUM($F245:V245),IF(A14remlife="N/A","n/a",A14value/A14remlife))</f>
        <v>0</v>
      </c>
      <c r="X245" s="106">
        <f>IF(X$3&gt;A14remlife,A14value-SUM($F245:W245),IF(A14remlife="N/A","n/a",A14value/A14remlife))</f>
        <v>0</v>
      </c>
      <c r="Y245" s="106">
        <f>IF(Y$3&gt;A14remlife,A14value-SUM($F245:X245),IF(A14remlife="N/A","n/a",A14value/A14remlife))</f>
        <v>0</v>
      </c>
      <c r="Z245" s="106">
        <f>IF(Z$3&gt;A14remlife,A14value-SUM($F245:Y245),IF(A14remlife="N/A","n/a",A14value/A14remlife))</f>
        <v>0</v>
      </c>
      <c r="AA245" s="106">
        <f>IF(AA$3&gt;A14remlife,A14value-SUM($F245:Z245),IF(A14remlife="N/A","n/a",A14value/A14remlife))</f>
        <v>0</v>
      </c>
      <c r="AB245" s="106">
        <f>IF(AB$3&gt;A14remlife,A14value-SUM($F245:AA245),IF(A14remlife="N/A","n/a",A14value/A14remlife))</f>
        <v>0</v>
      </c>
      <c r="AC245" s="106">
        <f>IF(AC$3&gt;A14remlife,A14value-SUM($F245:AB245),IF(A14remlife="N/A","n/a",A14value/A14remlife))</f>
        <v>0</v>
      </c>
      <c r="AD245" s="106">
        <f>IF(AD$3&gt;A14remlife,A14value-SUM($F245:AC245),IF(A14remlife="N/A","n/a",A14value/A14remlife))</f>
        <v>0</v>
      </c>
      <c r="AE245" s="106">
        <f>IF(AE$3&gt;A14remlife,A14value-SUM($F245:AD245),IF(A14remlife="N/A","n/a",A14value/A14remlife))</f>
        <v>0</v>
      </c>
      <c r="AF245" s="106">
        <f>IF(AF$3&gt;A14remlife,A14value-SUM($F245:AE245),IF(A14remlife="N/A","n/a",A14value/A14remlife))</f>
        <v>0</v>
      </c>
      <c r="AG245" s="106">
        <f>IF(AG$3&gt;A14remlife,A14value-SUM($F245:AF245),IF(A14remlife="N/A","n/a",A14value/A14remlife))</f>
        <v>0</v>
      </c>
      <c r="AH245" s="106">
        <f>IF(AH$3&gt;A14remlife,A14value-SUM($F245:AG245),IF(A14remlife="N/A","n/a",A14value/A14remlife))</f>
        <v>0</v>
      </c>
      <c r="AI245" s="106">
        <f>IF(AI$3&gt;A14remlife,A14value-SUM($F245:AH245),IF(A14remlife="N/A","n/a",A14value/A14remlife))</f>
        <v>0</v>
      </c>
      <c r="AJ245" s="106">
        <f>IF(AJ$3&gt;A14remlife,A14value-SUM($F245:AI245),IF(A14remlife="N/A","n/a",A14value/A14remlife))</f>
        <v>0</v>
      </c>
      <c r="AK245" s="106">
        <f>IF(AK$3&gt;A14remlife,A14value-SUM($F245:AJ245),IF(A14remlife="N/A","n/a",A14value/A14remlife))</f>
        <v>0</v>
      </c>
      <c r="AL245" s="106">
        <f>IF(AL$3&gt;A14remlife,A14value-SUM($F245:AK245),IF(A14remlife="N/A","n/a",A14value/A14remlife))</f>
        <v>0</v>
      </c>
      <c r="AM245" s="106">
        <f>IF(AM$3&gt;A14remlife,A14value-SUM($F245:AL245),IF(A14remlife="N/A","n/a",A14value/A14remlife))</f>
        <v>0</v>
      </c>
      <c r="AN245" s="106">
        <f>IF(AN$3&gt;A14remlife,A14value-SUM($F245:AM245),IF(A14remlife="N/A","n/a",A14value/A14remlife))</f>
        <v>0</v>
      </c>
      <c r="AO245" s="106">
        <f>IF(AO$3&gt;A14remlife,A14value-SUM($F245:AN245),IF(A14remlife="N/A","n/a",A14value/A14remlife))</f>
        <v>0</v>
      </c>
      <c r="AP245" s="106">
        <f>IF(AP$3&gt;A14remlife,A14value-SUM($F245:AO245),IF(A14remlife="N/A","n/a",A14value/A14remlife))</f>
        <v>0</v>
      </c>
      <c r="AQ245" s="106">
        <f>IF(AQ$3&gt;A14remlife,A14value-SUM($F245:AP245),IF(A14remlife="N/A","n/a",A14value/A14remlife))</f>
        <v>0</v>
      </c>
      <c r="AR245" s="106">
        <f>IF(AR$3&gt;A14remlife,A14value-SUM($F245:AQ245),IF(A14remlife="N/A","n/a",A14value/A14remlife))</f>
        <v>0</v>
      </c>
      <c r="AS245" s="106">
        <f>IF(AS$3&gt;A14remlife,A14value-SUM($F245:AR245),IF(A14remlife="N/A","n/a",A14value/A14remlife))</f>
        <v>0</v>
      </c>
      <c r="AT245" s="106">
        <f>IF(AT$3&gt;A14remlife,A14value-SUM($F245:AS245),IF(A14remlife="N/A","n/a",A14value/A14remlife))</f>
        <v>0</v>
      </c>
      <c r="AU245" s="106">
        <f>IF(AU$3&gt;A14remlife,A14value-SUM($F245:AT245),IF(A14remlife="N/A","n/a",A14value/A14remlife))</f>
        <v>0</v>
      </c>
      <c r="AV245" s="106">
        <f>IF(AV$3&gt;A14remlife,A14value-SUM($F245:AU245),IF(A14remlife="N/A","n/a",A14value/A14remlife))</f>
        <v>0</v>
      </c>
      <c r="AW245" s="106">
        <f>IF(AW$3&gt;A14remlife,A14value-SUM($F245:AV245),IF(A14remlife="N/A","n/a",A14value/A14remlife))</f>
        <v>0</v>
      </c>
      <c r="AX245" s="106">
        <f>IF(AX$3&gt;A14remlife,A14value-SUM($F245:AW245),IF(A14remlife="N/A","n/a",A14value/A14remlife))</f>
        <v>0</v>
      </c>
      <c r="AY245" s="106">
        <f>IF(AY$3&gt;A14remlife,A14value-SUM($F245:AX245),IF(A14remlife="N/A","n/a",A14value/A14remlife))</f>
        <v>0</v>
      </c>
      <c r="AZ245" s="106">
        <f>IF(AZ$3&gt;A14remlife,A14value-SUM($F245:AY245),IF(A14remlife="N/A","n/a",A14value/A14remlife))</f>
        <v>0</v>
      </c>
      <c r="BA245" s="106">
        <f>IF(BA$3&gt;A14remlife,A14value-SUM($F245:AZ245),IF(A14remlife="N/A","n/a",A14value/A14remlife))</f>
        <v>0</v>
      </c>
      <c r="BB245" s="106">
        <f>IF(BB$3&gt;A14remlife,A14value-SUM($F245:BA245),IF(A14remlife="N/A","n/a",A14value/A14remlife))</f>
        <v>0</v>
      </c>
      <c r="BC245" s="106">
        <f>IF(BC$3&gt;A14remlife,A14value-SUM($F245:BB245),IF(A14remlife="N/A","n/a",A14value/A14remlife))</f>
        <v>0</v>
      </c>
      <c r="BD245" s="106">
        <f>IF(BD$3&gt;A14remlife,A14value-SUM($F245:BC245),IF(A14remlife="N/A","n/a",A14value/A14remlife))</f>
        <v>0</v>
      </c>
      <c r="BE245" s="106">
        <f>IF(BE$3&gt;A14remlife,A14value-SUM($F245:BD245),IF(A14remlife="N/A","n/a",A14value/A14remlife))</f>
        <v>0</v>
      </c>
      <c r="BF245" s="106">
        <f>IF(BF$3&gt;A14remlife,A14value-SUM($F245:BE245),IF(A14remlife="N/A","n/a",A14value/A14remlife))</f>
        <v>0</v>
      </c>
      <c r="BG245" s="106">
        <f>IF(BG$3&gt;A14remlife,A14value-SUM($F245:BF245),IF(A14remlife="N/A","n/a",A14value/A14remlife))</f>
        <v>0</v>
      </c>
      <c r="BH245" s="106">
        <f>IF(BH$3&gt;A14remlife,A14value-SUM($F245:BG245),IF(A14remlife="N/A","n/a",A14value/A14remlife))</f>
        <v>0</v>
      </c>
      <c r="BI245" s="106">
        <f>IF(BI$3&gt;A14remlife,A14value-SUM($F245:BH245),IF(A14remlife="N/A","n/a",A14value/A14remlife))</f>
        <v>0</v>
      </c>
      <c r="BJ245" s="237"/>
      <c r="BK245" s="237"/>
      <c r="BL245" s="237"/>
      <c r="BM245" s="237"/>
    </row>
    <row r="246" spans="1:65" s="190" customFormat="1" ht="12.75" hidden="1" customHeight="1" outlineLevel="2">
      <c r="A246" s="237"/>
      <c r="B246" s="33"/>
      <c r="C246" s="32"/>
      <c r="D246" s="1618" t="s">
        <v>357</v>
      </c>
      <c r="E246" s="169">
        <v>0</v>
      </c>
      <c r="F246" s="35"/>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237"/>
      <c r="BK246" s="237"/>
      <c r="BL246" s="237"/>
      <c r="BM246" s="237"/>
    </row>
    <row r="247" spans="1:65" s="190" customFormat="1" hidden="1" outlineLevel="2">
      <c r="A247" s="237"/>
      <c r="B247" s="33"/>
      <c r="C247" s="32"/>
      <c r="D247" s="1618"/>
      <c r="E247" s="169">
        <v>1</v>
      </c>
      <c r="F247" s="35"/>
      <c r="G247" s="183"/>
      <c r="H247" s="107">
        <f>IF(A14stdlife="n/a","n/a",IF(H$3&gt;(A14stdlife+$E247),('PTRM input'!$G$156*(1+rvanilla01)^0.5)-SUM($G247:G247),('PTRM input'!$G$156*(1+rvanilla01)^0.5)/A14stdlife))</f>
        <v>0</v>
      </c>
      <c r="I247" s="107">
        <f>IF(A14stdlife="n/a","n/a",IF(I$3&gt;(A14stdlife+$E247),('PTRM input'!$G$156*(1+rvanilla01)^0.5)-SUM($G247:H247),('PTRM input'!$G$156*(1+rvanilla01)^0.5)/A14stdlife))</f>
        <v>0</v>
      </c>
      <c r="J247" s="107">
        <f>IF(A14stdlife="n/a","n/a",IF(J$3&gt;(A14stdlife+$E247),('PTRM input'!$G$156*(1+rvanilla01)^0.5)-SUM($G247:I247),('PTRM input'!$G$156*(1+rvanilla01)^0.5)/A14stdlife))</f>
        <v>0</v>
      </c>
      <c r="K247" s="107">
        <f>IF(A14stdlife="n/a","n/a",IF(K$3&gt;(A14stdlife+$E247),('PTRM input'!$G$156*(1+rvanilla01)^0.5)-SUM($G247:J247),('PTRM input'!$G$156*(1+rvanilla01)^0.5)/A14stdlife))</f>
        <v>0</v>
      </c>
      <c r="L247" s="107">
        <f>IF(A14stdlife="n/a","n/a",IF(L$3&gt;(A14stdlife+$E247),('PTRM input'!$G$156*(1+rvanilla01)^0.5)-SUM($G247:K247),('PTRM input'!$G$156*(1+rvanilla01)^0.5)/A14stdlife))</f>
        <v>0</v>
      </c>
      <c r="M247" s="107">
        <f>IF(A14stdlife="n/a","n/a",IF(M$3&gt;(A14stdlife+$E247),('PTRM input'!$G$156*(1+rvanilla01)^0.5)-SUM($G247:L247),('PTRM input'!$G$156*(1+rvanilla01)^0.5)/A14stdlife))</f>
        <v>0</v>
      </c>
      <c r="N247" s="107">
        <f>IF(A14stdlife="n/a","n/a",IF(N$3&gt;(A14stdlife+$E247),('PTRM input'!$G$156*(1+rvanilla01)^0.5)-SUM($G247:M247),('PTRM input'!$G$156*(1+rvanilla01)^0.5)/A14stdlife))</f>
        <v>0</v>
      </c>
      <c r="O247" s="107">
        <f>IF(A14stdlife="n/a","n/a",IF(O$3&gt;(A14stdlife+$E247),('PTRM input'!$G$156*(1+rvanilla01)^0.5)-SUM($G247:N247),('PTRM input'!$G$156*(1+rvanilla01)^0.5)/A14stdlife))</f>
        <v>0</v>
      </c>
      <c r="P247" s="107">
        <f>IF(A14stdlife="n/a","n/a",IF(P$3&gt;(A14stdlife+$E247),('PTRM input'!$G$156*(1+rvanilla01)^0.5)-SUM($G247:O247),('PTRM input'!$G$156*(1+rvanilla01)^0.5)/A14stdlife))</f>
        <v>0</v>
      </c>
      <c r="Q247" s="107">
        <f>IF(A14stdlife="n/a","n/a",IF(Q$3&gt;(A14stdlife+$E247),('PTRM input'!$G$156*(1+rvanilla01)^0.5)-SUM($G247:P247),('PTRM input'!$G$156*(1+rvanilla01)^0.5)/A14stdlife))</f>
        <v>0</v>
      </c>
      <c r="R247" s="107">
        <f>IF(A14stdlife="n/a","n/a",IF(R$3&gt;(A14stdlife+$E247),('PTRM input'!$G$156*(1+rvanilla01)^0.5)-SUM($G247:Q247),('PTRM input'!$G$156*(1+rvanilla01)^0.5)/A14stdlife))</f>
        <v>0</v>
      </c>
      <c r="S247" s="107">
        <f>IF(A14stdlife="n/a","n/a",IF(S$3&gt;(A14stdlife+$E247),('PTRM input'!$G$156*(1+rvanilla01)^0.5)-SUM($G247:R247),('PTRM input'!$G$156*(1+rvanilla01)^0.5)/A14stdlife))</f>
        <v>0</v>
      </c>
      <c r="T247" s="107">
        <f>IF(A14stdlife="n/a","n/a",IF(T$3&gt;(A14stdlife+$E247),('PTRM input'!$G$156*(1+rvanilla01)^0.5)-SUM($G247:S247),('PTRM input'!$G$156*(1+rvanilla01)^0.5)/A14stdlife))</f>
        <v>0</v>
      </c>
      <c r="U247" s="107">
        <f>IF(A14stdlife="n/a","n/a",IF(U$3&gt;(A14stdlife+$E247),('PTRM input'!$G$156*(1+rvanilla01)^0.5)-SUM($G247:T247),('PTRM input'!$G$156*(1+rvanilla01)^0.5)/A14stdlife))</f>
        <v>0</v>
      </c>
      <c r="V247" s="107">
        <f>IF(A14stdlife="n/a","n/a",IF(V$3&gt;(A14stdlife+$E247),('PTRM input'!$G$156*(1+rvanilla01)^0.5)-SUM($G247:U247),('PTRM input'!$G$156*(1+rvanilla01)^0.5)/A14stdlife))</f>
        <v>0</v>
      </c>
      <c r="W247" s="107">
        <f>IF(A14stdlife="n/a","n/a",IF(W$3&gt;(A14stdlife+$E247),('PTRM input'!$G$156*(1+rvanilla01)^0.5)-SUM($G247:V247),('PTRM input'!$G$156*(1+rvanilla01)^0.5)/A14stdlife))</f>
        <v>0</v>
      </c>
      <c r="X247" s="107">
        <f>IF(A14stdlife="n/a","n/a",IF(X$3&gt;(A14stdlife+$E247),('PTRM input'!$G$156*(1+rvanilla01)^0.5)-SUM($G247:W247),('PTRM input'!$G$156*(1+rvanilla01)^0.5)/A14stdlife))</f>
        <v>0</v>
      </c>
      <c r="Y247" s="107">
        <f>IF(A14stdlife="n/a","n/a",IF(Y$3&gt;(A14stdlife+$E247),('PTRM input'!$G$156*(1+rvanilla01)^0.5)-SUM($G247:X247),('PTRM input'!$G$156*(1+rvanilla01)^0.5)/A14stdlife))</f>
        <v>0</v>
      </c>
      <c r="Z247" s="107">
        <f>IF(A14stdlife="n/a","n/a",IF(Z$3&gt;(A14stdlife+$E247),('PTRM input'!$G$156*(1+rvanilla01)^0.5)-SUM($G247:Y247),('PTRM input'!$G$156*(1+rvanilla01)^0.5)/A14stdlife))</f>
        <v>0</v>
      </c>
      <c r="AA247" s="107">
        <f>IF(A14stdlife="n/a","n/a",IF(AA$3&gt;(A14stdlife+$E247),('PTRM input'!$G$156*(1+rvanilla01)^0.5)-SUM($G247:Z247),('PTRM input'!$G$156*(1+rvanilla01)^0.5)/A14stdlife))</f>
        <v>0</v>
      </c>
      <c r="AB247" s="107">
        <f>IF(A14stdlife="n/a","n/a",IF(AB$3&gt;(A14stdlife+$E247),('PTRM input'!$G$156*(1+rvanilla01)^0.5)-SUM($G247:AA247),('PTRM input'!$G$156*(1+rvanilla01)^0.5)/A14stdlife))</f>
        <v>0</v>
      </c>
      <c r="AC247" s="107">
        <f>IF(A14stdlife="n/a","n/a",IF(AC$3&gt;(A14stdlife+$E247),('PTRM input'!$G$156*(1+rvanilla01)^0.5)-SUM($G247:AB247),('PTRM input'!$G$156*(1+rvanilla01)^0.5)/A14stdlife))</f>
        <v>0</v>
      </c>
      <c r="AD247" s="107">
        <f>IF(A14stdlife="n/a","n/a",IF(AD$3&gt;(A14stdlife+$E247),('PTRM input'!$G$156*(1+rvanilla01)^0.5)-SUM($G247:AC247),('PTRM input'!$G$156*(1+rvanilla01)^0.5)/A14stdlife))</f>
        <v>0</v>
      </c>
      <c r="AE247" s="107">
        <f>IF(A14stdlife="n/a","n/a",IF(AE$3&gt;(A14stdlife+$E247),('PTRM input'!$G$156*(1+rvanilla01)^0.5)-SUM($G247:AD247),('PTRM input'!$G$156*(1+rvanilla01)^0.5)/A14stdlife))</f>
        <v>0</v>
      </c>
      <c r="AF247" s="107">
        <f>IF(A14stdlife="n/a","n/a",IF(AF$3&gt;(A14stdlife+$E247),('PTRM input'!$G$156*(1+rvanilla01)^0.5)-SUM($G247:AE247),('PTRM input'!$G$156*(1+rvanilla01)^0.5)/A14stdlife))</f>
        <v>0</v>
      </c>
      <c r="AG247" s="107">
        <f>IF(A14stdlife="n/a","n/a",IF(AG$3&gt;(A14stdlife+$E247),('PTRM input'!$G$156*(1+rvanilla01)^0.5)-SUM($G247:AF247),('PTRM input'!$G$156*(1+rvanilla01)^0.5)/A14stdlife))</f>
        <v>0</v>
      </c>
      <c r="AH247" s="107">
        <f>IF(A14stdlife="n/a","n/a",IF(AH$3&gt;(A14stdlife+$E247),('PTRM input'!$G$156*(1+rvanilla01)^0.5)-SUM($G247:AG247),('PTRM input'!$G$156*(1+rvanilla01)^0.5)/A14stdlife))</f>
        <v>0</v>
      </c>
      <c r="AI247" s="107">
        <f>IF(A14stdlife="n/a","n/a",IF(AI$3&gt;(A14stdlife+$E247),('PTRM input'!$G$156*(1+rvanilla01)^0.5)-SUM($G247:AH247),('PTRM input'!$G$156*(1+rvanilla01)^0.5)/A14stdlife))</f>
        <v>0</v>
      </c>
      <c r="AJ247" s="107">
        <f>IF(A14stdlife="n/a","n/a",IF(AJ$3&gt;(A14stdlife+$E247),('PTRM input'!$G$156*(1+rvanilla01)^0.5)-SUM($G247:AI247),('PTRM input'!$G$156*(1+rvanilla01)^0.5)/A14stdlife))</f>
        <v>0</v>
      </c>
      <c r="AK247" s="107">
        <f>IF(A14stdlife="n/a","n/a",IF(AK$3&gt;(A14stdlife+$E247),('PTRM input'!$G$156*(1+rvanilla01)^0.5)-SUM($G247:AJ247),('PTRM input'!$G$156*(1+rvanilla01)^0.5)/A14stdlife))</f>
        <v>0</v>
      </c>
      <c r="AL247" s="107">
        <f>IF(A14stdlife="n/a","n/a",IF(AL$3&gt;(A14stdlife+$E247),('PTRM input'!$G$156*(1+rvanilla01)^0.5)-SUM($G247:AK247),('PTRM input'!$G$156*(1+rvanilla01)^0.5)/A14stdlife))</f>
        <v>0</v>
      </c>
      <c r="AM247" s="107">
        <f>IF(A14stdlife="n/a","n/a",IF(AM$3&gt;(A14stdlife+$E247),('PTRM input'!$G$156*(1+rvanilla01)^0.5)-SUM($G247:AL247),('PTRM input'!$G$156*(1+rvanilla01)^0.5)/A14stdlife))</f>
        <v>0</v>
      </c>
      <c r="AN247" s="107">
        <f>IF(A14stdlife="n/a","n/a",IF(AN$3&gt;(A14stdlife+$E247),('PTRM input'!$G$156*(1+rvanilla01)^0.5)-SUM($G247:AM247),('PTRM input'!$G$156*(1+rvanilla01)^0.5)/A14stdlife))</f>
        <v>0</v>
      </c>
      <c r="AO247" s="107">
        <f>IF(A14stdlife="n/a","n/a",IF(AO$3&gt;(A14stdlife+$E247),('PTRM input'!$G$156*(1+rvanilla01)^0.5)-SUM($G247:AN247),('PTRM input'!$G$156*(1+rvanilla01)^0.5)/A14stdlife))</f>
        <v>0</v>
      </c>
      <c r="AP247" s="107">
        <f>IF(A14stdlife="n/a","n/a",IF(AP$3&gt;(A14stdlife+$E247),('PTRM input'!$G$156*(1+rvanilla01)^0.5)-SUM($G247:AO247),('PTRM input'!$G$156*(1+rvanilla01)^0.5)/A14stdlife))</f>
        <v>0</v>
      </c>
      <c r="AQ247" s="107">
        <f>IF(A14stdlife="n/a","n/a",IF(AQ$3&gt;(A14stdlife+$E247),('PTRM input'!$G$156*(1+rvanilla01)^0.5)-SUM($G247:AP247),('PTRM input'!$G$156*(1+rvanilla01)^0.5)/A14stdlife))</f>
        <v>0</v>
      </c>
      <c r="AR247" s="107">
        <f>IF(A14stdlife="n/a","n/a",IF(AR$3&gt;(A14stdlife+$E247),('PTRM input'!$G$156*(1+rvanilla01)^0.5)-SUM($G247:AQ247),('PTRM input'!$G$156*(1+rvanilla01)^0.5)/A14stdlife))</f>
        <v>0</v>
      </c>
      <c r="AS247" s="107">
        <f>IF(A14stdlife="n/a","n/a",IF(AS$3&gt;(A14stdlife+$E247),('PTRM input'!$G$156*(1+rvanilla01)^0.5)-SUM($G247:AR247),('PTRM input'!$G$156*(1+rvanilla01)^0.5)/A14stdlife))</f>
        <v>0</v>
      </c>
      <c r="AT247" s="107">
        <f>IF(A14stdlife="n/a","n/a",IF(AT$3&gt;(A14stdlife+$E247),('PTRM input'!$G$156*(1+rvanilla01)^0.5)-SUM($G247:AS247),('PTRM input'!$G$156*(1+rvanilla01)^0.5)/A14stdlife))</f>
        <v>0</v>
      </c>
      <c r="AU247" s="107">
        <f>IF(A14stdlife="n/a","n/a",IF(AU$3&gt;(A14stdlife+$E247),('PTRM input'!$G$156*(1+rvanilla01)^0.5)-SUM($G247:AT247),('PTRM input'!$G$156*(1+rvanilla01)^0.5)/A14stdlife))</f>
        <v>0</v>
      </c>
      <c r="AV247" s="107">
        <f>IF(A14stdlife="n/a","n/a",IF(AV$3&gt;(A14stdlife+$E247),('PTRM input'!$G$156*(1+rvanilla01)^0.5)-SUM($G247:AU247),('PTRM input'!$G$156*(1+rvanilla01)^0.5)/A14stdlife))</f>
        <v>0</v>
      </c>
      <c r="AW247" s="107">
        <f>IF(A14stdlife="n/a","n/a",IF(AW$3&gt;(A14stdlife+$E247),('PTRM input'!$G$156*(1+rvanilla01)^0.5)-SUM($G247:AV247),('PTRM input'!$G$156*(1+rvanilla01)^0.5)/A14stdlife))</f>
        <v>0</v>
      </c>
      <c r="AX247" s="107">
        <f>IF(A14stdlife="n/a","n/a",IF(AX$3&gt;(A14stdlife+$E247),('PTRM input'!$G$156*(1+rvanilla01)^0.5)-SUM($G247:AW247),('PTRM input'!$G$156*(1+rvanilla01)^0.5)/A14stdlife))</f>
        <v>0</v>
      </c>
      <c r="AY247" s="107">
        <f>IF(A14stdlife="n/a","n/a",IF(AY$3&gt;(A14stdlife+$E247),('PTRM input'!$G$156*(1+rvanilla01)^0.5)-SUM($G247:AX247),('PTRM input'!$G$156*(1+rvanilla01)^0.5)/A14stdlife))</f>
        <v>0</v>
      </c>
      <c r="AZ247" s="107">
        <f>IF(A14stdlife="n/a","n/a",IF(AZ$3&gt;(A14stdlife+$E247),('PTRM input'!$G$156*(1+rvanilla01)^0.5)-SUM($G247:AY247),('PTRM input'!$G$156*(1+rvanilla01)^0.5)/A14stdlife))</f>
        <v>0</v>
      </c>
      <c r="BA247" s="107">
        <f>IF(A14stdlife="n/a","n/a",IF(BA$3&gt;(A14stdlife+$E247),('PTRM input'!$G$156*(1+rvanilla01)^0.5)-SUM($G247:AZ247),('PTRM input'!$G$156*(1+rvanilla01)^0.5)/A14stdlife))</f>
        <v>0</v>
      </c>
      <c r="BB247" s="107">
        <f>IF(A14stdlife="n/a","n/a",IF(BB$3&gt;(A14stdlife+$E247),('PTRM input'!$G$156*(1+rvanilla01)^0.5)-SUM($G247:BA247),('PTRM input'!$G$156*(1+rvanilla01)^0.5)/A14stdlife))</f>
        <v>0</v>
      </c>
      <c r="BC247" s="107">
        <f>IF(A14stdlife="n/a","n/a",IF(BC$3&gt;(A14stdlife+$E247),('PTRM input'!$G$156*(1+rvanilla01)^0.5)-SUM($G247:BB247),('PTRM input'!$G$156*(1+rvanilla01)^0.5)/A14stdlife))</f>
        <v>0</v>
      </c>
      <c r="BD247" s="107">
        <f>IF(A14stdlife="n/a","n/a",IF(BD$3&gt;(A14stdlife+$E247),('PTRM input'!$G$156*(1+rvanilla01)^0.5)-SUM($G247:BC247),('PTRM input'!$G$156*(1+rvanilla01)^0.5)/A14stdlife))</f>
        <v>0</v>
      </c>
      <c r="BE247" s="107">
        <f>IF(A14stdlife="n/a","n/a",IF(BE$3&gt;(A14stdlife+$E247),('PTRM input'!$G$156*(1+rvanilla01)^0.5)-SUM($G247:BD247),('PTRM input'!$G$156*(1+rvanilla01)^0.5)/A14stdlife))</f>
        <v>0</v>
      </c>
      <c r="BF247" s="107">
        <f>IF(A14stdlife="n/a","n/a",IF(BF$3&gt;(A14stdlife+$E247),('PTRM input'!$G$156*(1+rvanilla01)^0.5)-SUM($G247:BE247),('PTRM input'!$G$156*(1+rvanilla01)^0.5)/A14stdlife))</f>
        <v>0</v>
      </c>
      <c r="BG247" s="107">
        <f>IF(A14stdlife="n/a","n/a",IF(BG$3&gt;(A14stdlife+$E247),('PTRM input'!$G$156*(1+rvanilla01)^0.5)-SUM($G247:BF247),('PTRM input'!$G$156*(1+rvanilla01)^0.5)/A14stdlife))</f>
        <v>0</v>
      </c>
      <c r="BH247" s="107">
        <f>IF(A14stdlife="n/a","n/a",IF(BH$3&gt;(A14stdlife+$E247),('PTRM input'!$G$156*(1+rvanilla01)^0.5)-SUM($G247:BG247),('PTRM input'!$G$156*(1+rvanilla01)^0.5)/A14stdlife))</f>
        <v>0</v>
      </c>
      <c r="BI247" s="107">
        <f>IF(A14stdlife="n/a","n/a",IF(BI$3&gt;(A14stdlife+$E247),('PTRM input'!$G$156*(1+rvanilla01)^0.5)-SUM($G247:BH247),('PTRM input'!$G$156*(1+rvanilla01)^0.5)/A14stdlife))</f>
        <v>0</v>
      </c>
      <c r="BJ247" s="237"/>
      <c r="BK247" s="237"/>
      <c r="BL247" s="237"/>
      <c r="BM247" s="237"/>
    </row>
    <row r="248" spans="1:65" s="190" customFormat="1" hidden="1" outlineLevel="2">
      <c r="A248" s="237"/>
      <c r="B248" s="33"/>
      <c r="C248" s="32"/>
      <c r="D248" s="1618"/>
      <c r="E248" s="169">
        <v>2</v>
      </c>
      <c r="F248" s="35"/>
      <c r="G248" s="184"/>
      <c r="H248" s="185"/>
      <c r="I248" s="107">
        <f>IF(A14stdlife="n/a","n/a",IF(I$3&gt;(A14stdlife+$E248),('PTRM input'!$H$156*(1+rvanilla02)^0.5)-SUM($H248:H248),('PTRM input'!$H$156*(1+rvanilla02)^0.5)/A14stdlife))</f>
        <v>0</v>
      </c>
      <c r="J248" s="107">
        <f>IF(A14stdlife="n/a","n/a",IF(J$3&gt;(A14stdlife+$E248),('PTRM input'!$H$156*(1+rvanilla02)^0.5)-SUM($H248:I248),('PTRM input'!$H$156*(1+rvanilla02)^0.5)/A14stdlife))</f>
        <v>0</v>
      </c>
      <c r="K248" s="107">
        <f>IF(A14stdlife="n/a","n/a",IF(K$3&gt;(A14stdlife+$E248),('PTRM input'!$H$156*(1+rvanilla02)^0.5)-SUM($H248:J248),('PTRM input'!$H$156*(1+rvanilla02)^0.5)/A14stdlife))</f>
        <v>0</v>
      </c>
      <c r="L248" s="107">
        <f>IF(A14stdlife="n/a","n/a",IF(L$3&gt;(A14stdlife+$E248),('PTRM input'!$H$156*(1+rvanilla02)^0.5)-SUM($H248:K248),('PTRM input'!$H$156*(1+rvanilla02)^0.5)/A14stdlife))</f>
        <v>0</v>
      </c>
      <c r="M248" s="107">
        <f>IF(A14stdlife="n/a","n/a",IF(M$3&gt;(A14stdlife+$E248),('PTRM input'!$H$156*(1+rvanilla02)^0.5)-SUM($H248:L248),('PTRM input'!$H$156*(1+rvanilla02)^0.5)/A14stdlife))</f>
        <v>0</v>
      </c>
      <c r="N248" s="107">
        <f>IF(A14stdlife="n/a","n/a",IF(N$3&gt;(A14stdlife+$E248),('PTRM input'!$H$156*(1+rvanilla02)^0.5)-SUM($H248:M248),('PTRM input'!$H$156*(1+rvanilla02)^0.5)/A14stdlife))</f>
        <v>0</v>
      </c>
      <c r="O248" s="107">
        <f>IF(A14stdlife="n/a","n/a",IF(O$3&gt;(A14stdlife+$E248),('PTRM input'!$H$156*(1+rvanilla02)^0.5)-SUM($H248:N248),('PTRM input'!$H$156*(1+rvanilla02)^0.5)/A14stdlife))</f>
        <v>0</v>
      </c>
      <c r="P248" s="107">
        <f>IF(A14stdlife="n/a","n/a",IF(P$3&gt;(A14stdlife+$E248),('PTRM input'!$H$156*(1+rvanilla02)^0.5)-SUM($H248:O248),('PTRM input'!$H$156*(1+rvanilla02)^0.5)/A14stdlife))</f>
        <v>0</v>
      </c>
      <c r="Q248" s="107">
        <f>IF(A14stdlife="n/a","n/a",IF(Q$3&gt;(A14stdlife+$E248),('PTRM input'!$H$156*(1+rvanilla02)^0.5)-SUM($H248:P248),('PTRM input'!$H$156*(1+rvanilla02)^0.5)/A14stdlife))</f>
        <v>0</v>
      </c>
      <c r="R248" s="107">
        <f>IF(A14stdlife="n/a","n/a",IF(R$3&gt;(A14stdlife+$E248),('PTRM input'!$H$156*(1+rvanilla02)^0.5)-SUM($H248:Q248),('PTRM input'!$H$156*(1+rvanilla02)^0.5)/A14stdlife))</f>
        <v>0</v>
      </c>
      <c r="S248" s="107">
        <f>IF(A14stdlife="n/a","n/a",IF(S$3&gt;(A14stdlife+$E248),('PTRM input'!$H$156*(1+rvanilla02)^0.5)-SUM($H248:R248),('PTRM input'!$H$156*(1+rvanilla02)^0.5)/A14stdlife))</f>
        <v>0</v>
      </c>
      <c r="T248" s="107">
        <f>IF(A14stdlife="n/a","n/a",IF(T$3&gt;(A14stdlife+$E248),('PTRM input'!$H$156*(1+rvanilla02)^0.5)-SUM($H248:S248),('PTRM input'!$H$156*(1+rvanilla02)^0.5)/A14stdlife))</f>
        <v>0</v>
      </c>
      <c r="U248" s="107">
        <f>IF(A14stdlife="n/a","n/a",IF(U$3&gt;(A14stdlife+$E248),('PTRM input'!$H$156*(1+rvanilla02)^0.5)-SUM($H248:T248),('PTRM input'!$H$156*(1+rvanilla02)^0.5)/A14stdlife))</f>
        <v>0</v>
      </c>
      <c r="V248" s="107">
        <f>IF(A14stdlife="n/a","n/a",IF(V$3&gt;(A14stdlife+$E248),('PTRM input'!$H$156*(1+rvanilla02)^0.5)-SUM($H248:U248),('PTRM input'!$H$156*(1+rvanilla02)^0.5)/A14stdlife))</f>
        <v>0</v>
      </c>
      <c r="W248" s="107">
        <f>IF(A14stdlife="n/a","n/a",IF(W$3&gt;(A14stdlife+$E248),('PTRM input'!$H$156*(1+rvanilla02)^0.5)-SUM($H248:V248),('PTRM input'!$H$156*(1+rvanilla02)^0.5)/A14stdlife))</f>
        <v>0</v>
      </c>
      <c r="X248" s="107">
        <f>IF(A14stdlife="n/a","n/a",IF(X$3&gt;(A14stdlife+$E248),('PTRM input'!$H$156*(1+rvanilla02)^0.5)-SUM($H248:W248),('PTRM input'!$H$156*(1+rvanilla02)^0.5)/A14stdlife))</f>
        <v>0</v>
      </c>
      <c r="Y248" s="107">
        <f>IF(A14stdlife="n/a","n/a",IF(Y$3&gt;(A14stdlife+$E248),('PTRM input'!$H$156*(1+rvanilla02)^0.5)-SUM($H248:X248),('PTRM input'!$H$156*(1+rvanilla02)^0.5)/A14stdlife))</f>
        <v>0</v>
      </c>
      <c r="Z248" s="107">
        <f>IF(A14stdlife="n/a","n/a",IF(Z$3&gt;(A14stdlife+$E248),('PTRM input'!$H$156*(1+rvanilla02)^0.5)-SUM($H248:Y248),('PTRM input'!$H$156*(1+rvanilla02)^0.5)/A14stdlife))</f>
        <v>0</v>
      </c>
      <c r="AA248" s="107">
        <f>IF(A14stdlife="n/a","n/a",IF(AA$3&gt;(A14stdlife+$E248),('PTRM input'!$H$156*(1+rvanilla02)^0.5)-SUM($H248:Z248),('PTRM input'!$H$156*(1+rvanilla02)^0.5)/A14stdlife))</f>
        <v>0</v>
      </c>
      <c r="AB248" s="107">
        <f>IF(A14stdlife="n/a","n/a",IF(AB$3&gt;(A14stdlife+$E248),('PTRM input'!$H$156*(1+rvanilla02)^0.5)-SUM($H248:AA248),('PTRM input'!$H$156*(1+rvanilla02)^0.5)/A14stdlife))</f>
        <v>0</v>
      </c>
      <c r="AC248" s="107">
        <f>IF(A14stdlife="n/a","n/a",IF(AC$3&gt;(A14stdlife+$E248),('PTRM input'!$H$156*(1+rvanilla02)^0.5)-SUM($H248:AB248),('PTRM input'!$H$156*(1+rvanilla02)^0.5)/A14stdlife))</f>
        <v>0</v>
      </c>
      <c r="AD248" s="107">
        <f>IF(A14stdlife="n/a","n/a",IF(AD$3&gt;(A14stdlife+$E248),('PTRM input'!$H$156*(1+rvanilla02)^0.5)-SUM($H248:AC248),('PTRM input'!$H$156*(1+rvanilla02)^0.5)/A14stdlife))</f>
        <v>0</v>
      </c>
      <c r="AE248" s="107">
        <f>IF(A14stdlife="n/a","n/a",IF(AE$3&gt;(A14stdlife+$E248),('PTRM input'!$H$156*(1+rvanilla02)^0.5)-SUM($H248:AD248),('PTRM input'!$H$156*(1+rvanilla02)^0.5)/A14stdlife))</f>
        <v>0</v>
      </c>
      <c r="AF248" s="107">
        <f>IF(A14stdlife="n/a","n/a",IF(AF$3&gt;(A14stdlife+$E248),('PTRM input'!$H$156*(1+rvanilla02)^0.5)-SUM($H248:AE248),('PTRM input'!$H$156*(1+rvanilla02)^0.5)/A14stdlife))</f>
        <v>0</v>
      </c>
      <c r="AG248" s="107">
        <f>IF(A14stdlife="n/a","n/a",IF(AG$3&gt;(A14stdlife+$E248),('PTRM input'!$H$156*(1+rvanilla02)^0.5)-SUM($H248:AF248),('PTRM input'!$H$156*(1+rvanilla02)^0.5)/A14stdlife))</f>
        <v>0</v>
      </c>
      <c r="AH248" s="107">
        <f>IF(A14stdlife="n/a","n/a",IF(AH$3&gt;(A14stdlife+$E248),('PTRM input'!$H$156*(1+rvanilla02)^0.5)-SUM($H248:AG248),('PTRM input'!$H$156*(1+rvanilla02)^0.5)/A14stdlife))</f>
        <v>0</v>
      </c>
      <c r="AI248" s="107">
        <f>IF(A14stdlife="n/a","n/a",IF(AI$3&gt;(A14stdlife+$E248),('PTRM input'!$H$156*(1+rvanilla02)^0.5)-SUM($H248:AH248),('PTRM input'!$H$156*(1+rvanilla02)^0.5)/A14stdlife))</f>
        <v>0</v>
      </c>
      <c r="AJ248" s="107">
        <f>IF(A14stdlife="n/a","n/a",IF(AJ$3&gt;(A14stdlife+$E248),('PTRM input'!$H$156*(1+rvanilla02)^0.5)-SUM($H248:AI248),('PTRM input'!$H$156*(1+rvanilla02)^0.5)/A14stdlife))</f>
        <v>0</v>
      </c>
      <c r="AK248" s="107">
        <f>IF(A14stdlife="n/a","n/a",IF(AK$3&gt;(A14stdlife+$E248),('PTRM input'!$H$156*(1+rvanilla02)^0.5)-SUM($H248:AJ248),('PTRM input'!$H$156*(1+rvanilla02)^0.5)/A14stdlife))</f>
        <v>0</v>
      </c>
      <c r="AL248" s="107">
        <f>IF(A14stdlife="n/a","n/a",IF(AL$3&gt;(A14stdlife+$E248),('PTRM input'!$H$156*(1+rvanilla02)^0.5)-SUM($H248:AK248),('PTRM input'!$H$156*(1+rvanilla02)^0.5)/A14stdlife))</f>
        <v>0</v>
      </c>
      <c r="AM248" s="107">
        <f>IF(A14stdlife="n/a","n/a",IF(AM$3&gt;(A14stdlife+$E248),('PTRM input'!$H$156*(1+rvanilla02)^0.5)-SUM($H248:AL248),('PTRM input'!$H$156*(1+rvanilla02)^0.5)/A14stdlife))</f>
        <v>0</v>
      </c>
      <c r="AN248" s="107">
        <f>IF(A14stdlife="n/a","n/a",IF(AN$3&gt;(A14stdlife+$E248),('PTRM input'!$H$156*(1+rvanilla02)^0.5)-SUM($H248:AM248),('PTRM input'!$H$156*(1+rvanilla02)^0.5)/A14stdlife))</f>
        <v>0</v>
      </c>
      <c r="AO248" s="107">
        <f>IF(A14stdlife="n/a","n/a",IF(AO$3&gt;(A14stdlife+$E248),('PTRM input'!$H$156*(1+rvanilla02)^0.5)-SUM($H248:AN248),('PTRM input'!$H$156*(1+rvanilla02)^0.5)/A14stdlife))</f>
        <v>0</v>
      </c>
      <c r="AP248" s="107">
        <f>IF(A14stdlife="n/a","n/a",IF(AP$3&gt;(A14stdlife+$E248),('PTRM input'!$H$156*(1+rvanilla02)^0.5)-SUM($H248:AO248),('PTRM input'!$H$156*(1+rvanilla02)^0.5)/A14stdlife))</f>
        <v>0</v>
      </c>
      <c r="AQ248" s="107">
        <f>IF(A14stdlife="n/a","n/a",IF(AQ$3&gt;(A14stdlife+$E248),('PTRM input'!$H$156*(1+rvanilla02)^0.5)-SUM($H248:AP248),('PTRM input'!$H$156*(1+rvanilla02)^0.5)/A14stdlife))</f>
        <v>0</v>
      </c>
      <c r="AR248" s="107">
        <f>IF(A14stdlife="n/a","n/a",IF(AR$3&gt;(A14stdlife+$E248),('PTRM input'!$H$156*(1+rvanilla02)^0.5)-SUM($H248:AQ248),('PTRM input'!$H$156*(1+rvanilla02)^0.5)/A14stdlife))</f>
        <v>0</v>
      </c>
      <c r="AS248" s="107">
        <f>IF(A14stdlife="n/a","n/a",IF(AS$3&gt;(A14stdlife+$E248),('PTRM input'!$H$156*(1+rvanilla02)^0.5)-SUM($H248:AR248),('PTRM input'!$H$156*(1+rvanilla02)^0.5)/A14stdlife))</f>
        <v>0</v>
      </c>
      <c r="AT248" s="107">
        <f>IF(A14stdlife="n/a","n/a",IF(AT$3&gt;(A14stdlife+$E248),('PTRM input'!$H$156*(1+rvanilla02)^0.5)-SUM($H248:AS248),('PTRM input'!$H$156*(1+rvanilla02)^0.5)/A14stdlife))</f>
        <v>0</v>
      </c>
      <c r="AU248" s="107">
        <f>IF(A14stdlife="n/a","n/a",IF(AU$3&gt;(A14stdlife+$E248),('PTRM input'!$H$156*(1+rvanilla02)^0.5)-SUM($H248:AT248),('PTRM input'!$H$156*(1+rvanilla02)^0.5)/A14stdlife))</f>
        <v>0</v>
      </c>
      <c r="AV248" s="107">
        <f>IF(A14stdlife="n/a","n/a",IF(AV$3&gt;(A14stdlife+$E248),('PTRM input'!$H$156*(1+rvanilla02)^0.5)-SUM($H248:AU248),('PTRM input'!$H$156*(1+rvanilla02)^0.5)/A14stdlife))</f>
        <v>0</v>
      </c>
      <c r="AW248" s="107">
        <f>IF(A14stdlife="n/a","n/a",IF(AW$3&gt;(A14stdlife+$E248),('PTRM input'!$H$156*(1+rvanilla02)^0.5)-SUM($H248:AV248),('PTRM input'!$H$156*(1+rvanilla02)^0.5)/A14stdlife))</f>
        <v>0</v>
      </c>
      <c r="AX248" s="107">
        <f>IF(A14stdlife="n/a","n/a",IF(AX$3&gt;(A14stdlife+$E248),('PTRM input'!$H$156*(1+rvanilla02)^0.5)-SUM($H248:AW248),('PTRM input'!$H$156*(1+rvanilla02)^0.5)/A14stdlife))</f>
        <v>0</v>
      </c>
      <c r="AY248" s="107">
        <f>IF(A14stdlife="n/a","n/a",IF(AY$3&gt;(A14stdlife+$E248),('PTRM input'!$H$156*(1+rvanilla02)^0.5)-SUM($H248:AX248),('PTRM input'!$H$156*(1+rvanilla02)^0.5)/A14stdlife))</f>
        <v>0</v>
      </c>
      <c r="AZ248" s="107">
        <f>IF(A14stdlife="n/a","n/a",IF(AZ$3&gt;(A14stdlife+$E248),('PTRM input'!$H$156*(1+rvanilla02)^0.5)-SUM($H248:AY248),('PTRM input'!$H$156*(1+rvanilla02)^0.5)/A14stdlife))</f>
        <v>0</v>
      </c>
      <c r="BA248" s="107">
        <f>IF(A14stdlife="n/a","n/a",IF(BA$3&gt;(A14stdlife+$E248),('PTRM input'!$H$156*(1+rvanilla02)^0.5)-SUM($H248:AZ248),('PTRM input'!$H$156*(1+rvanilla02)^0.5)/A14stdlife))</f>
        <v>0</v>
      </c>
      <c r="BB248" s="107">
        <f>IF(A14stdlife="n/a","n/a",IF(BB$3&gt;(A14stdlife+$E248),('PTRM input'!$H$156*(1+rvanilla02)^0.5)-SUM($H248:BA248),('PTRM input'!$H$156*(1+rvanilla02)^0.5)/A14stdlife))</f>
        <v>0</v>
      </c>
      <c r="BC248" s="107">
        <f>IF(A14stdlife="n/a","n/a",IF(BC$3&gt;(A14stdlife+$E248),('PTRM input'!$H$156*(1+rvanilla02)^0.5)-SUM($H248:BB248),('PTRM input'!$H$156*(1+rvanilla02)^0.5)/A14stdlife))</f>
        <v>0</v>
      </c>
      <c r="BD248" s="107">
        <f>IF(A14stdlife="n/a","n/a",IF(BD$3&gt;(A14stdlife+$E248),('PTRM input'!$H$156*(1+rvanilla02)^0.5)-SUM($H248:BC248),('PTRM input'!$H$156*(1+rvanilla02)^0.5)/A14stdlife))</f>
        <v>0</v>
      </c>
      <c r="BE248" s="107">
        <f>IF(A14stdlife="n/a","n/a",IF(BE$3&gt;(A14stdlife+$E248),('PTRM input'!$H$156*(1+rvanilla02)^0.5)-SUM($H248:BD248),('PTRM input'!$H$156*(1+rvanilla02)^0.5)/A14stdlife))</f>
        <v>0</v>
      </c>
      <c r="BF248" s="107">
        <f>IF(A14stdlife="n/a","n/a",IF(BF$3&gt;(A14stdlife+$E248),('PTRM input'!$H$156*(1+rvanilla02)^0.5)-SUM($H248:BE248),('PTRM input'!$H$156*(1+rvanilla02)^0.5)/A14stdlife))</f>
        <v>0</v>
      </c>
      <c r="BG248" s="107">
        <f>IF(A14stdlife="n/a","n/a",IF(BG$3&gt;(A14stdlife+$E248),('PTRM input'!$H$156*(1+rvanilla02)^0.5)-SUM($H248:BF248),('PTRM input'!$H$156*(1+rvanilla02)^0.5)/A14stdlife))</f>
        <v>0</v>
      </c>
      <c r="BH248" s="107">
        <f>IF(A14stdlife="n/a","n/a",IF(BH$3&gt;(A14stdlife+$E248),('PTRM input'!$H$156*(1+rvanilla02)^0.5)-SUM($H248:BG248),('PTRM input'!$H$156*(1+rvanilla02)^0.5)/A14stdlife))</f>
        <v>0</v>
      </c>
      <c r="BI248" s="107">
        <f>IF(A14stdlife="n/a","n/a",IF(BI$3&gt;(A14stdlife+$E248),('PTRM input'!$H$156*(1+rvanilla02)^0.5)-SUM($H248:BH248),('PTRM input'!$H$156*(1+rvanilla02)^0.5)/A14stdlife))</f>
        <v>0</v>
      </c>
      <c r="BJ248" s="237"/>
      <c r="BK248" s="237"/>
      <c r="BL248" s="237"/>
      <c r="BM248" s="237"/>
    </row>
    <row r="249" spans="1:65" s="190" customFormat="1" hidden="1" outlineLevel="2">
      <c r="A249" s="237"/>
      <c r="B249" s="33"/>
      <c r="C249" s="32"/>
      <c r="D249" s="1618"/>
      <c r="E249" s="169">
        <v>3</v>
      </c>
      <c r="F249" s="35"/>
      <c r="G249" s="184"/>
      <c r="H249" s="186"/>
      <c r="I249" s="185"/>
      <c r="J249" s="107">
        <f>IF(A14stdlife="n/a","n/a",IF(J$3&gt;(A14stdlife+$E249),('PTRM input'!$I$156*(1+rvanilla03)^0.5)-SUM($I249:I249),('PTRM input'!$I$156*(1+rvanilla03)^0.5)/A14stdlife))</f>
        <v>0</v>
      </c>
      <c r="K249" s="107">
        <f>IF(A14stdlife="n/a","n/a",IF(K$3&gt;(A14stdlife+$E249),('PTRM input'!$I$156*(1+rvanilla03)^0.5)-SUM($I249:J249),('PTRM input'!$I$156*(1+rvanilla03)^0.5)/A14stdlife))</f>
        <v>0</v>
      </c>
      <c r="L249" s="107">
        <f>IF(A14stdlife="n/a","n/a",IF(L$3&gt;(A14stdlife+$E249),('PTRM input'!$I$156*(1+rvanilla03)^0.5)-SUM($I249:K249),('PTRM input'!$I$156*(1+rvanilla03)^0.5)/A14stdlife))</f>
        <v>0</v>
      </c>
      <c r="M249" s="107">
        <f>IF(A14stdlife="n/a","n/a",IF(M$3&gt;(A14stdlife+$E249),('PTRM input'!$I$156*(1+rvanilla03)^0.5)-SUM($I249:L249),('PTRM input'!$I$156*(1+rvanilla03)^0.5)/A14stdlife))</f>
        <v>0</v>
      </c>
      <c r="N249" s="107">
        <f>IF(A14stdlife="n/a","n/a",IF(N$3&gt;(A14stdlife+$E249),('PTRM input'!$I$156*(1+rvanilla03)^0.5)-SUM($I249:M249),('PTRM input'!$I$156*(1+rvanilla03)^0.5)/A14stdlife))</f>
        <v>0</v>
      </c>
      <c r="O249" s="107">
        <f>IF(A14stdlife="n/a","n/a",IF(O$3&gt;(A14stdlife+$E249),('PTRM input'!$I$156*(1+rvanilla03)^0.5)-SUM($I249:N249),('PTRM input'!$I$156*(1+rvanilla03)^0.5)/A14stdlife))</f>
        <v>0</v>
      </c>
      <c r="P249" s="107">
        <f>IF(A14stdlife="n/a","n/a",IF(P$3&gt;(A14stdlife+$E249),('PTRM input'!$I$156*(1+rvanilla03)^0.5)-SUM($I249:O249),('PTRM input'!$I$156*(1+rvanilla03)^0.5)/A14stdlife))</f>
        <v>0</v>
      </c>
      <c r="Q249" s="107">
        <f>IF(A14stdlife="n/a","n/a",IF(Q$3&gt;(A14stdlife+$E249),('PTRM input'!$I$156*(1+rvanilla03)^0.5)-SUM($I249:P249),('PTRM input'!$I$156*(1+rvanilla03)^0.5)/A14stdlife))</f>
        <v>0</v>
      </c>
      <c r="R249" s="107">
        <f>IF(A14stdlife="n/a","n/a",IF(R$3&gt;(A14stdlife+$E249),('PTRM input'!$I$156*(1+rvanilla03)^0.5)-SUM($I249:Q249),('PTRM input'!$I$156*(1+rvanilla03)^0.5)/A14stdlife))</f>
        <v>0</v>
      </c>
      <c r="S249" s="107">
        <f>IF(A14stdlife="n/a","n/a",IF(S$3&gt;(A14stdlife+$E249),('PTRM input'!$I$156*(1+rvanilla03)^0.5)-SUM($I249:R249),('PTRM input'!$I$156*(1+rvanilla03)^0.5)/A14stdlife))</f>
        <v>0</v>
      </c>
      <c r="T249" s="107">
        <f>IF(A14stdlife="n/a","n/a",IF(T$3&gt;(A14stdlife+$E249),('PTRM input'!$I$156*(1+rvanilla03)^0.5)-SUM($I249:S249),('PTRM input'!$I$156*(1+rvanilla03)^0.5)/A14stdlife))</f>
        <v>0</v>
      </c>
      <c r="U249" s="107">
        <f>IF(A14stdlife="n/a","n/a",IF(U$3&gt;(A14stdlife+$E249),('PTRM input'!$I$156*(1+rvanilla03)^0.5)-SUM($I249:T249),('PTRM input'!$I$156*(1+rvanilla03)^0.5)/A14stdlife))</f>
        <v>0</v>
      </c>
      <c r="V249" s="107">
        <f>IF(A14stdlife="n/a","n/a",IF(V$3&gt;(A14stdlife+$E249),('PTRM input'!$I$156*(1+rvanilla03)^0.5)-SUM($I249:U249),('PTRM input'!$I$156*(1+rvanilla03)^0.5)/A14stdlife))</f>
        <v>0</v>
      </c>
      <c r="W249" s="107">
        <f>IF(A14stdlife="n/a","n/a",IF(W$3&gt;(A14stdlife+$E249),('PTRM input'!$I$156*(1+rvanilla03)^0.5)-SUM($I249:V249),('PTRM input'!$I$156*(1+rvanilla03)^0.5)/A14stdlife))</f>
        <v>0</v>
      </c>
      <c r="X249" s="107">
        <f>IF(A14stdlife="n/a","n/a",IF(X$3&gt;(A14stdlife+$E249),('PTRM input'!$I$156*(1+rvanilla03)^0.5)-SUM($I249:W249),('PTRM input'!$I$156*(1+rvanilla03)^0.5)/A14stdlife))</f>
        <v>0</v>
      </c>
      <c r="Y249" s="107">
        <f>IF(A14stdlife="n/a","n/a",IF(Y$3&gt;(A14stdlife+$E249),('PTRM input'!$I$156*(1+rvanilla03)^0.5)-SUM($I249:X249),('PTRM input'!$I$156*(1+rvanilla03)^0.5)/A14stdlife))</f>
        <v>0</v>
      </c>
      <c r="Z249" s="107">
        <f>IF(A14stdlife="n/a","n/a",IF(Z$3&gt;(A14stdlife+$E249),('PTRM input'!$I$156*(1+rvanilla03)^0.5)-SUM($I249:Y249),('PTRM input'!$I$156*(1+rvanilla03)^0.5)/A14stdlife))</f>
        <v>0</v>
      </c>
      <c r="AA249" s="107">
        <f>IF(A14stdlife="n/a","n/a",IF(AA$3&gt;(A14stdlife+$E249),('PTRM input'!$I$156*(1+rvanilla03)^0.5)-SUM($I249:Z249),('PTRM input'!$I$156*(1+rvanilla03)^0.5)/A14stdlife))</f>
        <v>0</v>
      </c>
      <c r="AB249" s="107">
        <f>IF(A14stdlife="n/a","n/a",IF(AB$3&gt;(A14stdlife+$E249),('PTRM input'!$I$156*(1+rvanilla03)^0.5)-SUM($I249:AA249),('PTRM input'!$I$156*(1+rvanilla03)^0.5)/A14stdlife))</f>
        <v>0</v>
      </c>
      <c r="AC249" s="107">
        <f>IF(A14stdlife="n/a","n/a",IF(AC$3&gt;(A14stdlife+$E249),('PTRM input'!$I$156*(1+rvanilla03)^0.5)-SUM($I249:AB249),('PTRM input'!$I$156*(1+rvanilla03)^0.5)/A14stdlife))</f>
        <v>0</v>
      </c>
      <c r="AD249" s="107">
        <f>IF(A14stdlife="n/a","n/a",IF(AD$3&gt;(A14stdlife+$E249),('PTRM input'!$I$156*(1+rvanilla03)^0.5)-SUM($I249:AC249),('PTRM input'!$I$156*(1+rvanilla03)^0.5)/A14stdlife))</f>
        <v>0</v>
      </c>
      <c r="AE249" s="107">
        <f>IF(A14stdlife="n/a","n/a",IF(AE$3&gt;(A14stdlife+$E249),('PTRM input'!$I$156*(1+rvanilla03)^0.5)-SUM($I249:AD249),('PTRM input'!$I$156*(1+rvanilla03)^0.5)/A14stdlife))</f>
        <v>0</v>
      </c>
      <c r="AF249" s="107">
        <f>IF(A14stdlife="n/a","n/a",IF(AF$3&gt;(A14stdlife+$E249),('PTRM input'!$I$156*(1+rvanilla03)^0.5)-SUM($I249:AE249),('PTRM input'!$I$156*(1+rvanilla03)^0.5)/A14stdlife))</f>
        <v>0</v>
      </c>
      <c r="AG249" s="107">
        <f>IF(A14stdlife="n/a","n/a",IF(AG$3&gt;(A14stdlife+$E249),('PTRM input'!$I$156*(1+rvanilla03)^0.5)-SUM($I249:AF249),('PTRM input'!$I$156*(1+rvanilla03)^0.5)/A14stdlife))</f>
        <v>0</v>
      </c>
      <c r="AH249" s="107">
        <f>IF(A14stdlife="n/a","n/a",IF(AH$3&gt;(A14stdlife+$E249),('PTRM input'!$I$156*(1+rvanilla03)^0.5)-SUM($I249:AG249),('PTRM input'!$I$156*(1+rvanilla03)^0.5)/A14stdlife))</f>
        <v>0</v>
      </c>
      <c r="AI249" s="107">
        <f>IF(A14stdlife="n/a","n/a",IF(AI$3&gt;(A14stdlife+$E249),('PTRM input'!$I$156*(1+rvanilla03)^0.5)-SUM($I249:AH249),('PTRM input'!$I$156*(1+rvanilla03)^0.5)/A14stdlife))</f>
        <v>0</v>
      </c>
      <c r="AJ249" s="107">
        <f>IF(A14stdlife="n/a","n/a",IF(AJ$3&gt;(A14stdlife+$E249),('PTRM input'!$I$156*(1+rvanilla03)^0.5)-SUM($I249:AI249),('PTRM input'!$I$156*(1+rvanilla03)^0.5)/A14stdlife))</f>
        <v>0</v>
      </c>
      <c r="AK249" s="107">
        <f>IF(A14stdlife="n/a","n/a",IF(AK$3&gt;(A14stdlife+$E249),('PTRM input'!$I$156*(1+rvanilla03)^0.5)-SUM($I249:AJ249),('PTRM input'!$I$156*(1+rvanilla03)^0.5)/A14stdlife))</f>
        <v>0</v>
      </c>
      <c r="AL249" s="107">
        <f>IF(A14stdlife="n/a","n/a",IF(AL$3&gt;(A14stdlife+$E249),('PTRM input'!$I$156*(1+rvanilla03)^0.5)-SUM($I249:AK249),('PTRM input'!$I$156*(1+rvanilla03)^0.5)/A14stdlife))</f>
        <v>0</v>
      </c>
      <c r="AM249" s="107">
        <f>IF(A14stdlife="n/a","n/a",IF(AM$3&gt;(A14stdlife+$E249),('PTRM input'!$I$156*(1+rvanilla03)^0.5)-SUM($I249:AL249),('PTRM input'!$I$156*(1+rvanilla03)^0.5)/A14stdlife))</f>
        <v>0</v>
      </c>
      <c r="AN249" s="107">
        <f>IF(A14stdlife="n/a","n/a",IF(AN$3&gt;(A14stdlife+$E249),('PTRM input'!$I$156*(1+rvanilla03)^0.5)-SUM($I249:AM249),('PTRM input'!$I$156*(1+rvanilla03)^0.5)/A14stdlife))</f>
        <v>0</v>
      </c>
      <c r="AO249" s="107">
        <f>IF(A14stdlife="n/a","n/a",IF(AO$3&gt;(A14stdlife+$E249),('PTRM input'!$I$156*(1+rvanilla03)^0.5)-SUM($I249:AN249),('PTRM input'!$I$156*(1+rvanilla03)^0.5)/A14stdlife))</f>
        <v>0</v>
      </c>
      <c r="AP249" s="107">
        <f>IF(A14stdlife="n/a","n/a",IF(AP$3&gt;(A14stdlife+$E249),('PTRM input'!$I$156*(1+rvanilla03)^0.5)-SUM($I249:AO249),('PTRM input'!$I$156*(1+rvanilla03)^0.5)/A14stdlife))</f>
        <v>0</v>
      </c>
      <c r="AQ249" s="107">
        <f>IF(A14stdlife="n/a","n/a",IF(AQ$3&gt;(A14stdlife+$E249),('PTRM input'!$I$156*(1+rvanilla03)^0.5)-SUM($I249:AP249),('PTRM input'!$I$156*(1+rvanilla03)^0.5)/A14stdlife))</f>
        <v>0</v>
      </c>
      <c r="AR249" s="107">
        <f>IF(A14stdlife="n/a","n/a",IF(AR$3&gt;(A14stdlife+$E249),('PTRM input'!$I$156*(1+rvanilla03)^0.5)-SUM($I249:AQ249),('PTRM input'!$I$156*(1+rvanilla03)^0.5)/A14stdlife))</f>
        <v>0</v>
      </c>
      <c r="AS249" s="107">
        <f>IF(A14stdlife="n/a","n/a",IF(AS$3&gt;(A14stdlife+$E249),('PTRM input'!$I$156*(1+rvanilla03)^0.5)-SUM($I249:AR249),('PTRM input'!$I$156*(1+rvanilla03)^0.5)/A14stdlife))</f>
        <v>0</v>
      </c>
      <c r="AT249" s="107">
        <f>IF(A14stdlife="n/a","n/a",IF(AT$3&gt;(A14stdlife+$E249),('PTRM input'!$I$156*(1+rvanilla03)^0.5)-SUM($I249:AS249),('PTRM input'!$I$156*(1+rvanilla03)^0.5)/A14stdlife))</f>
        <v>0</v>
      </c>
      <c r="AU249" s="107">
        <f>IF(A14stdlife="n/a","n/a",IF(AU$3&gt;(A14stdlife+$E249),('PTRM input'!$I$156*(1+rvanilla03)^0.5)-SUM($I249:AT249),('PTRM input'!$I$156*(1+rvanilla03)^0.5)/A14stdlife))</f>
        <v>0</v>
      </c>
      <c r="AV249" s="107">
        <f>IF(A14stdlife="n/a","n/a",IF(AV$3&gt;(A14stdlife+$E249),('PTRM input'!$I$156*(1+rvanilla03)^0.5)-SUM($I249:AU249),('PTRM input'!$I$156*(1+rvanilla03)^0.5)/A14stdlife))</f>
        <v>0</v>
      </c>
      <c r="AW249" s="107">
        <f>IF(A14stdlife="n/a","n/a",IF(AW$3&gt;(A14stdlife+$E249),('PTRM input'!$I$156*(1+rvanilla03)^0.5)-SUM($I249:AV249),('PTRM input'!$I$156*(1+rvanilla03)^0.5)/A14stdlife))</f>
        <v>0</v>
      </c>
      <c r="AX249" s="107">
        <f>IF(A14stdlife="n/a","n/a",IF(AX$3&gt;(A14stdlife+$E249),('PTRM input'!$I$156*(1+rvanilla03)^0.5)-SUM($I249:AW249),('PTRM input'!$I$156*(1+rvanilla03)^0.5)/A14stdlife))</f>
        <v>0</v>
      </c>
      <c r="AY249" s="107">
        <f>IF(A14stdlife="n/a","n/a",IF(AY$3&gt;(A14stdlife+$E249),('PTRM input'!$I$156*(1+rvanilla03)^0.5)-SUM($I249:AX249),('PTRM input'!$I$156*(1+rvanilla03)^0.5)/A14stdlife))</f>
        <v>0</v>
      </c>
      <c r="AZ249" s="107">
        <f>IF(A14stdlife="n/a","n/a",IF(AZ$3&gt;(A14stdlife+$E249),('PTRM input'!$I$156*(1+rvanilla03)^0.5)-SUM($I249:AY249),('PTRM input'!$I$156*(1+rvanilla03)^0.5)/A14stdlife))</f>
        <v>0</v>
      </c>
      <c r="BA249" s="107">
        <f>IF(A14stdlife="n/a","n/a",IF(BA$3&gt;(A14stdlife+$E249),('PTRM input'!$I$156*(1+rvanilla03)^0.5)-SUM($I249:AZ249),('PTRM input'!$I$156*(1+rvanilla03)^0.5)/A14stdlife))</f>
        <v>0</v>
      </c>
      <c r="BB249" s="107">
        <f>IF(A14stdlife="n/a","n/a",IF(BB$3&gt;(A14stdlife+$E249),('PTRM input'!$I$156*(1+rvanilla03)^0.5)-SUM($I249:BA249),('PTRM input'!$I$156*(1+rvanilla03)^0.5)/A14stdlife))</f>
        <v>0</v>
      </c>
      <c r="BC249" s="107">
        <f>IF(A14stdlife="n/a","n/a",IF(BC$3&gt;(A14stdlife+$E249),('PTRM input'!$I$156*(1+rvanilla03)^0.5)-SUM($I249:BB249),('PTRM input'!$I$156*(1+rvanilla03)^0.5)/A14stdlife))</f>
        <v>0</v>
      </c>
      <c r="BD249" s="107">
        <f>IF(A14stdlife="n/a","n/a",IF(BD$3&gt;(A14stdlife+$E249),('PTRM input'!$I$156*(1+rvanilla03)^0.5)-SUM($I249:BC249),('PTRM input'!$I$156*(1+rvanilla03)^0.5)/A14stdlife))</f>
        <v>0</v>
      </c>
      <c r="BE249" s="107">
        <f>IF(A14stdlife="n/a","n/a",IF(BE$3&gt;(A14stdlife+$E249),('PTRM input'!$I$156*(1+rvanilla03)^0.5)-SUM($I249:BD249),('PTRM input'!$I$156*(1+rvanilla03)^0.5)/A14stdlife))</f>
        <v>0</v>
      </c>
      <c r="BF249" s="107">
        <f>IF(A14stdlife="n/a","n/a",IF(BF$3&gt;(A14stdlife+$E249),('PTRM input'!$I$156*(1+rvanilla03)^0.5)-SUM($I249:BE249),('PTRM input'!$I$156*(1+rvanilla03)^0.5)/A14stdlife))</f>
        <v>0</v>
      </c>
      <c r="BG249" s="107">
        <f>IF(A14stdlife="n/a","n/a",IF(BG$3&gt;(A14stdlife+$E249),('PTRM input'!$I$156*(1+rvanilla03)^0.5)-SUM($I249:BF249),('PTRM input'!$I$156*(1+rvanilla03)^0.5)/A14stdlife))</f>
        <v>0</v>
      </c>
      <c r="BH249" s="107">
        <f>IF(A14stdlife="n/a","n/a",IF(BH$3&gt;(A14stdlife+$E249),('PTRM input'!$I$156*(1+rvanilla03)^0.5)-SUM($I249:BG249),('PTRM input'!$I$156*(1+rvanilla03)^0.5)/A14stdlife))</f>
        <v>0</v>
      </c>
      <c r="BI249" s="107">
        <f>IF(A14stdlife="n/a","n/a",IF(BI$3&gt;(A14stdlife+$E249),('PTRM input'!$I$156*(1+rvanilla03)^0.5)-SUM($I249:BH249),('PTRM input'!$I$156*(1+rvanilla03)^0.5)/A14stdlife))</f>
        <v>0</v>
      </c>
      <c r="BJ249" s="237"/>
      <c r="BK249" s="237"/>
      <c r="BL249" s="237"/>
      <c r="BM249" s="237"/>
    </row>
    <row r="250" spans="1:65" s="190" customFormat="1" hidden="1" outlineLevel="2">
      <c r="A250" s="237"/>
      <c r="B250" s="33"/>
      <c r="C250" s="32"/>
      <c r="D250" s="1618"/>
      <c r="E250" s="169">
        <v>4</v>
      </c>
      <c r="F250" s="35"/>
      <c r="G250" s="184"/>
      <c r="H250" s="186"/>
      <c r="I250" s="186"/>
      <c r="J250" s="185"/>
      <c r="K250" s="107">
        <f>IF(A14stdlife="n/a","n/a",IF(K$3&gt;(A14stdlife+$E250),('PTRM input'!$J$156*(1+rvanilla04)^0.5)-SUM($J250:J250),('PTRM input'!$J$156*(1+rvanilla04)^0.5)/A14stdlife))</f>
        <v>0</v>
      </c>
      <c r="L250" s="107">
        <f>IF(A14stdlife="n/a","n/a",IF(L$3&gt;(A14stdlife+$E250),('PTRM input'!$J$156*(1+rvanilla04)^0.5)-SUM($J250:K250),('PTRM input'!$J$156*(1+rvanilla04)^0.5)/A14stdlife))</f>
        <v>0</v>
      </c>
      <c r="M250" s="107">
        <f>IF(A14stdlife="n/a","n/a",IF(M$3&gt;(A14stdlife+$E250),('PTRM input'!$J$156*(1+rvanilla04)^0.5)-SUM($J250:L250),('PTRM input'!$J$156*(1+rvanilla04)^0.5)/A14stdlife))</f>
        <v>0</v>
      </c>
      <c r="N250" s="107">
        <f>IF(A14stdlife="n/a","n/a",IF(N$3&gt;(A14stdlife+$E250),('PTRM input'!$J$156*(1+rvanilla04)^0.5)-SUM($J250:M250),('PTRM input'!$J$156*(1+rvanilla04)^0.5)/A14stdlife))</f>
        <v>0</v>
      </c>
      <c r="O250" s="107">
        <f>IF(A14stdlife="n/a","n/a",IF(O$3&gt;(A14stdlife+$E250),('PTRM input'!$J$156*(1+rvanilla04)^0.5)-SUM($J250:N250),('PTRM input'!$J$156*(1+rvanilla04)^0.5)/A14stdlife))</f>
        <v>0</v>
      </c>
      <c r="P250" s="107">
        <f>IF(A14stdlife="n/a","n/a",IF(P$3&gt;(A14stdlife+$E250),('PTRM input'!$J$156*(1+rvanilla04)^0.5)-SUM($J250:O250),('PTRM input'!$J$156*(1+rvanilla04)^0.5)/A14stdlife))</f>
        <v>0</v>
      </c>
      <c r="Q250" s="107">
        <f>IF(A14stdlife="n/a","n/a",IF(Q$3&gt;(A14stdlife+$E250),('PTRM input'!$J$156*(1+rvanilla04)^0.5)-SUM($J250:P250),('PTRM input'!$J$156*(1+rvanilla04)^0.5)/A14stdlife))</f>
        <v>0</v>
      </c>
      <c r="R250" s="107">
        <f>IF(A14stdlife="n/a","n/a",IF(R$3&gt;(A14stdlife+$E250),('PTRM input'!$J$156*(1+rvanilla04)^0.5)-SUM($J250:Q250),('PTRM input'!$J$156*(1+rvanilla04)^0.5)/A14stdlife))</f>
        <v>0</v>
      </c>
      <c r="S250" s="107">
        <f>IF(A14stdlife="n/a","n/a",IF(S$3&gt;(A14stdlife+$E250),('PTRM input'!$J$156*(1+rvanilla04)^0.5)-SUM($J250:R250),('PTRM input'!$J$156*(1+rvanilla04)^0.5)/A14stdlife))</f>
        <v>0</v>
      </c>
      <c r="T250" s="107">
        <f>IF(A14stdlife="n/a","n/a",IF(T$3&gt;(A14stdlife+$E250),('PTRM input'!$J$156*(1+rvanilla04)^0.5)-SUM($J250:S250),('PTRM input'!$J$156*(1+rvanilla04)^0.5)/A14stdlife))</f>
        <v>0</v>
      </c>
      <c r="U250" s="107">
        <f>IF(A14stdlife="n/a","n/a",IF(U$3&gt;(A14stdlife+$E250),('PTRM input'!$J$156*(1+rvanilla04)^0.5)-SUM($J250:T250),('PTRM input'!$J$156*(1+rvanilla04)^0.5)/A14stdlife))</f>
        <v>0</v>
      </c>
      <c r="V250" s="107">
        <f>IF(A14stdlife="n/a","n/a",IF(V$3&gt;(A14stdlife+$E250),('PTRM input'!$J$156*(1+rvanilla04)^0.5)-SUM($J250:U250),('PTRM input'!$J$156*(1+rvanilla04)^0.5)/A14stdlife))</f>
        <v>0</v>
      </c>
      <c r="W250" s="107">
        <f>IF(A14stdlife="n/a","n/a",IF(W$3&gt;(A14stdlife+$E250),('PTRM input'!$J$156*(1+rvanilla04)^0.5)-SUM($J250:V250),('PTRM input'!$J$156*(1+rvanilla04)^0.5)/A14stdlife))</f>
        <v>0</v>
      </c>
      <c r="X250" s="107">
        <f>IF(A14stdlife="n/a","n/a",IF(X$3&gt;(A14stdlife+$E250),('PTRM input'!$J$156*(1+rvanilla04)^0.5)-SUM($J250:W250),('PTRM input'!$J$156*(1+rvanilla04)^0.5)/A14stdlife))</f>
        <v>0</v>
      </c>
      <c r="Y250" s="107">
        <f>IF(A14stdlife="n/a","n/a",IF(Y$3&gt;(A14stdlife+$E250),('PTRM input'!$J$156*(1+rvanilla04)^0.5)-SUM($J250:X250),('PTRM input'!$J$156*(1+rvanilla04)^0.5)/A14stdlife))</f>
        <v>0</v>
      </c>
      <c r="Z250" s="107">
        <f>IF(A14stdlife="n/a","n/a",IF(Z$3&gt;(A14stdlife+$E250),('PTRM input'!$J$156*(1+rvanilla04)^0.5)-SUM($J250:Y250),('PTRM input'!$J$156*(1+rvanilla04)^0.5)/A14stdlife))</f>
        <v>0</v>
      </c>
      <c r="AA250" s="107">
        <f>IF(A14stdlife="n/a","n/a",IF(AA$3&gt;(A14stdlife+$E250),('PTRM input'!$J$156*(1+rvanilla04)^0.5)-SUM($J250:Z250),('PTRM input'!$J$156*(1+rvanilla04)^0.5)/A14stdlife))</f>
        <v>0</v>
      </c>
      <c r="AB250" s="107">
        <f>IF(A14stdlife="n/a","n/a",IF(AB$3&gt;(A14stdlife+$E250),('PTRM input'!$J$156*(1+rvanilla04)^0.5)-SUM($J250:AA250),('PTRM input'!$J$156*(1+rvanilla04)^0.5)/A14stdlife))</f>
        <v>0</v>
      </c>
      <c r="AC250" s="107">
        <f>IF(A14stdlife="n/a","n/a",IF(AC$3&gt;(A14stdlife+$E250),('PTRM input'!$J$156*(1+rvanilla04)^0.5)-SUM($J250:AB250),('PTRM input'!$J$156*(1+rvanilla04)^0.5)/A14stdlife))</f>
        <v>0</v>
      </c>
      <c r="AD250" s="107">
        <f>IF(A14stdlife="n/a","n/a",IF(AD$3&gt;(A14stdlife+$E250),('PTRM input'!$J$156*(1+rvanilla04)^0.5)-SUM($J250:AC250),('PTRM input'!$J$156*(1+rvanilla04)^0.5)/A14stdlife))</f>
        <v>0</v>
      </c>
      <c r="AE250" s="107">
        <f>IF(A14stdlife="n/a","n/a",IF(AE$3&gt;(A14stdlife+$E250),('PTRM input'!$J$156*(1+rvanilla04)^0.5)-SUM($J250:AD250),('PTRM input'!$J$156*(1+rvanilla04)^0.5)/A14stdlife))</f>
        <v>0</v>
      </c>
      <c r="AF250" s="107">
        <f>IF(A14stdlife="n/a","n/a",IF(AF$3&gt;(A14stdlife+$E250),('PTRM input'!$J$156*(1+rvanilla04)^0.5)-SUM($J250:AE250),('PTRM input'!$J$156*(1+rvanilla04)^0.5)/A14stdlife))</f>
        <v>0</v>
      </c>
      <c r="AG250" s="107">
        <f>IF(A14stdlife="n/a","n/a",IF(AG$3&gt;(A14stdlife+$E250),('PTRM input'!$J$156*(1+rvanilla04)^0.5)-SUM($J250:AF250),('PTRM input'!$J$156*(1+rvanilla04)^0.5)/A14stdlife))</f>
        <v>0</v>
      </c>
      <c r="AH250" s="107">
        <f>IF(A14stdlife="n/a","n/a",IF(AH$3&gt;(A14stdlife+$E250),('PTRM input'!$J$156*(1+rvanilla04)^0.5)-SUM($J250:AG250),('PTRM input'!$J$156*(1+rvanilla04)^0.5)/A14stdlife))</f>
        <v>0</v>
      </c>
      <c r="AI250" s="107">
        <f>IF(A14stdlife="n/a","n/a",IF(AI$3&gt;(A14stdlife+$E250),('PTRM input'!$J$156*(1+rvanilla04)^0.5)-SUM($J250:AH250),('PTRM input'!$J$156*(1+rvanilla04)^0.5)/A14stdlife))</f>
        <v>0</v>
      </c>
      <c r="AJ250" s="107">
        <f>IF(A14stdlife="n/a","n/a",IF(AJ$3&gt;(A14stdlife+$E250),('PTRM input'!$J$156*(1+rvanilla04)^0.5)-SUM($J250:AI250),('PTRM input'!$J$156*(1+rvanilla04)^0.5)/A14stdlife))</f>
        <v>0</v>
      </c>
      <c r="AK250" s="107">
        <f>IF(A14stdlife="n/a","n/a",IF(AK$3&gt;(A14stdlife+$E250),('PTRM input'!$J$156*(1+rvanilla04)^0.5)-SUM($J250:AJ250),('PTRM input'!$J$156*(1+rvanilla04)^0.5)/A14stdlife))</f>
        <v>0</v>
      </c>
      <c r="AL250" s="107">
        <f>IF(A14stdlife="n/a","n/a",IF(AL$3&gt;(A14stdlife+$E250),('PTRM input'!$J$156*(1+rvanilla04)^0.5)-SUM($J250:AK250),('PTRM input'!$J$156*(1+rvanilla04)^0.5)/A14stdlife))</f>
        <v>0</v>
      </c>
      <c r="AM250" s="107">
        <f>IF(A14stdlife="n/a","n/a",IF(AM$3&gt;(A14stdlife+$E250),('PTRM input'!$J$156*(1+rvanilla04)^0.5)-SUM($J250:AL250),('PTRM input'!$J$156*(1+rvanilla04)^0.5)/A14stdlife))</f>
        <v>0</v>
      </c>
      <c r="AN250" s="107">
        <f>IF(A14stdlife="n/a","n/a",IF(AN$3&gt;(A14stdlife+$E250),('PTRM input'!$J$156*(1+rvanilla04)^0.5)-SUM($J250:AM250),('PTRM input'!$J$156*(1+rvanilla04)^0.5)/A14stdlife))</f>
        <v>0</v>
      </c>
      <c r="AO250" s="107">
        <f>IF(A14stdlife="n/a","n/a",IF(AO$3&gt;(A14stdlife+$E250),('PTRM input'!$J$156*(1+rvanilla04)^0.5)-SUM($J250:AN250),('PTRM input'!$J$156*(1+rvanilla04)^0.5)/A14stdlife))</f>
        <v>0</v>
      </c>
      <c r="AP250" s="107">
        <f>IF(A14stdlife="n/a","n/a",IF(AP$3&gt;(A14stdlife+$E250),('PTRM input'!$J$156*(1+rvanilla04)^0.5)-SUM($J250:AO250),('PTRM input'!$J$156*(1+rvanilla04)^0.5)/A14stdlife))</f>
        <v>0</v>
      </c>
      <c r="AQ250" s="107">
        <f>IF(A14stdlife="n/a","n/a",IF(AQ$3&gt;(A14stdlife+$E250),('PTRM input'!$J$156*(1+rvanilla04)^0.5)-SUM($J250:AP250),('PTRM input'!$J$156*(1+rvanilla04)^0.5)/A14stdlife))</f>
        <v>0</v>
      </c>
      <c r="AR250" s="107">
        <f>IF(A14stdlife="n/a","n/a",IF(AR$3&gt;(A14stdlife+$E250),('PTRM input'!$J$156*(1+rvanilla04)^0.5)-SUM($J250:AQ250),('PTRM input'!$J$156*(1+rvanilla04)^0.5)/A14stdlife))</f>
        <v>0</v>
      </c>
      <c r="AS250" s="107">
        <f>IF(A14stdlife="n/a","n/a",IF(AS$3&gt;(A14stdlife+$E250),('PTRM input'!$J$156*(1+rvanilla04)^0.5)-SUM($J250:AR250),('PTRM input'!$J$156*(1+rvanilla04)^0.5)/A14stdlife))</f>
        <v>0</v>
      </c>
      <c r="AT250" s="107">
        <f>IF(A14stdlife="n/a","n/a",IF(AT$3&gt;(A14stdlife+$E250),('PTRM input'!$J$156*(1+rvanilla04)^0.5)-SUM($J250:AS250),('PTRM input'!$J$156*(1+rvanilla04)^0.5)/A14stdlife))</f>
        <v>0</v>
      </c>
      <c r="AU250" s="107">
        <f>IF(A14stdlife="n/a","n/a",IF(AU$3&gt;(A14stdlife+$E250),('PTRM input'!$J$156*(1+rvanilla04)^0.5)-SUM($J250:AT250),('PTRM input'!$J$156*(1+rvanilla04)^0.5)/A14stdlife))</f>
        <v>0</v>
      </c>
      <c r="AV250" s="107">
        <f>IF(A14stdlife="n/a","n/a",IF(AV$3&gt;(A14stdlife+$E250),('PTRM input'!$J$156*(1+rvanilla04)^0.5)-SUM($J250:AU250),('PTRM input'!$J$156*(1+rvanilla04)^0.5)/A14stdlife))</f>
        <v>0</v>
      </c>
      <c r="AW250" s="107">
        <f>IF(A14stdlife="n/a","n/a",IF(AW$3&gt;(A14stdlife+$E250),('PTRM input'!$J$156*(1+rvanilla04)^0.5)-SUM($J250:AV250),('PTRM input'!$J$156*(1+rvanilla04)^0.5)/A14stdlife))</f>
        <v>0</v>
      </c>
      <c r="AX250" s="107">
        <f>IF(A14stdlife="n/a","n/a",IF(AX$3&gt;(A14stdlife+$E250),('PTRM input'!$J$156*(1+rvanilla04)^0.5)-SUM($J250:AW250),('PTRM input'!$J$156*(1+rvanilla04)^0.5)/A14stdlife))</f>
        <v>0</v>
      </c>
      <c r="AY250" s="107">
        <f>IF(A14stdlife="n/a","n/a",IF(AY$3&gt;(A14stdlife+$E250),('PTRM input'!$J$156*(1+rvanilla04)^0.5)-SUM($J250:AX250),('PTRM input'!$J$156*(1+rvanilla04)^0.5)/A14stdlife))</f>
        <v>0</v>
      </c>
      <c r="AZ250" s="107">
        <f>IF(A14stdlife="n/a","n/a",IF(AZ$3&gt;(A14stdlife+$E250),('PTRM input'!$J$156*(1+rvanilla04)^0.5)-SUM($J250:AY250),('PTRM input'!$J$156*(1+rvanilla04)^0.5)/A14stdlife))</f>
        <v>0</v>
      </c>
      <c r="BA250" s="107">
        <f>IF(A14stdlife="n/a","n/a",IF(BA$3&gt;(A14stdlife+$E250),('PTRM input'!$J$156*(1+rvanilla04)^0.5)-SUM($J250:AZ250),('PTRM input'!$J$156*(1+rvanilla04)^0.5)/A14stdlife))</f>
        <v>0</v>
      </c>
      <c r="BB250" s="107">
        <f>IF(A14stdlife="n/a","n/a",IF(BB$3&gt;(A14stdlife+$E250),('PTRM input'!$J$156*(1+rvanilla04)^0.5)-SUM($J250:BA250),('PTRM input'!$J$156*(1+rvanilla04)^0.5)/A14stdlife))</f>
        <v>0</v>
      </c>
      <c r="BC250" s="107">
        <f>IF(A14stdlife="n/a","n/a",IF(BC$3&gt;(A14stdlife+$E250),('PTRM input'!$J$156*(1+rvanilla04)^0.5)-SUM($J250:BB250),('PTRM input'!$J$156*(1+rvanilla04)^0.5)/A14stdlife))</f>
        <v>0</v>
      </c>
      <c r="BD250" s="107">
        <f>IF(A14stdlife="n/a","n/a",IF(BD$3&gt;(A14stdlife+$E250),('PTRM input'!$J$156*(1+rvanilla04)^0.5)-SUM($J250:BC250),('PTRM input'!$J$156*(1+rvanilla04)^0.5)/A14stdlife))</f>
        <v>0</v>
      </c>
      <c r="BE250" s="107">
        <f>IF(A14stdlife="n/a","n/a",IF(BE$3&gt;(A14stdlife+$E250),('PTRM input'!$J$156*(1+rvanilla04)^0.5)-SUM($J250:BD250),('PTRM input'!$J$156*(1+rvanilla04)^0.5)/A14stdlife))</f>
        <v>0</v>
      </c>
      <c r="BF250" s="107">
        <f>IF(A14stdlife="n/a","n/a",IF(BF$3&gt;(A14stdlife+$E250),('PTRM input'!$J$156*(1+rvanilla04)^0.5)-SUM($J250:BE250),('PTRM input'!$J$156*(1+rvanilla04)^0.5)/A14stdlife))</f>
        <v>0</v>
      </c>
      <c r="BG250" s="107">
        <f>IF(A14stdlife="n/a","n/a",IF(BG$3&gt;(A14stdlife+$E250),('PTRM input'!$J$156*(1+rvanilla04)^0.5)-SUM($J250:BF250),('PTRM input'!$J$156*(1+rvanilla04)^0.5)/A14stdlife))</f>
        <v>0</v>
      </c>
      <c r="BH250" s="107">
        <f>IF(A14stdlife="n/a","n/a",IF(BH$3&gt;(A14stdlife+$E250),('PTRM input'!$J$156*(1+rvanilla04)^0.5)-SUM($J250:BG250),('PTRM input'!$J$156*(1+rvanilla04)^0.5)/A14stdlife))</f>
        <v>0</v>
      </c>
      <c r="BI250" s="107">
        <f>IF(A14stdlife="n/a","n/a",IF(BI$3&gt;(A14stdlife+$E250),('PTRM input'!$J$156*(1+rvanilla04)^0.5)-SUM($J250:BH250),('PTRM input'!$J$156*(1+rvanilla04)^0.5)/A14stdlife))</f>
        <v>0</v>
      </c>
      <c r="BJ250" s="237"/>
      <c r="BK250" s="237"/>
      <c r="BL250" s="237"/>
      <c r="BM250" s="237"/>
    </row>
    <row r="251" spans="1:65" s="190" customFormat="1" hidden="1" outlineLevel="2">
      <c r="A251" s="237"/>
      <c r="B251" s="33"/>
      <c r="C251" s="32"/>
      <c r="D251" s="1618"/>
      <c r="E251" s="169">
        <v>5</v>
      </c>
      <c r="F251" s="35"/>
      <c r="G251" s="184"/>
      <c r="H251" s="186"/>
      <c r="I251" s="186"/>
      <c r="J251" s="186"/>
      <c r="K251" s="185"/>
      <c r="L251" s="107">
        <f>IF(A14stdlife="n/a","n/a",IF(L$3&gt;(A14stdlife+$E251),('PTRM input'!$K$156*(1+rvanilla05)^0.5)-SUM($K251:K251),('PTRM input'!$K$156*(1+rvanilla05)^0.5)/A14stdlife))</f>
        <v>0</v>
      </c>
      <c r="M251" s="107">
        <f>IF(A14stdlife="n/a","n/a",IF(M$3&gt;(A14stdlife+$E251),('PTRM input'!$K$156*(1+rvanilla05)^0.5)-SUM($K251:L251),('PTRM input'!$K$156*(1+rvanilla05)^0.5)/A14stdlife))</f>
        <v>0</v>
      </c>
      <c r="N251" s="107">
        <f>IF(A14stdlife="n/a","n/a",IF(N$3&gt;(A14stdlife+$E251),('PTRM input'!$K$156*(1+rvanilla05)^0.5)-SUM($K251:M251),('PTRM input'!$K$156*(1+rvanilla05)^0.5)/A14stdlife))</f>
        <v>0</v>
      </c>
      <c r="O251" s="107">
        <f>IF(A14stdlife="n/a","n/a",IF(O$3&gt;(A14stdlife+$E251),('PTRM input'!$K$156*(1+rvanilla05)^0.5)-SUM($K251:N251),('PTRM input'!$K$156*(1+rvanilla05)^0.5)/A14stdlife))</f>
        <v>0</v>
      </c>
      <c r="P251" s="107">
        <f>IF(A14stdlife="n/a","n/a",IF(P$3&gt;(A14stdlife+$E251),('PTRM input'!$K$156*(1+rvanilla05)^0.5)-SUM($K251:O251),('PTRM input'!$K$156*(1+rvanilla05)^0.5)/A14stdlife))</f>
        <v>0</v>
      </c>
      <c r="Q251" s="107">
        <f>IF(A14stdlife="n/a","n/a",IF(Q$3&gt;(A14stdlife+$E251),('PTRM input'!$K$156*(1+rvanilla05)^0.5)-SUM($K251:P251),('PTRM input'!$K$156*(1+rvanilla05)^0.5)/A14stdlife))</f>
        <v>0</v>
      </c>
      <c r="R251" s="107">
        <f>IF(A14stdlife="n/a","n/a",IF(R$3&gt;(A14stdlife+$E251),('PTRM input'!$K$156*(1+rvanilla05)^0.5)-SUM($K251:Q251),('PTRM input'!$K$156*(1+rvanilla05)^0.5)/A14stdlife))</f>
        <v>0</v>
      </c>
      <c r="S251" s="107">
        <f>IF(A14stdlife="n/a","n/a",IF(S$3&gt;(A14stdlife+$E251),('PTRM input'!$K$156*(1+rvanilla05)^0.5)-SUM($K251:R251),('PTRM input'!$K$156*(1+rvanilla05)^0.5)/A14stdlife))</f>
        <v>0</v>
      </c>
      <c r="T251" s="107">
        <f>IF(A14stdlife="n/a","n/a",IF(T$3&gt;(A14stdlife+$E251),('PTRM input'!$K$156*(1+rvanilla05)^0.5)-SUM($K251:S251),('PTRM input'!$K$156*(1+rvanilla05)^0.5)/A14stdlife))</f>
        <v>0</v>
      </c>
      <c r="U251" s="107">
        <f>IF(A14stdlife="n/a","n/a",IF(U$3&gt;(A14stdlife+$E251),('PTRM input'!$K$156*(1+rvanilla05)^0.5)-SUM($K251:T251),('PTRM input'!$K$156*(1+rvanilla05)^0.5)/A14stdlife))</f>
        <v>0</v>
      </c>
      <c r="V251" s="107">
        <f>IF(A14stdlife="n/a","n/a",IF(V$3&gt;(A14stdlife+$E251),('PTRM input'!$K$156*(1+rvanilla05)^0.5)-SUM($K251:U251),('PTRM input'!$K$156*(1+rvanilla05)^0.5)/A14stdlife))</f>
        <v>0</v>
      </c>
      <c r="W251" s="107">
        <f>IF(A14stdlife="n/a","n/a",IF(W$3&gt;(A14stdlife+$E251),('PTRM input'!$K$156*(1+rvanilla05)^0.5)-SUM($K251:V251),('PTRM input'!$K$156*(1+rvanilla05)^0.5)/A14stdlife))</f>
        <v>0</v>
      </c>
      <c r="X251" s="107">
        <f>IF(A14stdlife="n/a","n/a",IF(X$3&gt;(A14stdlife+$E251),('PTRM input'!$K$156*(1+rvanilla05)^0.5)-SUM($K251:W251),('PTRM input'!$K$156*(1+rvanilla05)^0.5)/A14stdlife))</f>
        <v>0</v>
      </c>
      <c r="Y251" s="107">
        <f>IF(A14stdlife="n/a","n/a",IF(Y$3&gt;(A14stdlife+$E251),('PTRM input'!$K$156*(1+rvanilla05)^0.5)-SUM($K251:X251),('PTRM input'!$K$156*(1+rvanilla05)^0.5)/A14stdlife))</f>
        <v>0</v>
      </c>
      <c r="Z251" s="107">
        <f>IF(A14stdlife="n/a","n/a",IF(Z$3&gt;(A14stdlife+$E251),('PTRM input'!$K$156*(1+rvanilla05)^0.5)-SUM($K251:Y251),('PTRM input'!$K$156*(1+rvanilla05)^0.5)/A14stdlife))</f>
        <v>0</v>
      </c>
      <c r="AA251" s="107">
        <f>IF(A14stdlife="n/a","n/a",IF(AA$3&gt;(A14stdlife+$E251),('PTRM input'!$K$156*(1+rvanilla05)^0.5)-SUM($K251:Z251),('PTRM input'!$K$156*(1+rvanilla05)^0.5)/A14stdlife))</f>
        <v>0</v>
      </c>
      <c r="AB251" s="107">
        <f>IF(A14stdlife="n/a","n/a",IF(AB$3&gt;(A14stdlife+$E251),('PTRM input'!$K$156*(1+rvanilla05)^0.5)-SUM($K251:AA251),('PTRM input'!$K$156*(1+rvanilla05)^0.5)/A14stdlife))</f>
        <v>0</v>
      </c>
      <c r="AC251" s="107">
        <f>IF(A14stdlife="n/a","n/a",IF(AC$3&gt;(A14stdlife+$E251),('PTRM input'!$K$156*(1+rvanilla05)^0.5)-SUM($K251:AB251),('PTRM input'!$K$156*(1+rvanilla05)^0.5)/A14stdlife))</f>
        <v>0</v>
      </c>
      <c r="AD251" s="107">
        <f>IF(A14stdlife="n/a","n/a",IF(AD$3&gt;(A14stdlife+$E251),('PTRM input'!$K$156*(1+rvanilla05)^0.5)-SUM($K251:AC251),('PTRM input'!$K$156*(1+rvanilla05)^0.5)/A14stdlife))</f>
        <v>0</v>
      </c>
      <c r="AE251" s="107">
        <f>IF(A14stdlife="n/a","n/a",IF(AE$3&gt;(A14stdlife+$E251),('PTRM input'!$K$156*(1+rvanilla05)^0.5)-SUM($K251:AD251),('PTRM input'!$K$156*(1+rvanilla05)^0.5)/A14stdlife))</f>
        <v>0</v>
      </c>
      <c r="AF251" s="107">
        <f>IF(A14stdlife="n/a","n/a",IF(AF$3&gt;(A14stdlife+$E251),('PTRM input'!$K$156*(1+rvanilla05)^0.5)-SUM($K251:AE251),('PTRM input'!$K$156*(1+rvanilla05)^0.5)/A14stdlife))</f>
        <v>0</v>
      </c>
      <c r="AG251" s="107">
        <f>IF(A14stdlife="n/a","n/a",IF(AG$3&gt;(A14stdlife+$E251),('PTRM input'!$K$156*(1+rvanilla05)^0.5)-SUM($K251:AF251),('PTRM input'!$K$156*(1+rvanilla05)^0.5)/A14stdlife))</f>
        <v>0</v>
      </c>
      <c r="AH251" s="107">
        <f>IF(A14stdlife="n/a","n/a",IF(AH$3&gt;(A14stdlife+$E251),('PTRM input'!$K$156*(1+rvanilla05)^0.5)-SUM($K251:AG251),('PTRM input'!$K$156*(1+rvanilla05)^0.5)/A14stdlife))</f>
        <v>0</v>
      </c>
      <c r="AI251" s="107">
        <f>IF(A14stdlife="n/a","n/a",IF(AI$3&gt;(A14stdlife+$E251),('PTRM input'!$K$156*(1+rvanilla05)^0.5)-SUM($K251:AH251),('PTRM input'!$K$156*(1+rvanilla05)^0.5)/A14stdlife))</f>
        <v>0</v>
      </c>
      <c r="AJ251" s="107">
        <f>IF(A14stdlife="n/a","n/a",IF(AJ$3&gt;(A14stdlife+$E251),('PTRM input'!$K$156*(1+rvanilla05)^0.5)-SUM($K251:AI251),('PTRM input'!$K$156*(1+rvanilla05)^0.5)/A14stdlife))</f>
        <v>0</v>
      </c>
      <c r="AK251" s="107">
        <f>IF(A14stdlife="n/a","n/a",IF(AK$3&gt;(A14stdlife+$E251),('PTRM input'!$K$156*(1+rvanilla05)^0.5)-SUM($K251:AJ251),('PTRM input'!$K$156*(1+rvanilla05)^0.5)/A14stdlife))</f>
        <v>0</v>
      </c>
      <c r="AL251" s="107">
        <f>IF(A14stdlife="n/a","n/a",IF(AL$3&gt;(A14stdlife+$E251),('PTRM input'!$K$156*(1+rvanilla05)^0.5)-SUM($K251:AK251),('PTRM input'!$K$156*(1+rvanilla05)^0.5)/A14stdlife))</f>
        <v>0</v>
      </c>
      <c r="AM251" s="107">
        <f>IF(A14stdlife="n/a","n/a",IF(AM$3&gt;(A14stdlife+$E251),('PTRM input'!$K$156*(1+rvanilla05)^0.5)-SUM($K251:AL251),('PTRM input'!$K$156*(1+rvanilla05)^0.5)/A14stdlife))</f>
        <v>0</v>
      </c>
      <c r="AN251" s="107">
        <f>IF(A14stdlife="n/a","n/a",IF(AN$3&gt;(A14stdlife+$E251),('PTRM input'!$K$156*(1+rvanilla05)^0.5)-SUM($K251:AM251),('PTRM input'!$K$156*(1+rvanilla05)^0.5)/A14stdlife))</f>
        <v>0</v>
      </c>
      <c r="AO251" s="107">
        <f>IF(A14stdlife="n/a","n/a",IF(AO$3&gt;(A14stdlife+$E251),('PTRM input'!$K$156*(1+rvanilla05)^0.5)-SUM($K251:AN251),('PTRM input'!$K$156*(1+rvanilla05)^0.5)/A14stdlife))</f>
        <v>0</v>
      </c>
      <c r="AP251" s="107">
        <f>IF(A14stdlife="n/a","n/a",IF(AP$3&gt;(A14stdlife+$E251),('PTRM input'!$K$156*(1+rvanilla05)^0.5)-SUM($K251:AO251),('PTRM input'!$K$156*(1+rvanilla05)^0.5)/A14stdlife))</f>
        <v>0</v>
      </c>
      <c r="AQ251" s="107">
        <f>IF(A14stdlife="n/a","n/a",IF(AQ$3&gt;(A14stdlife+$E251),('PTRM input'!$K$156*(1+rvanilla05)^0.5)-SUM($K251:AP251),('PTRM input'!$K$156*(1+rvanilla05)^0.5)/A14stdlife))</f>
        <v>0</v>
      </c>
      <c r="AR251" s="107">
        <f>IF(A14stdlife="n/a","n/a",IF(AR$3&gt;(A14stdlife+$E251),('PTRM input'!$K$156*(1+rvanilla05)^0.5)-SUM($K251:AQ251),('PTRM input'!$K$156*(1+rvanilla05)^0.5)/A14stdlife))</f>
        <v>0</v>
      </c>
      <c r="AS251" s="107">
        <f>IF(A14stdlife="n/a","n/a",IF(AS$3&gt;(A14stdlife+$E251),('PTRM input'!$K$156*(1+rvanilla05)^0.5)-SUM($K251:AR251),('PTRM input'!$K$156*(1+rvanilla05)^0.5)/A14stdlife))</f>
        <v>0</v>
      </c>
      <c r="AT251" s="107">
        <f>IF(A14stdlife="n/a","n/a",IF(AT$3&gt;(A14stdlife+$E251),('PTRM input'!$K$156*(1+rvanilla05)^0.5)-SUM($K251:AS251),('PTRM input'!$K$156*(1+rvanilla05)^0.5)/A14stdlife))</f>
        <v>0</v>
      </c>
      <c r="AU251" s="107">
        <f>IF(A14stdlife="n/a","n/a",IF(AU$3&gt;(A14stdlife+$E251),('PTRM input'!$K$156*(1+rvanilla05)^0.5)-SUM($K251:AT251),('PTRM input'!$K$156*(1+rvanilla05)^0.5)/A14stdlife))</f>
        <v>0</v>
      </c>
      <c r="AV251" s="107">
        <f>IF(A14stdlife="n/a","n/a",IF(AV$3&gt;(A14stdlife+$E251),('PTRM input'!$K$156*(1+rvanilla05)^0.5)-SUM($K251:AU251),('PTRM input'!$K$156*(1+rvanilla05)^0.5)/A14stdlife))</f>
        <v>0</v>
      </c>
      <c r="AW251" s="107">
        <f>IF(A14stdlife="n/a","n/a",IF(AW$3&gt;(A14stdlife+$E251),('PTRM input'!$K$156*(1+rvanilla05)^0.5)-SUM($K251:AV251),('PTRM input'!$K$156*(1+rvanilla05)^0.5)/A14stdlife))</f>
        <v>0</v>
      </c>
      <c r="AX251" s="107">
        <f>IF(A14stdlife="n/a","n/a",IF(AX$3&gt;(A14stdlife+$E251),('PTRM input'!$K$156*(1+rvanilla05)^0.5)-SUM($K251:AW251),('PTRM input'!$K$156*(1+rvanilla05)^0.5)/A14stdlife))</f>
        <v>0</v>
      </c>
      <c r="AY251" s="107">
        <f>IF(A14stdlife="n/a","n/a",IF(AY$3&gt;(A14stdlife+$E251),('PTRM input'!$K$156*(1+rvanilla05)^0.5)-SUM($K251:AX251),('PTRM input'!$K$156*(1+rvanilla05)^0.5)/A14stdlife))</f>
        <v>0</v>
      </c>
      <c r="AZ251" s="107">
        <f>IF(A14stdlife="n/a","n/a",IF(AZ$3&gt;(A14stdlife+$E251),('PTRM input'!$K$156*(1+rvanilla05)^0.5)-SUM($K251:AY251),('PTRM input'!$K$156*(1+rvanilla05)^0.5)/A14stdlife))</f>
        <v>0</v>
      </c>
      <c r="BA251" s="107">
        <f>IF(A14stdlife="n/a","n/a",IF(BA$3&gt;(A14stdlife+$E251),('PTRM input'!$K$156*(1+rvanilla05)^0.5)-SUM($K251:AZ251),('PTRM input'!$K$156*(1+rvanilla05)^0.5)/A14stdlife))</f>
        <v>0</v>
      </c>
      <c r="BB251" s="107">
        <f>IF(A14stdlife="n/a","n/a",IF(BB$3&gt;(A14stdlife+$E251),('PTRM input'!$K$156*(1+rvanilla05)^0.5)-SUM($K251:BA251),('PTRM input'!$K$156*(1+rvanilla05)^0.5)/A14stdlife))</f>
        <v>0</v>
      </c>
      <c r="BC251" s="107">
        <f>IF(A14stdlife="n/a","n/a",IF(BC$3&gt;(A14stdlife+$E251),('PTRM input'!$K$156*(1+rvanilla05)^0.5)-SUM($K251:BB251),('PTRM input'!$K$156*(1+rvanilla05)^0.5)/A14stdlife))</f>
        <v>0</v>
      </c>
      <c r="BD251" s="107">
        <f>IF(A14stdlife="n/a","n/a",IF(BD$3&gt;(A14stdlife+$E251),('PTRM input'!$K$156*(1+rvanilla05)^0.5)-SUM($K251:BC251),('PTRM input'!$K$156*(1+rvanilla05)^0.5)/A14stdlife))</f>
        <v>0</v>
      </c>
      <c r="BE251" s="107">
        <f>IF(A14stdlife="n/a","n/a",IF(BE$3&gt;(A14stdlife+$E251),('PTRM input'!$K$156*(1+rvanilla05)^0.5)-SUM($K251:BD251),('PTRM input'!$K$156*(1+rvanilla05)^0.5)/A14stdlife))</f>
        <v>0</v>
      </c>
      <c r="BF251" s="107">
        <f>IF(A14stdlife="n/a","n/a",IF(BF$3&gt;(A14stdlife+$E251),('PTRM input'!$K$156*(1+rvanilla05)^0.5)-SUM($K251:BE251),('PTRM input'!$K$156*(1+rvanilla05)^0.5)/A14stdlife))</f>
        <v>0</v>
      </c>
      <c r="BG251" s="107">
        <f>IF(A14stdlife="n/a","n/a",IF(BG$3&gt;(A14stdlife+$E251),('PTRM input'!$K$156*(1+rvanilla05)^0.5)-SUM($K251:BF251),('PTRM input'!$K$156*(1+rvanilla05)^0.5)/A14stdlife))</f>
        <v>0</v>
      </c>
      <c r="BH251" s="107">
        <f>IF(A14stdlife="n/a","n/a",IF(BH$3&gt;(A14stdlife+$E251),('PTRM input'!$K$156*(1+rvanilla05)^0.5)-SUM($K251:BG251),('PTRM input'!$K$156*(1+rvanilla05)^0.5)/A14stdlife))</f>
        <v>0</v>
      </c>
      <c r="BI251" s="107">
        <f>IF(A14stdlife="n/a","n/a",IF(BI$3&gt;(A14stdlife+$E251),('PTRM input'!$K$156*(1+rvanilla05)^0.5)-SUM($K251:BH251),('PTRM input'!$K$156*(1+rvanilla05)^0.5)/A14stdlife))</f>
        <v>0</v>
      </c>
      <c r="BJ251" s="237"/>
      <c r="BK251" s="237"/>
      <c r="BL251" s="237"/>
      <c r="BM251" s="237"/>
    </row>
    <row r="252" spans="1:65" s="190" customFormat="1" hidden="1" outlineLevel="2">
      <c r="A252" s="237"/>
      <c r="B252" s="33"/>
      <c r="C252" s="32"/>
      <c r="D252" s="1618"/>
      <c r="E252" s="169">
        <v>6</v>
      </c>
      <c r="F252" s="35"/>
      <c r="G252" s="184"/>
      <c r="H252" s="186"/>
      <c r="I252" s="186"/>
      <c r="J252" s="186"/>
      <c r="K252" s="186"/>
      <c r="L252" s="185"/>
      <c r="M252" s="107">
        <f>IF(A14stdlife="n/a","n/a",IF(M$3&gt;(A14stdlife+$E252),('PTRM input'!$L$156*(1+rvanilla06)^0.5)-SUM($L252:L252),('PTRM input'!$L$156*(1+rvanilla06)^0.5)/A14stdlife))</f>
        <v>0</v>
      </c>
      <c r="N252" s="107">
        <f>IF(A14stdlife="n/a","n/a",IF(N$3&gt;(A14stdlife+$E252),('PTRM input'!$L$156*(1+rvanilla06)^0.5)-SUM($L252:M252),('PTRM input'!$L$156*(1+rvanilla06)^0.5)/A14stdlife))</f>
        <v>0</v>
      </c>
      <c r="O252" s="107">
        <f>IF(A14stdlife="n/a","n/a",IF(O$3&gt;(A14stdlife+$E252),('PTRM input'!$L$156*(1+rvanilla06)^0.5)-SUM($L252:N252),('PTRM input'!$L$156*(1+rvanilla06)^0.5)/A14stdlife))</f>
        <v>0</v>
      </c>
      <c r="P252" s="107">
        <f>IF(A14stdlife="n/a","n/a",IF(P$3&gt;(A14stdlife+$E252),('PTRM input'!$L$156*(1+rvanilla06)^0.5)-SUM($L252:O252),('PTRM input'!$L$156*(1+rvanilla06)^0.5)/A14stdlife))</f>
        <v>0</v>
      </c>
      <c r="Q252" s="107">
        <f>IF(A14stdlife="n/a","n/a",IF(Q$3&gt;(A14stdlife+$E252),('PTRM input'!$L$156*(1+rvanilla06)^0.5)-SUM($L252:P252),('PTRM input'!$L$156*(1+rvanilla06)^0.5)/A14stdlife))</f>
        <v>0</v>
      </c>
      <c r="R252" s="107">
        <f>IF(A14stdlife="n/a","n/a",IF(R$3&gt;(A14stdlife+$E252),('PTRM input'!$L$156*(1+rvanilla06)^0.5)-SUM($L252:Q252),('PTRM input'!$L$156*(1+rvanilla06)^0.5)/A14stdlife))</f>
        <v>0</v>
      </c>
      <c r="S252" s="107">
        <f>IF(A14stdlife="n/a","n/a",IF(S$3&gt;(A14stdlife+$E252),('PTRM input'!$L$156*(1+rvanilla06)^0.5)-SUM($L252:R252),('PTRM input'!$L$156*(1+rvanilla06)^0.5)/A14stdlife))</f>
        <v>0</v>
      </c>
      <c r="T252" s="107">
        <f>IF(A14stdlife="n/a","n/a",IF(T$3&gt;(A14stdlife+$E252),('PTRM input'!$L$156*(1+rvanilla06)^0.5)-SUM($L252:S252),('PTRM input'!$L$156*(1+rvanilla06)^0.5)/A14stdlife))</f>
        <v>0</v>
      </c>
      <c r="U252" s="107">
        <f>IF(A14stdlife="n/a","n/a",IF(U$3&gt;(A14stdlife+$E252),('PTRM input'!$L$156*(1+rvanilla06)^0.5)-SUM($L252:T252),('PTRM input'!$L$156*(1+rvanilla06)^0.5)/A14stdlife))</f>
        <v>0</v>
      </c>
      <c r="V252" s="107">
        <f>IF(A14stdlife="n/a","n/a",IF(V$3&gt;(A14stdlife+$E252),('PTRM input'!$L$156*(1+rvanilla06)^0.5)-SUM($L252:U252),('PTRM input'!$L$156*(1+rvanilla06)^0.5)/A14stdlife))</f>
        <v>0</v>
      </c>
      <c r="W252" s="107">
        <f>IF(A14stdlife="n/a","n/a",IF(W$3&gt;(A14stdlife+$E252),('PTRM input'!$L$156*(1+rvanilla06)^0.5)-SUM($L252:V252),('PTRM input'!$L$156*(1+rvanilla06)^0.5)/A14stdlife))</f>
        <v>0</v>
      </c>
      <c r="X252" s="107">
        <f>IF(A14stdlife="n/a","n/a",IF(X$3&gt;(A14stdlife+$E252),('PTRM input'!$L$156*(1+rvanilla06)^0.5)-SUM($L252:W252),('PTRM input'!$L$156*(1+rvanilla06)^0.5)/A14stdlife))</f>
        <v>0</v>
      </c>
      <c r="Y252" s="107">
        <f>IF(A14stdlife="n/a","n/a",IF(Y$3&gt;(A14stdlife+$E252),('PTRM input'!$L$156*(1+rvanilla06)^0.5)-SUM($L252:X252),('PTRM input'!$L$156*(1+rvanilla06)^0.5)/A14stdlife))</f>
        <v>0</v>
      </c>
      <c r="Z252" s="107">
        <f>IF(A14stdlife="n/a","n/a",IF(Z$3&gt;(A14stdlife+$E252),('PTRM input'!$L$156*(1+rvanilla06)^0.5)-SUM($L252:Y252),('PTRM input'!$L$156*(1+rvanilla06)^0.5)/A14stdlife))</f>
        <v>0</v>
      </c>
      <c r="AA252" s="107">
        <f>IF(A14stdlife="n/a","n/a",IF(AA$3&gt;(A14stdlife+$E252),('PTRM input'!$L$156*(1+rvanilla06)^0.5)-SUM($L252:Z252),('PTRM input'!$L$156*(1+rvanilla06)^0.5)/A14stdlife))</f>
        <v>0</v>
      </c>
      <c r="AB252" s="107">
        <f>IF(A14stdlife="n/a","n/a",IF(AB$3&gt;(A14stdlife+$E252),('PTRM input'!$L$156*(1+rvanilla06)^0.5)-SUM($L252:AA252),('PTRM input'!$L$156*(1+rvanilla06)^0.5)/A14stdlife))</f>
        <v>0</v>
      </c>
      <c r="AC252" s="107">
        <f>IF(A14stdlife="n/a","n/a",IF(AC$3&gt;(A14stdlife+$E252),('PTRM input'!$L$156*(1+rvanilla06)^0.5)-SUM($L252:AB252),('PTRM input'!$L$156*(1+rvanilla06)^0.5)/A14stdlife))</f>
        <v>0</v>
      </c>
      <c r="AD252" s="107">
        <f>IF(A14stdlife="n/a","n/a",IF(AD$3&gt;(A14stdlife+$E252),('PTRM input'!$L$156*(1+rvanilla06)^0.5)-SUM($L252:AC252),('PTRM input'!$L$156*(1+rvanilla06)^0.5)/A14stdlife))</f>
        <v>0</v>
      </c>
      <c r="AE252" s="107">
        <f>IF(A14stdlife="n/a","n/a",IF(AE$3&gt;(A14stdlife+$E252),('PTRM input'!$L$156*(1+rvanilla06)^0.5)-SUM($L252:AD252),('PTRM input'!$L$156*(1+rvanilla06)^0.5)/A14stdlife))</f>
        <v>0</v>
      </c>
      <c r="AF252" s="107">
        <f>IF(A14stdlife="n/a","n/a",IF(AF$3&gt;(A14stdlife+$E252),('PTRM input'!$L$156*(1+rvanilla06)^0.5)-SUM($L252:AE252),('PTRM input'!$L$156*(1+rvanilla06)^0.5)/A14stdlife))</f>
        <v>0</v>
      </c>
      <c r="AG252" s="107">
        <f>IF(A14stdlife="n/a","n/a",IF(AG$3&gt;(A14stdlife+$E252),('PTRM input'!$L$156*(1+rvanilla06)^0.5)-SUM($L252:AF252),('PTRM input'!$L$156*(1+rvanilla06)^0.5)/A14stdlife))</f>
        <v>0</v>
      </c>
      <c r="AH252" s="107">
        <f>IF(A14stdlife="n/a","n/a",IF(AH$3&gt;(A14stdlife+$E252),('PTRM input'!$L$156*(1+rvanilla06)^0.5)-SUM($L252:AG252),('PTRM input'!$L$156*(1+rvanilla06)^0.5)/A14stdlife))</f>
        <v>0</v>
      </c>
      <c r="AI252" s="107">
        <f>IF(A14stdlife="n/a","n/a",IF(AI$3&gt;(A14stdlife+$E252),('PTRM input'!$L$156*(1+rvanilla06)^0.5)-SUM($L252:AH252),('PTRM input'!$L$156*(1+rvanilla06)^0.5)/A14stdlife))</f>
        <v>0</v>
      </c>
      <c r="AJ252" s="107">
        <f>IF(A14stdlife="n/a","n/a",IF(AJ$3&gt;(A14stdlife+$E252),('PTRM input'!$L$156*(1+rvanilla06)^0.5)-SUM($L252:AI252),('PTRM input'!$L$156*(1+rvanilla06)^0.5)/A14stdlife))</f>
        <v>0</v>
      </c>
      <c r="AK252" s="107">
        <f>IF(A14stdlife="n/a","n/a",IF(AK$3&gt;(A14stdlife+$E252),('PTRM input'!$L$156*(1+rvanilla06)^0.5)-SUM($L252:AJ252),('PTRM input'!$L$156*(1+rvanilla06)^0.5)/A14stdlife))</f>
        <v>0</v>
      </c>
      <c r="AL252" s="107">
        <f>IF(A14stdlife="n/a","n/a",IF(AL$3&gt;(A14stdlife+$E252),('PTRM input'!$L$156*(1+rvanilla06)^0.5)-SUM($L252:AK252),('PTRM input'!$L$156*(1+rvanilla06)^0.5)/A14stdlife))</f>
        <v>0</v>
      </c>
      <c r="AM252" s="107">
        <f>IF(A14stdlife="n/a","n/a",IF(AM$3&gt;(A14stdlife+$E252),('PTRM input'!$L$156*(1+rvanilla06)^0.5)-SUM($L252:AL252),('PTRM input'!$L$156*(1+rvanilla06)^0.5)/A14stdlife))</f>
        <v>0</v>
      </c>
      <c r="AN252" s="107">
        <f>IF(A14stdlife="n/a","n/a",IF(AN$3&gt;(A14stdlife+$E252),('PTRM input'!$L$156*(1+rvanilla06)^0.5)-SUM($L252:AM252),('PTRM input'!$L$156*(1+rvanilla06)^0.5)/A14stdlife))</f>
        <v>0</v>
      </c>
      <c r="AO252" s="107">
        <f>IF(A14stdlife="n/a","n/a",IF(AO$3&gt;(A14stdlife+$E252),('PTRM input'!$L$156*(1+rvanilla06)^0.5)-SUM($L252:AN252),('PTRM input'!$L$156*(1+rvanilla06)^0.5)/A14stdlife))</f>
        <v>0</v>
      </c>
      <c r="AP252" s="107">
        <f>IF(A14stdlife="n/a","n/a",IF(AP$3&gt;(A14stdlife+$E252),('PTRM input'!$L$156*(1+rvanilla06)^0.5)-SUM($L252:AO252),('PTRM input'!$L$156*(1+rvanilla06)^0.5)/A14stdlife))</f>
        <v>0</v>
      </c>
      <c r="AQ252" s="107">
        <f>IF(A14stdlife="n/a","n/a",IF(AQ$3&gt;(A14stdlife+$E252),('PTRM input'!$L$156*(1+rvanilla06)^0.5)-SUM($L252:AP252),('PTRM input'!$L$156*(1+rvanilla06)^0.5)/A14stdlife))</f>
        <v>0</v>
      </c>
      <c r="AR252" s="107">
        <f>IF(A14stdlife="n/a","n/a",IF(AR$3&gt;(A14stdlife+$E252),('PTRM input'!$L$156*(1+rvanilla06)^0.5)-SUM($L252:AQ252),('PTRM input'!$L$156*(1+rvanilla06)^0.5)/A14stdlife))</f>
        <v>0</v>
      </c>
      <c r="AS252" s="107">
        <f>IF(A14stdlife="n/a","n/a",IF(AS$3&gt;(A14stdlife+$E252),('PTRM input'!$L$156*(1+rvanilla06)^0.5)-SUM($L252:AR252),('PTRM input'!$L$156*(1+rvanilla06)^0.5)/A14stdlife))</f>
        <v>0</v>
      </c>
      <c r="AT252" s="107">
        <f>IF(A14stdlife="n/a","n/a",IF(AT$3&gt;(A14stdlife+$E252),('PTRM input'!$L$156*(1+rvanilla06)^0.5)-SUM($L252:AS252),('PTRM input'!$L$156*(1+rvanilla06)^0.5)/A14stdlife))</f>
        <v>0</v>
      </c>
      <c r="AU252" s="107">
        <f>IF(A14stdlife="n/a","n/a",IF(AU$3&gt;(A14stdlife+$E252),('PTRM input'!$L$156*(1+rvanilla06)^0.5)-SUM($L252:AT252),('PTRM input'!$L$156*(1+rvanilla06)^0.5)/A14stdlife))</f>
        <v>0</v>
      </c>
      <c r="AV252" s="107">
        <f>IF(A14stdlife="n/a","n/a",IF(AV$3&gt;(A14stdlife+$E252),('PTRM input'!$L$156*(1+rvanilla06)^0.5)-SUM($L252:AU252),('PTRM input'!$L$156*(1+rvanilla06)^0.5)/A14stdlife))</f>
        <v>0</v>
      </c>
      <c r="AW252" s="107">
        <f>IF(A14stdlife="n/a","n/a",IF(AW$3&gt;(A14stdlife+$E252),('PTRM input'!$L$156*(1+rvanilla06)^0.5)-SUM($L252:AV252),('PTRM input'!$L$156*(1+rvanilla06)^0.5)/A14stdlife))</f>
        <v>0</v>
      </c>
      <c r="AX252" s="107">
        <f>IF(A14stdlife="n/a","n/a",IF(AX$3&gt;(A14stdlife+$E252),('PTRM input'!$L$156*(1+rvanilla06)^0.5)-SUM($L252:AW252),('PTRM input'!$L$156*(1+rvanilla06)^0.5)/A14stdlife))</f>
        <v>0</v>
      </c>
      <c r="AY252" s="107">
        <f>IF(A14stdlife="n/a","n/a",IF(AY$3&gt;(A14stdlife+$E252),('PTRM input'!$L$156*(1+rvanilla06)^0.5)-SUM($L252:AX252),('PTRM input'!$L$156*(1+rvanilla06)^0.5)/A14stdlife))</f>
        <v>0</v>
      </c>
      <c r="AZ252" s="107">
        <f>IF(A14stdlife="n/a","n/a",IF(AZ$3&gt;(A14stdlife+$E252),('PTRM input'!$L$156*(1+rvanilla06)^0.5)-SUM($L252:AY252),('PTRM input'!$L$156*(1+rvanilla06)^0.5)/A14stdlife))</f>
        <v>0</v>
      </c>
      <c r="BA252" s="107">
        <f>IF(A14stdlife="n/a","n/a",IF(BA$3&gt;(A14stdlife+$E252),('PTRM input'!$L$156*(1+rvanilla06)^0.5)-SUM($L252:AZ252),('PTRM input'!$L$156*(1+rvanilla06)^0.5)/A14stdlife))</f>
        <v>0</v>
      </c>
      <c r="BB252" s="107">
        <f>IF(A14stdlife="n/a","n/a",IF(BB$3&gt;(A14stdlife+$E252),('PTRM input'!$L$156*(1+rvanilla06)^0.5)-SUM($L252:BA252),('PTRM input'!$L$156*(1+rvanilla06)^0.5)/A14stdlife))</f>
        <v>0</v>
      </c>
      <c r="BC252" s="107">
        <f>IF(A14stdlife="n/a","n/a",IF(BC$3&gt;(A14stdlife+$E252),('PTRM input'!$L$156*(1+rvanilla06)^0.5)-SUM($L252:BB252),('PTRM input'!$L$156*(1+rvanilla06)^0.5)/A14stdlife))</f>
        <v>0</v>
      </c>
      <c r="BD252" s="107">
        <f>IF(A14stdlife="n/a","n/a",IF(BD$3&gt;(A14stdlife+$E252),('PTRM input'!$L$156*(1+rvanilla06)^0.5)-SUM($L252:BC252),('PTRM input'!$L$156*(1+rvanilla06)^0.5)/A14stdlife))</f>
        <v>0</v>
      </c>
      <c r="BE252" s="107">
        <f>IF(A14stdlife="n/a","n/a",IF(BE$3&gt;(A14stdlife+$E252),('PTRM input'!$L$156*(1+rvanilla06)^0.5)-SUM($L252:BD252),('PTRM input'!$L$156*(1+rvanilla06)^0.5)/A14stdlife))</f>
        <v>0</v>
      </c>
      <c r="BF252" s="107">
        <f>IF(A14stdlife="n/a","n/a",IF(BF$3&gt;(A14stdlife+$E252),('PTRM input'!$L$156*(1+rvanilla06)^0.5)-SUM($L252:BE252),('PTRM input'!$L$156*(1+rvanilla06)^0.5)/A14stdlife))</f>
        <v>0</v>
      </c>
      <c r="BG252" s="107">
        <f>IF(A14stdlife="n/a","n/a",IF(BG$3&gt;(A14stdlife+$E252),('PTRM input'!$L$156*(1+rvanilla06)^0.5)-SUM($L252:BF252),('PTRM input'!$L$156*(1+rvanilla06)^0.5)/A14stdlife))</f>
        <v>0</v>
      </c>
      <c r="BH252" s="107">
        <f>IF(A14stdlife="n/a","n/a",IF(BH$3&gt;(A14stdlife+$E252),('PTRM input'!$L$156*(1+rvanilla06)^0.5)-SUM($L252:BG252),('PTRM input'!$L$156*(1+rvanilla06)^0.5)/A14stdlife))</f>
        <v>0</v>
      </c>
      <c r="BI252" s="107">
        <f>IF(A14stdlife="n/a","n/a",IF(BI$3&gt;(A14stdlife+$E252),('PTRM input'!$L$156*(1+rvanilla06)^0.5)-SUM($L252:BH252),('PTRM input'!$L$156*(1+rvanilla06)^0.5)/A14stdlife))</f>
        <v>0</v>
      </c>
      <c r="BJ252" s="237"/>
      <c r="BK252" s="237"/>
      <c r="BL252" s="237"/>
      <c r="BM252" s="237"/>
    </row>
    <row r="253" spans="1:65" s="190" customFormat="1" hidden="1" outlineLevel="2">
      <c r="A253" s="237"/>
      <c r="B253" s="33"/>
      <c r="C253" s="32"/>
      <c r="D253" s="1618"/>
      <c r="E253" s="169">
        <v>7</v>
      </c>
      <c r="F253" s="35"/>
      <c r="G253" s="184"/>
      <c r="H253" s="186"/>
      <c r="I253" s="186"/>
      <c r="J253" s="186"/>
      <c r="K253" s="186"/>
      <c r="L253" s="186"/>
      <c r="M253" s="185"/>
      <c r="N253" s="107">
        <f>IF(A14stdlife="n/a","n/a",IF(N$3&gt;(A14stdlife+$E253),('PTRM input'!$M$156*(1+rvanilla07)^0.5)-SUM($M253:M253),('PTRM input'!$M$156*(1+rvanilla07)^0.5)/A14stdlife))</f>
        <v>0</v>
      </c>
      <c r="O253" s="107">
        <f>IF(A14stdlife="n/a","n/a",IF(O$3&gt;(A14stdlife+$E253),('PTRM input'!$M$156*(1+rvanilla07)^0.5)-SUM($M253:N253),('PTRM input'!$M$156*(1+rvanilla07)^0.5)/A14stdlife))</f>
        <v>0</v>
      </c>
      <c r="P253" s="107">
        <f>IF(A14stdlife="n/a","n/a",IF(P$3&gt;(A14stdlife+$E253),('PTRM input'!$M$156*(1+rvanilla07)^0.5)-SUM($M253:O253),('PTRM input'!$M$156*(1+rvanilla07)^0.5)/A14stdlife))</f>
        <v>0</v>
      </c>
      <c r="Q253" s="107">
        <f>IF(A14stdlife="n/a","n/a",IF(Q$3&gt;(A14stdlife+$E253),('PTRM input'!$M$156*(1+rvanilla07)^0.5)-SUM($M253:P253),('PTRM input'!$M$156*(1+rvanilla07)^0.5)/A14stdlife))</f>
        <v>0</v>
      </c>
      <c r="R253" s="107">
        <f>IF(A14stdlife="n/a","n/a",IF(R$3&gt;(A14stdlife+$E253),('PTRM input'!$M$156*(1+rvanilla07)^0.5)-SUM($M253:Q253),('PTRM input'!$M$156*(1+rvanilla07)^0.5)/A14stdlife))</f>
        <v>0</v>
      </c>
      <c r="S253" s="107">
        <f>IF(A14stdlife="n/a","n/a",IF(S$3&gt;(A14stdlife+$E253),('PTRM input'!$M$156*(1+rvanilla07)^0.5)-SUM($M253:R253),('PTRM input'!$M$156*(1+rvanilla07)^0.5)/A14stdlife))</f>
        <v>0</v>
      </c>
      <c r="T253" s="107">
        <f>IF(A14stdlife="n/a","n/a",IF(T$3&gt;(A14stdlife+$E253),('PTRM input'!$M$156*(1+rvanilla07)^0.5)-SUM($M253:S253),('PTRM input'!$M$156*(1+rvanilla07)^0.5)/A14stdlife))</f>
        <v>0</v>
      </c>
      <c r="U253" s="107">
        <f>IF(A14stdlife="n/a","n/a",IF(U$3&gt;(A14stdlife+$E253),('PTRM input'!$M$156*(1+rvanilla07)^0.5)-SUM($M253:T253),('PTRM input'!$M$156*(1+rvanilla07)^0.5)/A14stdlife))</f>
        <v>0</v>
      </c>
      <c r="V253" s="107">
        <f>IF(A14stdlife="n/a","n/a",IF(V$3&gt;(A14stdlife+$E253),('PTRM input'!$M$156*(1+rvanilla07)^0.5)-SUM($M253:U253),('PTRM input'!$M$156*(1+rvanilla07)^0.5)/A14stdlife))</f>
        <v>0</v>
      </c>
      <c r="W253" s="107">
        <f>IF(A14stdlife="n/a","n/a",IF(W$3&gt;(A14stdlife+$E253),('PTRM input'!$M$156*(1+rvanilla07)^0.5)-SUM($M253:V253),('PTRM input'!$M$156*(1+rvanilla07)^0.5)/A14stdlife))</f>
        <v>0</v>
      </c>
      <c r="X253" s="107">
        <f>IF(A14stdlife="n/a","n/a",IF(X$3&gt;(A14stdlife+$E253),('PTRM input'!$M$156*(1+rvanilla07)^0.5)-SUM($M253:W253),('PTRM input'!$M$156*(1+rvanilla07)^0.5)/A14stdlife))</f>
        <v>0</v>
      </c>
      <c r="Y253" s="107">
        <f>IF(A14stdlife="n/a","n/a",IF(Y$3&gt;(A14stdlife+$E253),('PTRM input'!$M$156*(1+rvanilla07)^0.5)-SUM($M253:X253),('PTRM input'!$M$156*(1+rvanilla07)^0.5)/A14stdlife))</f>
        <v>0</v>
      </c>
      <c r="Z253" s="107">
        <f>IF(A14stdlife="n/a","n/a",IF(Z$3&gt;(A14stdlife+$E253),('PTRM input'!$M$156*(1+rvanilla07)^0.5)-SUM($M253:Y253),('PTRM input'!$M$156*(1+rvanilla07)^0.5)/A14stdlife))</f>
        <v>0</v>
      </c>
      <c r="AA253" s="107">
        <f>IF(A14stdlife="n/a","n/a",IF(AA$3&gt;(A14stdlife+$E253),('PTRM input'!$M$156*(1+rvanilla07)^0.5)-SUM($M253:Z253),('PTRM input'!$M$156*(1+rvanilla07)^0.5)/A14stdlife))</f>
        <v>0</v>
      </c>
      <c r="AB253" s="107">
        <f>IF(A14stdlife="n/a","n/a",IF(AB$3&gt;(A14stdlife+$E253),('PTRM input'!$M$156*(1+rvanilla07)^0.5)-SUM($M253:AA253),('PTRM input'!$M$156*(1+rvanilla07)^0.5)/A14stdlife))</f>
        <v>0</v>
      </c>
      <c r="AC253" s="107">
        <f>IF(A14stdlife="n/a","n/a",IF(AC$3&gt;(A14stdlife+$E253),('PTRM input'!$M$156*(1+rvanilla07)^0.5)-SUM($M253:AB253),('PTRM input'!$M$156*(1+rvanilla07)^0.5)/A14stdlife))</f>
        <v>0</v>
      </c>
      <c r="AD253" s="107">
        <f>IF(A14stdlife="n/a","n/a",IF(AD$3&gt;(A14stdlife+$E253),('PTRM input'!$M$156*(1+rvanilla07)^0.5)-SUM($M253:AC253),('PTRM input'!$M$156*(1+rvanilla07)^0.5)/A14stdlife))</f>
        <v>0</v>
      </c>
      <c r="AE253" s="107">
        <f>IF(A14stdlife="n/a","n/a",IF(AE$3&gt;(A14stdlife+$E253),('PTRM input'!$M$156*(1+rvanilla07)^0.5)-SUM($M253:AD253),('PTRM input'!$M$156*(1+rvanilla07)^0.5)/A14stdlife))</f>
        <v>0</v>
      </c>
      <c r="AF253" s="107">
        <f>IF(A14stdlife="n/a","n/a",IF(AF$3&gt;(A14stdlife+$E253),('PTRM input'!$M$156*(1+rvanilla07)^0.5)-SUM($M253:AE253),('PTRM input'!$M$156*(1+rvanilla07)^0.5)/A14stdlife))</f>
        <v>0</v>
      </c>
      <c r="AG253" s="107">
        <f>IF(A14stdlife="n/a","n/a",IF(AG$3&gt;(A14stdlife+$E253),('PTRM input'!$M$156*(1+rvanilla07)^0.5)-SUM($M253:AF253),('PTRM input'!$M$156*(1+rvanilla07)^0.5)/A14stdlife))</f>
        <v>0</v>
      </c>
      <c r="AH253" s="107">
        <f>IF(A14stdlife="n/a","n/a",IF(AH$3&gt;(A14stdlife+$E253),('PTRM input'!$M$156*(1+rvanilla07)^0.5)-SUM($M253:AG253),('PTRM input'!$M$156*(1+rvanilla07)^0.5)/A14stdlife))</f>
        <v>0</v>
      </c>
      <c r="AI253" s="107">
        <f>IF(A14stdlife="n/a","n/a",IF(AI$3&gt;(A14stdlife+$E253),('PTRM input'!$M$156*(1+rvanilla07)^0.5)-SUM($M253:AH253),('PTRM input'!$M$156*(1+rvanilla07)^0.5)/A14stdlife))</f>
        <v>0</v>
      </c>
      <c r="AJ253" s="107">
        <f>IF(A14stdlife="n/a","n/a",IF(AJ$3&gt;(A14stdlife+$E253),('PTRM input'!$M$156*(1+rvanilla07)^0.5)-SUM($M253:AI253),('PTRM input'!$M$156*(1+rvanilla07)^0.5)/A14stdlife))</f>
        <v>0</v>
      </c>
      <c r="AK253" s="107">
        <f>IF(A14stdlife="n/a","n/a",IF(AK$3&gt;(A14stdlife+$E253),('PTRM input'!$M$156*(1+rvanilla07)^0.5)-SUM($M253:AJ253),('PTRM input'!$M$156*(1+rvanilla07)^0.5)/A14stdlife))</f>
        <v>0</v>
      </c>
      <c r="AL253" s="107">
        <f>IF(A14stdlife="n/a","n/a",IF(AL$3&gt;(A14stdlife+$E253),('PTRM input'!$M$156*(1+rvanilla07)^0.5)-SUM($M253:AK253),('PTRM input'!$M$156*(1+rvanilla07)^0.5)/A14stdlife))</f>
        <v>0</v>
      </c>
      <c r="AM253" s="107">
        <f>IF(A14stdlife="n/a","n/a",IF(AM$3&gt;(A14stdlife+$E253),('PTRM input'!$M$156*(1+rvanilla07)^0.5)-SUM($M253:AL253),('PTRM input'!$M$156*(1+rvanilla07)^0.5)/A14stdlife))</f>
        <v>0</v>
      </c>
      <c r="AN253" s="107">
        <f>IF(A14stdlife="n/a","n/a",IF(AN$3&gt;(A14stdlife+$E253),('PTRM input'!$M$156*(1+rvanilla07)^0.5)-SUM($M253:AM253),('PTRM input'!$M$156*(1+rvanilla07)^0.5)/A14stdlife))</f>
        <v>0</v>
      </c>
      <c r="AO253" s="107">
        <f>IF(A14stdlife="n/a","n/a",IF(AO$3&gt;(A14stdlife+$E253),('PTRM input'!$M$156*(1+rvanilla07)^0.5)-SUM($M253:AN253),('PTRM input'!$M$156*(1+rvanilla07)^0.5)/A14stdlife))</f>
        <v>0</v>
      </c>
      <c r="AP253" s="107">
        <f>IF(A14stdlife="n/a","n/a",IF(AP$3&gt;(A14stdlife+$E253),('PTRM input'!$M$156*(1+rvanilla07)^0.5)-SUM($M253:AO253),('PTRM input'!$M$156*(1+rvanilla07)^0.5)/A14stdlife))</f>
        <v>0</v>
      </c>
      <c r="AQ253" s="107">
        <f>IF(A14stdlife="n/a","n/a",IF(AQ$3&gt;(A14stdlife+$E253),('PTRM input'!$M$156*(1+rvanilla07)^0.5)-SUM($M253:AP253),('PTRM input'!$M$156*(1+rvanilla07)^0.5)/A14stdlife))</f>
        <v>0</v>
      </c>
      <c r="AR253" s="107">
        <f>IF(A14stdlife="n/a","n/a",IF(AR$3&gt;(A14stdlife+$E253),('PTRM input'!$M$156*(1+rvanilla07)^0.5)-SUM($M253:AQ253),('PTRM input'!$M$156*(1+rvanilla07)^0.5)/A14stdlife))</f>
        <v>0</v>
      </c>
      <c r="AS253" s="107">
        <f>IF(A14stdlife="n/a","n/a",IF(AS$3&gt;(A14stdlife+$E253),('PTRM input'!$M$156*(1+rvanilla07)^0.5)-SUM($M253:AR253),('PTRM input'!$M$156*(1+rvanilla07)^0.5)/A14stdlife))</f>
        <v>0</v>
      </c>
      <c r="AT253" s="107">
        <f>IF(A14stdlife="n/a","n/a",IF(AT$3&gt;(A14stdlife+$E253),('PTRM input'!$M$156*(1+rvanilla07)^0.5)-SUM($M253:AS253),('PTRM input'!$M$156*(1+rvanilla07)^0.5)/A14stdlife))</f>
        <v>0</v>
      </c>
      <c r="AU253" s="107">
        <f>IF(A14stdlife="n/a","n/a",IF(AU$3&gt;(A14stdlife+$E253),('PTRM input'!$M$156*(1+rvanilla07)^0.5)-SUM($M253:AT253),('PTRM input'!$M$156*(1+rvanilla07)^0.5)/A14stdlife))</f>
        <v>0</v>
      </c>
      <c r="AV253" s="107">
        <f>IF(A14stdlife="n/a","n/a",IF(AV$3&gt;(A14stdlife+$E253),('PTRM input'!$M$156*(1+rvanilla07)^0.5)-SUM($M253:AU253),('PTRM input'!$M$156*(1+rvanilla07)^0.5)/A14stdlife))</f>
        <v>0</v>
      </c>
      <c r="AW253" s="107">
        <f>IF(A14stdlife="n/a","n/a",IF(AW$3&gt;(A14stdlife+$E253),('PTRM input'!$M$156*(1+rvanilla07)^0.5)-SUM($M253:AV253),('PTRM input'!$M$156*(1+rvanilla07)^0.5)/A14stdlife))</f>
        <v>0</v>
      </c>
      <c r="AX253" s="107">
        <f>IF(A14stdlife="n/a","n/a",IF(AX$3&gt;(A14stdlife+$E253),('PTRM input'!$M$156*(1+rvanilla07)^0.5)-SUM($M253:AW253),('PTRM input'!$M$156*(1+rvanilla07)^0.5)/A14stdlife))</f>
        <v>0</v>
      </c>
      <c r="AY253" s="107">
        <f>IF(A14stdlife="n/a","n/a",IF(AY$3&gt;(A14stdlife+$E253),('PTRM input'!$M$156*(1+rvanilla07)^0.5)-SUM($M253:AX253),('PTRM input'!$M$156*(1+rvanilla07)^0.5)/A14stdlife))</f>
        <v>0</v>
      </c>
      <c r="AZ253" s="107">
        <f>IF(A14stdlife="n/a","n/a",IF(AZ$3&gt;(A14stdlife+$E253),('PTRM input'!$M$156*(1+rvanilla07)^0.5)-SUM($M253:AY253),('PTRM input'!$M$156*(1+rvanilla07)^0.5)/A14stdlife))</f>
        <v>0</v>
      </c>
      <c r="BA253" s="107">
        <f>IF(A14stdlife="n/a","n/a",IF(BA$3&gt;(A14stdlife+$E253),('PTRM input'!$M$156*(1+rvanilla07)^0.5)-SUM($M253:AZ253),('PTRM input'!$M$156*(1+rvanilla07)^0.5)/A14stdlife))</f>
        <v>0</v>
      </c>
      <c r="BB253" s="107">
        <f>IF(A14stdlife="n/a","n/a",IF(BB$3&gt;(A14stdlife+$E253),('PTRM input'!$M$156*(1+rvanilla07)^0.5)-SUM($M253:BA253),('PTRM input'!$M$156*(1+rvanilla07)^0.5)/A14stdlife))</f>
        <v>0</v>
      </c>
      <c r="BC253" s="107">
        <f>IF(A14stdlife="n/a","n/a",IF(BC$3&gt;(A14stdlife+$E253),('PTRM input'!$M$156*(1+rvanilla07)^0.5)-SUM($M253:BB253),('PTRM input'!$M$156*(1+rvanilla07)^0.5)/A14stdlife))</f>
        <v>0</v>
      </c>
      <c r="BD253" s="107">
        <f>IF(A14stdlife="n/a","n/a",IF(BD$3&gt;(A14stdlife+$E253),('PTRM input'!$M$156*(1+rvanilla07)^0.5)-SUM($M253:BC253),('PTRM input'!$M$156*(1+rvanilla07)^0.5)/A14stdlife))</f>
        <v>0</v>
      </c>
      <c r="BE253" s="107">
        <f>IF(A14stdlife="n/a","n/a",IF(BE$3&gt;(A14stdlife+$E253),('PTRM input'!$M$156*(1+rvanilla07)^0.5)-SUM($M253:BD253),('PTRM input'!$M$156*(1+rvanilla07)^0.5)/A14stdlife))</f>
        <v>0</v>
      </c>
      <c r="BF253" s="107">
        <f>IF(A14stdlife="n/a","n/a",IF(BF$3&gt;(A14stdlife+$E253),('PTRM input'!$M$156*(1+rvanilla07)^0.5)-SUM($M253:BE253),('PTRM input'!$M$156*(1+rvanilla07)^0.5)/A14stdlife))</f>
        <v>0</v>
      </c>
      <c r="BG253" s="107">
        <f>IF(A14stdlife="n/a","n/a",IF(BG$3&gt;(A14stdlife+$E253),('PTRM input'!$M$156*(1+rvanilla07)^0.5)-SUM($M253:BF253),('PTRM input'!$M$156*(1+rvanilla07)^0.5)/A14stdlife))</f>
        <v>0</v>
      </c>
      <c r="BH253" s="107">
        <f>IF(A14stdlife="n/a","n/a",IF(BH$3&gt;(A14stdlife+$E253),('PTRM input'!$M$156*(1+rvanilla07)^0.5)-SUM($M253:BG253),('PTRM input'!$M$156*(1+rvanilla07)^0.5)/A14stdlife))</f>
        <v>0</v>
      </c>
      <c r="BI253" s="107">
        <f>IF(A14stdlife="n/a","n/a",IF(BI$3&gt;(A14stdlife+$E253),('PTRM input'!$M$156*(1+rvanilla07)^0.5)-SUM($M253:BH253),('PTRM input'!$M$156*(1+rvanilla07)^0.5)/A14stdlife))</f>
        <v>0</v>
      </c>
      <c r="BJ253" s="237"/>
      <c r="BK253" s="237"/>
      <c r="BL253" s="237"/>
      <c r="BM253" s="237"/>
    </row>
    <row r="254" spans="1:65" s="190" customFormat="1" hidden="1" outlineLevel="2">
      <c r="A254" s="237"/>
      <c r="B254" s="33"/>
      <c r="C254" s="32"/>
      <c r="D254" s="1618"/>
      <c r="E254" s="169">
        <v>8</v>
      </c>
      <c r="F254" s="35"/>
      <c r="G254" s="184"/>
      <c r="H254" s="186"/>
      <c r="I254" s="186"/>
      <c r="J254" s="186"/>
      <c r="K254" s="186"/>
      <c r="L254" s="186"/>
      <c r="M254" s="186"/>
      <c r="N254" s="185"/>
      <c r="O254" s="107">
        <f>IF(A14stdlife="n/a","n/a",IF(O$3&gt;(A14stdlife+$E254),('PTRM input'!$N$156*(1+rvanilla08)^0.5)-SUM($N254:N254),('PTRM input'!$N$156*(1+rvanilla08)^0.5)/A14stdlife))</f>
        <v>0</v>
      </c>
      <c r="P254" s="107">
        <f>IF(A14stdlife="n/a","n/a",IF(P$3&gt;(A14stdlife+$E254),('PTRM input'!$N$156*(1+rvanilla08)^0.5)-SUM($N254:O254),('PTRM input'!$N$156*(1+rvanilla08)^0.5)/A14stdlife))</f>
        <v>0</v>
      </c>
      <c r="Q254" s="107">
        <f>IF(A14stdlife="n/a","n/a",IF(Q$3&gt;(A14stdlife+$E254),('PTRM input'!$N$156*(1+rvanilla08)^0.5)-SUM($N254:P254),('PTRM input'!$N$156*(1+rvanilla08)^0.5)/A14stdlife))</f>
        <v>0</v>
      </c>
      <c r="R254" s="107">
        <f>IF(A14stdlife="n/a","n/a",IF(R$3&gt;(A14stdlife+$E254),('PTRM input'!$N$156*(1+rvanilla08)^0.5)-SUM($N254:Q254),('PTRM input'!$N$156*(1+rvanilla08)^0.5)/A14stdlife))</f>
        <v>0</v>
      </c>
      <c r="S254" s="107">
        <f>IF(A14stdlife="n/a","n/a",IF(S$3&gt;(A14stdlife+$E254),('PTRM input'!$N$156*(1+rvanilla08)^0.5)-SUM($N254:R254),('PTRM input'!$N$156*(1+rvanilla08)^0.5)/A14stdlife))</f>
        <v>0</v>
      </c>
      <c r="T254" s="107">
        <f>IF(A14stdlife="n/a","n/a",IF(T$3&gt;(A14stdlife+$E254),('PTRM input'!$N$156*(1+rvanilla08)^0.5)-SUM($N254:S254),('PTRM input'!$N$156*(1+rvanilla08)^0.5)/A14stdlife))</f>
        <v>0</v>
      </c>
      <c r="U254" s="107">
        <f>IF(A14stdlife="n/a","n/a",IF(U$3&gt;(A14stdlife+$E254),('PTRM input'!$N$156*(1+rvanilla08)^0.5)-SUM($N254:T254),('PTRM input'!$N$156*(1+rvanilla08)^0.5)/A14stdlife))</f>
        <v>0</v>
      </c>
      <c r="V254" s="107">
        <f>IF(A14stdlife="n/a","n/a",IF(V$3&gt;(A14stdlife+$E254),('PTRM input'!$N$156*(1+rvanilla08)^0.5)-SUM($N254:U254),('PTRM input'!$N$156*(1+rvanilla08)^0.5)/A14stdlife))</f>
        <v>0</v>
      </c>
      <c r="W254" s="107">
        <f>IF(A14stdlife="n/a","n/a",IF(W$3&gt;(A14stdlife+$E254),('PTRM input'!$N$156*(1+rvanilla08)^0.5)-SUM($N254:V254),('PTRM input'!$N$156*(1+rvanilla08)^0.5)/A14stdlife))</f>
        <v>0</v>
      </c>
      <c r="X254" s="107">
        <f>IF(A14stdlife="n/a","n/a",IF(X$3&gt;(A14stdlife+$E254),('PTRM input'!$N$156*(1+rvanilla08)^0.5)-SUM($N254:W254),('PTRM input'!$N$156*(1+rvanilla08)^0.5)/A14stdlife))</f>
        <v>0</v>
      </c>
      <c r="Y254" s="107">
        <f>IF(A14stdlife="n/a","n/a",IF(Y$3&gt;(A14stdlife+$E254),('PTRM input'!$N$156*(1+rvanilla08)^0.5)-SUM($N254:X254),('PTRM input'!$N$156*(1+rvanilla08)^0.5)/A14stdlife))</f>
        <v>0</v>
      </c>
      <c r="Z254" s="107">
        <f>IF(A14stdlife="n/a","n/a",IF(Z$3&gt;(A14stdlife+$E254),('PTRM input'!$N$156*(1+rvanilla08)^0.5)-SUM($N254:Y254),('PTRM input'!$N$156*(1+rvanilla08)^0.5)/A14stdlife))</f>
        <v>0</v>
      </c>
      <c r="AA254" s="107">
        <f>IF(A14stdlife="n/a","n/a",IF(AA$3&gt;(A14stdlife+$E254),('PTRM input'!$N$156*(1+rvanilla08)^0.5)-SUM($N254:Z254),('PTRM input'!$N$156*(1+rvanilla08)^0.5)/A14stdlife))</f>
        <v>0</v>
      </c>
      <c r="AB254" s="107">
        <f>IF(A14stdlife="n/a","n/a",IF(AB$3&gt;(A14stdlife+$E254),('PTRM input'!$N$156*(1+rvanilla08)^0.5)-SUM($N254:AA254),('PTRM input'!$N$156*(1+rvanilla08)^0.5)/A14stdlife))</f>
        <v>0</v>
      </c>
      <c r="AC254" s="107">
        <f>IF(A14stdlife="n/a","n/a",IF(AC$3&gt;(A14stdlife+$E254),('PTRM input'!$N$156*(1+rvanilla08)^0.5)-SUM($N254:AB254),('PTRM input'!$N$156*(1+rvanilla08)^0.5)/A14stdlife))</f>
        <v>0</v>
      </c>
      <c r="AD254" s="107">
        <f>IF(A14stdlife="n/a","n/a",IF(AD$3&gt;(A14stdlife+$E254),('PTRM input'!$N$156*(1+rvanilla08)^0.5)-SUM($N254:AC254),('PTRM input'!$N$156*(1+rvanilla08)^0.5)/A14stdlife))</f>
        <v>0</v>
      </c>
      <c r="AE254" s="107">
        <f>IF(A14stdlife="n/a","n/a",IF(AE$3&gt;(A14stdlife+$E254),('PTRM input'!$N$156*(1+rvanilla08)^0.5)-SUM($N254:AD254),('PTRM input'!$N$156*(1+rvanilla08)^0.5)/A14stdlife))</f>
        <v>0</v>
      </c>
      <c r="AF254" s="107">
        <f>IF(A14stdlife="n/a","n/a",IF(AF$3&gt;(A14stdlife+$E254),('PTRM input'!$N$156*(1+rvanilla08)^0.5)-SUM($N254:AE254),('PTRM input'!$N$156*(1+rvanilla08)^0.5)/A14stdlife))</f>
        <v>0</v>
      </c>
      <c r="AG254" s="107">
        <f>IF(A14stdlife="n/a","n/a",IF(AG$3&gt;(A14stdlife+$E254),('PTRM input'!$N$156*(1+rvanilla08)^0.5)-SUM($N254:AF254),('PTRM input'!$N$156*(1+rvanilla08)^0.5)/A14stdlife))</f>
        <v>0</v>
      </c>
      <c r="AH254" s="107">
        <f>IF(A14stdlife="n/a","n/a",IF(AH$3&gt;(A14stdlife+$E254),('PTRM input'!$N$156*(1+rvanilla08)^0.5)-SUM($N254:AG254),('PTRM input'!$N$156*(1+rvanilla08)^0.5)/A14stdlife))</f>
        <v>0</v>
      </c>
      <c r="AI254" s="107">
        <f>IF(A14stdlife="n/a","n/a",IF(AI$3&gt;(A14stdlife+$E254),('PTRM input'!$N$156*(1+rvanilla08)^0.5)-SUM($N254:AH254),('PTRM input'!$N$156*(1+rvanilla08)^0.5)/A14stdlife))</f>
        <v>0</v>
      </c>
      <c r="AJ254" s="107">
        <f>IF(A14stdlife="n/a","n/a",IF(AJ$3&gt;(A14stdlife+$E254),('PTRM input'!$N$156*(1+rvanilla08)^0.5)-SUM($N254:AI254),('PTRM input'!$N$156*(1+rvanilla08)^0.5)/A14stdlife))</f>
        <v>0</v>
      </c>
      <c r="AK254" s="107">
        <f>IF(A14stdlife="n/a","n/a",IF(AK$3&gt;(A14stdlife+$E254),('PTRM input'!$N$156*(1+rvanilla08)^0.5)-SUM($N254:AJ254),('PTRM input'!$N$156*(1+rvanilla08)^0.5)/A14stdlife))</f>
        <v>0</v>
      </c>
      <c r="AL254" s="107">
        <f>IF(A14stdlife="n/a","n/a",IF(AL$3&gt;(A14stdlife+$E254),('PTRM input'!$N$156*(1+rvanilla08)^0.5)-SUM($N254:AK254),('PTRM input'!$N$156*(1+rvanilla08)^0.5)/A14stdlife))</f>
        <v>0</v>
      </c>
      <c r="AM254" s="107">
        <f>IF(A14stdlife="n/a","n/a",IF(AM$3&gt;(A14stdlife+$E254),('PTRM input'!$N$156*(1+rvanilla08)^0.5)-SUM($N254:AL254),('PTRM input'!$N$156*(1+rvanilla08)^0.5)/A14stdlife))</f>
        <v>0</v>
      </c>
      <c r="AN254" s="107">
        <f>IF(A14stdlife="n/a","n/a",IF(AN$3&gt;(A14stdlife+$E254),('PTRM input'!$N$156*(1+rvanilla08)^0.5)-SUM($N254:AM254),('PTRM input'!$N$156*(1+rvanilla08)^0.5)/A14stdlife))</f>
        <v>0</v>
      </c>
      <c r="AO254" s="107">
        <f>IF(A14stdlife="n/a","n/a",IF(AO$3&gt;(A14stdlife+$E254),('PTRM input'!$N$156*(1+rvanilla08)^0.5)-SUM($N254:AN254),('PTRM input'!$N$156*(1+rvanilla08)^0.5)/A14stdlife))</f>
        <v>0</v>
      </c>
      <c r="AP254" s="107">
        <f>IF(A14stdlife="n/a","n/a",IF(AP$3&gt;(A14stdlife+$E254),('PTRM input'!$N$156*(1+rvanilla08)^0.5)-SUM($N254:AO254),('PTRM input'!$N$156*(1+rvanilla08)^0.5)/A14stdlife))</f>
        <v>0</v>
      </c>
      <c r="AQ254" s="107">
        <f>IF(A14stdlife="n/a","n/a",IF(AQ$3&gt;(A14stdlife+$E254),('PTRM input'!$N$156*(1+rvanilla08)^0.5)-SUM($N254:AP254),('PTRM input'!$N$156*(1+rvanilla08)^0.5)/A14stdlife))</f>
        <v>0</v>
      </c>
      <c r="AR254" s="107">
        <f>IF(A14stdlife="n/a","n/a",IF(AR$3&gt;(A14stdlife+$E254),('PTRM input'!$N$156*(1+rvanilla08)^0.5)-SUM($N254:AQ254),('PTRM input'!$N$156*(1+rvanilla08)^0.5)/A14stdlife))</f>
        <v>0</v>
      </c>
      <c r="AS254" s="107">
        <f>IF(A14stdlife="n/a","n/a",IF(AS$3&gt;(A14stdlife+$E254),('PTRM input'!$N$156*(1+rvanilla08)^0.5)-SUM($N254:AR254),('PTRM input'!$N$156*(1+rvanilla08)^0.5)/A14stdlife))</f>
        <v>0</v>
      </c>
      <c r="AT254" s="107">
        <f>IF(A14stdlife="n/a","n/a",IF(AT$3&gt;(A14stdlife+$E254),('PTRM input'!$N$156*(1+rvanilla08)^0.5)-SUM($N254:AS254),('PTRM input'!$N$156*(1+rvanilla08)^0.5)/A14stdlife))</f>
        <v>0</v>
      </c>
      <c r="AU254" s="107">
        <f>IF(A14stdlife="n/a","n/a",IF(AU$3&gt;(A14stdlife+$E254),('PTRM input'!$N$156*(1+rvanilla08)^0.5)-SUM($N254:AT254),('PTRM input'!$N$156*(1+rvanilla08)^0.5)/A14stdlife))</f>
        <v>0</v>
      </c>
      <c r="AV254" s="107">
        <f>IF(A14stdlife="n/a","n/a",IF(AV$3&gt;(A14stdlife+$E254),('PTRM input'!$N$156*(1+rvanilla08)^0.5)-SUM($N254:AU254),('PTRM input'!$N$156*(1+rvanilla08)^0.5)/A14stdlife))</f>
        <v>0</v>
      </c>
      <c r="AW254" s="107">
        <f>IF(A14stdlife="n/a","n/a",IF(AW$3&gt;(A14stdlife+$E254),('PTRM input'!$N$156*(1+rvanilla08)^0.5)-SUM($N254:AV254),('PTRM input'!$N$156*(1+rvanilla08)^0.5)/A14stdlife))</f>
        <v>0</v>
      </c>
      <c r="AX254" s="107">
        <f>IF(A14stdlife="n/a","n/a",IF(AX$3&gt;(A14stdlife+$E254),('PTRM input'!$N$156*(1+rvanilla08)^0.5)-SUM($N254:AW254),('PTRM input'!$N$156*(1+rvanilla08)^0.5)/A14stdlife))</f>
        <v>0</v>
      </c>
      <c r="AY254" s="107">
        <f>IF(A14stdlife="n/a","n/a",IF(AY$3&gt;(A14stdlife+$E254),('PTRM input'!$N$156*(1+rvanilla08)^0.5)-SUM($N254:AX254),('PTRM input'!$N$156*(1+rvanilla08)^0.5)/A14stdlife))</f>
        <v>0</v>
      </c>
      <c r="AZ254" s="107">
        <f>IF(A14stdlife="n/a","n/a",IF(AZ$3&gt;(A14stdlife+$E254),('PTRM input'!$N$156*(1+rvanilla08)^0.5)-SUM($N254:AY254),('PTRM input'!$N$156*(1+rvanilla08)^0.5)/A14stdlife))</f>
        <v>0</v>
      </c>
      <c r="BA254" s="107">
        <f>IF(A14stdlife="n/a","n/a",IF(BA$3&gt;(A14stdlife+$E254),('PTRM input'!$N$156*(1+rvanilla08)^0.5)-SUM($N254:AZ254),('PTRM input'!$N$156*(1+rvanilla08)^0.5)/A14stdlife))</f>
        <v>0</v>
      </c>
      <c r="BB254" s="107">
        <f>IF(A14stdlife="n/a","n/a",IF(BB$3&gt;(A14stdlife+$E254),('PTRM input'!$N$156*(1+rvanilla08)^0.5)-SUM($N254:BA254),('PTRM input'!$N$156*(1+rvanilla08)^0.5)/A14stdlife))</f>
        <v>0</v>
      </c>
      <c r="BC254" s="107">
        <f>IF(A14stdlife="n/a","n/a",IF(BC$3&gt;(A14stdlife+$E254),('PTRM input'!$N$156*(1+rvanilla08)^0.5)-SUM($N254:BB254),('PTRM input'!$N$156*(1+rvanilla08)^0.5)/A14stdlife))</f>
        <v>0</v>
      </c>
      <c r="BD254" s="107">
        <f>IF(A14stdlife="n/a","n/a",IF(BD$3&gt;(A14stdlife+$E254),('PTRM input'!$N$156*(1+rvanilla08)^0.5)-SUM($N254:BC254),('PTRM input'!$N$156*(1+rvanilla08)^0.5)/A14stdlife))</f>
        <v>0</v>
      </c>
      <c r="BE254" s="107">
        <f>IF(A14stdlife="n/a","n/a",IF(BE$3&gt;(A14stdlife+$E254),('PTRM input'!$N$156*(1+rvanilla08)^0.5)-SUM($N254:BD254),('PTRM input'!$N$156*(1+rvanilla08)^0.5)/A14stdlife))</f>
        <v>0</v>
      </c>
      <c r="BF254" s="107">
        <f>IF(A14stdlife="n/a","n/a",IF(BF$3&gt;(A14stdlife+$E254),('PTRM input'!$N$156*(1+rvanilla08)^0.5)-SUM($N254:BE254),('PTRM input'!$N$156*(1+rvanilla08)^0.5)/A14stdlife))</f>
        <v>0</v>
      </c>
      <c r="BG254" s="107">
        <f>IF(A14stdlife="n/a","n/a",IF(BG$3&gt;(A14stdlife+$E254),('PTRM input'!$N$156*(1+rvanilla08)^0.5)-SUM($N254:BF254),('PTRM input'!$N$156*(1+rvanilla08)^0.5)/A14stdlife))</f>
        <v>0</v>
      </c>
      <c r="BH254" s="107">
        <f>IF(A14stdlife="n/a","n/a",IF(BH$3&gt;(A14stdlife+$E254),('PTRM input'!$N$156*(1+rvanilla08)^0.5)-SUM($N254:BG254),('PTRM input'!$N$156*(1+rvanilla08)^0.5)/A14stdlife))</f>
        <v>0</v>
      </c>
      <c r="BI254" s="107">
        <f>IF(A14stdlife="n/a","n/a",IF(BI$3&gt;(A14stdlife+$E254),('PTRM input'!$N$156*(1+rvanilla08)^0.5)-SUM($N254:BH254),('PTRM input'!$N$156*(1+rvanilla08)^0.5)/A14stdlife))</f>
        <v>0</v>
      </c>
      <c r="BJ254" s="237"/>
      <c r="BK254" s="237"/>
      <c r="BL254" s="237"/>
      <c r="BM254" s="237"/>
    </row>
    <row r="255" spans="1:65" s="190" customFormat="1" hidden="1" outlineLevel="2">
      <c r="A255" s="237"/>
      <c r="B255" s="33"/>
      <c r="C255" s="32"/>
      <c r="D255" s="1618"/>
      <c r="E255" s="169">
        <v>9</v>
      </c>
      <c r="F255" s="35"/>
      <c r="G255" s="184"/>
      <c r="H255" s="186"/>
      <c r="I255" s="186"/>
      <c r="J255" s="186"/>
      <c r="K255" s="186"/>
      <c r="L255" s="186"/>
      <c r="M255" s="186"/>
      <c r="N255" s="186"/>
      <c r="O255" s="185"/>
      <c r="P255" s="107">
        <f>IF(A14stdlife="n/a","n/a",IF(P$3&gt;(A14stdlife+$E255),('PTRM input'!$O$156*(1+rvanilla09)^0.5)-SUM($O255:O255),('PTRM input'!$O$156*(1+rvanilla09)^0.5)/A14stdlife))</f>
        <v>0</v>
      </c>
      <c r="Q255" s="107">
        <f>IF(A14stdlife="n/a","n/a",IF(Q$3&gt;(A14stdlife+$E255),('PTRM input'!$O$156*(1+rvanilla09)^0.5)-SUM($O255:P255),('PTRM input'!$O$156*(1+rvanilla09)^0.5)/A14stdlife))</f>
        <v>0</v>
      </c>
      <c r="R255" s="107">
        <f>IF(A14stdlife="n/a","n/a",IF(R$3&gt;(A14stdlife+$E255),('PTRM input'!$O$156*(1+rvanilla09)^0.5)-SUM($O255:Q255),('PTRM input'!$O$156*(1+rvanilla09)^0.5)/A14stdlife))</f>
        <v>0</v>
      </c>
      <c r="S255" s="107">
        <f>IF(A14stdlife="n/a","n/a",IF(S$3&gt;(A14stdlife+$E255),('PTRM input'!$O$156*(1+rvanilla09)^0.5)-SUM($O255:R255),('PTRM input'!$O$156*(1+rvanilla09)^0.5)/A14stdlife))</f>
        <v>0</v>
      </c>
      <c r="T255" s="107">
        <f>IF(A14stdlife="n/a","n/a",IF(T$3&gt;(A14stdlife+$E255),('PTRM input'!$O$156*(1+rvanilla09)^0.5)-SUM($O255:S255),('PTRM input'!$O$156*(1+rvanilla09)^0.5)/A14stdlife))</f>
        <v>0</v>
      </c>
      <c r="U255" s="107">
        <f>IF(A14stdlife="n/a","n/a",IF(U$3&gt;(A14stdlife+$E255),('PTRM input'!$O$156*(1+rvanilla09)^0.5)-SUM($O255:T255),('PTRM input'!$O$156*(1+rvanilla09)^0.5)/A14stdlife))</f>
        <v>0</v>
      </c>
      <c r="V255" s="107">
        <f>IF(A14stdlife="n/a","n/a",IF(V$3&gt;(A14stdlife+$E255),('PTRM input'!$O$156*(1+rvanilla09)^0.5)-SUM($O255:U255),('PTRM input'!$O$156*(1+rvanilla09)^0.5)/A14stdlife))</f>
        <v>0</v>
      </c>
      <c r="W255" s="107">
        <f>IF(A14stdlife="n/a","n/a",IF(W$3&gt;(A14stdlife+$E255),('PTRM input'!$O$156*(1+rvanilla09)^0.5)-SUM($O255:V255),('PTRM input'!$O$156*(1+rvanilla09)^0.5)/A14stdlife))</f>
        <v>0</v>
      </c>
      <c r="X255" s="107">
        <f>IF(A14stdlife="n/a","n/a",IF(X$3&gt;(A14stdlife+$E255),('PTRM input'!$O$156*(1+rvanilla09)^0.5)-SUM($O255:W255),('PTRM input'!$O$156*(1+rvanilla09)^0.5)/A14stdlife))</f>
        <v>0</v>
      </c>
      <c r="Y255" s="107">
        <f>IF(A14stdlife="n/a","n/a",IF(Y$3&gt;(A14stdlife+$E255),('PTRM input'!$O$156*(1+rvanilla09)^0.5)-SUM($O255:X255),('PTRM input'!$O$156*(1+rvanilla09)^0.5)/A14stdlife))</f>
        <v>0</v>
      </c>
      <c r="Z255" s="107">
        <f>IF(A14stdlife="n/a","n/a",IF(Z$3&gt;(A14stdlife+$E255),('PTRM input'!$O$156*(1+rvanilla09)^0.5)-SUM($O255:Y255),('PTRM input'!$O$156*(1+rvanilla09)^0.5)/A14stdlife))</f>
        <v>0</v>
      </c>
      <c r="AA255" s="107">
        <f>IF(A14stdlife="n/a","n/a",IF(AA$3&gt;(A14stdlife+$E255),('PTRM input'!$O$156*(1+rvanilla09)^0.5)-SUM($O255:Z255),('PTRM input'!$O$156*(1+rvanilla09)^0.5)/A14stdlife))</f>
        <v>0</v>
      </c>
      <c r="AB255" s="107">
        <f>IF(A14stdlife="n/a","n/a",IF(AB$3&gt;(A14stdlife+$E255),('PTRM input'!$O$156*(1+rvanilla09)^0.5)-SUM($O255:AA255),('PTRM input'!$O$156*(1+rvanilla09)^0.5)/A14stdlife))</f>
        <v>0</v>
      </c>
      <c r="AC255" s="107">
        <f>IF(A14stdlife="n/a","n/a",IF(AC$3&gt;(A14stdlife+$E255),('PTRM input'!$O$156*(1+rvanilla09)^0.5)-SUM($O255:AB255),('PTRM input'!$O$156*(1+rvanilla09)^0.5)/A14stdlife))</f>
        <v>0</v>
      </c>
      <c r="AD255" s="107">
        <f>IF(A14stdlife="n/a","n/a",IF(AD$3&gt;(A14stdlife+$E255),('PTRM input'!$O$156*(1+rvanilla09)^0.5)-SUM($O255:AC255),('PTRM input'!$O$156*(1+rvanilla09)^0.5)/A14stdlife))</f>
        <v>0</v>
      </c>
      <c r="AE255" s="107">
        <f>IF(A14stdlife="n/a","n/a",IF(AE$3&gt;(A14stdlife+$E255),('PTRM input'!$O$156*(1+rvanilla09)^0.5)-SUM($O255:AD255),('PTRM input'!$O$156*(1+rvanilla09)^0.5)/A14stdlife))</f>
        <v>0</v>
      </c>
      <c r="AF255" s="107">
        <f>IF(A14stdlife="n/a","n/a",IF(AF$3&gt;(A14stdlife+$E255),('PTRM input'!$O$156*(1+rvanilla09)^0.5)-SUM($O255:AE255),('PTRM input'!$O$156*(1+rvanilla09)^0.5)/A14stdlife))</f>
        <v>0</v>
      </c>
      <c r="AG255" s="107">
        <f>IF(A14stdlife="n/a","n/a",IF(AG$3&gt;(A14stdlife+$E255),('PTRM input'!$O$156*(1+rvanilla09)^0.5)-SUM($O255:AF255),('PTRM input'!$O$156*(1+rvanilla09)^0.5)/A14stdlife))</f>
        <v>0</v>
      </c>
      <c r="AH255" s="107">
        <f>IF(A14stdlife="n/a","n/a",IF(AH$3&gt;(A14stdlife+$E255),('PTRM input'!$O$156*(1+rvanilla09)^0.5)-SUM($O255:AG255),('PTRM input'!$O$156*(1+rvanilla09)^0.5)/A14stdlife))</f>
        <v>0</v>
      </c>
      <c r="AI255" s="107">
        <f>IF(A14stdlife="n/a","n/a",IF(AI$3&gt;(A14stdlife+$E255),('PTRM input'!$O$156*(1+rvanilla09)^0.5)-SUM($O255:AH255),('PTRM input'!$O$156*(1+rvanilla09)^0.5)/A14stdlife))</f>
        <v>0</v>
      </c>
      <c r="AJ255" s="107">
        <f>IF(A14stdlife="n/a","n/a",IF(AJ$3&gt;(A14stdlife+$E255),('PTRM input'!$O$156*(1+rvanilla09)^0.5)-SUM($O255:AI255),('PTRM input'!$O$156*(1+rvanilla09)^0.5)/A14stdlife))</f>
        <v>0</v>
      </c>
      <c r="AK255" s="107">
        <f>IF(A14stdlife="n/a","n/a",IF(AK$3&gt;(A14stdlife+$E255),('PTRM input'!$O$156*(1+rvanilla09)^0.5)-SUM($O255:AJ255),('PTRM input'!$O$156*(1+rvanilla09)^0.5)/A14stdlife))</f>
        <v>0</v>
      </c>
      <c r="AL255" s="107">
        <f>IF(A14stdlife="n/a","n/a",IF(AL$3&gt;(A14stdlife+$E255),('PTRM input'!$O$156*(1+rvanilla09)^0.5)-SUM($O255:AK255),('PTRM input'!$O$156*(1+rvanilla09)^0.5)/A14stdlife))</f>
        <v>0</v>
      </c>
      <c r="AM255" s="107">
        <f>IF(A14stdlife="n/a","n/a",IF(AM$3&gt;(A14stdlife+$E255),('PTRM input'!$O$156*(1+rvanilla09)^0.5)-SUM($O255:AL255),('PTRM input'!$O$156*(1+rvanilla09)^0.5)/A14stdlife))</f>
        <v>0</v>
      </c>
      <c r="AN255" s="107">
        <f>IF(A14stdlife="n/a","n/a",IF(AN$3&gt;(A14stdlife+$E255),('PTRM input'!$O$156*(1+rvanilla09)^0.5)-SUM($O255:AM255),('PTRM input'!$O$156*(1+rvanilla09)^0.5)/A14stdlife))</f>
        <v>0</v>
      </c>
      <c r="AO255" s="107">
        <f>IF(A14stdlife="n/a","n/a",IF(AO$3&gt;(A14stdlife+$E255),('PTRM input'!$O$156*(1+rvanilla09)^0.5)-SUM($O255:AN255),('PTRM input'!$O$156*(1+rvanilla09)^0.5)/A14stdlife))</f>
        <v>0</v>
      </c>
      <c r="AP255" s="107">
        <f>IF(A14stdlife="n/a","n/a",IF(AP$3&gt;(A14stdlife+$E255),('PTRM input'!$O$156*(1+rvanilla09)^0.5)-SUM($O255:AO255),('PTRM input'!$O$156*(1+rvanilla09)^0.5)/A14stdlife))</f>
        <v>0</v>
      </c>
      <c r="AQ255" s="107">
        <f>IF(A14stdlife="n/a","n/a",IF(AQ$3&gt;(A14stdlife+$E255),('PTRM input'!$O$156*(1+rvanilla09)^0.5)-SUM($O255:AP255),('PTRM input'!$O$156*(1+rvanilla09)^0.5)/A14stdlife))</f>
        <v>0</v>
      </c>
      <c r="AR255" s="107">
        <f>IF(A14stdlife="n/a","n/a",IF(AR$3&gt;(A14stdlife+$E255),('PTRM input'!$O$156*(1+rvanilla09)^0.5)-SUM($O255:AQ255),('PTRM input'!$O$156*(1+rvanilla09)^0.5)/A14stdlife))</f>
        <v>0</v>
      </c>
      <c r="AS255" s="107">
        <f>IF(A14stdlife="n/a","n/a",IF(AS$3&gt;(A14stdlife+$E255),('PTRM input'!$O$156*(1+rvanilla09)^0.5)-SUM($O255:AR255),('PTRM input'!$O$156*(1+rvanilla09)^0.5)/A14stdlife))</f>
        <v>0</v>
      </c>
      <c r="AT255" s="107">
        <f>IF(A14stdlife="n/a","n/a",IF(AT$3&gt;(A14stdlife+$E255),('PTRM input'!$O$156*(1+rvanilla09)^0.5)-SUM($O255:AS255),('PTRM input'!$O$156*(1+rvanilla09)^0.5)/A14stdlife))</f>
        <v>0</v>
      </c>
      <c r="AU255" s="107">
        <f>IF(A14stdlife="n/a","n/a",IF(AU$3&gt;(A14stdlife+$E255),('PTRM input'!$O$156*(1+rvanilla09)^0.5)-SUM($O255:AT255),('PTRM input'!$O$156*(1+rvanilla09)^0.5)/A14stdlife))</f>
        <v>0</v>
      </c>
      <c r="AV255" s="107">
        <f>IF(A14stdlife="n/a","n/a",IF(AV$3&gt;(A14stdlife+$E255),('PTRM input'!$O$156*(1+rvanilla09)^0.5)-SUM($O255:AU255),('PTRM input'!$O$156*(1+rvanilla09)^0.5)/A14stdlife))</f>
        <v>0</v>
      </c>
      <c r="AW255" s="107">
        <f>IF(A14stdlife="n/a","n/a",IF(AW$3&gt;(A14stdlife+$E255),('PTRM input'!$O$156*(1+rvanilla09)^0.5)-SUM($O255:AV255),('PTRM input'!$O$156*(1+rvanilla09)^0.5)/A14stdlife))</f>
        <v>0</v>
      </c>
      <c r="AX255" s="107">
        <f>IF(A14stdlife="n/a","n/a",IF(AX$3&gt;(A14stdlife+$E255),('PTRM input'!$O$156*(1+rvanilla09)^0.5)-SUM($O255:AW255),('PTRM input'!$O$156*(1+rvanilla09)^0.5)/A14stdlife))</f>
        <v>0</v>
      </c>
      <c r="AY255" s="107">
        <f>IF(A14stdlife="n/a","n/a",IF(AY$3&gt;(A14stdlife+$E255),('PTRM input'!$O$156*(1+rvanilla09)^0.5)-SUM($O255:AX255),('PTRM input'!$O$156*(1+rvanilla09)^0.5)/A14stdlife))</f>
        <v>0</v>
      </c>
      <c r="AZ255" s="107">
        <f>IF(A14stdlife="n/a","n/a",IF(AZ$3&gt;(A14stdlife+$E255),('PTRM input'!$O$156*(1+rvanilla09)^0.5)-SUM($O255:AY255),('PTRM input'!$O$156*(1+rvanilla09)^0.5)/A14stdlife))</f>
        <v>0</v>
      </c>
      <c r="BA255" s="107">
        <f>IF(A14stdlife="n/a","n/a",IF(BA$3&gt;(A14stdlife+$E255),('PTRM input'!$O$156*(1+rvanilla09)^0.5)-SUM($O255:AZ255),('PTRM input'!$O$156*(1+rvanilla09)^0.5)/A14stdlife))</f>
        <v>0</v>
      </c>
      <c r="BB255" s="107">
        <f>IF(A14stdlife="n/a","n/a",IF(BB$3&gt;(A14stdlife+$E255),('PTRM input'!$O$156*(1+rvanilla09)^0.5)-SUM($O255:BA255),('PTRM input'!$O$156*(1+rvanilla09)^0.5)/A14stdlife))</f>
        <v>0</v>
      </c>
      <c r="BC255" s="107">
        <f>IF(A14stdlife="n/a","n/a",IF(BC$3&gt;(A14stdlife+$E255),('PTRM input'!$O$156*(1+rvanilla09)^0.5)-SUM($O255:BB255),('PTRM input'!$O$156*(1+rvanilla09)^0.5)/A14stdlife))</f>
        <v>0</v>
      </c>
      <c r="BD255" s="107">
        <f>IF(A14stdlife="n/a","n/a",IF(BD$3&gt;(A14stdlife+$E255),('PTRM input'!$O$156*(1+rvanilla09)^0.5)-SUM($O255:BC255),('PTRM input'!$O$156*(1+rvanilla09)^0.5)/A14stdlife))</f>
        <v>0</v>
      </c>
      <c r="BE255" s="107">
        <f>IF(A14stdlife="n/a","n/a",IF(BE$3&gt;(A14stdlife+$E255),('PTRM input'!$O$156*(1+rvanilla09)^0.5)-SUM($O255:BD255),('PTRM input'!$O$156*(1+rvanilla09)^0.5)/A14stdlife))</f>
        <v>0</v>
      </c>
      <c r="BF255" s="107">
        <f>IF(A14stdlife="n/a","n/a",IF(BF$3&gt;(A14stdlife+$E255),('PTRM input'!$O$156*(1+rvanilla09)^0.5)-SUM($O255:BE255),('PTRM input'!$O$156*(1+rvanilla09)^0.5)/A14stdlife))</f>
        <v>0</v>
      </c>
      <c r="BG255" s="107">
        <f>IF(A14stdlife="n/a","n/a",IF(BG$3&gt;(A14stdlife+$E255),('PTRM input'!$O$156*(1+rvanilla09)^0.5)-SUM($O255:BF255),('PTRM input'!$O$156*(1+rvanilla09)^0.5)/A14stdlife))</f>
        <v>0</v>
      </c>
      <c r="BH255" s="107">
        <f>IF(A14stdlife="n/a","n/a",IF(BH$3&gt;(A14stdlife+$E255),('PTRM input'!$O$156*(1+rvanilla09)^0.5)-SUM($O255:BG255),('PTRM input'!$O$156*(1+rvanilla09)^0.5)/A14stdlife))</f>
        <v>0</v>
      </c>
      <c r="BI255" s="107">
        <f>IF(A14stdlife="n/a","n/a",IF(BI$3&gt;(A14stdlife+$E255),('PTRM input'!$O$156*(1+rvanilla09)^0.5)-SUM($O255:BH255),('PTRM input'!$O$156*(1+rvanilla09)^0.5)/A14stdlife))</f>
        <v>0</v>
      </c>
      <c r="BJ255" s="237"/>
      <c r="BK255" s="237"/>
      <c r="BL255" s="237"/>
      <c r="BM255" s="237"/>
    </row>
    <row r="256" spans="1:65" s="190" customFormat="1" hidden="1" outlineLevel="2">
      <c r="A256" s="237"/>
      <c r="B256" s="33"/>
      <c r="C256" s="32"/>
      <c r="D256" s="1618"/>
      <c r="E256" s="170">
        <v>10</v>
      </c>
      <c r="F256" s="35"/>
      <c r="G256" s="184"/>
      <c r="H256" s="186"/>
      <c r="I256" s="186"/>
      <c r="J256" s="186"/>
      <c r="K256" s="186"/>
      <c r="L256" s="186"/>
      <c r="M256" s="186"/>
      <c r="N256" s="186"/>
      <c r="O256" s="186"/>
      <c r="P256" s="185"/>
      <c r="Q256" s="107">
        <f>IF(A14stdlife="n/a","n/a",IF(Q$3&gt;(A14stdlife+$E256),('PTRM input'!$P$156*(1+rvanilla10)^0.5)-SUM($P256:P256),('PTRM input'!$P$156*(1+rvanilla10)^0.5)/A14stdlife))</f>
        <v>0</v>
      </c>
      <c r="R256" s="107">
        <f>IF(A14stdlife="n/a","n/a",IF(R$3&gt;(A14stdlife+$E256),('PTRM input'!$P$156*(1+rvanilla10)^0.5)-SUM($P256:Q256),('PTRM input'!$P$156*(1+rvanilla10)^0.5)/A14stdlife))</f>
        <v>0</v>
      </c>
      <c r="S256" s="107">
        <f>IF(A14stdlife="n/a","n/a",IF(S$3&gt;(A14stdlife+$E256),('PTRM input'!$P$156*(1+rvanilla10)^0.5)-SUM($P256:R256),('PTRM input'!$P$156*(1+rvanilla10)^0.5)/A14stdlife))</f>
        <v>0</v>
      </c>
      <c r="T256" s="107">
        <f>IF(A14stdlife="n/a","n/a",IF(T$3&gt;(A14stdlife+$E256),('PTRM input'!$P$156*(1+rvanilla10)^0.5)-SUM($P256:S256),('PTRM input'!$P$156*(1+rvanilla10)^0.5)/A14stdlife))</f>
        <v>0</v>
      </c>
      <c r="U256" s="107">
        <f>IF(A14stdlife="n/a","n/a",IF(U$3&gt;(A14stdlife+$E256),('PTRM input'!$P$156*(1+rvanilla10)^0.5)-SUM($P256:T256),('PTRM input'!$P$156*(1+rvanilla10)^0.5)/A14stdlife))</f>
        <v>0</v>
      </c>
      <c r="V256" s="107">
        <f>IF(A14stdlife="n/a","n/a",IF(V$3&gt;(A14stdlife+$E256),('PTRM input'!$P$156*(1+rvanilla10)^0.5)-SUM($P256:U256),('PTRM input'!$P$156*(1+rvanilla10)^0.5)/A14stdlife))</f>
        <v>0</v>
      </c>
      <c r="W256" s="107">
        <f>IF(A14stdlife="n/a","n/a",IF(W$3&gt;(A14stdlife+$E256),('PTRM input'!$P$156*(1+rvanilla10)^0.5)-SUM($P256:V256),('PTRM input'!$P$156*(1+rvanilla10)^0.5)/A14stdlife))</f>
        <v>0</v>
      </c>
      <c r="X256" s="107">
        <f>IF(A14stdlife="n/a","n/a",IF(X$3&gt;(A14stdlife+$E256),('PTRM input'!$P$156*(1+rvanilla10)^0.5)-SUM($P256:W256),('PTRM input'!$P$156*(1+rvanilla10)^0.5)/A14stdlife))</f>
        <v>0</v>
      </c>
      <c r="Y256" s="107">
        <f>IF(A14stdlife="n/a","n/a",IF(Y$3&gt;(A14stdlife+$E256),('PTRM input'!$P$156*(1+rvanilla10)^0.5)-SUM($P256:X256),('PTRM input'!$P$156*(1+rvanilla10)^0.5)/A14stdlife))</f>
        <v>0</v>
      </c>
      <c r="Z256" s="107">
        <f>IF(A14stdlife="n/a","n/a",IF(Z$3&gt;(A14stdlife+$E256),('PTRM input'!$P$156*(1+rvanilla10)^0.5)-SUM($P256:Y256),('PTRM input'!$P$156*(1+rvanilla10)^0.5)/A14stdlife))</f>
        <v>0</v>
      </c>
      <c r="AA256" s="107">
        <f>IF(A14stdlife="n/a","n/a",IF(AA$3&gt;(A14stdlife+$E256),('PTRM input'!$P$156*(1+rvanilla10)^0.5)-SUM($P256:Z256),('PTRM input'!$P$156*(1+rvanilla10)^0.5)/A14stdlife))</f>
        <v>0</v>
      </c>
      <c r="AB256" s="107">
        <f>IF(A14stdlife="n/a","n/a",IF(AB$3&gt;(A14stdlife+$E256),('PTRM input'!$P$156*(1+rvanilla10)^0.5)-SUM($P256:AA256),('PTRM input'!$P$156*(1+rvanilla10)^0.5)/A14stdlife))</f>
        <v>0</v>
      </c>
      <c r="AC256" s="107">
        <f>IF(A14stdlife="n/a","n/a",IF(AC$3&gt;(A14stdlife+$E256),('PTRM input'!$P$156*(1+rvanilla10)^0.5)-SUM($P256:AB256),('PTRM input'!$P$156*(1+rvanilla10)^0.5)/A14stdlife))</f>
        <v>0</v>
      </c>
      <c r="AD256" s="107">
        <f>IF(A14stdlife="n/a","n/a",IF(AD$3&gt;(A14stdlife+$E256),('PTRM input'!$P$156*(1+rvanilla10)^0.5)-SUM($P256:AC256),('PTRM input'!$P$156*(1+rvanilla10)^0.5)/A14stdlife))</f>
        <v>0</v>
      </c>
      <c r="AE256" s="107">
        <f>IF(A14stdlife="n/a","n/a",IF(AE$3&gt;(A14stdlife+$E256),('PTRM input'!$P$156*(1+rvanilla10)^0.5)-SUM($P256:AD256),('PTRM input'!$P$156*(1+rvanilla10)^0.5)/A14stdlife))</f>
        <v>0</v>
      </c>
      <c r="AF256" s="107">
        <f>IF(A14stdlife="n/a","n/a",IF(AF$3&gt;(A14stdlife+$E256),('PTRM input'!$P$156*(1+rvanilla10)^0.5)-SUM($P256:AE256),('PTRM input'!$P$156*(1+rvanilla10)^0.5)/A14stdlife))</f>
        <v>0</v>
      </c>
      <c r="AG256" s="107">
        <f>IF(A14stdlife="n/a","n/a",IF(AG$3&gt;(A14stdlife+$E256),('PTRM input'!$P$156*(1+rvanilla10)^0.5)-SUM($P256:AF256),('PTRM input'!$P$156*(1+rvanilla10)^0.5)/A14stdlife))</f>
        <v>0</v>
      </c>
      <c r="AH256" s="107">
        <f>IF(A14stdlife="n/a","n/a",IF(AH$3&gt;(A14stdlife+$E256),('PTRM input'!$P$156*(1+rvanilla10)^0.5)-SUM($P256:AG256),('PTRM input'!$P$156*(1+rvanilla10)^0.5)/A14stdlife))</f>
        <v>0</v>
      </c>
      <c r="AI256" s="107">
        <f>IF(A14stdlife="n/a","n/a",IF(AI$3&gt;(A14stdlife+$E256),('PTRM input'!$P$156*(1+rvanilla10)^0.5)-SUM($P256:AH256),('PTRM input'!$P$156*(1+rvanilla10)^0.5)/A14stdlife))</f>
        <v>0</v>
      </c>
      <c r="AJ256" s="107">
        <f>IF(A14stdlife="n/a","n/a",IF(AJ$3&gt;(A14stdlife+$E256),('PTRM input'!$P$156*(1+rvanilla10)^0.5)-SUM($P256:AI256),('PTRM input'!$P$156*(1+rvanilla10)^0.5)/A14stdlife))</f>
        <v>0</v>
      </c>
      <c r="AK256" s="107">
        <f>IF(A14stdlife="n/a","n/a",IF(AK$3&gt;(A14stdlife+$E256),('PTRM input'!$P$156*(1+rvanilla10)^0.5)-SUM($P256:AJ256),('PTRM input'!$P$156*(1+rvanilla10)^0.5)/A14stdlife))</f>
        <v>0</v>
      </c>
      <c r="AL256" s="107">
        <f>IF(A14stdlife="n/a","n/a",IF(AL$3&gt;(A14stdlife+$E256),('PTRM input'!$P$156*(1+rvanilla10)^0.5)-SUM($P256:AK256),('PTRM input'!$P$156*(1+rvanilla10)^0.5)/A14stdlife))</f>
        <v>0</v>
      </c>
      <c r="AM256" s="107">
        <f>IF(A14stdlife="n/a","n/a",IF(AM$3&gt;(A14stdlife+$E256),('PTRM input'!$P$156*(1+rvanilla10)^0.5)-SUM($P256:AL256),('PTRM input'!$P$156*(1+rvanilla10)^0.5)/A14stdlife))</f>
        <v>0</v>
      </c>
      <c r="AN256" s="107">
        <f>IF(A14stdlife="n/a","n/a",IF(AN$3&gt;(A14stdlife+$E256),('PTRM input'!$P$156*(1+rvanilla10)^0.5)-SUM($P256:AM256),('PTRM input'!$P$156*(1+rvanilla10)^0.5)/A14stdlife))</f>
        <v>0</v>
      </c>
      <c r="AO256" s="107">
        <f>IF(A14stdlife="n/a","n/a",IF(AO$3&gt;(A14stdlife+$E256),('PTRM input'!$P$156*(1+rvanilla10)^0.5)-SUM($P256:AN256),('PTRM input'!$P$156*(1+rvanilla10)^0.5)/A14stdlife))</f>
        <v>0</v>
      </c>
      <c r="AP256" s="107">
        <f>IF(A14stdlife="n/a","n/a",IF(AP$3&gt;(A14stdlife+$E256),('PTRM input'!$P$156*(1+rvanilla10)^0.5)-SUM($P256:AO256),('PTRM input'!$P$156*(1+rvanilla10)^0.5)/A14stdlife))</f>
        <v>0</v>
      </c>
      <c r="AQ256" s="107">
        <f>IF(A14stdlife="n/a","n/a",IF(AQ$3&gt;(A14stdlife+$E256),('PTRM input'!$P$156*(1+rvanilla10)^0.5)-SUM($P256:AP256),('PTRM input'!$P$156*(1+rvanilla10)^0.5)/A14stdlife))</f>
        <v>0</v>
      </c>
      <c r="AR256" s="107">
        <f>IF(A14stdlife="n/a","n/a",IF(AR$3&gt;(A14stdlife+$E256),('PTRM input'!$P$156*(1+rvanilla10)^0.5)-SUM($P256:AQ256),('PTRM input'!$P$156*(1+rvanilla10)^0.5)/A14stdlife))</f>
        <v>0</v>
      </c>
      <c r="AS256" s="107">
        <f>IF(A14stdlife="n/a","n/a",IF(AS$3&gt;(A14stdlife+$E256),('PTRM input'!$P$156*(1+rvanilla10)^0.5)-SUM($P256:AR256),('PTRM input'!$P$156*(1+rvanilla10)^0.5)/A14stdlife))</f>
        <v>0</v>
      </c>
      <c r="AT256" s="107">
        <f>IF(A14stdlife="n/a","n/a",IF(AT$3&gt;(A14stdlife+$E256),('PTRM input'!$P$156*(1+rvanilla10)^0.5)-SUM($P256:AS256),('PTRM input'!$P$156*(1+rvanilla10)^0.5)/A14stdlife))</f>
        <v>0</v>
      </c>
      <c r="AU256" s="107">
        <f>IF(A14stdlife="n/a","n/a",IF(AU$3&gt;(A14stdlife+$E256),('PTRM input'!$P$156*(1+rvanilla10)^0.5)-SUM($P256:AT256),('PTRM input'!$P$156*(1+rvanilla10)^0.5)/A14stdlife))</f>
        <v>0</v>
      </c>
      <c r="AV256" s="107">
        <f>IF(A14stdlife="n/a","n/a",IF(AV$3&gt;(A14stdlife+$E256),('PTRM input'!$P$156*(1+rvanilla10)^0.5)-SUM($P256:AU256),('PTRM input'!$P$156*(1+rvanilla10)^0.5)/A14stdlife))</f>
        <v>0</v>
      </c>
      <c r="AW256" s="107">
        <f>IF(A14stdlife="n/a","n/a",IF(AW$3&gt;(A14stdlife+$E256),('PTRM input'!$P$156*(1+rvanilla10)^0.5)-SUM($P256:AV256),('PTRM input'!$P$156*(1+rvanilla10)^0.5)/A14stdlife))</f>
        <v>0</v>
      </c>
      <c r="AX256" s="107">
        <f>IF(A14stdlife="n/a","n/a",IF(AX$3&gt;(A14stdlife+$E256),('PTRM input'!$P$156*(1+rvanilla10)^0.5)-SUM($P256:AW256),('PTRM input'!$P$156*(1+rvanilla10)^0.5)/A14stdlife))</f>
        <v>0</v>
      </c>
      <c r="AY256" s="107">
        <f>IF(A14stdlife="n/a","n/a",IF(AY$3&gt;(A14stdlife+$E256),('PTRM input'!$P$156*(1+rvanilla10)^0.5)-SUM($P256:AX256),('PTRM input'!$P$156*(1+rvanilla10)^0.5)/A14stdlife))</f>
        <v>0</v>
      </c>
      <c r="AZ256" s="107">
        <f>IF(A14stdlife="n/a","n/a",IF(AZ$3&gt;(A14stdlife+$E256),('PTRM input'!$P$156*(1+rvanilla10)^0.5)-SUM($P256:AY256),('PTRM input'!$P$156*(1+rvanilla10)^0.5)/A14stdlife))</f>
        <v>0</v>
      </c>
      <c r="BA256" s="107">
        <f>IF(A14stdlife="n/a","n/a",IF(BA$3&gt;(A14stdlife+$E256),('PTRM input'!$P$156*(1+rvanilla10)^0.5)-SUM($P256:AZ256),('PTRM input'!$P$156*(1+rvanilla10)^0.5)/A14stdlife))</f>
        <v>0</v>
      </c>
      <c r="BB256" s="107">
        <f>IF(A14stdlife="n/a","n/a",IF(BB$3&gt;(A14stdlife+$E256),('PTRM input'!$P$156*(1+rvanilla10)^0.5)-SUM($P256:BA256),('PTRM input'!$P$156*(1+rvanilla10)^0.5)/A14stdlife))</f>
        <v>0</v>
      </c>
      <c r="BC256" s="107">
        <f>IF(A14stdlife="n/a","n/a",IF(BC$3&gt;(A14stdlife+$E256),('PTRM input'!$P$156*(1+rvanilla10)^0.5)-SUM($P256:BB256),('PTRM input'!$P$156*(1+rvanilla10)^0.5)/A14stdlife))</f>
        <v>0</v>
      </c>
      <c r="BD256" s="107">
        <f>IF(A14stdlife="n/a","n/a",IF(BD$3&gt;(A14stdlife+$E256),('PTRM input'!$P$156*(1+rvanilla10)^0.5)-SUM($P256:BC256),('PTRM input'!$P$156*(1+rvanilla10)^0.5)/A14stdlife))</f>
        <v>0</v>
      </c>
      <c r="BE256" s="107">
        <f>IF(A14stdlife="n/a","n/a",IF(BE$3&gt;(A14stdlife+$E256),('PTRM input'!$P$156*(1+rvanilla10)^0.5)-SUM($P256:BD256),('PTRM input'!$P$156*(1+rvanilla10)^0.5)/A14stdlife))</f>
        <v>0</v>
      </c>
      <c r="BF256" s="107">
        <f>IF(A14stdlife="n/a","n/a",IF(BF$3&gt;(A14stdlife+$E256),('PTRM input'!$P$156*(1+rvanilla10)^0.5)-SUM($P256:BE256),('PTRM input'!$P$156*(1+rvanilla10)^0.5)/A14stdlife))</f>
        <v>0</v>
      </c>
      <c r="BG256" s="107">
        <f>IF(A14stdlife="n/a","n/a",IF(BG$3&gt;(A14stdlife+$E256),('PTRM input'!$P$156*(1+rvanilla10)^0.5)-SUM($P256:BF256),('PTRM input'!$P$156*(1+rvanilla10)^0.5)/A14stdlife))</f>
        <v>0</v>
      </c>
      <c r="BH256" s="107">
        <f>IF(A14stdlife="n/a","n/a",IF(BH$3&gt;(A14stdlife+$E256),('PTRM input'!$P$156*(1+rvanilla10)^0.5)-SUM($P256:BG256),('PTRM input'!$P$156*(1+rvanilla10)^0.5)/A14stdlife))</f>
        <v>0</v>
      </c>
      <c r="BI256" s="107">
        <f>IF(A14stdlife="n/a","n/a",IF(BI$3&gt;(A14stdlife+$E256),('PTRM input'!$P$156*(1+rvanilla10)^0.5)-SUM($P256:BH256),('PTRM input'!$P$156*(1+rvanilla10)^0.5)/A14stdlife))</f>
        <v>0</v>
      </c>
      <c r="BJ256" s="237"/>
      <c r="BK256" s="237"/>
      <c r="BL256" s="237"/>
      <c r="BM256" s="237"/>
    </row>
    <row r="257" spans="1:65" s="190" customFormat="1" hidden="1" outlineLevel="1">
      <c r="A257" s="237"/>
      <c r="B257" s="18"/>
      <c r="C257" s="33">
        <f>Asset14</f>
        <v>0</v>
      </c>
      <c r="D257" s="18"/>
      <c r="E257" s="18"/>
      <c r="F257" s="31"/>
      <c r="G257" s="104">
        <f>SUM(G245:G256)</f>
        <v>0</v>
      </c>
      <c r="H257" s="104">
        <f t="shared" ref="H257:AL257" si="63">SUM(H245:H256)</f>
        <v>0</v>
      </c>
      <c r="I257" s="104">
        <f t="shared" si="63"/>
        <v>0</v>
      </c>
      <c r="J257" s="104">
        <f t="shared" si="63"/>
        <v>0</v>
      </c>
      <c r="K257" s="104">
        <f t="shared" si="63"/>
        <v>0</v>
      </c>
      <c r="L257" s="104">
        <f t="shared" si="63"/>
        <v>0</v>
      </c>
      <c r="M257" s="104">
        <f t="shared" si="63"/>
        <v>0</v>
      </c>
      <c r="N257" s="104">
        <f t="shared" si="63"/>
        <v>0</v>
      </c>
      <c r="O257" s="104">
        <f t="shared" si="63"/>
        <v>0</v>
      </c>
      <c r="P257" s="104">
        <f t="shared" si="63"/>
        <v>0</v>
      </c>
      <c r="Q257" s="104">
        <f t="shared" si="63"/>
        <v>0</v>
      </c>
      <c r="R257" s="104">
        <f t="shared" si="63"/>
        <v>0</v>
      </c>
      <c r="S257" s="104">
        <f t="shared" si="63"/>
        <v>0</v>
      </c>
      <c r="T257" s="104">
        <f t="shared" si="63"/>
        <v>0</v>
      </c>
      <c r="U257" s="104">
        <f t="shared" si="63"/>
        <v>0</v>
      </c>
      <c r="V257" s="104">
        <f t="shared" si="63"/>
        <v>0</v>
      </c>
      <c r="W257" s="104">
        <f t="shared" si="63"/>
        <v>0</v>
      </c>
      <c r="X257" s="104">
        <f t="shared" si="63"/>
        <v>0</v>
      </c>
      <c r="Y257" s="104">
        <f t="shared" si="63"/>
        <v>0</v>
      </c>
      <c r="Z257" s="104">
        <f t="shared" si="63"/>
        <v>0</v>
      </c>
      <c r="AA257" s="104">
        <f t="shared" si="63"/>
        <v>0</v>
      </c>
      <c r="AB257" s="104">
        <f t="shared" si="63"/>
        <v>0</v>
      </c>
      <c r="AC257" s="104">
        <f t="shared" si="63"/>
        <v>0</v>
      </c>
      <c r="AD257" s="104">
        <f t="shared" si="63"/>
        <v>0</v>
      </c>
      <c r="AE257" s="104">
        <f t="shared" si="63"/>
        <v>0</v>
      </c>
      <c r="AF257" s="104">
        <f t="shared" si="63"/>
        <v>0</v>
      </c>
      <c r="AG257" s="104">
        <f t="shared" si="63"/>
        <v>0</v>
      </c>
      <c r="AH257" s="104">
        <f t="shared" si="63"/>
        <v>0</v>
      </c>
      <c r="AI257" s="104">
        <f t="shared" si="63"/>
        <v>0</v>
      </c>
      <c r="AJ257" s="104">
        <f t="shared" si="63"/>
        <v>0</v>
      </c>
      <c r="AK257" s="104">
        <f t="shared" si="63"/>
        <v>0</v>
      </c>
      <c r="AL257" s="104">
        <f t="shared" si="63"/>
        <v>0</v>
      </c>
      <c r="AM257" s="104">
        <f t="shared" ref="AM257:BI257" si="64">SUM(AM245:AM256)</f>
        <v>0</v>
      </c>
      <c r="AN257" s="104">
        <f t="shared" si="64"/>
        <v>0</v>
      </c>
      <c r="AO257" s="104">
        <f t="shared" si="64"/>
        <v>0</v>
      </c>
      <c r="AP257" s="104">
        <f t="shared" si="64"/>
        <v>0</v>
      </c>
      <c r="AQ257" s="104">
        <f t="shared" si="64"/>
        <v>0</v>
      </c>
      <c r="AR257" s="104">
        <f t="shared" si="64"/>
        <v>0</v>
      </c>
      <c r="AS257" s="104">
        <f t="shared" si="64"/>
        <v>0</v>
      </c>
      <c r="AT257" s="104">
        <f t="shared" si="64"/>
        <v>0</v>
      </c>
      <c r="AU257" s="104">
        <f t="shared" si="64"/>
        <v>0</v>
      </c>
      <c r="AV257" s="104">
        <f t="shared" si="64"/>
        <v>0</v>
      </c>
      <c r="AW257" s="104">
        <f t="shared" si="64"/>
        <v>0</v>
      </c>
      <c r="AX257" s="104">
        <f t="shared" si="64"/>
        <v>0</v>
      </c>
      <c r="AY257" s="104">
        <f t="shared" si="64"/>
        <v>0</v>
      </c>
      <c r="AZ257" s="104">
        <f t="shared" si="64"/>
        <v>0</v>
      </c>
      <c r="BA257" s="104">
        <f t="shared" si="64"/>
        <v>0</v>
      </c>
      <c r="BB257" s="104">
        <f t="shared" si="64"/>
        <v>0</v>
      </c>
      <c r="BC257" s="104">
        <f t="shared" si="64"/>
        <v>0</v>
      </c>
      <c r="BD257" s="104">
        <f t="shared" si="64"/>
        <v>0</v>
      </c>
      <c r="BE257" s="104">
        <f t="shared" si="64"/>
        <v>0</v>
      </c>
      <c r="BF257" s="104">
        <f t="shared" si="64"/>
        <v>0</v>
      </c>
      <c r="BG257" s="104">
        <f t="shared" si="64"/>
        <v>0</v>
      </c>
      <c r="BH257" s="104">
        <f t="shared" si="64"/>
        <v>0</v>
      </c>
      <c r="BI257" s="104">
        <f t="shared" si="64"/>
        <v>0</v>
      </c>
      <c r="BJ257" s="237"/>
      <c r="BK257" s="237"/>
      <c r="BL257" s="237"/>
      <c r="BM257" s="237"/>
    </row>
    <row r="258" spans="1:65" s="190" customFormat="1" ht="12.75" hidden="1" customHeight="1" outlineLevel="2">
      <c r="A258" s="237"/>
      <c r="B258" s="37">
        <f>C270</f>
        <v>0</v>
      </c>
      <c r="C258" s="38"/>
      <c r="D258" s="39" t="s">
        <v>58</v>
      </c>
      <c r="E258" s="38"/>
      <c r="F258" s="40"/>
      <c r="G258" s="106">
        <f>IF(G$3&gt;A15remlife,A15value-SUM($F258:F258),IF(A15remlife="N/A","n/a",A15value/A15remlife))</f>
        <v>0</v>
      </c>
      <c r="H258" s="106">
        <f>IF(H$3&gt;A15remlife,A15value-SUM($F258:G258),IF(A15remlife="N/A","n/a",A15value/A15remlife))</f>
        <v>0</v>
      </c>
      <c r="I258" s="106">
        <f>IF(I$3&gt;A15remlife,A15value-SUM($F258:H258),IF(A15remlife="N/A","n/a",A15value/A15remlife))</f>
        <v>0</v>
      </c>
      <c r="J258" s="106">
        <f>IF(J$3&gt;A15remlife,A15value-SUM($F258:I258),IF(A15remlife="N/A","n/a",A15value/A15remlife))</f>
        <v>0</v>
      </c>
      <c r="K258" s="106">
        <f>IF(K$3&gt;A15remlife,A15value-SUM($F258:J258),IF(A15remlife="N/A","n/a",A15value/A15remlife))</f>
        <v>0</v>
      </c>
      <c r="L258" s="106">
        <f>IF(L$3&gt;A15remlife,A15value-SUM($F258:K258),IF(A15remlife="N/A","n/a",A15value/A15remlife))</f>
        <v>0</v>
      </c>
      <c r="M258" s="106">
        <f>IF(M$3&gt;A15remlife,A15value-SUM($F258:L258),IF(A15remlife="N/A","n/a",A15value/A15remlife))</f>
        <v>0</v>
      </c>
      <c r="N258" s="106">
        <f>IF(N$3&gt;A15remlife,A15value-SUM($F258:M258),IF(A15remlife="N/A","n/a",A15value/A15remlife))</f>
        <v>0</v>
      </c>
      <c r="O258" s="106">
        <f>IF(O$3&gt;A15remlife,A15value-SUM($F258:N258),IF(A15remlife="N/A","n/a",A15value/A15remlife))</f>
        <v>0</v>
      </c>
      <c r="P258" s="106">
        <f>IF(P$3&gt;A15remlife,A15value-SUM($F258:O258),IF(A15remlife="N/A","n/a",A15value/A15remlife))</f>
        <v>0</v>
      </c>
      <c r="Q258" s="106">
        <f>IF(Q$3&gt;A15remlife,A15value-SUM($F258:P258),IF(A15remlife="N/A","n/a",A15value/A15remlife))</f>
        <v>0</v>
      </c>
      <c r="R258" s="106">
        <f>IF(R$3&gt;A15remlife,A15value-SUM($F258:Q258),IF(A15remlife="N/A","n/a",A15value/A15remlife))</f>
        <v>0</v>
      </c>
      <c r="S258" s="106">
        <f>IF(S$3&gt;A15remlife,A15value-SUM($F258:R258),IF(A15remlife="N/A","n/a",A15value/A15remlife))</f>
        <v>0</v>
      </c>
      <c r="T258" s="106">
        <f>IF(T$3&gt;A15remlife,A15value-SUM($F258:S258),IF(A15remlife="N/A","n/a",A15value/A15remlife))</f>
        <v>0</v>
      </c>
      <c r="U258" s="106">
        <f>IF(U$3&gt;A15remlife,A15value-SUM($F258:T258),IF(A15remlife="N/A","n/a",A15value/A15remlife))</f>
        <v>0</v>
      </c>
      <c r="V258" s="106">
        <f>IF(V$3&gt;A15remlife,A15value-SUM($F258:U258),IF(A15remlife="N/A","n/a",A15value/A15remlife))</f>
        <v>0</v>
      </c>
      <c r="W258" s="106">
        <f>IF(W$3&gt;A15remlife,A15value-SUM($F258:V258),IF(A15remlife="N/A","n/a",A15value/A15remlife))</f>
        <v>0</v>
      </c>
      <c r="X258" s="106">
        <f>IF(X$3&gt;A15remlife,A15value-SUM($F258:W258),IF(A15remlife="N/A","n/a",A15value/A15remlife))</f>
        <v>0</v>
      </c>
      <c r="Y258" s="106">
        <f>IF(Y$3&gt;A15remlife,A15value-SUM($F258:X258),IF(A15remlife="N/A","n/a",A15value/A15remlife))</f>
        <v>0</v>
      </c>
      <c r="Z258" s="106">
        <f>IF(Z$3&gt;A15remlife,A15value-SUM($F258:Y258),IF(A15remlife="N/A","n/a",A15value/A15remlife))</f>
        <v>0</v>
      </c>
      <c r="AA258" s="106">
        <f>IF(AA$3&gt;A15remlife,A15value-SUM($F258:Z258),IF(A15remlife="N/A","n/a",A15value/A15remlife))</f>
        <v>0</v>
      </c>
      <c r="AB258" s="106">
        <f>IF(AB$3&gt;A15remlife,A15value-SUM($F258:AA258),IF(A15remlife="N/A","n/a",A15value/A15remlife))</f>
        <v>0</v>
      </c>
      <c r="AC258" s="106">
        <f>IF(AC$3&gt;A15remlife,A15value-SUM($F258:AB258),IF(A15remlife="N/A","n/a",A15value/A15remlife))</f>
        <v>0</v>
      </c>
      <c r="AD258" s="106">
        <f>IF(AD$3&gt;A15remlife,A15value-SUM($F258:AC258),IF(A15remlife="N/A","n/a",A15value/A15remlife))</f>
        <v>0</v>
      </c>
      <c r="AE258" s="106">
        <f>IF(AE$3&gt;A15remlife,A15value-SUM($F258:AD258),IF(A15remlife="N/A","n/a",A15value/A15remlife))</f>
        <v>0</v>
      </c>
      <c r="AF258" s="106">
        <f>IF(AF$3&gt;A15remlife,A15value-SUM($F258:AE258),IF(A15remlife="N/A","n/a",A15value/A15remlife))</f>
        <v>0</v>
      </c>
      <c r="AG258" s="106">
        <f>IF(AG$3&gt;A15remlife,A15value-SUM($F258:AF258),IF(A15remlife="N/A","n/a",A15value/A15remlife))</f>
        <v>0</v>
      </c>
      <c r="AH258" s="106">
        <f>IF(AH$3&gt;A15remlife,A15value-SUM($F258:AG258),IF(A15remlife="N/A","n/a",A15value/A15remlife))</f>
        <v>0</v>
      </c>
      <c r="AI258" s="106">
        <f>IF(AI$3&gt;A15remlife,A15value-SUM($F258:AH258),IF(A15remlife="N/A","n/a",A15value/A15remlife))</f>
        <v>0</v>
      </c>
      <c r="AJ258" s="106">
        <f>IF(AJ$3&gt;A15remlife,A15value-SUM($F258:AI258),IF(A15remlife="N/A","n/a",A15value/A15remlife))</f>
        <v>0</v>
      </c>
      <c r="AK258" s="106">
        <f>IF(AK$3&gt;A15remlife,A15value-SUM($F258:AJ258),IF(A15remlife="N/A","n/a",A15value/A15remlife))</f>
        <v>0</v>
      </c>
      <c r="AL258" s="106">
        <f>IF(AL$3&gt;A15remlife,A15value-SUM($F258:AK258),IF(A15remlife="N/A","n/a",A15value/A15remlife))</f>
        <v>0</v>
      </c>
      <c r="AM258" s="106">
        <f>IF(AM$3&gt;A15remlife,A15value-SUM($F258:AL258),IF(A15remlife="N/A","n/a",A15value/A15remlife))</f>
        <v>0</v>
      </c>
      <c r="AN258" s="106">
        <f>IF(AN$3&gt;A15remlife,A15value-SUM($F258:AM258),IF(A15remlife="N/A","n/a",A15value/A15remlife))</f>
        <v>0</v>
      </c>
      <c r="AO258" s="106">
        <f>IF(AO$3&gt;A15remlife,A15value-SUM($F258:AN258),IF(A15remlife="N/A","n/a",A15value/A15remlife))</f>
        <v>0</v>
      </c>
      <c r="AP258" s="106">
        <f>IF(AP$3&gt;A15remlife,A15value-SUM($F258:AO258),IF(A15remlife="N/A","n/a",A15value/A15remlife))</f>
        <v>0</v>
      </c>
      <c r="AQ258" s="106">
        <f>IF(AQ$3&gt;A15remlife,A15value-SUM($F258:AP258),IF(A15remlife="N/A","n/a",A15value/A15remlife))</f>
        <v>0</v>
      </c>
      <c r="AR258" s="106">
        <f>IF(AR$3&gt;A15remlife,A15value-SUM($F258:AQ258),IF(A15remlife="N/A","n/a",A15value/A15remlife))</f>
        <v>0</v>
      </c>
      <c r="AS258" s="106">
        <f>IF(AS$3&gt;A15remlife,A15value-SUM($F258:AR258),IF(A15remlife="N/A","n/a",A15value/A15remlife))</f>
        <v>0</v>
      </c>
      <c r="AT258" s="106">
        <f>IF(AT$3&gt;A15remlife,A15value-SUM($F258:AS258),IF(A15remlife="N/A","n/a",A15value/A15remlife))</f>
        <v>0</v>
      </c>
      <c r="AU258" s="106">
        <f>IF(AU$3&gt;A15remlife,A15value-SUM($F258:AT258),IF(A15remlife="N/A","n/a",A15value/A15remlife))</f>
        <v>0</v>
      </c>
      <c r="AV258" s="106">
        <f>IF(AV$3&gt;A15remlife,A15value-SUM($F258:AU258),IF(A15remlife="N/A","n/a",A15value/A15remlife))</f>
        <v>0</v>
      </c>
      <c r="AW258" s="106">
        <f>IF(AW$3&gt;A15remlife,A15value-SUM($F258:AV258),IF(A15remlife="N/A","n/a",A15value/A15remlife))</f>
        <v>0</v>
      </c>
      <c r="AX258" s="106">
        <f>IF(AX$3&gt;A15remlife,A15value-SUM($F258:AW258),IF(A15remlife="N/A","n/a",A15value/A15remlife))</f>
        <v>0</v>
      </c>
      <c r="AY258" s="106">
        <f>IF(AY$3&gt;A15remlife,A15value-SUM($F258:AX258),IF(A15remlife="N/A","n/a",A15value/A15remlife))</f>
        <v>0</v>
      </c>
      <c r="AZ258" s="106">
        <f>IF(AZ$3&gt;A15remlife,A15value-SUM($F258:AY258),IF(A15remlife="N/A","n/a",A15value/A15remlife))</f>
        <v>0</v>
      </c>
      <c r="BA258" s="106">
        <f>IF(BA$3&gt;A15remlife,A15value-SUM($F258:AZ258),IF(A15remlife="N/A","n/a",A15value/A15remlife))</f>
        <v>0</v>
      </c>
      <c r="BB258" s="106">
        <f>IF(BB$3&gt;A15remlife,A15value-SUM($F258:BA258),IF(A15remlife="N/A","n/a",A15value/A15remlife))</f>
        <v>0</v>
      </c>
      <c r="BC258" s="106">
        <f>IF(BC$3&gt;A15remlife,A15value-SUM($F258:BB258),IF(A15remlife="N/A","n/a",A15value/A15remlife))</f>
        <v>0</v>
      </c>
      <c r="BD258" s="106">
        <f>IF(BD$3&gt;A15remlife,A15value-SUM($F258:BC258),IF(A15remlife="N/A","n/a",A15value/A15remlife))</f>
        <v>0</v>
      </c>
      <c r="BE258" s="106">
        <f>IF(BE$3&gt;A15remlife,A15value-SUM($F258:BD258),IF(A15remlife="N/A","n/a",A15value/A15remlife))</f>
        <v>0</v>
      </c>
      <c r="BF258" s="106">
        <f>IF(BF$3&gt;A15remlife,A15value-SUM($F258:BE258),IF(A15remlife="N/A","n/a",A15value/A15remlife))</f>
        <v>0</v>
      </c>
      <c r="BG258" s="106">
        <f>IF(BG$3&gt;A15remlife,A15value-SUM($F258:BF258),IF(A15remlife="N/A","n/a",A15value/A15remlife))</f>
        <v>0</v>
      </c>
      <c r="BH258" s="106">
        <f>IF(BH$3&gt;A15remlife,A15value-SUM($F258:BG258),IF(A15remlife="N/A","n/a",A15value/A15remlife))</f>
        <v>0</v>
      </c>
      <c r="BI258" s="106">
        <f>IF(BI$3&gt;A15remlife,A15value-SUM($F258:BH258),IF(A15remlife="N/A","n/a",A15value/A15remlife))</f>
        <v>0</v>
      </c>
      <c r="BJ258" s="237"/>
      <c r="BK258" s="237"/>
      <c r="BL258" s="237"/>
      <c r="BM258" s="237"/>
    </row>
    <row r="259" spans="1:65" s="190" customFormat="1" ht="12.75" hidden="1" customHeight="1" outlineLevel="2">
      <c r="A259" s="237"/>
      <c r="B259" s="33"/>
      <c r="C259" s="32"/>
      <c r="D259" s="1618" t="s">
        <v>357</v>
      </c>
      <c r="E259" s="169">
        <v>0</v>
      </c>
      <c r="F259" s="35"/>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237"/>
      <c r="BK259" s="237"/>
      <c r="BL259" s="237"/>
      <c r="BM259" s="237"/>
    </row>
    <row r="260" spans="1:65" s="190" customFormat="1" hidden="1" outlineLevel="2">
      <c r="A260" s="237"/>
      <c r="B260" s="33"/>
      <c r="C260" s="32"/>
      <c r="D260" s="1618"/>
      <c r="E260" s="169">
        <v>1</v>
      </c>
      <c r="F260" s="35"/>
      <c r="G260" s="183"/>
      <c r="H260" s="107">
        <f>IF(A15stdlife="n/a","n/a",IF(H$3&gt;(A15stdlife+$E260),('PTRM input'!$G$157*(1+rvanilla01)^0.5)-SUM($G260:G260),('PTRM input'!$G$157*(1+rvanilla01)^0.5)/A15stdlife))</f>
        <v>0</v>
      </c>
      <c r="I260" s="107">
        <f>IF(A15stdlife="n/a","n/a",IF(I$3&gt;(A15stdlife+$E260),('PTRM input'!$G$157*(1+rvanilla01)^0.5)-SUM($G260:H260),('PTRM input'!$G$157*(1+rvanilla01)^0.5)/A15stdlife))</f>
        <v>0</v>
      </c>
      <c r="J260" s="107">
        <f>IF(A15stdlife="n/a","n/a",IF(J$3&gt;(A15stdlife+$E260),('PTRM input'!$G$157*(1+rvanilla01)^0.5)-SUM($G260:I260),('PTRM input'!$G$157*(1+rvanilla01)^0.5)/A15stdlife))</f>
        <v>0</v>
      </c>
      <c r="K260" s="107">
        <f>IF(A15stdlife="n/a","n/a",IF(K$3&gt;(A15stdlife+$E260),('PTRM input'!$G$157*(1+rvanilla01)^0.5)-SUM($G260:J260),('PTRM input'!$G$157*(1+rvanilla01)^0.5)/A15stdlife))</f>
        <v>0</v>
      </c>
      <c r="L260" s="107">
        <f>IF(A15stdlife="n/a","n/a",IF(L$3&gt;(A15stdlife+$E260),('PTRM input'!$G$157*(1+rvanilla01)^0.5)-SUM($G260:K260),('PTRM input'!$G$157*(1+rvanilla01)^0.5)/A15stdlife))</f>
        <v>0</v>
      </c>
      <c r="M260" s="107">
        <f>IF(A15stdlife="n/a","n/a",IF(M$3&gt;(A15stdlife+$E260),('PTRM input'!$G$157*(1+rvanilla01)^0.5)-SUM($G260:L260),('PTRM input'!$G$157*(1+rvanilla01)^0.5)/A15stdlife))</f>
        <v>0</v>
      </c>
      <c r="N260" s="107">
        <f>IF(A15stdlife="n/a","n/a",IF(N$3&gt;(A15stdlife+$E260),('PTRM input'!$G$157*(1+rvanilla01)^0.5)-SUM($G260:M260),('PTRM input'!$G$157*(1+rvanilla01)^0.5)/A15stdlife))</f>
        <v>0</v>
      </c>
      <c r="O260" s="107">
        <f>IF(A15stdlife="n/a","n/a",IF(O$3&gt;(A15stdlife+$E260),('PTRM input'!$G$157*(1+rvanilla01)^0.5)-SUM($G260:N260),('PTRM input'!$G$157*(1+rvanilla01)^0.5)/A15stdlife))</f>
        <v>0</v>
      </c>
      <c r="P260" s="107">
        <f>IF(A15stdlife="n/a","n/a",IF(P$3&gt;(A15stdlife+$E260),('PTRM input'!$G$157*(1+rvanilla01)^0.5)-SUM($G260:O260),('PTRM input'!$G$157*(1+rvanilla01)^0.5)/A15stdlife))</f>
        <v>0</v>
      </c>
      <c r="Q260" s="107">
        <f>IF(A15stdlife="n/a","n/a",IF(Q$3&gt;(A15stdlife+$E260),('PTRM input'!$G$157*(1+rvanilla01)^0.5)-SUM($G260:P260),('PTRM input'!$G$157*(1+rvanilla01)^0.5)/A15stdlife))</f>
        <v>0</v>
      </c>
      <c r="R260" s="107">
        <f>IF(A15stdlife="n/a","n/a",IF(R$3&gt;(A15stdlife+$E260),('PTRM input'!$G$157*(1+rvanilla01)^0.5)-SUM($G260:Q260),('PTRM input'!$G$157*(1+rvanilla01)^0.5)/A15stdlife))</f>
        <v>0</v>
      </c>
      <c r="S260" s="107">
        <f>IF(A15stdlife="n/a","n/a",IF(S$3&gt;(A15stdlife+$E260),('PTRM input'!$G$157*(1+rvanilla01)^0.5)-SUM($G260:R260),('PTRM input'!$G$157*(1+rvanilla01)^0.5)/A15stdlife))</f>
        <v>0</v>
      </c>
      <c r="T260" s="107">
        <f>IF(A15stdlife="n/a","n/a",IF(T$3&gt;(A15stdlife+$E260),('PTRM input'!$G$157*(1+rvanilla01)^0.5)-SUM($G260:S260),('PTRM input'!$G$157*(1+rvanilla01)^0.5)/A15stdlife))</f>
        <v>0</v>
      </c>
      <c r="U260" s="107">
        <f>IF(A15stdlife="n/a","n/a",IF(U$3&gt;(A15stdlife+$E260),('PTRM input'!$G$157*(1+rvanilla01)^0.5)-SUM($G260:T260),('PTRM input'!$G$157*(1+rvanilla01)^0.5)/A15stdlife))</f>
        <v>0</v>
      </c>
      <c r="V260" s="107">
        <f>IF(A15stdlife="n/a","n/a",IF(V$3&gt;(A15stdlife+$E260),('PTRM input'!$G$157*(1+rvanilla01)^0.5)-SUM($G260:U260),('PTRM input'!$G$157*(1+rvanilla01)^0.5)/A15stdlife))</f>
        <v>0</v>
      </c>
      <c r="W260" s="107">
        <f>IF(A15stdlife="n/a","n/a",IF(W$3&gt;(A15stdlife+$E260),('PTRM input'!$G$157*(1+rvanilla01)^0.5)-SUM($G260:V260),('PTRM input'!$G$157*(1+rvanilla01)^0.5)/A15stdlife))</f>
        <v>0</v>
      </c>
      <c r="X260" s="107">
        <f>IF(A15stdlife="n/a","n/a",IF(X$3&gt;(A15stdlife+$E260),('PTRM input'!$G$157*(1+rvanilla01)^0.5)-SUM($G260:W260),('PTRM input'!$G$157*(1+rvanilla01)^0.5)/A15stdlife))</f>
        <v>0</v>
      </c>
      <c r="Y260" s="107">
        <f>IF(A15stdlife="n/a","n/a",IF(Y$3&gt;(A15stdlife+$E260),('PTRM input'!$G$157*(1+rvanilla01)^0.5)-SUM($G260:X260),('PTRM input'!$G$157*(1+rvanilla01)^0.5)/A15stdlife))</f>
        <v>0</v>
      </c>
      <c r="Z260" s="107">
        <f>IF(A15stdlife="n/a","n/a",IF(Z$3&gt;(A15stdlife+$E260),('PTRM input'!$G$157*(1+rvanilla01)^0.5)-SUM($G260:Y260),('PTRM input'!$G$157*(1+rvanilla01)^0.5)/A15stdlife))</f>
        <v>0</v>
      </c>
      <c r="AA260" s="107">
        <f>IF(A15stdlife="n/a","n/a",IF(AA$3&gt;(A15stdlife+$E260),('PTRM input'!$G$157*(1+rvanilla01)^0.5)-SUM($G260:Z260),('PTRM input'!$G$157*(1+rvanilla01)^0.5)/A15stdlife))</f>
        <v>0</v>
      </c>
      <c r="AB260" s="107">
        <f>IF(A15stdlife="n/a","n/a",IF(AB$3&gt;(A15stdlife+$E260),('PTRM input'!$G$157*(1+rvanilla01)^0.5)-SUM($G260:AA260),('PTRM input'!$G$157*(1+rvanilla01)^0.5)/A15stdlife))</f>
        <v>0</v>
      </c>
      <c r="AC260" s="107">
        <f>IF(A15stdlife="n/a","n/a",IF(AC$3&gt;(A15stdlife+$E260),('PTRM input'!$G$157*(1+rvanilla01)^0.5)-SUM($G260:AB260),('PTRM input'!$G$157*(1+rvanilla01)^0.5)/A15stdlife))</f>
        <v>0</v>
      </c>
      <c r="AD260" s="107">
        <f>IF(A15stdlife="n/a","n/a",IF(AD$3&gt;(A15stdlife+$E260),('PTRM input'!$G$157*(1+rvanilla01)^0.5)-SUM($G260:AC260),('PTRM input'!$G$157*(1+rvanilla01)^0.5)/A15stdlife))</f>
        <v>0</v>
      </c>
      <c r="AE260" s="107">
        <f>IF(A15stdlife="n/a","n/a",IF(AE$3&gt;(A15stdlife+$E260),('PTRM input'!$G$157*(1+rvanilla01)^0.5)-SUM($G260:AD260),('PTRM input'!$G$157*(1+rvanilla01)^0.5)/A15stdlife))</f>
        <v>0</v>
      </c>
      <c r="AF260" s="107">
        <f>IF(A15stdlife="n/a","n/a",IF(AF$3&gt;(A15stdlife+$E260),('PTRM input'!$G$157*(1+rvanilla01)^0.5)-SUM($G260:AE260),('PTRM input'!$G$157*(1+rvanilla01)^0.5)/A15stdlife))</f>
        <v>0</v>
      </c>
      <c r="AG260" s="107">
        <f>IF(A15stdlife="n/a","n/a",IF(AG$3&gt;(A15stdlife+$E260),('PTRM input'!$G$157*(1+rvanilla01)^0.5)-SUM($G260:AF260),('PTRM input'!$G$157*(1+rvanilla01)^0.5)/A15stdlife))</f>
        <v>0</v>
      </c>
      <c r="AH260" s="107">
        <f>IF(A15stdlife="n/a","n/a",IF(AH$3&gt;(A15stdlife+$E260),('PTRM input'!$G$157*(1+rvanilla01)^0.5)-SUM($G260:AG260),('PTRM input'!$G$157*(1+rvanilla01)^0.5)/A15stdlife))</f>
        <v>0</v>
      </c>
      <c r="AI260" s="107">
        <f>IF(A15stdlife="n/a","n/a",IF(AI$3&gt;(A15stdlife+$E260),('PTRM input'!$G$157*(1+rvanilla01)^0.5)-SUM($G260:AH260),('PTRM input'!$G$157*(1+rvanilla01)^0.5)/A15stdlife))</f>
        <v>0</v>
      </c>
      <c r="AJ260" s="107">
        <f>IF(A15stdlife="n/a","n/a",IF(AJ$3&gt;(A15stdlife+$E260),('PTRM input'!$G$157*(1+rvanilla01)^0.5)-SUM($G260:AI260),('PTRM input'!$G$157*(1+rvanilla01)^0.5)/A15stdlife))</f>
        <v>0</v>
      </c>
      <c r="AK260" s="107">
        <f>IF(A15stdlife="n/a","n/a",IF(AK$3&gt;(A15stdlife+$E260),('PTRM input'!$G$157*(1+rvanilla01)^0.5)-SUM($G260:AJ260),('PTRM input'!$G$157*(1+rvanilla01)^0.5)/A15stdlife))</f>
        <v>0</v>
      </c>
      <c r="AL260" s="107">
        <f>IF(A15stdlife="n/a","n/a",IF(AL$3&gt;(A15stdlife+$E260),('PTRM input'!$G$157*(1+rvanilla01)^0.5)-SUM($G260:AK260),('PTRM input'!$G$157*(1+rvanilla01)^0.5)/A15stdlife))</f>
        <v>0</v>
      </c>
      <c r="AM260" s="107">
        <f>IF(A15stdlife="n/a","n/a",IF(AM$3&gt;(A15stdlife+$E260),('PTRM input'!$G$157*(1+rvanilla01)^0.5)-SUM($G260:AL260),('PTRM input'!$G$157*(1+rvanilla01)^0.5)/A15stdlife))</f>
        <v>0</v>
      </c>
      <c r="AN260" s="107">
        <f>IF(A15stdlife="n/a","n/a",IF(AN$3&gt;(A15stdlife+$E260),('PTRM input'!$G$157*(1+rvanilla01)^0.5)-SUM($G260:AM260),('PTRM input'!$G$157*(1+rvanilla01)^0.5)/A15stdlife))</f>
        <v>0</v>
      </c>
      <c r="AO260" s="107">
        <f>IF(A15stdlife="n/a","n/a",IF(AO$3&gt;(A15stdlife+$E260),('PTRM input'!$G$157*(1+rvanilla01)^0.5)-SUM($G260:AN260),('PTRM input'!$G$157*(1+rvanilla01)^0.5)/A15stdlife))</f>
        <v>0</v>
      </c>
      <c r="AP260" s="107">
        <f>IF(A15stdlife="n/a","n/a",IF(AP$3&gt;(A15stdlife+$E260),('PTRM input'!$G$157*(1+rvanilla01)^0.5)-SUM($G260:AO260),('PTRM input'!$G$157*(1+rvanilla01)^0.5)/A15stdlife))</f>
        <v>0</v>
      </c>
      <c r="AQ260" s="107">
        <f>IF(A15stdlife="n/a","n/a",IF(AQ$3&gt;(A15stdlife+$E260),('PTRM input'!$G$157*(1+rvanilla01)^0.5)-SUM($G260:AP260),('PTRM input'!$G$157*(1+rvanilla01)^0.5)/A15stdlife))</f>
        <v>0</v>
      </c>
      <c r="AR260" s="107">
        <f>IF(A15stdlife="n/a","n/a",IF(AR$3&gt;(A15stdlife+$E260),('PTRM input'!$G$157*(1+rvanilla01)^0.5)-SUM($G260:AQ260),('PTRM input'!$G$157*(1+rvanilla01)^0.5)/A15stdlife))</f>
        <v>0</v>
      </c>
      <c r="AS260" s="107">
        <f>IF(A15stdlife="n/a","n/a",IF(AS$3&gt;(A15stdlife+$E260),('PTRM input'!$G$157*(1+rvanilla01)^0.5)-SUM($G260:AR260),('PTRM input'!$G$157*(1+rvanilla01)^0.5)/A15stdlife))</f>
        <v>0</v>
      </c>
      <c r="AT260" s="107">
        <f>IF(A15stdlife="n/a","n/a",IF(AT$3&gt;(A15stdlife+$E260),('PTRM input'!$G$157*(1+rvanilla01)^0.5)-SUM($G260:AS260),('PTRM input'!$G$157*(1+rvanilla01)^0.5)/A15stdlife))</f>
        <v>0</v>
      </c>
      <c r="AU260" s="107">
        <f>IF(A15stdlife="n/a","n/a",IF(AU$3&gt;(A15stdlife+$E260),('PTRM input'!$G$157*(1+rvanilla01)^0.5)-SUM($G260:AT260),('PTRM input'!$G$157*(1+rvanilla01)^0.5)/A15stdlife))</f>
        <v>0</v>
      </c>
      <c r="AV260" s="107">
        <f>IF(A15stdlife="n/a","n/a",IF(AV$3&gt;(A15stdlife+$E260),('PTRM input'!$G$157*(1+rvanilla01)^0.5)-SUM($G260:AU260),('PTRM input'!$G$157*(1+rvanilla01)^0.5)/A15stdlife))</f>
        <v>0</v>
      </c>
      <c r="AW260" s="107">
        <f>IF(A15stdlife="n/a","n/a",IF(AW$3&gt;(A15stdlife+$E260),('PTRM input'!$G$157*(1+rvanilla01)^0.5)-SUM($G260:AV260),('PTRM input'!$G$157*(1+rvanilla01)^0.5)/A15stdlife))</f>
        <v>0</v>
      </c>
      <c r="AX260" s="107">
        <f>IF(A15stdlife="n/a","n/a",IF(AX$3&gt;(A15stdlife+$E260),('PTRM input'!$G$157*(1+rvanilla01)^0.5)-SUM($G260:AW260),('PTRM input'!$G$157*(1+rvanilla01)^0.5)/A15stdlife))</f>
        <v>0</v>
      </c>
      <c r="AY260" s="107">
        <f>IF(A15stdlife="n/a","n/a",IF(AY$3&gt;(A15stdlife+$E260),('PTRM input'!$G$157*(1+rvanilla01)^0.5)-SUM($G260:AX260),('PTRM input'!$G$157*(1+rvanilla01)^0.5)/A15stdlife))</f>
        <v>0</v>
      </c>
      <c r="AZ260" s="107">
        <f>IF(A15stdlife="n/a","n/a",IF(AZ$3&gt;(A15stdlife+$E260),('PTRM input'!$G$157*(1+rvanilla01)^0.5)-SUM($G260:AY260),('PTRM input'!$G$157*(1+rvanilla01)^0.5)/A15stdlife))</f>
        <v>0</v>
      </c>
      <c r="BA260" s="107">
        <f>IF(A15stdlife="n/a","n/a",IF(BA$3&gt;(A15stdlife+$E260),('PTRM input'!$G$157*(1+rvanilla01)^0.5)-SUM($G260:AZ260),('PTRM input'!$G$157*(1+rvanilla01)^0.5)/A15stdlife))</f>
        <v>0</v>
      </c>
      <c r="BB260" s="107">
        <f>IF(A15stdlife="n/a","n/a",IF(BB$3&gt;(A15stdlife+$E260),('PTRM input'!$G$157*(1+rvanilla01)^0.5)-SUM($G260:BA260),('PTRM input'!$G$157*(1+rvanilla01)^0.5)/A15stdlife))</f>
        <v>0</v>
      </c>
      <c r="BC260" s="107">
        <f>IF(A15stdlife="n/a","n/a",IF(BC$3&gt;(A15stdlife+$E260),('PTRM input'!$G$157*(1+rvanilla01)^0.5)-SUM($G260:BB260),('PTRM input'!$G$157*(1+rvanilla01)^0.5)/A15stdlife))</f>
        <v>0</v>
      </c>
      <c r="BD260" s="107">
        <f>IF(A15stdlife="n/a","n/a",IF(BD$3&gt;(A15stdlife+$E260),('PTRM input'!$G$157*(1+rvanilla01)^0.5)-SUM($G260:BC260),('PTRM input'!$G$157*(1+rvanilla01)^0.5)/A15stdlife))</f>
        <v>0</v>
      </c>
      <c r="BE260" s="107">
        <f>IF(A15stdlife="n/a","n/a",IF(BE$3&gt;(A15stdlife+$E260),('PTRM input'!$G$157*(1+rvanilla01)^0.5)-SUM($G260:BD260),('PTRM input'!$G$157*(1+rvanilla01)^0.5)/A15stdlife))</f>
        <v>0</v>
      </c>
      <c r="BF260" s="107">
        <f>IF(A15stdlife="n/a","n/a",IF(BF$3&gt;(A15stdlife+$E260),('PTRM input'!$G$157*(1+rvanilla01)^0.5)-SUM($G260:BE260),('PTRM input'!$G$157*(1+rvanilla01)^0.5)/A15stdlife))</f>
        <v>0</v>
      </c>
      <c r="BG260" s="107">
        <f>IF(A15stdlife="n/a","n/a",IF(BG$3&gt;(A15stdlife+$E260),('PTRM input'!$G$157*(1+rvanilla01)^0.5)-SUM($G260:BF260),('PTRM input'!$G$157*(1+rvanilla01)^0.5)/A15stdlife))</f>
        <v>0</v>
      </c>
      <c r="BH260" s="107">
        <f>IF(A15stdlife="n/a","n/a",IF(BH$3&gt;(A15stdlife+$E260),('PTRM input'!$G$157*(1+rvanilla01)^0.5)-SUM($G260:BG260),('PTRM input'!$G$157*(1+rvanilla01)^0.5)/A15stdlife))</f>
        <v>0</v>
      </c>
      <c r="BI260" s="107">
        <f>IF(A15stdlife="n/a","n/a",IF(BI$3&gt;(A15stdlife+$E260),('PTRM input'!$G$157*(1+rvanilla01)^0.5)-SUM($G260:BH260),('PTRM input'!$G$157*(1+rvanilla01)^0.5)/A15stdlife))</f>
        <v>0</v>
      </c>
      <c r="BJ260" s="237"/>
      <c r="BK260" s="237"/>
      <c r="BL260" s="237"/>
      <c r="BM260" s="237"/>
    </row>
    <row r="261" spans="1:65" s="190" customFormat="1" hidden="1" outlineLevel="2">
      <c r="A261" s="237"/>
      <c r="B261" s="33"/>
      <c r="C261" s="32"/>
      <c r="D261" s="1618"/>
      <c r="E261" s="169">
        <v>2</v>
      </c>
      <c r="F261" s="35"/>
      <c r="G261" s="184"/>
      <c r="H261" s="185"/>
      <c r="I261" s="107">
        <f>IF(A15stdlife="n/a","n/a",IF(I$3&gt;(A15stdlife+$E261),('PTRM input'!$H$157*(1+rvanilla02)^0.5)-SUM($H261:H261),('PTRM input'!$H$157*(1+rvanilla02)^0.5)/A15stdlife))</f>
        <v>0</v>
      </c>
      <c r="J261" s="107">
        <f>IF(A15stdlife="n/a","n/a",IF(J$3&gt;(A15stdlife+$E261),('PTRM input'!$H$157*(1+rvanilla02)^0.5)-SUM($H261:I261),('PTRM input'!$H$157*(1+rvanilla02)^0.5)/A15stdlife))</f>
        <v>0</v>
      </c>
      <c r="K261" s="107">
        <f>IF(A15stdlife="n/a","n/a",IF(K$3&gt;(A15stdlife+$E261),('PTRM input'!$H$157*(1+rvanilla02)^0.5)-SUM($H261:J261),('PTRM input'!$H$157*(1+rvanilla02)^0.5)/A15stdlife))</f>
        <v>0</v>
      </c>
      <c r="L261" s="107">
        <f>IF(A15stdlife="n/a","n/a",IF(L$3&gt;(A15stdlife+$E261),('PTRM input'!$H$157*(1+rvanilla02)^0.5)-SUM($H261:K261),('PTRM input'!$H$157*(1+rvanilla02)^0.5)/A15stdlife))</f>
        <v>0</v>
      </c>
      <c r="M261" s="107">
        <f>IF(A15stdlife="n/a","n/a",IF(M$3&gt;(A15stdlife+$E261),('PTRM input'!$H$157*(1+rvanilla02)^0.5)-SUM($H261:L261),('PTRM input'!$H$157*(1+rvanilla02)^0.5)/A15stdlife))</f>
        <v>0</v>
      </c>
      <c r="N261" s="107">
        <f>IF(A15stdlife="n/a","n/a",IF(N$3&gt;(A15stdlife+$E261),('PTRM input'!$H$157*(1+rvanilla02)^0.5)-SUM($H261:M261),('PTRM input'!$H$157*(1+rvanilla02)^0.5)/A15stdlife))</f>
        <v>0</v>
      </c>
      <c r="O261" s="107">
        <f>IF(A15stdlife="n/a","n/a",IF(O$3&gt;(A15stdlife+$E261),('PTRM input'!$H$157*(1+rvanilla02)^0.5)-SUM($H261:N261),('PTRM input'!$H$157*(1+rvanilla02)^0.5)/A15stdlife))</f>
        <v>0</v>
      </c>
      <c r="P261" s="107">
        <f>IF(A15stdlife="n/a","n/a",IF(P$3&gt;(A15stdlife+$E261),('PTRM input'!$H$157*(1+rvanilla02)^0.5)-SUM($H261:O261),('PTRM input'!$H$157*(1+rvanilla02)^0.5)/A15stdlife))</f>
        <v>0</v>
      </c>
      <c r="Q261" s="107">
        <f>IF(A15stdlife="n/a","n/a",IF(Q$3&gt;(A15stdlife+$E261),('PTRM input'!$H$157*(1+rvanilla02)^0.5)-SUM($H261:P261),('PTRM input'!$H$157*(1+rvanilla02)^0.5)/A15stdlife))</f>
        <v>0</v>
      </c>
      <c r="R261" s="107">
        <f>IF(A15stdlife="n/a","n/a",IF(R$3&gt;(A15stdlife+$E261),('PTRM input'!$H$157*(1+rvanilla02)^0.5)-SUM($H261:Q261),('PTRM input'!$H$157*(1+rvanilla02)^0.5)/A15stdlife))</f>
        <v>0</v>
      </c>
      <c r="S261" s="107">
        <f>IF(A15stdlife="n/a","n/a",IF(S$3&gt;(A15stdlife+$E261),('PTRM input'!$H$157*(1+rvanilla02)^0.5)-SUM($H261:R261),('PTRM input'!$H$157*(1+rvanilla02)^0.5)/A15stdlife))</f>
        <v>0</v>
      </c>
      <c r="T261" s="107">
        <f>IF(A15stdlife="n/a","n/a",IF(T$3&gt;(A15stdlife+$E261),('PTRM input'!$H$157*(1+rvanilla02)^0.5)-SUM($H261:S261),('PTRM input'!$H$157*(1+rvanilla02)^0.5)/A15stdlife))</f>
        <v>0</v>
      </c>
      <c r="U261" s="107">
        <f>IF(A15stdlife="n/a","n/a",IF(U$3&gt;(A15stdlife+$E261),('PTRM input'!$H$157*(1+rvanilla02)^0.5)-SUM($H261:T261),('PTRM input'!$H$157*(1+rvanilla02)^0.5)/A15stdlife))</f>
        <v>0</v>
      </c>
      <c r="V261" s="107">
        <f>IF(A15stdlife="n/a","n/a",IF(V$3&gt;(A15stdlife+$E261),('PTRM input'!$H$157*(1+rvanilla02)^0.5)-SUM($H261:U261),('PTRM input'!$H$157*(1+rvanilla02)^0.5)/A15stdlife))</f>
        <v>0</v>
      </c>
      <c r="W261" s="107">
        <f>IF(A15stdlife="n/a","n/a",IF(W$3&gt;(A15stdlife+$E261),('PTRM input'!$H$157*(1+rvanilla02)^0.5)-SUM($H261:V261),('PTRM input'!$H$157*(1+rvanilla02)^0.5)/A15stdlife))</f>
        <v>0</v>
      </c>
      <c r="X261" s="107">
        <f>IF(A15stdlife="n/a","n/a",IF(X$3&gt;(A15stdlife+$E261),('PTRM input'!$H$157*(1+rvanilla02)^0.5)-SUM($H261:W261),('PTRM input'!$H$157*(1+rvanilla02)^0.5)/A15stdlife))</f>
        <v>0</v>
      </c>
      <c r="Y261" s="107">
        <f>IF(A15stdlife="n/a","n/a",IF(Y$3&gt;(A15stdlife+$E261),('PTRM input'!$H$157*(1+rvanilla02)^0.5)-SUM($H261:X261),('PTRM input'!$H$157*(1+rvanilla02)^0.5)/A15stdlife))</f>
        <v>0</v>
      </c>
      <c r="Z261" s="107">
        <f>IF(A15stdlife="n/a","n/a",IF(Z$3&gt;(A15stdlife+$E261),('PTRM input'!$H$157*(1+rvanilla02)^0.5)-SUM($H261:Y261),('PTRM input'!$H$157*(1+rvanilla02)^0.5)/A15stdlife))</f>
        <v>0</v>
      </c>
      <c r="AA261" s="107">
        <f>IF(A15stdlife="n/a","n/a",IF(AA$3&gt;(A15stdlife+$E261),('PTRM input'!$H$157*(1+rvanilla02)^0.5)-SUM($H261:Z261),('PTRM input'!$H$157*(1+rvanilla02)^0.5)/A15stdlife))</f>
        <v>0</v>
      </c>
      <c r="AB261" s="107">
        <f>IF(A15stdlife="n/a","n/a",IF(AB$3&gt;(A15stdlife+$E261),('PTRM input'!$H$157*(1+rvanilla02)^0.5)-SUM($H261:AA261),('PTRM input'!$H$157*(1+rvanilla02)^0.5)/A15stdlife))</f>
        <v>0</v>
      </c>
      <c r="AC261" s="107">
        <f>IF(A15stdlife="n/a","n/a",IF(AC$3&gt;(A15stdlife+$E261),('PTRM input'!$H$157*(1+rvanilla02)^0.5)-SUM($H261:AB261),('PTRM input'!$H$157*(1+rvanilla02)^0.5)/A15stdlife))</f>
        <v>0</v>
      </c>
      <c r="AD261" s="107">
        <f>IF(A15stdlife="n/a","n/a",IF(AD$3&gt;(A15stdlife+$E261),('PTRM input'!$H$157*(1+rvanilla02)^0.5)-SUM($H261:AC261),('PTRM input'!$H$157*(1+rvanilla02)^0.5)/A15stdlife))</f>
        <v>0</v>
      </c>
      <c r="AE261" s="107">
        <f>IF(A15stdlife="n/a","n/a",IF(AE$3&gt;(A15stdlife+$E261),('PTRM input'!$H$157*(1+rvanilla02)^0.5)-SUM($H261:AD261),('PTRM input'!$H$157*(1+rvanilla02)^0.5)/A15stdlife))</f>
        <v>0</v>
      </c>
      <c r="AF261" s="107">
        <f>IF(A15stdlife="n/a","n/a",IF(AF$3&gt;(A15stdlife+$E261),('PTRM input'!$H$157*(1+rvanilla02)^0.5)-SUM($H261:AE261),('PTRM input'!$H$157*(1+rvanilla02)^0.5)/A15stdlife))</f>
        <v>0</v>
      </c>
      <c r="AG261" s="107">
        <f>IF(A15stdlife="n/a","n/a",IF(AG$3&gt;(A15stdlife+$E261),('PTRM input'!$H$157*(1+rvanilla02)^0.5)-SUM($H261:AF261),('PTRM input'!$H$157*(1+rvanilla02)^0.5)/A15stdlife))</f>
        <v>0</v>
      </c>
      <c r="AH261" s="107">
        <f>IF(A15stdlife="n/a","n/a",IF(AH$3&gt;(A15stdlife+$E261),('PTRM input'!$H$157*(1+rvanilla02)^0.5)-SUM($H261:AG261),('PTRM input'!$H$157*(1+rvanilla02)^0.5)/A15stdlife))</f>
        <v>0</v>
      </c>
      <c r="AI261" s="107">
        <f>IF(A15stdlife="n/a","n/a",IF(AI$3&gt;(A15stdlife+$E261),('PTRM input'!$H$157*(1+rvanilla02)^0.5)-SUM($H261:AH261),('PTRM input'!$H$157*(1+rvanilla02)^0.5)/A15stdlife))</f>
        <v>0</v>
      </c>
      <c r="AJ261" s="107">
        <f>IF(A15stdlife="n/a","n/a",IF(AJ$3&gt;(A15stdlife+$E261),('PTRM input'!$H$157*(1+rvanilla02)^0.5)-SUM($H261:AI261),('PTRM input'!$H$157*(1+rvanilla02)^0.5)/A15stdlife))</f>
        <v>0</v>
      </c>
      <c r="AK261" s="107">
        <f>IF(A15stdlife="n/a","n/a",IF(AK$3&gt;(A15stdlife+$E261),('PTRM input'!$H$157*(1+rvanilla02)^0.5)-SUM($H261:AJ261),('PTRM input'!$H$157*(1+rvanilla02)^0.5)/A15stdlife))</f>
        <v>0</v>
      </c>
      <c r="AL261" s="107">
        <f>IF(A15stdlife="n/a","n/a",IF(AL$3&gt;(A15stdlife+$E261),('PTRM input'!$H$157*(1+rvanilla02)^0.5)-SUM($H261:AK261),('PTRM input'!$H$157*(1+rvanilla02)^0.5)/A15stdlife))</f>
        <v>0</v>
      </c>
      <c r="AM261" s="107">
        <f>IF(A15stdlife="n/a","n/a",IF(AM$3&gt;(A15stdlife+$E261),('PTRM input'!$H$157*(1+rvanilla02)^0.5)-SUM($H261:AL261),('PTRM input'!$H$157*(1+rvanilla02)^0.5)/A15stdlife))</f>
        <v>0</v>
      </c>
      <c r="AN261" s="107">
        <f>IF(A15stdlife="n/a","n/a",IF(AN$3&gt;(A15stdlife+$E261),('PTRM input'!$H$157*(1+rvanilla02)^0.5)-SUM($H261:AM261),('PTRM input'!$H$157*(1+rvanilla02)^0.5)/A15stdlife))</f>
        <v>0</v>
      </c>
      <c r="AO261" s="107">
        <f>IF(A15stdlife="n/a","n/a",IF(AO$3&gt;(A15stdlife+$E261),('PTRM input'!$H$157*(1+rvanilla02)^0.5)-SUM($H261:AN261),('PTRM input'!$H$157*(1+rvanilla02)^0.5)/A15stdlife))</f>
        <v>0</v>
      </c>
      <c r="AP261" s="107">
        <f>IF(A15stdlife="n/a","n/a",IF(AP$3&gt;(A15stdlife+$E261),('PTRM input'!$H$157*(1+rvanilla02)^0.5)-SUM($H261:AO261),('PTRM input'!$H$157*(1+rvanilla02)^0.5)/A15stdlife))</f>
        <v>0</v>
      </c>
      <c r="AQ261" s="107">
        <f>IF(A15stdlife="n/a","n/a",IF(AQ$3&gt;(A15stdlife+$E261),('PTRM input'!$H$157*(1+rvanilla02)^0.5)-SUM($H261:AP261),('PTRM input'!$H$157*(1+rvanilla02)^0.5)/A15stdlife))</f>
        <v>0</v>
      </c>
      <c r="AR261" s="107">
        <f>IF(A15stdlife="n/a","n/a",IF(AR$3&gt;(A15stdlife+$E261),('PTRM input'!$H$157*(1+rvanilla02)^0.5)-SUM($H261:AQ261),('PTRM input'!$H$157*(1+rvanilla02)^0.5)/A15stdlife))</f>
        <v>0</v>
      </c>
      <c r="AS261" s="107">
        <f>IF(A15stdlife="n/a","n/a",IF(AS$3&gt;(A15stdlife+$E261),('PTRM input'!$H$157*(1+rvanilla02)^0.5)-SUM($H261:AR261),('PTRM input'!$H$157*(1+rvanilla02)^0.5)/A15stdlife))</f>
        <v>0</v>
      </c>
      <c r="AT261" s="107">
        <f>IF(A15stdlife="n/a","n/a",IF(AT$3&gt;(A15stdlife+$E261),('PTRM input'!$H$157*(1+rvanilla02)^0.5)-SUM($H261:AS261),('PTRM input'!$H$157*(1+rvanilla02)^0.5)/A15stdlife))</f>
        <v>0</v>
      </c>
      <c r="AU261" s="107">
        <f>IF(A15stdlife="n/a","n/a",IF(AU$3&gt;(A15stdlife+$E261),('PTRM input'!$H$157*(1+rvanilla02)^0.5)-SUM($H261:AT261),('PTRM input'!$H$157*(1+rvanilla02)^0.5)/A15stdlife))</f>
        <v>0</v>
      </c>
      <c r="AV261" s="107">
        <f>IF(A15stdlife="n/a","n/a",IF(AV$3&gt;(A15stdlife+$E261),('PTRM input'!$H$157*(1+rvanilla02)^0.5)-SUM($H261:AU261),('PTRM input'!$H$157*(1+rvanilla02)^0.5)/A15stdlife))</f>
        <v>0</v>
      </c>
      <c r="AW261" s="107">
        <f>IF(A15stdlife="n/a","n/a",IF(AW$3&gt;(A15stdlife+$E261),('PTRM input'!$H$157*(1+rvanilla02)^0.5)-SUM($H261:AV261),('PTRM input'!$H$157*(1+rvanilla02)^0.5)/A15stdlife))</f>
        <v>0</v>
      </c>
      <c r="AX261" s="107">
        <f>IF(A15stdlife="n/a","n/a",IF(AX$3&gt;(A15stdlife+$E261),('PTRM input'!$H$157*(1+rvanilla02)^0.5)-SUM($H261:AW261),('PTRM input'!$H$157*(1+rvanilla02)^0.5)/A15stdlife))</f>
        <v>0</v>
      </c>
      <c r="AY261" s="107">
        <f>IF(A15stdlife="n/a","n/a",IF(AY$3&gt;(A15stdlife+$E261),('PTRM input'!$H$157*(1+rvanilla02)^0.5)-SUM($H261:AX261),('PTRM input'!$H$157*(1+rvanilla02)^0.5)/A15stdlife))</f>
        <v>0</v>
      </c>
      <c r="AZ261" s="107">
        <f>IF(A15stdlife="n/a","n/a",IF(AZ$3&gt;(A15stdlife+$E261),('PTRM input'!$H$157*(1+rvanilla02)^0.5)-SUM($H261:AY261),('PTRM input'!$H$157*(1+rvanilla02)^0.5)/A15stdlife))</f>
        <v>0</v>
      </c>
      <c r="BA261" s="107">
        <f>IF(A15stdlife="n/a","n/a",IF(BA$3&gt;(A15stdlife+$E261),('PTRM input'!$H$157*(1+rvanilla02)^0.5)-SUM($H261:AZ261),('PTRM input'!$H$157*(1+rvanilla02)^0.5)/A15stdlife))</f>
        <v>0</v>
      </c>
      <c r="BB261" s="107">
        <f>IF(A15stdlife="n/a","n/a",IF(BB$3&gt;(A15stdlife+$E261),('PTRM input'!$H$157*(1+rvanilla02)^0.5)-SUM($H261:BA261),('PTRM input'!$H$157*(1+rvanilla02)^0.5)/A15stdlife))</f>
        <v>0</v>
      </c>
      <c r="BC261" s="107">
        <f>IF(A15stdlife="n/a","n/a",IF(BC$3&gt;(A15stdlife+$E261),('PTRM input'!$H$157*(1+rvanilla02)^0.5)-SUM($H261:BB261),('PTRM input'!$H$157*(1+rvanilla02)^0.5)/A15stdlife))</f>
        <v>0</v>
      </c>
      <c r="BD261" s="107">
        <f>IF(A15stdlife="n/a","n/a",IF(BD$3&gt;(A15stdlife+$E261),('PTRM input'!$H$157*(1+rvanilla02)^0.5)-SUM($H261:BC261),('PTRM input'!$H$157*(1+rvanilla02)^0.5)/A15stdlife))</f>
        <v>0</v>
      </c>
      <c r="BE261" s="107">
        <f>IF(A15stdlife="n/a","n/a",IF(BE$3&gt;(A15stdlife+$E261),('PTRM input'!$H$157*(1+rvanilla02)^0.5)-SUM($H261:BD261),('PTRM input'!$H$157*(1+rvanilla02)^0.5)/A15stdlife))</f>
        <v>0</v>
      </c>
      <c r="BF261" s="107">
        <f>IF(A15stdlife="n/a","n/a",IF(BF$3&gt;(A15stdlife+$E261),('PTRM input'!$H$157*(1+rvanilla02)^0.5)-SUM($H261:BE261),('PTRM input'!$H$157*(1+rvanilla02)^0.5)/A15stdlife))</f>
        <v>0</v>
      </c>
      <c r="BG261" s="107">
        <f>IF(A15stdlife="n/a","n/a",IF(BG$3&gt;(A15stdlife+$E261),('PTRM input'!$H$157*(1+rvanilla02)^0.5)-SUM($H261:BF261),('PTRM input'!$H$157*(1+rvanilla02)^0.5)/A15stdlife))</f>
        <v>0</v>
      </c>
      <c r="BH261" s="107">
        <f>IF(A15stdlife="n/a","n/a",IF(BH$3&gt;(A15stdlife+$E261),('PTRM input'!$H$157*(1+rvanilla02)^0.5)-SUM($H261:BG261),('PTRM input'!$H$157*(1+rvanilla02)^0.5)/A15stdlife))</f>
        <v>0</v>
      </c>
      <c r="BI261" s="107">
        <f>IF(A15stdlife="n/a","n/a",IF(BI$3&gt;(A15stdlife+$E261),('PTRM input'!$H$157*(1+rvanilla02)^0.5)-SUM($H261:BH261),('PTRM input'!$H$157*(1+rvanilla02)^0.5)/A15stdlife))</f>
        <v>0</v>
      </c>
      <c r="BJ261" s="237"/>
      <c r="BK261" s="237"/>
      <c r="BL261" s="237"/>
      <c r="BM261" s="237"/>
    </row>
    <row r="262" spans="1:65" s="190" customFormat="1" hidden="1" outlineLevel="2">
      <c r="A262" s="237"/>
      <c r="B262" s="33"/>
      <c r="C262" s="32"/>
      <c r="D262" s="1618"/>
      <c r="E262" s="169">
        <v>3</v>
      </c>
      <c r="F262" s="35"/>
      <c r="G262" s="184"/>
      <c r="H262" s="186"/>
      <c r="I262" s="185"/>
      <c r="J262" s="107">
        <f>IF(A15stdlife="n/a","n/a",IF(J$3&gt;(A15stdlife+$E262),('PTRM input'!$I$157*(1+rvanilla03)^0.5)-SUM($I262:I262),('PTRM input'!$I$157*(1+rvanilla03)^0.5)/A15stdlife))</f>
        <v>0</v>
      </c>
      <c r="K262" s="107">
        <f>IF(A15stdlife="n/a","n/a",IF(K$3&gt;(A15stdlife+$E262),('PTRM input'!$I$157*(1+rvanilla03)^0.5)-SUM($I262:J262),('PTRM input'!$I$157*(1+rvanilla03)^0.5)/A15stdlife))</f>
        <v>0</v>
      </c>
      <c r="L262" s="107">
        <f>IF(A15stdlife="n/a","n/a",IF(L$3&gt;(A15stdlife+$E262),('PTRM input'!$I$157*(1+rvanilla03)^0.5)-SUM($I262:K262),('PTRM input'!$I$157*(1+rvanilla03)^0.5)/A15stdlife))</f>
        <v>0</v>
      </c>
      <c r="M262" s="107">
        <f>IF(A15stdlife="n/a","n/a",IF(M$3&gt;(A15stdlife+$E262),('PTRM input'!$I$157*(1+rvanilla03)^0.5)-SUM($I262:L262),('PTRM input'!$I$157*(1+rvanilla03)^0.5)/A15stdlife))</f>
        <v>0</v>
      </c>
      <c r="N262" s="107">
        <f>IF(A15stdlife="n/a","n/a",IF(N$3&gt;(A15stdlife+$E262),('PTRM input'!$I$157*(1+rvanilla03)^0.5)-SUM($I262:M262),('PTRM input'!$I$157*(1+rvanilla03)^0.5)/A15stdlife))</f>
        <v>0</v>
      </c>
      <c r="O262" s="107">
        <f>IF(A15stdlife="n/a","n/a",IF(O$3&gt;(A15stdlife+$E262),('PTRM input'!$I$157*(1+rvanilla03)^0.5)-SUM($I262:N262),('PTRM input'!$I$157*(1+rvanilla03)^0.5)/A15stdlife))</f>
        <v>0</v>
      </c>
      <c r="P262" s="107">
        <f>IF(A15stdlife="n/a","n/a",IF(P$3&gt;(A15stdlife+$E262),('PTRM input'!$I$157*(1+rvanilla03)^0.5)-SUM($I262:O262),('PTRM input'!$I$157*(1+rvanilla03)^0.5)/A15stdlife))</f>
        <v>0</v>
      </c>
      <c r="Q262" s="107">
        <f>IF(A15stdlife="n/a","n/a",IF(Q$3&gt;(A15stdlife+$E262),('PTRM input'!$I$157*(1+rvanilla03)^0.5)-SUM($I262:P262),('PTRM input'!$I$157*(1+rvanilla03)^0.5)/A15stdlife))</f>
        <v>0</v>
      </c>
      <c r="R262" s="107">
        <f>IF(A15stdlife="n/a","n/a",IF(R$3&gt;(A15stdlife+$E262),('PTRM input'!$I$157*(1+rvanilla03)^0.5)-SUM($I262:Q262),('PTRM input'!$I$157*(1+rvanilla03)^0.5)/A15stdlife))</f>
        <v>0</v>
      </c>
      <c r="S262" s="107">
        <f>IF(A15stdlife="n/a","n/a",IF(S$3&gt;(A15stdlife+$E262),('PTRM input'!$I$157*(1+rvanilla03)^0.5)-SUM($I262:R262),('PTRM input'!$I$157*(1+rvanilla03)^0.5)/A15stdlife))</f>
        <v>0</v>
      </c>
      <c r="T262" s="107">
        <f>IF(A15stdlife="n/a","n/a",IF(T$3&gt;(A15stdlife+$E262),('PTRM input'!$I$157*(1+rvanilla03)^0.5)-SUM($I262:S262),('PTRM input'!$I$157*(1+rvanilla03)^0.5)/A15stdlife))</f>
        <v>0</v>
      </c>
      <c r="U262" s="107">
        <f>IF(A15stdlife="n/a","n/a",IF(U$3&gt;(A15stdlife+$E262),('PTRM input'!$I$157*(1+rvanilla03)^0.5)-SUM($I262:T262),('PTRM input'!$I$157*(1+rvanilla03)^0.5)/A15stdlife))</f>
        <v>0</v>
      </c>
      <c r="V262" s="107">
        <f>IF(A15stdlife="n/a","n/a",IF(V$3&gt;(A15stdlife+$E262),('PTRM input'!$I$157*(1+rvanilla03)^0.5)-SUM($I262:U262),('PTRM input'!$I$157*(1+rvanilla03)^0.5)/A15stdlife))</f>
        <v>0</v>
      </c>
      <c r="W262" s="107">
        <f>IF(A15stdlife="n/a","n/a",IF(W$3&gt;(A15stdlife+$E262),('PTRM input'!$I$157*(1+rvanilla03)^0.5)-SUM($I262:V262),('PTRM input'!$I$157*(1+rvanilla03)^0.5)/A15stdlife))</f>
        <v>0</v>
      </c>
      <c r="X262" s="107">
        <f>IF(A15stdlife="n/a","n/a",IF(X$3&gt;(A15stdlife+$E262),('PTRM input'!$I$157*(1+rvanilla03)^0.5)-SUM($I262:W262),('PTRM input'!$I$157*(1+rvanilla03)^0.5)/A15stdlife))</f>
        <v>0</v>
      </c>
      <c r="Y262" s="107">
        <f>IF(A15stdlife="n/a","n/a",IF(Y$3&gt;(A15stdlife+$E262),('PTRM input'!$I$157*(1+rvanilla03)^0.5)-SUM($I262:X262),('PTRM input'!$I$157*(1+rvanilla03)^0.5)/A15stdlife))</f>
        <v>0</v>
      </c>
      <c r="Z262" s="107">
        <f>IF(A15stdlife="n/a","n/a",IF(Z$3&gt;(A15stdlife+$E262),('PTRM input'!$I$157*(1+rvanilla03)^0.5)-SUM($I262:Y262),('PTRM input'!$I$157*(1+rvanilla03)^0.5)/A15stdlife))</f>
        <v>0</v>
      </c>
      <c r="AA262" s="107">
        <f>IF(A15stdlife="n/a","n/a",IF(AA$3&gt;(A15stdlife+$E262),('PTRM input'!$I$157*(1+rvanilla03)^0.5)-SUM($I262:Z262),('PTRM input'!$I$157*(1+rvanilla03)^0.5)/A15stdlife))</f>
        <v>0</v>
      </c>
      <c r="AB262" s="107">
        <f>IF(A15stdlife="n/a","n/a",IF(AB$3&gt;(A15stdlife+$E262),('PTRM input'!$I$157*(1+rvanilla03)^0.5)-SUM($I262:AA262),('PTRM input'!$I$157*(1+rvanilla03)^0.5)/A15stdlife))</f>
        <v>0</v>
      </c>
      <c r="AC262" s="107">
        <f>IF(A15stdlife="n/a","n/a",IF(AC$3&gt;(A15stdlife+$E262),('PTRM input'!$I$157*(1+rvanilla03)^0.5)-SUM($I262:AB262),('PTRM input'!$I$157*(1+rvanilla03)^0.5)/A15stdlife))</f>
        <v>0</v>
      </c>
      <c r="AD262" s="107">
        <f>IF(A15stdlife="n/a","n/a",IF(AD$3&gt;(A15stdlife+$E262),('PTRM input'!$I$157*(1+rvanilla03)^0.5)-SUM($I262:AC262),('PTRM input'!$I$157*(1+rvanilla03)^0.5)/A15stdlife))</f>
        <v>0</v>
      </c>
      <c r="AE262" s="107">
        <f>IF(A15stdlife="n/a","n/a",IF(AE$3&gt;(A15stdlife+$E262),('PTRM input'!$I$157*(1+rvanilla03)^0.5)-SUM($I262:AD262),('PTRM input'!$I$157*(1+rvanilla03)^0.5)/A15stdlife))</f>
        <v>0</v>
      </c>
      <c r="AF262" s="107">
        <f>IF(A15stdlife="n/a","n/a",IF(AF$3&gt;(A15stdlife+$E262),('PTRM input'!$I$157*(1+rvanilla03)^0.5)-SUM($I262:AE262),('PTRM input'!$I$157*(1+rvanilla03)^0.5)/A15stdlife))</f>
        <v>0</v>
      </c>
      <c r="AG262" s="107">
        <f>IF(A15stdlife="n/a","n/a",IF(AG$3&gt;(A15stdlife+$E262),('PTRM input'!$I$157*(1+rvanilla03)^0.5)-SUM($I262:AF262),('PTRM input'!$I$157*(1+rvanilla03)^0.5)/A15stdlife))</f>
        <v>0</v>
      </c>
      <c r="AH262" s="107">
        <f>IF(A15stdlife="n/a","n/a",IF(AH$3&gt;(A15stdlife+$E262),('PTRM input'!$I$157*(1+rvanilla03)^0.5)-SUM($I262:AG262),('PTRM input'!$I$157*(1+rvanilla03)^0.5)/A15stdlife))</f>
        <v>0</v>
      </c>
      <c r="AI262" s="107">
        <f>IF(A15stdlife="n/a","n/a",IF(AI$3&gt;(A15stdlife+$E262),('PTRM input'!$I$157*(1+rvanilla03)^0.5)-SUM($I262:AH262),('PTRM input'!$I$157*(1+rvanilla03)^0.5)/A15stdlife))</f>
        <v>0</v>
      </c>
      <c r="AJ262" s="107">
        <f>IF(A15stdlife="n/a","n/a",IF(AJ$3&gt;(A15stdlife+$E262),('PTRM input'!$I$157*(1+rvanilla03)^0.5)-SUM($I262:AI262),('PTRM input'!$I$157*(1+rvanilla03)^0.5)/A15stdlife))</f>
        <v>0</v>
      </c>
      <c r="AK262" s="107">
        <f>IF(A15stdlife="n/a","n/a",IF(AK$3&gt;(A15stdlife+$E262),('PTRM input'!$I$157*(1+rvanilla03)^0.5)-SUM($I262:AJ262),('PTRM input'!$I$157*(1+rvanilla03)^0.5)/A15stdlife))</f>
        <v>0</v>
      </c>
      <c r="AL262" s="107">
        <f>IF(A15stdlife="n/a","n/a",IF(AL$3&gt;(A15stdlife+$E262),('PTRM input'!$I$157*(1+rvanilla03)^0.5)-SUM($I262:AK262),('PTRM input'!$I$157*(1+rvanilla03)^0.5)/A15stdlife))</f>
        <v>0</v>
      </c>
      <c r="AM262" s="107">
        <f>IF(A15stdlife="n/a","n/a",IF(AM$3&gt;(A15stdlife+$E262),('PTRM input'!$I$157*(1+rvanilla03)^0.5)-SUM($I262:AL262),('PTRM input'!$I$157*(1+rvanilla03)^0.5)/A15stdlife))</f>
        <v>0</v>
      </c>
      <c r="AN262" s="107">
        <f>IF(A15stdlife="n/a","n/a",IF(AN$3&gt;(A15stdlife+$E262),('PTRM input'!$I$157*(1+rvanilla03)^0.5)-SUM($I262:AM262),('PTRM input'!$I$157*(1+rvanilla03)^0.5)/A15stdlife))</f>
        <v>0</v>
      </c>
      <c r="AO262" s="107">
        <f>IF(A15stdlife="n/a","n/a",IF(AO$3&gt;(A15stdlife+$E262),('PTRM input'!$I$157*(1+rvanilla03)^0.5)-SUM($I262:AN262),('PTRM input'!$I$157*(1+rvanilla03)^0.5)/A15stdlife))</f>
        <v>0</v>
      </c>
      <c r="AP262" s="107">
        <f>IF(A15stdlife="n/a","n/a",IF(AP$3&gt;(A15stdlife+$E262),('PTRM input'!$I$157*(1+rvanilla03)^0.5)-SUM($I262:AO262),('PTRM input'!$I$157*(1+rvanilla03)^0.5)/A15stdlife))</f>
        <v>0</v>
      </c>
      <c r="AQ262" s="107">
        <f>IF(A15stdlife="n/a","n/a",IF(AQ$3&gt;(A15stdlife+$E262),('PTRM input'!$I$157*(1+rvanilla03)^0.5)-SUM($I262:AP262),('PTRM input'!$I$157*(1+rvanilla03)^0.5)/A15stdlife))</f>
        <v>0</v>
      </c>
      <c r="AR262" s="107">
        <f>IF(A15stdlife="n/a","n/a",IF(AR$3&gt;(A15stdlife+$E262),('PTRM input'!$I$157*(1+rvanilla03)^0.5)-SUM($I262:AQ262),('PTRM input'!$I$157*(1+rvanilla03)^0.5)/A15stdlife))</f>
        <v>0</v>
      </c>
      <c r="AS262" s="107">
        <f>IF(A15stdlife="n/a","n/a",IF(AS$3&gt;(A15stdlife+$E262),('PTRM input'!$I$157*(1+rvanilla03)^0.5)-SUM($I262:AR262),('PTRM input'!$I$157*(1+rvanilla03)^0.5)/A15stdlife))</f>
        <v>0</v>
      </c>
      <c r="AT262" s="107">
        <f>IF(A15stdlife="n/a","n/a",IF(AT$3&gt;(A15stdlife+$E262),('PTRM input'!$I$157*(1+rvanilla03)^0.5)-SUM($I262:AS262),('PTRM input'!$I$157*(1+rvanilla03)^0.5)/A15stdlife))</f>
        <v>0</v>
      </c>
      <c r="AU262" s="107">
        <f>IF(A15stdlife="n/a","n/a",IF(AU$3&gt;(A15stdlife+$E262),('PTRM input'!$I$157*(1+rvanilla03)^0.5)-SUM($I262:AT262),('PTRM input'!$I$157*(1+rvanilla03)^0.5)/A15stdlife))</f>
        <v>0</v>
      </c>
      <c r="AV262" s="107">
        <f>IF(A15stdlife="n/a","n/a",IF(AV$3&gt;(A15stdlife+$E262),('PTRM input'!$I$157*(1+rvanilla03)^0.5)-SUM($I262:AU262),('PTRM input'!$I$157*(1+rvanilla03)^0.5)/A15stdlife))</f>
        <v>0</v>
      </c>
      <c r="AW262" s="107">
        <f>IF(A15stdlife="n/a","n/a",IF(AW$3&gt;(A15stdlife+$E262),('PTRM input'!$I$157*(1+rvanilla03)^0.5)-SUM($I262:AV262),('PTRM input'!$I$157*(1+rvanilla03)^0.5)/A15stdlife))</f>
        <v>0</v>
      </c>
      <c r="AX262" s="107">
        <f>IF(A15stdlife="n/a","n/a",IF(AX$3&gt;(A15stdlife+$E262),('PTRM input'!$I$157*(1+rvanilla03)^0.5)-SUM($I262:AW262),('PTRM input'!$I$157*(1+rvanilla03)^0.5)/A15stdlife))</f>
        <v>0</v>
      </c>
      <c r="AY262" s="107">
        <f>IF(A15stdlife="n/a","n/a",IF(AY$3&gt;(A15stdlife+$E262),('PTRM input'!$I$157*(1+rvanilla03)^0.5)-SUM($I262:AX262),('PTRM input'!$I$157*(1+rvanilla03)^0.5)/A15stdlife))</f>
        <v>0</v>
      </c>
      <c r="AZ262" s="107">
        <f>IF(A15stdlife="n/a","n/a",IF(AZ$3&gt;(A15stdlife+$E262),('PTRM input'!$I$157*(1+rvanilla03)^0.5)-SUM($I262:AY262),('PTRM input'!$I$157*(1+rvanilla03)^0.5)/A15stdlife))</f>
        <v>0</v>
      </c>
      <c r="BA262" s="107">
        <f>IF(A15stdlife="n/a","n/a",IF(BA$3&gt;(A15stdlife+$E262),('PTRM input'!$I$157*(1+rvanilla03)^0.5)-SUM($I262:AZ262),('PTRM input'!$I$157*(1+rvanilla03)^0.5)/A15stdlife))</f>
        <v>0</v>
      </c>
      <c r="BB262" s="107">
        <f>IF(A15stdlife="n/a","n/a",IF(BB$3&gt;(A15stdlife+$E262),('PTRM input'!$I$157*(1+rvanilla03)^0.5)-SUM($I262:BA262),('PTRM input'!$I$157*(1+rvanilla03)^0.5)/A15stdlife))</f>
        <v>0</v>
      </c>
      <c r="BC262" s="107">
        <f>IF(A15stdlife="n/a","n/a",IF(BC$3&gt;(A15stdlife+$E262),('PTRM input'!$I$157*(1+rvanilla03)^0.5)-SUM($I262:BB262),('PTRM input'!$I$157*(1+rvanilla03)^0.5)/A15stdlife))</f>
        <v>0</v>
      </c>
      <c r="BD262" s="107">
        <f>IF(A15stdlife="n/a","n/a",IF(BD$3&gt;(A15stdlife+$E262),('PTRM input'!$I$157*(1+rvanilla03)^0.5)-SUM($I262:BC262),('PTRM input'!$I$157*(1+rvanilla03)^0.5)/A15stdlife))</f>
        <v>0</v>
      </c>
      <c r="BE262" s="107">
        <f>IF(A15stdlife="n/a","n/a",IF(BE$3&gt;(A15stdlife+$E262),('PTRM input'!$I$157*(1+rvanilla03)^0.5)-SUM($I262:BD262),('PTRM input'!$I$157*(1+rvanilla03)^0.5)/A15stdlife))</f>
        <v>0</v>
      </c>
      <c r="BF262" s="107">
        <f>IF(A15stdlife="n/a","n/a",IF(BF$3&gt;(A15stdlife+$E262),('PTRM input'!$I$157*(1+rvanilla03)^0.5)-SUM($I262:BE262),('PTRM input'!$I$157*(1+rvanilla03)^0.5)/A15stdlife))</f>
        <v>0</v>
      </c>
      <c r="BG262" s="107">
        <f>IF(A15stdlife="n/a","n/a",IF(BG$3&gt;(A15stdlife+$E262),('PTRM input'!$I$157*(1+rvanilla03)^0.5)-SUM($I262:BF262),('PTRM input'!$I$157*(1+rvanilla03)^0.5)/A15stdlife))</f>
        <v>0</v>
      </c>
      <c r="BH262" s="107">
        <f>IF(A15stdlife="n/a","n/a",IF(BH$3&gt;(A15stdlife+$E262),('PTRM input'!$I$157*(1+rvanilla03)^0.5)-SUM($I262:BG262),('PTRM input'!$I$157*(1+rvanilla03)^0.5)/A15stdlife))</f>
        <v>0</v>
      </c>
      <c r="BI262" s="107">
        <f>IF(A15stdlife="n/a","n/a",IF(BI$3&gt;(A15stdlife+$E262),('PTRM input'!$I$157*(1+rvanilla03)^0.5)-SUM($I262:BH262),('PTRM input'!$I$157*(1+rvanilla03)^0.5)/A15stdlife))</f>
        <v>0</v>
      </c>
      <c r="BJ262" s="237"/>
      <c r="BK262" s="237"/>
      <c r="BL262" s="237"/>
      <c r="BM262" s="237"/>
    </row>
    <row r="263" spans="1:65" s="190" customFormat="1" hidden="1" outlineLevel="2">
      <c r="A263" s="237"/>
      <c r="B263" s="33"/>
      <c r="C263" s="32"/>
      <c r="D263" s="1618"/>
      <c r="E263" s="169">
        <v>4</v>
      </c>
      <c r="F263" s="35"/>
      <c r="G263" s="184"/>
      <c r="H263" s="186"/>
      <c r="I263" s="186"/>
      <c r="J263" s="185"/>
      <c r="K263" s="107">
        <f>IF(A15stdlife="n/a","n/a",IF(K$3&gt;(A15stdlife+$E263),('PTRM input'!$J$157*(1+rvanilla04)^0.5)-SUM($J263:J263),('PTRM input'!$J$157*(1+rvanilla04)^0.5)/A15stdlife))</f>
        <v>0</v>
      </c>
      <c r="L263" s="107">
        <f>IF(A15stdlife="n/a","n/a",IF(L$3&gt;(A15stdlife+$E263),('PTRM input'!$J$157*(1+rvanilla04)^0.5)-SUM($J263:K263),('PTRM input'!$J$157*(1+rvanilla04)^0.5)/A15stdlife))</f>
        <v>0</v>
      </c>
      <c r="M263" s="107">
        <f>IF(A15stdlife="n/a","n/a",IF(M$3&gt;(A15stdlife+$E263),('PTRM input'!$J$157*(1+rvanilla04)^0.5)-SUM($J263:L263),('PTRM input'!$J$157*(1+rvanilla04)^0.5)/A15stdlife))</f>
        <v>0</v>
      </c>
      <c r="N263" s="107">
        <f>IF(A15stdlife="n/a","n/a",IF(N$3&gt;(A15stdlife+$E263),('PTRM input'!$J$157*(1+rvanilla04)^0.5)-SUM($J263:M263),('PTRM input'!$J$157*(1+rvanilla04)^0.5)/A15stdlife))</f>
        <v>0</v>
      </c>
      <c r="O263" s="107">
        <f>IF(A15stdlife="n/a","n/a",IF(O$3&gt;(A15stdlife+$E263),('PTRM input'!$J$157*(1+rvanilla04)^0.5)-SUM($J263:N263),('PTRM input'!$J$157*(1+rvanilla04)^0.5)/A15stdlife))</f>
        <v>0</v>
      </c>
      <c r="P263" s="107">
        <f>IF(A15stdlife="n/a","n/a",IF(P$3&gt;(A15stdlife+$E263),('PTRM input'!$J$157*(1+rvanilla04)^0.5)-SUM($J263:O263),('PTRM input'!$J$157*(1+rvanilla04)^0.5)/A15stdlife))</f>
        <v>0</v>
      </c>
      <c r="Q263" s="107">
        <f>IF(A15stdlife="n/a","n/a",IF(Q$3&gt;(A15stdlife+$E263),('PTRM input'!$J$157*(1+rvanilla04)^0.5)-SUM($J263:P263),('PTRM input'!$J$157*(1+rvanilla04)^0.5)/A15stdlife))</f>
        <v>0</v>
      </c>
      <c r="R263" s="107">
        <f>IF(A15stdlife="n/a","n/a",IF(R$3&gt;(A15stdlife+$E263),('PTRM input'!$J$157*(1+rvanilla04)^0.5)-SUM($J263:Q263),('PTRM input'!$J$157*(1+rvanilla04)^0.5)/A15stdlife))</f>
        <v>0</v>
      </c>
      <c r="S263" s="107">
        <f>IF(A15stdlife="n/a","n/a",IF(S$3&gt;(A15stdlife+$E263),('PTRM input'!$J$157*(1+rvanilla04)^0.5)-SUM($J263:R263),('PTRM input'!$J$157*(1+rvanilla04)^0.5)/A15stdlife))</f>
        <v>0</v>
      </c>
      <c r="T263" s="107">
        <f>IF(A15stdlife="n/a","n/a",IF(T$3&gt;(A15stdlife+$E263),('PTRM input'!$J$157*(1+rvanilla04)^0.5)-SUM($J263:S263),('PTRM input'!$J$157*(1+rvanilla04)^0.5)/A15stdlife))</f>
        <v>0</v>
      </c>
      <c r="U263" s="107">
        <f>IF(A15stdlife="n/a","n/a",IF(U$3&gt;(A15stdlife+$E263),('PTRM input'!$J$157*(1+rvanilla04)^0.5)-SUM($J263:T263),('PTRM input'!$J$157*(1+rvanilla04)^0.5)/A15stdlife))</f>
        <v>0</v>
      </c>
      <c r="V263" s="107">
        <f>IF(A15stdlife="n/a","n/a",IF(V$3&gt;(A15stdlife+$E263),('PTRM input'!$J$157*(1+rvanilla04)^0.5)-SUM($J263:U263),('PTRM input'!$J$157*(1+rvanilla04)^0.5)/A15stdlife))</f>
        <v>0</v>
      </c>
      <c r="W263" s="107">
        <f>IF(A15stdlife="n/a","n/a",IF(W$3&gt;(A15stdlife+$E263),('PTRM input'!$J$157*(1+rvanilla04)^0.5)-SUM($J263:V263),('PTRM input'!$J$157*(1+rvanilla04)^0.5)/A15stdlife))</f>
        <v>0</v>
      </c>
      <c r="X263" s="107">
        <f>IF(A15stdlife="n/a","n/a",IF(X$3&gt;(A15stdlife+$E263),('PTRM input'!$J$157*(1+rvanilla04)^0.5)-SUM($J263:W263),('PTRM input'!$J$157*(1+rvanilla04)^0.5)/A15stdlife))</f>
        <v>0</v>
      </c>
      <c r="Y263" s="107">
        <f>IF(A15stdlife="n/a","n/a",IF(Y$3&gt;(A15stdlife+$E263),('PTRM input'!$J$157*(1+rvanilla04)^0.5)-SUM($J263:X263),('PTRM input'!$J$157*(1+rvanilla04)^0.5)/A15stdlife))</f>
        <v>0</v>
      </c>
      <c r="Z263" s="107">
        <f>IF(A15stdlife="n/a","n/a",IF(Z$3&gt;(A15stdlife+$E263),('PTRM input'!$J$157*(1+rvanilla04)^0.5)-SUM($J263:Y263),('PTRM input'!$J$157*(1+rvanilla04)^0.5)/A15stdlife))</f>
        <v>0</v>
      </c>
      <c r="AA263" s="107">
        <f>IF(A15stdlife="n/a","n/a",IF(AA$3&gt;(A15stdlife+$E263),('PTRM input'!$J$157*(1+rvanilla04)^0.5)-SUM($J263:Z263),('PTRM input'!$J$157*(1+rvanilla04)^0.5)/A15stdlife))</f>
        <v>0</v>
      </c>
      <c r="AB263" s="107">
        <f>IF(A15stdlife="n/a","n/a",IF(AB$3&gt;(A15stdlife+$E263),('PTRM input'!$J$157*(1+rvanilla04)^0.5)-SUM($J263:AA263),('PTRM input'!$J$157*(1+rvanilla04)^0.5)/A15stdlife))</f>
        <v>0</v>
      </c>
      <c r="AC263" s="107">
        <f>IF(A15stdlife="n/a","n/a",IF(AC$3&gt;(A15stdlife+$E263),('PTRM input'!$J$157*(1+rvanilla04)^0.5)-SUM($J263:AB263),('PTRM input'!$J$157*(1+rvanilla04)^0.5)/A15stdlife))</f>
        <v>0</v>
      </c>
      <c r="AD263" s="107">
        <f>IF(A15stdlife="n/a","n/a",IF(AD$3&gt;(A15stdlife+$E263),('PTRM input'!$J$157*(1+rvanilla04)^0.5)-SUM($J263:AC263),('PTRM input'!$J$157*(1+rvanilla04)^0.5)/A15stdlife))</f>
        <v>0</v>
      </c>
      <c r="AE263" s="107">
        <f>IF(A15stdlife="n/a","n/a",IF(AE$3&gt;(A15stdlife+$E263),('PTRM input'!$J$157*(1+rvanilla04)^0.5)-SUM($J263:AD263),('PTRM input'!$J$157*(1+rvanilla04)^0.5)/A15stdlife))</f>
        <v>0</v>
      </c>
      <c r="AF263" s="107">
        <f>IF(A15stdlife="n/a","n/a",IF(AF$3&gt;(A15stdlife+$E263),('PTRM input'!$J$157*(1+rvanilla04)^0.5)-SUM($J263:AE263),('PTRM input'!$J$157*(1+rvanilla04)^0.5)/A15stdlife))</f>
        <v>0</v>
      </c>
      <c r="AG263" s="107">
        <f>IF(A15stdlife="n/a","n/a",IF(AG$3&gt;(A15stdlife+$E263),('PTRM input'!$J$157*(1+rvanilla04)^0.5)-SUM($J263:AF263),('PTRM input'!$J$157*(1+rvanilla04)^0.5)/A15stdlife))</f>
        <v>0</v>
      </c>
      <c r="AH263" s="107">
        <f>IF(A15stdlife="n/a","n/a",IF(AH$3&gt;(A15stdlife+$E263),('PTRM input'!$J$157*(1+rvanilla04)^0.5)-SUM($J263:AG263),('PTRM input'!$J$157*(1+rvanilla04)^0.5)/A15stdlife))</f>
        <v>0</v>
      </c>
      <c r="AI263" s="107">
        <f>IF(A15stdlife="n/a","n/a",IF(AI$3&gt;(A15stdlife+$E263),('PTRM input'!$J$157*(1+rvanilla04)^0.5)-SUM($J263:AH263),('PTRM input'!$J$157*(1+rvanilla04)^0.5)/A15stdlife))</f>
        <v>0</v>
      </c>
      <c r="AJ263" s="107">
        <f>IF(A15stdlife="n/a","n/a",IF(AJ$3&gt;(A15stdlife+$E263),('PTRM input'!$J$157*(1+rvanilla04)^0.5)-SUM($J263:AI263),('PTRM input'!$J$157*(1+rvanilla04)^0.5)/A15stdlife))</f>
        <v>0</v>
      </c>
      <c r="AK263" s="107">
        <f>IF(A15stdlife="n/a","n/a",IF(AK$3&gt;(A15stdlife+$E263),('PTRM input'!$J$157*(1+rvanilla04)^0.5)-SUM($J263:AJ263),('PTRM input'!$J$157*(1+rvanilla04)^0.5)/A15stdlife))</f>
        <v>0</v>
      </c>
      <c r="AL263" s="107">
        <f>IF(A15stdlife="n/a","n/a",IF(AL$3&gt;(A15stdlife+$E263),('PTRM input'!$J$157*(1+rvanilla04)^0.5)-SUM($J263:AK263),('PTRM input'!$J$157*(1+rvanilla04)^0.5)/A15stdlife))</f>
        <v>0</v>
      </c>
      <c r="AM263" s="107">
        <f>IF(A15stdlife="n/a","n/a",IF(AM$3&gt;(A15stdlife+$E263),('PTRM input'!$J$157*(1+rvanilla04)^0.5)-SUM($J263:AL263),('PTRM input'!$J$157*(1+rvanilla04)^0.5)/A15stdlife))</f>
        <v>0</v>
      </c>
      <c r="AN263" s="107">
        <f>IF(A15stdlife="n/a","n/a",IF(AN$3&gt;(A15stdlife+$E263),('PTRM input'!$J$157*(1+rvanilla04)^0.5)-SUM($J263:AM263),('PTRM input'!$J$157*(1+rvanilla04)^0.5)/A15stdlife))</f>
        <v>0</v>
      </c>
      <c r="AO263" s="107">
        <f>IF(A15stdlife="n/a","n/a",IF(AO$3&gt;(A15stdlife+$E263),('PTRM input'!$J$157*(1+rvanilla04)^0.5)-SUM($J263:AN263),('PTRM input'!$J$157*(1+rvanilla04)^0.5)/A15stdlife))</f>
        <v>0</v>
      </c>
      <c r="AP263" s="107">
        <f>IF(A15stdlife="n/a","n/a",IF(AP$3&gt;(A15stdlife+$E263),('PTRM input'!$J$157*(1+rvanilla04)^0.5)-SUM($J263:AO263),('PTRM input'!$J$157*(1+rvanilla04)^0.5)/A15stdlife))</f>
        <v>0</v>
      </c>
      <c r="AQ263" s="107">
        <f>IF(A15stdlife="n/a","n/a",IF(AQ$3&gt;(A15stdlife+$E263),('PTRM input'!$J$157*(1+rvanilla04)^0.5)-SUM($J263:AP263),('PTRM input'!$J$157*(1+rvanilla04)^0.5)/A15stdlife))</f>
        <v>0</v>
      </c>
      <c r="AR263" s="107">
        <f>IF(A15stdlife="n/a","n/a",IF(AR$3&gt;(A15stdlife+$E263),('PTRM input'!$J$157*(1+rvanilla04)^0.5)-SUM($J263:AQ263),('PTRM input'!$J$157*(1+rvanilla04)^0.5)/A15stdlife))</f>
        <v>0</v>
      </c>
      <c r="AS263" s="107">
        <f>IF(A15stdlife="n/a","n/a",IF(AS$3&gt;(A15stdlife+$E263),('PTRM input'!$J$157*(1+rvanilla04)^0.5)-SUM($J263:AR263),('PTRM input'!$J$157*(1+rvanilla04)^0.5)/A15stdlife))</f>
        <v>0</v>
      </c>
      <c r="AT263" s="107">
        <f>IF(A15stdlife="n/a","n/a",IF(AT$3&gt;(A15stdlife+$E263),('PTRM input'!$J$157*(1+rvanilla04)^0.5)-SUM($J263:AS263),('PTRM input'!$J$157*(1+rvanilla04)^0.5)/A15stdlife))</f>
        <v>0</v>
      </c>
      <c r="AU263" s="107">
        <f>IF(A15stdlife="n/a","n/a",IF(AU$3&gt;(A15stdlife+$E263),('PTRM input'!$J$157*(1+rvanilla04)^0.5)-SUM($J263:AT263),('PTRM input'!$J$157*(1+rvanilla04)^0.5)/A15stdlife))</f>
        <v>0</v>
      </c>
      <c r="AV263" s="107">
        <f>IF(A15stdlife="n/a","n/a",IF(AV$3&gt;(A15stdlife+$E263),('PTRM input'!$J$157*(1+rvanilla04)^0.5)-SUM($J263:AU263),('PTRM input'!$J$157*(1+rvanilla04)^0.5)/A15stdlife))</f>
        <v>0</v>
      </c>
      <c r="AW263" s="107">
        <f>IF(A15stdlife="n/a","n/a",IF(AW$3&gt;(A15stdlife+$E263),('PTRM input'!$J$157*(1+rvanilla04)^0.5)-SUM($J263:AV263),('PTRM input'!$J$157*(1+rvanilla04)^0.5)/A15stdlife))</f>
        <v>0</v>
      </c>
      <c r="AX263" s="107">
        <f>IF(A15stdlife="n/a","n/a",IF(AX$3&gt;(A15stdlife+$E263),('PTRM input'!$J$157*(1+rvanilla04)^0.5)-SUM($J263:AW263),('PTRM input'!$J$157*(1+rvanilla04)^0.5)/A15stdlife))</f>
        <v>0</v>
      </c>
      <c r="AY263" s="107">
        <f>IF(A15stdlife="n/a","n/a",IF(AY$3&gt;(A15stdlife+$E263),('PTRM input'!$J$157*(1+rvanilla04)^0.5)-SUM($J263:AX263),('PTRM input'!$J$157*(1+rvanilla04)^0.5)/A15stdlife))</f>
        <v>0</v>
      </c>
      <c r="AZ263" s="107">
        <f>IF(A15stdlife="n/a","n/a",IF(AZ$3&gt;(A15stdlife+$E263),('PTRM input'!$J$157*(1+rvanilla04)^0.5)-SUM($J263:AY263),('PTRM input'!$J$157*(1+rvanilla04)^0.5)/A15stdlife))</f>
        <v>0</v>
      </c>
      <c r="BA263" s="107">
        <f>IF(A15stdlife="n/a","n/a",IF(BA$3&gt;(A15stdlife+$E263),('PTRM input'!$J$157*(1+rvanilla04)^0.5)-SUM($J263:AZ263),('PTRM input'!$J$157*(1+rvanilla04)^0.5)/A15stdlife))</f>
        <v>0</v>
      </c>
      <c r="BB263" s="107">
        <f>IF(A15stdlife="n/a","n/a",IF(BB$3&gt;(A15stdlife+$E263),('PTRM input'!$J$157*(1+rvanilla04)^0.5)-SUM($J263:BA263),('PTRM input'!$J$157*(1+rvanilla04)^0.5)/A15stdlife))</f>
        <v>0</v>
      </c>
      <c r="BC263" s="107">
        <f>IF(A15stdlife="n/a","n/a",IF(BC$3&gt;(A15stdlife+$E263),('PTRM input'!$J$157*(1+rvanilla04)^0.5)-SUM($J263:BB263),('PTRM input'!$J$157*(1+rvanilla04)^0.5)/A15stdlife))</f>
        <v>0</v>
      </c>
      <c r="BD263" s="107">
        <f>IF(A15stdlife="n/a","n/a",IF(BD$3&gt;(A15stdlife+$E263),('PTRM input'!$J$157*(1+rvanilla04)^0.5)-SUM($J263:BC263),('PTRM input'!$J$157*(1+rvanilla04)^0.5)/A15stdlife))</f>
        <v>0</v>
      </c>
      <c r="BE263" s="107">
        <f>IF(A15stdlife="n/a","n/a",IF(BE$3&gt;(A15stdlife+$E263),('PTRM input'!$J$157*(1+rvanilla04)^0.5)-SUM($J263:BD263),('PTRM input'!$J$157*(1+rvanilla04)^0.5)/A15stdlife))</f>
        <v>0</v>
      </c>
      <c r="BF263" s="107">
        <f>IF(A15stdlife="n/a","n/a",IF(BF$3&gt;(A15stdlife+$E263),('PTRM input'!$J$157*(1+rvanilla04)^0.5)-SUM($J263:BE263),('PTRM input'!$J$157*(1+rvanilla04)^0.5)/A15stdlife))</f>
        <v>0</v>
      </c>
      <c r="BG263" s="107">
        <f>IF(A15stdlife="n/a","n/a",IF(BG$3&gt;(A15stdlife+$E263),('PTRM input'!$J$157*(1+rvanilla04)^0.5)-SUM($J263:BF263),('PTRM input'!$J$157*(1+rvanilla04)^0.5)/A15stdlife))</f>
        <v>0</v>
      </c>
      <c r="BH263" s="107">
        <f>IF(A15stdlife="n/a","n/a",IF(BH$3&gt;(A15stdlife+$E263),('PTRM input'!$J$157*(1+rvanilla04)^0.5)-SUM($J263:BG263),('PTRM input'!$J$157*(1+rvanilla04)^0.5)/A15stdlife))</f>
        <v>0</v>
      </c>
      <c r="BI263" s="107">
        <f>IF(A15stdlife="n/a","n/a",IF(BI$3&gt;(A15stdlife+$E263),('PTRM input'!$J$157*(1+rvanilla04)^0.5)-SUM($J263:BH263),('PTRM input'!$J$157*(1+rvanilla04)^0.5)/A15stdlife))</f>
        <v>0</v>
      </c>
      <c r="BJ263" s="237"/>
      <c r="BK263" s="237"/>
      <c r="BL263" s="237"/>
      <c r="BM263" s="237"/>
    </row>
    <row r="264" spans="1:65" s="190" customFormat="1" hidden="1" outlineLevel="2">
      <c r="A264" s="237"/>
      <c r="B264" s="33"/>
      <c r="C264" s="32"/>
      <c r="D264" s="1618"/>
      <c r="E264" s="169">
        <v>5</v>
      </c>
      <c r="F264" s="35"/>
      <c r="G264" s="184"/>
      <c r="H264" s="186"/>
      <c r="I264" s="186"/>
      <c r="J264" s="186"/>
      <c r="K264" s="185"/>
      <c r="L264" s="107">
        <f>IF(A15stdlife="n/a","n/a",IF(L$3&gt;(A15stdlife+$E264),('PTRM input'!$K$157*(1+rvanilla05)^0.5)-SUM($K264:K264),('PTRM input'!$K$157*(1+rvanilla05)^0.5)/A15stdlife))</f>
        <v>0</v>
      </c>
      <c r="M264" s="107">
        <f>IF(A15stdlife="n/a","n/a",IF(M$3&gt;(A15stdlife+$E264),('PTRM input'!$K$157*(1+rvanilla05)^0.5)-SUM($K264:L264),('PTRM input'!$K$157*(1+rvanilla05)^0.5)/A15stdlife))</f>
        <v>0</v>
      </c>
      <c r="N264" s="107">
        <f>IF(A15stdlife="n/a","n/a",IF(N$3&gt;(A15stdlife+$E264),('PTRM input'!$K$157*(1+rvanilla05)^0.5)-SUM($K264:M264),('PTRM input'!$K$157*(1+rvanilla05)^0.5)/A15stdlife))</f>
        <v>0</v>
      </c>
      <c r="O264" s="107">
        <f>IF(A15stdlife="n/a","n/a",IF(O$3&gt;(A15stdlife+$E264),('PTRM input'!$K$157*(1+rvanilla05)^0.5)-SUM($K264:N264),('PTRM input'!$K$157*(1+rvanilla05)^0.5)/A15stdlife))</f>
        <v>0</v>
      </c>
      <c r="P264" s="107">
        <f>IF(A15stdlife="n/a","n/a",IF(P$3&gt;(A15stdlife+$E264),('PTRM input'!$K$157*(1+rvanilla05)^0.5)-SUM($K264:O264),('PTRM input'!$K$157*(1+rvanilla05)^0.5)/A15stdlife))</f>
        <v>0</v>
      </c>
      <c r="Q264" s="107">
        <f>IF(A15stdlife="n/a","n/a",IF(Q$3&gt;(A15stdlife+$E264),('PTRM input'!$K$157*(1+rvanilla05)^0.5)-SUM($K264:P264),('PTRM input'!$K$157*(1+rvanilla05)^0.5)/A15stdlife))</f>
        <v>0</v>
      </c>
      <c r="R264" s="107">
        <f>IF(A15stdlife="n/a","n/a",IF(R$3&gt;(A15stdlife+$E264),('PTRM input'!$K$157*(1+rvanilla05)^0.5)-SUM($K264:Q264),('PTRM input'!$K$157*(1+rvanilla05)^0.5)/A15stdlife))</f>
        <v>0</v>
      </c>
      <c r="S264" s="107">
        <f>IF(A15stdlife="n/a","n/a",IF(S$3&gt;(A15stdlife+$E264),('PTRM input'!$K$157*(1+rvanilla05)^0.5)-SUM($K264:R264),('PTRM input'!$K$157*(1+rvanilla05)^0.5)/A15stdlife))</f>
        <v>0</v>
      </c>
      <c r="T264" s="107">
        <f>IF(A15stdlife="n/a","n/a",IF(T$3&gt;(A15stdlife+$E264),('PTRM input'!$K$157*(1+rvanilla05)^0.5)-SUM($K264:S264),('PTRM input'!$K$157*(1+rvanilla05)^0.5)/A15stdlife))</f>
        <v>0</v>
      </c>
      <c r="U264" s="107">
        <f>IF(A15stdlife="n/a","n/a",IF(U$3&gt;(A15stdlife+$E264),('PTRM input'!$K$157*(1+rvanilla05)^0.5)-SUM($K264:T264),('PTRM input'!$K$157*(1+rvanilla05)^0.5)/A15stdlife))</f>
        <v>0</v>
      </c>
      <c r="V264" s="107">
        <f>IF(A15stdlife="n/a","n/a",IF(V$3&gt;(A15stdlife+$E264),('PTRM input'!$K$157*(1+rvanilla05)^0.5)-SUM($K264:U264),('PTRM input'!$K$157*(1+rvanilla05)^0.5)/A15stdlife))</f>
        <v>0</v>
      </c>
      <c r="W264" s="107">
        <f>IF(A15stdlife="n/a","n/a",IF(W$3&gt;(A15stdlife+$E264),('PTRM input'!$K$157*(1+rvanilla05)^0.5)-SUM($K264:V264),('PTRM input'!$K$157*(1+rvanilla05)^0.5)/A15stdlife))</f>
        <v>0</v>
      </c>
      <c r="X264" s="107">
        <f>IF(A15stdlife="n/a","n/a",IF(X$3&gt;(A15stdlife+$E264),('PTRM input'!$K$157*(1+rvanilla05)^0.5)-SUM($K264:W264),('PTRM input'!$K$157*(1+rvanilla05)^0.5)/A15stdlife))</f>
        <v>0</v>
      </c>
      <c r="Y264" s="107">
        <f>IF(A15stdlife="n/a","n/a",IF(Y$3&gt;(A15stdlife+$E264),('PTRM input'!$K$157*(1+rvanilla05)^0.5)-SUM($K264:X264),('PTRM input'!$K$157*(1+rvanilla05)^0.5)/A15stdlife))</f>
        <v>0</v>
      </c>
      <c r="Z264" s="107">
        <f>IF(A15stdlife="n/a","n/a",IF(Z$3&gt;(A15stdlife+$E264),('PTRM input'!$K$157*(1+rvanilla05)^0.5)-SUM($K264:Y264),('PTRM input'!$K$157*(1+rvanilla05)^0.5)/A15stdlife))</f>
        <v>0</v>
      </c>
      <c r="AA264" s="107">
        <f>IF(A15stdlife="n/a","n/a",IF(AA$3&gt;(A15stdlife+$E264),('PTRM input'!$K$157*(1+rvanilla05)^0.5)-SUM($K264:Z264),('PTRM input'!$K$157*(1+rvanilla05)^0.5)/A15stdlife))</f>
        <v>0</v>
      </c>
      <c r="AB264" s="107">
        <f>IF(A15stdlife="n/a","n/a",IF(AB$3&gt;(A15stdlife+$E264),('PTRM input'!$K$157*(1+rvanilla05)^0.5)-SUM($K264:AA264),('PTRM input'!$K$157*(1+rvanilla05)^0.5)/A15stdlife))</f>
        <v>0</v>
      </c>
      <c r="AC264" s="107">
        <f>IF(A15stdlife="n/a","n/a",IF(AC$3&gt;(A15stdlife+$E264),('PTRM input'!$K$157*(1+rvanilla05)^0.5)-SUM($K264:AB264),('PTRM input'!$K$157*(1+rvanilla05)^0.5)/A15stdlife))</f>
        <v>0</v>
      </c>
      <c r="AD264" s="107">
        <f>IF(A15stdlife="n/a","n/a",IF(AD$3&gt;(A15stdlife+$E264),('PTRM input'!$K$157*(1+rvanilla05)^0.5)-SUM($K264:AC264),('PTRM input'!$K$157*(1+rvanilla05)^0.5)/A15stdlife))</f>
        <v>0</v>
      </c>
      <c r="AE264" s="107">
        <f>IF(A15stdlife="n/a","n/a",IF(AE$3&gt;(A15stdlife+$E264),('PTRM input'!$K$157*(1+rvanilla05)^0.5)-SUM($K264:AD264),('PTRM input'!$K$157*(1+rvanilla05)^0.5)/A15stdlife))</f>
        <v>0</v>
      </c>
      <c r="AF264" s="107">
        <f>IF(A15stdlife="n/a","n/a",IF(AF$3&gt;(A15stdlife+$E264),('PTRM input'!$K$157*(1+rvanilla05)^0.5)-SUM($K264:AE264),('PTRM input'!$K$157*(1+rvanilla05)^0.5)/A15stdlife))</f>
        <v>0</v>
      </c>
      <c r="AG264" s="107">
        <f>IF(A15stdlife="n/a","n/a",IF(AG$3&gt;(A15stdlife+$E264),('PTRM input'!$K$157*(1+rvanilla05)^0.5)-SUM($K264:AF264),('PTRM input'!$K$157*(1+rvanilla05)^0.5)/A15stdlife))</f>
        <v>0</v>
      </c>
      <c r="AH264" s="107">
        <f>IF(A15stdlife="n/a","n/a",IF(AH$3&gt;(A15stdlife+$E264),('PTRM input'!$K$157*(1+rvanilla05)^0.5)-SUM($K264:AG264),('PTRM input'!$K$157*(1+rvanilla05)^0.5)/A15stdlife))</f>
        <v>0</v>
      </c>
      <c r="AI264" s="107">
        <f>IF(A15stdlife="n/a","n/a",IF(AI$3&gt;(A15stdlife+$E264),('PTRM input'!$K$157*(1+rvanilla05)^0.5)-SUM($K264:AH264),('PTRM input'!$K$157*(1+rvanilla05)^0.5)/A15stdlife))</f>
        <v>0</v>
      </c>
      <c r="AJ264" s="107">
        <f>IF(A15stdlife="n/a","n/a",IF(AJ$3&gt;(A15stdlife+$E264),('PTRM input'!$K$157*(1+rvanilla05)^0.5)-SUM($K264:AI264),('PTRM input'!$K$157*(1+rvanilla05)^0.5)/A15stdlife))</f>
        <v>0</v>
      </c>
      <c r="AK264" s="107">
        <f>IF(A15stdlife="n/a","n/a",IF(AK$3&gt;(A15stdlife+$E264),('PTRM input'!$K$157*(1+rvanilla05)^0.5)-SUM($K264:AJ264),('PTRM input'!$K$157*(1+rvanilla05)^0.5)/A15stdlife))</f>
        <v>0</v>
      </c>
      <c r="AL264" s="107">
        <f>IF(A15stdlife="n/a","n/a",IF(AL$3&gt;(A15stdlife+$E264),('PTRM input'!$K$157*(1+rvanilla05)^0.5)-SUM($K264:AK264),('PTRM input'!$K$157*(1+rvanilla05)^0.5)/A15stdlife))</f>
        <v>0</v>
      </c>
      <c r="AM264" s="107">
        <f>IF(A15stdlife="n/a","n/a",IF(AM$3&gt;(A15stdlife+$E264),('PTRM input'!$K$157*(1+rvanilla05)^0.5)-SUM($K264:AL264),('PTRM input'!$K$157*(1+rvanilla05)^0.5)/A15stdlife))</f>
        <v>0</v>
      </c>
      <c r="AN264" s="107">
        <f>IF(A15stdlife="n/a","n/a",IF(AN$3&gt;(A15stdlife+$E264),('PTRM input'!$K$157*(1+rvanilla05)^0.5)-SUM($K264:AM264),('PTRM input'!$K$157*(1+rvanilla05)^0.5)/A15stdlife))</f>
        <v>0</v>
      </c>
      <c r="AO264" s="107">
        <f>IF(A15stdlife="n/a","n/a",IF(AO$3&gt;(A15stdlife+$E264),('PTRM input'!$K$157*(1+rvanilla05)^0.5)-SUM($K264:AN264),('PTRM input'!$K$157*(1+rvanilla05)^0.5)/A15stdlife))</f>
        <v>0</v>
      </c>
      <c r="AP264" s="107">
        <f>IF(A15stdlife="n/a","n/a",IF(AP$3&gt;(A15stdlife+$E264),('PTRM input'!$K$157*(1+rvanilla05)^0.5)-SUM($K264:AO264),('PTRM input'!$K$157*(1+rvanilla05)^0.5)/A15stdlife))</f>
        <v>0</v>
      </c>
      <c r="AQ264" s="107">
        <f>IF(A15stdlife="n/a","n/a",IF(AQ$3&gt;(A15stdlife+$E264),('PTRM input'!$K$157*(1+rvanilla05)^0.5)-SUM($K264:AP264),('PTRM input'!$K$157*(1+rvanilla05)^0.5)/A15stdlife))</f>
        <v>0</v>
      </c>
      <c r="AR264" s="107">
        <f>IF(A15stdlife="n/a","n/a",IF(AR$3&gt;(A15stdlife+$E264),('PTRM input'!$K$157*(1+rvanilla05)^0.5)-SUM($K264:AQ264),('PTRM input'!$K$157*(1+rvanilla05)^0.5)/A15stdlife))</f>
        <v>0</v>
      </c>
      <c r="AS264" s="107">
        <f>IF(A15stdlife="n/a","n/a",IF(AS$3&gt;(A15stdlife+$E264),('PTRM input'!$K$157*(1+rvanilla05)^0.5)-SUM($K264:AR264),('PTRM input'!$K$157*(1+rvanilla05)^0.5)/A15stdlife))</f>
        <v>0</v>
      </c>
      <c r="AT264" s="107">
        <f>IF(A15stdlife="n/a","n/a",IF(AT$3&gt;(A15stdlife+$E264),('PTRM input'!$K$157*(1+rvanilla05)^0.5)-SUM($K264:AS264),('PTRM input'!$K$157*(1+rvanilla05)^0.5)/A15stdlife))</f>
        <v>0</v>
      </c>
      <c r="AU264" s="107">
        <f>IF(A15stdlife="n/a","n/a",IF(AU$3&gt;(A15stdlife+$E264),('PTRM input'!$K$157*(1+rvanilla05)^0.5)-SUM($K264:AT264),('PTRM input'!$K$157*(1+rvanilla05)^0.5)/A15stdlife))</f>
        <v>0</v>
      </c>
      <c r="AV264" s="107">
        <f>IF(A15stdlife="n/a","n/a",IF(AV$3&gt;(A15stdlife+$E264),('PTRM input'!$K$157*(1+rvanilla05)^0.5)-SUM($K264:AU264),('PTRM input'!$K$157*(1+rvanilla05)^0.5)/A15stdlife))</f>
        <v>0</v>
      </c>
      <c r="AW264" s="107">
        <f>IF(A15stdlife="n/a","n/a",IF(AW$3&gt;(A15stdlife+$E264),('PTRM input'!$K$157*(1+rvanilla05)^0.5)-SUM($K264:AV264),('PTRM input'!$K$157*(1+rvanilla05)^0.5)/A15stdlife))</f>
        <v>0</v>
      </c>
      <c r="AX264" s="107">
        <f>IF(A15stdlife="n/a","n/a",IF(AX$3&gt;(A15stdlife+$E264),('PTRM input'!$K$157*(1+rvanilla05)^0.5)-SUM($K264:AW264),('PTRM input'!$K$157*(1+rvanilla05)^0.5)/A15stdlife))</f>
        <v>0</v>
      </c>
      <c r="AY264" s="107">
        <f>IF(A15stdlife="n/a","n/a",IF(AY$3&gt;(A15stdlife+$E264),('PTRM input'!$K$157*(1+rvanilla05)^0.5)-SUM($K264:AX264),('PTRM input'!$K$157*(1+rvanilla05)^0.5)/A15stdlife))</f>
        <v>0</v>
      </c>
      <c r="AZ264" s="107">
        <f>IF(A15stdlife="n/a","n/a",IF(AZ$3&gt;(A15stdlife+$E264),('PTRM input'!$K$157*(1+rvanilla05)^0.5)-SUM($K264:AY264),('PTRM input'!$K$157*(1+rvanilla05)^0.5)/A15stdlife))</f>
        <v>0</v>
      </c>
      <c r="BA264" s="107">
        <f>IF(A15stdlife="n/a","n/a",IF(BA$3&gt;(A15stdlife+$E264),('PTRM input'!$K$157*(1+rvanilla05)^0.5)-SUM($K264:AZ264),('PTRM input'!$K$157*(1+rvanilla05)^0.5)/A15stdlife))</f>
        <v>0</v>
      </c>
      <c r="BB264" s="107">
        <f>IF(A15stdlife="n/a","n/a",IF(BB$3&gt;(A15stdlife+$E264),('PTRM input'!$K$157*(1+rvanilla05)^0.5)-SUM($K264:BA264),('PTRM input'!$K$157*(1+rvanilla05)^0.5)/A15stdlife))</f>
        <v>0</v>
      </c>
      <c r="BC264" s="107">
        <f>IF(A15stdlife="n/a","n/a",IF(BC$3&gt;(A15stdlife+$E264),('PTRM input'!$K$157*(1+rvanilla05)^0.5)-SUM($K264:BB264),('PTRM input'!$K$157*(1+rvanilla05)^0.5)/A15stdlife))</f>
        <v>0</v>
      </c>
      <c r="BD264" s="107">
        <f>IF(A15stdlife="n/a","n/a",IF(BD$3&gt;(A15stdlife+$E264),('PTRM input'!$K$157*(1+rvanilla05)^0.5)-SUM($K264:BC264),('PTRM input'!$K$157*(1+rvanilla05)^0.5)/A15stdlife))</f>
        <v>0</v>
      </c>
      <c r="BE264" s="107">
        <f>IF(A15stdlife="n/a","n/a",IF(BE$3&gt;(A15stdlife+$E264),('PTRM input'!$K$157*(1+rvanilla05)^0.5)-SUM($K264:BD264),('PTRM input'!$K$157*(1+rvanilla05)^0.5)/A15stdlife))</f>
        <v>0</v>
      </c>
      <c r="BF264" s="107">
        <f>IF(A15stdlife="n/a","n/a",IF(BF$3&gt;(A15stdlife+$E264),('PTRM input'!$K$157*(1+rvanilla05)^0.5)-SUM($K264:BE264),('PTRM input'!$K$157*(1+rvanilla05)^0.5)/A15stdlife))</f>
        <v>0</v>
      </c>
      <c r="BG264" s="107">
        <f>IF(A15stdlife="n/a","n/a",IF(BG$3&gt;(A15stdlife+$E264),('PTRM input'!$K$157*(1+rvanilla05)^0.5)-SUM($K264:BF264),('PTRM input'!$K$157*(1+rvanilla05)^0.5)/A15stdlife))</f>
        <v>0</v>
      </c>
      <c r="BH264" s="107">
        <f>IF(A15stdlife="n/a","n/a",IF(BH$3&gt;(A15stdlife+$E264),('PTRM input'!$K$157*(1+rvanilla05)^0.5)-SUM($K264:BG264),('PTRM input'!$K$157*(1+rvanilla05)^0.5)/A15stdlife))</f>
        <v>0</v>
      </c>
      <c r="BI264" s="107">
        <f>IF(A15stdlife="n/a","n/a",IF(BI$3&gt;(A15stdlife+$E264),('PTRM input'!$K$157*(1+rvanilla05)^0.5)-SUM($K264:BH264),('PTRM input'!$K$157*(1+rvanilla05)^0.5)/A15stdlife))</f>
        <v>0</v>
      </c>
      <c r="BJ264" s="237"/>
      <c r="BK264" s="237"/>
      <c r="BL264" s="237"/>
      <c r="BM264" s="237"/>
    </row>
    <row r="265" spans="1:65" s="190" customFormat="1" hidden="1" outlineLevel="2">
      <c r="A265" s="237"/>
      <c r="B265" s="33"/>
      <c r="C265" s="32"/>
      <c r="D265" s="1618"/>
      <c r="E265" s="169">
        <v>6</v>
      </c>
      <c r="F265" s="35"/>
      <c r="G265" s="184"/>
      <c r="H265" s="186"/>
      <c r="I265" s="186"/>
      <c r="J265" s="186"/>
      <c r="K265" s="186"/>
      <c r="L265" s="185"/>
      <c r="M265" s="107">
        <f>IF(A15stdlife="n/a","n/a",IF(M$3&gt;(A15stdlife+$E265),('PTRM input'!$L$157*(1+rvanilla06)^0.5)-SUM($L265:L265),('PTRM input'!$L$157*(1+rvanilla06)^0.5)/A15stdlife))</f>
        <v>0</v>
      </c>
      <c r="N265" s="107">
        <f>IF(A15stdlife="n/a","n/a",IF(N$3&gt;(A15stdlife+$E265),('PTRM input'!$L$157*(1+rvanilla06)^0.5)-SUM($L265:M265),('PTRM input'!$L$157*(1+rvanilla06)^0.5)/A15stdlife))</f>
        <v>0</v>
      </c>
      <c r="O265" s="107">
        <f>IF(A15stdlife="n/a","n/a",IF(O$3&gt;(A15stdlife+$E265),('PTRM input'!$L$157*(1+rvanilla06)^0.5)-SUM($L265:N265),('PTRM input'!$L$157*(1+rvanilla06)^0.5)/A15stdlife))</f>
        <v>0</v>
      </c>
      <c r="P265" s="107">
        <f>IF(A15stdlife="n/a","n/a",IF(P$3&gt;(A15stdlife+$E265),('PTRM input'!$L$157*(1+rvanilla06)^0.5)-SUM($L265:O265),('PTRM input'!$L$157*(1+rvanilla06)^0.5)/A15stdlife))</f>
        <v>0</v>
      </c>
      <c r="Q265" s="107">
        <f>IF(A15stdlife="n/a","n/a",IF(Q$3&gt;(A15stdlife+$E265),('PTRM input'!$L$157*(1+rvanilla06)^0.5)-SUM($L265:P265),('PTRM input'!$L$157*(1+rvanilla06)^0.5)/A15stdlife))</f>
        <v>0</v>
      </c>
      <c r="R265" s="107">
        <f>IF(A15stdlife="n/a","n/a",IF(R$3&gt;(A15stdlife+$E265),('PTRM input'!$L$157*(1+rvanilla06)^0.5)-SUM($L265:Q265),('PTRM input'!$L$157*(1+rvanilla06)^0.5)/A15stdlife))</f>
        <v>0</v>
      </c>
      <c r="S265" s="107">
        <f>IF(A15stdlife="n/a","n/a",IF(S$3&gt;(A15stdlife+$E265),('PTRM input'!$L$157*(1+rvanilla06)^0.5)-SUM($L265:R265),('PTRM input'!$L$157*(1+rvanilla06)^0.5)/A15stdlife))</f>
        <v>0</v>
      </c>
      <c r="T265" s="107">
        <f>IF(A15stdlife="n/a","n/a",IF(T$3&gt;(A15stdlife+$E265),('PTRM input'!$L$157*(1+rvanilla06)^0.5)-SUM($L265:S265),('PTRM input'!$L$157*(1+rvanilla06)^0.5)/A15stdlife))</f>
        <v>0</v>
      </c>
      <c r="U265" s="107">
        <f>IF(A15stdlife="n/a","n/a",IF(U$3&gt;(A15stdlife+$E265),('PTRM input'!$L$157*(1+rvanilla06)^0.5)-SUM($L265:T265),('PTRM input'!$L$157*(1+rvanilla06)^0.5)/A15stdlife))</f>
        <v>0</v>
      </c>
      <c r="V265" s="107">
        <f>IF(A15stdlife="n/a","n/a",IF(V$3&gt;(A15stdlife+$E265),('PTRM input'!$L$157*(1+rvanilla06)^0.5)-SUM($L265:U265),('PTRM input'!$L$157*(1+rvanilla06)^0.5)/A15stdlife))</f>
        <v>0</v>
      </c>
      <c r="W265" s="107">
        <f>IF(A15stdlife="n/a","n/a",IF(W$3&gt;(A15stdlife+$E265),('PTRM input'!$L$157*(1+rvanilla06)^0.5)-SUM($L265:V265),('PTRM input'!$L$157*(1+rvanilla06)^0.5)/A15stdlife))</f>
        <v>0</v>
      </c>
      <c r="X265" s="107">
        <f>IF(A15stdlife="n/a","n/a",IF(X$3&gt;(A15stdlife+$E265),('PTRM input'!$L$157*(1+rvanilla06)^0.5)-SUM($L265:W265),('PTRM input'!$L$157*(1+rvanilla06)^0.5)/A15stdlife))</f>
        <v>0</v>
      </c>
      <c r="Y265" s="107">
        <f>IF(A15stdlife="n/a","n/a",IF(Y$3&gt;(A15stdlife+$E265),('PTRM input'!$L$157*(1+rvanilla06)^0.5)-SUM($L265:X265),('PTRM input'!$L$157*(1+rvanilla06)^0.5)/A15stdlife))</f>
        <v>0</v>
      </c>
      <c r="Z265" s="107">
        <f>IF(A15stdlife="n/a","n/a",IF(Z$3&gt;(A15stdlife+$E265),('PTRM input'!$L$157*(1+rvanilla06)^0.5)-SUM($L265:Y265),('PTRM input'!$L$157*(1+rvanilla06)^0.5)/A15stdlife))</f>
        <v>0</v>
      </c>
      <c r="AA265" s="107">
        <f>IF(A15stdlife="n/a","n/a",IF(AA$3&gt;(A15stdlife+$E265),('PTRM input'!$L$157*(1+rvanilla06)^0.5)-SUM($L265:Z265),('PTRM input'!$L$157*(1+rvanilla06)^0.5)/A15stdlife))</f>
        <v>0</v>
      </c>
      <c r="AB265" s="107">
        <f>IF(A15stdlife="n/a","n/a",IF(AB$3&gt;(A15stdlife+$E265),('PTRM input'!$L$157*(1+rvanilla06)^0.5)-SUM($L265:AA265),('PTRM input'!$L$157*(1+rvanilla06)^0.5)/A15stdlife))</f>
        <v>0</v>
      </c>
      <c r="AC265" s="107">
        <f>IF(A15stdlife="n/a","n/a",IF(AC$3&gt;(A15stdlife+$E265),('PTRM input'!$L$157*(1+rvanilla06)^0.5)-SUM($L265:AB265),('PTRM input'!$L$157*(1+rvanilla06)^0.5)/A15stdlife))</f>
        <v>0</v>
      </c>
      <c r="AD265" s="107">
        <f>IF(A15stdlife="n/a","n/a",IF(AD$3&gt;(A15stdlife+$E265),('PTRM input'!$L$157*(1+rvanilla06)^0.5)-SUM($L265:AC265),('PTRM input'!$L$157*(1+rvanilla06)^0.5)/A15stdlife))</f>
        <v>0</v>
      </c>
      <c r="AE265" s="107">
        <f>IF(A15stdlife="n/a","n/a",IF(AE$3&gt;(A15stdlife+$E265),('PTRM input'!$L$157*(1+rvanilla06)^0.5)-SUM($L265:AD265),('PTRM input'!$L$157*(1+rvanilla06)^0.5)/A15stdlife))</f>
        <v>0</v>
      </c>
      <c r="AF265" s="107">
        <f>IF(A15stdlife="n/a","n/a",IF(AF$3&gt;(A15stdlife+$E265),('PTRM input'!$L$157*(1+rvanilla06)^0.5)-SUM($L265:AE265),('PTRM input'!$L$157*(1+rvanilla06)^0.5)/A15stdlife))</f>
        <v>0</v>
      </c>
      <c r="AG265" s="107">
        <f>IF(A15stdlife="n/a","n/a",IF(AG$3&gt;(A15stdlife+$E265),('PTRM input'!$L$157*(1+rvanilla06)^0.5)-SUM($L265:AF265),('PTRM input'!$L$157*(1+rvanilla06)^0.5)/A15stdlife))</f>
        <v>0</v>
      </c>
      <c r="AH265" s="107">
        <f>IF(A15stdlife="n/a","n/a",IF(AH$3&gt;(A15stdlife+$E265),('PTRM input'!$L$157*(1+rvanilla06)^0.5)-SUM($L265:AG265),('PTRM input'!$L$157*(1+rvanilla06)^0.5)/A15stdlife))</f>
        <v>0</v>
      </c>
      <c r="AI265" s="107">
        <f>IF(A15stdlife="n/a","n/a",IF(AI$3&gt;(A15stdlife+$E265),('PTRM input'!$L$157*(1+rvanilla06)^0.5)-SUM($L265:AH265),('PTRM input'!$L$157*(1+rvanilla06)^0.5)/A15stdlife))</f>
        <v>0</v>
      </c>
      <c r="AJ265" s="107">
        <f>IF(A15stdlife="n/a","n/a",IF(AJ$3&gt;(A15stdlife+$E265),('PTRM input'!$L$157*(1+rvanilla06)^0.5)-SUM($L265:AI265),('PTRM input'!$L$157*(1+rvanilla06)^0.5)/A15stdlife))</f>
        <v>0</v>
      </c>
      <c r="AK265" s="107">
        <f>IF(A15stdlife="n/a","n/a",IF(AK$3&gt;(A15stdlife+$E265),('PTRM input'!$L$157*(1+rvanilla06)^0.5)-SUM($L265:AJ265),('PTRM input'!$L$157*(1+rvanilla06)^0.5)/A15stdlife))</f>
        <v>0</v>
      </c>
      <c r="AL265" s="107">
        <f>IF(A15stdlife="n/a","n/a",IF(AL$3&gt;(A15stdlife+$E265),('PTRM input'!$L$157*(1+rvanilla06)^0.5)-SUM($L265:AK265),('PTRM input'!$L$157*(1+rvanilla06)^0.5)/A15stdlife))</f>
        <v>0</v>
      </c>
      <c r="AM265" s="107">
        <f>IF(A15stdlife="n/a","n/a",IF(AM$3&gt;(A15stdlife+$E265),('PTRM input'!$L$157*(1+rvanilla06)^0.5)-SUM($L265:AL265),('PTRM input'!$L$157*(1+rvanilla06)^0.5)/A15stdlife))</f>
        <v>0</v>
      </c>
      <c r="AN265" s="107">
        <f>IF(A15stdlife="n/a","n/a",IF(AN$3&gt;(A15stdlife+$E265),('PTRM input'!$L$157*(1+rvanilla06)^0.5)-SUM($L265:AM265),('PTRM input'!$L$157*(1+rvanilla06)^0.5)/A15stdlife))</f>
        <v>0</v>
      </c>
      <c r="AO265" s="107">
        <f>IF(A15stdlife="n/a","n/a",IF(AO$3&gt;(A15stdlife+$E265),('PTRM input'!$L$157*(1+rvanilla06)^0.5)-SUM($L265:AN265),('PTRM input'!$L$157*(1+rvanilla06)^0.5)/A15stdlife))</f>
        <v>0</v>
      </c>
      <c r="AP265" s="107">
        <f>IF(A15stdlife="n/a","n/a",IF(AP$3&gt;(A15stdlife+$E265),('PTRM input'!$L$157*(1+rvanilla06)^0.5)-SUM($L265:AO265),('PTRM input'!$L$157*(1+rvanilla06)^0.5)/A15stdlife))</f>
        <v>0</v>
      </c>
      <c r="AQ265" s="107">
        <f>IF(A15stdlife="n/a","n/a",IF(AQ$3&gt;(A15stdlife+$E265),('PTRM input'!$L$157*(1+rvanilla06)^0.5)-SUM($L265:AP265),('PTRM input'!$L$157*(1+rvanilla06)^0.5)/A15stdlife))</f>
        <v>0</v>
      </c>
      <c r="AR265" s="107">
        <f>IF(A15stdlife="n/a","n/a",IF(AR$3&gt;(A15stdlife+$E265),('PTRM input'!$L$157*(1+rvanilla06)^0.5)-SUM($L265:AQ265),('PTRM input'!$L$157*(1+rvanilla06)^0.5)/A15stdlife))</f>
        <v>0</v>
      </c>
      <c r="AS265" s="107">
        <f>IF(A15stdlife="n/a","n/a",IF(AS$3&gt;(A15stdlife+$E265),('PTRM input'!$L$157*(1+rvanilla06)^0.5)-SUM($L265:AR265),('PTRM input'!$L$157*(1+rvanilla06)^0.5)/A15stdlife))</f>
        <v>0</v>
      </c>
      <c r="AT265" s="107">
        <f>IF(A15stdlife="n/a","n/a",IF(AT$3&gt;(A15stdlife+$E265),('PTRM input'!$L$157*(1+rvanilla06)^0.5)-SUM($L265:AS265),('PTRM input'!$L$157*(1+rvanilla06)^0.5)/A15stdlife))</f>
        <v>0</v>
      </c>
      <c r="AU265" s="107">
        <f>IF(A15stdlife="n/a","n/a",IF(AU$3&gt;(A15stdlife+$E265),('PTRM input'!$L$157*(1+rvanilla06)^0.5)-SUM($L265:AT265),('PTRM input'!$L$157*(1+rvanilla06)^0.5)/A15stdlife))</f>
        <v>0</v>
      </c>
      <c r="AV265" s="107">
        <f>IF(A15stdlife="n/a","n/a",IF(AV$3&gt;(A15stdlife+$E265),('PTRM input'!$L$157*(1+rvanilla06)^0.5)-SUM($L265:AU265),('PTRM input'!$L$157*(1+rvanilla06)^0.5)/A15stdlife))</f>
        <v>0</v>
      </c>
      <c r="AW265" s="107">
        <f>IF(A15stdlife="n/a","n/a",IF(AW$3&gt;(A15stdlife+$E265),('PTRM input'!$L$157*(1+rvanilla06)^0.5)-SUM($L265:AV265),('PTRM input'!$L$157*(1+rvanilla06)^0.5)/A15stdlife))</f>
        <v>0</v>
      </c>
      <c r="AX265" s="107">
        <f>IF(A15stdlife="n/a","n/a",IF(AX$3&gt;(A15stdlife+$E265),('PTRM input'!$L$157*(1+rvanilla06)^0.5)-SUM($L265:AW265),('PTRM input'!$L$157*(1+rvanilla06)^0.5)/A15stdlife))</f>
        <v>0</v>
      </c>
      <c r="AY265" s="107">
        <f>IF(A15stdlife="n/a","n/a",IF(AY$3&gt;(A15stdlife+$E265),('PTRM input'!$L$157*(1+rvanilla06)^0.5)-SUM($L265:AX265),('PTRM input'!$L$157*(1+rvanilla06)^0.5)/A15stdlife))</f>
        <v>0</v>
      </c>
      <c r="AZ265" s="107">
        <f>IF(A15stdlife="n/a","n/a",IF(AZ$3&gt;(A15stdlife+$E265),('PTRM input'!$L$157*(1+rvanilla06)^0.5)-SUM($L265:AY265),('PTRM input'!$L$157*(1+rvanilla06)^0.5)/A15stdlife))</f>
        <v>0</v>
      </c>
      <c r="BA265" s="107">
        <f>IF(A15stdlife="n/a","n/a",IF(BA$3&gt;(A15stdlife+$E265),('PTRM input'!$L$157*(1+rvanilla06)^0.5)-SUM($L265:AZ265),('PTRM input'!$L$157*(1+rvanilla06)^0.5)/A15stdlife))</f>
        <v>0</v>
      </c>
      <c r="BB265" s="107">
        <f>IF(A15stdlife="n/a","n/a",IF(BB$3&gt;(A15stdlife+$E265),('PTRM input'!$L$157*(1+rvanilla06)^0.5)-SUM($L265:BA265),('PTRM input'!$L$157*(1+rvanilla06)^0.5)/A15stdlife))</f>
        <v>0</v>
      </c>
      <c r="BC265" s="107">
        <f>IF(A15stdlife="n/a","n/a",IF(BC$3&gt;(A15stdlife+$E265),('PTRM input'!$L$157*(1+rvanilla06)^0.5)-SUM($L265:BB265),('PTRM input'!$L$157*(1+rvanilla06)^0.5)/A15stdlife))</f>
        <v>0</v>
      </c>
      <c r="BD265" s="107">
        <f>IF(A15stdlife="n/a","n/a",IF(BD$3&gt;(A15stdlife+$E265),('PTRM input'!$L$157*(1+rvanilla06)^0.5)-SUM($L265:BC265),('PTRM input'!$L$157*(1+rvanilla06)^0.5)/A15stdlife))</f>
        <v>0</v>
      </c>
      <c r="BE265" s="107">
        <f>IF(A15stdlife="n/a","n/a",IF(BE$3&gt;(A15stdlife+$E265),('PTRM input'!$L$157*(1+rvanilla06)^0.5)-SUM($L265:BD265),('PTRM input'!$L$157*(1+rvanilla06)^0.5)/A15stdlife))</f>
        <v>0</v>
      </c>
      <c r="BF265" s="107">
        <f>IF(A15stdlife="n/a","n/a",IF(BF$3&gt;(A15stdlife+$E265),('PTRM input'!$L$157*(1+rvanilla06)^0.5)-SUM($L265:BE265),('PTRM input'!$L$157*(1+rvanilla06)^0.5)/A15stdlife))</f>
        <v>0</v>
      </c>
      <c r="BG265" s="107">
        <f>IF(A15stdlife="n/a","n/a",IF(BG$3&gt;(A15stdlife+$E265),('PTRM input'!$L$157*(1+rvanilla06)^0.5)-SUM($L265:BF265),('PTRM input'!$L$157*(1+rvanilla06)^0.5)/A15stdlife))</f>
        <v>0</v>
      </c>
      <c r="BH265" s="107">
        <f>IF(A15stdlife="n/a","n/a",IF(BH$3&gt;(A15stdlife+$E265),('PTRM input'!$L$157*(1+rvanilla06)^0.5)-SUM($L265:BG265),('PTRM input'!$L$157*(1+rvanilla06)^0.5)/A15stdlife))</f>
        <v>0</v>
      </c>
      <c r="BI265" s="107">
        <f>IF(A15stdlife="n/a","n/a",IF(BI$3&gt;(A15stdlife+$E265),('PTRM input'!$L$157*(1+rvanilla06)^0.5)-SUM($L265:BH265),('PTRM input'!$L$157*(1+rvanilla06)^0.5)/A15stdlife))</f>
        <v>0</v>
      </c>
      <c r="BJ265" s="237"/>
      <c r="BK265" s="237"/>
      <c r="BL265" s="237"/>
      <c r="BM265" s="237"/>
    </row>
    <row r="266" spans="1:65" s="190" customFormat="1" hidden="1" outlineLevel="2">
      <c r="A266" s="237"/>
      <c r="B266" s="33"/>
      <c r="C266" s="32"/>
      <c r="D266" s="1618"/>
      <c r="E266" s="169">
        <v>7</v>
      </c>
      <c r="F266" s="35"/>
      <c r="G266" s="184"/>
      <c r="H266" s="186"/>
      <c r="I266" s="186"/>
      <c r="J266" s="186"/>
      <c r="K266" s="186"/>
      <c r="L266" s="186"/>
      <c r="M266" s="185"/>
      <c r="N266" s="107">
        <f>IF(A15stdlife="n/a","n/a",IF(N$3&gt;(A15stdlife+$E266),('PTRM input'!$M$157*(1+rvanilla07)^0.5)-SUM($M266:M266),('PTRM input'!$M$157*(1+rvanilla07)^0.5)/A15stdlife))</f>
        <v>0</v>
      </c>
      <c r="O266" s="107">
        <f>IF(A15stdlife="n/a","n/a",IF(O$3&gt;(A15stdlife+$E266),('PTRM input'!$M$157*(1+rvanilla07)^0.5)-SUM($M266:N266),('PTRM input'!$M$157*(1+rvanilla07)^0.5)/A15stdlife))</f>
        <v>0</v>
      </c>
      <c r="P266" s="107">
        <f>IF(A15stdlife="n/a","n/a",IF(P$3&gt;(A15stdlife+$E266),('PTRM input'!$M$157*(1+rvanilla07)^0.5)-SUM($M266:O266),('PTRM input'!$M$157*(1+rvanilla07)^0.5)/A15stdlife))</f>
        <v>0</v>
      </c>
      <c r="Q266" s="107">
        <f>IF(A15stdlife="n/a","n/a",IF(Q$3&gt;(A15stdlife+$E266),('PTRM input'!$M$157*(1+rvanilla07)^0.5)-SUM($M266:P266),('PTRM input'!$M$157*(1+rvanilla07)^0.5)/A15stdlife))</f>
        <v>0</v>
      </c>
      <c r="R266" s="107">
        <f>IF(A15stdlife="n/a","n/a",IF(R$3&gt;(A15stdlife+$E266),('PTRM input'!$M$157*(1+rvanilla07)^0.5)-SUM($M266:Q266),('PTRM input'!$M$157*(1+rvanilla07)^0.5)/A15stdlife))</f>
        <v>0</v>
      </c>
      <c r="S266" s="107">
        <f>IF(A15stdlife="n/a","n/a",IF(S$3&gt;(A15stdlife+$E266),('PTRM input'!$M$157*(1+rvanilla07)^0.5)-SUM($M266:R266),('PTRM input'!$M$157*(1+rvanilla07)^0.5)/A15stdlife))</f>
        <v>0</v>
      </c>
      <c r="T266" s="107">
        <f>IF(A15stdlife="n/a","n/a",IF(T$3&gt;(A15stdlife+$E266),('PTRM input'!$M$157*(1+rvanilla07)^0.5)-SUM($M266:S266),('PTRM input'!$M$157*(1+rvanilla07)^0.5)/A15stdlife))</f>
        <v>0</v>
      </c>
      <c r="U266" s="107">
        <f>IF(A15stdlife="n/a","n/a",IF(U$3&gt;(A15stdlife+$E266),('PTRM input'!$M$157*(1+rvanilla07)^0.5)-SUM($M266:T266),('PTRM input'!$M$157*(1+rvanilla07)^0.5)/A15stdlife))</f>
        <v>0</v>
      </c>
      <c r="V266" s="107">
        <f>IF(A15stdlife="n/a","n/a",IF(V$3&gt;(A15stdlife+$E266),('PTRM input'!$M$157*(1+rvanilla07)^0.5)-SUM($M266:U266),('PTRM input'!$M$157*(1+rvanilla07)^0.5)/A15stdlife))</f>
        <v>0</v>
      </c>
      <c r="W266" s="107">
        <f>IF(A15stdlife="n/a","n/a",IF(W$3&gt;(A15stdlife+$E266),('PTRM input'!$M$157*(1+rvanilla07)^0.5)-SUM($M266:V266),('PTRM input'!$M$157*(1+rvanilla07)^0.5)/A15stdlife))</f>
        <v>0</v>
      </c>
      <c r="X266" s="107">
        <f>IF(A15stdlife="n/a","n/a",IF(X$3&gt;(A15stdlife+$E266),('PTRM input'!$M$157*(1+rvanilla07)^0.5)-SUM($M266:W266),('PTRM input'!$M$157*(1+rvanilla07)^0.5)/A15stdlife))</f>
        <v>0</v>
      </c>
      <c r="Y266" s="107">
        <f>IF(A15stdlife="n/a","n/a",IF(Y$3&gt;(A15stdlife+$E266),('PTRM input'!$M$157*(1+rvanilla07)^0.5)-SUM($M266:X266),('PTRM input'!$M$157*(1+rvanilla07)^0.5)/A15stdlife))</f>
        <v>0</v>
      </c>
      <c r="Z266" s="107">
        <f>IF(A15stdlife="n/a","n/a",IF(Z$3&gt;(A15stdlife+$E266),('PTRM input'!$M$157*(1+rvanilla07)^0.5)-SUM($M266:Y266),('PTRM input'!$M$157*(1+rvanilla07)^0.5)/A15stdlife))</f>
        <v>0</v>
      </c>
      <c r="AA266" s="107">
        <f>IF(A15stdlife="n/a","n/a",IF(AA$3&gt;(A15stdlife+$E266),('PTRM input'!$M$157*(1+rvanilla07)^0.5)-SUM($M266:Z266),('PTRM input'!$M$157*(1+rvanilla07)^0.5)/A15stdlife))</f>
        <v>0</v>
      </c>
      <c r="AB266" s="107">
        <f>IF(A15stdlife="n/a","n/a",IF(AB$3&gt;(A15stdlife+$E266),('PTRM input'!$M$157*(1+rvanilla07)^0.5)-SUM($M266:AA266),('PTRM input'!$M$157*(1+rvanilla07)^0.5)/A15stdlife))</f>
        <v>0</v>
      </c>
      <c r="AC266" s="107">
        <f>IF(A15stdlife="n/a","n/a",IF(AC$3&gt;(A15stdlife+$E266),('PTRM input'!$M$157*(1+rvanilla07)^0.5)-SUM($M266:AB266),('PTRM input'!$M$157*(1+rvanilla07)^0.5)/A15stdlife))</f>
        <v>0</v>
      </c>
      <c r="AD266" s="107">
        <f>IF(A15stdlife="n/a","n/a",IF(AD$3&gt;(A15stdlife+$E266),('PTRM input'!$M$157*(1+rvanilla07)^0.5)-SUM($M266:AC266),('PTRM input'!$M$157*(1+rvanilla07)^0.5)/A15stdlife))</f>
        <v>0</v>
      </c>
      <c r="AE266" s="107">
        <f>IF(A15stdlife="n/a","n/a",IF(AE$3&gt;(A15stdlife+$E266),('PTRM input'!$M$157*(1+rvanilla07)^0.5)-SUM($M266:AD266),('PTRM input'!$M$157*(1+rvanilla07)^0.5)/A15stdlife))</f>
        <v>0</v>
      </c>
      <c r="AF266" s="107">
        <f>IF(A15stdlife="n/a","n/a",IF(AF$3&gt;(A15stdlife+$E266),('PTRM input'!$M$157*(1+rvanilla07)^0.5)-SUM($M266:AE266),('PTRM input'!$M$157*(1+rvanilla07)^0.5)/A15stdlife))</f>
        <v>0</v>
      </c>
      <c r="AG266" s="107">
        <f>IF(A15stdlife="n/a","n/a",IF(AG$3&gt;(A15stdlife+$E266),('PTRM input'!$M$157*(1+rvanilla07)^0.5)-SUM($M266:AF266),('PTRM input'!$M$157*(1+rvanilla07)^0.5)/A15stdlife))</f>
        <v>0</v>
      </c>
      <c r="AH266" s="107">
        <f>IF(A15stdlife="n/a","n/a",IF(AH$3&gt;(A15stdlife+$E266),('PTRM input'!$M$157*(1+rvanilla07)^0.5)-SUM($M266:AG266),('PTRM input'!$M$157*(1+rvanilla07)^0.5)/A15stdlife))</f>
        <v>0</v>
      </c>
      <c r="AI266" s="107">
        <f>IF(A15stdlife="n/a","n/a",IF(AI$3&gt;(A15stdlife+$E266),('PTRM input'!$M$157*(1+rvanilla07)^0.5)-SUM($M266:AH266),('PTRM input'!$M$157*(1+rvanilla07)^0.5)/A15stdlife))</f>
        <v>0</v>
      </c>
      <c r="AJ266" s="107">
        <f>IF(A15stdlife="n/a","n/a",IF(AJ$3&gt;(A15stdlife+$E266),('PTRM input'!$M$157*(1+rvanilla07)^0.5)-SUM($M266:AI266),('PTRM input'!$M$157*(1+rvanilla07)^0.5)/A15stdlife))</f>
        <v>0</v>
      </c>
      <c r="AK266" s="107">
        <f>IF(A15stdlife="n/a","n/a",IF(AK$3&gt;(A15stdlife+$E266),('PTRM input'!$M$157*(1+rvanilla07)^0.5)-SUM($M266:AJ266),('PTRM input'!$M$157*(1+rvanilla07)^0.5)/A15stdlife))</f>
        <v>0</v>
      </c>
      <c r="AL266" s="107">
        <f>IF(A15stdlife="n/a","n/a",IF(AL$3&gt;(A15stdlife+$E266),('PTRM input'!$M$157*(1+rvanilla07)^0.5)-SUM($M266:AK266),('PTRM input'!$M$157*(1+rvanilla07)^0.5)/A15stdlife))</f>
        <v>0</v>
      </c>
      <c r="AM266" s="107">
        <f>IF(A15stdlife="n/a","n/a",IF(AM$3&gt;(A15stdlife+$E266),('PTRM input'!$M$157*(1+rvanilla07)^0.5)-SUM($M266:AL266),('PTRM input'!$M$157*(1+rvanilla07)^0.5)/A15stdlife))</f>
        <v>0</v>
      </c>
      <c r="AN266" s="107">
        <f>IF(A15stdlife="n/a","n/a",IF(AN$3&gt;(A15stdlife+$E266),('PTRM input'!$M$157*(1+rvanilla07)^0.5)-SUM($M266:AM266),('PTRM input'!$M$157*(1+rvanilla07)^0.5)/A15stdlife))</f>
        <v>0</v>
      </c>
      <c r="AO266" s="107">
        <f>IF(A15stdlife="n/a","n/a",IF(AO$3&gt;(A15stdlife+$E266),('PTRM input'!$M$157*(1+rvanilla07)^0.5)-SUM($M266:AN266),('PTRM input'!$M$157*(1+rvanilla07)^0.5)/A15stdlife))</f>
        <v>0</v>
      </c>
      <c r="AP266" s="107">
        <f>IF(A15stdlife="n/a","n/a",IF(AP$3&gt;(A15stdlife+$E266),('PTRM input'!$M$157*(1+rvanilla07)^0.5)-SUM($M266:AO266),('PTRM input'!$M$157*(1+rvanilla07)^0.5)/A15stdlife))</f>
        <v>0</v>
      </c>
      <c r="AQ266" s="107">
        <f>IF(A15stdlife="n/a","n/a",IF(AQ$3&gt;(A15stdlife+$E266),('PTRM input'!$M$157*(1+rvanilla07)^0.5)-SUM($M266:AP266),('PTRM input'!$M$157*(1+rvanilla07)^0.5)/A15stdlife))</f>
        <v>0</v>
      </c>
      <c r="AR266" s="107">
        <f>IF(A15stdlife="n/a","n/a",IF(AR$3&gt;(A15stdlife+$E266),('PTRM input'!$M$157*(1+rvanilla07)^0.5)-SUM($M266:AQ266),('PTRM input'!$M$157*(1+rvanilla07)^0.5)/A15stdlife))</f>
        <v>0</v>
      </c>
      <c r="AS266" s="107">
        <f>IF(A15stdlife="n/a","n/a",IF(AS$3&gt;(A15stdlife+$E266),('PTRM input'!$M$157*(1+rvanilla07)^0.5)-SUM($M266:AR266),('PTRM input'!$M$157*(1+rvanilla07)^0.5)/A15stdlife))</f>
        <v>0</v>
      </c>
      <c r="AT266" s="107">
        <f>IF(A15stdlife="n/a","n/a",IF(AT$3&gt;(A15stdlife+$E266),('PTRM input'!$M$157*(1+rvanilla07)^0.5)-SUM($M266:AS266),('PTRM input'!$M$157*(1+rvanilla07)^0.5)/A15stdlife))</f>
        <v>0</v>
      </c>
      <c r="AU266" s="107">
        <f>IF(A15stdlife="n/a","n/a",IF(AU$3&gt;(A15stdlife+$E266),('PTRM input'!$M$157*(1+rvanilla07)^0.5)-SUM($M266:AT266),('PTRM input'!$M$157*(1+rvanilla07)^0.5)/A15stdlife))</f>
        <v>0</v>
      </c>
      <c r="AV266" s="107">
        <f>IF(A15stdlife="n/a","n/a",IF(AV$3&gt;(A15stdlife+$E266),('PTRM input'!$M$157*(1+rvanilla07)^0.5)-SUM($M266:AU266),('PTRM input'!$M$157*(1+rvanilla07)^0.5)/A15stdlife))</f>
        <v>0</v>
      </c>
      <c r="AW266" s="107">
        <f>IF(A15stdlife="n/a","n/a",IF(AW$3&gt;(A15stdlife+$E266),('PTRM input'!$M$157*(1+rvanilla07)^0.5)-SUM($M266:AV266),('PTRM input'!$M$157*(1+rvanilla07)^0.5)/A15stdlife))</f>
        <v>0</v>
      </c>
      <c r="AX266" s="107">
        <f>IF(A15stdlife="n/a","n/a",IF(AX$3&gt;(A15stdlife+$E266),('PTRM input'!$M$157*(1+rvanilla07)^0.5)-SUM($M266:AW266),('PTRM input'!$M$157*(1+rvanilla07)^0.5)/A15stdlife))</f>
        <v>0</v>
      </c>
      <c r="AY266" s="107">
        <f>IF(A15stdlife="n/a","n/a",IF(AY$3&gt;(A15stdlife+$E266),('PTRM input'!$M$157*(1+rvanilla07)^0.5)-SUM($M266:AX266),('PTRM input'!$M$157*(1+rvanilla07)^0.5)/A15stdlife))</f>
        <v>0</v>
      </c>
      <c r="AZ266" s="107">
        <f>IF(A15stdlife="n/a","n/a",IF(AZ$3&gt;(A15stdlife+$E266),('PTRM input'!$M$157*(1+rvanilla07)^0.5)-SUM($M266:AY266),('PTRM input'!$M$157*(1+rvanilla07)^0.5)/A15stdlife))</f>
        <v>0</v>
      </c>
      <c r="BA266" s="107">
        <f>IF(A15stdlife="n/a","n/a",IF(BA$3&gt;(A15stdlife+$E266),('PTRM input'!$M$157*(1+rvanilla07)^0.5)-SUM($M266:AZ266),('PTRM input'!$M$157*(1+rvanilla07)^0.5)/A15stdlife))</f>
        <v>0</v>
      </c>
      <c r="BB266" s="107">
        <f>IF(A15stdlife="n/a","n/a",IF(BB$3&gt;(A15stdlife+$E266),('PTRM input'!$M$157*(1+rvanilla07)^0.5)-SUM($M266:BA266),('PTRM input'!$M$157*(1+rvanilla07)^0.5)/A15stdlife))</f>
        <v>0</v>
      </c>
      <c r="BC266" s="107">
        <f>IF(A15stdlife="n/a","n/a",IF(BC$3&gt;(A15stdlife+$E266),('PTRM input'!$M$157*(1+rvanilla07)^0.5)-SUM($M266:BB266),('PTRM input'!$M$157*(1+rvanilla07)^0.5)/A15stdlife))</f>
        <v>0</v>
      </c>
      <c r="BD266" s="107">
        <f>IF(A15stdlife="n/a","n/a",IF(BD$3&gt;(A15stdlife+$E266),('PTRM input'!$M$157*(1+rvanilla07)^0.5)-SUM($M266:BC266),('PTRM input'!$M$157*(1+rvanilla07)^0.5)/A15stdlife))</f>
        <v>0</v>
      </c>
      <c r="BE266" s="107">
        <f>IF(A15stdlife="n/a","n/a",IF(BE$3&gt;(A15stdlife+$E266),('PTRM input'!$M$157*(1+rvanilla07)^0.5)-SUM($M266:BD266),('PTRM input'!$M$157*(1+rvanilla07)^0.5)/A15stdlife))</f>
        <v>0</v>
      </c>
      <c r="BF266" s="107">
        <f>IF(A15stdlife="n/a","n/a",IF(BF$3&gt;(A15stdlife+$E266),('PTRM input'!$M$157*(1+rvanilla07)^0.5)-SUM($M266:BE266),('PTRM input'!$M$157*(1+rvanilla07)^0.5)/A15stdlife))</f>
        <v>0</v>
      </c>
      <c r="BG266" s="107">
        <f>IF(A15stdlife="n/a","n/a",IF(BG$3&gt;(A15stdlife+$E266),('PTRM input'!$M$157*(1+rvanilla07)^0.5)-SUM($M266:BF266),('PTRM input'!$M$157*(1+rvanilla07)^0.5)/A15stdlife))</f>
        <v>0</v>
      </c>
      <c r="BH266" s="107">
        <f>IF(A15stdlife="n/a","n/a",IF(BH$3&gt;(A15stdlife+$E266),('PTRM input'!$M$157*(1+rvanilla07)^0.5)-SUM($M266:BG266),('PTRM input'!$M$157*(1+rvanilla07)^0.5)/A15stdlife))</f>
        <v>0</v>
      </c>
      <c r="BI266" s="107">
        <f>IF(A15stdlife="n/a","n/a",IF(BI$3&gt;(A15stdlife+$E266),('PTRM input'!$M$157*(1+rvanilla07)^0.5)-SUM($M266:BH266),('PTRM input'!$M$157*(1+rvanilla07)^0.5)/A15stdlife))</f>
        <v>0</v>
      </c>
      <c r="BJ266" s="237"/>
      <c r="BK266" s="237"/>
      <c r="BL266" s="237"/>
      <c r="BM266" s="237"/>
    </row>
    <row r="267" spans="1:65" s="190" customFormat="1" hidden="1" outlineLevel="2">
      <c r="A267" s="237"/>
      <c r="B267" s="33"/>
      <c r="C267" s="32"/>
      <c r="D267" s="1618"/>
      <c r="E267" s="169">
        <v>8</v>
      </c>
      <c r="F267" s="35"/>
      <c r="G267" s="184"/>
      <c r="H267" s="186"/>
      <c r="I267" s="186"/>
      <c r="J267" s="186"/>
      <c r="K267" s="186"/>
      <c r="L267" s="186"/>
      <c r="M267" s="186"/>
      <c r="N267" s="185"/>
      <c r="O267" s="107">
        <f>IF(A15stdlife="n/a","n/a",IF(O$3&gt;(A15stdlife+$E267),('PTRM input'!$N$157*(1+rvanilla08)^0.5)-SUM($N267:N267),('PTRM input'!$N$157*(1+rvanilla08)^0.5)/A15stdlife))</f>
        <v>0</v>
      </c>
      <c r="P267" s="107">
        <f>IF(A15stdlife="n/a","n/a",IF(P$3&gt;(A15stdlife+$E267),('PTRM input'!$N$157*(1+rvanilla08)^0.5)-SUM($N267:O267),('PTRM input'!$N$157*(1+rvanilla08)^0.5)/A15stdlife))</f>
        <v>0</v>
      </c>
      <c r="Q267" s="107">
        <f>IF(A15stdlife="n/a","n/a",IF(Q$3&gt;(A15stdlife+$E267),('PTRM input'!$N$157*(1+rvanilla08)^0.5)-SUM($N267:P267),('PTRM input'!$N$157*(1+rvanilla08)^0.5)/A15stdlife))</f>
        <v>0</v>
      </c>
      <c r="R267" s="107">
        <f>IF(A15stdlife="n/a","n/a",IF(R$3&gt;(A15stdlife+$E267),('PTRM input'!$N$157*(1+rvanilla08)^0.5)-SUM($N267:Q267),('PTRM input'!$N$157*(1+rvanilla08)^0.5)/A15stdlife))</f>
        <v>0</v>
      </c>
      <c r="S267" s="107">
        <f>IF(A15stdlife="n/a","n/a",IF(S$3&gt;(A15stdlife+$E267),('PTRM input'!$N$157*(1+rvanilla08)^0.5)-SUM($N267:R267),('PTRM input'!$N$157*(1+rvanilla08)^0.5)/A15stdlife))</f>
        <v>0</v>
      </c>
      <c r="T267" s="107">
        <f>IF(A15stdlife="n/a","n/a",IF(T$3&gt;(A15stdlife+$E267),('PTRM input'!$N$157*(1+rvanilla08)^0.5)-SUM($N267:S267),('PTRM input'!$N$157*(1+rvanilla08)^0.5)/A15stdlife))</f>
        <v>0</v>
      </c>
      <c r="U267" s="107">
        <f>IF(A15stdlife="n/a","n/a",IF(U$3&gt;(A15stdlife+$E267),('PTRM input'!$N$157*(1+rvanilla08)^0.5)-SUM($N267:T267),('PTRM input'!$N$157*(1+rvanilla08)^0.5)/A15stdlife))</f>
        <v>0</v>
      </c>
      <c r="V267" s="107">
        <f>IF(A15stdlife="n/a","n/a",IF(V$3&gt;(A15stdlife+$E267),('PTRM input'!$N$157*(1+rvanilla08)^0.5)-SUM($N267:U267),('PTRM input'!$N$157*(1+rvanilla08)^0.5)/A15stdlife))</f>
        <v>0</v>
      </c>
      <c r="W267" s="107">
        <f>IF(A15stdlife="n/a","n/a",IF(W$3&gt;(A15stdlife+$E267),('PTRM input'!$N$157*(1+rvanilla08)^0.5)-SUM($N267:V267),('PTRM input'!$N$157*(1+rvanilla08)^0.5)/A15stdlife))</f>
        <v>0</v>
      </c>
      <c r="X267" s="107">
        <f>IF(A15stdlife="n/a","n/a",IF(X$3&gt;(A15stdlife+$E267),('PTRM input'!$N$157*(1+rvanilla08)^0.5)-SUM($N267:W267),('PTRM input'!$N$157*(1+rvanilla08)^0.5)/A15stdlife))</f>
        <v>0</v>
      </c>
      <c r="Y267" s="107">
        <f>IF(A15stdlife="n/a","n/a",IF(Y$3&gt;(A15stdlife+$E267),('PTRM input'!$N$157*(1+rvanilla08)^0.5)-SUM($N267:X267),('PTRM input'!$N$157*(1+rvanilla08)^0.5)/A15stdlife))</f>
        <v>0</v>
      </c>
      <c r="Z267" s="107">
        <f>IF(A15stdlife="n/a","n/a",IF(Z$3&gt;(A15stdlife+$E267),('PTRM input'!$N$157*(1+rvanilla08)^0.5)-SUM($N267:Y267),('PTRM input'!$N$157*(1+rvanilla08)^0.5)/A15stdlife))</f>
        <v>0</v>
      </c>
      <c r="AA267" s="107">
        <f>IF(A15stdlife="n/a","n/a",IF(AA$3&gt;(A15stdlife+$E267),('PTRM input'!$N$157*(1+rvanilla08)^0.5)-SUM($N267:Z267),('PTRM input'!$N$157*(1+rvanilla08)^0.5)/A15stdlife))</f>
        <v>0</v>
      </c>
      <c r="AB267" s="107">
        <f>IF(A15stdlife="n/a","n/a",IF(AB$3&gt;(A15stdlife+$E267),('PTRM input'!$N$157*(1+rvanilla08)^0.5)-SUM($N267:AA267),('PTRM input'!$N$157*(1+rvanilla08)^0.5)/A15stdlife))</f>
        <v>0</v>
      </c>
      <c r="AC267" s="107">
        <f>IF(A15stdlife="n/a","n/a",IF(AC$3&gt;(A15stdlife+$E267),('PTRM input'!$N$157*(1+rvanilla08)^0.5)-SUM($N267:AB267),('PTRM input'!$N$157*(1+rvanilla08)^0.5)/A15stdlife))</f>
        <v>0</v>
      </c>
      <c r="AD267" s="107">
        <f>IF(A15stdlife="n/a","n/a",IF(AD$3&gt;(A15stdlife+$E267),('PTRM input'!$N$157*(1+rvanilla08)^0.5)-SUM($N267:AC267),('PTRM input'!$N$157*(1+rvanilla08)^0.5)/A15stdlife))</f>
        <v>0</v>
      </c>
      <c r="AE267" s="107">
        <f>IF(A15stdlife="n/a","n/a",IF(AE$3&gt;(A15stdlife+$E267),('PTRM input'!$N$157*(1+rvanilla08)^0.5)-SUM($N267:AD267),('PTRM input'!$N$157*(1+rvanilla08)^0.5)/A15stdlife))</f>
        <v>0</v>
      </c>
      <c r="AF267" s="107">
        <f>IF(A15stdlife="n/a","n/a",IF(AF$3&gt;(A15stdlife+$E267),('PTRM input'!$N$157*(1+rvanilla08)^0.5)-SUM($N267:AE267),('PTRM input'!$N$157*(1+rvanilla08)^0.5)/A15stdlife))</f>
        <v>0</v>
      </c>
      <c r="AG267" s="107">
        <f>IF(A15stdlife="n/a","n/a",IF(AG$3&gt;(A15stdlife+$E267),('PTRM input'!$N$157*(1+rvanilla08)^0.5)-SUM($N267:AF267),('PTRM input'!$N$157*(1+rvanilla08)^0.5)/A15stdlife))</f>
        <v>0</v>
      </c>
      <c r="AH267" s="107">
        <f>IF(A15stdlife="n/a","n/a",IF(AH$3&gt;(A15stdlife+$E267),('PTRM input'!$N$157*(1+rvanilla08)^0.5)-SUM($N267:AG267),('PTRM input'!$N$157*(1+rvanilla08)^0.5)/A15stdlife))</f>
        <v>0</v>
      </c>
      <c r="AI267" s="107">
        <f>IF(A15stdlife="n/a","n/a",IF(AI$3&gt;(A15stdlife+$E267),('PTRM input'!$N$157*(1+rvanilla08)^0.5)-SUM($N267:AH267),('PTRM input'!$N$157*(1+rvanilla08)^0.5)/A15stdlife))</f>
        <v>0</v>
      </c>
      <c r="AJ267" s="107">
        <f>IF(A15stdlife="n/a","n/a",IF(AJ$3&gt;(A15stdlife+$E267),('PTRM input'!$N$157*(1+rvanilla08)^0.5)-SUM($N267:AI267),('PTRM input'!$N$157*(1+rvanilla08)^0.5)/A15stdlife))</f>
        <v>0</v>
      </c>
      <c r="AK267" s="107">
        <f>IF(A15stdlife="n/a","n/a",IF(AK$3&gt;(A15stdlife+$E267),('PTRM input'!$N$157*(1+rvanilla08)^0.5)-SUM($N267:AJ267),('PTRM input'!$N$157*(1+rvanilla08)^0.5)/A15stdlife))</f>
        <v>0</v>
      </c>
      <c r="AL267" s="107">
        <f>IF(A15stdlife="n/a","n/a",IF(AL$3&gt;(A15stdlife+$E267),('PTRM input'!$N$157*(1+rvanilla08)^0.5)-SUM($N267:AK267),('PTRM input'!$N$157*(1+rvanilla08)^0.5)/A15stdlife))</f>
        <v>0</v>
      </c>
      <c r="AM267" s="107">
        <f>IF(A15stdlife="n/a","n/a",IF(AM$3&gt;(A15stdlife+$E267),('PTRM input'!$N$157*(1+rvanilla08)^0.5)-SUM($N267:AL267),('PTRM input'!$N$157*(1+rvanilla08)^0.5)/A15stdlife))</f>
        <v>0</v>
      </c>
      <c r="AN267" s="107">
        <f>IF(A15stdlife="n/a","n/a",IF(AN$3&gt;(A15stdlife+$E267),('PTRM input'!$N$157*(1+rvanilla08)^0.5)-SUM($N267:AM267),('PTRM input'!$N$157*(1+rvanilla08)^0.5)/A15stdlife))</f>
        <v>0</v>
      </c>
      <c r="AO267" s="107">
        <f>IF(A15stdlife="n/a","n/a",IF(AO$3&gt;(A15stdlife+$E267),('PTRM input'!$N$157*(1+rvanilla08)^0.5)-SUM($N267:AN267),('PTRM input'!$N$157*(1+rvanilla08)^0.5)/A15stdlife))</f>
        <v>0</v>
      </c>
      <c r="AP267" s="107">
        <f>IF(A15stdlife="n/a","n/a",IF(AP$3&gt;(A15stdlife+$E267),('PTRM input'!$N$157*(1+rvanilla08)^0.5)-SUM($N267:AO267),('PTRM input'!$N$157*(1+rvanilla08)^0.5)/A15stdlife))</f>
        <v>0</v>
      </c>
      <c r="AQ267" s="107">
        <f>IF(A15stdlife="n/a","n/a",IF(AQ$3&gt;(A15stdlife+$E267),('PTRM input'!$N$157*(1+rvanilla08)^0.5)-SUM($N267:AP267),('PTRM input'!$N$157*(1+rvanilla08)^0.5)/A15stdlife))</f>
        <v>0</v>
      </c>
      <c r="AR267" s="107">
        <f>IF(A15stdlife="n/a","n/a",IF(AR$3&gt;(A15stdlife+$E267),('PTRM input'!$N$157*(1+rvanilla08)^0.5)-SUM($N267:AQ267),('PTRM input'!$N$157*(1+rvanilla08)^0.5)/A15stdlife))</f>
        <v>0</v>
      </c>
      <c r="AS267" s="107">
        <f>IF(A15stdlife="n/a","n/a",IF(AS$3&gt;(A15stdlife+$E267),('PTRM input'!$N$157*(1+rvanilla08)^0.5)-SUM($N267:AR267),('PTRM input'!$N$157*(1+rvanilla08)^0.5)/A15stdlife))</f>
        <v>0</v>
      </c>
      <c r="AT267" s="107">
        <f>IF(A15stdlife="n/a","n/a",IF(AT$3&gt;(A15stdlife+$E267),('PTRM input'!$N$157*(1+rvanilla08)^0.5)-SUM($N267:AS267),('PTRM input'!$N$157*(1+rvanilla08)^0.5)/A15stdlife))</f>
        <v>0</v>
      </c>
      <c r="AU267" s="107">
        <f>IF(A15stdlife="n/a","n/a",IF(AU$3&gt;(A15stdlife+$E267),('PTRM input'!$N$157*(1+rvanilla08)^0.5)-SUM($N267:AT267),('PTRM input'!$N$157*(1+rvanilla08)^0.5)/A15stdlife))</f>
        <v>0</v>
      </c>
      <c r="AV267" s="107">
        <f>IF(A15stdlife="n/a","n/a",IF(AV$3&gt;(A15stdlife+$E267),('PTRM input'!$N$157*(1+rvanilla08)^0.5)-SUM($N267:AU267),('PTRM input'!$N$157*(1+rvanilla08)^0.5)/A15stdlife))</f>
        <v>0</v>
      </c>
      <c r="AW267" s="107">
        <f>IF(A15stdlife="n/a","n/a",IF(AW$3&gt;(A15stdlife+$E267),('PTRM input'!$N$157*(1+rvanilla08)^0.5)-SUM($N267:AV267),('PTRM input'!$N$157*(1+rvanilla08)^0.5)/A15stdlife))</f>
        <v>0</v>
      </c>
      <c r="AX267" s="107">
        <f>IF(A15stdlife="n/a","n/a",IF(AX$3&gt;(A15stdlife+$E267),('PTRM input'!$N$157*(1+rvanilla08)^0.5)-SUM($N267:AW267),('PTRM input'!$N$157*(1+rvanilla08)^0.5)/A15stdlife))</f>
        <v>0</v>
      </c>
      <c r="AY267" s="107">
        <f>IF(A15stdlife="n/a","n/a",IF(AY$3&gt;(A15stdlife+$E267),('PTRM input'!$N$157*(1+rvanilla08)^0.5)-SUM($N267:AX267),('PTRM input'!$N$157*(1+rvanilla08)^0.5)/A15stdlife))</f>
        <v>0</v>
      </c>
      <c r="AZ267" s="107">
        <f>IF(A15stdlife="n/a","n/a",IF(AZ$3&gt;(A15stdlife+$E267),('PTRM input'!$N$157*(1+rvanilla08)^0.5)-SUM($N267:AY267),('PTRM input'!$N$157*(1+rvanilla08)^0.5)/A15stdlife))</f>
        <v>0</v>
      </c>
      <c r="BA267" s="107">
        <f>IF(A15stdlife="n/a","n/a",IF(BA$3&gt;(A15stdlife+$E267),('PTRM input'!$N$157*(1+rvanilla08)^0.5)-SUM($N267:AZ267),('PTRM input'!$N$157*(1+rvanilla08)^0.5)/A15stdlife))</f>
        <v>0</v>
      </c>
      <c r="BB267" s="107">
        <f>IF(A15stdlife="n/a","n/a",IF(BB$3&gt;(A15stdlife+$E267),('PTRM input'!$N$157*(1+rvanilla08)^0.5)-SUM($N267:BA267),('PTRM input'!$N$157*(1+rvanilla08)^0.5)/A15stdlife))</f>
        <v>0</v>
      </c>
      <c r="BC267" s="107">
        <f>IF(A15stdlife="n/a","n/a",IF(BC$3&gt;(A15stdlife+$E267),('PTRM input'!$N$157*(1+rvanilla08)^0.5)-SUM($N267:BB267),('PTRM input'!$N$157*(1+rvanilla08)^0.5)/A15stdlife))</f>
        <v>0</v>
      </c>
      <c r="BD267" s="107">
        <f>IF(A15stdlife="n/a","n/a",IF(BD$3&gt;(A15stdlife+$E267),('PTRM input'!$N$157*(1+rvanilla08)^0.5)-SUM($N267:BC267),('PTRM input'!$N$157*(1+rvanilla08)^0.5)/A15stdlife))</f>
        <v>0</v>
      </c>
      <c r="BE267" s="107">
        <f>IF(A15stdlife="n/a","n/a",IF(BE$3&gt;(A15stdlife+$E267),('PTRM input'!$N$157*(1+rvanilla08)^0.5)-SUM($N267:BD267),('PTRM input'!$N$157*(1+rvanilla08)^0.5)/A15stdlife))</f>
        <v>0</v>
      </c>
      <c r="BF267" s="107">
        <f>IF(A15stdlife="n/a","n/a",IF(BF$3&gt;(A15stdlife+$E267),('PTRM input'!$N$157*(1+rvanilla08)^0.5)-SUM($N267:BE267),('PTRM input'!$N$157*(1+rvanilla08)^0.5)/A15stdlife))</f>
        <v>0</v>
      </c>
      <c r="BG267" s="107">
        <f>IF(A15stdlife="n/a","n/a",IF(BG$3&gt;(A15stdlife+$E267),('PTRM input'!$N$157*(1+rvanilla08)^0.5)-SUM($N267:BF267),('PTRM input'!$N$157*(1+rvanilla08)^0.5)/A15stdlife))</f>
        <v>0</v>
      </c>
      <c r="BH267" s="107">
        <f>IF(A15stdlife="n/a","n/a",IF(BH$3&gt;(A15stdlife+$E267),('PTRM input'!$N$157*(1+rvanilla08)^0.5)-SUM($N267:BG267),('PTRM input'!$N$157*(1+rvanilla08)^0.5)/A15stdlife))</f>
        <v>0</v>
      </c>
      <c r="BI267" s="107">
        <f>IF(A15stdlife="n/a","n/a",IF(BI$3&gt;(A15stdlife+$E267),('PTRM input'!$N$157*(1+rvanilla08)^0.5)-SUM($N267:BH267),('PTRM input'!$N$157*(1+rvanilla08)^0.5)/A15stdlife))</f>
        <v>0</v>
      </c>
      <c r="BJ267" s="237"/>
      <c r="BK267" s="237"/>
      <c r="BL267" s="237"/>
      <c r="BM267" s="237"/>
    </row>
    <row r="268" spans="1:65" s="190" customFormat="1" hidden="1" outlineLevel="2">
      <c r="A268" s="237"/>
      <c r="B268" s="33"/>
      <c r="C268" s="32"/>
      <c r="D268" s="1618"/>
      <c r="E268" s="169">
        <v>9</v>
      </c>
      <c r="F268" s="35"/>
      <c r="G268" s="184"/>
      <c r="H268" s="186"/>
      <c r="I268" s="186"/>
      <c r="J268" s="186"/>
      <c r="K268" s="186"/>
      <c r="L268" s="186"/>
      <c r="M268" s="186"/>
      <c r="N268" s="186"/>
      <c r="O268" s="185"/>
      <c r="P268" s="107">
        <f>IF(A15stdlife="n/a","n/a",IF(P$3&gt;(A15stdlife+$E268),('PTRM input'!$O$157*(1+rvanilla09)^0.5)-SUM($O268:O268),('PTRM input'!$O$157*(1+rvanilla09)^0.5)/A15stdlife))</f>
        <v>0</v>
      </c>
      <c r="Q268" s="107">
        <f>IF(A15stdlife="n/a","n/a",IF(Q$3&gt;(A15stdlife+$E268),('PTRM input'!$O$157*(1+rvanilla09)^0.5)-SUM($O268:P268),('PTRM input'!$O$157*(1+rvanilla09)^0.5)/A15stdlife))</f>
        <v>0</v>
      </c>
      <c r="R268" s="107">
        <f>IF(A15stdlife="n/a","n/a",IF(R$3&gt;(A15stdlife+$E268),('PTRM input'!$O$157*(1+rvanilla09)^0.5)-SUM($O268:Q268),('PTRM input'!$O$157*(1+rvanilla09)^0.5)/A15stdlife))</f>
        <v>0</v>
      </c>
      <c r="S268" s="107">
        <f>IF(A15stdlife="n/a","n/a",IF(S$3&gt;(A15stdlife+$E268),('PTRM input'!$O$157*(1+rvanilla09)^0.5)-SUM($O268:R268),('PTRM input'!$O$157*(1+rvanilla09)^0.5)/A15stdlife))</f>
        <v>0</v>
      </c>
      <c r="T268" s="107">
        <f>IF(A15stdlife="n/a","n/a",IF(T$3&gt;(A15stdlife+$E268),('PTRM input'!$O$157*(1+rvanilla09)^0.5)-SUM($O268:S268),('PTRM input'!$O$157*(1+rvanilla09)^0.5)/A15stdlife))</f>
        <v>0</v>
      </c>
      <c r="U268" s="107">
        <f>IF(A15stdlife="n/a","n/a",IF(U$3&gt;(A15stdlife+$E268),('PTRM input'!$O$157*(1+rvanilla09)^0.5)-SUM($O268:T268),('PTRM input'!$O$157*(1+rvanilla09)^0.5)/A15stdlife))</f>
        <v>0</v>
      </c>
      <c r="V268" s="107">
        <f>IF(A15stdlife="n/a","n/a",IF(V$3&gt;(A15stdlife+$E268),('PTRM input'!$O$157*(1+rvanilla09)^0.5)-SUM($O268:U268),('PTRM input'!$O$157*(1+rvanilla09)^0.5)/A15stdlife))</f>
        <v>0</v>
      </c>
      <c r="W268" s="107">
        <f>IF(A15stdlife="n/a","n/a",IF(W$3&gt;(A15stdlife+$E268),('PTRM input'!$O$157*(1+rvanilla09)^0.5)-SUM($O268:V268),('PTRM input'!$O$157*(1+rvanilla09)^0.5)/A15stdlife))</f>
        <v>0</v>
      </c>
      <c r="X268" s="107">
        <f>IF(A15stdlife="n/a","n/a",IF(X$3&gt;(A15stdlife+$E268),('PTRM input'!$O$157*(1+rvanilla09)^0.5)-SUM($O268:W268),('PTRM input'!$O$157*(1+rvanilla09)^0.5)/A15stdlife))</f>
        <v>0</v>
      </c>
      <c r="Y268" s="107">
        <f>IF(A15stdlife="n/a","n/a",IF(Y$3&gt;(A15stdlife+$E268),('PTRM input'!$O$157*(1+rvanilla09)^0.5)-SUM($O268:X268),('PTRM input'!$O$157*(1+rvanilla09)^0.5)/A15stdlife))</f>
        <v>0</v>
      </c>
      <c r="Z268" s="107">
        <f>IF(A15stdlife="n/a","n/a",IF(Z$3&gt;(A15stdlife+$E268),('PTRM input'!$O$157*(1+rvanilla09)^0.5)-SUM($O268:Y268),('PTRM input'!$O$157*(1+rvanilla09)^0.5)/A15stdlife))</f>
        <v>0</v>
      </c>
      <c r="AA268" s="107">
        <f>IF(A15stdlife="n/a","n/a",IF(AA$3&gt;(A15stdlife+$E268),('PTRM input'!$O$157*(1+rvanilla09)^0.5)-SUM($O268:Z268),('PTRM input'!$O$157*(1+rvanilla09)^0.5)/A15stdlife))</f>
        <v>0</v>
      </c>
      <c r="AB268" s="107">
        <f>IF(A15stdlife="n/a","n/a",IF(AB$3&gt;(A15stdlife+$E268),('PTRM input'!$O$157*(1+rvanilla09)^0.5)-SUM($O268:AA268),('PTRM input'!$O$157*(1+rvanilla09)^0.5)/A15stdlife))</f>
        <v>0</v>
      </c>
      <c r="AC268" s="107">
        <f>IF(A15stdlife="n/a","n/a",IF(AC$3&gt;(A15stdlife+$E268),('PTRM input'!$O$157*(1+rvanilla09)^0.5)-SUM($O268:AB268),('PTRM input'!$O$157*(1+rvanilla09)^0.5)/A15stdlife))</f>
        <v>0</v>
      </c>
      <c r="AD268" s="107">
        <f>IF(A15stdlife="n/a","n/a",IF(AD$3&gt;(A15stdlife+$E268),('PTRM input'!$O$157*(1+rvanilla09)^0.5)-SUM($O268:AC268),('PTRM input'!$O$157*(1+rvanilla09)^0.5)/A15stdlife))</f>
        <v>0</v>
      </c>
      <c r="AE268" s="107">
        <f>IF(A15stdlife="n/a","n/a",IF(AE$3&gt;(A15stdlife+$E268),('PTRM input'!$O$157*(1+rvanilla09)^0.5)-SUM($O268:AD268),('PTRM input'!$O$157*(1+rvanilla09)^0.5)/A15stdlife))</f>
        <v>0</v>
      </c>
      <c r="AF268" s="107">
        <f>IF(A15stdlife="n/a","n/a",IF(AF$3&gt;(A15stdlife+$E268),('PTRM input'!$O$157*(1+rvanilla09)^0.5)-SUM($O268:AE268),('PTRM input'!$O$157*(1+rvanilla09)^0.5)/A15stdlife))</f>
        <v>0</v>
      </c>
      <c r="AG268" s="107">
        <f>IF(A15stdlife="n/a","n/a",IF(AG$3&gt;(A15stdlife+$E268),('PTRM input'!$O$157*(1+rvanilla09)^0.5)-SUM($O268:AF268),('PTRM input'!$O$157*(1+rvanilla09)^0.5)/A15stdlife))</f>
        <v>0</v>
      </c>
      <c r="AH268" s="107">
        <f>IF(A15stdlife="n/a","n/a",IF(AH$3&gt;(A15stdlife+$E268),('PTRM input'!$O$157*(1+rvanilla09)^0.5)-SUM($O268:AG268),('PTRM input'!$O$157*(1+rvanilla09)^0.5)/A15stdlife))</f>
        <v>0</v>
      </c>
      <c r="AI268" s="107">
        <f>IF(A15stdlife="n/a","n/a",IF(AI$3&gt;(A15stdlife+$E268),('PTRM input'!$O$157*(1+rvanilla09)^0.5)-SUM($O268:AH268),('PTRM input'!$O$157*(1+rvanilla09)^0.5)/A15stdlife))</f>
        <v>0</v>
      </c>
      <c r="AJ268" s="107">
        <f>IF(A15stdlife="n/a","n/a",IF(AJ$3&gt;(A15stdlife+$E268),('PTRM input'!$O$157*(1+rvanilla09)^0.5)-SUM($O268:AI268),('PTRM input'!$O$157*(1+rvanilla09)^0.5)/A15stdlife))</f>
        <v>0</v>
      </c>
      <c r="AK268" s="107">
        <f>IF(A15stdlife="n/a","n/a",IF(AK$3&gt;(A15stdlife+$E268),('PTRM input'!$O$157*(1+rvanilla09)^0.5)-SUM($O268:AJ268),('PTRM input'!$O$157*(1+rvanilla09)^0.5)/A15stdlife))</f>
        <v>0</v>
      </c>
      <c r="AL268" s="107">
        <f>IF(A15stdlife="n/a","n/a",IF(AL$3&gt;(A15stdlife+$E268),('PTRM input'!$O$157*(1+rvanilla09)^0.5)-SUM($O268:AK268),('PTRM input'!$O$157*(1+rvanilla09)^0.5)/A15stdlife))</f>
        <v>0</v>
      </c>
      <c r="AM268" s="107">
        <f>IF(A15stdlife="n/a","n/a",IF(AM$3&gt;(A15stdlife+$E268),('PTRM input'!$O$157*(1+rvanilla09)^0.5)-SUM($O268:AL268),('PTRM input'!$O$157*(1+rvanilla09)^0.5)/A15stdlife))</f>
        <v>0</v>
      </c>
      <c r="AN268" s="107">
        <f>IF(A15stdlife="n/a","n/a",IF(AN$3&gt;(A15stdlife+$E268),('PTRM input'!$O$157*(1+rvanilla09)^0.5)-SUM($O268:AM268),('PTRM input'!$O$157*(1+rvanilla09)^0.5)/A15stdlife))</f>
        <v>0</v>
      </c>
      <c r="AO268" s="107">
        <f>IF(A15stdlife="n/a","n/a",IF(AO$3&gt;(A15stdlife+$E268),('PTRM input'!$O$157*(1+rvanilla09)^0.5)-SUM($O268:AN268),('PTRM input'!$O$157*(1+rvanilla09)^0.5)/A15stdlife))</f>
        <v>0</v>
      </c>
      <c r="AP268" s="107">
        <f>IF(A15stdlife="n/a","n/a",IF(AP$3&gt;(A15stdlife+$E268),('PTRM input'!$O$157*(1+rvanilla09)^0.5)-SUM($O268:AO268),('PTRM input'!$O$157*(1+rvanilla09)^0.5)/A15stdlife))</f>
        <v>0</v>
      </c>
      <c r="AQ268" s="107">
        <f>IF(A15stdlife="n/a","n/a",IF(AQ$3&gt;(A15stdlife+$E268),('PTRM input'!$O$157*(1+rvanilla09)^0.5)-SUM($O268:AP268),('PTRM input'!$O$157*(1+rvanilla09)^0.5)/A15stdlife))</f>
        <v>0</v>
      </c>
      <c r="AR268" s="107">
        <f>IF(A15stdlife="n/a","n/a",IF(AR$3&gt;(A15stdlife+$E268),('PTRM input'!$O$157*(1+rvanilla09)^0.5)-SUM($O268:AQ268),('PTRM input'!$O$157*(1+rvanilla09)^0.5)/A15stdlife))</f>
        <v>0</v>
      </c>
      <c r="AS268" s="107">
        <f>IF(A15stdlife="n/a","n/a",IF(AS$3&gt;(A15stdlife+$E268),('PTRM input'!$O$157*(1+rvanilla09)^0.5)-SUM($O268:AR268),('PTRM input'!$O$157*(1+rvanilla09)^0.5)/A15stdlife))</f>
        <v>0</v>
      </c>
      <c r="AT268" s="107">
        <f>IF(A15stdlife="n/a","n/a",IF(AT$3&gt;(A15stdlife+$E268),('PTRM input'!$O$157*(1+rvanilla09)^0.5)-SUM($O268:AS268),('PTRM input'!$O$157*(1+rvanilla09)^0.5)/A15stdlife))</f>
        <v>0</v>
      </c>
      <c r="AU268" s="107">
        <f>IF(A15stdlife="n/a","n/a",IF(AU$3&gt;(A15stdlife+$E268),('PTRM input'!$O$157*(1+rvanilla09)^0.5)-SUM($O268:AT268),('PTRM input'!$O$157*(1+rvanilla09)^0.5)/A15stdlife))</f>
        <v>0</v>
      </c>
      <c r="AV268" s="107">
        <f>IF(A15stdlife="n/a","n/a",IF(AV$3&gt;(A15stdlife+$E268),('PTRM input'!$O$157*(1+rvanilla09)^0.5)-SUM($O268:AU268),('PTRM input'!$O$157*(1+rvanilla09)^0.5)/A15stdlife))</f>
        <v>0</v>
      </c>
      <c r="AW268" s="107">
        <f>IF(A15stdlife="n/a","n/a",IF(AW$3&gt;(A15stdlife+$E268),('PTRM input'!$O$157*(1+rvanilla09)^0.5)-SUM($O268:AV268),('PTRM input'!$O$157*(1+rvanilla09)^0.5)/A15stdlife))</f>
        <v>0</v>
      </c>
      <c r="AX268" s="107">
        <f>IF(A15stdlife="n/a","n/a",IF(AX$3&gt;(A15stdlife+$E268),('PTRM input'!$O$157*(1+rvanilla09)^0.5)-SUM($O268:AW268),('PTRM input'!$O$157*(1+rvanilla09)^0.5)/A15stdlife))</f>
        <v>0</v>
      </c>
      <c r="AY268" s="107">
        <f>IF(A15stdlife="n/a","n/a",IF(AY$3&gt;(A15stdlife+$E268),('PTRM input'!$O$157*(1+rvanilla09)^0.5)-SUM($O268:AX268),('PTRM input'!$O$157*(1+rvanilla09)^0.5)/A15stdlife))</f>
        <v>0</v>
      </c>
      <c r="AZ268" s="107">
        <f>IF(A15stdlife="n/a","n/a",IF(AZ$3&gt;(A15stdlife+$E268),('PTRM input'!$O$157*(1+rvanilla09)^0.5)-SUM($O268:AY268),('PTRM input'!$O$157*(1+rvanilla09)^0.5)/A15stdlife))</f>
        <v>0</v>
      </c>
      <c r="BA268" s="107">
        <f>IF(A15stdlife="n/a","n/a",IF(BA$3&gt;(A15stdlife+$E268),('PTRM input'!$O$157*(1+rvanilla09)^0.5)-SUM($O268:AZ268),('PTRM input'!$O$157*(1+rvanilla09)^0.5)/A15stdlife))</f>
        <v>0</v>
      </c>
      <c r="BB268" s="107">
        <f>IF(A15stdlife="n/a","n/a",IF(BB$3&gt;(A15stdlife+$E268),('PTRM input'!$O$157*(1+rvanilla09)^0.5)-SUM($O268:BA268),('PTRM input'!$O$157*(1+rvanilla09)^0.5)/A15stdlife))</f>
        <v>0</v>
      </c>
      <c r="BC268" s="107">
        <f>IF(A15stdlife="n/a","n/a",IF(BC$3&gt;(A15stdlife+$E268),('PTRM input'!$O$157*(1+rvanilla09)^0.5)-SUM($O268:BB268),('PTRM input'!$O$157*(1+rvanilla09)^0.5)/A15stdlife))</f>
        <v>0</v>
      </c>
      <c r="BD268" s="107">
        <f>IF(A15stdlife="n/a","n/a",IF(BD$3&gt;(A15stdlife+$E268),('PTRM input'!$O$157*(1+rvanilla09)^0.5)-SUM($O268:BC268),('PTRM input'!$O$157*(1+rvanilla09)^0.5)/A15stdlife))</f>
        <v>0</v>
      </c>
      <c r="BE268" s="107">
        <f>IF(A15stdlife="n/a","n/a",IF(BE$3&gt;(A15stdlife+$E268),('PTRM input'!$O$157*(1+rvanilla09)^0.5)-SUM($O268:BD268),('PTRM input'!$O$157*(1+rvanilla09)^0.5)/A15stdlife))</f>
        <v>0</v>
      </c>
      <c r="BF268" s="107">
        <f>IF(A15stdlife="n/a","n/a",IF(BF$3&gt;(A15stdlife+$E268),('PTRM input'!$O$157*(1+rvanilla09)^0.5)-SUM($O268:BE268),('PTRM input'!$O$157*(1+rvanilla09)^0.5)/A15stdlife))</f>
        <v>0</v>
      </c>
      <c r="BG268" s="107">
        <f>IF(A15stdlife="n/a","n/a",IF(BG$3&gt;(A15stdlife+$E268),('PTRM input'!$O$157*(1+rvanilla09)^0.5)-SUM($O268:BF268),('PTRM input'!$O$157*(1+rvanilla09)^0.5)/A15stdlife))</f>
        <v>0</v>
      </c>
      <c r="BH268" s="107">
        <f>IF(A15stdlife="n/a","n/a",IF(BH$3&gt;(A15stdlife+$E268),('PTRM input'!$O$157*(1+rvanilla09)^0.5)-SUM($O268:BG268),('PTRM input'!$O$157*(1+rvanilla09)^0.5)/A15stdlife))</f>
        <v>0</v>
      </c>
      <c r="BI268" s="107">
        <f>IF(A15stdlife="n/a","n/a",IF(BI$3&gt;(A15stdlife+$E268),('PTRM input'!$O$157*(1+rvanilla09)^0.5)-SUM($O268:BH268),('PTRM input'!$O$157*(1+rvanilla09)^0.5)/A15stdlife))</f>
        <v>0</v>
      </c>
      <c r="BJ268" s="237"/>
      <c r="BK268" s="237"/>
      <c r="BL268" s="237"/>
      <c r="BM268" s="237"/>
    </row>
    <row r="269" spans="1:65" s="190" customFormat="1" hidden="1" outlineLevel="2">
      <c r="A269" s="237"/>
      <c r="B269" s="33"/>
      <c r="C269" s="32"/>
      <c r="D269" s="1618"/>
      <c r="E269" s="170">
        <v>10</v>
      </c>
      <c r="F269" s="35"/>
      <c r="G269" s="184"/>
      <c r="H269" s="186"/>
      <c r="I269" s="186"/>
      <c r="J269" s="186"/>
      <c r="K269" s="186"/>
      <c r="L269" s="186"/>
      <c r="M269" s="186"/>
      <c r="N269" s="186"/>
      <c r="O269" s="186"/>
      <c r="P269" s="185"/>
      <c r="Q269" s="107">
        <f>IF(A15stdlife="n/a","n/a",IF(Q$3&gt;(A15stdlife+$E269),('PTRM input'!$P$157*(1+rvanilla10)^0.5)-SUM($P269:P269),('PTRM input'!$P$157*(1+rvanilla10)^0.5)/A15stdlife))</f>
        <v>0</v>
      </c>
      <c r="R269" s="107">
        <f>IF(A15stdlife="n/a","n/a",IF(R$3&gt;(A15stdlife+$E269),('PTRM input'!$P$157*(1+rvanilla10)^0.5)-SUM($P269:Q269),('PTRM input'!$P$157*(1+rvanilla10)^0.5)/A15stdlife))</f>
        <v>0</v>
      </c>
      <c r="S269" s="107">
        <f>IF(A15stdlife="n/a","n/a",IF(S$3&gt;(A15stdlife+$E269),('PTRM input'!$P$157*(1+rvanilla10)^0.5)-SUM($P269:R269),('PTRM input'!$P$157*(1+rvanilla10)^0.5)/A15stdlife))</f>
        <v>0</v>
      </c>
      <c r="T269" s="107">
        <f>IF(A15stdlife="n/a","n/a",IF(T$3&gt;(A15stdlife+$E269),('PTRM input'!$P$157*(1+rvanilla10)^0.5)-SUM($P269:S269),('PTRM input'!$P$157*(1+rvanilla10)^0.5)/A15stdlife))</f>
        <v>0</v>
      </c>
      <c r="U269" s="107">
        <f>IF(A15stdlife="n/a","n/a",IF(U$3&gt;(A15stdlife+$E269),('PTRM input'!$P$157*(1+rvanilla10)^0.5)-SUM($P269:T269),('PTRM input'!$P$157*(1+rvanilla10)^0.5)/A15stdlife))</f>
        <v>0</v>
      </c>
      <c r="V269" s="107">
        <f>IF(A15stdlife="n/a","n/a",IF(V$3&gt;(A15stdlife+$E269),('PTRM input'!$P$157*(1+rvanilla10)^0.5)-SUM($P269:U269),('PTRM input'!$P$157*(1+rvanilla10)^0.5)/A15stdlife))</f>
        <v>0</v>
      </c>
      <c r="W269" s="107">
        <f>IF(A15stdlife="n/a","n/a",IF(W$3&gt;(A15stdlife+$E269),('PTRM input'!$P$157*(1+rvanilla10)^0.5)-SUM($P269:V269),('PTRM input'!$P$157*(1+rvanilla10)^0.5)/A15stdlife))</f>
        <v>0</v>
      </c>
      <c r="X269" s="107">
        <f>IF(A15stdlife="n/a","n/a",IF(X$3&gt;(A15stdlife+$E269),('PTRM input'!$P$157*(1+rvanilla10)^0.5)-SUM($P269:W269),('PTRM input'!$P$157*(1+rvanilla10)^0.5)/A15stdlife))</f>
        <v>0</v>
      </c>
      <c r="Y269" s="107">
        <f>IF(A15stdlife="n/a","n/a",IF(Y$3&gt;(A15stdlife+$E269),('PTRM input'!$P$157*(1+rvanilla10)^0.5)-SUM($P269:X269),('PTRM input'!$P$157*(1+rvanilla10)^0.5)/A15stdlife))</f>
        <v>0</v>
      </c>
      <c r="Z269" s="107">
        <f>IF(A15stdlife="n/a","n/a",IF(Z$3&gt;(A15stdlife+$E269),('PTRM input'!$P$157*(1+rvanilla10)^0.5)-SUM($P269:Y269),('PTRM input'!$P$157*(1+rvanilla10)^0.5)/A15stdlife))</f>
        <v>0</v>
      </c>
      <c r="AA269" s="107">
        <f>IF(A15stdlife="n/a","n/a",IF(AA$3&gt;(A15stdlife+$E269),('PTRM input'!$P$157*(1+rvanilla10)^0.5)-SUM($P269:Z269),('PTRM input'!$P$157*(1+rvanilla10)^0.5)/A15stdlife))</f>
        <v>0</v>
      </c>
      <c r="AB269" s="107">
        <f>IF(A15stdlife="n/a","n/a",IF(AB$3&gt;(A15stdlife+$E269),('PTRM input'!$P$157*(1+rvanilla10)^0.5)-SUM($P269:AA269),('PTRM input'!$P$157*(1+rvanilla10)^0.5)/A15stdlife))</f>
        <v>0</v>
      </c>
      <c r="AC269" s="107">
        <f>IF(A15stdlife="n/a","n/a",IF(AC$3&gt;(A15stdlife+$E269),('PTRM input'!$P$157*(1+rvanilla10)^0.5)-SUM($P269:AB269),('PTRM input'!$P$157*(1+rvanilla10)^0.5)/A15stdlife))</f>
        <v>0</v>
      </c>
      <c r="AD269" s="107">
        <f>IF(A15stdlife="n/a","n/a",IF(AD$3&gt;(A15stdlife+$E269),('PTRM input'!$P$157*(1+rvanilla10)^0.5)-SUM($P269:AC269),('PTRM input'!$P$157*(1+rvanilla10)^0.5)/A15stdlife))</f>
        <v>0</v>
      </c>
      <c r="AE269" s="107">
        <f>IF(A15stdlife="n/a","n/a",IF(AE$3&gt;(A15stdlife+$E269),('PTRM input'!$P$157*(1+rvanilla10)^0.5)-SUM($P269:AD269),('PTRM input'!$P$157*(1+rvanilla10)^0.5)/A15stdlife))</f>
        <v>0</v>
      </c>
      <c r="AF269" s="107">
        <f>IF(A15stdlife="n/a","n/a",IF(AF$3&gt;(A15stdlife+$E269),('PTRM input'!$P$157*(1+rvanilla10)^0.5)-SUM($P269:AE269),('PTRM input'!$P$157*(1+rvanilla10)^0.5)/A15stdlife))</f>
        <v>0</v>
      </c>
      <c r="AG269" s="107">
        <f>IF(A15stdlife="n/a","n/a",IF(AG$3&gt;(A15stdlife+$E269),('PTRM input'!$P$157*(1+rvanilla10)^0.5)-SUM($P269:AF269),('PTRM input'!$P$157*(1+rvanilla10)^0.5)/A15stdlife))</f>
        <v>0</v>
      </c>
      <c r="AH269" s="107">
        <f>IF(A15stdlife="n/a","n/a",IF(AH$3&gt;(A15stdlife+$E269),('PTRM input'!$P$157*(1+rvanilla10)^0.5)-SUM($P269:AG269),('PTRM input'!$P$157*(1+rvanilla10)^0.5)/A15stdlife))</f>
        <v>0</v>
      </c>
      <c r="AI269" s="107">
        <f>IF(A15stdlife="n/a","n/a",IF(AI$3&gt;(A15stdlife+$E269),('PTRM input'!$P$157*(1+rvanilla10)^0.5)-SUM($P269:AH269),('PTRM input'!$P$157*(1+rvanilla10)^0.5)/A15stdlife))</f>
        <v>0</v>
      </c>
      <c r="AJ269" s="107">
        <f>IF(A15stdlife="n/a","n/a",IF(AJ$3&gt;(A15stdlife+$E269),('PTRM input'!$P$157*(1+rvanilla10)^0.5)-SUM($P269:AI269),('PTRM input'!$P$157*(1+rvanilla10)^0.5)/A15stdlife))</f>
        <v>0</v>
      </c>
      <c r="AK269" s="107">
        <f>IF(A15stdlife="n/a","n/a",IF(AK$3&gt;(A15stdlife+$E269),('PTRM input'!$P$157*(1+rvanilla10)^0.5)-SUM($P269:AJ269),('PTRM input'!$P$157*(1+rvanilla10)^0.5)/A15stdlife))</f>
        <v>0</v>
      </c>
      <c r="AL269" s="107">
        <f>IF(A15stdlife="n/a","n/a",IF(AL$3&gt;(A15stdlife+$E269),('PTRM input'!$P$157*(1+rvanilla10)^0.5)-SUM($P269:AK269),('PTRM input'!$P$157*(1+rvanilla10)^0.5)/A15stdlife))</f>
        <v>0</v>
      </c>
      <c r="AM269" s="107">
        <f>IF(A15stdlife="n/a","n/a",IF(AM$3&gt;(A15stdlife+$E269),('PTRM input'!$P$157*(1+rvanilla10)^0.5)-SUM($P269:AL269),('PTRM input'!$P$157*(1+rvanilla10)^0.5)/A15stdlife))</f>
        <v>0</v>
      </c>
      <c r="AN269" s="107">
        <f>IF(A15stdlife="n/a","n/a",IF(AN$3&gt;(A15stdlife+$E269),('PTRM input'!$P$157*(1+rvanilla10)^0.5)-SUM($P269:AM269),('PTRM input'!$P$157*(1+rvanilla10)^0.5)/A15stdlife))</f>
        <v>0</v>
      </c>
      <c r="AO269" s="107">
        <f>IF(A15stdlife="n/a","n/a",IF(AO$3&gt;(A15stdlife+$E269),('PTRM input'!$P$157*(1+rvanilla10)^0.5)-SUM($P269:AN269),('PTRM input'!$P$157*(1+rvanilla10)^0.5)/A15stdlife))</f>
        <v>0</v>
      </c>
      <c r="AP269" s="107">
        <f>IF(A15stdlife="n/a","n/a",IF(AP$3&gt;(A15stdlife+$E269),('PTRM input'!$P$157*(1+rvanilla10)^0.5)-SUM($P269:AO269),('PTRM input'!$P$157*(1+rvanilla10)^0.5)/A15stdlife))</f>
        <v>0</v>
      </c>
      <c r="AQ269" s="107">
        <f>IF(A15stdlife="n/a","n/a",IF(AQ$3&gt;(A15stdlife+$E269),('PTRM input'!$P$157*(1+rvanilla10)^0.5)-SUM($P269:AP269),('PTRM input'!$P$157*(1+rvanilla10)^0.5)/A15stdlife))</f>
        <v>0</v>
      </c>
      <c r="AR269" s="107">
        <f>IF(A15stdlife="n/a","n/a",IF(AR$3&gt;(A15stdlife+$E269),('PTRM input'!$P$157*(1+rvanilla10)^0.5)-SUM($P269:AQ269),('PTRM input'!$P$157*(1+rvanilla10)^0.5)/A15stdlife))</f>
        <v>0</v>
      </c>
      <c r="AS269" s="107">
        <f>IF(A15stdlife="n/a","n/a",IF(AS$3&gt;(A15stdlife+$E269),('PTRM input'!$P$157*(1+rvanilla10)^0.5)-SUM($P269:AR269),('PTRM input'!$P$157*(1+rvanilla10)^0.5)/A15stdlife))</f>
        <v>0</v>
      </c>
      <c r="AT269" s="107">
        <f>IF(A15stdlife="n/a","n/a",IF(AT$3&gt;(A15stdlife+$E269),('PTRM input'!$P$157*(1+rvanilla10)^0.5)-SUM($P269:AS269),('PTRM input'!$P$157*(1+rvanilla10)^0.5)/A15stdlife))</f>
        <v>0</v>
      </c>
      <c r="AU269" s="107">
        <f>IF(A15stdlife="n/a","n/a",IF(AU$3&gt;(A15stdlife+$E269),('PTRM input'!$P$157*(1+rvanilla10)^0.5)-SUM($P269:AT269),('PTRM input'!$P$157*(1+rvanilla10)^0.5)/A15stdlife))</f>
        <v>0</v>
      </c>
      <c r="AV269" s="107">
        <f>IF(A15stdlife="n/a","n/a",IF(AV$3&gt;(A15stdlife+$E269),('PTRM input'!$P$157*(1+rvanilla10)^0.5)-SUM($P269:AU269),('PTRM input'!$P$157*(1+rvanilla10)^0.5)/A15stdlife))</f>
        <v>0</v>
      </c>
      <c r="AW269" s="107">
        <f>IF(A15stdlife="n/a","n/a",IF(AW$3&gt;(A15stdlife+$E269),('PTRM input'!$P$157*(1+rvanilla10)^0.5)-SUM($P269:AV269),('PTRM input'!$P$157*(1+rvanilla10)^0.5)/A15stdlife))</f>
        <v>0</v>
      </c>
      <c r="AX269" s="107">
        <f>IF(A15stdlife="n/a","n/a",IF(AX$3&gt;(A15stdlife+$E269),('PTRM input'!$P$157*(1+rvanilla10)^0.5)-SUM($P269:AW269),('PTRM input'!$P$157*(1+rvanilla10)^0.5)/A15stdlife))</f>
        <v>0</v>
      </c>
      <c r="AY269" s="107">
        <f>IF(A15stdlife="n/a","n/a",IF(AY$3&gt;(A15stdlife+$E269),('PTRM input'!$P$157*(1+rvanilla10)^0.5)-SUM($P269:AX269),('PTRM input'!$P$157*(1+rvanilla10)^0.5)/A15stdlife))</f>
        <v>0</v>
      </c>
      <c r="AZ269" s="107">
        <f>IF(A15stdlife="n/a","n/a",IF(AZ$3&gt;(A15stdlife+$E269),('PTRM input'!$P$157*(1+rvanilla10)^0.5)-SUM($P269:AY269),('PTRM input'!$P$157*(1+rvanilla10)^0.5)/A15stdlife))</f>
        <v>0</v>
      </c>
      <c r="BA269" s="107">
        <f>IF(A15stdlife="n/a","n/a",IF(BA$3&gt;(A15stdlife+$E269),('PTRM input'!$P$157*(1+rvanilla10)^0.5)-SUM($P269:AZ269),('PTRM input'!$P$157*(1+rvanilla10)^0.5)/A15stdlife))</f>
        <v>0</v>
      </c>
      <c r="BB269" s="107">
        <f>IF(A15stdlife="n/a","n/a",IF(BB$3&gt;(A15stdlife+$E269),('PTRM input'!$P$157*(1+rvanilla10)^0.5)-SUM($P269:BA269),('PTRM input'!$P$157*(1+rvanilla10)^0.5)/A15stdlife))</f>
        <v>0</v>
      </c>
      <c r="BC269" s="107">
        <f>IF(A15stdlife="n/a","n/a",IF(BC$3&gt;(A15stdlife+$E269),('PTRM input'!$P$157*(1+rvanilla10)^0.5)-SUM($P269:BB269),('PTRM input'!$P$157*(1+rvanilla10)^0.5)/A15stdlife))</f>
        <v>0</v>
      </c>
      <c r="BD269" s="107">
        <f>IF(A15stdlife="n/a","n/a",IF(BD$3&gt;(A15stdlife+$E269),('PTRM input'!$P$157*(1+rvanilla10)^0.5)-SUM($P269:BC269),('PTRM input'!$P$157*(1+rvanilla10)^0.5)/A15stdlife))</f>
        <v>0</v>
      </c>
      <c r="BE269" s="107">
        <f>IF(A15stdlife="n/a","n/a",IF(BE$3&gt;(A15stdlife+$E269),('PTRM input'!$P$157*(1+rvanilla10)^0.5)-SUM($P269:BD269),('PTRM input'!$P$157*(1+rvanilla10)^0.5)/A15stdlife))</f>
        <v>0</v>
      </c>
      <c r="BF269" s="107">
        <f>IF(A15stdlife="n/a","n/a",IF(BF$3&gt;(A15stdlife+$E269),('PTRM input'!$P$157*(1+rvanilla10)^0.5)-SUM($P269:BE269),('PTRM input'!$P$157*(1+rvanilla10)^0.5)/A15stdlife))</f>
        <v>0</v>
      </c>
      <c r="BG269" s="107">
        <f>IF(A15stdlife="n/a","n/a",IF(BG$3&gt;(A15stdlife+$E269),('PTRM input'!$P$157*(1+rvanilla10)^0.5)-SUM($P269:BF269),('PTRM input'!$P$157*(1+rvanilla10)^0.5)/A15stdlife))</f>
        <v>0</v>
      </c>
      <c r="BH269" s="107">
        <f>IF(A15stdlife="n/a","n/a",IF(BH$3&gt;(A15stdlife+$E269),('PTRM input'!$P$157*(1+rvanilla10)^0.5)-SUM($P269:BG269),('PTRM input'!$P$157*(1+rvanilla10)^0.5)/A15stdlife))</f>
        <v>0</v>
      </c>
      <c r="BI269" s="107">
        <f>IF(A15stdlife="n/a","n/a",IF(BI$3&gt;(A15stdlife+$E269),('PTRM input'!$P$157*(1+rvanilla10)^0.5)-SUM($P269:BH269),('PTRM input'!$P$157*(1+rvanilla10)^0.5)/A15stdlife))</f>
        <v>0</v>
      </c>
      <c r="BJ269" s="560"/>
      <c r="BK269" s="237"/>
      <c r="BL269" s="237"/>
      <c r="BM269" s="237"/>
    </row>
    <row r="270" spans="1:65" s="190" customFormat="1" hidden="1" outlineLevel="1">
      <c r="A270" s="237"/>
      <c r="B270" s="18"/>
      <c r="C270" s="33">
        <f>Asset15</f>
        <v>0</v>
      </c>
      <c r="D270" s="18"/>
      <c r="E270" s="18"/>
      <c r="F270" s="31"/>
      <c r="G270" s="104">
        <f t="shared" ref="G270:AL270" si="65">SUM(G258:G269)</f>
        <v>0</v>
      </c>
      <c r="H270" s="104">
        <f t="shared" si="65"/>
        <v>0</v>
      </c>
      <c r="I270" s="104">
        <f t="shared" si="65"/>
        <v>0</v>
      </c>
      <c r="J270" s="104">
        <f t="shared" si="65"/>
        <v>0</v>
      </c>
      <c r="K270" s="104">
        <f t="shared" si="65"/>
        <v>0</v>
      </c>
      <c r="L270" s="104">
        <f t="shared" si="65"/>
        <v>0</v>
      </c>
      <c r="M270" s="104">
        <f t="shared" si="65"/>
        <v>0</v>
      </c>
      <c r="N270" s="104">
        <f t="shared" si="65"/>
        <v>0</v>
      </c>
      <c r="O270" s="104">
        <f t="shared" si="65"/>
        <v>0</v>
      </c>
      <c r="P270" s="104">
        <f t="shared" si="65"/>
        <v>0</v>
      </c>
      <c r="Q270" s="104">
        <f t="shared" si="65"/>
        <v>0</v>
      </c>
      <c r="R270" s="104">
        <f t="shared" si="65"/>
        <v>0</v>
      </c>
      <c r="S270" s="104">
        <f t="shared" si="65"/>
        <v>0</v>
      </c>
      <c r="T270" s="104">
        <f t="shared" si="65"/>
        <v>0</v>
      </c>
      <c r="U270" s="104">
        <f t="shared" si="65"/>
        <v>0</v>
      </c>
      <c r="V270" s="104">
        <f t="shared" si="65"/>
        <v>0</v>
      </c>
      <c r="W270" s="104">
        <f t="shared" si="65"/>
        <v>0</v>
      </c>
      <c r="X270" s="104">
        <f t="shared" si="65"/>
        <v>0</v>
      </c>
      <c r="Y270" s="104">
        <f t="shared" si="65"/>
        <v>0</v>
      </c>
      <c r="Z270" s="104">
        <f t="shared" si="65"/>
        <v>0</v>
      </c>
      <c r="AA270" s="104">
        <f t="shared" si="65"/>
        <v>0</v>
      </c>
      <c r="AB270" s="104">
        <f t="shared" si="65"/>
        <v>0</v>
      </c>
      <c r="AC270" s="104">
        <f t="shared" si="65"/>
        <v>0</v>
      </c>
      <c r="AD270" s="104">
        <f t="shared" si="65"/>
        <v>0</v>
      </c>
      <c r="AE270" s="104">
        <f t="shared" si="65"/>
        <v>0</v>
      </c>
      <c r="AF270" s="104">
        <f t="shared" si="65"/>
        <v>0</v>
      </c>
      <c r="AG270" s="104">
        <f t="shared" si="65"/>
        <v>0</v>
      </c>
      <c r="AH270" s="104">
        <f t="shared" si="65"/>
        <v>0</v>
      </c>
      <c r="AI270" s="104">
        <f t="shared" si="65"/>
        <v>0</v>
      </c>
      <c r="AJ270" s="104">
        <f t="shared" si="65"/>
        <v>0</v>
      </c>
      <c r="AK270" s="104">
        <f t="shared" si="65"/>
        <v>0</v>
      </c>
      <c r="AL270" s="104">
        <f t="shared" si="65"/>
        <v>0</v>
      </c>
      <c r="AM270" s="104">
        <f t="shared" ref="AM270:BI270" si="66">SUM(AM258:AM269)</f>
        <v>0</v>
      </c>
      <c r="AN270" s="104">
        <f t="shared" si="66"/>
        <v>0</v>
      </c>
      <c r="AO270" s="104">
        <f t="shared" si="66"/>
        <v>0</v>
      </c>
      <c r="AP270" s="104">
        <f t="shared" si="66"/>
        <v>0</v>
      </c>
      <c r="AQ270" s="104">
        <f t="shared" si="66"/>
        <v>0</v>
      </c>
      <c r="AR270" s="104">
        <f t="shared" si="66"/>
        <v>0</v>
      </c>
      <c r="AS270" s="104">
        <f t="shared" si="66"/>
        <v>0</v>
      </c>
      <c r="AT270" s="104">
        <f t="shared" si="66"/>
        <v>0</v>
      </c>
      <c r="AU270" s="104">
        <f t="shared" si="66"/>
        <v>0</v>
      </c>
      <c r="AV270" s="104">
        <f t="shared" si="66"/>
        <v>0</v>
      </c>
      <c r="AW270" s="104">
        <f t="shared" si="66"/>
        <v>0</v>
      </c>
      <c r="AX270" s="104">
        <f t="shared" si="66"/>
        <v>0</v>
      </c>
      <c r="AY270" s="104">
        <f t="shared" si="66"/>
        <v>0</v>
      </c>
      <c r="AZ270" s="104">
        <f t="shared" si="66"/>
        <v>0</v>
      </c>
      <c r="BA270" s="104">
        <f t="shared" si="66"/>
        <v>0</v>
      </c>
      <c r="BB270" s="104">
        <f t="shared" si="66"/>
        <v>0</v>
      </c>
      <c r="BC270" s="104">
        <f t="shared" si="66"/>
        <v>0</v>
      </c>
      <c r="BD270" s="104">
        <f t="shared" si="66"/>
        <v>0</v>
      </c>
      <c r="BE270" s="104">
        <f t="shared" si="66"/>
        <v>0</v>
      </c>
      <c r="BF270" s="104">
        <f t="shared" si="66"/>
        <v>0</v>
      </c>
      <c r="BG270" s="104">
        <f t="shared" si="66"/>
        <v>0</v>
      </c>
      <c r="BH270" s="104">
        <f t="shared" si="66"/>
        <v>0</v>
      </c>
      <c r="BI270" s="104">
        <f t="shared" si="66"/>
        <v>0</v>
      </c>
      <c r="BJ270" s="237"/>
      <c r="BK270" s="237"/>
      <c r="BL270" s="237"/>
      <c r="BM270" s="237"/>
    </row>
    <row r="271" spans="1:65" s="190" customFormat="1" ht="12.75" hidden="1" customHeight="1" outlineLevel="2">
      <c r="A271" s="237"/>
      <c r="B271" s="37">
        <f>C283</f>
        <v>0</v>
      </c>
      <c r="C271" s="38"/>
      <c r="D271" s="39" t="s">
        <v>58</v>
      </c>
      <c r="E271" s="38"/>
      <c r="F271" s="40"/>
      <c r="G271" s="106">
        <f>IF(G$3&gt;A16remlife,A16value-SUM($F271:F271),IF(A16remlife="N/A","n/a",A16value/A16remlife))</f>
        <v>0</v>
      </c>
      <c r="H271" s="106">
        <f>IF(H$3&gt;A16remlife,A16value-SUM($F271:G271),IF(A16remlife="N/A","n/a",A16value/A16remlife))</f>
        <v>0</v>
      </c>
      <c r="I271" s="106">
        <f>IF(I$3&gt;A16remlife,A16value-SUM($F271:H271),IF(A16remlife="N/A","n/a",A16value/A16remlife))</f>
        <v>0</v>
      </c>
      <c r="J271" s="106">
        <f>IF(J$3&gt;A16remlife,A16value-SUM($F271:I271),IF(A16remlife="N/A","n/a",A16value/A16remlife))</f>
        <v>0</v>
      </c>
      <c r="K271" s="106">
        <f>IF(K$3&gt;A16remlife,A16value-SUM($F271:J271),IF(A16remlife="N/A","n/a",A16value/A16remlife))</f>
        <v>0</v>
      </c>
      <c r="L271" s="106">
        <f>IF(L$3&gt;A16remlife,A16value-SUM($F271:K271),IF(A16remlife="N/A","n/a",A16value/A16remlife))</f>
        <v>0</v>
      </c>
      <c r="M271" s="106">
        <f>IF(M$3&gt;A16remlife,A16value-SUM($F271:L271),IF(A16remlife="N/A","n/a",A16value/A16remlife))</f>
        <v>0</v>
      </c>
      <c r="N271" s="106">
        <f>IF(N$3&gt;A16remlife,A16value-SUM($F271:M271),IF(A16remlife="N/A","n/a",A16value/A16remlife))</f>
        <v>0</v>
      </c>
      <c r="O271" s="106">
        <f>IF(O$3&gt;A16remlife,A16value-SUM($F271:N271),IF(A16remlife="N/A","n/a",A16value/A16remlife))</f>
        <v>0</v>
      </c>
      <c r="P271" s="106">
        <f>IF(P$3&gt;A16remlife,A16value-SUM($F271:O271),IF(A16remlife="N/A","n/a",A16value/A16remlife))</f>
        <v>0</v>
      </c>
      <c r="Q271" s="106">
        <f>IF(Q$3&gt;A16remlife,A16value-SUM($F271:P271),IF(A16remlife="N/A","n/a",A16value/A16remlife))</f>
        <v>0</v>
      </c>
      <c r="R271" s="106">
        <f>IF(R$3&gt;A16remlife,A16value-SUM($F271:Q271),IF(A16remlife="N/A","n/a",A16value/A16remlife))</f>
        <v>0</v>
      </c>
      <c r="S271" s="106">
        <f>IF(S$3&gt;A16remlife,A16value-SUM($F271:R271),IF(A16remlife="N/A","n/a",A16value/A16remlife))</f>
        <v>0</v>
      </c>
      <c r="T271" s="106">
        <f>IF(T$3&gt;A16remlife,A16value-SUM($F271:S271),IF(A16remlife="N/A","n/a",A16value/A16remlife))</f>
        <v>0</v>
      </c>
      <c r="U271" s="106">
        <f>IF(U$3&gt;A16remlife,A16value-SUM($F271:T271),IF(A16remlife="N/A","n/a",A16value/A16remlife))</f>
        <v>0</v>
      </c>
      <c r="V271" s="106">
        <f>IF(V$3&gt;A16remlife,A16value-SUM($F271:U271),IF(A16remlife="N/A","n/a",A16value/A16remlife))</f>
        <v>0</v>
      </c>
      <c r="W271" s="106">
        <f>IF(W$3&gt;A16remlife,A16value-SUM($F271:V271),IF(A16remlife="N/A","n/a",A16value/A16remlife))</f>
        <v>0</v>
      </c>
      <c r="X271" s="106">
        <f>IF(X$3&gt;A16remlife,A16value-SUM($F271:W271),IF(A16remlife="N/A","n/a",A16value/A16remlife))</f>
        <v>0</v>
      </c>
      <c r="Y271" s="106">
        <f>IF(Y$3&gt;A16remlife,A16value-SUM($F271:X271),IF(A16remlife="N/A","n/a",A16value/A16remlife))</f>
        <v>0</v>
      </c>
      <c r="Z271" s="106">
        <f>IF(Z$3&gt;A16remlife,A16value-SUM($F271:Y271),IF(A16remlife="N/A","n/a",A16value/A16remlife))</f>
        <v>0</v>
      </c>
      <c r="AA271" s="106">
        <f>IF(AA$3&gt;A16remlife,A16value-SUM($F271:Z271),IF(A16remlife="N/A","n/a",A16value/A16remlife))</f>
        <v>0</v>
      </c>
      <c r="AB271" s="106">
        <f>IF(AB$3&gt;A16remlife,A16value-SUM($F271:AA271),IF(A16remlife="N/A","n/a",A16value/A16remlife))</f>
        <v>0</v>
      </c>
      <c r="AC271" s="106">
        <f>IF(AC$3&gt;A16remlife,A16value-SUM($F271:AB271),IF(A16remlife="N/A","n/a",A16value/A16remlife))</f>
        <v>0</v>
      </c>
      <c r="AD271" s="106">
        <f>IF(AD$3&gt;A16remlife,A16value-SUM($F271:AC271),IF(A16remlife="N/A","n/a",A16value/A16remlife))</f>
        <v>0</v>
      </c>
      <c r="AE271" s="106">
        <f>IF(AE$3&gt;A16remlife,A16value-SUM($F271:AD271),IF(A16remlife="N/A","n/a",A16value/A16remlife))</f>
        <v>0</v>
      </c>
      <c r="AF271" s="106">
        <f>IF(AF$3&gt;A16remlife,A16value-SUM($F271:AE271),IF(A16remlife="N/A","n/a",A16value/A16remlife))</f>
        <v>0</v>
      </c>
      <c r="AG271" s="106">
        <f>IF(AG$3&gt;A16remlife,A16value-SUM($F271:AF271),IF(A16remlife="N/A","n/a",A16value/A16remlife))</f>
        <v>0</v>
      </c>
      <c r="AH271" s="106">
        <f>IF(AH$3&gt;A16remlife,A16value-SUM($F271:AG271),IF(A16remlife="N/A","n/a",A16value/A16remlife))</f>
        <v>0</v>
      </c>
      <c r="AI271" s="106">
        <f>IF(AI$3&gt;A16remlife,A16value-SUM($F271:AH271),IF(A16remlife="N/A","n/a",A16value/A16remlife))</f>
        <v>0</v>
      </c>
      <c r="AJ271" s="106">
        <f>IF(AJ$3&gt;A16remlife,A16value-SUM($F271:AI271),IF(A16remlife="N/A","n/a",A16value/A16remlife))</f>
        <v>0</v>
      </c>
      <c r="AK271" s="106">
        <f>IF(AK$3&gt;A16remlife,A16value-SUM($F271:AJ271),IF(A16remlife="N/A","n/a",A16value/A16remlife))</f>
        <v>0</v>
      </c>
      <c r="AL271" s="106">
        <f>IF(AL$3&gt;A16remlife,A16value-SUM($F271:AK271),IF(A16remlife="N/A","n/a",A16value/A16remlife))</f>
        <v>0</v>
      </c>
      <c r="AM271" s="106">
        <f>IF(AM$3&gt;A16remlife,A16value-SUM($F271:AL271),IF(A16remlife="N/A","n/a",A16value/A16remlife))</f>
        <v>0</v>
      </c>
      <c r="AN271" s="106">
        <f>IF(AN$3&gt;A16remlife,A16value-SUM($F271:AM271),IF(A16remlife="N/A","n/a",A16value/A16remlife))</f>
        <v>0</v>
      </c>
      <c r="AO271" s="106">
        <f>IF(AO$3&gt;A16remlife,A16value-SUM($F271:AN271),IF(A16remlife="N/A","n/a",A16value/A16remlife))</f>
        <v>0</v>
      </c>
      <c r="AP271" s="106">
        <f>IF(AP$3&gt;A16remlife,A16value-SUM($F271:AO271),IF(A16remlife="N/A","n/a",A16value/A16remlife))</f>
        <v>0</v>
      </c>
      <c r="AQ271" s="106">
        <f>IF(AQ$3&gt;A16remlife,A16value-SUM($F271:AP271),IF(A16remlife="N/A","n/a",A16value/A16remlife))</f>
        <v>0</v>
      </c>
      <c r="AR271" s="106">
        <f>IF(AR$3&gt;A16remlife,A16value-SUM($F271:AQ271),IF(A16remlife="N/A","n/a",A16value/A16remlife))</f>
        <v>0</v>
      </c>
      <c r="AS271" s="106">
        <f>IF(AS$3&gt;A16remlife,A16value-SUM($F271:AR271),IF(A16remlife="N/A","n/a",A16value/A16remlife))</f>
        <v>0</v>
      </c>
      <c r="AT271" s="106">
        <f>IF(AT$3&gt;A16remlife,A16value-SUM($F271:AS271),IF(A16remlife="N/A","n/a",A16value/A16remlife))</f>
        <v>0</v>
      </c>
      <c r="AU271" s="106">
        <f>IF(AU$3&gt;A16remlife,A16value-SUM($F271:AT271),IF(A16remlife="N/A","n/a",A16value/A16remlife))</f>
        <v>0</v>
      </c>
      <c r="AV271" s="106">
        <f>IF(AV$3&gt;A16remlife,A16value-SUM($F271:AU271),IF(A16remlife="N/A","n/a",A16value/A16remlife))</f>
        <v>0</v>
      </c>
      <c r="AW271" s="106">
        <f>IF(AW$3&gt;A16remlife,A16value-SUM($F271:AV271),IF(A16remlife="N/A","n/a",A16value/A16remlife))</f>
        <v>0</v>
      </c>
      <c r="AX271" s="106">
        <f>IF(AX$3&gt;A16remlife,A16value-SUM($F271:AW271),IF(A16remlife="N/A","n/a",A16value/A16remlife))</f>
        <v>0</v>
      </c>
      <c r="AY271" s="106">
        <f>IF(AY$3&gt;A16remlife,A16value-SUM($F271:AX271),IF(A16remlife="N/A","n/a",A16value/A16remlife))</f>
        <v>0</v>
      </c>
      <c r="AZ271" s="106">
        <f>IF(AZ$3&gt;A16remlife,A16value-SUM($F271:AY271),IF(A16remlife="N/A","n/a",A16value/A16remlife))</f>
        <v>0</v>
      </c>
      <c r="BA271" s="106">
        <f>IF(BA$3&gt;A16remlife,A16value-SUM($F271:AZ271),IF(A16remlife="N/A","n/a",A16value/A16remlife))</f>
        <v>0</v>
      </c>
      <c r="BB271" s="106">
        <f>IF(BB$3&gt;A16remlife,A16value-SUM($F271:BA271),IF(A16remlife="N/A","n/a",A16value/A16remlife))</f>
        <v>0</v>
      </c>
      <c r="BC271" s="106">
        <f>IF(BC$3&gt;A16remlife,A16value-SUM($F271:BB271),IF(A16remlife="N/A","n/a",A16value/A16remlife))</f>
        <v>0</v>
      </c>
      <c r="BD271" s="106">
        <f>IF(BD$3&gt;A16remlife,A16value-SUM($F271:BC271),IF(A16remlife="N/A","n/a",A16value/A16remlife))</f>
        <v>0</v>
      </c>
      <c r="BE271" s="106">
        <f>IF(BE$3&gt;A16remlife,A16value-SUM($F271:BD271),IF(A16remlife="N/A","n/a",A16value/A16remlife))</f>
        <v>0</v>
      </c>
      <c r="BF271" s="106">
        <f>IF(BF$3&gt;A16remlife,A16value-SUM($F271:BE271),IF(A16remlife="N/A","n/a",A16value/A16remlife))</f>
        <v>0</v>
      </c>
      <c r="BG271" s="106">
        <f>IF(BG$3&gt;A16remlife,A16value-SUM($F271:BF271),IF(A16remlife="N/A","n/a",A16value/A16remlife))</f>
        <v>0</v>
      </c>
      <c r="BH271" s="106">
        <f>IF(BH$3&gt;A16remlife,A16value-SUM($F271:BG271),IF(A16remlife="N/A","n/a",A16value/A16remlife))</f>
        <v>0</v>
      </c>
      <c r="BI271" s="106">
        <f>IF(BI$3&gt;A16remlife,A16value-SUM($F271:BH271),IF(A16remlife="N/A","n/a",A16value/A16remlife))</f>
        <v>0</v>
      </c>
      <c r="BJ271" s="237"/>
      <c r="BK271" s="237"/>
      <c r="BL271" s="237"/>
      <c r="BM271" s="237"/>
    </row>
    <row r="272" spans="1:65" s="190" customFormat="1" ht="12.75" hidden="1" customHeight="1" outlineLevel="2">
      <c r="A272" s="237"/>
      <c r="B272" s="33"/>
      <c r="C272" s="32"/>
      <c r="D272" s="1618" t="s">
        <v>357</v>
      </c>
      <c r="E272" s="169">
        <v>0</v>
      </c>
      <c r="F272" s="35"/>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c r="BJ272" s="237"/>
      <c r="BK272" s="237"/>
      <c r="BL272" s="237"/>
      <c r="BM272" s="237"/>
    </row>
    <row r="273" spans="1:65" s="190" customFormat="1" hidden="1" outlineLevel="2">
      <c r="A273" s="237"/>
      <c r="B273" s="33"/>
      <c r="C273" s="32"/>
      <c r="D273" s="1618"/>
      <c r="E273" s="169">
        <v>1</v>
      </c>
      <c r="F273" s="35"/>
      <c r="G273" s="183"/>
      <c r="H273" s="107">
        <f>IF(A16stdlife="n/a","n/a",IF(H$3&gt;(A16stdlife+$E273),('PTRM input'!$G$158*(1+rvanilla01)^0.5)-SUM($G273:G273),('PTRM input'!$G$158*(1+rvanilla01)^0.5)/A16stdlife))</f>
        <v>0</v>
      </c>
      <c r="I273" s="107">
        <f>IF(A16stdlife="n/a","n/a",IF(I$3&gt;(A16stdlife+$E273),('PTRM input'!$G$158*(1+rvanilla01)^0.5)-SUM($G273:H273),('PTRM input'!$G$158*(1+rvanilla01)^0.5)/A16stdlife))</f>
        <v>0</v>
      </c>
      <c r="J273" s="107">
        <f>IF(A16stdlife="n/a","n/a",IF(J$3&gt;(A16stdlife+$E273),('PTRM input'!$G$158*(1+rvanilla01)^0.5)-SUM($G273:I273),('PTRM input'!$G$158*(1+rvanilla01)^0.5)/A16stdlife))</f>
        <v>0</v>
      </c>
      <c r="K273" s="107">
        <f>IF(A16stdlife="n/a","n/a",IF(K$3&gt;(A16stdlife+$E273),('PTRM input'!$G$158*(1+rvanilla01)^0.5)-SUM($G273:J273),('PTRM input'!$G$158*(1+rvanilla01)^0.5)/A16stdlife))</f>
        <v>0</v>
      </c>
      <c r="L273" s="107">
        <f>IF(A16stdlife="n/a","n/a",IF(L$3&gt;(A16stdlife+$E273),('PTRM input'!$G$158*(1+rvanilla01)^0.5)-SUM($G273:K273),('PTRM input'!$G$158*(1+rvanilla01)^0.5)/A16stdlife))</f>
        <v>0</v>
      </c>
      <c r="M273" s="107">
        <f>IF(A16stdlife="n/a","n/a",IF(M$3&gt;(A16stdlife+$E273),('PTRM input'!$G$158*(1+rvanilla01)^0.5)-SUM($G273:L273),('PTRM input'!$G$158*(1+rvanilla01)^0.5)/A16stdlife))</f>
        <v>0</v>
      </c>
      <c r="N273" s="107">
        <f>IF(A16stdlife="n/a","n/a",IF(N$3&gt;(A16stdlife+$E273),('PTRM input'!$G$158*(1+rvanilla01)^0.5)-SUM($G273:M273),('PTRM input'!$G$158*(1+rvanilla01)^0.5)/A16stdlife))</f>
        <v>0</v>
      </c>
      <c r="O273" s="107">
        <f>IF(A16stdlife="n/a","n/a",IF(O$3&gt;(A16stdlife+$E273),('PTRM input'!$G$158*(1+rvanilla01)^0.5)-SUM($G273:N273),('PTRM input'!$G$158*(1+rvanilla01)^0.5)/A16stdlife))</f>
        <v>0</v>
      </c>
      <c r="P273" s="107">
        <f>IF(A16stdlife="n/a","n/a",IF(P$3&gt;(A16stdlife+$E273),('PTRM input'!$G$158*(1+rvanilla01)^0.5)-SUM($G273:O273),('PTRM input'!$G$158*(1+rvanilla01)^0.5)/A16stdlife))</f>
        <v>0</v>
      </c>
      <c r="Q273" s="107">
        <f>IF(A16stdlife="n/a","n/a",IF(Q$3&gt;(A16stdlife+$E273),('PTRM input'!$G$158*(1+rvanilla01)^0.5)-SUM($G273:P273),('PTRM input'!$G$158*(1+rvanilla01)^0.5)/A16stdlife))</f>
        <v>0</v>
      </c>
      <c r="R273" s="107">
        <f>IF(A16stdlife="n/a","n/a",IF(R$3&gt;(A16stdlife+$E273),('PTRM input'!$G$158*(1+rvanilla01)^0.5)-SUM($G273:Q273),('PTRM input'!$G$158*(1+rvanilla01)^0.5)/A16stdlife))</f>
        <v>0</v>
      </c>
      <c r="S273" s="107">
        <f>IF(A16stdlife="n/a","n/a",IF(S$3&gt;(A16stdlife+$E273),('PTRM input'!$G$158*(1+rvanilla01)^0.5)-SUM($G273:R273),('PTRM input'!$G$158*(1+rvanilla01)^0.5)/A16stdlife))</f>
        <v>0</v>
      </c>
      <c r="T273" s="107">
        <f>IF(A16stdlife="n/a","n/a",IF(T$3&gt;(A16stdlife+$E273),('PTRM input'!$G$158*(1+rvanilla01)^0.5)-SUM($G273:S273),('PTRM input'!$G$158*(1+rvanilla01)^0.5)/A16stdlife))</f>
        <v>0</v>
      </c>
      <c r="U273" s="107">
        <f>IF(A16stdlife="n/a","n/a",IF(U$3&gt;(A16stdlife+$E273),('PTRM input'!$G$158*(1+rvanilla01)^0.5)-SUM($G273:T273),('PTRM input'!$G$158*(1+rvanilla01)^0.5)/A16stdlife))</f>
        <v>0</v>
      </c>
      <c r="V273" s="107">
        <f>IF(A16stdlife="n/a","n/a",IF(V$3&gt;(A16stdlife+$E273),('PTRM input'!$G$158*(1+rvanilla01)^0.5)-SUM($G273:U273),('PTRM input'!$G$158*(1+rvanilla01)^0.5)/A16stdlife))</f>
        <v>0</v>
      </c>
      <c r="W273" s="107">
        <f>IF(A16stdlife="n/a","n/a",IF(W$3&gt;(A16stdlife+$E273),('PTRM input'!$G$158*(1+rvanilla01)^0.5)-SUM($G273:V273),('PTRM input'!$G$158*(1+rvanilla01)^0.5)/A16stdlife))</f>
        <v>0</v>
      </c>
      <c r="X273" s="107">
        <f>IF(A16stdlife="n/a","n/a",IF(X$3&gt;(A16stdlife+$E273),('PTRM input'!$G$158*(1+rvanilla01)^0.5)-SUM($G273:W273),('PTRM input'!$G$158*(1+rvanilla01)^0.5)/A16stdlife))</f>
        <v>0</v>
      </c>
      <c r="Y273" s="107">
        <f>IF(A16stdlife="n/a","n/a",IF(Y$3&gt;(A16stdlife+$E273),('PTRM input'!$G$158*(1+rvanilla01)^0.5)-SUM($G273:X273),('PTRM input'!$G$158*(1+rvanilla01)^0.5)/A16stdlife))</f>
        <v>0</v>
      </c>
      <c r="Z273" s="107">
        <f>IF(A16stdlife="n/a","n/a",IF(Z$3&gt;(A16stdlife+$E273),('PTRM input'!$G$158*(1+rvanilla01)^0.5)-SUM($G273:Y273),('PTRM input'!$G$158*(1+rvanilla01)^0.5)/A16stdlife))</f>
        <v>0</v>
      </c>
      <c r="AA273" s="107">
        <f>IF(A16stdlife="n/a","n/a",IF(AA$3&gt;(A16stdlife+$E273),('PTRM input'!$G$158*(1+rvanilla01)^0.5)-SUM($G273:Z273),('PTRM input'!$G$158*(1+rvanilla01)^0.5)/A16stdlife))</f>
        <v>0</v>
      </c>
      <c r="AB273" s="107">
        <f>IF(A16stdlife="n/a","n/a",IF(AB$3&gt;(A16stdlife+$E273),('PTRM input'!$G$158*(1+rvanilla01)^0.5)-SUM($G273:AA273),('PTRM input'!$G$158*(1+rvanilla01)^0.5)/A16stdlife))</f>
        <v>0</v>
      </c>
      <c r="AC273" s="107">
        <f>IF(A16stdlife="n/a","n/a",IF(AC$3&gt;(A16stdlife+$E273),('PTRM input'!$G$158*(1+rvanilla01)^0.5)-SUM($G273:AB273),('PTRM input'!$G$158*(1+rvanilla01)^0.5)/A16stdlife))</f>
        <v>0</v>
      </c>
      <c r="AD273" s="107">
        <f>IF(A16stdlife="n/a","n/a",IF(AD$3&gt;(A16stdlife+$E273),('PTRM input'!$G$158*(1+rvanilla01)^0.5)-SUM($G273:AC273),('PTRM input'!$G$158*(1+rvanilla01)^0.5)/A16stdlife))</f>
        <v>0</v>
      </c>
      <c r="AE273" s="107">
        <f>IF(A16stdlife="n/a","n/a",IF(AE$3&gt;(A16stdlife+$E273),('PTRM input'!$G$158*(1+rvanilla01)^0.5)-SUM($G273:AD273),('PTRM input'!$G$158*(1+rvanilla01)^0.5)/A16stdlife))</f>
        <v>0</v>
      </c>
      <c r="AF273" s="107">
        <f>IF(A16stdlife="n/a","n/a",IF(AF$3&gt;(A16stdlife+$E273),('PTRM input'!$G$158*(1+rvanilla01)^0.5)-SUM($G273:AE273),('PTRM input'!$G$158*(1+rvanilla01)^0.5)/A16stdlife))</f>
        <v>0</v>
      </c>
      <c r="AG273" s="107">
        <f>IF(A16stdlife="n/a","n/a",IF(AG$3&gt;(A16stdlife+$E273),('PTRM input'!$G$158*(1+rvanilla01)^0.5)-SUM($G273:AF273),('PTRM input'!$G$158*(1+rvanilla01)^0.5)/A16stdlife))</f>
        <v>0</v>
      </c>
      <c r="AH273" s="107">
        <f>IF(A16stdlife="n/a","n/a",IF(AH$3&gt;(A16stdlife+$E273),('PTRM input'!$G$158*(1+rvanilla01)^0.5)-SUM($G273:AG273),('PTRM input'!$G$158*(1+rvanilla01)^0.5)/A16stdlife))</f>
        <v>0</v>
      </c>
      <c r="AI273" s="107">
        <f>IF(A16stdlife="n/a","n/a",IF(AI$3&gt;(A16stdlife+$E273),('PTRM input'!$G$158*(1+rvanilla01)^0.5)-SUM($G273:AH273),('PTRM input'!$G$158*(1+rvanilla01)^0.5)/A16stdlife))</f>
        <v>0</v>
      </c>
      <c r="AJ273" s="107">
        <f>IF(A16stdlife="n/a","n/a",IF(AJ$3&gt;(A16stdlife+$E273),('PTRM input'!$G$158*(1+rvanilla01)^0.5)-SUM($G273:AI273),('PTRM input'!$G$158*(1+rvanilla01)^0.5)/A16stdlife))</f>
        <v>0</v>
      </c>
      <c r="AK273" s="107">
        <f>IF(A16stdlife="n/a","n/a",IF(AK$3&gt;(A16stdlife+$E273),('PTRM input'!$G$158*(1+rvanilla01)^0.5)-SUM($G273:AJ273),('PTRM input'!$G$158*(1+rvanilla01)^0.5)/A16stdlife))</f>
        <v>0</v>
      </c>
      <c r="AL273" s="107">
        <f>IF(A16stdlife="n/a","n/a",IF(AL$3&gt;(A16stdlife+$E273),('PTRM input'!$G$158*(1+rvanilla01)^0.5)-SUM($G273:AK273),('PTRM input'!$G$158*(1+rvanilla01)^0.5)/A16stdlife))</f>
        <v>0</v>
      </c>
      <c r="AM273" s="107">
        <f>IF(A16stdlife="n/a","n/a",IF(AM$3&gt;(A16stdlife+$E273),('PTRM input'!$G$158*(1+rvanilla01)^0.5)-SUM($G273:AL273),('PTRM input'!$G$158*(1+rvanilla01)^0.5)/A16stdlife))</f>
        <v>0</v>
      </c>
      <c r="AN273" s="107">
        <f>IF(A16stdlife="n/a","n/a",IF(AN$3&gt;(A16stdlife+$E273),('PTRM input'!$G$158*(1+rvanilla01)^0.5)-SUM($G273:AM273),('PTRM input'!$G$158*(1+rvanilla01)^0.5)/A16stdlife))</f>
        <v>0</v>
      </c>
      <c r="AO273" s="107">
        <f>IF(A16stdlife="n/a","n/a",IF(AO$3&gt;(A16stdlife+$E273),('PTRM input'!$G$158*(1+rvanilla01)^0.5)-SUM($G273:AN273),('PTRM input'!$G$158*(1+rvanilla01)^0.5)/A16stdlife))</f>
        <v>0</v>
      </c>
      <c r="AP273" s="107">
        <f>IF(A16stdlife="n/a","n/a",IF(AP$3&gt;(A16stdlife+$E273),('PTRM input'!$G$158*(1+rvanilla01)^0.5)-SUM($G273:AO273),('PTRM input'!$G$158*(1+rvanilla01)^0.5)/A16stdlife))</f>
        <v>0</v>
      </c>
      <c r="AQ273" s="107">
        <f>IF(A16stdlife="n/a","n/a",IF(AQ$3&gt;(A16stdlife+$E273),('PTRM input'!$G$158*(1+rvanilla01)^0.5)-SUM($G273:AP273),('PTRM input'!$G$158*(1+rvanilla01)^0.5)/A16stdlife))</f>
        <v>0</v>
      </c>
      <c r="AR273" s="107">
        <f>IF(A16stdlife="n/a","n/a",IF(AR$3&gt;(A16stdlife+$E273),('PTRM input'!$G$158*(1+rvanilla01)^0.5)-SUM($G273:AQ273),('PTRM input'!$G$158*(1+rvanilla01)^0.5)/A16stdlife))</f>
        <v>0</v>
      </c>
      <c r="AS273" s="107">
        <f>IF(A16stdlife="n/a","n/a",IF(AS$3&gt;(A16stdlife+$E273),('PTRM input'!$G$158*(1+rvanilla01)^0.5)-SUM($G273:AR273),('PTRM input'!$G$158*(1+rvanilla01)^0.5)/A16stdlife))</f>
        <v>0</v>
      </c>
      <c r="AT273" s="107">
        <f>IF(A16stdlife="n/a","n/a",IF(AT$3&gt;(A16stdlife+$E273),('PTRM input'!$G$158*(1+rvanilla01)^0.5)-SUM($G273:AS273),('PTRM input'!$G$158*(1+rvanilla01)^0.5)/A16stdlife))</f>
        <v>0</v>
      </c>
      <c r="AU273" s="107">
        <f>IF(A16stdlife="n/a","n/a",IF(AU$3&gt;(A16stdlife+$E273),('PTRM input'!$G$158*(1+rvanilla01)^0.5)-SUM($G273:AT273),('PTRM input'!$G$158*(1+rvanilla01)^0.5)/A16stdlife))</f>
        <v>0</v>
      </c>
      <c r="AV273" s="107">
        <f>IF(A16stdlife="n/a","n/a",IF(AV$3&gt;(A16stdlife+$E273),('PTRM input'!$G$158*(1+rvanilla01)^0.5)-SUM($G273:AU273),('PTRM input'!$G$158*(1+rvanilla01)^0.5)/A16stdlife))</f>
        <v>0</v>
      </c>
      <c r="AW273" s="107">
        <f>IF(A16stdlife="n/a","n/a",IF(AW$3&gt;(A16stdlife+$E273),('PTRM input'!$G$158*(1+rvanilla01)^0.5)-SUM($G273:AV273),('PTRM input'!$G$158*(1+rvanilla01)^0.5)/A16stdlife))</f>
        <v>0</v>
      </c>
      <c r="AX273" s="107">
        <f>IF(A16stdlife="n/a","n/a",IF(AX$3&gt;(A16stdlife+$E273),('PTRM input'!$G$158*(1+rvanilla01)^0.5)-SUM($G273:AW273),('PTRM input'!$G$158*(1+rvanilla01)^0.5)/A16stdlife))</f>
        <v>0</v>
      </c>
      <c r="AY273" s="107">
        <f>IF(A16stdlife="n/a","n/a",IF(AY$3&gt;(A16stdlife+$E273),('PTRM input'!$G$158*(1+rvanilla01)^0.5)-SUM($G273:AX273),('PTRM input'!$G$158*(1+rvanilla01)^0.5)/A16stdlife))</f>
        <v>0</v>
      </c>
      <c r="AZ273" s="107">
        <f>IF(A16stdlife="n/a","n/a",IF(AZ$3&gt;(A16stdlife+$E273),('PTRM input'!$G$158*(1+rvanilla01)^0.5)-SUM($G273:AY273),('PTRM input'!$G$158*(1+rvanilla01)^0.5)/A16stdlife))</f>
        <v>0</v>
      </c>
      <c r="BA273" s="107">
        <f>IF(A16stdlife="n/a","n/a",IF(BA$3&gt;(A16stdlife+$E273),('PTRM input'!$G$158*(1+rvanilla01)^0.5)-SUM($G273:AZ273),('PTRM input'!$G$158*(1+rvanilla01)^0.5)/A16stdlife))</f>
        <v>0</v>
      </c>
      <c r="BB273" s="107">
        <f>IF(A16stdlife="n/a","n/a",IF(BB$3&gt;(A16stdlife+$E273),('PTRM input'!$G$158*(1+rvanilla01)^0.5)-SUM($G273:BA273),('PTRM input'!$G$158*(1+rvanilla01)^0.5)/A16stdlife))</f>
        <v>0</v>
      </c>
      <c r="BC273" s="107">
        <f>IF(A16stdlife="n/a","n/a",IF(BC$3&gt;(A16stdlife+$E273),('PTRM input'!$G$158*(1+rvanilla01)^0.5)-SUM($G273:BB273),('PTRM input'!$G$158*(1+rvanilla01)^0.5)/A16stdlife))</f>
        <v>0</v>
      </c>
      <c r="BD273" s="107">
        <f>IF(A16stdlife="n/a","n/a",IF(BD$3&gt;(A16stdlife+$E273),('PTRM input'!$G$158*(1+rvanilla01)^0.5)-SUM($G273:BC273),('PTRM input'!$G$158*(1+rvanilla01)^0.5)/A16stdlife))</f>
        <v>0</v>
      </c>
      <c r="BE273" s="107">
        <f>IF(A16stdlife="n/a","n/a",IF(BE$3&gt;(A16stdlife+$E273),('PTRM input'!$G$158*(1+rvanilla01)^0.5)-SUM($G273:BD273),('PTRM input'!$G$158*(1+rvanilla01)^0.5)/A16stdlife))</f>
        <v>0</v>
      </c>
      <c r="BF273" s="107">
        <f>IF(A16stdlife="n/a","n/a",IF(BF$3&gt;(A16stdlife+$E273),('PTRM input'!$G$158*(1+rvanilla01)^0.5)-SUM($G273:BE273),('PTRM input'!$G$158*(1+rvanilla01)^0.5)/A16stdlife))</f>
        <v>0</v>
      </c>
      <c r="BG273" s="107">
        <f>IF(A16stdlife="n/a","n/a",IF(BG$3&gt;(A16stdlife+$E273),('PTRM input'!$G$158*(1+rvanilla01)^0.5)-SUM($G273:BF273),('PTRM input'!$G$158*(1+rvanilla01)^0.5)/A16stdlife))</f>
        <v>0</v>
      </c>
      <c r="BH273" s="107">
        <f>IF(A16stdlife="n/a","n/a",IF(BH$3&gt;(A16stdlife+$E273),('PTRM input'!$G$158*(1+rvanilla01)^0.5)-SUM($G273:BG273),('PTRM input'!$G$158*(1+rvanilla01)^0.5)/A16stdlife))</f>
        <v>0</v>
      </c>
      <c r="BI273" s="107">
        <f>IF(A16stdlife="n/a","n/a",IF(BI$3&gt;(A16stdlife+$E273),('PTRM input'!$G$158*(1+rvanilla01)^0.5)-SUM($G273:BH273),('PTRM input'!$G$158*(1+rvanilla01)^0.5)/A16stdlife))</f>
        <v>0</v>
      </c>
      <c r="BJ273" s="237"/>
      <c r="BK273" s="237"/>
      <c r="BL273" s="237"/>
      <c r="BM273" s="237"/>
    </row>
    <row r="274" spans="1:65" s="190" customFormat="1" hidden="1" outlineLevel="2">
      <c r="A274" s="237"/>
      <c r="B274" s="33"/>
      <c r="C274" s="32"/>
      <c r="D274" s="1618"/>
      <c r="E274" s="169">
        <v>2</v>
      </c>
      <c r="F274" s="35"/>
      <c r="G274" s="184"/>
      <c r="H274" s="185"/>
      <c r="I274" s="107">
        <f>IF(A16stdlife="n/a","n/a",IF(I$3&gt;(A16stdlife+$E274),('PTRM input'!$H$158*(1+rvanilla02)^0.5)-SUM($H274:H274),('PTRM input'!$H$158*(1+rvanilla02)^0.5)/A16stdlife))</f>
        <v>0</v>
      </c>
      <c r="J274" s="107">
        <f>IF(A16stdlife="n/a","n/a",IF(J$3&gt;(A16stdlife+$E274),('PTRM input'!$H$158*(1+rvanilla02)^0.5)-SUM($H274:I274),('PTRM input'!$H$158*(1+rvanilla02)^0.5)/A16stdlife))</f>
        <v>0</v>
      </c>
      <c r="K274" s="107">
        <f>IF(A16stdlife="n/a","n/a",IF(K$3&gt;(A16stdlife+$E274),('PTRM input'!$H$158*(1+rvanilla02)^0.5)-SUM($H274:J274),('PTRM input'!$H$158*(1+rvanilla02)^0.5)/A16stdlife))</f>
        <v>0</v>
      </c>
      <c r="L274" s="107">
        <f>IF(A16stdlife="n/a","n/a",IF(L$3&gt;(A16stdlife+$E274),('PTRM input'!$H$158*(1+rvanilla02)^0.5)-SUM($H274:K274),('PTRM input'!$H$158*(1+rvanilla02)^0.5)/A16stdlife))</f>
        <v>0</v>
      </c>
      <c r="M274" s="107">
        <f>IF(A16stdlife="n/a","n/a",IF(M$3&gt;(A16stdlife+$E274),('PTRM input'!$H$158*(1+rvanilla02)^0.5)-SUM($H274:L274),('PTRM input'!$H$158*(1+rvanilla02)^0.5)/A16stdlife))</f>
        <v>0</v>
      </c>
      <c r="N274" s="107">
        <f>IF(A16stdlife="n/a","n/a",IF(N$3&gt;(A16stdlife+$E274),('PTRM input'!$H$158*(1+rvanilla02)^0.5)-SUM($H274:M274),('PTRM input'!$H$158*(1+rvanilla02)^0.5)/A16stdlife))</f>
        <v>0</v>
      </c>
      <c r="O274" s="107">
        <f>IF(A16stdlife="n/a","n/a",IF(O$3&gt;(A16stdlife+$E274),('PTRM input'!$H$158*(1+rvanilla02)^0.5)-SUM($H274:N274),('PTRM input'!$H$158*(1+rvanilla02)^0.5)/A16stdlife))</f>
        <v>0</v>
      </c>
      <c r="P274" s="107">
        <f>IF(A16stdlife="n/a","n/a",IF(P$3&gt;(A16stdlife+$E274),('PTRM input'!$H$158*(1+rvanilla02)^0.5)-SUM($H274:O274),('PTRM input'!$H$158*(1+rvanilla02)^0.5)/A16stdlife))</f>
        <v>0</v>
      </c>
      <c r="Q274" s="107">
        <f>IF(A16stdlife="n/a","n/a",IF(Q$3&gt;(A16stdlife+$E274),('PTRM input'!$H$158*(1+rvanilla02)^0.5)-SUM($H274:P274),('PTRM input'!$H$158*(1+rvanilla02)^0.5)/A16stdlife))</f>
        <v>0</v>
      </c>
      <c r="R274" s="107">
        <f>IF(A16stdlife="n/a","n/a",IF(R$3&gt;(A16stdlife+$E274),('PTRM input'!$H$158*(1+rvanilla02)^0.5)-SUM($H274:Q274),('PTRM input'!$H$158*(1+rvanilla02)^0.5)/A16stdlife))</f>
        <v>0</v>
      </c>
      <c r="S274" s="107">
        <f>IF(A16stdlife="n/a","n/a",IF(S$3&gt;(A16stdlife+$E274),('PTRM input'!$H$158*(1+rvanilla02)^0.5)-SUM($H274:R274),('PTRM input'!$H$158*(1+rvanilla02)^0.5)/A16stdlife))</f>
        <v>0</v>
      </c>
      <c r="T274" s="107">
        <f>IF(A16stdlife="n/a","n/a",IF(T$3&gt;(A16stdlife+$E274),('PTRM input'!$H$158*(1+rvanilla02)^0.5)-SUM($H274:S274),('PTRM input'!$H$158*(1+rvanilla02)^0.5)/A16stdlife))</f>
        <v>0</v>
      </c>
      <c r="U274" s="107">
        <f>IF(A16stdlife="n/a","n/a",IF(U$3&gt;(A16stdlife+$E274),('PTRM input'!$H$158*(1+rvanilla02)^0.5)-SUM($H274:T274),('PTRM input'!$H$158*(1+rvanilla02)^0.5)/A16stdlife))</f>
        <v>0</v>
      </c>
      <c r="V274" s="107">
        <f>IF(A16stdlife="n/a","n/a",IF(V$3&gt;(A16stdlife+$E274),('PTRM input'!$H$158*(1+rvanilla02)^0.5)-SUM($H274:U274),('PTRM input'!$H$158*(1+rvanilla02)^0.5)/A16stdlife))</f>
        <v>0</v>
      </c>
      <c r="W274" s="107">
        <f>IF(A16stdlife="n/a","n/a",IF(W$3&gt;(A16stdlife+$E274),('PTRM input'!$H$158*(1+rvanilla02)^0.5)-SUM($H274:V274),('PTRM input'!$H$158*(1+rvanilla02)^0.5)/A16stdlife))</f>
        <v>0</v>
      </c>
      <c r="X274" s="107">
        <f>IF(A16stdlife="n/a","n/a",IF(X$3&gt;(A16stdlife+$E274),('PTRM input'!$H$158*(1+rvanilla02)^0.5)-SUM($H274:W274),('PTRM input'!$H$158*(1+rvanilla02)^0.5)/A16stdlife))</f>
        <v>0</v>
      </c>
      <c r="Y274" s="107">
        <f>IF(A16stdlife="n/a","n/a",IF(Y$3&gt;(A16stdlife+$E274),('PTRM input'!$H$158*(1+rvanilla02)^0.5)-SUM($H274:X274),('PTRM input'!$H$158*(1+rvanilla02)^0.5)/A16stdlife))</f>
        <v>0</v>
      </c>
      <c r="Z274" s="107">
        <f>IF(A16stdlife="n/a","n/a",IF(Z$3&gt;(A16stdlife+$E274),('PTRM input'!$H$158*(1+rvanilla02)^0.5)-SUM($H274:Y274),('PTRM input'!$H$158*(1+rvanilla02)^0.5)/A16stdlife))</f>
        <v>0</v>
      </c>
      <c r="AA274" s="107">
        <f>IF(A16stdlife="n/a","n/a",IF(AA$3&gt;(A16stdlife+$E274),('PTRM input'!$H$158*(1+rvanilla02)^0.5)-SUM($H274:Z274),('PTRM input'!$H$158*(1+rvanilla02)^0.5)/A16stdlife))</f>
        <v>0</v>
      </c>
      <c r="AB274" s="107">
        <f>IF(A16stdlife="n/a","n/a",IF(AB$3&gt;(A16stdlife+$E274),('PTRM input'!$H$158*(1+rvanilla02)^0.5)-SUM($H274:AA274),('PTRM input'!$H$158*(1+rvanilla02)^0.5)/A16stdlife))</f>
        <v>0</v>
      </c>
      <c r="AC274" s="107">
        <f>IF(A16stdlife="n/a","n/a",IF(AC$3&gt;(A16stdlife+$E274),('PTRM input'!$H$158*(1+rvanilla02)^0.5)-SUM($H274:AB274),('PTRM input'!$H$158*(1+rvanilla02)^0.5)/A16stdlife))</f>
        <v>0</v>
      </c>
      <c r="AD274" s="107">
        <f>IF(A16stdlife="n/a","n/a",IF(AD$3&gt;(A16stdlife+$E274),('PTRM input'!$H$158*(1+rvanilla02)^0.5)-SUM($H274:AC274),('PTRM input'!$H$158*(1+rvanilla02)^0.5)/A16stdlife))</f>
        <v>0</v>
      </c>
      <c r="AE274" s="107">
        <f>IF(A16stdlife="n/a","n/a",IF(AE$3&gt;(A16stdlife+$E274),('PTRM input'!$H$158*(1+rvanilla02)^0.5)-SUM($H274:AD274),('PTRM input'!$H$158*(1+rvanilla02)^0.5)/A16stdlife))</f>
        <v>0</v>
      </c>
      <c r="AF274" s="107">
        <f>IF(A16stdlife="n/a","n/a",IF(AF$3&gt;(A16stdlife+$E274),('PTRM input'!$H$158*(1+rvanilla02)^0.5)-SUM($H274:AE274),('PTRM input'!$H$158*(1+rvanilla02)^0.5)/A16stdlife))</f>
        <v>0</v>
      </c>
      <c r="AG274" s="107">
        <f>IF(A16stdlife="n/a","n/a",IF(AG$3&gt;(A16stdlife+$E274),('PTRM input'!$H$158*(1+rvanilla02)^0.5)-SUM($H274:AF274),('PTRM input'!$H$158*(1+rvanilla02)^0.5)/A16stdlife))</f>
        <v>0</v>
      </c>
      <c r="AH274" s="107">
        <f>IF(A16stdlife="n/a","n/a",IF(AH$3&gt;(A16stdlife+$E274),('PTRM input'!$H$158*(1+rvanilla02)^0.5)-SUM($H274:AG274),('PTRM input'!$H$158*(1+rvanilla02)^0.5)/A16stdlife))</f>
        <v>0</v>
      </c>
      <c r="AI274" s="107">
        <f>IF(A16stdlife="n/a","n/a",IF(AI$3&gt;(A16stdlife+$E274),('PTRM input'!$H$158*(1+rvanilla02)^0.5)-SUM($H274:AH274),('PTRM input'!$H$158*(1+rvanilla02)^0.5)/A16stdlife))</f>
        <v>0</v>
      </c>
      <c r="AJ274" s="107">
        <f>IF(A16stdlife="n/a","n/a",IF(AJ$3&gt;(A16stdlife+$E274),('PTRM input'!$H$158*(1+rvanilla02)^0.5)-SUM($H274:AI274),('PTRM input'!$H$158*(1+rvanilla02)^0.5)/A16stdlife))</f>
        <v>0</v>
      </c>
      <c r="AK274" s="107">
        <f>IF(A16stdlife="n/a","n/a",IF(AK$3&gt;(A16stdlife+$E274),('PTRM input'!$H$158*(1+rvanilla02)^0.5)-SUM($H274:AJ274),('PTRM input'!$H$158*(1+rvanilla02)^0.5)/A16stdlife))</f>
        <v>0</v>
      </c>
      <c r="AL274" s="107">
        <f>IF(A16stdlife="n/a","n/a",IF(AL$3&gt;(A16stdlife+$E274),('PTRM input'!$H$158*(1+rvanilla02)^0.5)-SUM($H274:AK274),('PTRM input'!$H$158*(1+rvanilla02)^0.5)/A16stdlife))</f>
        <v>0</v>
      </c>
      <c r="AM274" s="107">
        <f>IF(A16stdlife="n/a","n/a",IF(AM$3&gt;(A16stdlife+$E274),('PTRM input'!$H$158*(1+rvanilla02)^0.5)-SUM($H274:AL274),('PTRM input'!$H$158*(1+rvanilla02)^0.5)/A16stdlife))</f>
        <v>0</v>
      </c>
      <c r="AN274" s="107">
        <f>IF(A16stdlife="n/a","n/a",IF(AN$3&gt;(A16stdlife+$E274),('PTRM input'!$H$158*(1+rvanilla02)^0.5)-SUM($H274:AM274),('PTRM input'!$H$158*(1+rvanilla02)^0.5)/A16stdlife))</f>
        <v>0</v>
      </c>
      <c r="AO274" s="107">
        <f>IF(A16stdlife="n/a","n/a",IF(AO$3&gt;(A16stdlife+$E274),('PTRM input'!$H$158*(1+rvanilla02)^0.5)-SUM($H274:AN274),('PTRM input'!$H$158*(1+rvanilla02)^0.5)/A16stdlife))</f>
        <v>0</v>
      </c>
      <c r="AP274" s="107">
        <f>IF(A16stdlife="n/a","n/a",IF(AP$3&gt;(A16stdlife+$E274),('PTRM input'!$H$158*(1+rvanilla02)^0.5)-SUM($H274:AO274),('PTRM input'!$H$158*(1+rvanilla02)^0.5)/A16stdlife))</f>
        <v>0</v>
      </c>
      <c r="AQ274" s="107">
        <f>IF(A16stdlife="n/a","n/a",IF(AQ$3&gt;(A16stdlife+$E274),('PTRM input'!$H$158*(1+rvanilla02)^0.5)-SUM($H274:AP274),('PTRM input'!$H$158*(1+rvanilla02)^0.5)/A16stdlife))</f>
        <v>0</v>
      </c>
      <c r="AR274" s="107">
        <f>IF(A16stdlife="n/a","n/a",IF(AR$3&gt;(A16stdlife+$E274),('PTRM input'!$H$158*(1+rvanilla02)^0.5)-SUM($H274:AQ274),('PTRM input'!$H$158*(1+rvanilla02)^0.5)/A16stdlife))</f>
        <v>0</v>
      </c>
      <c r="AS274" s="107">
        <f>IF(A16stdlife="n/a","n/a",IF(AS$3&gt;(A16stdlife+$E274),('PTRM input'!$H$158*(1+rvanilla02)^0.5)-SUM($H274:AR274),('PTRM input'!$H$158*(1+rvanilla02)^0.5)/A16stdlife))</f>
        <v>0</v>
      </c>
      <c r="AT274" s="107">
        <f>IF(A16stdlife="n/a","n/a",IF(AT$3&gt;(A16stdlife+$E274),('PTRM input'!$H$158*(1+rvanilla02)^0.5)-SUM($H274:AS274),('PTRM input'!$H$158*(1+rvanilla02)^0.5)/A16stdlife))</f>
        <v>0</v>
      </c>
      <c r="AU274" s="107">
        <f>IF(A16stdlife="n/a","n/a",IF(AU$3&gt;(A16stdlife+$E274),('PTRM input'!$H$158*(1+rvanilla02)^0.5)-SUM($H274:AT274),('PTRM input'!$H$158*(1+rvanilla02)^0.5)/A16stdlife))</f>
        <v>0</v>
      </c>
      <c r="AV274" s="107">
        <f>IF(A16stdlife="n/a","n/a",IF(AV$3&gt;(A16stdlife+$E274),('PTRM input'!$H$158*(1+rvanilla02)^0.5)-SUM($H274:AU274),('PTRM input'!$H$158*(1+rvanilla02)^0.5)/A16stdlife))</f>
        <v>0</v>
      </c>
      <c r="AW274" s="107">
        <f>IF(A16stdlife="n/a","n/a",IF(AW$3&gt;(A16stdlife+$E274),('PTRM input'!$H$158*(1+rvanilla02)^0.5)-SUM($H274:AV274),('PTRM input'!$H$158*(1+rvanilla02)^0.5)/A16stdlife))</f>
        <v>0</v>
      </c>
      <c r="AX274" s="107">
        <f>IF(A16stdlife="n/a","n/a",IF(AX$3&gt;(A16stdlife+$E274),('PTRM input'!$H$158*(1+rvanilla02)^0.5)-SUM($H274:AW274),('PTRM input'!$H$158*(1+rvanilla02)^0.5)/A16stdlife))</f>
        <v>0</v>
      </c>
      <c r="AY274" s="107">
        <f>IF(A16stdlife="n/a","n/a",IF(AY$3&gt;(A16stdlife+$E274),('PTRM input'!$H$158*(1+rvanilla02)^0.5)-SUM($H274:AX274),('PTRM input'!$H$158*(1+rvanilla02)^0.5)/A16stdlife))</f>
        <v>0</v>
      </c>
      <c r="AZ274" s="107">
        <f>IF(A16stdlife="n/a","n/a",IF(AZ$3&gt;(A16stdlife+$E274),('PTRM input'!$H$158*(1+rvanilla02)^0.5)-SUM($H274:AY274),('PTRM input'!$H$158*(1+rvanilla02)^0.5)/A16stdlife))</f>
        <v>0</v>
      </c>
      <c r="BA274" s="107">
        <f>IF(A16stdlife="n/a","n/a",IF(BA$3&gt;(A16stdlife+$E274),('PTRM input'!$H$158*(1+rvanilla02)^0.5)-SUM($H274:AZ274),('PTRM input'!$H$158*(1+rvanilla02)^0.5)/A16stdlife))</f>
        <v>0</v>
      </c>
      <c r="BB274" s="107">
        <f>IF(A16stdlife="n/a","n/a",IF(BB$3&gt;(A16stdlife+$E274),('PTRM input'!$H$158*(1+rvanilla02)^0.5)-SUM($H274:BA274),('PTRM input'!$H$158*(1+rvanilla02)^0.5)/A16stdlife))</f>
        <v>0</v>
      </c>
      <c r="BC274" s="107">
        <f>IF(A16stdlife="n/a","n/a",IF(BC$3&gt;(A16stdlife+$E274),('PTRM input'!$H$158*(1+rvanilla02)^0.5)-SUM($H274:BB274),('PTRM input'!$H$158*(1+rvanilla02)^0.5)/A16stdlife))</f>
        <v>0</v>
      </c>
      <c r="BD274" s="107">
        <f>IF(A16stdlife="n/a","n/a",IF(BD$3&gt;(A16stdlife+$E274),('PTRM input'!$H$158*(1+rvanilla02)^0.5)-SUM($H274:BC274),('PTRM input'!$H$158*(1+rvanilla02)^0.5)/A16stdlife))</f>
        <v>0</v>
      </c>
      <c r="BE274" s="107">
        <f>IF(A16stdlife="n/a","n/a",IF(BE$3&gt;(A16stdlife+$E274),('PTRM input'!$H$158*(1+rvanilla02)^0.5)-SUM($H274:BD274),('PTRM input'!$H$158*(1+rvanilla02)^0.5)/A16stdlife))</f>
        <v>0</v>
      </c>
      <c r="BF274" s="107">
        <f>IF(A16stdlife="n/a","n/a",IF(BF$3&gt;(A16stdlife+$E274),('PTRM input'!$H$158*(1+rvanilla02)^0.5)-SUM($H274:BE274),('PTRM input'!$H$158*(1+rvanilla02)^0.5)/A16stdlife))</f>
        <v>0</v>
      </c>
      <c r="BG274" s="107">
        <f>IF(A16stdlife="n/a","n/a",IF(BG$3&gt;(A16stdlife+$E274),('PTRM input'!$H$158*(1+rvanilla02)^0.5)-SUM($H274:BF274),('PTRM input'!$H$158*(1+rvanilla02)^0.5)/A16stdlife))</f>
        <v>0</v>
      </c>
      <c r="BH274" s="107">
        <f>IF(A16stdlife="n/a","n/a",IF(BH$3&gt;(A16stdlife+$E274),('PTRM input'!$H$158*(1+rvanilla02)^0.5)-SUM($H274:BG274),('PTRM input'!$H$158*(1+rvanilla02)^0.5)/A16stdlife))</f>
        <v>0</v>
      </c>
      <c r="BI274" s="107">
        <f>IF(A16stdlife="n/a","n/a",IF(BI$3&gt;(A16stdlife+$E274),('PTRM input'!$H$158*(1+rvanilla02)^0.5)-SUM($H274:BH274),('PTRM input'!$H$158*(1+rvanilla02)^0.5)/A16stdlife))</f>
        <v>0</v>
      </c>
      <c r="BJ274" s="237"/>
      <c r="BK274" s="237"/>
      <c r="BL274" s="237"/>
      <c r="BM274" s="237"/>
    </row>
    <row r="275" spans="1:65" s="190" customFormat="1" hidden="1" outlineLevel="2">
      <c r="A275" s="237"/>
      <c r="B275" s="33"/>
      <c r="C275" s="32"/>
      <c r="D275" s="1618"/>
      <c r="E275" s="169">
        <v>3</v>
      </c>
      <c r="F275" s="35"/>
      <c r="G275" s="184"/>
      <c r="H275" s="186"/>
      <c r="I275" s="185"/>
      <c r="J275" s="107">
        <f>IF(A16stdlife="n/a","n/a",IF(J$3&gt;(A16stdlife+$E275),('PTRM input'!$I$158*(1+rvanilla03)^0.5)-SUM($I275:I275),('PTRM input'!$I$158*(1+rvanilla03)^0.5)/A16stdlife))</f>
        <v>0</v>
      </c>
      <c r="K275" s="107">
        <f>IF(A16stdlife="n/a","n/a",IF(K$3&gt;(A16stdlife+$E275),('PTRM input'!$I$158*(1+rvanilla03)^0.5)-SUM($I275:J275),('PTRM input'!$I$158*(1+rvanilla03)^0.5)/A16stdlife))</f>
        <v>0</v>
      </c>
      <c r="L275" s="107">
        <f>IF(A16stdlife="n/a","n/a",IF(L$3&gt;(A16stdlife+$E275),('PTRM input'!$I$158*(1+rvanilla03)^0.5)-SUM($I275:K275),('PTRM input'!$I$158*(1+rvanilla03)^0.5)/A16stdlife))</f>
        <v>0</v>
      </c>
      <c r="M275" s="107">
        <f>IF(A16stdlife="n/a","n/a",IF(M$3&gt;(A16stdlife+$E275),('PTRM input'!$I$158*(1+rvanilla03)^0.5)-SUM($I275:L275),('PTRM input'!$I$158*(1+rvanilla03)^0.5)/A16stdlife))</f>
        <v>0</v>
      </c>
      <c r="N275" s="107">
        <f>IF(A16stdlife="n/a","n/a",IF(N$3&gt;(A16stdlife+$E275),('PTRM input'!$I$158*(1+rvanilla03)^0.5)-SUM($I275:M275),('PTRM input'!$I$158*(1+rvanilla03)^0.5)/A16stdlife))</f>
        <v>0</v>
      </c>
      <c r="O275" s="107">
        <f>IF(A16stdlife="n/a","n/a",IF(O$3&gt;(A16stdlife+$E275),('PTRM input'!$I$158*(1+rvanilla03)^0.5)-SUM($I275:N275),('PTRM input'!$I$158*(1+rvanilla03)^0.5)/A16stdlife))</f>
        <v>0</v>
      </c>
      <c r="P275" s="107">
        <f>IF(A16stdlife="n/a","n/a",IF(P$3&gt;(A16stdlife+$E275),('PTRM input'!$I$158*(1+rvanilla03)^0.5)-SUM($I275:O275),('PTRM input'!$I$158*(1+rvanilla03)^0.5)/A16stdlife))</f>
        <v>0</v>
      </c>
      <c r="Q275" s="107">
        <f>IF(A16stdlife="n/a","n/a",IF(Q$3&gt;(A16stdlife+$E275),('PTRM input'!$I$158*(1+rvanilla03)^0.5)-SUM($I275:P275),('PTRM input'!$I$158*(1+rvanilla03)^0.5)/A16stdlife))</f>
        <v>0</v>
      </c>
      <c r="R275" s="107">
        <f>IF(A16stdlife="n/a","n/a",IF(R$3&gt;(A16stdlife+$E275),('PTRM input'!$I$158*(1+rvanilla03)^0.5)-SUM($I275:Q275),('PTRM input'!$I$158*(1+rvanilla03)^0.5)/A16stdlife))</f>
        <v>0</v>
      </c>
      <c r="S275" s="107">
        <f>IF(A16stdlife="n/a","n/a",IF(S$3&gt;(A16stdlife+$E275),('PTRM input'!$I$158*(1+rvanilla03)^0.5)-SUM($I275:R275),('PTRM input'!$I$158*(1+rvanilla03)^0.5)/A16stdlife))</f>
        <v>0</v>
      </c>
      <c r="T275" s="107">
        <f>IF(A16stdlife="n/a","n/a",IF(T$3&gt;(A16stdlife+$E275),('PTRM input'!$I$158*(1+rvanilla03)^0.5)-SUM($I275:S275),('PTRM input'!$I$158*(1+rvanilla03)^0.5)/A16stdlife))</f>
        <v>0</v>
      </c>
      <c r="U275" s="107">
        <f>IF(A16stdlife="n/a","n/a",IF(U$3&gt;(A16stdlife+$E275),('PTRM input'!$I$158*(1+rvanilla03)^0.5)-SUM($I275:T275),('PTRM input'!$I$158*(1+rvanilla03)^0.5)/A16stdlife))</f>
        <v>0</v>
      </c>
      <c r="V275" s="107">
        <f>IF(A16stdlife="n/a","n/a",IF(V$3&gt;(A16stdlife+$E275),('PTRM input'!$I$158*(1+rvanilla03)^0.5)-SUM($I275:U275),('PTRM input'!$I$158*(1+rvanilla03)^0.5)/A16stdlife))</f>
        <v>0</v>
      </c>
      <c r="W275" s="107">
        <f>IF(A16stdlife="n/a","n/a",IF(W$3&gt;(A16stdlife+$E275),('PTRM input'!$I$158*(1+rvanilla03)^0.5)-SUM($I275:V275),('PTRM input'!$I$158*(1+rvanilla03)^0.5)/A16stdlife))</f>
        <v>0</v>
      </c>
      <c r="X275" s="107">
        <f>IF(A16stdlife="n/a","n/a",IF(X$3&gt;(A16stdlife+$E275),('PTRM input'!$I$158*(1+rvanilla03)^0.5)-SUM($I275:W275),('PTRM input'!$I$158*(1+rvanilla03)^0.5)/A16stdlife))</f>
        <v>0</v>
      </c>
      <c r="Y275" s="107">
        <f>IF(A16stdlife="n/a","n/a",IF(Y$3&gt;(A16stdlife+$E275),('PTRM input'!$I$158*(1+rvanilla03)^0.5)-SUM($I275:X275),('PTRM input'!$I$158*(1+rvanilla03)^0.5)/A16stdlife))</f>
        <v>0</v>
      </c>
      <c r="Z275" s="107">
        <f>IF(A16stdlife="n/a","n/a",IF(Z$3&gt;(A16stdlife+$E275),('PTRM input'!$I$158*(1+rvanilla03)^0.5)-SUM($I275:Y275),('PTRM input'!$I$158*(1+rvanilla03)^0.5)/A16stdlife))</f>
        <v>0</v>
      </c>
      <c r="AA275" s="107">
        <f>IF(A16stdlife="n/a","n/a",IF(AA$3&gt;(A16stdlife+$E275),('PTRM input'!$I$158*(1+rvanilla03)^0.5)-SUM($I275:Z275),('PTRM input'!$I$158*(1+rvanilla03)^0.5)/A16stdlife))</f>
        <v>0</v>
      </c>
      <c r="AB275" s="107">
        <f>IF(A16stdlife="n/a","n/a",IF(AB$3&gt;(A16stdlife+$E275),('PTRM input'!$I$158*(1+rvanilla03)^0.5)-SUM($I275:AA275),('PTRM input'!$I$158*(1+rvanilla03)^0.5)/A16stdlife))</f>
        <v>0</v>
      </c>
      <c r="AC275" s="107">
        <f>IF(A16stdlife="n/a","n/a",IF(AC$3&gt;(A16stdlife+$E275),('PTRM input'!$I$158*(1+rvanilla03)^0.5)-SUM($I275:AB275),('PTRM input'!$I$158*(1+rvanilla03)^0.5)/A16stdlife))</f>
        <v>0</v>
      </c>
      <c r="AD275" s="107">
        <f>IF(A16stdlife="n/a","n/a",IF(AD$3&gt;(A16stdlife+$E275),('PTRM input'!$I$158*(1+rvanilla03)^0.5)-SUM($I275:AC275),('PTRM input'!$I$158*(1+rvanilla03)^0.5)/A16stdlife))</f>
        <v>0</v>
      </c>
      <c r="AE275" s="107">
        <f>IF(A16stdlife="n/a","n/a",IF(AE$3&gt;(A16stdlife+$E275),('PTRM input'!$I$158*(1+rvanilla03)^0.5)-SUM($I275:AD275),('PTRM input'!$I$158*(1+rvanilla03)^0.5)/A16stdlife))</f>
        <v>0</v>
      </c>
      <c r="AF275" s="107">
        <f>IF(A16stdlife="n/a","n/a",IF(AF$3&gt;(A16stdlife+$E275),('PTRM input'!$I$158*(1+rvanilla03)^0.5)-SUM($I275:AE275),('PTRM input'!$I$158*(1+rvanilla03)^0.5)/A16stdlife))</f>
        <v>0</v>
      </c>
      <c r="AG275" s="107">
        <f>IF(A16stdlife="n/a","n/a",IF(AG$3&gt;(A16stdlife+$E275),('PTRM input'!$I$158*(1+rvanilla03)^0.5)-SUM($I275:AF275),('PTRM input'!$I$158*(1+rvanilla03)^0.5)/A16stdlife))</f>
        <v>0</v>
      </c>
      <c r="AH275" s="107">
        <f>IF(A16stdlife="n/a","n/a",IF(AH$3&gt;(A16stdlife+$E275),('PTRM input'!$I$158*(1+rvanilla03)^0.5)-SUM($I275:AG275),('PTRM input'!$I$158*(1+rvanilla03)^0.5)/A16stdlife))</f>
        <v>0</v>
      </c>
      <c r="AI275" s="107">
        <f>IF(A16stdlife="n/a","n/a",IF(AI$3&gt;(A16stdlife+$E275),('PTRM input'!$I$158*(1+rvanilla03)^0.5)-SUM($I275:AH275),('PTRM input'!$I$158*(1+rvanilla03)^0.5)/A16stdlife))</f>
        <v>0</v>
      </c>
      <c r="AJ275" s="107">
        <f>IF(A16stdlife="n/a","n/a",IF(AJ$3&gt;(A16stdlife+$E275),('PTRM input'!$I$158*(1+rvanilla03)^0.5)-SUM($I275:AI275),('PTRM input'!$I$158*(1+rvanilla03)^0.5)/A16stdlife))</f>
        <v>0</v>
      </c>
      <c r="AK275" s="107">
        <f>IF(A16stdlife="n/a","n/a",IF(AK$3&gt;(A16stdlife+$E275),('PTRM input'!$I$158*(1+rvanilla03)^0.5)-SUM($I275:AJ275),('PTRM input'!$I$158*(1+rvanilla03)^0.5)/A16stdlife))</f>
        <v>0</v>
      </c>
      <c r="AL275" s="107">
        <f>IF(A16stdlife="n/a","n/a",IF(AL$3&gt;(A16stdlife+$E275),('PTRM input'!$I$158*(1+rvanilla03)^0.5)-SUM($I275:AK275),('PTRM input'!$I$158*(1+rvanilla03)^0.5)/A16stdlife))</f>
        <v>0</v>
      </c>
      <c r="AM275" s="107">
        <f>IF(A16stdlife="n/a","n/a",IF(AM$3&gt;(A16stdlife+$E275),('PTRM input'!$I$158*(1+rvanilla03)^0.5)-SUM($I275:AL275),('PTRM input'!$I$158*(1+rvanilla03)^0.5)/A16stdlife))</f>
        <v>0</v>
      </c>
      <c r="AN275" s="107">
        <f>IF(A16stdlife="n/a","n/a",IF(AN$3&gt;(A16stdlife+$E275),('PTRM input'!$I$158*(1+rvanilla03)^0.5)-SUM($I275:AM275),('PTRM input'!$I$158*(1+rvanilla03)^0.5)/A16stdlife))</f>
        <v>0</v>
      </c>
      <c r="AO275" s="107">
        <f>IF(A16stdlife="n/a","n/a",IF(AO$3&gt;(A16stdlife+$E275),('PTRM input'!$I$158*(1+rvanilla03)^0.5)-SUM($I275:AN275),('PTRM input'!$I$158*(1+rvanilla03)^0.5)/A16stdlife))</f>
        <v>0</v>
      </c>
      <c r="AP275" s="107">
        <f>IF(A16stdlife="n/a","n/a",IF(AP$3&gt;(A16stdlife+$E275),('PTRM input'!$I$158*(1+rvanilla03)^0.5)-SUM($I275:AO275),('PTRM input'!$I$158*(1+rvanilla03)^0.5)/A16stdlife))</f>
        <v>0</v>
      </c>
      <c r="AQ275" s="107">
        <f>IF(A16stdlife="n/a","n/a",IF(AQ$3&gt;(A16stdlife+$E275),('PTRM input'!$I$158*(1+rvanilla03)^0.5)-SUM($I275:AP275),('PTRM input'!$I$158*(1+rvanilla03)^0.5)/A16stdlife))</f>
        <v>0</v>
      </c>
      <c r="AR275" s="107">
        <f>IF(A16stdlife="n/a","n/a",IF(AR$3&gt;(A16stdlife+$E275),('PTRM input'!$I$158*(1+rvanilla03)^0.5)-SUM($I275:AQ275),('PTRM input'!$I$158*(1+rvanilla03)^0.5)/A16stdlife))</f>
        <v>0</v>
      </c>
      <c r="AS275" s="107">
        <f>IF(A16stdlife="n/a","n/a",IF(AS$3&gt;(A16stdlife+$E275),('PTRM input'!$I$158*(1+rvanilla03)^0.5)-SUM($I275:AR275),('PTRM input'!$I$158*(1+rvanilla03)^0.5)/A16stdlife))</f>
        <v>0</v>
      </c>
      <c r="AT275" s="107">
        <f>IF(A16stdlife="n/a","n/a",IF(AT$3&gt;(A16stdlife+$E275),('PTRM input'!$I$158*(1+rvanilla03)^0.5)-SUM($I275:AS275),('PTRM input'!$I$158*(1+rvanilla03)^0.5)/A16stdlife))</f>
        <v>0</v>
      </c>
      <c r="AU275" s="107">
        <f>IF(A16stdlife="n/a","n/a",IF(AU$3&gt;(A16stdlife+$E275),('PTRM input'!$I$158*(1+rvanilla03)^0.5)-SUM($I275:AT275),('PTRM input'!$I$158*(1+rvanilla03)^0.5)/A16stdlife))</f>
        <v>0</v>
      </c>
      <c r="AV275" s="107">
        <f>IF(A16stdlife="n/a","n/a",IF(AV$3&gt;(A16stdlife+$E275),('PTRM input'!$I$158*(1+rvanilla03)^0.5)-SUM($I275:AU275),('PTRM input'!$I$158*(1+rvanilla03)^0.5)/A16stdlife))</f>
        <v>0</v>
      </c>
      <c r="AW275" s="107">
        <f>IF(A16stdlife="n/a","n/a",IF(AW$3&gt;(A16stdlife+$E275),('PTRM input'!$I$158*(1+rvanilla03)^0.5)-SUM($I275:AV275),('PTRM input'!$I$158*(1+rvanilla03)^0.5)/A16stdlife))</f>
        <v>0</v>
      </c>
      <c r="AX275" s="107">
        <f>IF(A16stdlife="n/a","n/a",IF(AX$3&gt;(A16stdlife+$E275),('PTRM input'!$I$158*(1+rvanilla03)^0.5)-SUM($I275:AW275),('PTRM input'!$I$158*(1+rvanilla03)^0.5)/A16stdlife))</f>
        <v>0</v>
      </c>
      <c r="AY275" s="107">
        <f>IF(A16stdlife="n/a","n/a",IF(AY$3&gt;(A16stdlife+$E275),('PTRM input'!$I$158*(1+rvanilla03)^0.5)-SUM($I275:AX275),('PTRM input'!$I$158*(1+rvanilla03)^0.5)/A16stdlife))</f>
        <v>0</v>
      </c>
      <c r="AZ275" s="107">
        <f>IF(A16stdlife="n/a","n/a",IF(AZ$3&gt;(A16stdlife+$E275),('PTRM input'!$I$158*(1+rvanilla03)^0.5)-SUM($I275:AY275),('PTRM input'!$I$158*(1+rvanilla03)^0.5)/A16stdlife))</f>
        <v>0</v>
      </c>
      <c r="BA275" s="107">
        <f>IF(A16stdlife="n/a","n/a",IF(BA$3&gt;(A16stdlife+$E275),('PTRM input'!$I$158*(1+rvanilla03)^0.5)-SUM($I275:AZ275),('PTRM input'!$I$158*(1+rvanilla03)^0.5)/A16stdlife))</f>
        <v>0</v>
      </c>
      <c r="BB275" s="107">
        <f>IF(A16stdlife="n/a","n/a",IF(BB$3&gt;(A16stdlife+$E275),('PTRM input'!$I$158*(1+rvanilla03)^0.5)-SUM($I275:BA275),('PTRM input'!$I$158*(1+rvanilla03)^0.5)/A16stdlife))</f>
        <v>0</v>
      </c>
      <c r="BC275" s="107">
        <f>IF(A16stdlife="n/a","n/a",IF(BC$3&gt;(A16stdlife+$E275),('PTRM input'!$I$158*(1+rvanilla03)^0.5)-SUM($I275:BB275),('PTRM input'!$I$158*(1+rvanilla03)^0.5)/A16stdlife))</f>
        <v>0</v>
      </c>
      <c r="BD275" s="107">
        <f>IF(A16stdlife="n/a","n/a",IF(BD$3&gt;(A16stdlife+$E275),('PTRM input'!$I$158*(1+rvanilla03)^0.5)-SUM($I275:BC275),('PTRM input'!$I$158*(1+rvanilla03)^0.5)/A16stdlife))</f>
        <v>0</v>
      </c>
      <c r="BE275" s="107">
        <f>IF(A16stdlife="n/a","n/a",IF(BE$3&gt;(A16stdlife+$E275),('PTRM input'!$I$158*(1+rvanilla03)^0.5)-SUM($I275:BD275),('PTRM input'!$I$158*(1+rvanilla03)^0.5)/A16stdlife))</f>
        <v>0</v>
      </c>
      <c r="BF275" s="107">
        <f>IF(A16stdlife="n/a","n/a",IF(BF$3&gt;(A16stdlife+$E275),('PTRM input'!$I$158*(1+rvanilla03)^0.5)-SUM($I275:BE275),('PTRM input'!$I$158*(1+rvanilla03)^0.5)/A16stdlife))</f>
        <v>0</v>
      </c>
      <c r="BG275" s="107">
        <f>IF(A16stdlife="n/a","n/a",IF(BG$3&gt;(A16stdlife+$E275),('PTRM input'!$I$158*(1+rvanilla03)^0.5)-SUM($I275:BF275),('PTRM input'!$I$158*(1+rvanilla03)^0.5)/A16stdlife))</f>
        <v>0</v>
      </c>
      <c r="BH275" s="107">
        <f>IF(A16stdlife="n/a","n/a",IF(BH$3&gt;(A16stdlife+$E275),('PTRM input'!$I$158*(1+rvanilla03)^0.5)-SUM($I275:BG275),('PTRM input'!$I$158*(1+rvanilla03)^0.5)/A16stdlife))</f>
        <v>0</v>
      </c>
      <c r="BI275" s="107">
        <f>IF(A16stdlife="n/a","n/a",IF(BI$3&gt;(A16stdlife+$E275),('PTRM input'!$I$158*(1+rvanilla03)^0.5)-SUM($I275:BH275),('PTRM input'!$I$158*(1+rvanilla03)^0.5)/A16stdlife))</f>
        <v>0</v>
      </c>
      <c r="BJ275" s="237"/>
      <c r="BK275" s="237"/>
      <c r="BL275" s="237"/>
      <c r="BM275" s="237"/>
    </row>
    <row r="276" spans="1:65" s="190" customFormat="1" hidden="1" outlineLevel="2">
      <c r="A276" s="237"/>
      <c r="B276" s="33"/>
      <c r="C276" s="32"/>
      <c r="D276" s="1618"/>
      <c r="E276" s="169">
        <v>4</v>
      </c>
      <c r="F276" s="35"/>
      <c r="G276" s="184"/>
      <c r="H276" s="186"/>
      <c r="I276" s="186"/>
      <c r="J276" s="185"/>
      <c r="K276" s="107">
        <f>IF(A16stdlife="n/a","n/a",IF(K$3&gt;(A16stdlife+$E276),('PTRM input'!$J$158*(1+rvanilla04)^0.5)-SUM($J276:J276),('PTRM input'!$J$158*(1+rvanilla04)^0.5)/A16stdlife))</f>
        <v>0</v>
      </c>
      <c r="L276" s="107">
        <f>IF(A16stdlife="n/a","n/a",IF(L$3&gt;(A16stdlife+$E276),('PTRM input'!$J$158*(1+rvanilla04)^0.5)-SUM($J276:K276),('PTRM input'!$J$158*(1+rvanilla04)^0.5)/A16stdlife))</f>
        <v>0</v>
      </c>
      <c r="M276" s="107">
        <f>IF(A16stdlife="n/a","n/a",IF(M$3&gt;(A16stdlife+$E276),('PTRM input'!$J$158*(1+rvanilla04)^0.5)-SUM($J276:L276),('PTRM input'!$J$158*(1+rvanilla04)^0.5)/A16stdlife))</f>
        <v>0</v>
      </c>
      <c r="N276" s="107">
        <f>IF(A16stdlife="n/a","n/a",IF(N$3&gt;(A16stdlife+$E276),('PTRM input'!$J$158*(1+rvanilla04)^0.5)-SUM($J276:M276),('PTRM input'!$J$158*(1+rvanilla04)^0.5)/A16stdlife))</f>
        <v>0</v>
      </c>
      <c r="O276" s="107">
        <f>IF(A16stdlife="n/a","n/a",IF(O$3&gt;(A16stdlife+$E276),('PTRM input'!$J$158*(1+rvanilla04)^0.5)-SUM($J276:N276),('PTRM input'!$J$158*(1+rvanilla04)^0.5)/A16stdlife))</f>
        <v>0</v>
      </c>
      <c r="P276" s="107">
        <f>IF(A16stdlife="n/a","n/a",IF(P$3&gt;(A16stdlife+$E276),('PTRM input'!$J$158*(1+rvanilla04)^0.5)-SUM($J276:O276),('PTRM input'!$J$158*(1+rvanilla04)^0.5)/A16stdlife))</f>
        <v>0</v>
      </c>
      <c r="Q276" s="107">
        <f>IF(A16stdlife="n/a","n/a",IF(Q$3&gt;(A16stdlife+$E276),('PTRM input'!$J$158*(1+rvanilla04)^0.5)-SUM($J276:P276),('PTRM input'!$J$158*(1+rvanilla04)^0.5)/A16stdlife))</f>
        <v>0</v>
      </c>
      <c r="R276" s="107">
        <f>IF(A16stdlife="n/a","n/a",IF(R$3&gt;(A16stdlife+$E276),('PTRM input'!$J$158*(1+rvanilla04)^0.5)-SUM($J276:Q276),('PTRM input'!$J$158*(1+rvanilla04)^0.5)/A16stdlife))</f>
        <v>0</v>
      </c>
      <c r="S276" s="107">
        <f>IF(A16stdlife="n/a","n/a",IF(S$3&gt;(A16stdlife+$E276),('PTRM input'!$J$158*(1+rvanilla04)^0.5)-SUM($J276:R276),('PTRM input'!$J$158*(1+rvanilla04)^0.5)/A16stdlife))</f>
        <v>0</v>
      </c>
      <c r="T276" s="107">
        <f>IF(A16stdlife="n/a","n/a",IF(T$3&gt;(A16stdlife+$E276),('PTRM input'!$J$158*(1+rvanilla04)^0.5)-SUM($J276:S276),('PTRM input'!$J$158*(1+rvanilla04)^0.5)/A16stdlife))</f>
        <v>0</v>
      </c>
      <c r="U276" s="107">
        <f>IF(A16stdlife="n/a","n/a",IF(U$3&gt;(A16stdlife+$E276),('PTRM input'!$J$158*(1+rvanilla04)^0.5)-SUM($J276:T276),('PTRM input'!$J$158*(1+rvanilla04)^0.5)/A16stdlife))</f>
        <v>0</v>
      </c>
      <c r="V276" s="107">
        <f>IF(A16stdlife="n/a","n/a",IF(V$3&gt;(A16stdlife+$E276),('PTRM input'!$J$158*(1+rvanilla04)^0.5)-SUM($J276:U276),('PTRM input'!$J$158*(1+rvanilla04)^0.5)/A16stdlife))</f>
        <v>0</v>
      </c>
      <c r="W276" s="107">
        <f>IF(A16stdlife="n/a","n/a",IF(W$3&gt;(A16stdlife+$E276),('PTRM input'!$J$158*(1+rvanilla04)^0.5)-SUM($J276:V276),('PTRM input'!$J$158*(1+rvanilla04)^0.5)/A16stdlife))</f>
        <v>0</v>
      </c>
      <c r="X276" s="107">
        <f>IF(A16stdlife="n/a","n/a",IF(X$3&gt;(A16stdlife+$E276),('PTRM input'!$J$158*(1+rvanilla04)^0.5)-SUM($J276:W276),('PTRM input'!$J$158*(1+rvanilla04)^0.5)/A16stdlife))</f>
        <v>0</v>
      </c>
      <c r="Y276" s="107">
        <f>IF(A16stdlife="n/a","n/a",IF(Y$3&gt;(A16stdlife+$E276),('PTRM input'!$J$158*(1+rvanilla04)^0.5)-SUM($J276:X276),('PTRM input'!$J$158*(1+rvanilla04)^0.5)/A16stdlife))</f>
        <v>0</v>
      </c>
      <c r="Z276" s="107">
        <f>IF(A16stdlife="n/a","n/a",IF(Z$3&gt;(A16stdlife+$E276),('PTRM input'!$J$158*(1+rvanilla04)^0.5)-SUM($J276:Y276),('PTRM input'!$J$158*(1+rvanilla04)^0.5)/A16stdlife))</f>
        <v>0</v>
      </c>
      <c r="AA276" s="107">
        <f>IF(A16stdlife="n/a","n/a",IF(AA$3&gt;(A16stdlife+$E276),('PTRM input'!$J$158*(1+rvanilla04)^0.5)-SUM($J276:Z276),('PTRM input'!$J$158*(1+rvanilla04)^0.5)/A16stdlife))</f>
        <v>0</v>
      </c>
      <c r="AB276" s="107">
        <f>IF(A16stdlife="n/a","n/a",IF(AB$3&gt;(A16stdlife+$E276),('PTRM input'!$J$158*(1+rvanilla04)^0.5)-SUM($J276:AA276),('PTRM input'!$J$158*(1+rvanilla04)^0.5)/A16stdlife))</f>
        <v>0</v>
      </c>
      <c r="AC276" s="107">
        <f>IF(A16stdlife="n/a","n/a",IF(AC$3&gt;(A16stdlife+$E276),('PTRM input'!$J$158*(1+rvanilla04)^0.5)-SUM($J276:AB276),('PTRM input'!$J$158*(1+rvanilla04)^0.5)/A16stdlife))</f>
        <v>0</v>
      </c>
      <c r="AD276" s="107">
        <f>IF(A16stdlife="n/a","n/a",IF(AD$3&gt;(A16stdlife+$E276),('PTRM input'!$J$158*(1+rvanilla04)^0.5)-SUM($J276:AC276),('PTRM input'!$J$158*(1+rvanilla04)^0.5)/A16stdlife))</f>
        <v>0</v>
      </c>
      <c r="AE276" s="107">
        <f>IF(A16stdlife="n/a","n/a",IF(AE$3&gt;(A16stdlife+$E276),('PTRM input'!$J$158*(1+rvanilla04)^0.5)-SUM($J276:AD276),('PTRM input'!$J$158*(1+rvanilla04)^0.5)/A16stdlife))</f>
        <v>0</v>
      </c>
      <c r="AF276" s="107">
        <f>IF(A16stdlife="n/a","n/a",IF(AF$3&gt;(A16stdlife+$E276),('PTRM input'!$J$158*(1+rvanilla04)^0.5)-SUM($J276:AE276),('PTRM input'!$J$158*(1+rvanilla04)^0.5)/A16stdlife))</f>
        <v>0</v>
      </c>
      <c r="AG276" s="107">
        <f>IF(A16stdlife="n/a","n/a",IF(AG$3&gt;(A16stdlife+$E276),('PTRM input'!$J$158*(1+rvanilla04)^0.5)-SUM($J276:AF276),('PTRM input'!$J$158*(1+rvanilla04)^0.5)/A16stdlife))</f>
        <v>0</v>
      </c>
      <c r="AH276" s="107">
        <f>IF(A16stdlife="n/a","n/a",IF(AH$3&gt;(A16stdlife+$E276),('PTRM input'!$J$158*(1+rvanilla04)^0.5)-SUM($J276:AG276),('PTRM input'!$J$158*(1+rvanilla04)^0.5)/A16stdlife))</f>
        <v>0</v>
      </c>
      <c r="AI276" s="107">
        <f>IF(A16stdlife="n/a","n/a",IF(AI$3&gt;(A16stdlife+$E276),('PTRM input'!$J$158*(1+rvanilla04)^0.5)-SUM($J276:AH276),('PTRM input'!$J$158*(1+rvanilla04)^0.5)/A16stdlife))</f>
        <v>0</v>
      </c>
      <c r="AJ276" s="107">
        <f>IF(A16stdlife="n/a","n/a",IF(AJ$3&gt;(A16stdlife+$E276),('PTRM input'!$J$158*(1+rvanilla04)^0.5)-SUM($J276:AI276),('PTRM input'!$J$158*(1+rvanilla04)^0.5)/A16stdlife))</f>
        <v>0</v>
      </c>
      <c r="AK276" s="107">
        <f>IF(A16stdlife="n/a","n/a",IF(AK$3&gt;(A16stdlife+$E276),('PTRM input'!$J$158*(1+rvanilla04)^0.5)-SUM($J276:AJ276),('PTRM input'!$J$158*(1+rvanilla04)^0.5)/A16stdlife))</f>
        <v>0</v>
      </c>
      <c r="AL276" s="107">
        <f>IF(A16stdlife="n/a","n/a",IF(AL$3&gt;(A16stdlife+$E276),('PTRM input'!$J$158*(1+rvanilla04)^0.5)-SUM($J276:AK276),('PTRM input'!$J$158*(1+rvanilla04)^0.5)/A16stdlife))</f>
        <v>0</v>
      </c>
      <c r="AM276" s="107">
        <f>IF(A16stdlife="n/a","n/a",IF(AM$3&gt;(A16stdlife+$E276),('PTRM input'!$J$158*(1+rvanilla04)^0.5)-SUM($J276:AL276),('PTRM input'!$J$158*(1+rvanilla04)^0.5)/A16stdlife))</f>
        <v>0</v>
      </c>
      <c r="AN276" s="107">
        <f>IF(A16stdlife="n/a","n/a",IF(AN$3&gt;(A16stdlife+$E276),('PTRM input'!$J$158*(1+rvanilla04)^0.5)-SUM($J276:AM276),('PTRM input'!$J$158*(1+rvanilla04)^0.5)/A16stdlife))</f>
        <v>0</v>
      </c>
      <c r="AO276" s="107">
        <f>IF(A16stdlife="n/a","n/a",IF(AO$3&gt;(A16stdlife+$E276),('PTRM input'!$J$158*(1+rvanilla04)^0.5)-SUM($J276:AN276),('PTRM input'!$J$158*(1+rvanilla04)^0.5)/A16stdlife))</f>
        <v>0</v>
      </c>
      <c r="AP276" s="107">
        <f>IF(A16stdlife="n/a","n/a",IF(AP$3&gt;(A16stdlife+$E276),('PTRM input'!$J$158*(1+rvanilla04)^0.5)-SUM($J276:AO276),('PTRM input'!$J$158*(1+rvanilla04)^0.5)/A16stdlife))</f>
        <v>0</v>
      </c>
      <c r="AQ276" s="107">
        <f>IF(A16stdlife="n/a","n/a",IF(AQ$3&gt;(A16stdlife+$E276),('PTRM input'!$J$158*(1+rvanilla04)^0.5)-SUM($J276:AP276),('PTRM input'!$J$158*(1+rvanilla04)^0.5)/A16stdlife))</f>
        <v>0</v>
      </c>
      <c r="AR276" s="107">
        <f>IF(A16stdlife="n/a","n/a",IF(AR$3&gt;(A16stdlife+$E276),('PTRM input'!$J$158*(1+rvanilla04)^0.5)-SUM($J276:AQ276),('PTRM input'!$J$158*(1+rvanilla04)^0.5)/A16stdlife))</f>
        <v>0</v>
      </c>
      <c r="AS276" s="107">
        <f>IF(A16stdlife="n/a","n/a",IF(AS$3&gt;(A16stdlife+$E276),('PTRM input'!$J$158*(1+rvanilla04)^0.5)-SUM($J276:AR276),('PTRM input'!$J$158*(1+rvanilla04)^0.5)/A16stdlife))</f>
        <v>0</v>
      </c>
      <c r="AT276" s="107">
        <f>IF(A16stdlife="n/a","n/a",IF(AT$3&gt;(A16stdlife+$E276),('PTRM input'!$J$158*(1+rvanilla04)^0.5)-SUM($J276:AS276),('PTRM input'!$J$158*(1+rvanilla04)^0.5)/A16stdlife))</f>
        <v>0</v>
      </c>
      <c r="AU276" s="107">
        <f>IF(A16stdlife="n/a","n/a",IF(AU$3&gt;(A16stdlife+$E276),('PTRM input'!$J$158*(1+rvanilla04)^0.5)-SUM($J276:AT276),('PTRM input'!$J$158*(1+rvanilla04)^0.5)/A16stdlife))</f>
        <v>0</v>
      </c>
      <c r="AV276" s="107">
        <f>IF(A16stdlife="n/a","n/a",IF(AV$3&gt;(A16stdlife+$E276),('PTRM input'!$J$158*(1+rvanilla04)^0.5)-SUM($J276:AU276),('PTRM input'!$J$158*(1+rvanilla04)^0.5)/A16stdlife))</f>
        <v>0</v>
      </c>
      <c r="AW276" s="107">
        <f>IF(A16stdlife="n/a","n/a",IF(AW$3&gt;(A16stdlife+$E276),('PTRM input'!$J$158*(1+rvanilla04)^0.5)-SUM($J276:AV276),('PTRM input'!$J$158*(1+rvanilla04)^0.5)/A16stdlife))</f>
        <v>0</v>
      </c>
      <c r="AX276" s="107">
        <f>IF(A16stdlife="n/a","n/a",IF(AX$3&gt;(A16stdlife+$E276),('PTRM input'!$J$158*(1+rvanilla04)^0.5)-SUM($J276:AW276),('PTRM input'!$J$158*(1+rvanilla04)^0.5)/A16stdlife))</f>
        <v>0</v>
      </c>
      <c r="AY276" s="107">
        <f>IF(A16stdlife="n/a","n/a",IF(AY$3&gt;(A16stdlife+$E276),('PTRM input'!$J$158*(1+rvanilla04)^0.5)-SUM($J276:AX276),('PTRM input'!$J$158*(1+rvanilla04)^0.5)/A16stdlife))</f>
        <v>0</v>
      </c>
      <c r="AZ276" s="107">
        <f>IF(A16stdlife="n/a","n/a",IF(AZ$3&gt;(A16stdlife+$E276),('PTRM input'!$J$158*(1+rvanilla04)^0.5)-SUM($J276:AY276),('PTRM input'!$J$158*(1+rvanilla04)^0.5)/A16stdlife))</f>
        <v>0</v>
      </c>
      <c r="BA276" s="107">
        <f>IF(A16stdlife="n/a","n/a",IF(BA$3&gt;(A16stdlife+$E276),('PTRM input'!$J$158*(1+rvanilla04)^0.5)-SUM($J276:AZ276),('PTRM input'!$J$158*(1+rvanilla04)^0.5)/A16stdlife))</f>
        <v>0</v>
      </c>
      <c r="BB276" s="107">
        <f>IF(A16stdlife="n/a","n/a",IF(BB$3&gt;(A16stdlife+$E276),('PTRM input'!$J$158*(1+rvanilla04)^0.5)-SUM($J276:BA276),('PTRM input'!$J$158*(1+rvanilla04)^0.5)/A16stdlife))</f>
        <v>0</v>
      </c>
      <c r="BC276" s="107">
        <f>IF(A16stdlife="n/a","n/a",IF(BC$3&gt;(A16stdlife+$E276),('PTRM input'!$J$158*(1+rvanilla04)^0.5)-SUM($J276:BB276),('PTRM input'!$J$158*(1+rvanilla04)^0.5)/A16stdlife))</f>
        <v>0</v>
      </c>
      <c r="BD276" s="107">
        <f>IF(A16stdlife="n/a","n/a",IF(BD$3&gt;(A16stdlife+$E276),('PTRM input'!$J$158*(1+rvanilla04)^0.5)-SUM($J276:BC276),('PTRM input'!$J$158*(1+rvanilla04)^0.5)/A16stdlife))</f>
        <v>0</v>
      </c>
      <c r="BE276" s="107">
        <f>IF(A16stdlife="n/a","n/a",IF(BE$3&gt;(A16stdlife+$E276),('PTRM input'!$J$158*(1+rvanilla04)^0.5)-SUM($J276:BD276),('PTRM input'!$J$158*(1+rvanilla04)^0.5)/A16stdlife))</f>
        <v>0</v>
      </c>
      <c r="BF276" s="107">
        <f>IF(A16stdlife="n/a","n/a",IF(BF$3&gt;(A16stdlife+$E276),('PTRM input'!$J$158*(1+rvanilla04)^0.5)-SUM($J276:BE276),('PTRM input'!$J$158*(1+rvanilla04)^0.5)/A16stdlife))</f>
        <v>0</v>
      </c>
      <c r="BG276" s="107">
        <f>IF(A16stdlife="n/a","n/a",IF(BG$3&gt;(A16stdlife+$E276),('PTRM input'!$J$158*(1+rvanilla04)^0.5)-SUM($J276:BF276),('PTRM input'!$J$158*(1+rvanilla04)^0.5)/A16stdlife))</f>
        <v>0</v>
      </c>
      <c r="BH276" s="107">
        <f>IF(A16stdlife="n/a","n/a",IF(BH$3&gt;(A16stdlife+$E276),('PTRM input'!$J$158*(1+rvanilla04)^0.5)-SUM($J276:BG276),('PTRM input'!$J$158*(1+rvanilla04)^0.5)/A16stdlife))</f>
        <v>0</v>
      </c>
      <c r="BI276" s="107">
        <f>IF(A16stdlife="n/a","n/a",IF(BI$3&gt;(A16stdlife+$E276),('PTRM input'!$J$158*(1+rvanilla04)^0.5)-SUM($J276:BH276),('PTRM input'!$J$158*(1+rvanilla04)^0.5)/A16stdlife))</f>
        <v>0</v>
      </c>
      <c r="BJ276" s="237"/>
      <c r="BK276" s="237"/>
      <c r="BL276" s="237"/>
      <c r="BM276" s="237"/>
    </row>
    <row r="277" spans="1:65" s="190" customFormat="1" hidden="1" outlineLevel="2">
      <c r="A277" s="237"/>
      <c r="B277" s="33"/>
      <c r="C277" s="32"/>
      <c r="D277" s="1618"/>
      <c r="E277" s="169">
        <v>5</v>
      </c>
      <c r="F277" s="35"/>
      <c r="G277" s="184"/>
      <c r="H277" s="186"/>
      <c r="I277" s="186"/>
      <c r="J277" s="186"/>
      <c r="K277" s="185"/>
      <c r="L277" s="107">
        <f>IF(A16stdlife="n/a","n/a",IF(L$3&gt;(A16stdlife+$E277),('PTRM input'!$K$158*(1+rvanilla05)^0.5)-SUM($K277:K277),('PTRM input'!$K$158*(1+rvanilla05)^0.5)/A16stdlife))</f>
        <v>0</v>
      </c>
      <c r="M277" s="107">
        <f>IF(A16stdlife="n/a","n/a",IF(M$3&gt;(A16stdlife+$E277),('PTRM input'!$K$158*(1+rvanilla05)^0.5)-SUM($K277:L277),('PTRM input'!$K$158*(1+rvanilla05)^0.5)/A16stdlife))</f>
        <v>0</v>
      </c>
      <c r="N277" s="107">
        <f>IF(A16stdlife="n/a","n/a",IF(N$3&gt;(A16stdlife+$E277),('PTRM input'!$K$158*(1+rvanilla05)^0.5)-SUM($K277:M277),('PTRM input'!$K$158*(1+rvanilla05)^0.5)/A16stdlife))</f>
        <v>0</v>
      </c>
      <c r="O277" s="107">
        <f>IF(A16stdlife="n/a","n/a",IF(O$3&gt;(A16stdlife+$E277),('PTRM input'!$K$158*(1+rvanilla05)^0.5)-SUM($K277:N277),('PTRM input'!$K$158*(1+rvanilla05)^0.5)/A16stdlife))</f>
        <v>0</v>
      </c>
      <c r="P277" s="107">
        <f>IF(A16stdlife="n/a","n/a",IF(P$3&gt;(A16stdlife+$E277),('PTRM input'!$K$158*(1+rvanilla05)^0.5)-SUM($K277:O277),('PTRM input'!$K$158*(1+rvanilla05)^0.5)/A16stdlife))</f>
        <v>0</v>
      </c>
      <c r="Q277" s="107">
        <f>IF(A16stdlife="n/a","n/a",IF(Q$3&gt;(A16stdlife+$E277),('PTRM input'!$K$158*(1+rvanilla05)^0.5)-SUM($K277:P277),('PTRM input'!$K$158*(1+rvanilla05)^0.5)/A16stdlife))</f>
        <v>0</v>
      </c>
      <c r="R277" s="107">
        <f>IF(A16stdlife="n/a","n/a",IF(R$3&gt;(A16stdlife+$E277),('PTRM input'!$K$158*(1+rvanilla05)^0.5)-SUM($K277:Q277),('PTRM input'!$K$158*(1+rvanilla05)^0.5)/A16stdlife))</f>
        <v>0</v>
      </c>
      <c r="S277" s="107">
        <f>IF(A16stdlife="n/a","n/a",IF(S$3&gt;(A16stdlife+$E277),('PTRM input'!$K$158*(1+rvanilla05)^0.5)-SUM($K277:R277),('PTRM input'!$K$158*(1+rvanilla05)^0.5)/A16stdlife))</f>
        <v>0</v>
      </c>
      <c r="T277" s="107">
        <f>IF(A16stdlife="n/a","n/a",IF(T$3&gt;(A16stdlife+$E277),('PTRM input'!$K$158*(1+rvanilla05)^0.5)-SUM($K277:S277),('PTRM input'!$K$158*(1+rvanilla05)^0.5)/A16stdlife))</f>
        <v>0</v>
      </c>
      <c r="U277" s="107">
        <f>IF(A16stdlife="n/a","n/a",IF(U$3&gt;(A16stdlife+$E277),('PTRM input'!$K$158*(1+rvanilla05)^0.5)-SUM($K277:T277),('PTRM input'!$K$158*(1+rvanilla05)^0.5)/A16stdlife))</f>
        <v>0</v>
      </c>
      <c r="V277" s="107">
        <f>IF(A16stdlife="n/a","n/a",IF(V$3&gt;(A16stdlife+$E277),('PTRM input'!$K$158*(1+rvanilla05)^0.5)-SUM($K277:U277),('PTRM input'!$K$158*(1+rvanilla05)^0.5)/A16stdlife))</f>
        <v>0</v>
      </c>
      <c r="W277" s="107">
        <f>IF(A16stdlife="n/a","n/a",IF(W$3&gt;(A16stdlife+$E277),('PTRM input'!$K$158*(1+rvanilla05)^0.5)-SUM($K277:V277),('PTRM input'!$K$158*(1+rvanilla05)^0.5)/A16stdlife))</f>
        <v>0</v>
      </c>
      <c r="X277" s="107">
        <f>IF(A16stdlife="n/a","n/a",IF(X$3&gt;(A16stdlife+$E277),('PTRM input'!$K$158*(1+rvanilla05)^0.5)-SUM($K277:W277),('PTRM input'!$K$158*(1+rvanilla05)^0.5)/A16stdlife))</f>
        <v>0</v>
      </c>
      <c r="Y277" s="107">
        <f>IF(A16stdlife="n/a","n/a",IF(Y$3&gt;(A16stdlife+$E277),('PTRM input'!$K$158*(1+rvanilla05)^0.5)-SUM($K277:X277),('PTRM input'!$K$158*(1+rvanilla05)^0.5)/A16stdlife))</f>
        <v>0</v>
      </c>
      <c r="Z277" s="107">
        <f>IF(A16stdlife="n/a","n/a",IF(Z$3&gt;(A16stdlife+$E277),('PTRM input'!$K$158*(1+rvanilla05)^0.5)-SUM($K277:Y277),('PTRM input'!$K$158*(1+rvanilla05)^0.5)/A16stdlife))</f>
        <v>0</v>
      </c>
      <c r="AA277" s="107">
        <f>IF(A16stdlife="n/a","n/a",IF(AA$3&gt;(A16stdlife+$E277),('PTRM input'!$K$158*(1+rvanilla05)^0.5)-SUM($K277:Z277),('PTRM input'!$K$158*(1+rvanilla05)^0.5)/A16stdlife))</f>
        <v>0</v>
      </c>
      <c r="AB277" s="107">
        <f>IF(A16stdlife="n/a","n/a",IF(AB$3&gt;(A16stdlife+$E277),('PTRM input'!$K$158*(1+rvanilla05)^0.5)-SUM($K277:AA277),('PTRM input'!$K$158*(1+rvanilla05)^0.5)/A16stdlife))</f>
        <v>0</v>
      </c>
      <c r="AC277" s="107">
        <f>IF(A16stdlife="n/a","n/a",IF(AC$3&gt;(A16stdlife+$E277),('PTRM input'!$K$158*(1+rvanilla05)^0.5)-SUM($K277:AB277),('PTRM input'!$K$158*(1+rvanilla05)^0.5)/A16stdlife))</f>
        <v>0</v>
      </c>
      <c r="AD277" s="107">
        <f>IF(A16stdlife="n/a","n/a",IF(AD$3&gt;(A16stdlife+$E277),('PTRM input'!$K$158*(1+rvanilla05)^0.5)-SUM($K277:AC277),('PTRM input'!$K$158*(1+rvanilla05)^0.5)/A16stdlife))</f>
        <v>0</v>
      </c>
      <c r="AE277" s="107">
        <f>IF(A16stdlife="n/a","n/a",IF(AE$3&gt;(A16stdlife+$E277),('PTRM input'!$K$158*(1+rvanilla05)^0.5)-SUM($K277:AD277),('PTRM input'!$K$158*(1+rvanilla05)^0.5)/A16stdlife))</f>
        <v>0</v>
      </c>
      <c r="AF277" s="107">
        <f>IF(A16stdlife="n/a","n/a",IF(AF$3&gt;(A16stdlife+$E277),('PTRM input'!$K$158*(1+rvanilla05)^0.5)-SUM($K277:AE277),('PTRM input'!$K$158*(1+rvanilla05)^0.5)/A16stdlife))</f>
        <v>0</v>
      </c>
      <c r="AG277" s="107">
        <f>IF(A16stdlife="n/a","n/a",IF(AG$3&gt;(A16stdlife+$E277),('PTRM input'!$K$158*(1+rvanilla05)^0.5)-SUM($K277:AF277),('PTRM input'!$K$158*(1+rvanilla05)^0.5)/A16stdlife))</f>
        <v>0</v>
      </c>
      <c r="AH277" s="107">
        <f>IF(A16stdlife="n/a","n/a",IF(AH$3&gt;(A16stdlife+$E277),('PTRM input'!$K$158*(1+rvanilla05)^0.5)-SUM($K277:AG277),('PTRM input'!$K$158*(1+rvanilla05)^0.5)/A16stdlife))</f>
        <v>0</v>
      </c>
      <c r="AI277" s="107">
        <f>IF(A16stdlife="n/a","n/a",IF(AI$3&gt;(A16stdlife+$E277),('PTRM input'!$K$158*(1+rvanilla05)^0.5)-SUM($K277:AH277),('PTRM input'!$K$158*(1+rvanilla05)^0.5)/A16stdlife))</f>
        <v>0</v>
      </c>
      <c r="AJ277" s="107">
        <f>IF(A16stdlife="n/a","n/a",IF(AJ$3&gt;(A16stdlife+$E277),('PTRM input'!$K$158*(1+rvanilla05)^0.5)-SUM($K277:AI277),('PTRM input'!$K$158*(1+rvanilla05)^0.5)/A16stdlife))</f>
        <v>0</v>
      </c>
      <c r="AK277" s="107">
        <f>IF(A16stdlife="n/a","n/a",IF(AK$3&gt;(A16stdlife+$E277),('PTRM input'!$K$158*(1+rvanilla05)^0.5)-SUM($K277:AJ277),('PTRM input'!$K$158*(1+rvanilla05)^0.5)/A16stdlife))</f>
        <v>0</v>
      </c>
      <c r="AL277" s="107">
        <f>IF(A16stdlife="n/a","n/a",IF(AL$3&gt;(A16stdlife+$E277),('PTRM input'!$K$158*(1+rvanilla05)^0.5)-SUM($K277:AK277),('PTRM input'!$K$158*(1+rvanilla05)^0.5)/A16stdlife))</f>
        <v>0</v>
      </c>
      <c r="AM277" s="107">
        <f>IF(A16stdlife="n/a","n/a",IF(AM$3&gt;(A16stdlife+$E277),('PTRM input'!$K$158*(1+rvanilla05)^0.5)-SUM($K277:AL277),('PTRM input'!$K$158*(1+rvanilla05)^0.5)/A16stdlife))</f>
        <v>0</v>
      </c>
      <c r="AN277" s="107">
        <f>IF(A16stdlife="n/a","n/a",IF(AN$3&gt;(A16stdlife+$E277),('PTRM input'!$K$158*(1+rvanilla05)^0.5)-SUM($K277:AM277),('PTRM input'!$K$158*(1+rvanilla05)^0.5)/A16stdlife))</f>
        <v>0</v>
      </c>
      <c r="AO277" s="107">
        <f>IF(A16stdlife="n/a","n/a",IF(AO$3&gt;(A16stdlife+$E277),('PTRM input'!$K$158*(1+rvanilla05)^0.5)-SUM($K277:AN277),('PTRM input'!$K$158*(1+rvanilla05)^0.5)/A16stdlife))</f>
        <v>0</v>
      </c>
      <c r="AP277" s="107">
        <f>IF(A16stdlife="n/a","n/a",IF(AP$3&gt;(A16stdlife+$E277),('PTRM input'!$K$158*(1+rvanilla05)^0.5)-SUM($K277:AO277),('PTRM input'!$K$158*(1+rvanilla05)^0.5)/A16stdlife))</f>
        <v>0</v>
      </c>
      <c r="AQ277" s="107">
        <f>IF(A16stdlife="n/a","n/a",IF(AQ$3&gt;(A16stdlife+$E277),('PTRM input'!$K$158*(1+rvanilla05)^0.5)-SUM($K277:AP277),('PTRM input'!$K$158*(1+rvanilla05)^0.5)/A16stdlife))</f>
        <v>0</v>
      </c>
      <c r="AR277" s="107">
        <f>IF(A16stdlife="n/a","n/a",IF(AR$3&gt;(A16stdlife+$E277),('PTRM input'!$K$158*(1+rvanilla05)^0.5)-SUM($K277:AQ277),('PTRM input'!$K$158*(1+rvanilla05)^0.5)/A16stdlife))</f>
        <v>0</v>
      </c>
      <c r="AS277" s="107">
        <f>IF(A16stdlife="n/a","n/a",IF(AS$3&gt;(A16stdlife+$E277),('PTRM input'!$K$158*(1+rvanilla05)^0.5)-SUM($K277:AR277),('PTRM input'!$K$158*(1+rvanilla05)^0.5)/A16stdlife))</f>
        <v>0</v>
      </c>
      <c r="AT277" s="107">
        <f>IF(A16stdlife="n/a","n/a",IF(AT$3&gt;(A16stdlife+$E277),('PTRM input'!$K$158*(1+rvanilla05)^0.5)-SUM($K277:AS277),('PTRM input'!$K$158*(1+rvanilla05)^0.5)/A16stdlife))</f>
        <v>0</v>
      </c>
      <c r="AU277" s="107">
        <f>IF(A16stdlife="n/a","n/a",IF(AU$3&gt;(A16stdlife+$E277),('PTRM input'!$K$158*(1+rvanilla05)^0.5)-SUM($K277:AT277),('PTRM input'!$K$158*(1+rvanilla05)^0.5)/A16stdlife))</f>
        <v>0</v>
      </c>
      <c r="AV277" s="107">
        <f>IF(A16stdlife="n/a","n/a",IF(AV$3&gt;(A16stdlife+$E277),('PTRM input'!$K$158*(1+rvanilla05)^0.5)-SUM($K277:AU277),('PTRM input'!$K$158*(1+rvanilla05)^0.5)/A16stdlife))</f>
        <v>0</v>
      </c>
      <c r="AW277" s="107">
        <f>IF(A16stdlife="n/a","n/a",IF(AW$3&gt;(A16stdlife+$E277),('PTRM input'!$K$158*(1+rvanilla05)^0.5)-SUM($K277:AV277),('PTRM input'!$K$158*(1+rvanilla05)^0.5)/A16stdlife))</f>
        <v>0</v>
      </c>
      <c r="AX277" s="107">
        <f>IF(A16stdlife="n/a","n/a",IF(AX$3&gt;(A16stdlife+$E277),('PTRM input'!$K$158*(1+rvanilla05)^0.5)-SUM($K277:AW277),('PTRM input'!$K$158*(1+rvanilla05)^0.5)/A16stdlife))</f>
        <v>0</v>
      </c>
      <c r="AY277" s="107">
        <f>IF(A16stdlife="n/a","n/a",IF(AY$3&gt;(A16stdlife+$E277),('PTRM input'!$K$158*(1+rvanilla05)^0.5)-SUM($K277:AX277),('PTRM input'!$K$158*(1+rvanilla05)^0.5)/A16stdlife))</f>
        <v>0</v>
      </c>
      <c r="AZ277" s="107">
        <f>IF(A16stdlife="n/a","n/a",IF(AZ$3&gt;(A16stdlife+$E277),('PTRM input'!$K$158*(1+rvanilla05)^0.5)-SUM($K277:AY277),('PTRM input'!$K$158*(1+rvanilla05)^0.5)/A16stdlife))</f>
        <v>0</v>
      </c>
      <c r="BA277" s="107">
        <f>IF(A16stdlife="n/a","n/a",IF(BA$3&gt;(A16stdlife+$E277),('PTRM input'!$K$158*(1+rvanilla05)^0.5)-SUM($K277:AZ277),('PTRM input'!$K$158*(1+rvanilla05)^0.5)/A16stdlife))</f>
        <v>0</v>
      </c>
      <c r="BB277" s="107">
        <f>IF(A16stdlife="n/a","n/a",IF(BB$3&gt;(A16stdlife+$E277),('PTRM input'!$K$158*(1+rvanilla05)^0.5)-SUM($K277:BA277),('PTRM input'!$K$158*(1+rvanilla05)^0.5)/A16stdlife))</f>
        <v>0</v>
      </c>
      <c r="BC277" s="107">
        <f>IF(A16stdlife="n/a","n/a",IF(BC$3&gt;(A16stdlife+$E277),('PTRM input'!$K$158*(1+rvanilla05)^0.5)-SUM($K277:BB277),('PTRM input'!$K$158*(1+rvanilla05)^0.5)/A16stdlife))</f>
        <v>0</v>
      </c>
      <c r="BD277" s="107">
        <f>IF(A16stdlife="n/a","n/a",IF(BD$3&gt;(A16stdlife+$E277),('PTRM input'!$K$158*(1+rvanilla05)^0.5)-SUM($K277:BC277),('PTRM input'!$K$158*(1+rvanilla05)^0.5)/A16stdlife))</f>
        <v>0</v>
      </c>
      <c r="BE277" s="107">
        <f>IF(A16stdlife="n/a","n/a",IF(BE$3&gt;(A16stdlife+$E277),('PTRM input'!$K$158*(1+rvanilla05)^0.5)-SUM($K277:BD277),('PTRM input'!$K$158*(1+rvanilla05)^0.5)/A16stdlife))</f>
        <v>0</v>
      </c>
      <c r="BF277" s="107">
        <f>IF(A16stdlife="n/a","n/a",IF(BF$3&gt;(A16stdlife+$E277),('PTRM input'!$K$158*(1+rvanilla05)^0.5)-SUM($K277:BE277),('PTRM input'!$K$158*(1+rvanilla05)^0.5)/A16stdlife))</f>
        <v>0</v>
      </c>
      <c r="BG277" s="107">
        <f>IF(A16stdlife="n/a","n/a",IF(BG$3&gt;(A16stdlife+$E277),('PTRM input'!$K$158*(1+rvanilla05)^0.5)-SUM($K277:BF277),('PTRM input'!$K$158*(1+rvanilla05)^0.5)/A16stdlife))</f>
        <v>0</v>
      </c>
      <c r="BH277" s="107">
        <f>IF(A16stdlife="n/a","n/a",IF(BH$3&gt;(A16stdlife+$E277),('PTRM input'!$K$158*(1+rvanilla05)^0.5)-SUM($K277:BG277),('PTRM input'!$K$158*(1+rvanilla05)^0.5)/A16stdlife))</f>
        <v>0</v>
      </c>
      <c r="BI277" s="107">
        <f>IF(A16stdlife="n/a","n/a",IF(BI$3&gt;(A16stdlife+$E277),('PTRM input'!$K$158*(1+rvanilla05)^0.5)-SUM($K277:BH277),('PTRM input'!$K$158*(1+rvanilla05)^0.5)/A16stdlife))</f>
        <v>0</v>
      </c>
      <c r="BJ277" s="237"/>
      <c r="BK277" s="237"/>
      <c r="BL277" s="237"/>
      <c r="BM277" s="237"/>
    </row>
    <row r="278" spans="1:65" s="190" customFormat="1" hidden="1" outlineLevel="2">
      <c r="A278" s="237"/>
      <c r="B278" s="33"/>
      <c r="C278" s="32"/>
      <c r="D278" s="1618"/>
      <c r="E278" s="169">
        <v>6</v>
      </c>
      <c r="F278" s="35"/>
      <c r="G278" s="184"/>
      <c r="H278" s="186"/>
      <c r="I278" s="186"/>
      <c r="J278" s="186"/>
      <c r="K278" s="186"/>
      <c r="L278" s="185"/>
      <c r="M278" s="107">
        <f>IF(A16stdlife="n/a","n/a",IF(M$3&gt;(A16stdlife+$E278),('PTRM input'!$L$158*(1+rvanilla06)^0.5)-SUM($L278:L278),('PTRM input'!$L$158*(1+rvanilla06)^0.5)/A16stdlife))</f>
        <v>0</v>
      </c>
      <c r="N278" s="107">
        <f>IF(A16stdlife="n/a","n/a",IF(N$3&gt;(A16stdlife+$E278),('PTRM input'!$L$158*(1+rvanilla06)^0.5)-SUM($L278:M278),('PTRM input'!$L$158*(1+rvanilla06)^0.5)/A16stdlife))</f>
        <v>0</v>
      </c>
      <c r="O278" s="107">
        <f>IF(A16stdlife="n/a","n/a",IF(O$3&gt;(A16stdlife+$E278),('PTRM input'!$L$158*(1+rvanilla06)^0.5)-SUM($L278:N278),('PTRM input'!$L$158*(1+rvanilla06)^0.5)/A16stdlife))</f>
        <v>0</v>
      </c>
      <c r="P278" s="107">
        <f>IF(A16stdlife="n/a","n/a",IF(P$3&gt;(A16stdlife+$E278),('PTRM input'!$L$158*(1+rvanilla06)^0.5)-SUM($L278:O278),('PTRM input'!$L$158*(1+rvanilla06)^0.5)/A16stdlife))</f>
        <v>0</v>
      </c>
      <c r="Q278" s="107">
        <f>IF(A16stdlife="n/a","n/a",IF(Q$3&gt;(A16stdlife+$E278),('PTRM input'!$L$158*(1+rvanilla06)^0.5)-SUM($L278:P278),('PTRM input'!$L$158*(1+rvanilla06)^0.5)/A16stdlife))</f>
        <v>0</v>
      </c>
      <c r="R278" s="107">
        <f>IF(A16stdlife="n/a","n/a",IF(R$3&gt;(A16stdlife+$E278),('PTRM input'!$L$158*(1+rvanilla06)^0.5)-SUM($L278:Q278),('PTRM input'!$L$158*(1+rvanilla06)^0.5)/A16stdlife))</f>
        <v>0</v>
      </c>
      <c r="S278" s="107">
        <f>IF(A16stdlife="n/a","n/a",IF(S$3&gt;(A16stdlife+$E278),('PTRM input'!$L$158*(1+rvanilla06)^0.5)-SUM($L278:R278),('PTRM input'!$L$158*(1+rvanilla06)^0.5)/A16stdlife))</f>
        <v>0</v>
      </c>
      <c r="T278" s="107">
        <f>IF(A16stdlife="n/a","n/a",IF(T$3&gt;(A16stdlife+$E278),('PTRM input'!$L$158*(1+rvanilla06)^0.5)-SUM($L278:S278),('PTRM input'!$L$158*(1+rvanilla06)^0.5)/A16stdlife))</f>
        <v>0</v>
      </c>
      <c r="U278" s="107">
        <f>IF(A16stdlife="n/a","n/a",IF(U$3&gt;(A16stdlife+$E278),('PTRM input'!$L$158*(1+rvanilla06)^0.5)-SUM($L278:T278),('PTRM input'!$L$158*(1+rvanilla06)^0.5)/A16stdlife))</f>
        <v>0</v>
      </c>
      <c r="V278" s="107">
        <f>IF(A16stdlife="n/a","n/a",IF(V$3&gt;(A16stdlife+$E278),('PTRM input'!$L$158*(1+rvanilla06)^0.5)-SUM($L278:U278),('PTRM input'!$L$158*(1+rvanilla06)^0.5)/A16stdlife))</f>
        <v>0</v>
      </c>
      <c r="W278" s="107">
        <f>IF(A16stdlife="n/a","n/a",IF(W$3&gt;(A16stdlife+$E278),('PTRM input'!$L$158*(1+rvanilla06)^0.5)-SUM($L278:V278),('PTRM input'!$L$158*(1+rvanilla06)^0.5)/A16stdlife))</f>
        <v>0</v>
      </c>
      <c r="X278" s="107">
        <f>IF(A16stdlife="n/a","n/a",IF(X$3&gt;(A16stdlife+$E278),('PTRM input'!$L$158*(1+rvanilla06)^0.5)-SUM($L278:W278),('PTRM input'!$L$158*(1+rvanilla06)^0.5)/A16stdlife))</f>
        <v>0</v>
      </c>
      <c r="Y278" s="107">
        <f>IF(A16stdlife="n/a","n/a",IF(Y$3&gt;(A16stdlife+$E278),('PTRM input'!$L$158*(1+rvanilla06)^0.5)-SUM($L278:X278),('PTRM input'!$L$158*(1+rvanilla06)^0.5)/A16stdlife))</f>
        <v>0</v>
      </c>
      <c r="Z278" s="107">
        <f>IF(A16stdlife="n/a","n/a",IF(Z$3&gt;(A16stdlife+$E278),('PTRM input'!$L$158*(1+rvanilla06)^0.5)-SUM($L278:Y278),('PTRM input'!$L$158*(1+rvanilla06)^0.5)/A16stdlife))</f>
        <v>0</v>
      </c>
      <c r="AA278" s="107">
        <f>IF(A16stdlife="n/a","n/a",IF(AA$3&gt;(A16stdlife+$E278),('PTRM input'!$L$158*(1+rvanilla06)^0.5)-SUM($L278:Z278),('PTRM input'!$L$158*(1+rvanilla06)^0.5)/A16stdlife))</f>
        <v>0</v>
      </c>
      <c r="AB278" s="107">
        <f>IF(A16stdlife="n/a","n/a",IF(AB$3&gt;(A16stdlife+$E278),('PTRM input'!$L$158*(1+rvanilla06)^0.5)-SUM($L278:AA278),('PTRM input'!$L$158*(1+rvanilla06)^0.5)/A16stdlife))</f>
        <v>0</v>
      </c>
      <c r="AC278" s="107">
        <f>IF(A16stdlife="n/a","n/a",IF(AC$3&gt;(A16stdlife+$E278),('PTRM input'!$L$158*(1+rvanilla06)^0.5)-SUM($L278:AB278),('PTRM input'!$L$158*(1+rvanilla06)^0.5)/A16stdlife))</f>
        <v>0</v>
      </c>
      <c r="AD278" s="107">
        <f>IF(A16stdlife="n/a","n/a",IF(AD$3&gt;(A16stdlife+$E278),('PTRM input'!$L$158*(1+rvanilla06)^0.5)-SUM($L278:AC278),('PTRM input'!$L$158*(1+rvanilla06)^0.5)/A16stdlife))</f>
        <v>0</v>
      </c>
      <c r="AE278" s="107">
        <f>IF(A16stdlife="n/a","n/a",IF(AE$3&gt;(A16stdlife+$E278),('PTRM input'!$L$158*(1+rvanilla06)^0.5)-SUM($L278:AD278),('PTRM input'!$L$158*(1+rvanilla06)^0.5)/A16stdlife))</f>
        <v>0</v>
      </c>
      <c r="AF278" s="107">
        <f>IF(A16stdlife="n/a","n/a",IF(AF$3&gt;(A16stdlife+$E278),('PTRM input'!$L$158*(1+rvanilla06)^0.5)-SUM($L278:AE278),('PTRM input'!$L$158*(1+rvanilla06)^0.5)/A16stdlife))</f>
        <v>0</v>
      </c>
      <c r="AG278" s="107">
        <f>IF(A16stdlife="n/a","n/a",IF(AG$3&gt;(A16stdlife+$E278),('PTRM input'!$L$158*(1+rvanilla06)^0.5)-SUM($L278:AF278),('PTRM input'!$L$158*(1+rvanilla06)^0.5)/A16stdlife))</f>
        <v>0</v>
      </c>
      <c r="AH278" s="107">
        <f>IF(A16stdlife="n/a","n/a",IF(AH$3&gt;(A16stdlife+$E278),('PTRM input'!$L$158*(1+rvanilla06)^0.5)-SUM($L278:AG278),('PTRM input'!$L$158*(1+rvanilla06)^0.5)/A16stdlife))</f>
        <v>0</v>
      </c>
      <c r="AI278" s="107">
        <f>IF(A16stdlife="n/a","n/a",IF(AI$3&gt;(A16stdlife+$E278),('PTRM input'!$L$158*(1+rvanilla06)^0.5)-SUM($L278:AH278),('PTRM input'!$L$158*(1+rvanilla06)^0.5)/A16stdlife))</f>
        <v>0</v>
      </c>
      <c r="AJ278" s="107">
        <f>IF(A16stdlife="n/a","n/a",IF(AJ$3&gt;(A16stdlife+$E278),('PTRM input'!$L$158*(1+rvanilla06)^0.5)-SUM($L278:AI278),('PTRM input'!$L$158*(1+rvanilla06)^0.5)/A16stdlife))</f>
        <v>0</v>
      </c>
      <c r="AK278" s="107">
        <f>IF(A16stdlife="n/a","n/a",IF(AK$3&gt;(A16stdlife+$E278),('PTRM input'!$L$158*(1+rvanilla06)^0.5)-SUM($L278:AJ278),('PTRM input'!$L$158*(1+rvanilla06)^0.5)/A16stdlife))</f>
        <v>0</v>
      </c>
      <c r="AL278" s="107">
        <f>IF(A16stdlife="n/a","n/a",IF(AL$3&gt;(A16stdlife+$E278),('PTRM input'!$L$158*(1+rvanilla06)^0.5)-SUM($L278:AK278),('PTRM input'!$L$158*(1+rvanilla06)^0.5)/A16stdlife))</f>
        <v>0</v>
      </c>
      <c r="AM278" s="107">
        <f>IF(A16stdlife="n/a","n/a",IF(AM$3&gt;(A16stdlife+$E278),('PTRM input'!$L$158*(1+rvanilla06)^0.5)-SUM($L278:AL278),('PTRM input'!$L$158*(1+rvanilla06)^0.5)/A16stdlife))</f>
        <v>0</v>
      </c>
      <c r="AN278" s="107">
        <f>IF(A16stdlife="n/a","n/a",IF(AN$3&gt;(A16stdlife+$E278),('PTRM input'!$L$158*(1+rvanilla06)^0.5)-SUM($L278:AM278),('PTRM input'!$L$158*(1+rvanilla06)^0.5)/A16stdlife))</f>
        <v>0</v>
      </c>
      <c r="AO278" s="107">
        <f>IF(A16stdlife="n/a","n/a",IF(AO$3&gt;(A16stdlife+$E278),('PTRM input'!$L$158*(1+rvanilla06)^0.5)-SUM($L278:AN278),('PTRM input'!$L$158*(1+rvanilla06)^0.5)/A16stdlife))</f>
        <v>0</v>
      </c>
      <c r="AP278" s="107">
        <f>IF(A16stdlife="n/a","n/a",IF(AP$3&gt;(A16stdlife+$E278),('PTRM input'!$L$158*(1+rvanilla06)^0.5)-SUM($L278:AO278),('PTRM input'!$L$158*(1+rvanilla06)^0.5)/A16stdlife))</f>
        <v>0</v>
      </c>
      <c r="AQ278" s="107">
        <f>IF(A16stdlife="n/a","n/a",IF(AQ$3&gt;(A16stdlife+$E278),('PTRM input'!$L$158*(1+rvanilla06)^0.5)-SUM($L278:AP278),('PTRM input'!$L$158*(1+rvanilla06)^0.5)/A16stdlife))</f>
        <v>0</v>
      </c>
      <c r="AR278" s="107">
        <f>IF(A16stdlife="n/a","n/a",IF(AR$3&gt;(A16stdlife+$E278),('PTRM input'!$L$158*(1+rvanilla06)^0.5)-SUM($L278:AQ278),('PTRM input'!$L$158*(1+rvanilla06)^0.5)/A16stdlife))</f>
        <v>0</v>
      </c>
      <c r="AS278" s="107">
        <f>IF(A16stdlife="n/a","n/a",IF(AS$3&gt;(A16stdlife+$E278),('PTRM input'!$L$158*(1+rvanilla06)^0.5)-SUM($L278:AR278),('PTRM input'!$L$158*(1+rvanilla06)^0.5)/A16stdlife))</f>
        <v>0</v>
      </c>
      <c r="AT278" s="107">
        <f>IF(A16stdlife="n/a","n/a",IF(AT$3&gt;(A16stdlife+$E278),('PTRM input'!$L$158*(1+rvanilla06)^0.5)-SUM($L278:AS278),('PTRM input'!$L$158*(1+rvanilla06)^0.5)/A16stdlife))</f>
        <v>0</v>
      </c>
      <c r="AU278" s="107">
        <f>IF(A16stdlife="n/a","n/a",IF(AU$3&gt;(A16stdlife+$E278),('PTRM input'!$L$158*(1+rvanilla06)^0.5)-SUM($L278:AT278),('PTRM input'!$L$158*(1+rvanilla06)^0.5)/A16stdlife))</f>
        <v>0</v>
      </c>
      <c r="AV278" s="107">
        <f>IF(A16stdlife="n/a","n/a",IF(AV$3&gt;(A16stdlife+$E278),('PTRM input'!$L$158*(1+rvanilla06)^0.5)-SUM($L278:AU278),('PTRM input'!$L$158*(1+rvanilla06)^0.5)/A16stdlife))</f>
        <v>0</v>
      </c>
      <c r="AW278" s="107">
        <f>IF(A16stdlife="n/a","n/a",IF(AW$3&gt;(A16stdlife+$E278),('PTRM input'!$L$158*(1+rvanilla06)^0.5)-SUM($L278:AV278),('PTRM input'!$L$158*(1+rvanilla06)^0.5)/A16stdlife))</f>
        <v>0</v>
      </c>
      <c r="AX278" s="107">
        <f>IF(A16stdlife="n/a","n/a",IF(AX$3&gt;(A16stdlife+$E278),('PTRM input'!$L$158*(1+rvanilla06)^0.5)-SUM($L278:AW278),('PTRM input'!$L$158*(1+rvanilla06)^0.5)/A16stdlife))</f>
        <v>0</v>
      </c>
      <c r="AY278" s="107">
        <f>IF(A16stdlife="n/a","n/a",IF(AY$3&gt;(A16stdlife+$E278),('PTRM input'!$L$158*(1+rvanilla06)^0.5)-SUM($L278:AX278),('PTRM input'!$L$158*(1+rvanilla06)^0.5)/A16stdlife))</f>
        <v>0</v>
      </c>
      <c r="AZ278" s="107">
        <f>IF(A16stdlife="n/a","n/a",IF(AZ$3&gt;(A16stdlife+$E278),('PTRM input'!$L$158*(1+rvanilla06)^0.5)-SUM($L278:AY278),('PTRM input'!$L$158*(1+rvanilla06)^0.5)/A16stdlife))</f>
        <v>0</v>
      </c>
      <c r="BA278" s="107">
        <f>IF(A16stdlife="n/a","n/a",IF(BA$3&gt;(A16stdlife+$E278),('PTRM input'!$L$158*(1+rvanilla06)^0.5)-SUM($L278:AZ278),('PTRM input'!$L$158*(1+rvanilla06)^0.5)/A16stdlife))</f>
        <v>0</v>
      </c>
      <c r="BB278" s="107">
        <f>IF(A16stdlife="n/a","n/a",IF(BB$3&gt;(A16stdlife+$E278),('PTRM input'!$L$158*(1+rvanilla06)^0.5)-SUM($L278:BA278),('PTRM input'!$L$158*(1+rvanilla06)^0.5)/A16stdlife))</f>
        <v>0</v>
      </c>
      <c r="BC278" s="107">
        <f>IF(A16stdlife="n/a","n/a",IF(BC$3&gt;(A16stdlife+$E278),('PTRM input'!$L$158*(1+rvanilla06)^0.5)-SUM($L278:BB278),('PTRM input'!$L$158*(1+rvanilla06)^0.5)/A16stdlife))</f>
        <v>0</v>
      </c>
      <c r="BD278" s="107">
        <f>IF(A16stdlife="n/a","n/a",IF(BD$3&gt;(A16stdlife+$E278),('PTRM input'!$L$158*(1+rvanilla06)^0.5)-SUM($L278:BC278),('PTRM input'!$L$158*(1+rvanilla06)^0.5)/A16stdlife))</f>
        <v>0</v>
      </c>
      <c r="BE278" s="107">
        <f>IF(A16stdlife="n/a","n/a",IF(BE$3&gt;(A16stdlife+$E278),('PTRM input'!$L$158*(1+rvanilla06)^0.5)-SUM($L278:BD278),('PTRM input'!$L$158*(1+rvanilla06)^0.5)/A16stdlife))</f>
        <v>0</v>
      </c>
      <c r="BF278" s="107">
        <f>IF(A16stdlife="n/a","n/a",IF(BF$3&gt;(A16stdlife+$E278),('PTRM input'!$L$158*(1+rvanilla06)^0.5)-SUM($L278:BE278),('PTRM input'!$L$158*(1+rvanilla06)^0.5)/A16stdlife))</f>
        <v>0</v>
      </c>
      <c r="BG278" s="107">
        <f>IF(A16stdlife="n/a","n/a",IF(BG$3&gt;(A16stdlife+$E278),('PTRM input'!$L$158*(1+rvanilla06)^0.5)-SUM($L278:BF278),('PTRM input'!$L$158*(1+rvanilla06)^0.5)/A16stdlife))</f>
        <v>0</v>
      </c>
      <c r="BH278" s="107">
        <f>IF(A16stdlife="n/a","n/a",IF(BH$3&gt;(A16stdlife+$E278),('PTRM input'!$L$158*(1+rvanilla06)^0.5)-SUM($L278:BG278),('PTRM input'!$L$158*(1+rvanilla06)^0.5)/A16stdlife))</f>
        <v>0</v>
      </c>
      <c r="BI278" s="107">
        <f>IF(A16stdlife="n/a","n/a",IF(BI$3&gt;(A16stdlife+$E278),('PTRM input'!$L$158*(1+rvanilla06)^0.5)-SUM($L278:BH278),('PTRM input'!$L$158*(1+rvanilla06)^0.5)/A16stdlife))</f>
        <v>0</v>
      </c>
      <c r="BJ278" s="237"/>
      <c r="BK278" s="237"/>
      <c r="BL278" s="237"/>
      <c r="BM278" s="237"/>
    </row>
    <row r="279" spans="1:65" s="190" customFormat="1" hidden="1" outlineLevel="2">
      <c r="A279" s="237"/>
      <c r="B279" s="33"/>
      <c r="C279" s="32"/>
      <c r="D279" s="1618"/>
      <c r="E279" s="169">
        <v>7</v>
      </c>
      <c r="F279" s="35"/>
      <c r="G279" s="184"/>
      <c r="H279" s="186"/>
      <c r="I279" s="186"/>
      <c r="J279" s="186"/>
      <c r="K279" s="186"/>
      <c r="L279" s="186"/>
      <c r="M279" s="185"/>
      <c r="N279" s="107">
        <f>IF(A16stdlife="n/a","n/a",IF(N$3&gt;(A16stdlife+$E279),('PTRM input'!$M$158*(1+rvanilla07)^0.5)-SUM($M279:M279),('PTRM input'!$M$158*(1+rvanilla07)^0.5)/A16stdlife))</f>
        <v>0</v>
      </c>
      <c r="O279" s="107">
        <f>IF(A16stdlife="n/a","n/a",IF(O$3&gt;(A16stdlife+$E279),('PTRM input'!$M$158*(1+rvanilla07)^0.5)-SUM($M279:N279),('PTRM input'!$M$158*(1+rvanilla07)^0.5)/A16stdlife))</f>
        <v>0</v>
      </c>
      <c r="P279" s="107">
        <f>IF(A16stdlife="n/a","n/a",IF(P$3&gt;(A16stdlife+$E279),('PTRM input'!$M$158*(1+rvanilla07)^0.5)-SUM($M279:O279),('PTRM input'!$M$158*(1+rvanilla07)^0.5)/A16stdlife))</f>
        <v>0</v>
      </c>
      <c r="Q279" s="107">
        <f>IF(A16stdlife="n/a","n/a",IF(Q$3&gt;(A16stdlife+$E279),('PTRM input'!$M$158*(1+rvanilla07)^0.5)-SUM($M279:P279),('PTRM input'!$M$158*(1+rvanilla07)^0.5)/A16stdlife))</f>
        <v>0</v>
      </c>
      <c r="R279" s="107">
        <f>IF(A16stdlife="n/a","n/a",IF(R$3&gt;(A16stdlife+$E279),('PTRM input'!$M$158*(1+rvanilla07)^0.5)-SUM($M279:Q279),('PTRM input'!$M$158*(1+rvanilla07)^0.5)/A16stdlife))</f>
        <v>0</v>
      </c>
      <c r="S279" s="107">
        <f>IF(A16stdlife="n/a","n/a",IF(S$3&gt;(A16stdlife+$E279),('PTRM input'!$M$158*(1+rvanilla07)^0.5)-SUM($M279:R279),('PTRM input'!$M$158*(1+rvanilla07)^0.5)/A16stdlife))</f>
        <v>0</v>
      </c>
      <c r="T279" s="107">
        <f>IF(A16stdlife="n/a","n/a",IF(T$3&gt;(A16stdlife+$E279),('PTRM input'!$M$158*(1+rvanilla07)^0.5)-SUM($M279:S279),('PTRM input'!$M$158*(1+rvanilla07)^0.5)/A16stdlife))</f>
        <v>0</v>
      </c>
      <c r="U279" s="107">
        <f>IF(A16stdlife="n/a","n/a",IF(U$3&gt;(A16stdlife+$E279),('PTRM input'!$M$158*(1+rvanilla07)^0.5)-SUM($M279:T279),('PTRM input'!$M$158*(1+rvanilla07)^0.5)/A16stdlife))</f>
        <v>0</v>
      </c>
      <c r="V279" s="107">
        <f>IF(A16stdlife="n/a","n/a",IF(V$3&gt;(A16stdlife+$E279),('PTRM input'!$M$158*(1+rvanilla07)^0.5)-SUM($M279:U279),('PTRM input'!$M$158*(1+rvanilla07)^0.5)/A16stdlife))</f>
        <v>0</v>
      </c>
      <c r="W279" s="107">
        <f>IF(A16stdlife="n/a","n/a",IF(W$3&gt;(A16stdlife+$E279),('PTRM input'!$M$158*(1+rvanilla07)^0.5)-SUM($M279:V279),('PTRM input'!$M$158*(1+rvanilla07)^0.5)/A16stdlife))</f>
        <v>0</v>
      </c>
      <c r="X279" s="107">
        <f>IF(A16stdlife="n/a","n/a",IF(X$3&gt;(A16stdlife+$E279),('PTRM input'!$M$158*(1+rvanilla07)^0.5)-SUM($M279:W279),('PTRM input'!$M$158*(1+rvanilla07)^0.5)/A16stdlife))</f>
        <v>0</v>
      </c>
      <c r="Y279" s="107">
        <f>IF(A16stdlife="n/a","n/a",IF(Y$3&gt;(A16stdlife+$E279),('PTRM input'!$M$158*(1+rvanilla07)^0.5)-SUM($M279:X279),('PTRM input'!$M$158*(1+rvanilla07)^0.5)/A16stdlife))</f>
        <v>0</v>
      </c>
      <c r="Z279" s="107">
        <f>IF(A16stdlife="n/a","n/a",IF(Z$3&gt;(A16stdlife+$E279),('PTRM input'!$M$158*(1+rvanilla07)^0.5)-SUM($M279:Y279),('PTRM input'!$M$158*(1+rvanilla07)^0.5)/A16stdlife))</f>
        <v>0</v>
      </c>
      <c r="AA279" s="107">
        <f>IF(A16stdlife="n/a","n/a",IF(AA$3&gt;(A16stdlife+$E279),('PTRM input'!$M$158*(1+rvanilla07)^0.5)-SUM($M279:Z279),('PTRM input'!$M$158*(1+rvanilla07)^0.5)/A16stdlife))</f>
        <v>0</v>
      </c>
      <c r="AB279" s="107">
        <f>IF(A16stdlife="n/a","n/a",IF(AB$3&gt;(A16stdlife+$E279),('PTRM input'!$M$158*(1+rvanilla07)^0.5)-SUM($M279:AA279),('PTRM input'!$M$158*(1+rvanilla07)^0.5)/A16stdlife))</f>
        <v>0</v>
      </c>
      <c r="AC279" s="107">
        <f>IF(A16stdlife="n/a","n/a",IF(AC$3&gt;(A16stdlife+$E279),('PTRM input'!$M$158*(1+rvanilla07)^0.5)-SUM($M279:AB279),('PTRM input'!$M$158*(1+rvanilla07)^0.5)/A16stdlife))</f>
        <v>0</v>
      </c>
      <c r="AD279" s="107">
        <f>IF(A16stdlife="n/a","n/a",IF(AD$3&gt;(A16stdlife+$E279),('PTRM input'!$M$158*(1+rvanilla07)^0.5)-SUM($M279:AC279),('PTRM input'!$M$158*(1+rvanilla07)^0.5)/A16stdlife))</f>
        <v>0</v>
      </c>
      <c r="AE279" s="107">
        <f>IF(A16stdlife="n/a","n/a",IF(AE$3&gt;(A16stdlife+$E279),('PTRM input'!$M$158*(1+rvanilla07)^0.5)-SUM($M279:AD279),('PTRM input'!$M$158*(1+rvanilla07)^0.5)/A16stdlife))</f>
        <v>0</v>
      </c>
      <c r="AF279" s="107">
        <f>IF(A16stdlife="n/a","n/a",IF(AF$3&gt;(A16stdlife+$E279),('PTRM input'!$M$158*(1+rvanilla07)^0.5)-SUM($M279:AE279),('PTRM input'!$M$158*(1+rvanilla07)^0.5)/A16stdlife))</f>
        <v>0</v>
      </c>
      <c r="AG279" s="107">
        <f>IF(A16stdlife="n/a","n/a",IF(AG$3&gt;(A16stdlife+$E279),('PTRM input'!$M$158*(1+rvanilla07)^0.5)-SUM($M279:AF279),('PTRM input'!$M$158*(1+rvanilla07)^0.5)/A16stdlife))</f>
        <v>0</v>
      </c>
      <c r="AH279" s="107">
        <f>IF(A16stdlife="n/a","n/a",IF(AH$3&gt;(A16stdlife+$E279),('PTRM input'!$M$158*(1+rvanilla07)^0.5)-SUM($M279:AG279),('PTRM input'!$M$158*(1+rvanilla07)^0.5)/A16stdlife))</f>
        <v>0</v>
      </c>
      <c r="AI279" s="107">
        <f>IF(A16stdlife="n/a","n/a",IF(AI$3&gt;(A16stdlife+$E279),('PTRM input'!$M$158*(1+rvanilla07)^0.5)-SUM($M279:AH279),('PTRM input'!$M$158*(1+rvanilla07)^0.5)/A16stdlife))</f>
        <v>0</v>
      </c>
      <c r="AJ279" s="107">
        <f>IF(A16stdlife="n/a","n/a",IF(AJ$3&gt;(A16stdlife+$E279),('PTRM input'!$M$158*(1+rvanilla07)^0.5)-SUM($M279:AI279),('PTRM input'!$M$158*(1+rvanilla07)^0.5)/A16stdlife))</f>
        <v>0</v>
      </c>
      <c r="AK279" s="107">
        <f>IF(A16stdlife="n/a","n/a",IF(AK$3&gt;(A16stdlife+$E279),('PTRM input'!$M$158*(1+rvanilla07)^0.5)-SUM($M279:AJ279),('PTRM input'!$M$158*(1+rvanilla07)^0.5)/A16stdlife))</f>
        <v>0</v>
      </c>
      <c r="AL279" s="107">
        <f>IF(A16stdlife="n/a","n/a",IF(AL$3&gt;(A16stdlife+$E279),('PTRM input'!$M$158*(1+rvanilla07)^0.5)-SUM($M279:AK279),('PTRM input'!$M$158*(1+rvanilla07)^0.5)/A16stdlife))</f>
        <v>0</v>
      </c>
      <c r="AM279" s="107">
        <f>IF(A16stdlife="n/a","n/a",IF(AM$3&gt;(A16stdlife+$E279),('PTRM input'!$M$158*(1+rvanilla07)^0.5)-SUM($M279:AL279),('PTRM input'!$M$158*(1+rvanilla07)^0.5)/A16stdlife))</f>
        <v>0</v>
      </c>
      <c r="AN279" s="107">
        <f>IF(A16stdlife="n/a","n/a",IF(AN$3&gt;(A16stdlife+$E279),('PTRM input'!$M$158*(1+rvanilla07)^0.5)-SUM($M279:AM279),('PTRM input'!$M$158*(1+rvanilla07)^0.5)/A16stdlife))</f>
        <v>0</v>
      </c>
      <c r="AO279" s="107">
        <f>IF(A16stdlife="n/a","n/a",IF(AO$3&gt;(A16stdlife+$E279),('PTRM input'!$M$158*(1+rvanilla07)^0.5)-SUM($M279:AN279),('PTRM input'!$M$158*(1+rvanilla07)^0.5)/A16stdlife))</f>
        <v>0</v>
      </c>
      <c r="AP279" s="107">
        <f>IF(A16stdlife="n/a","n/a",IF(AP$3&gt;(A16stdlife+$E279),('PTRM input'!$M$158*(1+rvanilla07)^0.5)-SUM($M279:AO279),('PTRM input'!$M$158*(1+rvanilla07)^0.5)/A16stdlife))</f>
        <v>0</v>
      </c>
      <c r="AQ279" s="107">
        <f>IF(A16stdlife="n/a","n/a",IF(AQ$3&gt;(A16stdlife+$E279),('PTRM input'!$M$158*(1+rvanilla07)^0.5)-SUM($M279:AP279),('PTRM input'!$M$158*(1+rvanilla07)^0.5)/A16stdlife))</f>
        <v>0</v>
      </c>
      <c r="AR279" s="107">
        <f>IF(A16stdlife="n/a","n/a",IF(AR$3&gt;(A16stdlife+$E279),('PTRM input'!$M$158*(1+rvanilla07)^0.5)-SUM($M279:AQ279),('PTRM input'!$M$158*(1+rvanilla07)^0.5)/A16stdlife))</f>
        <v>0</v>
      </c>
      <c r="AS279" s="107">
        <f>IF(A16stdlife="n/a","n/a",IF(AS$3&gt;(A16stdlife+$E279),('PTRM input'!$M$158*(1+rvanilla07)^0.5)-SUM($M279:AR279),('PTRM input'!$M$158*(1+rvanilla07)^0.5)/A16stdlife))</f>
        <v>0</v>
      </c>
      <c r="AT279" s="107">
        <f>IF(A16stdlife="n/a","n/a",IF(AT$3&gt;(A16stdlife+$E279),('PTRM input'!$M$158*(1+rvanilla07)^0.5)-SUM($M279:AS279),('PTRM input'!$M$158*(1+rvanilla07)^0.5)/A16stdlife))</f>
        <v>0</v>
      </c>
      <c r="AU279" s="107">
        <f>IF(A16stdlife="n/a","n/a",IF(AU$3&gt;(A16stdlife+$E279),('PTRM input'!$M$158*(1+rvanilla07)^0.5)-SUM($M279:AT279),('PTRM input'!$M$158*(1+rvanilla07)^0.5)/A16stdlife))</f>
        <v>0</v>
      </c>
      <c r="AV279" s="107">
        <f>IF(A16stdlife="n/a","n/a",IF(AV$3&gt;(A16stdlife+$E279),('PTRM input'!$M$158*(1+rvanilla07)^0.5)-SUM($M279:AU279),('PTRM input'!$M$158*(1+rvanilla07)^0.5)/A16stdlife))</f>
        <v>0</v>
      </c>
      <c r="AW279" s="107">
        <f>IF(A16stdlife="n/a","n/a",IF(AW$3&gt;(A16stdlife+$E279),('PTRM input'!$M$158*(1+rvanilla07)^0.5)-SUM($M279:AV279),('PTRM input'!$M$158*(1+rvanilla07)^0.5)/A16stdlife))</f>
        <v>0</v>
      </c>
      <c r="AX279" s="107">
        <f>IF(A16stdlife="n/a","n/a",IF(AX$3&gt;(A16stdlife+$E279),('PTRM input'!$M$158*(1+rvanilla07)^0.5)-SUM($M279:AW279),('PTRM input'!$M$158*(1+rvanilla07)^0.5)/A16stdlife))</f>
        <v>0</v>
      </c>
      <c r="AY279" s="107">
        <f>IF(A16stdlife="n/a","n/a",IF(AY$3&gt;(A16stdlife+$E279),('PTRM input'!$M$158*(1+rvanilla07)^0.5)-SUM($M279:AX279),('PTRM input'!$M$158*(1+rvanilla07)^0.5)/A16stdlife))</f>
        <v>0</v>
      </c>
      <c r="AZ279" s="107">
        <f>IF(A16stdlife="n/a","n/a",IF(AZ$3&gt;(A16stdlife+$E279),('PTRM input'!$M$158*(1+rvanilla07)^0.5)-SUM($M279:AY279),('PTRM input'!$M$158*(1+rvanilla07)^0.5)/A16stdlife))</f>
        <v>0</v>
      </c>
      <c r="BA279" s="107">
        <f>IF(A16stdlife="n/a","n/a",IF(BA$3&gt;(A16stdlife+$E279),('PTRM input'!$M$158*(1+rvanilla07)^0.5)-SUM($M279:AZ279),('PTRM input'!$M$158*(1+rvanilla07)^0.5)/A16stdlife))</f>
        <v>0</v>
      </c>
      <c r="BB279" s="107">
        <f>IF(A16stdlife="n/a","n/a",IF(BB$3&gt;(A16stdlife+$E279),('PTRM input'!$M$158*(1+rvanilla07)^0.5)-SUM($M279:BA279),('PTRM input'!$M$158*(1+rvanilla07)^0.5)/A16stdlife))</f>
        <v>0</v>
      </c>
      <c r="BC279" s="107">
        <f>IF(A16stdlife="n/a","n/a",IF(BC$3&gt;(A16stdlife+$E279),('PTRM input'!$M$158*(1+rvanilla07)^0.5)-SUM($M279:BB279),('PTRM input'!$M$158*(1+rvanilla07)^0.5)/A16stdlife))</f>
        <v>0</v>
      </c>
      <c r="BD279" s="107">
        <f>IF(A16stdlife="n/a","n/a",IF(BD$3&gt;(A16stdlife+$E279),('PTRM input'!$M$158*(1+rvanilla07)^0.5)-SUM($M279:BC279),('PTRM input'!$M$158*(1+rvanilla07)^0.5)/A16stdlife))</f>
        <v>0</v>
      </c>
      <c r="BE279" s="107">
        <f>IF(A16stdlife="n/a","n/a",IF(BE$3&gt;(A16stdlife+$E279),('PTRM input'!$M$158*(1+rvanilla07)^0.5)-SUM($M279:BD279),('PTRM input'!$M$158*(1+rvanilla07)^0.5)/A16stdlife))</f>
        <v>0</v>
      </c>
      <c r="BF279" s="107">
        <f>IF(A16stdlife="n/a","n/a",IF(BF$3&gt;(A16stdlife+$E279),('PTRM input'!$M$158*(1+rvanilla07)^0.5)-SUM($M279:BE279),('PTRM input'!$M$158*(1+rvanilla07)^0.5)/A16stdlife))</f>
        <v>0</v>
      </c>
      <c r="BG279" s="107">
        <f>IF(A16stdlife="n/a","n/a",IF(BG$3&gt;(A16stdlife+$E279),('PTRM input'!$M$158*(1+rvanilla07)^0.5)-SUM($M279:BF279),('PTRM input'!$M$158*(1+rvanilla07)^0.5)/A16stdlife))</f>
        <v>0</v>
      </c>
      <c r="BH279" s="107">
        <f>IF(A16stdlife="n/a","n/a",IF(BH$3&gt;(A16stdlife+$E279),('PTRM input'!$M$158*(1+rvanilla07)^0.5)-SUM($M279:BG279),('PTRM input'!$M$158*(1+rvanilla07)^0.5)/A16stdlife))</f>
        <v>0</v>
      </c>
      <c r="BI279" s="107">
        <f>IF(A16stdlife="n/a","n/a",IF(BI$3&gt;(A16stdlife+$E279),('PTRM input'!$M$158*(1+rvanilla07)^0.5)-SUM($M279:BH279),('PTRM input'!$M$158*(1+rvanilla07)^0.5)/A16stdlife))</f>
        <v>0</v>
      </c>
      <c r="BJ279" s="237"/>
      <c r="BK279" s="237"/>
      <c r="BL279" s="237"/>
      <c r="BM279" s="237"/>
    </row>
    <row r="280" spans="1:65" s="190" customFormat="1" hidden="1" outlineLevel="2">
      <c r="A280" s="237"/>
      <c r="B280" s="33"/>
      <c r="C280" s="32"/>
      <c r="D280" s="1618"/>
      <c r="E280" s="169">
        <v>8</v>
      </c>
      <c r="F280" s="35"/>
      <c r="G280" s="184"/>
      <c r="H280" s="186"/>
      <c r="I280" s="186"/>
      <c r="J280" s="186"/>
      <c r="K280" s="186"/>
      <c r="L280" s="186"/>
      <c r="M280" s="186"/>
      <c r="N280" s="185"/>
      <c r="O280" s="107">
        <f>IF(A16stdlife="n/a","n/a",IF(O$3&gt;(A16stdlife+$E280),('PTRM input'!$N$158*(1+rvanilla08)^0.5)-SUM($N280:N280),('PTRM input'!$N$158*(1+rvanilla08)^0.5)/A16stdlife))</f>
        <v>0</v>
      </c>
      <c r="P280" s="107">
        <f>IF(A16stdlife="n/a","n/a",IF(P$3&gt;(A16stdlife+$E280),('PTRM input'!$N$158*(1+rvanilla08)^0.5)-SUM($N280:O280),('PTRM input'!$N$158*(1+rvanilla08)^0.5)/A16stdlife))</f>
        <v>0</v>
      </c>
      <c r="Q280" s="107">
        <f>IF(A16stdlife="n/a","n/a",IF(Q$3&gt;(A16stdlife+$E280),('PTRM input'!$N$158*(1+rvanilla08)^0.5)-SUM($N280:P280),('PTRM input'!$N$158*(1+rvanilla08)^0.5)/A16stdlife))</f>
        <v>0</v>
      </c>
      <c r="R280" s="107">
        <f>IF(A16stdlife="n/a","n/a",IF(R$3&gt;(A16stdlife+$E280),('PTRM input'!$N$158*(1+rvanilla08)^0.5)-SUM($N280:Q280),('PTRM input'!$N$158*(1+rvanilla08)^0.5)/A16stdlife))</f>
        <v>0</v>
      </c>
      <c r="S280" s="107">
        <f>IF(A16stdlife="n/a","n/a",IF(S$3&gt;(A16stdlife+$E280),('PTRM input'!$N$158*(1+rvanilla08)^0.5)-SUM($N280:R280),('PTRM input'!$N$158*(1+rvanilla08)^0.5)/A16stdlife))</f>
        <v>0</v>
      </c>
      <c r="T280" s="107">
        <f>IF(A16stdlife="n/a","n/a",IF(T$3&gt;(A16stdlife+$E280),('PTRM input'!$N$158*(1+rvanilla08)^0.5)-SUM($N280:S280),('PTRM input'!$N$158*(1+rvanilla08)^0.5)/A16stdlife))</f>
        <v>0</v>
      </c>
      <c r="U280" s="107">
        <f>IF(A16stdlife="n/a","n/a",IF(U$3&gt;(A16stdlife+$E280),('PTRM input'!$N$158*(1+rvanilla08)^0.5)-SUM($N280:T280),('PTRM input'!$N$158*(1+rvanilla08)^0.5)/A16stdlife))</f>
        <v>0</v>
      </c>
      <c r="V280" s="107">
        <f>IF(A16stdlife="n/a","n/a",IF(V$3&gt;(A16stdlife+$E280),('PTRM input'!$N$158*(1+rvanilla08)^0.5)-SUM($N280:U280),('PTRM input'!$N$158*(1+rvanilla08)^0.5)/A16stdlife))</f>
        <v>0</v>
      </c>
      <c r="W280" s="107">
        <f>IF(A16stdlife="n/a","n/a",IF(W$3&gt;(A16stdlife+$E280),('PTRM input'!$N$158*(1+rvanilla08)^0.5)-SUM($N280:V280),('PTRM input'!$N$158*(1+rvanilla08)^0.5)/A16stdlife))</f>
        <v>0</v>
      </c>
      <c r="X280" s="107">
        <f>IF(A16stdlife="n/a","n/a",IF(X$3&gt;(A16stdlife+$E280),('PTRM input'!$N$158*(1+rvanilla08)^0.5)-SUM($N280:W280),('PTRM input'!$N$158*(1+rvanilla08)^0.5)/A16stdlife))</f>
        <v>0</v>
      </c>
      <c r="Y280" s="107">
        <f>IF(A16stdlife="n/a","n/a",IF(Y$3&gt;(A16stdlife+$E280),('PTRM input'!$N$158*(1+rvanilla08)^0.5)-SUM($N280:X280),('PTRM input'!$N$158*(1+rvanilla08)^0.5)/A16stdlife))</f>
        <v>0</v>
      </c>
      <c r="Z280" s="107">
        <f>IF(A16stdlife="n/a","n/a",IF(Z$3&gt;(A16stdlife+$E280),('PTRM input'!$N$158*(1+rvanilla08)^0.5)-SUM($N280:Y280),('PTRM input'!$N$158*(1+rvanilla08)^0.5)/A16stdlife))</f>
        <v>0</v>
      </c>
      <c r="AA280" s="107">
        <f>IF(A16stdlife="n/a","n/a",IF(AA$3&gt;(A16stdlife+$E280),('PTRM input'!$N$158*(1+rvanilla08)^0.5)-SUM($N280:Z280),('PTRM input'!$N$158*(1+rvanilla08)^0.5)/A16stdlife))</f>
        <v>0</v>
      </c>
      <c r="AB280" s="107">
        <f>IF(A16stdlife="n/a","n/a",IF(AB$3&gt;(A16stdlife+$E280),('PTRM input'!$N$158*(1+rvanilla08)^0.5)-SUM($N280:AA280),('PTRM input'!$N$158*(1+rvanilla08)^0.5)/A16stdlife))</f>
        <v>0</v>
      </c>
      <c r="AC280" s="107">
        <f>IF(A16stdlife="n/a","n/a",IF(AC$3&gt;(A16stdlife+$E280),('PTRM input'!$N$158*(1+rvanilla08)^0.5)-SUM($N280:AB280),('PTRM input'!$N$158*(1+rvanilla08)^0.5)/A16stdlife))</f>
        <v>0</v>
      </c>
      <c r="AD280" s="107">
        <f>IF(A16stdlife="n/a","n/a",IF(AD$3&gt;(A16stdlife+$E280),('PTRM input'!$N$158*(1+rvanilla08)^0.5)-SUM($N280:AC280),('PTRM input'!$N$158*(1+rvanilla08)^0.5)/A16stdlife))</f>
        <v>0</v>
      </c>
      <c r="AE280" s="107">
        <f>IF(A16stdlife="n/a","n/a",IF(AE$3&gt;(A16stdlife+$E280),('PTRM input'!$N$158*(1+rvanilla08)^0.5)-SUM($N280:AD280),('PTRM input'!$N$158*(1+rvanilla08)^0.5)/A16stdlife))</f>
        <v>0</v>
      </c>
      <c r="AF280" s="107">
        <f>IF(A16stdlife="n/a","n/a",IF(AF$3&gt;(A16stdlife+$E280),('PTRM input'!$N$158*(1+rvanilla08)^0.5)-SUM($N280:AE280),('PTRM input'!$N$158*(1+rvanilla08)^0.5)/A16stdlife))</f>
        <v>0</v>
      </c>
      <c r="AG280" s="107">
        <f>IF(A16stdlife="n/a","n/a",IF(AG$3&gt;(A16stdlife+$E280),('PTRM input'!$N$158*(1+rvanilla08)^0.5)-SUM($N280:AF280),('PTRM input'!$N$158*(1+rvanilla08)^0.5)/A16stdlife))</f>
        <v>0</v>
      </c>
      <c r="AH280" s="107">
        <f>IF(A16stdlife="n/a","n/a",IF(AH$3&gt;(A16stdlife+$E280),('PTRM input'!$N$158*(1+rvanilla08)^0.5)-SUM($N280:AG280),('PTRM input'!$N$158*(1+rvanilla08)^0.5)/A16stdlife))</f>
        <v>0</v>
      </c>
      <c r="AI280" s="107">
        <f>IF(A16stdlife="n/a","n/a",IF(AI$3&gt;(A16stdlife+$E280),('PTRM input'!$N$158*(1+rvanilla08)^0.5)-SUM($N280:AH280),('PTRM input'!$N$158*(1+rvanilla08)^0.5)/A16stdlife))</f>
        <v>0</v>
      </c>
      <c r="AJ280" s="107">
        <f>IF(A16stdlife="n/a","n/a",IF(AJ$3&gt;(A16stdlife+$E280),('PTRM input'!$N$158*(1+rvanilla08)^0.5)-SUM($N280:AI280),('PTRM input'!$N$158*(1+rvanilla08)^0.5)/A16stdlife))</f>
        <v>0</v>
      </c>
      <c r="AK280" s="107">
        <f>IF(A16stdlife="n/a","n/a",IF(AK$3&gt;(A16stdlife+$E280),('PTRM input'!$N$158*(1+rvanilla08)^0.5)-SUM($N280:AJ280),('PTRM input'!$N$158*(1+rvanilla08)^0.5)/A16stdlife))</f>
        <v>0</v>
      </c>
      <c r="AL280" s="107">
        <f>IF(A16stdlife="n/a","n/a",IF(AL$3&gt;(A16stdlife+$E280),('PTRM input'!$N$158*(1+rvanilla08)^0.5)-SUM($N280:AK280),('PTRM input'!$N$158*(1+rvanilla08)^0.5)/A16stdlife))</f>
        <v>0</v>
      </c>
      <c r="AM280" s="107">
        <f>IF(A16stdlife="n/a","n/a",IF(AM$3&gt;(A16stdlife+$E280),('PTRM input'!$N$158*(1+rvanilla08)^0.5)-SUM($N280:AL280),('PTRM input'!$N$158*(1+rvanilla08)^0.5)/A16stdlife))</f>
        <v>0</v>
      </c>
      <c r="AN280" s="107">
        <f>IF(A16stdlife="n/a","n/a",IF(AN$3&gt;(A16stdlife+$E280),('PTRM input'!$N$158*(1+rvanilla08)^0.5)-SUM($N280:AM280),('PTRM input'!$N$158*(1+rvanilla08)^0.5)/A16stdlife))</f>
        <v>0</v>
      </c>
      <c r="AO280" s="107">
        <f>IF(A16stdlife="n/a","n/a",IF(AO$3&gt;(A16stdlife+$E280),('PTRM input'!$N$158*(1+rvanilla08)^0.5)-SUM($N280:AN280),('PTRM input'!$N$158*(1+rvanilla08)^0.5)/A16stdlife))</f>
        <v>0</v>
      </c>
      <c r="AP280" s="107">
        <f>IF(A16stdlife="n/a","n/a",IF(AP$3&gt;(A16stdlife+$E280),('PTRM input'!$N$158*(1+rvanilla08)^0.5)-SUM($N280:AO280),('PTRM input'!$N$158*(1+rvanilla08)^0.5)/A16stdlife))</f>
        <v>0</v>
      </c>
      <c r="AQ280" s="107">
        <f>IF(A16stdlife="n/a","n/a",IF(AQ$3&gt;(A16stdlife+$E280),('PTRM input'!$N$158*(1+rvanilla08)^0.5)-SUM($N280:AP280),('PTRM input'!$N$158*(1+rvanilla08)^0.5)/A16stdlife))</f>
        <v>0</v>
      </c>
      <c r="AR280" s="107">
        <f>IF(A16stdlife="n/a","n/a",IF(AR$3&gt;(A16stdlife+$E280),('PTRM input'!$N$158*(1+rvanilla08)^0.5)-SUM($N280:AQ280),('PTRM input'!$N$158*(1+rvanilla08)^0.5)/A16stdlife))</f>
        <v>0</v>
      </c>
      <c r="AS280" s="107">
        <f>IF(A16stdlife="n/a","n/a",IF(AS$3&gt;(A16stdlife+$E280),('PTRM input'!$N$158*(1+rvanilla08)^0.5)-SUM($N280:AR280),('PTRM input'!$N$158*(1+rvanilla08)^0.5)/A16stdlife))</f>
        <v>0</v>
      </c>
      <c r="AT280" s="107">
        <f>IF(A16stdlife="n/a","n/a",IF(AT$3&gt;(A16stdlife+$E280),('PTRM input'!$N$158*(1+rvanilla08)^0.5)-SUM($N280:AS280),('PTRM input'!$N$158*(1+rvanilla08)^0.5)/A16stdlife))</f>
        <v>0</v>
      </c>
      <c r="AU280" s="107">
        <f>IF(A16stdlife="n/a","n/a",IF(AU$3&gt;(A16stdlife+$E280),('PTRM input'!$N$158*(1+rvanilla08)^0.5)-SUM($N280:AT280),('PTRM input'!$N$158*(1+rvanilla08)^0.5)/A16stdlife))</f>
        <v>0</v>
      </c>
      <c r="AV280" s="107">
        <f>IF(A16stdlife="n/a","n/a",IF(AV$3&gt;(A16stdlife+$E280),('PTRM input'!$N$158*(1+rvanilla08)^0.5)-SUM($N280:AU280),('PTRM input'!$N$158*(1+rvanilla08)^0.5)/A16stdlife))</f>
        <v>0</v>
      </c>
      <c r="AW280" s="107">
        <f>IF(A16stdlife="n/a","n/a",IF(AW$3&gt;(A16stdlife+$E280),('PTRM input'!$N$158*(1+rvanilla08)^0.5)-SUM($N280:AV280),('PTRM input'!$N$158*(1+rvanilla08)^0.5)/A16stdlife))</f>
        <v>0</v>
      </c>
      <c r="AX280" s="107">
        <f>IF(A16stdlife="n/a","n/a",IF(AX$3&gt;(A16stdlife+$E280),('PTRM input'!$N$158*(1+rvanilla08)^0.5)-SUM($N280:AW280),('PTRM input'!$N$158*(1+rvanilla08)^0.5)/A16stdlife))</f>
        <v>0</v>
      </c>
      <c r="AY280" s="107">
        <f>IF(A16stdlife="n/a","n/a",IF(AY$3&gt;(A16stdlife+$E280),('PTRM input'!$N$158*(1+rvanilla08)^0.5)-SUM($N280:AX280),('PTRM input'!$N$158*(1+rvanilla08)^0.5)/A16stdlife))</f>
        <v>0</v>
      </c>
      <c r="AZ280" s="107">
        <f>IF(A16stdlife="n/a","n/a",IF(AZ$3&gt;(A16stdlife+$E280),('PTRM input'!$N$158*(1+rvanilla08)^0.5)-SUM($N280:AY280),('PTRM input'!$N$158*(1+rvanilla08)^0.5)/A16stdlife))</f>
        <v>0</v>
      </c>
      <c r="BA280" s="107">
        <f>IF(A16stdlife="n/a","n/a",IF(BA$3&gt;(A16stdlife+$E280),('PTRM input'!$N$158*(1+rvanilla08)^0.5)-SUM($N280:AZ280),('PTRM input'!$N$158*(1+rvanilla08)^0.5)/A16stdlife))</f>
        <v>0</v>
      </c>
      <c r="BB280" s="107">
        <f>IF(A16stdlife="n/a","n/a",IF(BB$3&gt;(A16stdlife+$E280),('PTRM input'!$N$158*(1+rvanilla08)^0.5)-SUM($N280:BA280),('PTRM input'!$N$158*(1+rvanilla08)^0.5)/A16stdlife))</f>
        <v>0</v>
      </c>
      <c r="BC280" s="107">
        <f>IF(A16stdlife="n/a","n/a",IF(BC$3&gt;(A16stdlife+$E280),('PTRM input'!$N$158*(1+rvanilla08)^0.5)-SUM($N280:BB280),('PTRM input'!$N$158*(1+rvanilla08)^0.5)/A16stdlife))</f>
        <v>0</v>
      </c>
      <c r="BD280" s="107">
        <f>IF(A16stdlife="n/a","n/a",IF(BD$3&gt;(A16stdlife+$E280),('PTRM input'!$N$158*(1+rvanilla08)^0.5)-SUM($N280:BC280),('PTRM input'!$N$158*(1+rvanilla08)^0.5)/A16stdlife))</f>
        <v>0</v>
      </c>
      <c r="BE280" s="107">
        <f>IF(A16stdlife="n/a","n/a",IF(BE$3&gt;(A16stdlife+$E280),('PTRM input'!$N$158*(1+rvanilla08)^0.5)-SUM($N280:BD280),('PTRM input'!$N$158*(1+rvanilla08)^0.5)/A16stdlife))</f>
        <v>0</v>
      </c>
      <c r="BF280" s="107">
        <f>IF(A16stdlife="n/a","n/a",IF(BF$3&gt;(A16stdlife+$E280),('PTRM input'!$N$158*(1+rvanilla08)^0.5)-SUM($N280:BE280),('PTRM input'!$N$158*(1+rvanilla08)^0.5)/A16stdlife))</f>
        <v>0</v>
      </c>
      <c r="BG280" s="107">
        <f>IF(A16stdlife="n/a","n/a",IF(BG$3&gt;(A16stdlife+$E280),('PTRM input'!$N$158*(1+rvanilla08)^0.5)-SUM($N280:BF280),('PTRM input'!$N$158*(1+rvanilla08)^0.5)/A16stdlife))</f>
        <v>0</v>
      </c>
      <c r="BH280" s="107">
        <f>IF(A16stdlife="n/a","n/a",IF(BH$3&gt;(A16stdlife+$E280),('PTRM input'!$N$158*(1+rvanilla08)^0.5)-SUM($N280:BG280),('PTRM input'!$N$158*(1+rvanilla08)^0.5)/A16stdlife))</f>
        <v>0</v>
      </c>
      <c r="BI280" s="107">
        <f>IF(A16stdlife="n/a","n/a",IF(BI$3&gt;(A16stdlife+$E280),('PTRM input'!$N$158*(1+rvanilla08)^0.5)-SUM($N280:BH280),('PTRM input'!$N$158*(1+rvanilla08)^0.5)/A16stdlife))</f>
        <v>0</v>
      </c>
      <c r="BJ280" s="237"/>
      <c r="BK280" s="237"/>
      <c r="BL280" s="237"/>
      <c r="BM280" s="237"/>
    </row>
    <row r="281" spans="1:65" s="190" customFormat="1" hidden="1" outlineLevel="2">
      <c r="A281" s="237"/>
      <c r="B281" s="33"/>
      <c r="C281" s="32"/>
      <c r="D281" s="1618"/>
      <c r="E281" s="169">
        <v>9</v>
      </c>
      <c r="F281" s="35"/>
      <c r="G281" s="184"/>
      <c r="H281" s="186"/>
      <c r="I281" s="186"/>
      <c r="J281" s="186"/>
      <c r="K281" s="186"/>
      <c r="L281" s="186"/>
      <c r="M281" s="186"/>
      <c r="N281" s="186"/>
      <c r="O281" s="185"/>
      <c r="P281" s="107">
        <f>IF(A16stdlife="n/a","n/a",IF(P$3&gt;(A16stdlife+$E281),('PTRM input'!$O$158*(1+rvanilla09)^0.5)-SUM($O281:O281),('PTRM input'!$O$158*(1+rvanilla09)^0.5)/A16stdlife))</f>
        <v>0</v>
      </c>
      <c r="Q281" s="107">
        <f>IF(A16stdlife="n/a","n/a",IF(Q$3&gt;(A16stdlife+$E281),('PTRM input'!$O$158*(1+rvanilla09)^0.5)-SUM($O281:P281),('PTRM input'!$O$158*(1+rvanilla09)^0.5)/A16stdlife))</f>
        <v>0</v>
      </c>
      <c r="R281" s="107">
        <f>IF(A16stdlife="n/a","n/a",IF(R$3&gt;(A16stdlife+$E281),('PTRM input'!$O$158*(1+rvanilla09)^0.5)-SUM($O281:Q281),('PTRM input'!$O$158*(1+rvanilla09)^0.5)/A16stdlife))</f>
        <v>0</v>
      </c>
      <c r="S281" s="107">
        <f>IF(A16stdlife="n/a","n/a",IF(S$3&gt;(A16stdlife+$E281),('PTRM input'!$O$158*(1+rvanilla09)^0.5)-SUM($O281:R281),('PTRM input'!$O$158*(1+rvanilla09)^0.5)/A16stdlife))</f>
        <v>0</v>
      </c>
      <c r="T281" s="107">
        <f>IF(A16stdlife="n/a","n/a",IF(T$3&gt;(A16stdlife+$E281),('PTRM input'!$O$158*(1+rvanilla09)^0.5)-SUM($O281:S281),('PTRM input'!$O$158*(1+rvanilla09)^0.5)/A16stdlife))</f>
        <v>0</v>
      </c>
      <c r="U281" s="107">
        <f>IF(A16stdlife="n/a","n/a",IF(U$3&gt;(A16stdlife+$E281),('PTRM input'!$O$158*(1+rvanilla09)^0.5)-SUM($O281:T281),('PTRM input'!$O$158*(1+rvanilla09)^0.5)/A16stdlife))</f>
        <v>0</v>
      </c>
      <c r="V281" s="107">
        <f>IF(A16stdlife="n/a","n/a",IF(V$3&gt;(A16stdlife+$E281),('PTRM input'!$O$158*(1+rvanilla09)^0.5)-SUM($O281:U281),('PTRM input'!$O$158*(1+rvanilla09)^0.5)/A16stdlife))</f>
        <v>0</v>
      </c>
      <c r="W281" s="107">
        <f>IF(A16stdlife="n/a","n/a",IF(W$3&gt;(A16stdlife+$E281),('PTRM input'!$O$158*(1+rvanilla09)^0.5)-SUM($O281:V281),('PTRM input'!$O$158*(1+rvanilla09)^0.5)/A16stdlife))</f>
        <v>0</v>
      </c>
      <c r="X281" s="107">
        <f>IF(A16stdlife="n/a","n/a",IF(X$3&gt;(A16stdlife+$E281),('PTRM input'!$O$158*(1+rvanilla09)^0.5)-SUM($O281:W281),('PTRM input'!$O$158*(1+rvanilla09)^0.5)/A16stdlife))</f>
        <v>0</v>
      </c>
      <c r="Y281" s="107">
        <f>IF(A16stdlife="n/a","n/a",IF(Y$3&gt;(A16stdlife+$E281),('PTRM input'!$O$158*(1+rvanilla09)^0.5)-SUM($O281:X281),('PTRM input'!$O$158*(1+rvanilla09)^0.5)/A16stdlife))</f>
        <v>0</v>
      </c>
      <c r="Z281" s="107">
        <f>IF(A16stdlife="n/a","n/a",IF(Z$3&gt;(A16stdlife+$E281),('PTRM input'!$O$158*(1+rvanilla09)^0.5)-SUM($O281:Y281),('PTRM input'!$O$158*(1+rvanilla09)^0.5)/A16stdlife))</f>
        <v>0</v>
      </c>
      <c r="AA281" s="107">
        <f>IF(A16stdlife="n/a","n/a",IF(AA$3&gt;(A16stdlife+$E281),('PTRM input'!$O$158*(1+rvanilla09)^0.5)-SUM($O281:Z281),('PTRM input'!$O$158*(1+rvanilla09)^0.5)/A16stdlife))</f>
        <v>0</v>
      </c>
      <c r="AB281" s="107">
        <f>IF(A16stdlife="n/a","n/a",IF(AB$3&gt;(A16stdlife+$E281),('PTRM input'!$O$158*(1+rvanilla09)^0.5)-SUM($O281:AA281),('PTRM input'!$O$158*(1+rvanilla09)^0.5)/A16stdlife))</f>
        <v>0</v>
      </c>
      <c r="AC281" s="107">
        <f>IF(A16stdlife="n/a","n/a",IF(AC$3&gt;(A16stdlife+$E281),('PTRM input'!$O$158*(1+rvanilla09)^0.5)-SUM($O281:AB281),('PTRM input'!$O$158*(1+rvanilla09)^0.5)/A16stdlife))</f>
        <v>0</v>
      </c>
      <c r="AD281" s="107">
        <f>IF(A16stdlife="n/a","n/a",IF(AD$3&gt;(A16stdlife+$E281),('PTRM input'!$O$158*(1+rvanilla09)^0.5)-SUM($O281:AC281),('PTRM input'!$O$158*(1+rvanilla09)^0.5)/A16stdlife))</f>
        <v>0</v>
      </c>
      <c r="AE281" s="107">
        <f>IF(A16stdlife="n/a","n/a",IF(AE$3&gt;(A16stdlife+$E281),('PTRM input'!$O$158*(1+rvanilla09)^0.5)-SUM($O281:AD281),('PTRM input'!$O$158*(1+rvanilla09)^0.5)/A16stdlife))</f>
        <v>0</v>
      </c>
      <c r="AF281" s="107">
        <f>IF(A16stdlife="n/a","n/a",IF(AF$3&gt;(A16stdlife+$E281),('PTRM input'!$O$158*(1+rvanilla09)^0.5)-SUM($O281:AE281),('PTRM input'!$O$158*(1+rvanilla09)^0.5)/A16stdlife))</f>
        <v>0</v>
      </c>
      <c r="AG281" s="107">
        <f>IF(A16stdlife="n/a","n/a",IF(AG$3&gt;(A16stdlife+$E281),('PTRM input'!$O$158*(1+rvanilla09)^0.5)-SUM($O281:AF281),('PTRM input'!$O$158*(1+rvanilla09)^0.5)/A16stdlife))</f>
        <v>0</v>
      </c>
      <c r="AH281" s="107">
        <f>IF(A16stdlife="n/a","n/a",IF(AH$3&gt;(A16stdlife+$E281),('PTRM input'!$O$158*(1+rvanilla09)^0.5)-SUM($O281:AG281),('PTRM input'!$O$158*(1+rvanilla09)^0.5)/A16stdlife))</f>
        <v>0</v>
      </c>
      <c r="AI281" s="107">
        <f>IF(A16stdlife="n/a","n/a",IF(AI$3&gt;(A16stdlife+$E281),('PTRM input'!$O$158*(1+rvanilla09)^0.5)-SUM($O281:AH281),('PTRM input'!$O$158*(1+rvanilla09)^0.5)/A16stdlife))</f>
        <v>0</v>
      </c>
      <c r="AJ281" s="107">
        <f>IF(A16stdlife="n/a","n/a",IF(AJ$3&gt;(A16stdlife+$E281),('PTRM input'!$O$158*(1+rvanilla09)^0.5)-SUM($O281:AI281),('PTRM input'!$O$158*(1+rvanilla09)^0.5)/A16stdlife))</f>
        <v>0</v>
      </c>
      <c r="AK281" s="107">
        <f>IF(A16stdlife="n/a","n/a",IF(AK$3&gt;(A16stdlife+$E281),('PTRM input'!$O$158*(1+rvanilla09)^0.5)-SUM($O281:AJ281),('PTRM input'!$O$158*(1+rvanilla09)^0.5)/A16stdlife))</f>
        <v>0</v>
      </c>
      <c r="AL281" s="107">
        <f>IF(A16stdlife="n/a","n/a",IF(AL$3&gt;(A16stdlife+$E281),('PTRM input'!$O$158*(1+rvanilla09)^0.5)-SUM($O281:AK281),('PTRM input'!$O$158*(1+rvanilla09)^0.5)/A16stdlife))</f>
        <v>0</v>
      </c>
      <c r="AM281" s="107">
        <f>IF(A16stdlife="n/a","n/a",IF(AM$3&gt;(A16stdlife+$E281),('PTRM input'!$O$158*(1+rvanilla09)^0.5)-SUM($O281:AL281),('PTRM input'!$O$158*(1+rvanilla09)^0.5)/A16stdlife))</f>
        <v>0</v>
      </c>
      <c r="AN281" s="107">
        <f>IF(A16stdlife="n/a","n/a",IF(AN$3&gt;(A16stdlife+$E281),('PTRM input'!$O$158*(1+rvanilla09)^0.5)-SUM($O281:AM281),('PTRM input'!$O$158*(1+rvanilla09)^0.5)/A16stdlife))</f>
        <v>0</v>
      </c>
      <c r="AO281" s="107">
        <f>IF(A16stdlife="n/a","n/a",IF(AO$3&gt;(A16stdlife+$E281),('PTRM input'!$O$158*(1+rvanilla09)^0.5)-SUM($O281:AN281),('PTRM input'!$O$158*(1+rvanilla09)^0.5)/A16stdlife))</f>
        <v>0</v>
      </c>
      <c r="AP281" s="107">
        <f>IF(A16stdlife="n/a","n/a",IF(AP$3&gt;(A16stdlife+$E281),('PTRM input'!$O$158*(1+rvanilla09)^0.5)-SUM($O281:AO281),('PTRM input'!$O$158*(1+rvanilla09)^0.5)/A16stdlife))</f>
        <v>0</v>
      </c>
      <c r="AQ281" s="107">
        <f>IF(A16stdlife="n/a","n/a",IF(AQ$3&gt;(A16stdlife+$E281),('PTRM input'!$O$158*(1+rvanilla09)^0.5)-SUM($O281:AP281),('PTRM input'!$O$158*(1+rvanilla09)^0.5)/A16stdlife))</f>
        <v>0</v>
      </c>
      <c r="AR281" s="107">
        <f>IF(A16stdlife="n/a","n/a",IF(AR$3&gt;(A16stdlife+$E281),('PTRM input'!$O$158*(1+rvanilla09)^0.5)-SUM($O281:AQ281),('PTRM input'!$O$158*(1+rvanilla09)^0.5)/A16stdlife))</f>
        <v>0</v>
      </c>
      <c r="AS281" s="107">
        <f>IF(A16stdlife="n/a","n/a",IF(AS$3&gt;(A16stdlife+$E281),('PTRM input'!$O$158*(1+rvanilla09)^0.5)-SUM($O281:AR281),('PTRM input'!$O$158*(1+rvanilla09)^0.5)/A16stdlife))</f>
        <v>0</v>
      </c>
      <c r="AT281" s="107">
        <f>IF(A16stdlife="n/a","n/a",IF(AT$3&gt;(A16stdlife+$E281),('PTRM input'!$O$158*(1+rvanilla09)^0.5)-SUM($O281:AS281),('PTRM input'!$O$158*(1+rvanilla09)^0.5)/A16stdlife))</f>
        <v>0</v>
      </c>
      <c r="AU281" s="107">
        <f>IF(A16stdlife="n/a","n/a",IF(AU$3&gt;(A16stdlife+$E281),('PTRM input'!$O$158*(1+rvanilla09)^0.5)-SUM($O281:AT281),('PTRM input'!$O$158*(1+rvanilla09)^0.5)/A16stdlife))</f>
        <v>0</v>
      </c>
      <c r="AV281" s="107">
        <f>IF(A16stdlife="n/a","n/a",IF(AV$3&gt;(A16stdlife+$E281),('PTRM input'!$O$158*(1+rvanilla09)^0.5)-SUM($O281:AU281),('PTRM input'!$O$158*(1+rvanilla09)^0.5)/A16stdlife))</f>
        <v>0</v>
      </c>
      <c r="AW281" s="107">
        <f>IF(A16stdlife="n/a","n/a",IF(AW$3&gt;(A16stdlife+$E281),('PTRM input'!$O$158*(1+rvanilla09)^0.5)-SUM($O281:AV281),('PTRM input'!$O$158*(1+rvanilla09)^0.5)/A16stdlife))</f>
        <v>0</v>
      </c>
      <c r="AX281" s="107">
        <f>IF(A16stdlife="n/a","n/a",IF(AX$3&gt;(A16stdlife+$E281),('PTRM input'!$O$158*(1+rvanilla09)^0.5)-SUM($O281:AW281),('PTRM input'!$O$158*(1+rvanilla09)^0.5)/A16stdlife))</f>
        <v>0</v>
      </c>
      <c r="AY281" s="107">
        <f>IF(A16stdlife="n/a","n/a",IF(AY$3&gt;(A16stdlife+$E281),('PTRM input'!$O$158*(1+rvanilla09)^0.5)-SUM($O281:AX281),('PTRM input'!$O$158*(1+rvanilla09)^0.5)/A16stdlife))</f>
        <v>0</v>
      </c>
      <c r="AZ281" s="107">
        <f>IF(A16stdlife="n/a","n/a",IF(AZ$3&gt;(A16stdlife+$E281),('PTRM input'!$O$158*(1+rvanilla09)^0.5)-SUM($O281:AY281),('PTRM input'!$O$158*(1+rvanilla09)^0.5)/A16stdlife))</f>
        <v>0</v>
      </c>
      <c r="BA281" s="107">
        <f>IF(A16stdlife="n/a","n/a",IF(BA$3&gt;(A16stdlife+$E281),('PTRM input'!$O$158*(1+rvanilla09)^0.5)-SUM($O281:AZ281),('PTRM input'!$O$158*(1+rvanilla09)^0.5)/A16stdlife))</f>
        <v>0</v>
      </c>
      <c r="BB281" s="107">
        <f>IF(A16stdlife="n/a","n/a",IF(BB$3&gt;(A16stdlife+$E281),('PTRM input'!$O$158*(1+rvanilla09)^0.5)-SUM($O281:BA281),('PTRM input'!$O$158*(1+rvanilla09)^0.5)/A16stdlife))</f>
        <v>0</v>
      </c>
      <c r="BC281" s="107">
        <f>IF(A16stdlife="n/a","n/a",IF(BC$3&gt;(A16stdlife+$E281),('PTRM input'!$O$158*(1+rvanilla09)^0.5)-SUM($O281:BB281),('PTRM input'!$O$158*(1+rvanilla09)^0.5)/A16stdlife))</f>
        <v>0</v>
      </c>
      <c r="BD281" s="107">
        <f>IF(A16stdlife="n/a","n/a",IF(BD$3&gt;(A16stdlife+$E281),('PTRM input'!$O$158*(1+rvanilla09)^0.5)-SUM($O281:BC281),('PTRM input'!$O$158*(1+rvanilla09)^0.5)/A16stdlife))</f>
        <v>0</v>
      </c>
      <c r="BE281" s="107">
        <f>IF(A16stdlife="n/a","n/a",IF(BE$3&gt;(A16stdlife+$E281),('PTRM input'!$O$158*(1+rvanilla09)^0.5)-SUM($O281:BD281),('PTRM input'!$O$158*(1+rvanilla09)^0.5)/A16stdlife))</f>
        <v>0</v>
      </c>
      <c r="BF281" s="107">
        <f>IF(A16stdlife="n/a","n/a",IF(BF$3&gt;(A16stdlife+$E281),('PTRM input'!$O$158*(1+rvanilla09)^0.5)-SUM($O281:BE281),('PTRM input'!$O$158*(1+rvanilla09)^0.5)/A16stdlife))</f>
        <v>0</v>
      </c>
      <c r="BG281" s="107">
        <f>IF(A16stdlife="n/a","n/a",IF(BG$3&gt;(A16stdlife+$E281),('PTRM input'!$O$158*(1+rvanilla09)^0.5)-SUM($O281:BF281),('PTRM input'!$O$158*(1+rvanilla09)^0.5)/A16stdlife))</f>
        <v>0</v>
      </c>
      <c r="BH281" s="107">
        <f>IF(A16stdlife="n/a","n/a",IF(BH$3&gt;(A16stdlife+$E281),('PTRM input'!$O$158*(1+rvanilla09)^0.5)-SUM($O281:BG281),('PTRM input'!$O$158*(1+rvanilla09)^0.5)/A16stdlife))</f>
        <v>0</v>
      </c>
      <c r="BI281" s="107">
        <f>IF(A16stdlife="n/a","n/a",IF(BI$3&gt;(A16stdlife+$E281),('PTRM input'!$O$158*(1+rvanilla09)^0.5)-SUM($O281:BH281),('PTRM input'!$O$158*(1+rvanilla09)^0.5)/A16stdlife))</f>
        <v>0</v>
      </c>
      <c r="BJ281" s="237"/>
      <c r="BK281" s="237"/>
      <c r="BL281" s="237"/>
      <c r="BM281" s="237"/>
    </row>
    <row r="282" spans="1:65" s="190" customFormat="1" hidden="1" outlineLevel="2">
      <c r="A282" s="237"/>
      <c r="B282" s="33"/>
      <c r="C282" s="32"/>
      <c r="D282" s="1618"/>
      <c r="E282" s="170">
        <v>10</v>
      </c>
      <c r="F282" s="35"/>
      <c r="G282" s="184"/>
      <c r="H282" s="186"/>
      <c r="I282" s="186"/>
      <c r="J282" s="186"/>
      <c r="K282" s="186"/>
      <c r="L282" s="186"/>
      <c r="M282" s="186"/>
      <c r="N282" s="186"/>
      <c r="O282" s="186"/>
      <c r="P282" s="185"/>
      <c r="Q282" s="107">
        <f>IF(A16stdlife="n/a","n/a",IF(Q$3&gt;(A16stdlife+$E282),('PTRM input'!$P$158*(1+rvanilla10)^0.5)-SUM($P282:P282),('PTRM input'!$P$158*(1+rvanilla10)^0.5)/A16stdlife))</f>
        <v>0</v>
      </c>
      <c r="R282" s="107">
        <f>IF(A16stdlife="n/a","n/a",IF(R$3&gt;(A16stdlife+$E282),('PTRM input'!$P$158*(1+rvanilla10)^0.5)-SUM($P282:Q282),('PTRM input'!$P$158*(1+rvanilla10)^0.5)/A16stdlife))</f>
        <v>0</v>
      </c>
      <c r="S282" s="107">
        <f>IF(A16stdlife="n/a","n/a",IF(S$3&gt;(A16stdlife+$E282),('PTRM input'!$P$158*(1+rvanilla10)^0.5)-SUM($P282:R282),('PTRM input'!$P$158*(1+rvanilla10)^0.5)/A16stdlife))</f>
        <v>0</v>
      </c>
      <c r="T282" s="107">
        <f>IF(A16stdlife="n/a","n/a",IF(T$3&gt;(A16stdlife+$E282),('PTRM input'!$P$158*(1+rvanilla10)^0.5)-SUM($P282:S282),('PTRM input'!$P$158*(1+rvanilla10)^0.5)/A16stdlife))</f>
        <v>0</v>
      </c>
      <c r="U282" s="107">
        <f>IF(A16stdlife="n/a","n/a",IF(U$3&gt;(A16stdlife+$E282),('PTRM input'!$P$158*(1+rvanilla10)^0.5)-SUM($P282:T282),('PTRM input'!$P$158*(1+rvanilla10)^0.5)/A16stdlife))</f>
        <v>0</v>
      </c>
      <c r="V282" s="107">
        <f>IF(A16stdlife="n/a","n/a",IF(V$3&gt;(A16stdlife+$E282),('PTRM input'!$P$158*(1+rvanilla10)^0.5)-SUM($P282:U282),('PTRM input'!$P$158*(1+rvanilla10)^0.5)/A16stdlife))</f>
        <v>0</v>
      </c>
      <c r="W282" s="107">
        <f>IF(A16stdlife="n/a","n/a",IF(W$3&gt;(A16stdlife+$E282),('PTRM input'!$P$158*(1+rvanilla10)^0.5)-SUM($P282:V282),('PTRM input'!$P$158*(1+rvanilla10)^0.5)/A16stdlife))</f>
        <v>0</v>
      </c>
      <c r="X282" s="107">
        <f>IF(A16stdlife="n/a","n/a",IF(X$3&gt;(A16stdlife+$E282),('PTRM input'!$P$158*(1+rvanilla10)^0.5)-SUM($P282:W282),('PTRM input'!$P$158*(1+rvanilla10)^0.5)/A16stdlife))</f>
        <v>0</v>
      </c>
      <c r="Y282" s="107">
        <f>IF(A16stdlife="n/a","n/a",IF(Y$3&gt;(A16stdlife+$E282),('PTRM input'!$P$158*(1+rvanilla10)^0.5)-SUM($P282:X282),('PTRM input'!$P$158*(1+rvanilla10)^0.5)/A16stdlife))</f>
        <v>0</v>
      </c>
      <c r="Z282" s="107">
        <f>IF(A16stdlife="n/a","n/a",IF(Z$3&gt;(A16stdlife+$E282),('PTRM input'!$P$158*(1+rvanilla10)^0.5)-SUM($P282:Y282),('PTRM input'!$P$158*(1+rvanilla10)^0.5)/A16stdlife))</f>
        <v>0</v>
      </c>
      <c r="AA282" s="107">
        <f>IF(A16stdlife="n/a","n/a",IF(AA$3&gt;(A16stdlife+$E282),('PTRM input'!$P$158*(1+rvanilla10)^0.5)-SUM($P282:Z282),('PTRM input'!$P$158*(1+rvanilla10)^0.5)/A16stdlife))</f>
        <v>0</v>
      </c>
      <c r="AB282" s="107">
        <f>IF(A16stdlife="n/a","n/a",IF(AB$3&gt;(A16stdlife+$E282),('PTRM input'!$P$158*(1+rvanilla10)^0.5)-SUM($P282:AA282),('PTRM input'!$P$158*(1+rvanilla10)^0.5)/A16stdlife))</f>
        <v>0</v>
      </c>
      <c r="AC282" s="107">
        <f>IF(A16stdlife="n/a","n/a",IF(AC$3&gt;(A16stdlife+$E282),('PTRM input'!$P$158*(1+rvanilla10)^0.5)-SUM($P282:AB282),('PTRM input'!$P$158*(1+rvanilla10)^0.5)/A16stdlife))</f>
        <v>0</v>
      </c>
      <c r="AD282" s="107">
        <f>IF(A16stdlife="n/a","n/a",IF(AD$3&gt;(A16stdlife+$E282),('PTRM input'!$P$158*(1+rvanilla10)^0.5)-SUM($P282:AC282),('PTRM input'!$P$158*(1+rvanilla10)^0.5)/A16stdlife))</f>
        <v>0</v>
      </c>
      <c r="AE282" s="107">
        <f>IF(A16stdlife="n/a","n/a",IF(AE$3&gt;(A16stdlife+$E282),('PTRM input'!$P$158*(1+rvanilla10)^0.5)-SUM($P282:AD282),('PTRM input'!$P$158*(1+rvanilla10)^0.5)/A16stdlife))</f>
        <v>0</v>
      </c>
      <c r="AF282" s="107">
        <f>IF(A16stdlife="n/a","n/a",IF(AF$3&gt;(A16stdlife+$E282),('PTRM input'!$P$158*(1+rvanilla10)^0.5)-SUM($P282:AE282),('PTRM input'!$P$158*(1+rvanilla10)^0.5)/A16stdlife))</f>
        <v>0</v>
      </c>
      <c r="AG282" s="107">
        <f>IF(A16stdlife="n/a","n/a",IF(AG$3&gt;(A16stdlife+$E282),('PTRM input'!$P$158*(1+rvanilla10)^0.5)-SUM($P282:AF282),('PTRM input'!$P$158*(1+rvanilla10)^0.5)/A16stdlife))</f>
        <v>0</v>
      </c>
      <c r="AH282" s="107">
        <f>IF(A16stdlife="n/a","n/a",IF(AH$3&gt;(A16stdlife+$E282),('PTRM input'!$P$158*(1+rvanilla10)^0.5)-SUM($P282:AG282),('PTRM input'!$P$158*(1+rvanilla10)^0.5)/A16stdlife))</f>
        <v>0</v>
      </c>
      <c r="AI282" s="107">
        <f>IF(A16stdlife="n/a","n/a",IF(AI$3&gt;(A16stdlife+$E282),('PTRM input'!$P$158*(1+rvanilla10)^0.5)-SUM($P282:AH282),('PTRM input'!$P$158*(1+rvanilla10)^0.5)/A16stdlife))</f>
        <v>0</v>
      </c>
      <c r="AJ282" s="107">
        <f>IF(A16stdlife="n/a","n/a",IF(AJ$3&gt;(A16stdlife+$E282),('PTRM input'!$P$158*(1+rvanilla10)^0.5)-SUM($P282:AI282),('PTRM input'!$P$158*(1+rvanilla10)^0.5)/A16stdlife))</f>
        <v>0</v>
      </c>
      <c r="AK282" s="107">
        <f>IF(A16stdlife="n/a","n/a",IF(AK$3&gt;(A16stdlife+$E282),('PTRM input'!$P$158*(1+rvanilla10)^0.5)-SUM($P282:AJ282),('PTRM input'!$P$158*(1+rvanilla10)^0.5)/A16stdlife))</f>
        <v>0</v>
      </c>
      <c r="AL282" s="107">
        <f>IF(A16stdlife="n/a","n/a",IF(AL$3&gt;(A16stdlife+$E282),('PTRM input'!$P$158*(1+rvanilla10)^0.5)-SUM($P282:AK282),('PTRM input'!$P$158*(1+rvanilla10)^0.5)/A16stdlife))</f>
        <v>0</v>
      </c>
      <c r="AM282" s="107">
        <f>IF(A16stdlife="n/a","n/a",IF(AM$3&gt;(A16stdlife+$E282),('PTRM input'!$P$158*(1+rvanilla10)^0.5)-SUM($P282:AL282),('PTRM input'!$P$158*(1+rvanilla10)^0.5)/A16stdlife))</f>
        <v>0</v>
      </c>
      <c r="AN282" s="107">
        <f>IF(A16stdlife="n/a","n/a",IF(AN$3&gt;(A16stdlife+$E282),('PTRM input'!$P$158*(1+rvanilla10)^0.5)-SUM($P282:AM282),('PTRM input'!$P$158*(1+rvanilla10)^0.5)/A16stdlife))</f>
        <v>0</v>
      </c>
      <c r="AO282" s="107">
        <f>IF(A16stdlife="n/a","n/a",IF(AO$3&gt;(A16stdlife+$E282),('PTRM input'!$P$158*(1+rvanilla10)^0.5)-SUM($P282:AN282),('PTRM input'!$P$158*(1+rvanilla10)^0.5)/A16stdlife))</f>
        <v>0</v>
      </c>
      <c r="AP282" s="107">
        <f>IF(A16stdlife="n/a","n/a",IF(AP$3&gt;(A16stdlife+$E282),('PTRM input'!$P$158*(1+rvanilla10)^0.5)-SUM($P282:AO282),('PTRM input'!$P$158*(1+rvanilla10)^0.5)/A16stdlife))</f>
        <v>0</v>
      </c>
      <c r="AQ282" s="107">
        <f>IF(A16stdlife="n/a","n/a",IF(AQ$3&gt;(A16stdlife+$E282),('PTRM input'!$P$158*(1+rvanilla10)^0.5)-SUM($P282:AP282),('PTRM input'!$P$158*(1+rvanilla10)^0.5)/A16stdlife))</f>
        <v>0</v>
      </c>
      <c r="AR282" s="107">
        <f>IF(A16stdlife="n/a","n/a",IF(AR$3&gt;(A16stdlife+$E282),('PTRM input'!$P$158*(1+rvanilla10)^0.5)-SUM($P282:AQ282),('PTRM input'!$P$158*(1+rvanilla10)^0.5)/A16stdlife))</f>
        <v>0</v>
      </c>
      <c r="AS282" s="107">
        <f>IF(A16stdlife="n/a","n/a",IF(AS$3&gt;(A16stdlife+$E282),('PTRM input'!$P$158*(1+rvanilla10)^0.5)-SUM($P282:AR282),('PTRM input'!$P$158*(1+rvanilla10)^0.5)/A16stdlife))</f>
        <v>0</v>
      </c>
      <c r="AT282" s="107">
        <f>IF(A16stdlife="n/a","n/a",IF(AT$3&gt;(A16stdlife+$E282),('PTRM input'!$P$158*(1+rvanilla10)^0.5)-SUM($P282:AS282),('PTRM input'!$P$158*(1+rvanilla10)^0.5)/A16stdlife))</f>
        <v>0</v>
      </c>
      <c r="AU282" s="107">
        <f>IF(A16stdlife="n/a","n/a",IF(AU$3&gt;(A16stdlife+$E282),('PTRM input'!$P$158*(1+rvanilla10)^0.5)-SUM($P282:AT282),('PTRM input'!$P$158*(1+rvanilla10)^0.5)/A16stdlife))</f>
        <v>0</v>
      </c>
      <c r="AV282" s="107">
        <f>IF(A16stdlife="n/a","n/a",IF(AV$3&gt;(A16stdlife+$E282),('PTRM input'!$P$158*(1+rvanilla10)^0.5)-SUM($P282:AU282),('PTRM input'!$P$158*(1+rvanilla10)^0.5)/A16stdlife))</f>
        <v>0</v>
      </c>
      <c r="AW282" s="107">
        <f>IF(A16stdlife="n/a","n/a",IF(AW$3&gt;(A16stdlife+$E282),('PTRM input'!$P$158*(1+rvanilla10)^0.5)-SUM($P282:AV282),('PTRM input'!$P$158*(1+rvanilla10)^0.5)/A16stdlife))</f>
        <v>0</v>
      </c>
      <c r="AX282" s="107">
        <f>IF(A16stdlife="n/a","n/a",IF(AX$3&gt;(A16stdlife+$E282),('PTRM input'!$P$158*(1+rvanilla10)^0.5)-SUM($P282:AW282),('PTRM input'!$P$158*(1+rvanilla10)^0.5)/A16stdlife))</f>
        <v>0</v>
      </c>
      <c r="AY282" s="107">
        <f>IF(A16stdlife="n/a","n/a",IF(AY$3&gt;(A16stdlife+$E282),('PTRM input'!$P$158*(1+rvanilla10)^0.5)-SUM($P282:AX282),('PTRM input'!$P$158*(1+rvanilla10)^0.5)/A16stdlife))</f>
        <v>0</v>
      </c>
      <c r="AZ282" s="107">
        <f>IF(A16stdlife="n/a","n/a",IF(AZ$3&gt;(A16stdlife+$E282),('PTRM input'!$P$158*(1+rvanilla10)^0.5)-SUM($P282:AY282),('PTRM input'!$P$158*(1+rvanilla10)^0.5)/A16stdlife))</f>
        <v>0</v>
      </c>
      <c r="BA282" s="107">
        <f>IF(A16stdlife="n/a","n/a",IF(BA$3&gt;(A16stdlife+$E282),('PTRM input'!$P$158*(1+rvanilla10)^0.5)-SUM($P282:AZ282),('PTRM input'!$P$158*(1+rvanilla10)^0.5)/A16stdlife))</f>
        <v>0</v>
      </c>
      <c r="BB282" s="107">
        <f>IF(A16stdlife="n/a","n/a",IF(BB$3&gt;(A16stdlife+$E282),('PTRM input'!$P$158*(1+rvanilla10)^0.5)-SUM($P282:BA282),('PTRM input'!$P$158*(1+rvanilla10)^0.5)/A16stdlife))</f>
        <v>0</v>
      </c>
      <c r="BC282" s="107">
        <f>IF(A16stdlife="n/a","n/a",IF(BC$3&gt;(A16stdlife+$E282),('PTRM input'!$P$158*(1+rvanilla10)^0.5)-SUM($P282:BB282),('PTRM input'!$P$158*(1+rvanilla10)^0.5)/A16stdlife))</f>
        <v>0</v>
      </c>
      <c r="BD282" s="107">
        <f>IF(A16stdlife="n/a","n/a",IF(BD$3&gt;(A16stdlife+$E282),('PTRM input'!$P$158*(1+rvanilla10)^0.5)-SUM($P282:BC282),('PTRM input'!$P$158*(1+rvanilla10)^0.5)/A16stdlife))</f>
        <v>0</v>
      </c>
      <c r="BE282" s="107">
        <f>IF(A16stdlife="n/a","n/a",IF(BE$3&gt;(A16stdlife+$E282),('PTRM input'!$P$158*(1+rvanilla10)^0.5)-SUM($P282:BD282),('PTRM input'!$P$158*(1+rvanilla10)^0.5)/A16stdlife))</f>
        <v>0</v>
      </c>
      <c r="BF282" s="107">
        <f>IF(A16stdlife="n/a","n/a",IF(BF$3&gt;(A16stdlife+$E282),('PTRM input'!$P$158*(1+rvanilla10)^0.5)-SUM($P282:BE282),('PTRM input'!$P$158*(1+rvanilla10)^0.5)/A16stdlife))</f>
        <v>0</v>
      </c>
      <c r="BG282" s="107">
        <f>IF(A16stdlife="n/a","n/a",IF(BG$3&gt;(A16stdlife+$E282),('PTRM input'!$P$158*(1+rvanilla10)^0.5)-SUM($P282:BF282),('PTRM input'!$P$158*(1+rvanilla10)^0.5)/A16stdlife))</f>
        <v>0</v>
      </c>
      <c r="BH282" s="107">
        <f>IF(A16stdlife="n/a","n/a",IF(BH$3&gt;(A16stdlife+$E282),('PTRM input'!$P$158*(1+rvanilla10)^0.5)-SUM($P282:BG282),('PTRM input'!$P$158*(1+rvanilla10)^0.5)/A16stdlife))</f>
        <v>0</v>
      </c>
      <c r="BI282" s="107">
        <f>IF(A16stdlife="n/a","n/a",IF(BI$3&gt;(A16stdlife+$E282),('PTRM input'!$P$158*(1+rvanilla10)^0.5)-SUM($P282:BH282),('PTRM input'!$P$158*(1+rvanilla10)^0.5)/A16stdlife))</f>
        <v>0</v>
      </c>
      <c r="BJ282" s="237"/>
      <c r="BK282" s="237"/>
      <c r="BL282" s="237"/>
      <c r="BM282" s="237"/>
    </row>
    <row r="283" spans="1:65" s="190" customFormat="1" hidden="1" outlineLevel="1">
      <c r="A283" s="237"/>
      <c r="B283" s="18"/>
      <c r="C283" s="33">
        <f>Asset16</f>
        <v>0</v>
      </c>
      <c r="D283" s="18"/>
      <c r="E283" s="18"/>
      <c r="F283" s="31"/>
      <c r="G283" s="104">
        <f t="shared" ref="G283:AL283" si="67">SUM(G271:G282)</f>
        <v>0</v>
      </c>
      <c r="H283" s="104">
        <f t="shared" si="67"/>
        <v>0</v>
      </c>
      <c r="I283" s="104">
        <f t="shared" si="67"/>
        <v>0</v>
      </c>
      <c r="J283" s="104">
        <f t="shared" si="67"/>
        <v>0</v>
      </c>
      <c r="K283" s="104">
        <f t="shared" si="67"/>
        <v>0</v>
      </c>
      <c r="L283" s="104">
        <f t="shared" si="67"/>
        <v>0</v>
      </c>
      <c r="M283" s="104">
        <f t="shared" si="67"/>
        <v>0</v>
      </c>
      <c r="N283" s="104">
        <f t="shared" si="67"/>
        <v>0</v>
      </c>
      <c r="O283" s="104">
        <f t="shared" si="67"/>
        <v>0</v>
      </c>
      <c r="P283" s="104">
        <f t="shared" si="67"/>
        <v>0</v>
      </c>
      <c r="Q283" s="104">
        <f t="shared" si="67"/>
        <v>0</v>
      </c>
      <c r="R283" s="104">
        <f t="shared" si="67"/>
        <v>0</v>
      </c>
      <c r="S283" s="104">
        <f t="shared" si="67"/>
        <v>0</v>
      </c>
      <c r="T283" s="104">
        <f t="shared" si="67"/>
        <v>0</v>
      </c>
      <c r="U283" s="104">
        <f t="shared" si="67"/>
        <v>0</v>
      </c>
      <c r="V283" s="104">
        <f t="shared" si="67"/>
        <v>0</v>
      </c>
      <c r="W283" s="104">
        <f t="shared" si="67"/>
        <v>0</v>
      </c>
      <c r="X283" s="104">
        <f t="shared" si="67"/>
        <v>0</v>
      </c>
      <c r="Y283" s="104">
        <f t="shared" si="67"/>
        <v>0</v>
      </c>
      <c r="Z283" s="104">
        <f t="shared" si="67"/>
        <v>0</v>
      </c>
      <c r="AA283" s="104">
        <f t="shared" si="67"/>
        <v>0</v>
      </c>
      <c r="AB283" s="104">
        <f t="shared" si="67"/>
        <v>0</v>
      </c>
      <c r="AC283" s="104">
        <f t="shared" si="67"/>
        <v>0</v>
      </c>
      <c r="AD283" s="104">
        <f t="shared" si="67"/>
        <v>0</v>
      </c>
      <c r="AE283" s="104">
        <f t="shared" si="67"/>
        <v>0</v>
      </c>
      <c r="AF283" s="104">
        <f t="shared" si="67"/>
        <v>0</v>
      </c>
      <c r="AG283" s="104">
        <f t="shared" si="67"/>
        <v>0</v>
      </c>
      <c r="AH283" s="104">
        <f t="shared" si="67"/>
        <v>0</v>
      </c>
      <c r="AI283" s="104">
        <f t="shared" si="67"/>
        <v>0</v>
      </c>
      <c r="AJ283" s="104">
        <f t="shared" si="67"/>
        <v>0</v>
      </c>
      <c r="AK283" s="104">
        <f t="shared" si="67"/>
        <v>0</v>
      </c>
      <c r="AL283" s="104">
        <f t="shared" si="67"/>
        <v>0</v>
      </c>
      <c r="AM283" s="104">
        <f t="shared" ref="AM283:BI283" si="68">SUM(AM271:AM282)</f>
        <v>0</v>
      </c>
      <c r="AN283" s="104">
        <f t="shared" si="68"/>
        <v>0</v>
      </c>
      <c r="AO283" s="104">
        <f t="shared" si="68"/>
        <v>0</v>
      </c>
      <c r="AP283" s="104">
        <f t="shared" si="68"/>
        <v>0</v>
      </c>
      <c r="AQ283" s="104">
        <f t="shared" si="68"/>
        <v>0</v>
      </c>
      <c r="AR283" s="104">
        <f t="shared" si="68"/>
        <v>0</v>
      </c>
      <c r="AS283" s="104">
        <f t="shared" si="68"/>
        <v>0</v>
      </c>
      <c r="AT283" s="104">
        <f t="shared" si="68"/>
        <v>0</v>
      </c>
      <c r="AU283" s="104">
        <f t="shared" si="68"/>
        <v>0</v>
      </c>
      <c r="AV283" s="104">
        <f t="shared" si="68"/>
        <v>0</v>
      </c>
      <c r="AW283" s="104">
        <f t="shared" si="68"/>
        <v>0</v>
      </c>
      <c r="AX283" s="104">
        <f t="shared" si="68"/>
        <v>0</v>
      </c>
      <c r="AY283" s="104">
        <f t="shared" si="68"/>
        <v>0</v>
      </c>
      <c r="AZ283" s="104">
        <f t="shared" si="68"/>
        <v>0</v>
      </c>
      <c r="BA283" s="104">
        <f t="shared" si="68"/>
        <v>0</v>
      </c>
      <c r="BB283" s="104">
        <f t="shared" si="68"/>
        <v>0</v>
      </c>
      <c r="BC283" s="104">
        <f t="shared" si="68"/>
        <v>0</v>
      </c>
      <c r="BD283" s="104">
        <f t="shared" si="68"/>
        <v>0</v>
      </c>
      <c r="BE283" s="104">
        <f t="shared" si="68"/>
        <v>0</v>
      </c>
      <c r="BF283" s="104">
        <f t="shared" si="68"/>
        <v>0</v>
      </c>
      <c r="BG283" s="104">
        <f t="shared" si="68"/>
        <v>0</v>
      </c>
      <c r="BH283" s="104">
        <f t="shared" si="68"/>
        <v>0</v>
      </c>
      <c r="BI283" s="104">
        <f t="shared" si="68"/>
        <v>0</v>
      </c>
      <c r="BJ283" s="237"/>
      <c r="BK283" s="237"/>
      <c r="BL283" s="237"/>
      <c r="BM283" s="237"/>
    </row>
    <row r="284" spans="1:65" s="190" customFormat="1" ht="12.75" hidden="1" customHeight="1" outlineLevel="2">
      <c r="A284" s="237"/>
      <c r="B284" s="37">
        <f>C296</f>
        <v>0</v>
      </c>
      <c r="C284" s="38"/>
      <c r="D284" s="39" t="s">
        <v>58</v>
      </c>
      <c r="E284" s="38"/>
      <c r="F284" s="40"/>
      <c r="G284" s="106">
        <f>IF(G$3&gt;A17remlife,A17value-SUM($F284:F284),IF(A17remlife="N/A","n/a",A17value/A17remlife))</f>
        <v>0</v>
      </c>
      <c r="H284" s="106">
        <f>IF(H$3&gt;A17remlife,A17value-SUM($F284:G284),IF(A17remlife="N/A","n/a",A17value/A17remlife))</f>
        <v>0</v>
      </c>
      <c r="I284" s="106">
        <f>IF(I$3&gt;A17remlife,A17value-SUM($F284:H284),IF(A17remlife="N/A","n/a",A17value/A17remlife))</f>
        <v>0</v>
      </c>
      <c r="J284" s="106">
        <f>IF(J$3&gt;A17remlife,A17value-SUM($F284:I284),IF(A17remlife="N/A","n/a",A17value/A17remlife))</f>
        <v>0</v>
      </c>
      <c r="K284" s="106">
        <f>IF(K$3&gt;A17remlife,A17value-SUM($F284:J284),IF(A17remlife="N/A","n/a",A17value/A17remlife))</f>
        <v>0</v>
      </c>
      <c r="L284" s="106">
        <f>IF(L$3&gt;A17remlife,A17value-SUM($F284:K284),IF(A17remlife="N/A","n/a",A17value/A17remlife))</f>
        <v>0</v>
      </c>
      <c r="M284" s="106">
        <f>IF(M$3&gt;A17remlife,A17value-SUM($F284:L284),IF(A17remlife="N/A","n/a",A17value/A17remlife))</f>
        <v>0</v>
      </c>
      <c r="N284" s="106">
        <f>IF(N$3&gt;A17remlife,A17value-SUM($F284:M284),IF(A17remlife="N/A","n/a",A17value/A17remlife))</f>
        <v>0</v>
      </c>
      <c r="O284" s="106">
        <f>IF(O$3&gt;A17remlife,A17value-SUM($F284:N284),IF(A17remlife="N/A","n/a",A17value/A17remlife))</f>
        <v>0</v>
      </c>
      <c r="P284" s="106">
        <f>IF(P$3&gt;A17remlife,A17value-SUM($F284:O284),IF(A17remlife="N/A","n/a",A17value/A17remlife))</f>
        <v>0</v>
      </c>
      <c r="Q284" s="106">
        <f>IF(Q$3&gt;A17remlife,A17value-SUM($F284:P284),IF(A17remlife="N/A","n/a",A17value/A17remlife))</f>
        <v>0</v>
      </c>
      <c r="R284" s="106">
        <f>IF(R$3&gt;A17remlife,A17value-SUM($F284:Q284),IF(A17remlife="N/A","n/a",A17value/A17remlife))</f>
        <v>0</v>
      </c>
      <c r="S284" s="106">
        <f>IF(S$3&gt;A17remlife,A17value-SUM($F284:R284),IF(A17remlife="N/A","n/a",A17value/A17remlife))</f>
        <v>0</v>
      </c>
      <c r="T284" s="106">
        <f>IF(T$3&gt;A17remlife,A17value-SUM($F284:S284),IF(A17remlife="N/A","n/a",A17value/A17remlife))</f>
        <v>0</v>
      </c>
      <c r="U284" s="106">
        <f>IF(U$3&gt;A17remlife,A17value-SUM($F284:T284),IF(A17remlife="N/A","n/a",A17value/A17remlife))</f>
        <v>0</v>
      </c>
      <c r="V284" s="106">
        <f>IF(V$3&gt;A17remlife,A17value-SUM($F284:U284),IF(A17remlife="N/A","n/a",A17value/A17remlife))</f>
        <v>0</v>
      </c>
      <c r="W284" s="106">
        <f>IF(W$3&gt;A17remlife,A17value-SUM($F284:V284),IF(A17remlife="N/A","n/a",A17value/A17remlife))</f>
        <v>0</v>
      </c>
      <c r="X284" s="106">
        <f>IF(X$3&gt;A17remlife,A17value-SUM($F284:W284),IF(A17remlife="N/A","n/a",A17value/A17remlife))</f>
        <v>0</v>
      </c>
      <c r="Y284" s="106">
        <f>IF(Y$3&gt;A17remlife,A17value-SUM($F284:X284),IF(A17remlife="N/A","n/a",A17value/A17remlife))</f>
        <v>0</v>
      </c>
      <c r="Z284" s="106">
        <f>IF(Z$3&gt;A17remlife,A17value-SUM($F284:Y284),IF(A17remlife="N/A","n/a",A17value/A17remlife))</f>
        <v>0</v>
      </c>
      <c r="AA284" s="106">
        <f>IF(AA$3&gt;A17remlife,A17value-SUM($F284:Z284),IF(A17remlife="N/A","n/a",A17value/A17remlife))</f>
        <v>0</v>
      </c>
      <c r="AB284" s="106">
        <f>IF(AB$3&gt;A17remlife,A17value-SUM($F284:AA284),IF(A17remlife="N/A","n/a",A17value/A17remlife))</f>
        <v>0</v>
      </c>
      <c r="AC284" s="106">
        <f>IF(AC$3&gt;A17remlife,A17value-SUM($F284:AB284),IF(A17remlife="N/A","n/a",A17value/A17remlife))</f>
        <v>0</v>
      </c>
      <c r="AD284" s="106">
        <f>IF(AD$3&gt;A17remlife,A17value-SUM($F284:AC284),IF(A17remlife="N/A","n/a",A17value/A17remlife))</f>
        <v>0</v>
      </c>
      <c r="AE284" s="106">
        <f>IF(AE$3&gt;A17remlife,A17value-SUM($F284:AD284),IF(A17remlife="N/A","n/a",A17value/A17remlife))</f>
        <v>0</v>
      </c>
      <c r="AF284" s="106">
        <f>IF(AF$3&gt;A17remlife,A17value-SUM($F284:AE284),IF(A17remlife="N/A","n/a",A17value/A17remlife))</f>
        <v>0</v>
      </c>
      <c r="AG284" s="106">
        <f>IF(AG$3&gt;A17remlife,A17value-SUM($F284:AF284),IF(A17remlife="N/A","n/a",A17value/A17remlife))</f>
        <v>0</v>
      </c>
      <c r="AH284" s="106">
        <f>IF(AH$3&gt;A17remlife,A17value-SUM($F284:AG284),IF(A17remlife="N/A","n/a",A17value/A17remlife))</f>
        <v>0</v>
      </c>
      <c r="AI284" s="106">
        <f>IF(AI$3&gt;A17remlife,A17value-SUM($F284:AH284),IF(A17remlife="N/A","n/a",A17value/A17remlife))</f>
        <v>0</v>
      </c>
      <c r="AJ284" s="106">
        <f>IF(AJ$3&gt;A17remlife,A17value-SUM($F284:AI284),IF(A17remlife="N/A","n/a",A17value/A17remlife))</f>
        <v>0</v>
      </c>
      <c r="AK284" s="106">
        <f>IF(AK$3&gt;A17remlife,A17value-SUM($F284:AJ284),IF(A17remlife="N/A","n/a",A17value/A17remlife))</f>
        <v>0</v>
      </c>
      <c r="AL284" s="106">
        <f>IF(AL$3&gt;A17remlife,A17value-SUM($F284:AK284),IF(A17remlife="N/A","n/a",A17value/A17remlife))</f>
        <v>0</v>
      </c>
      <c r="AM284" s="106">
        <f>IF(AM$3&gt;A17remlife,A17value-SUM($F284:AL284),IF(A17remlife="N/A","n/a",A17value/A17remlife))</f>
        <v>0</v>
      </c>
      <c r="AN284" s="106">
        <f>IF(AN$3&gt;A17remlife,A17value-SUM($F284:AM284),IF(A17remlife="N/A","n/a",A17value/A17remlife))</f>
        <v>0</v>
      </c>
      <c r="AO284" s="106">
        <f>IF(AO$3&gt;A17remlife,A17value-SUM($F284:AN284),IF(A17remlife="N/A","n/a",A17value/A17remlife))</f>
        <v>0</v>
      </c>
      <c r="AP284" s="106">
        <f>IF(AP$3&gt;A17remlife,A17value-SUM($F284:AO284),IF(A17remlife="N/A","n/a",A17value/A17remlife))</f>
        <v>0</v>
      </c>
      <c r="AQ284" s="106">
        <f>IF(AQ$3&gt;A17remlife,A17value-SUM($F284:AP284),IF(A17remlife="N/A","n/a",A17value/A17remlife))</f>
        <v>0</v>
      </c>
      <c r="AR284" s="106">
        <f>IF(AR$3&gt;A17remlife,A17value-SUM($F284:AQ284),IF(A17remlife="N/A","n/a",A17value/A17remlife))</f>
        <v>0</v>
      </c>
      <c r="AS284" s="106">
        <f>IF(AS$3&gt;A17remlife,A17value-SUM($F284:AR284),IF(A17remlife="N/A","n/a",A17value/A17remlife))</f>
        <v>0</v>
      </c>
      <c r="AT284" s="106">
        <f>IF(AT$3&gt;A17remlife,A17value-SUM($F284:AS284),IF(A17remlife="N/A","n/a",A17value/A17remlife))</f>
        <v>0</v>
      </c>
      <c r="AU284" s="106">
        <f>IF(AU$3&gt;A17remlife,A17value-SUM($F284:AT284),IF(A17remlife="N/A","n/a",A17value/A17remlife))</f>
        <v>0</v>
      </c>
      <c r="AV284" s="106">
        <f>IF(AV$3&gt;A17remlife,A17value-SUM($F284:AU284),IF(A17remlife="N/A","n/a",A17value/A17remlife))</f>
        <v>0</v>
      </c>
      <c r="AW284" s="106">
        <f>IF(AW$3&gt;A17remlife,A17value-SUM($F284:AV284),IF(A17remlife="N/A","n/a",A17value/A17remlife))</f>
        <v>0</v>
      </c>
      <c r="AX284" s="106">
        <f>IF(AX$3&gt;A17remlife,A17value-SUM($F284:AW284),IF(A17remlife="N/A","n/a",A17value/A17remlife))</f>
        <v>0</v>
      </c>
      <c r="AY284" s="106">
        <f>IF(AY$3&gt;A17remlife,A17value-SUM($F284:AX284),IF(A17remlife="N/A","n/a",A17value/A17remlife))</f>
        <v>0</v>
      </c>
      <c r="AZ284" s="106">
        <f>IF(AZ$3&gt;A17remlife,A17value-SUM($F284:AY284),IF(A17remlife="N/A","n/a",A17value/A17remlife))</f>
        <v>0</v>
      </c>
      <c r="BA284" s="106">
        <f>IF(BA$3&gt;A17remlife,A17value-SUM($F284:AZ284),IF(A17remlife="N/A","n/a",A17value/A17remlife))</f>
        <v>0</v>
      </c>
      <c r="BB284" s="106">
        <f>IF(BB$3&gt;A17remlife,A17value-SUM($F284:BA284),IF(A17remlife="N/A","n/a",A17value/A17remlife))</f>
        <v>0</v>
      </c>
      <c r="BC284" s="106">
        <f>IF(BC$3&gt;A17remlife,A17value-SUM($F284:BB284),IF(A17remlife="N/A","n/a",A17value/A17remlife))</f>
        <v>0</v>
      </c>
      <c r="BD284" s="106">
        <f>IF(BD$3&gt;A17remlife,A17value-SUM($F284:BC284),IF(A17remlife="N/A","n/a",A17value/A17remlife))</f>
        <v>0</v>
      </c>
      <c r="BE284" s="106">
        <f>IF(BE$3&gt;A17remlife,A17value-SUM($F284:BD284),IF(A17remlife="N/A","n/a",A17value/A17remlife))</f>
        <v>0</v>
      </c>
      <c r="BF284" s="106">
        <f>IF(BF$3&gt;A17remlife,A17value-SUM($F284:BE284),IF(A17remlife="N/A","n/a",A17value/A17remlife))</f>
        <v>0</v>
      </c>
      <c r="BG284" s="106">
        <f>IF(BG$3&gt;A17remlife,A17value-SUM($F284:BF284),IF(A17remlife="N/A","n/a",A17value/A17remlife))</f>
        <v>0</v>
      </c>
      <c r="BH284" s="106">
        <f>IF(BH$3&gt;A17remlife,A17value-SUM($F284:BG284),IF(A17remlife="N/A","n/a",A17value/A17remlife))</f>
        <v>0</v>
      </c>
      <c r="BI284" s="106">
        <f>IF(BI$3&gt;A17remlife,A17value-SUM($F284:BH284),IF(A17remlife="N/A","n/a",A17value/A17remlife))</f>
        <v>0</v>
      </c>
      <c r="BJ284" s="237"/>
      <c r="BK284" s="237"/>
      <c r="BL284" s="237"/>
      <c r="BM284" s="237"/>
    </row>
    <row r="285" spans="1:65" s="190" customFormat="1" ht="12.75" hidden="1" customHeight="1" outlineLevel="2">
      <c r="A285" s="237"/>
      <c r="B285" s="33"/>
      <c r="C285" s="32"/>
      <c r="D285" s="1618" t="s">
        <v>357</v>
      </c>
      <c r="E285" s="169">
        <v>0</v>
      </c>
      <c r="F285" s="35"/>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c r="BB285" s="107"/>
      <c r="BC285" s="107"/>
      <c r="BD285" s="107"/>
      <c r="BE285" s="107"/>
      <c r="BF285" s="107"/>
      <c r="BG285" s="107"/>
      <c r="BH285" s="107"/>
      <c r="BI285" s="107"/>
      <c r="BJ285" s="237"/>
      <c r="BK285" s="237"/>
      <c r="BL285" s="237"/>
      <c r="BM285" s="237"/>
    </row>
    <row r="286" spans="1:65" s="190" customFormat="1" hidden="1" outlineLevel="2">
      <c r="A286" s="237"/>
      <c r="B286" s="33"/>
      <c r="C286" s="32"/>
      <c r="D286" s="1618"/>
      <c r="E286" s="169">
        <v>1</v>
      </c>
      <c r="F286" s="35"/>
      <c r="G286" s="183"/>
      <c r="H286" s="107">
        <f>IF(A17stdlife="n/a","n/a",IF(H$3&gt;(A17stdlife+$E286),('PTRM input'!$G$159*(1+rvanilla01)^0.5)-SUM($G286:G286),('PTRM input'!$G$159*(1+rvanilla01)^0.5)/A17stdlife))</f>
        <v>0</v>
      </c>
      <c r="I286" s="107">
        <f>IF(A17stdlife="n/a","n/a",IF(I$3&gt;(A17stdlife+$E286),('PTRM input'!$G$159*(1+rvanilla01)^0.5)-SUM($G286:H286),('PTRM input'!$G$159*(1+rvanilla01)^0.5)/A17stdlife))</f>
        <v>0</v>
      </c>
      <c r="J286" s="107">
        <f>IF(A17stdlife="n/a","n/a",IF(J$3&gt;(A17stdlife+$E286),('PTRM input'!$G$159*(1+rvanilla01)^0.5)-SUM($G286:I286),('PTRM input'!$G$159*(1+rvanilla01)^0.5)/A17stdlife))</f>
        <v>0</v>
      </c>
      <c r="K286" s="107">
        <f>IF(A17stdlife="n/a","n/a",IF(K$3&gt;(A17stdlife+$E286),('PTRM input'!$G$159*(1+rvanilla01)^0.5)-SUM($G286:J286),('PTRM input'!$G$159*(1+rvanilla01)^0.5)/A17stdlife))</f>
        <v>0</v>
      </c>
      <c r="L286" s="107">
        <f>IF(A17stdlife="n/a","n/a",IF(L$3&gt;(A17stdlife+$E286),('PTRM input'!$G$159*(1+rvanilla01)^0.5)-SUM($G286:K286),('PTRM input'!$G$159*(1+rvanilla01)^0.5)/A17stdlife))</f>
        <v>0</v>
      </c>
      <c r="M286" s="107">
        <f>IF(A17stdlife="n/a","n/a",IF(M$3&gt;(A17stdlife+$E286),('PTRM input'!$G$159*(1+rvanilla01)^0.5)-SUM($G286:L286),('PTRM input'!$G$159*(1+rvanilla01)^0.5)/A17stdlife))</f>
        <v>0</v>
      </c>
      <c r="N286" s="107">
        <f>IF(A17stdlife="n/a","n/a",IF(N$3&gt;(A17stdlife+$E286),('PTRM input'!$G$159*(1+rvanilla01)^0.5)-SUM($G286:M286),('PTRM input'!$G$159*(1+rvanilla01)^0.5)/A17stdlife))</f>
        <v>0</v>
      </c>
      <c r="O286" s="107">
        <f>IF(A17stdlife="n/a","n/a",IF(O$3&gt;(A17stdlife+$E286),('PTRM input'!$G$159*(1+rvanilla01)^0.5)-SUM($G286:N286),('PTRM input'!$G$159*(1+rvanilla01)^0.5)/A17stdlife))</f>
        <v>0</v>
      </c>
      <c r="P286" s="107">
        <f>IF(A17stdlife="n/a","n/a",IF(P$3&gt;(A17stdlife+$E286),('PTRM input'!$G$159*(1+rvanilla01)^0.5)-SUM($G286:O286),('PTRM input'!$G$159*(1+rvanilla01)^0.5)/A17stdlife))</f>
        <v>0</v>
      </c>
      <c r="Q286" s="107">
        <f>IF(A17stdlife="n/a","n/a",IF(Q$3&gt;(A17stdlife+$E286),('PTRM input'!$G$159*(1+rvanilla01)^0.5)-SUM($G286:P286),('PTRM input'!$G$159*(1+rvanilla01)^0.5)/A17stdlife))</f>
        <v>0</v>
      </c>
      <c r="R286" s="107">
        <f>IF(A17stdlife="n/a","n/a",IF(R$3&gt;(A17stdlife+$E286),('PTRM input'!$G$159*(1+rvanilla01)^0.5)-SUM($G286:Q286),('PTRM input'!$G$159*(1+rvanilla01)^0.5)/A17stdlife))</f>
        <v>0</v>
      </c>
      <c r="S286" s="107">
        <f>IF(A17stdlife="n/a","n/a",IF(S$3&gt;(A17stdlife+$E286),('PTRM input'!$G$159*(1+rvanilla01)^0.5)-SUM($G286:R286),('PTRM input'!$G$159*(1+rvanilla01)^0.5)/A17stdlife))</f>
        <v>0</v>
      </c>
      <c r="T286" s="107">
        <f>IF(A17stdlife="n/a","n/a",IF(T$3&gt;(A17stdlife+$E286),('PTRM input'!$G$159*(1+rvanilla01)^0.5)-SUM($G286:S286),('PTRM input'!$G$159*(1+rvanilla01)^0.5)/A17stdlife))</f>
        <v>0</v>
      </c>
      <c r="U286" s="107">
        <f>IF(A17stdlife="n/a","n/a",IF(U$3&gt;(A17stdlife+$E286),('PTRM input'!$G$159*(1+rvanilla01)^0.5)-SUM($G286:T286),('PTRM input'!$G$159*(1+rvanilla01)^0.5)/A17stdlife))</f>
        <v>0</v>
      </c>
      <c r="V286" s="107">
        <f>IF(A17stdlife="n/a","n/a",IF(V$3&gt;(A17stdlife+$E286),('PTRM input'!$G$159*(1+rvanilla01)^0.5)-SUM($G286:U286),('PTRM input'!$G$159*(1+rvanilla01)^0.5)/A17stdlife))</f>
        <v>0</v>
      </c>
      <c r="W286" s="107">
        <f>IF(A17stdlife="n/a","n/a",IF(W$3&gt;(A17stdlife+$E286),('PTRM input'!$G$159*(1+rvanilla01)^0.5)-SUM($G286:V286),('PTRM input'!$G$159*(1+rvanilla01)^0.5)/A17stdlife))</f>
        <v>0</v>
      </c>
      <c r="X286" s="107">
        <f>IF(A17stdlife="n/a","n/a",IF(X$3&gt;(A17stdlife+$E286),('PTRM input'!$G$159*(1+rvanilla01)^0.5)-SUM($G286:W286),('PTRM input'!$G$159*(1+rvanilla01)^0.5)/A17stdlife))</f>
        <v>0</v>
      </c>
      <c r="Y286" s="107">
        <f>IF(A17stdlife="n/a","n/a",IF(Y$3&gt;(A17stdlife+$E286),('PTRM input'!$G$159*(1+rvanilla01)^0.5)-SUM($G286:X286),('PTRM input'!$G$159*(1+rvanilla01)^0.5)/A17stdlife))</f>
        <v>0</v>
      </c>
      <c r="Z286" s="107">
        <f>IF(A17stdlife="n/a","n/a",IF(Z$3&gt;(A17stdlife+$E286),('PTRM input'!$G$159*(1+rvanilla01)^0.5)-SUM($G286:Y286),('PTRM input'!$G$159*(1+rvanilla01)^0.5)/A17stdlife))</f>
        <v>0</v>
      </c>
      <c r="AA286" s="107">
        <f>IF(A17stdlife="n/a","n/a",IF(AA$3&gt;(A17stdlife+$E286),('PTRM input'!$G$159*(1+rvanilla01)^0.5)-SUM($G286:Z286),('PTRM input'!$G$159*(1+rvanilla01)^0.5)/A17stdlife))</f>
        <v>0</v>
      </c>
      <c r="AB286" s="107">
        <f>IF(A17stdlife="n/a","n/a",IF(AB$3&gt;(A17stdlife+$E286),('PTRM input'!$G$159*(1+rvanilla01)^0.5)-SUM($G286:AA286),('PTRM input'!$G$159*(1+rvanilla01)^0.5)/A17stdlife))</f>
        <v>0</v>
      </c>
      <c r="AC286" s="107">
        <f>IF(A17stdlife="n/a","n/a",IF(AC$3&gt;(A17stdlife+$E286),('PTRM input'!$G$159*(1+rvanilla01)^0.5)-SUM($G286:AB286),('PTRM input'!$G$159*(1+rvanilla01)^0.5)/A17stdlife))</f>
        <v>0</v>
      </c>
      <c r="AD286" s="107">
        <f>IF(A17stdlife="n/a","n/a",IF(AD$3&gt;(A17stdlife+$E286),('PTRM input'!$G$159*(1+rvanilla01)^0.5)-SUM($G286:AC286),('PTRM input'!$G$159*(1+rvanilla01)^0.5)/A17stdlife))</f>
        <v>0</v>
      </c>
      <c r="AE286" s="107">
        <f>IF(A17stdlife="n/a","n/a",IF(AE$3&gt;(A17stdlife+$E286),('PTRM input'!$G$159*(1+rvanilla01)^0.5)-SUM($G286:AD286),('PTRM input'!$G$159*(1+rvanilla01)^0.5)/A17stdlife))</f>
        <v>0</v>
      </c>
      <c r="AF286" s="107">
        <f>IF(A17stdlife="n/a","n/a",IF(AF$3&gt;(A17stdlife+$E286),('PTRM input'!$G$159*(1+rvanilla01)^0.5)-SUM($G286:AE286),('PTRM input'!$G$159*(1+rvanilla01)^0.5)/A17stdlife))</f>
        <v>0</v>
      </c>
      <c r="AG286" s="107">
        <f>IF(A17stdlife="n/a","n/a",IF(AG$3&gt;(A17stdlife+$E286),('PTRM input'!$G$159*(1+rvanilla01)^0.5)-SUM($G286:AF286),('PTRM input'!$G$159*(1+rvanilla01)^0.5)/A17stdlife))</f>
        <v>0</v>
      </c>
      <c r="AH286" s="107">
        <f>IF(A17stdlife="n/a","n/a",IF(AH$3&gt;(A17stdlife+$E286),('PTRM input'!$G$159*(1+rvanilla01)^0.5)-SUM($G286:AG286),('PTRM input'!$G$159*(1+rvanilla01)^0.5)/A17stdlife))</f>
        <v>0</v>
      </c>
      <c r="AI286" s="107">
        <f>IF(A17stdlife="n/a","n/a",IF(AI$3&gt;(A17stdlife+$E286),('PTRM input'!$G$159*(1+rvanilla01)^0.5)-SUM($G286:AH286),('PTRM input'!$G$159*(1+rvanilla01)^0.5)/A17stdlife))</f>
        <v>0</v>
      </c>
      <c r="AJ286" s="107">
        <f>IF(A17stdlife="n/a","n/a",IF(AJ$3&gt;(A17stdlife+$E286),('PTRM input'!$G$159*(1+rvanilla01)^0.5)-SUM($G286:AI286),('PTRM input'!$G$159*(1+rvanilla01)^0.5)/A17stdlife))</f>
        <v>0</v>
      </c>
      <c r="AK286" s="107">
        <f>IF(A17stdlife="n/a","n/a",IF(AK$3&gt;(A17stdlife+$E286),('PTRM input'!$G$159*(1+rvanilla01)^0.5)-SUM($G286:AJ286),('PTRM input'!$G$159*(1+rvanilla01)^0.5)/A17stdlife))</f>
        <v>0</v>
      </c>
      <c r="AL286" s="107">
        <f>IF(A17stdlife="n/a","n/a",IF(AL$3&gt;(A17stdlife+$E286),('PTRM input'!$G$159*(1+rvanilla01)^0.5)-SUM($G286:AK286),('PTRM input'!$G$159*(1+rvanilla01)^0.5)/A17stdlife))</f>
        <v>0</v>
      </c>
      <c r="AM286" s="107">
        <f>IF(A17stdlife="n/a","n/a",IF(AM$3&gt;(A17stdlife+$E286),('PTRM input'!$G$159*(1+rvanilla01)^0.5)-SUM($G286:AL286),('PTRM input'!$G$159*(1+rvanilla01)^0.5)/A17stdlife))</f>
        <v>0</v>
      </c>
      <c r="AN286" s="107">
        <f>IF(A17stdlife="n/a","n/a",IF(AN$3&gt;(A17stdlife+$E286),('PTRM input'!$G$159*(1+rvanilla01)^0.5)-SUM($G286:AM286),('PTRM input'!$G$159*(1+rvanilla01)^0.5)/A17stdlife))</f>
        <v>0</v>
      </c>
      <c r="AO286" s="107">
        <f>IF(A17stdlife="n/a","n/a",IF(AO$3&gt;(A17stdlife+$E286),('PTRM input'!$G$159*(1+rvanilla01)^0.5)-SUM($G286:AN286),('PTRM input'!$G$159*(1+rvanilla01)^0.5)/A17stdlife))</f>
        <v>0</v>
      </c>
      <c r="AP286" s="107">
        <f>IF(A17stdlife="n/a","n/a",IF(AP$3&gt;(A17stdlife+$E286),('PTRM input'!$G$159*(1+rvanilla01)^0.5)-SUM($G286:AO286),('PTRM input'!$G$159*(1+rvanilla01)^0.5)/A17stdlife))</f>
        <v>0</v>
      </c>
      <c r="AQ286" s="107">
        <f>IF(A17stdlife="n/a","n/a",IF(AQ$3&gt;(A17stdlife+$E286),('PTRM input'!$G$159*(1+rvanilla01)^0.5)-SUM($G286:AP286),('PTRM input'!$G$159*(1+rvanilla01)^0.5)/A17stdlife))</f>
        <v>0</v>
      </c>
      <c r="AR286" s="107">
        <f>IF(A17stdlife="n/a","n/a",IF(AR$3&gt;(A17stdlife+$E286),('PTRM input'!$G$159*(1+rvanilla01)^0.5)-SUM($G286:AQ286),('PTRM input'!$G$159*(1+rvanilla01)^0.5)/A17stdlife))</f>
        <v>0</v>
      </c>
      <c r="AS286" s="107">
        <f>IF(A17stdlife="n/a","n/a",IF(AS$3&gt;(A17stdlife+$E286),('PTRM input'!$G$159*(1+rvanilla01)^0.5)-SUM($G286:AR286),('PTRM input'!$G$159*(1+rvanilla01)^0.5)/A17stdlife))</f>
        <v>0</v>
      </c>
      <c r="AT286" s="107">
        <f>IF(A17stdlife="n/a","n/a",IF(AT$3&gt;(A17stdlife+$E286),('PTRM input'!$G$159*(1+rvanilla01)^0.5)-SUM($G286:AS286),('PTRM input'!$G$159*(1+rvanilla01)^0.5)/A17stdlife))</f>
        <v>0</v>
      </c>
      <c r="AU286" s="107">
        <f>IF(A17stdlife="n/a","n/a",IF(AU$3&gt;(A17stdlife+$E286),('PTRM input'!$G$159*(1+rvanilla01)^0.5)-SUM($G286:AT286),('PTRM input'!$G$159*(1+rvanilla01)^0.5)/A17stdlife))</f>
        <v>0</v>
      </c>
      <c r="AV286" s="107">
        <f>IF(A17stdlife="n/a","n/a",IF(AV$3&gt;(A17stdlife+$E286),('PTRM input'!$G$159*(1+rvanilla01)^0.5)-SUM($G286:AU286),('PTRM input'!$G$159*(1+rvanilla01)^0.5)/A17stdlife))</f>
        <v>0</v>
      </c>
      <c r="AW286" s="107">
        <f>IF(A17stdlife="n/a","n/a",IF(AW$3&gt;(A17stdlife+$E286),('PTRM input'!$G$159*(1+rvanilla01)^0.5)-SUM($G286:AV286),('PTRM input'!$G$159*(1+rvanilla01)^0.5)/A17stdlife))</f>
        <v>0</v>
      </c>
      <c r="AX286" s="107">
        <f>IF(A17stdlife="n/a","n/a",IF(AX$3&gt;(A17stdlife+$E286),('PTRM input'!$G$159*(1+rvanilla01)^0.5)-SUM($G286:AW286),('PTRM input'!$G$159*(1+rvanilla01)^0.5)/A17stdlife))</f>
        <v>0</v>
      </c>
      <c r="AY286" s="107">
        <f>IF(A17stdlife="n/a","n/a",IF(AY$3&gt;(A17stdlife+$E286),('PTRM input'!$G$159*(1+rvanilla01)^0.5)-SUM($G286:AX286),('PTRM input'!$G$159*(1+rvanilla01)^0.5)/A17stdlife))</f>
        <v>0</v>
      </c>
      <c r="AZ286" s="107">
        <f>IF(A17stdlife="n/a","n/a",IF(AZ$3&gt;(A17stdlife+$E286),('PTRM input'!$G$159*(1+rvanilla01)^0.5)-SUM($G286:AY286),('PTRM input'!$G$159*(1+rvanilla01)^0.5)/A17stdlife))</f>
        <v>0</v>
      </c>
      <c r="BA286" s="107">
        <f>IF(A17stdlife="n/a","n/a",IF(BA$3&gt;(A17stdlife+$E286),('PTRM input'!$G$159*(1+rvanilla01)^0.5)-SUM($G286:AZ286),('PTRM input'!$G$159*(1+rvanilla01)^0.5)/A17stdlife))</f>
        <v>0</v>
      </c>
      <c r="BB286" s="107">
        <f>IF(A17stdlife="n/a","n/a",IF(BB$3&gt;(A17stdlife+$E286),('PTRM input'!$G$159*(1+rvanilla01)^0.5)-SUM($G286:BA286),('PTRM input'!$G$159*(1+rvanilla01)^0.5)/A17stdlife))</f>
        <v>0</v>
      </c>
      <c r="BC286" s="107">
        <f>IF(A17stdlife="n/a","n/a",IF(BC$3&gt;(A17stdlife+$E286),('PTRM input'!$G$159*(1+rvanilla01)^0.5)-SUM($G286:BB286),('PTRM input'!$G$159*(1+rvanilla01)^0.5)/A17stdlife))</f>
        <v>0</v>
      </c>
      <c r="BD286" s="107">
        <f>IF(A17stdlife="n/a","n/a",IF(BD$3&gt;(A17stdlife+$E286),('PTRM input'!$G$159*(1+rvanilla01)^0.5)-SUM($G286:BC286),('PTRM input'!$G$159*(1+rvanilla01)^0.5)/A17stdlife))</f>
        <v>0</v>
      </c>
      <c r="BE286" s="107">
        <f>IF(A17stdlife="n/a","n/a",IF(BE$3&gt;(A17stdlife+$E286),('PTRM input'!$G$159*(1+rvanilla01)^0.5)-SUM($G286:BD286),('PTRM input'!$G$159*(1+rvanilla01)^0.5)/A17stdlife))</f>
        <v>0</v>
      </c>
      <c r="BF286" s="107">
        <f>IF(A17stdlife="n/a","n/a",IF(BF$3&gt;(A17stdlife+$E286),('PTRM input'!$G$159*(1+rvanilla01)^0.5)-SUM($G286:BE286),('PTRM input'!$G$159*(1+rvanilla01)^0.5)/A17stdlife))</f>
        <v>0</v>
      </c>
      <c r="BG286" s="107">
        <f>IF(A17stdlife="n/a","n/a",IF(BG$3&gt;(A17stdlife+$E286),('PTRM input'!$G$159*(1+rvanilla01)^0.5)-SUM($G286:BF286),('PTRM input'!$G$159*(1+rvanilla01)^0.5)/A17stdlife))</f>
        <v>0</v>
      </c>
      <c r="BH286" s="107">
        <f>IF(A17stdlife="n/a","n/a",IF(BH$3&gt;(A17stdlife+$E286),('PTRM input'!$G$159*(1+rvanilla01)^0.5)-SUM($G286:BG286),('PTRM input'!$G$159*(1+rvanilla01)^0.5)/A17stdlife))</f>
        <v>0</v>
      </c>
      <c r="BI286" s="107">
        <f>IF(A17stdlife="n/a","n/a",IF(BI$3&gt;(A17stdlife+$E286),('PTRM input'!$G$159*(1+rvanilla01)^0.5)-SUM($G286:BH286),('PTRM input'!$G$159*(1+rvanilla01)^0.5)/A17stdlife))</f>
        <v>0</v>
      </c>
      <c r="BJ286" s="237"/>
      <c r="BK286" s="237"/>
      <c r="BL286" s="237"/>
      <c r="BM286" s="237"/>
    </row>
    <row r="287" spans="1:65" s="190" customFormat="1" hidden="1" outlineLevel="2">
      <c r="A287" s="237"/>
      <c r="B287" s="33"/>
      <c r="C287" s="32"/>
      <c r="D287" s="1618"/>
      <c r="E287" s="169">
        <v>2</v>
      </c>
      <c r="F287" s="35"/>
      <c r="G287" s="184"/>
      <c r="H287" s="185"/>
      <c r="I287" s="107">
        <f>IF(A17stdlife="n/a","n/a",IF(I$3&gt;(A17stdlife+$E287),('PTRM input'!$H$159*(1+rvanilla02)^0.5)-SUM($H287:H287),('PTRM input'!$H$159*(1+rvanilla02)^0.5)/A17stdlife))</f>
        <v>0</v>
      </c>
      <c r="J287" s="107">
        <f>IF(A17stdlife="n/a","n/a",IF(J$3&gt;(A17stdlife+$E287),('PTRM input'!$H$159*(1+rvanilla02)^0.5)-SUM($H287:I287),('PTRM input'!$H$159*(1+rvanilla02)^0.5)/A17stdlife))</f>
        <v>0</v>
      </c>
      <c r="K287" s="107">
        <f>IF(A17stdlife="n/a","n/a",IF(K$3&gt;(A17stdlife+$E287),('PTRM input'!$H$159*(1+rvanilla02)^0.5)-SUM($H287:J287),('PTRM input'!$H$159*(1+rvanilla02)^0.5)/A17stdlife))</f>
        <v>0</v>
      </c>
      <c r="L287" s="107">
        <f>IF(A17stdlife="n/a","n/a",IF(L$3&gt;(A17stdlife+$E287),('PTRM input'!$H$159*(1+rvanilla02)^0.5)-SUM($H287:K287),('PTRM input'!$H$159*(1+rvanilla02)^0.5)/A17stdlife))</f>
        <v>0</v>
      </c>
      <c r="M287" s="107">
        <f>IF(A17stdlife="n/a","n/a",IF(M$3&gt;(A17stdlife+$E287),('PTRM input'!$H$159*(1+rvanilla02)^0.5)-SUM($H287:L287),('PTRM input'!$H$159*(1+rvanilla02)^0.5)/A17stdlife))</f>
        <v>0</v>
      </c>
      <c r="N287" s="107">
        <f>IF(A17stdlife="n/a","n/a",IF(N$3&gt;(A17stdlife+$E287),('PTRM input'!$H$159*(1+rvanilla02)^0.5)-SUM($H287:M287),('PTRM input'!$H$159*(1+rvanilla02)^0.5)/A17stdlife))</f>
        <v>0</v>
      </c>
      <c r="O287" s="107">
        <f>IF(A17stdlife="n/a","n/a",IF(O$3&gt;(A17stdlife+$E287),('PTRM input'!$H$159*(1+rvanilla02)^0.5)-SUM($H287:N287),('PTRM input'!$H$159*(1+rvanilla02)^0.5)/A17stdlife))</f>
        <v>0</v>
      </c>
      <c r="P287" s="107">
        <f>IF(A17stdlife="n/a","n/a",IF(P$3&gt;(A17stdlife+$E287),('PTRM input'!$H$159*(1+rvanilla02)^0.5)-SUM($H287:O287),('PTRM input'!$H$159*(1+rvanilla02)^0.5)/A17stdlife))</f>
        <v>0</v>
      </c>
      <c r="Q287" s="107">
        <f>IF(A17stdlife="n/a","n/a",IF(Q$3&gt;(A17stdlife+$E287),('PTRM input'!$H$159*(1+rvanilla02)^0.5)-SUM($H287:P287),('PTRM input'!$H$159*(1+rvanilla02)^0.5)/A17stdlife))</f>
        <v>0</v>
      </c>
      <c r="R287" s="107">
        <f>IF(A17stdlife="n/a","n/a",IF(R$3&gt;(A17stdlife+$E287),('PTRM input'!$H$159*(1+rvanilla02)^0.5)-SUM($H287:Q287),('PTRM input'!$H$159*(1+rvanilla02)^0.5)/A17stdlife))</f>
        <v>0</v>
      </c>
      <c r="S287" s="107">
        <f>IF(A17stdlife="n/a","n/a",IF(S$3&gt;(A17stdlife+$E287),('PTRM input'!$H$159*(1+rvanilla02)^0.5)-SUM($H287:R287),('PTRM input'!$H$159*(1+rvanilla02)^0.5)/A17stdlife))</f>
        <v>0</v>
      </c>
      <c r="T287" s="107">
        <f>IF(A17stdlife="n/a","n/a",IF(T$3&gt;(A17stdlife+$E287),('PTRM input'!$H$159*(1+rvanilla02)^0.5)-SUM($H287:S287),('PTRM input'!$H$159*(1+rvanilla02)^0.5)/A17stdlife))</f>
        <v>0</v>
      </c>
      <c r="U287" s="107">
        <f>IF(A17stdlife="n/a","n/a",IF(U$3&gt;(A17stdlife+$E287),('PTRM input'!$H$159*(1+rvanilla02)^0.5)-SUM($H287:T287),('PTRM input'!$H$159*(1+rvanilla02)^0.5)/A17stdlife))</f>
        <v>0</v>
      </c>
      <c r="V287" s="107">
        <f>IF(A17stdlife="n/a","n/a",IF(V$3&gt;(A17stdlife+$E287),('PTRM input'!$H$159*(1+rvanilla02)^0.5)-SUM($H287:U287),('PTRM input'!$H$159*(1+rvanilla02)^0.5)/A17stdlife))</f>
        <v>0</v>
      </c>
      <c r="W287" s="107">
        <f>IF(A17stdlife="n/a","n/a",IF(W$3&gt;(A17stdlife+$E287),('PTRM input'!$H$159*(1+rvanilla02)^0.5)-SUM($H287:V287),('PTRM input'!$H$159*(1+rvanilla02)^0.5)/A17stdlife))</f>
        <v>0</v>
      </c>
      <c r="X287" s="107">
        <f>IF(A17stdlife="n/a","n/a",IF(X$3&gt;(A17stdlife+$E287),('PTRM input'!$H$159*(1+rvanilla02)^0.5)-SUM($H287:W287),('PTRM input'!$H$159*(1+rvanilla02)^0.5)/A17stdlife))</f>
        <v>0</v>
      </c>
      <c r="Y287" s="107">
        <f>IF(A17stdlife="n/a","n/a",IF(Y$3&gt;(A17stdlife+$E287),('PTRM input'!$H$159*(1+rvanilla02)^0.5)-SUM($H287:X287),('PTRM input'!$H$159*(1+rvanilla02)^0.5)/A17stdlife))</f>
        <v>0</v>
      </c>
      <c r="Z287" s="107">
        <f>IF(A17stdlife="n/a","n/a",IF(Z$3&gt;(A17stdlife+$E287),('PTRM input'!$H$159*(1+rvanilla02)^0.5)-SUM($H287:Y287),('PTRM input'!$H$159*(1+rvanilla02)^0.5)/A17stdlife))</f>
        <v>0</v>
      </c>
      <c r="AA287" s="107">
        <f>IF(A17stdlife="n/a","n/a",IF(AA$3&gt;(A17stdlife+$E287),('PTRM input'!$H$159*(1+rvanilla02)^0.5)-SUM($H287:Z287),('PTRM input'!$H$159*(1+rvanilla02)^0.5)/A17stdlife))</f>
        <v>0</v>
      </c>
      <c r="AB287" s="107">
        <f>IF(A17stdlife="n/a","n/a",IF(AB$3&gt;(A17stdlife+$E287),('PTRM input'!$H$159*(1+rvanilla02)^0.5)-SUM($H287:AA287),('PTRM input'!$H$159*(1+rvanilla02)^0.5)/A17stdlife))</f>
        <v>0</v>
      </c>
      <c r="AC287" s="107">
        <f>IF(A17stdlife="n/a","n/a",IF(AC$3&gt;(A17stdlife+$E287),('PTRM input'!$H$159*(1+rvanilla02)^0.5)-SUM($H287:AB287),('PTRM input'!$H$159*(1+rvanilla02)^0.5)/A17stdlife))</f>
        <v>0</v>
      </c>
      <c r="AD287" s="107">
        <f>IF(A17stdlife="n/a","n/a",IF(AD$3&gt;(A17stdlife+$E287),('PTRM input'!$H$159*(1+rvanilla02)^0.5)-SUM($H287:AC287),('PTRM input'!$H$159*(1+rvanilla02)^0.5)/A17stdlife))</f>
        <v>0</v>
      </c>
      <c r="AE287" s="107">
        <f>IF(A17stdlife="n/a","n/a",IF(AE$3&gt;(A17stdlife+$E287),('PTRM input'!$H$159*(1+rvanilla02)^0.5)-SUM($H287:AD287),('PTRM input'!$H$159*(1+rvanilla02)^0.5)/A17stdlife))</f>
        <v>0</v>
      </c>
      <c r="AF287" s="107">
        <f>IF(A17stdlife="n/a","n/a",IF(AF$3&gt;(A17stdlife+$E287),('PTRM input'!$H$159*(1+rvanilla02)^0.5)-SUM($H287:AE287),('PTRM input'!$H$159*(1+rvanilla02)^0.5)/A17stdlife))</f>
        <v>0</v>
      </c>
      <c r="AG287" s="107">
        <f>IF(A17stdlife="n/a","n/a",IF(AG$3&gt;(A17stdlife+$E287),('PTRM input'!$H$159*(1+rvanilla02)^0.5)-SUM($H287:AF287),('PTRM input'!$H$159*(1+rvanilla02)^0.5)/A17stdlife))</f>
        <v>0</v>
      </c>
      <c r="AH287" s="107">
        <f>IF(A17stdlife="n/a","n/a",IF(AH$3&gt;(A17stdlife+$E287),('PTRM input'!$H$159*(1+rvanilla02)^0.5)-SUM($H287:AG287),('PTRM input'!$H$159*(1+rvanilla02)^0.5)/A17stdlife))</f>
        <v>0</v>
      </c>
      <c r="AI287" s="107">
        <f>IF(A17stdlife="n/a","n/a",IF(AI$3&gt;(A17stdlife+$E287),('PTRM input'!$H$159*(1+rvanilla02)^0.5)-SUM($H287:AH287),('PTRM input'!$H$159*(1+rvanilla02)^0.5)/A17stdlife))</f>
        <v>0</v>
      </c>
      <c r="AJ287" s="107">
        <f>IF(A17stdlife="n/a","n/a",IF(AJ$3&gt;(A17stdlife+$E287),('PTRM input'!$H$159*(1+rvanilla02)^0.5)-SUM($H287:AI287),('PTRM input'!$H$159*(1+rvanilla02)^0.5)/A17stdlife))</f>
        <v>0</v>
      </c>
      <c r="AK287" s="107">
        <f>IF(A17stdlife="n/a","n/a",IF(AK$3&gt;(A17stdlife+$E287),('PTRM input'!$H$159*(1+rvanilla02)^0.5)-SUM($H287:AJ287),('PTRM input'!$H$159*(1+rvanilla02)^0.5)/A17stdlife))</f>
        <v>0</v>
      </c>
      <c r="AL287" s="107">
        <f>IF(A17stdlife="n/a","n/a",IF(AL$3&gt;(A17stdlife+$E287),('PTRM input'!$H$159*(1+rvanilla02)^0.5)-SUM($H287:AK287),('PTRM input'!$H$159*(1+rvanilla02)^0.5)/A17stdlife))</f>
        <v>0</v>
      </c>
      <c r="AM287" s="107">
        <f>IF(A17stdlife="n/a","n/a",IF(AM$3&gt;(A17stdlife+$E287),('PTRM input'!$H$159*(1+rvanilla02)^0.5)-SUM($H287:AL287),('PTRM input'!$H$159*(1+rvanilla02)^0.5)/A17stdlife))</f>
        <v>0</v>
      </c>
      <c r="AN287" s="107">
        <f>IF(A17stdlife="n/a","n/a",IF(AN$3&gt;(A17stdlife+$E287),('PTRM input'!$H$159*(1+rvanilla02)^0.5)-SUM($H287:AM287),('PTRM input'!$H$159*(1+rvanilla02)^0.5)/A17stdlife))</f>
        <v>0</v>
      </c>
      <c r="AO287" s="107">
        <f>IF(A17stdlife="n/a","n/a",IF(AO$3&gt;(A17stdlife+$E287),('PTRM input'!$H$159*(1+rvanilla02)^0.5)-SUM($H287:AN287),('PTRM input'!$H$159*(1+rvanilla02)^0.5)/A17stdlife))</f>
        <v>0</v>
      </c>
      <c r="AP287" s="107">
        <f>IF(A17stdlife="n/a","n/a",IF(AP$3&gt;(A17stdlife+$E287),('PTRM input'!$H$159*(1+rvanilla02)^0.5)-SUM($H287:AO287),('PTRM input'!$H$159*(1+rvanilla02)^0.5)/A17stdlife))</f>
        <v>0</v>
      </c>
      <c r="AQ287" s="107">
        <f>IF(A17stdlife="n/a","n/a",IF(AQ$3&gt;(A17stdlife+$E287),('PTRM input'!$H$159*(1+rvanilla02)^0.5)-SUM($H287:AP287),('PTRM input'!$H$159*(1+rvanilla02)^0.5)/A17stdlife))</f>
        <v>0</v>
      </c>
      <c r="AR287" s="107">
        <f>IF(A17stdlife="n/a","n/a",IF(AR$3&gt;(A17stdlife+$E287),('PTRM input'!$H$159*(1+rvanilla02)^0.5)-SUM($H287:AQ287),('PTRM input'!$H$159*(1+rvanilla02)^0.5)/A17stdlife))</f>
        <v>0</v>
      </c>
      <c r="AS287" s="107">
        <f>IF(A17stdlife="n/a","n/a",IF(AS$3&gt;(A17stdlife+$E287),('PTRM input'!$H$159*(1+rvanilla02)^0.5)-SUM($H287:AR287),('PTRM input'!$H$159*(1+rvanilla02)^0.5)/A17stdlife))</f>
        <v>0</v>
      </c>
      <c r="AT287" s="107">
        <f>IF(A17stdlife="n/a","n/a",IF(AT$3&gt;(A17stdlife+$E287),('PTRM input'!$H$159*(1+rvanilla02)^0.5)-SUM($H287:AS287),('PTRM input'!$H$159*(1+rvanilla02)^0.5)/A17stdlife))</f>
        <v>0</v>
      </c>
      <c r="AU287" s="107">
        <f>IF(A17stdlife="n/a","n/a",IF(AU$3&gt;(A17stdlife+$E287),('PTRM input'!$H$159*(1+rvanilla02)^0.5)-SUM($H287:AT287),('PTRM input'!$H$159*(1+rvanilla02)^0.5)/A17stdlife))</f>
        <v>0</v>
      </c>
      <c r="AV287" s="107">
        <f>IF(A17stdlife="n/a","n/a",IF(AV$3&gt;(A17stdlife+$E287),('PTRM input'!$H$159*(1+rvanilla02)^0.5)-SUM($H287:AU287),('PTRM input'!$H$159*(1+rvanilla02)^0.5)/A17stdlife))</f>
        <v>0</v>
      </c>
      <c r="AW287" s="107">
        <f>IF(A17stdlife="n/a","n/a",IF(AW$3&gt;(A17stdlife+$E287),('PTRM input'!$H$159*(1+rvanilla02)^0.5)-SUM($H287:AV287),('PTRM input'!$H$159*(1+rvanilla02)^0.5)/A17stdlife))</f>
        <v>0</v>
      </c>
      <c r="AX287" s="107">
        <f>IF(A17stdlife="n/a","n/a",IF(AX$3&gt;(A17stdlife+$E287),('PTRM input'!$H$159*(1+rvanilla02)^0.5)-SUM($H287:AW287),('PTRM input'!$H$159*(1+rvanilla02)^0.5)/A17stdlife))</f>
        <v>0</v>
      </c>
      <c r="AY287" s="107">
        <f>IF(A17stdlife="n/a","n/a",IF(AY$3&gt;(A17stdlife+$E287),('PTRM input'!$H$159*(1+rvanilla02)^0.5)-SUM($H287:AX287),('PTRM input'!$H$159*(1+rvanilla02)^0.5)/A17stdlife))</f>
        <v>0</v>
      </c>
      <c r="AZ287" s="107">
        <f>IF(A17stdlife="n/a","n/a",IF(AZ$3&gt;(A17stdlife+$E287),('PTRM input'!$H$159*(1+rvanilla02)^0.5)-SUM($H287:AY287),('PTRM input'!$H$159*(1+rvanilla02)^0.5)/A17stdlife))</f>
        <v>0</v>
      </c>
      <c r="BA287" s="107">
        <f>IF(A17stdlife="n/a","n/a",IF(BA$3&gt;(A17stdlife+$E287),('PTRM input'!$H$159*(1+rvanilla02)^0.5)-SUM($H287:AZ287),('PTRM input'!$H$159*(1+rvanilla02)^0.5)/A17stdlife))</f>
        <v>0</v>
      </c>
      <c r="BB287" s="107">
        <f>IF(A17stdlife="n/a","n/a",IF(BB$3&gt;(A17stdlife+$E287),('PTRM input'!$H$159*(1+rvanilla02)^0.5)-SUM($H287:BA287),('PTRM input'!$H$159*(1+rvanilla02)^0.5)/A17stdlife))</f>
        <v>0</v>
      </c>
      <c r="BC287" s="107">
        <f>IF(A17stdlife="n/a","n/a",IF(BC$3&gt;(A17stdlife+$E287),('PTRM input'!$H$159*(1+rvanilla02)^0.5)-SUM($H287:BB287),('PTRM input'!$H$159*(1+rvanilla02)^0.5)/A17stdlife))</f>
        <v>0</v>
      </c>
      <c r="BD287" s="107">
        <f>IF(A17stdlife="n/a","n/a",IF(BD$3&gt;(A17stdlife+$E287),('PTRM input'!$H$159*(1+rvanilla02)^0.5)-SUM($H287:BC287),('PTRM input'!$H$159*(1+rvanilla02)^0.5)/A17stdlife))</f>
        <v>0</v>
      </c>
      <c r="BE287" s="107">
        <f>IF(A17stdlife="n/a","n/a",IF(BE$3&gt;(A17stdlife+$E287),('PTRM input'!$H$159*(1+rvanilla02)^0.5)-SUM($H287:BD287),('PTRM input'!$H$159*(1+rvanilla02)^0.5)/A17stdlife))</f>
        <v>0</v>
      </c>
      <c r="BF287" s="107">
        <f>IF(A17stdlife="n/a","n/a",IF(BF$3&gt;(A17stdlife+$E287),('PTRM input'!$H$159*(1+rvanilla02)^0.5)-SUM($H287:BE287),('PTRM input'!$H$159*(1+rvanilla02)^0.5)/A17stdlife))</f>
        <v>0</v>
      </c>
      <c r="BG287" s="107">
        <f>IF(A17stdlife="n/a","n/a",IF(BG$3&gt;(A17stdlife+$E287),('PTRM input'!$H$159*(1+rvanilla02)^0.5)-SUM($H287:BF287),('PTRM input'!$H$159*(1+rvanilla02)^0.5)/A17stdlife))</f>
        <v>0</v>
      </c>
      <c r="BH287" s="107">
        <f>IF(A17stdlife="n/a","n/a",IF(BH$3&gt;(A17stdlife+$E287),('PTRM input'!$H$159*(1+rvanilla02)^0.5)-SUM($H287:BG287),('PTRM input'!$H$159*(1+rvanilla02)^0.5)/A17stdlife))</f>
        <v>0</v>
      </c>
      <c r="BI287" s="107">
        <f>IF(A17stdlife="n/a","n/a",IF(BI$3&gt;(A17stdlife+$E287),('PTRM input'!$H$159*(1+rvanilla02)^0.5)-SUM($H287:BH287),('PTRM input'!$H$159*(1+rvanilla02)^0.5)/A17stdlife))</f>
        <v>0</v>
      </c>
      <c r="BJ287" s="237"/>
      <c r="BK287" s="237"/>
      <c r="BL287" s="237"/>
      <c r="BM287" s="237"/>
    </row>
    <row r="288" spans="1:65" s="190" customFormat="1" hidden="1" outlineLevel="2">
      <c r="A288" s="237"/>
      <c r="B288" s="33"/>
      <c r="C288" s="32"/>
      <c r="D288" s="1618"/>
      <c r="E288" s="169">
        <v>3</v>
      </c>
      <c r="F288" s="35"/>
      <c r="G288" s="184"/>
      <c r="H288" s="186"/>
      <c r="I288" s="185"/>
      <c r="J288" s="107">
        <f>IF(A17stdlife="n/a","n/a",IF(J$3&gt;(A17stdlife+$E288),('PTRM input'!$I$159*(1+rvanilla03)^0.5)-SUM($I288:I288),('PTRM input'!$I$159*(1+rvanilla03)^0.5)/A17stdlife))</f>
        <v>0</v>
      </c>
      <c r="K288" s="107">
        <f>IF(A17stdlife="n/a","n/a",IF(K$3&gt;(A17stdlife+$E288),('PTRM input'!$I$159*(1+rvanilla03)^0.5)-SUM($I288:J288),('PTRM input'!$I$159*(1+rvanilla03)^0.5)/A17stdlife))</f>
        <v>0</v>
      </c>
      <c r="L288" s="107">
        <f>IF(A17stdlife="n/a","n/a",IF(L$3&gt;(A17stdlife+$E288),('PTRM input'!$I$159*(1+rvanilla03)^0.5)-SUM($I288:K288),('PTRM input'!$I$159*(1+rvanilla03)^0.5)/A17stdlife))</f>
        <v>0</v>
      </c>
      <c r="M288" s="107">
        <f>IF(A17stdlife="n/a","n/a",IF(M$3&gt;(A17stdlife+$E288),('PTRM input'!$I$159*(1+rvanilla03)^0.5)-SUM($I288:L288),('PTRM input'!$I$159*(1+rvanilla03)^0.5)/A17stdlife))</f>
        <v>0</v>
      </c>
      <c r="N288" s="107">
        <f>IF(A17stdlife="n/a","n/a",IF(N$3&gt;(A17stdlife+$E288),('PTRM input'!$I$159*(1+rvanilla03)^0.5)-SUM($I288:M288),('PTRM input'!$I$159*(1+rvanilla03)^0.5)/A17stdlife))</f>
        <v>0</v>
      </c>
      <c r="O288" s="107">
        <f>IF(A17stdlife="n/a","n/a",IF(O$3&gt;(A17stdlife+$E288),('PTRM input'!$I$159*(1+rvanilla03)^0.5)-SUM($I288:N288),('PTRM input'!$I$159*(1+rvanilla03)^0.5)/A17stdlife))</f>
        <v>0</v>
      </c>
      <c r="P288" s="107">
        <f>IF(A17stdlife="n/a","n/a",IF(P$3&gt;(A17stdlife+$E288),('PTRM input'!$I$159*(1+rvanilla03)^0.5)-SUM($I288:O288),('PTRM input'!$I$159*(1+rvanilla03)^0.5)/A17stdlife))</f>
        <v>0</v>
      </c>
      <c r="Q288" s="107">
        <f>IF(A17stdlife="n/a","n/a",IF(Q$3&gt;(A17stdlife+$E288),('PTRM input'!$I$159*(1+rvanilla03)^0.5)-SUM($I288:P288),('PTRM input'!$I$159*(1+rvanilla03)^0.5)/A17stdlife))</f>
        <v>0</v>
      </c>
      <c r="R288" s="107">
        <f>IF(A17stdlife="n/a","n/a",IF(R$3&gt;(A17stdlife+$E288),('PTRM input'!$I$159*(1+rvanilla03)^0.5)-SUM($I288:Q288),('PTRM input'!$I$159*(1+rvanilla03)^0.5)/A17stdlife))</f>
        <v>0</v>
      </c>
      <c r="S288" s="107">
        <f>IF(A17stdlife="n/a","n/a",IF(S$3&gt;(A17stdlife+$E288),('PTRM input'!$I$159*(1+rvanilla03)^0.5)-SUM($I288:R288),('PTRM input'!$I$159*(1+rvanilla03)^0.5)/A17stdlife))</f>
        <v>0</v>
      </c>
      <c r="T288" s="107">
        <f>IF(A17stdlife="n/a","n/a",IF(T$3&gt;(A17stdlife+$E288),('PTRM input'!$I$159*(1+rvanilla03)^0.5)-SUM($I288:S288),('PTRM input'!$I$159*(1+rvanilla03)^0.5)/A17stdlife))</f>
        <v>0</v>
      </c>
      <c r="U288" s="107">
        <f>IF(A17stdlife="n/a","n/a",IF(U$3&gt;(A17stdlife+$E288),('PTRM input'!$I$159*(1+rvanilla03)^0.5)-SUM($I288:T288),('PTRM input'!$I$159*(1+rvanilla03)^0.5)/A17stdlife))</f>
        <v>0</v>
      </c>
      <c r="V288" s="107">
        <f>IF(A17stdlife="n/a","n/a",IF(V$3&gt;(A17stdlife+$E288),('PTRM input'!$I$159*(1+rvanilla03)^0.5)-SUM($I288:U288),('PTRM input'!$I$159*(1+rvanilla03)^0.5)/A17stdlife))</f>
        <v>0</v>
      </c>
      <c r="W288" s="107">
        <f>IF(A17stdlife="n/a","n/a",IF(W$3&gt;(A17stdlife+$E288),('PTRM input'!$I$159*(1+rvanilla03)^0.5)-SUM($I288:V288),('PTRM input'!$I$159*(1+rvanilla03)^0.5)/A17stdlife))</f>
        <v>0</v>
      </c>
      <c r="X288" s="107">
        <f>IF(A17stdlife="n/a","n/a",IF(X$3&gt;(A17stdlife+$E288),('PTRM input'!$I$159*(1+rvanilla03)^0.5)-SUM($I288:W288),('PTRM input'!$I$159*(1+rvanilla03)^0.5)/A17stdlife))</f>
        <v>0</v>
      </c>
      <c r="Y288" s="107">
        <f>IF(A17stdlife="n/a","n/a",IF(Y$3&gt;(A17stdlife+$E288),('PTRM input'!$I$159*(1+rvanilla03)^0.5)-SUM($I288:X288),('PTRM input'!$I$159*(1+rvanilla03)^0.5)/A17stdlife))</f>
        <v>0</v>
      </c>
      <c r="Z288" s="107">
        <f>IF(A17stdlife="n/a","n/a",IF(Z$3&gt;(A17stdlife+$E288),('PTRM input'!$I$159*(1+rvanilla03)^0.5)-SUM($I288:Y288),('PTRM input'!$I$159*(1+rvanilla03)^0.5)/A17stdlife))</f>
        <v>0</v>
      </c>
      <c r="AA288" s="107">
        <f>IF(A17stdlife="n/a","n/a",IF(AA$3&gt;(A17stdlife+$E288),('PTRM input'!$I$159*(1+rvanilla03)^0.5)-SUM($I288:Z288),('PTRM input'!$I$159*(1+rvanilla03)^0.5)/A17stdlife))</f>
        <v>0</v>
      </c>
      <c r="AB288" s="107">
        <f>IF(A17stdlife="n/a","n/a",IF(AB$3&gt;(A17stdlife+$E288),('PTRM input'!$I$159*(1+rvanilla03)^0.5)-SUM($I288:AA288),('PTRM input'!$I$159*(1+rvanilla03)^0.5)/A17stdlife))</f>
        <v>0</v>
      </c>
      <c r="AC288" s="107">
        <f>IF(A17stdlife="n/a","n/a",IF(AC$3&gt;(A17stdlife+$E288),('PTRM input'!$I$159*(1+rvanilla03)^0.5)-SUM($I288:AB288),('PTRM input'!$I$159*(1+rvanilla03)^0.5)/A17stdlife))</f>
        <v>0</v>
      </c>
      <c r="AD288" s="107">
        <f>IF(A17stdlife="n/a","n/a",IF(AD$3&gt;(A17stdlife+$E288),('PTRM input'!$I$159*(1+rvanilla03)^0.5)-SUM($I288:AC288),('PTRM input'!$I$159*(1+rvanilla03)^0.5)/A17stdlife))</f>
        <v>0</v>
      </c>
      <c r="AE288" s="107">
        <f>IF(A17stdlife="n/a","n/a",IF(AE$3&gt;(A17stdlife+$E288),('PTRM input'!$I$159*(1+rvanilla03)^0.5)-SUM($I288:AD288),('PTRM input'!$I$159*(1+rvanilla03)^0.5)/A17stdlife))</f>
        <v>0</v>
      </c>
      <c r="AF288" s="107">
        <f>IF(A17stdlife="n/a","n/a",IF(AF$3&gt;(A17stdlife+$E288),('PTRM input'!$I$159*(1+rvanilla03)^0.5)-SUM($I288:AE288),('PTRM input'!$I$159*(1+rvanilla03)^0.5)/A17stdlife))</f>
        <v>0</v>
      </c>
      <c r="AG288" s="107">
        <f>IF(A17stdlife="n/a","n/a",IF(AG$3&gt;(A17stdlife+$E288),('PTRM input'!$I$159*(1+rvanilla03)^0.5)-SUM($I288:AF288),('PTRM input'!$I$159*(1+rvanilla03)^0.5)/A17stdlife))</f>
        <v>0</v>
      </c>
      <c r="AH288" s="107">
        <f>IF(A17stdlife="n/a","n/a",IF(AH$3&gt;(A17stdlife+$E288),('PTRM input'!$I$159*(1+rvanilla03)^0.5)-SUM($I288:AG288),('PTRM input'!$I$159*(1+rvanilla03)^0.5)/A17stdlife))</f>
        <v>0</v>
      </c>
      <c r="AI288" s="107">
        <f>IF(A17stdlife="n/a","n/a",IF(AI$3&gt;(A17stdlife+$E288),('PTRM input'!$I$159*(1+rvanilla03)^0.5)-SUM($I288:AH288),('PTRM input'!$I$159*(1+rvanilla03)^0.5)/A17stdlife))</f>
        <v>0</v>
      </c>
      <c r="AJ288" s="107">
        <f>IF(A17stdlife="n/a","n/a",IF(AJ$3&gt;(A17stdlife+$E288),('PTRM input'!$I$159*(1+rvanilla03)^0.5)-SUM($I288:AI288),('PTRM input'!$I$159*(1+rvanilla03)^0.5)/A17stdlife))</f>
        <v>0</v>
      </c>
      <c r="AK288" s="107">
        <f>IF(A17stdlife="n/a","n/a",IF(AK$3&gt;(A17stdlife+$E288),('PTRM input'!$I$159*(1+rvanilla03)^0.5)-SUM($I288:AJ288),('PTRM input'!$I$159*(1+rvanilla03)^0.5)/A17stdlife))</f>
        <v>0</v>
      </c>
      <c r="AL288" s="107">
        <f>IF(A17stdlife="n/a","n/a",IF(AL$3&gt;(A17stdlife+$E288),('PTRM input'!$I$159*(1+rvanilla03)^0.5)-SUM($I288:AK288),('PTRM input'!$I$159*(1+rvanilla03)^0.5)/A17stdlife))</f>
        <v>0</v>
      </c>
      <c r="AM288" s="107">
        <f>IF(A17stdlife="n/a","n/a",IF(AM$3&gt;(A17stdlife+$E288),('PTRM input'!$I$159*(1+rvanilla03)^0.5)-SUM($I288:AL288),('PTRM input'!$I$159*(1+rvanilla03)^0.5)/A17stdlife))</f>
        <v>0</v>
      </c>
      <c r="AN288" s="107">
        <f>IF(A17stdlife="n/a","n/a",IF(AN$3&gt;(A17stdlife+$E288),('PTRM input'!$I$159*(1+rvanilla03)^0.5)-SUM($I288:AM288),('PTRM input'!$I$159*(1+rvanilla03)^0.5)/A17stdlife))</f>
        <v>0</v>
      </c>
      <c r="AO288" s="107">
        <f>IF(A17stdlife="n/a","n/a",IF(AO$3&gt;(A17stdlife+$E288),('PTRM input'!$I$159*(1+rvanilla03)^0.5)-SUM($I288:AN288),('PTRM input'!$I$159*(1+rvanilla03)^0.5)/A17stdlife))</f>
        <v>0</v>
      </c>
      <c r="AP288" s="107">
        <f>IF(A17stdlife="n/a","n/a",IF(AP$3&gt;(A17stdlife+$E288),('PTRM input'!$I$159*(1+rvanilla03)^0.5)-SUM($I288:AO288),('PTRM input'!$I$159*(1+rvanilla03)^0.5)/A17stdlife))</f>
        <v>0</v>
      </c>
      <c r="AQ288" s="107">
        <f>IF(A17stdlife="n/a","n/a",IF(AQ$3&gt;(A17stdlife+$E288),('PTRM input'!$I$159*(1+rvanilla03)^0.5)-SUM($I288:AP288),('PTRM input'!$I$159*(1+rvanilla03)^0.5)/A17stdlife))</f>
        <v>0</v>
      </c>
      <c r="AR288" s="107">
        <f>IF(A17stdlife="n/a","n/a",IF(AR$3&gt;(A17stdlife+$E288),('PTRM input'!$I$159*(1+rvanilla03)^0.5)-SUM($I288:AQ288),('PTRM input'!$I$159*(1+rvanilla03)^0.5)/A17stdlife))</f>
        <v>0</v>
      </c>
      <c r="AS288" s="107">
        <f>IF(A17stdlife="n/a","n/a",IF(AS$3&gt;(A17stdlife+$E288),('PTRM input'!$I$159*(1+rvanilla03)^0.5)-SUM($I288:AR288),('PTRM input'!$I$159*(1+rvanilla03)^0.5)/A17stdlife))</f>
        <v>0</v>
      </c>
      <c r="AT288" s="107">
        <f>IF(A17stdlife="n/a","n/a",IF(AT$3&gt;(A17stdlife+$E288),('PTRM input'!$I$159*(1+rvanilla03)^0.5)-SUM($I288:AS288),('PTRM input'!$I$159*(1+rvanilla03)^0.5)/A17stdlife))</f>
        <v>0</v>
      </c>
      <c r="AU288" s="107">
        <f>IF(A17stdlife="n/a","n/a",IF(AU$3&gt;(A17stdlife+$E288),('PTRM input'!$I$159*(1+rvanilla03)^0.5)-SUM($I288:AT288),('PTRM input'!$I$159*(1+rvanilla03)^0.5)/A17stdlife))</f>
        <v>0</v>
      </c>
      <c r="AV288" s="107">
        <f>IF(A17stdlife="n/a","n/a",IF(AV$3&gt;(A17stdlife+$E288),('PTRM input'!$I$159*(1+rvanilla03)^0.5)-SUM($I288:AU288),('PTRM input'!$I$159*(1+rvanilla03)^0.5)/A17stdlife))</f>
        <v>0</v>
      </c>
      <c r="AW288" s="107">
        <f>IF(A17stdlife="n/a","n/a",IF(AW$3&gt;(A17stdlife+$E288),('PTRM input'!$I$159*(1+rvanilla03)^0.5)-SUM($I288:AV288),('PTRM input'!$I$159*(1+rvanilla03)^0.5)/A17stdlife))</f>
        <v>0</v>
      </c>
      <c r="AX288" s="107">
        <f>IF(A17stdlife="n/a","n/a",IF(AX$3&gt;(A17stdlife+$E288),('PTRM input'!$I$159*(1+rvanilla03)^0.5)-SUM($I288:AW288),('PTRM input'!$I$159*(1+rvanilla03)^0.5)/A17stdlife))</f>
        <v>0</v>
      </c>
      <c r="AY288" s="107">
        <f>IF(A17stdlife="n/a","n/a",IF(AY$3&gt;(A17stdlife+$E288),('PTRM input'!$I$159*(1+rvanilla03)^0.5)-SUM($I288:AX288),('PTRM input'!$I$159*(1+rvanilla03)^0.5)/A17stdlife))</f>
        <v>0</v>
      </c>
      <c r="AZ288" s="107">
        <f>IF(A17stdlife="n/a","n/a",IF(AZ$3&gt;(A17stdlife+$E288),('PTRM input'!$I$159*(1+rvanilla03)^0.5)-SUM($I288:AY288),('PTRM input'!$I$159*(1+rvanilla03)^0.5)/A17stdlife))</f>
        <v>0</v>
      </c>
      <c r="BA288" s="107">
        <f>IF(A17stdlife="n/a","n/a",IF(BA$3&gt;(A17stdlife+$E288),('PTRM input'!$I$159*(1+rvanilla03)^0.5)-SUM($I288:AZ288),('PTRM input'!$I$159*(1+rvanilla03)^0.5)/A17stdlife))</f>
        <v>0</v>
      </c>
      <c r="BB288" s="107">
        <f>IF(A17stdlife="n/a","n/a",IF(BB$3&gt;(A17stdlife+$E288),('PTRM input'!$I$159*(1+rvanilla03)^0.5)-SUM($I288:BA288),('PTRM input'!$I$159*(1+rvanilla03)^0.5)/A17stdlife))</f>
        <v>0</v>
      </c>
      <c r="BC288" s="107">
        <f>IF(A17stdlife="n/a","n/a",IF(BC$3&gt;(A17stdlife+$E288),('PTRM input'!$I$159*(1+rvanilla03)^0.5)-SUM($I288:BB288),('PTRM input'!$I$159*(1+rvanilla03)^0.5)/A17stdlife))</f>
        <v>0</v>
      </c>
      <c r="BD288" s="107">
        <f>IF(A17stdlife="n/a","n/a",IF(BD$3&gt;(A17stdlife+$E288),('PTRM input'!$I$159*(1+rvanilla03)^0.5)-SUM($I288:BC288),('PTRM input'!$I$159*(1+rvanilla03)^0.5)/A17stdlife))</f>
        <v>0</v>
      </c>
      <c r="BE288" s="107">
        <f>IF(A17stdlife="n/a","n/a",IF(BE$3&gt;(A17stdlife+$E288),('PTRM input'!$I$159*(1+rvanilla03)^0.5)-SUM($I288:BD288),('PTRM input'!$I$159*(1+rvanilla03)^0.5)/A17stdlife))</f>
        <v>0</v>
      </c>
      <c r="BF288" s="107">
        <f>IF(A17stdlife="n/a","n/a",IF(BF$3&gt;(A17stdlife+$E288),('PTRM input'!$I$159*(1+rvanilla03)^0.5)-SUM($I288:BE288),('PTRM input'!$I$159*(1+rvanilla03)^0.5)/A17stdlife))</f>
        <v>0</v>
      </c>
      <c r="BG288" s="107">
        <f>IF(A17stdlife="n/a","n/a",IF(BG$3&gt;(A17stdlife+$E288),('PTRM input'!$I$159*(1+rvanilla03)^0.5)-SUM($I288:BF288),('PTRM input'!$I$159*(1+rvanilla03)^0.5)/A17stdlife))</f>
        <v>0</v>
      </c>
      <c r="BH288" s="107">
        <f>IF(A17stdlife="n/a","n/a",IF(BH$3&gt;(A17stdlife+$E288),('PTRM input'!$I$159*(1+rvanilla03)^0.5)-SUM($I288:BG288),('PTRM input'!$I$159*(1+rvanilla03)^0.5)/A17stdlife))</f>
        <v>0</v>
      </c>
      <c r="BI288" s="107">
        <f>IF(A17stdlife="n/a","n/a",IF(BI$3&gt;(A17stdlife+$E288),('PTRM input'!$I$159*(1+rvanilla03)^0.5)-SUM($I288:BH288),('PTRM input'!$I$159*(1+rvanilla03)^0.5)/A17stdlife))</f>
        <v>0</v>
      </c>
      <c r="BJ288" s="237"/>
      <c r="BK288" s="237"/>
      <c r="BL288" s="237"/>
      <c r="BM288" s="237"/>
    </row>
    <row r="289" spans="1:65" s="190" customFormat="1" hidden="1" outlineLevel="2">
      <c r="A289" s="237"/>
      <c r="B289" s="33"/>
      <c r="C289" s="32"/>
      <c r="D289" s="1618"/>
      <c r="E289" s="169">
        <v>4</v>
      </c>
      <c r="F289" s="35"/>
      <c r="G289" s="184"/>
      <c r="H289" s="186"/>
      <c r="I289" s="186"/>
      <c r="J289" s="185"/>
      <c r="K289" s="107">
        <f>IF(A17stdlife="n/a","n/a",IF(K$3&gt;(A17stdlife+$E289),('PTRM input'!$J$159*(1+rvanilla04)^0.5)-SUM($J289:J289),('PTRM input'!$J$159*(1+rvanilla04)^0.5)/A17stdlife))</f>
        <v>0</v>
      </c>
      <c r="L289" s="107">
        <f>IF(A17stdlife="n/a","n/a",IF(L$3&gt;(A17stdlife+$E289),('PTRM input'!$J$159*(1+rvanilla04)^0.5)-SUM($J289:K289),('PTRM input'!$J$159*(1+rvanilla04)^0.5)/A17stdlife))</f>
        <v>0</v>
      </c>
      <c r="M289" s="107">
        <f>IF(A17stdlife="n/a","n/a",IF(M$3&gt;(A17stdlife+$E289),('PTRM input'!$J$159*(1+rvanilla04)^0.5)-SUM($J289:L289),('PTRM input'!$J$159*(1+rvanilla04)^0.5)/A17stdlife))</f>
        <v>0</v>
      </c>
      <c r="N289" s="107">
        <f>IF(A17stdlife="n/a","n/a",IF(N$3&gt;(A17stdlife+$E289),('PTRM input'!$J$159*(1+rvanilla04)^0.5)-SUM($J289:M289),('PTRM input'!$J$159*(1+rvanilla04)^0.5)/A17stdlife))</f>
        <v>0</v>
      </c>
      <c r="O289" s="107">
        <f>IF(A17stdlife="n/a","n/a",IF(O$3&gt;(A17stdlife+$E289),('PTRM input'!$J$159*(1+rvanilla04)^0.5)-SUM($J289:N289),('PTRM input'!$J$159*(1+rvanilla04)^0.5)/A17stdlife))</f>
        <v>0</v>
      </c>
      <c r="P289" s="107">
        <f>IF(A17stdlife="n/a","n/a",IF(P$3&gt;(A17stdlife+$E289),('PTRM input'!$J$159*(1+rvanilla04)^0.5)-SUM($J289:O289),('PTRM input'!$J$159*(1+rvanilla04)^0.5)/A17stdlife))</f>
        <v>0</v>
      </c>
      <c r="Q289" s="107">
        <f>IF(A17stdlife="n/a","n/a",IF(Q$3&gt;(A17stdlife+$E289),('PTRM input'!$J$159*(1+rvanilla04)^0.5)-SUM($J289:P289),('PTRM input'!$J$159*(1+rvanilla04)^0.5)/A17stdlife))</f>
        <v>0</v>
      </c>
      <c r="R289" s="107">
        <f>IF(A17stdlife="n/a","n/a",IF(R$3&gt;(A17stdlife+$E289),('PTRM input'!$J$159*(1+rvanilla04)^0.5)-SUM($J289:Q289),('PTRM input'!$J$159*(1+rvanilla04)^0.5)/A17stdlife))</f>
        <v>0</v>
      </c>
      <c r="S289" s="107">
        <f>IF(A17stdlife="n/a","n/a",IF(S$3&gt;(A17stdlife+$E289),('PTRM input'!$J$159*(1+rvanilla04)^0.5)-SUM($J289:R289),('PTRM input'!$J$159*(1+rvanilla04)^0.5)/A17stdlife))</f>
        <v>0</v>
      </c>
      <c r="T289" s="107">
        <f>IF(A17stdlife="n/a","n/a",IF(T$3&gt;(A17stdlife+$E289),('PTRM input'!$J$159*(1+rvanilla04)^0.5)-SUM($J289:S289),('PTRM input'!$J$159*(1+rvanilla04)^0.5)/A17stdlife))</f>
        <v>0</v>
      </c>
      <c r="U289" s="107">
        <f>IF(A17stdlife="n/a","n/a",IF(U$3&gt;(A17stdlife+$E289),('PTRM input'!$J$159*(1+rvanilla04)^0.5)-SUM($J289:T289),('PTRM input'!$J$159*(1+rvanilla04)^0.5)/A17stdlife))</f>
        <v>0</v>
      </c>
      <c r="V289" s="107">
        <f>IF(A17stdlife="n/a","n/a",IF(V$3&gt;(A17stdlife+$E289),('PTRM input'!$J$159*(1+rvanilla04)^0.5)-SUM($J289:U289),('PTRM input'!$J$159*(1+rvanilla04)^0.5)/A17stdlife))</f>
        <v>0</v>
      </c>
      <c r="W289" s="107">
        <f>IF(A17stdlife="n/a","n/a",IF(W$3&gt;(A17stdlife+$E289),('PTRM input'!$J$159*(1+rvanilla04)^0.5)-SUM($J289:V289),('PTRM input'!$J$159*(1+rvanilla04)^0.5)/A17stdlife))</f>
        <v>0</v>
      </c>
      <c r="X289" s="107">
        <f>IF(A17stdlife="n/a","n/a",IF(X$3&gt;(A17stdlife+$E289),('PTRM input'!$J$159*(1+rvanilla04)^0.5)-SUM($J289:W289),('PTRM input'!$J$159*(1+rvanilla04)^0.5)/A17stdlife))</f>
        <v>0</v>
      </c>
      <c r="Y289" s="107">
        <f>IF(A17stdlife="n/a","n/a",IF(Y$3&gt;(A17stdlife+$E289),('PTRM input'!$J$159*(1+rvanilla04)^0.5)-SUM($J289:X289),('PTRM input'!$J$159*(1+rvanilla04)^0.5)/A17stdlife))</f>
        <v>0</v>
      </c>
      <c r="Z289" s="107">
        <f>IF(A17stdlife="n/a","n/a",IF(Z$3&gt;(A17stdlife+$E289),('PTRM input'!$J$159*(1+rvanilla04)^0.5)-SUM($J289:Y289),('PTRM input'!$J$159*(1+rvanilla04)^0.5)/A17stdlife))</f>
        <v>0</v>
      </c>
      <c r="AA289" s="107">
        <f>IF(A17stdlife="n/a","n/a",IF(AA$3&gt;(A17stdlife+$E289),('PTRM input'!$J$159*(1+rvanilla04)^0.5)-SUM($J289:Z289),('PTRM input'!$J$159*(1+rvanilla04)^0.5)/A17stdlife))</f>
        <v>0</v>
      </c>
      <c r="AB289" s="107">
        <f>IF(A17stdlife="n/a","n/a",IF(AB$3&gt;(A17stdlife+$E289),('PTRM input'!$J$159*(1+rvanilla04)^0.5)-SUM($J289:AA289),('PTRM input'!$J$159*(1+rvanilla04)^0.5)/A17stdlife))</f>
        <v>0</v>
      </c>
      <c r="AC289" s="107">
        <f>IF(A17stdlife="n/a","n/a",IF(AC$3&gt;(A17stdlife+$E289),('PTRM input'!$J$159*(1+rvanilla04)^0.5)-SUM($J289:AB289),('PTRM input'!$J$159*(1+rvanilla04)^0.5)/A17stdlife))</f>
        <v>0</v>
      </c>
      <c r="AD289" s="107">
        <f>IF(A17stdlife="n/a","n/a",IF(AD$3&gt;(A17stdlife+$E289),('PTRM input'!$J$159*(1+rvanilla04)^0.5)-SUM($J289:AC289),('PTRM input'!$J$159*(1+rvanilla04)^0.5)/A17stdlife))</f>
        <v>0</v>
      </c>
      <c r="AE289" s="107">
        <f>IF(A17stdlife="n/a","n/a",IF(AE$3&gt;(A17stdlife+$E289),('PTRM input'!$J$159*(1+rvanilla04)^0.5)-SUM($J289:AD289),('PTRM input'!$J$159*(1+rvanilla04)^0.5)/A17stdlife))</f>
        <v>0</v>
      </c>
      <c r="AF289" s="107">
        <f>IF(A17stdlife="n/a","n/a",IF(AF$3&gt;(A17stdlife+$E289),('PTRM input'!$J$159*(1+rvanilla04)^0.5)-SUM($J289:AE289),('PTRM input'!$J$159*(1+rvanilla04)^0.5)/A17stdlife))</f>
        <v>0</v>
      </c>
      <c r="AG289" s="107">
        <f>IF(A17stdlife="n/a","n/a",IF(AG$3&gt;(A17stdlife+$E289),('PTRM input'!$J$159*(1+rvanilla04)^0.5)-SUM($J289:AF289),('PTRM input'!$J$159*(1+rvanilla04)^0.5)/A17stdlife))</f>
        <v>0</v>
      </c>
      <c r="AH289" s="107">
        <f>IF(A17stdlife="n/a","n/a",IF(AH$3&gt;(A17stdlife+$E289),('PTRM input'!$J$159*(1+rvanilla04)^0.5)-SUM($J289:AG289),('PTRM input'!$J$159*(1+rvanilla04)^0.5)/A17stdlife))</f>
        <v>0</v>
      </c>
      <c r="AI289" s="107">
        <f>IF(A17stdlife="n/a","n/a",IF(AI$3&gt;(A17stdlife+$E289),('PTRM input'!$J$159*(1+rvanilla04)^0.5)-SUM($J289:AH289),('PTRM input'!$J$159*(1+rvanilla04)^0.5)/A17stdlife))</f>
        <v>0</v>
      </c>
      <c r="AJ289" s="107">
        <f>IF(A17stdlife="n/a","n/a",IF(AJ$3&gt;(A17stdlife+$E289),('PTRM input'!$J$159*(1+rvanilla04)^0.5)-SUM($J289:AI289),('PTRM input'!$J$159*(1+rvanilla04)^0.5)/A17stdlife))</f>
        <v>0</v>
      </c>
      <c r="AK289" s="107">
        <f>IF(A17stdlife="n/a","n/a",IF(AK$3&gt;(A17stdlife+$E289),('PTRM input'!$J$159*(1+rvanilla04)^0.5)-SUM($J289:AJ289),('PTRM input'!$J$159*(1+rvanilla04)^0.5)/A17stdlife))</f>
        <v>0</v>
      </c>
      <c r="AL289" s="107">
        <f>IF(A17stdlife="n/a","n/a",IF(AL$3&gt;(A17stdlife+$E289),('PTRM input'!$J$159*(1+rvanilla04)^0.5)-SUM($J289:AK289),('PTRM input'!$J$159*(1+rvanilla04)^0.5)/A17stdlife))</f>
        <v>0</v>
      </c>
      <c r="AM289" s="107">
        <f>IF(A17stdlife="n/a","n/a",IF(AM$3&gt;(A17stdlife+$E289),('PTRM input'!$J$159*(1+rvanilla04)^0.5)-SUM($J289:AL289),('PTRM input'!$J$159*(1+rvanilla04)^0.5)/A17stdlife))</f>
        <v>0</v>
      </c>
      <c r="AN289" s="107">
        <f>IF(A17stdlife="n/a","n/a",IF(AN$3&gt;(A17stdlife+$E289),('PTRM input'!$J$159*(1+rvanilla04)^0.5)-SUM($J289:AM289),('PTRM input'!$J$159*(1+rvanilla04)^0.5)/A17stdlife))</f>
        <v>0</v>
      </c>
      <c r="AO289" s="107">
        <f>IF(A17stdlife="n/a","n/a",IF(AO$3&gt;(A17stdlife+$E289),('PTRM input'!$J$159*(1+rvanilla04)^0.5)-SUM($J289:AN289),('PTRM input'!$J$159*(1+rvanilla04)^0.5)/A17stdlife))</f>
        <v>0</v>
      </c>
      <c r="AP289" s="107">
        <f>IF(A17stdlife="n/a","n/a",IF(AP$3&gt;(A17stdlife+$E289),('PTRM input'!$J$159*(1+rvanilla04)^0.5)-SUM($J289:AO289),('PTRM input'!$J$159*(1+rvanilla04)^0.5)/A17stdlife))</f>
        <v>0</v>
      </c>
      <c r="AQ289" s="107">
        <f>IF(A17stdlife="n/a","n/a",IF(AQ$3&gt;(A17stdlife+$E289),('PTRM input'!$J$159*(1+rvanilla04)^0.5)-SUM($J289:AP289),('PTRM input'!$J$159*(1+rvanilla04)^0.5)/A17stdlife))</f>
        <v>0</v>
      </c>
      <c r="AR289" s="107">
        <f>IF(A17stdlife="n/a","n/a",IF(AR$3&gt;(A17stdlife+$E289),('PTRM input'!$J$159*(1+rvanilla04)^0.5)-SUM($J289:AQ289),('PTRM input'!$J$159*(1+rvanilla04)^0.5)/A17stdlife))</f>
        <v>0</v>
      </c>
      <c r="AS289" s="107">
        <f>IF(A17stdlife="n/a","n/a",IF(AS$3&gt;(A17stdlife+$E289),('PTRM input'!$J$159*(1+rvanilla04)^0.5)-SUM($J289:AR289),('PTRM input'!$J$159*(1+rvanilla04)^0.5)/A17stdlife))</f>
        <v>0</v>
      </c>
      <c r="AT289" s="107">
        <f>IF(A17stdlife="n/a","n/a",IF(AT$3&gt;(A17stdlife+$E289),('PTRM input'!$J$159*(1+rvanilla04)^0.5)-SUM($J289:AS289),('PTRM input'!$J$159*(1+rvanilla04)^0.5)/A17stdlife))</f>
        <v>0</v>
      </c>
      <c r="AU289" s="107">
        <f>IF(A17stdlife="n/a","n/a",IF(AU$3&gt;(A17stdlife+$E289),('PTRM input'!$J$159*(1+rvanilla04)^0.5)-SUM($J289:AT289),('PTRM input'!$J$159*(1+rvanilla04)^0.5)/A17stdlife))</f>
        <v>0</v>
      </c>
      <c r="AV289" s="107">
        <f>IF(A17stdlife="n/a","n/a",IF(AV$3&gt;(A17stdlife+$E289),('PTRM input'!$J$159*(1+rvanilla04)^0.5)-SUM($J289:AU289),('PTRM input'!$J$159*(1+rvanilla04)^0.5)/A17stdlife))</f>
        <v>0</v>
      </c>
      <c r="AW289" s="107">
        <f>IF(A17stdlife="n/a","n/a",IF(AW$3&gt;(A17stdlife+$E289),('PTRM input'!$J$159*(1+rvanilla04)^0.5)-SUM($J289:AV289),('PTRM input'!$J$159*(1+rvanilla04)^0.5)/A17stdlife))</f>
        <v>0</v>
      </c>
      <c r="AX289" s="107">
        <f>IF(A17stdlife="n/a","n/a",IF(AX$3&gt;(A17stdlife+$E289),('PTRM input'!$J$159*(1+rvanilla04)^0.5)-SUM($J289:AW289),('PTRM input'!$J$159*(1+rvanilla04)^0.5)/A17stdlife))</f>
        <v>0</v>
      </c>
      <c r="AY289" s="107">
        <f>IF(A17stdlife="n/a","n/a",IF(AY$3&gt;(A17stdlife+$E289),('PTRM input'!$J$159*(1+rvanilla04)^0.5)-SUM($J289:AX289),('PTRM input'!$J$159*(1+rvanilla04)^0.5)/A17stdlife))</f>
        <v>0</v>
      </c>
      <c r="AZ289" s="107">
        <f>IF(A17stdlife="n/a","n/a",IF(AZ$3&gt;(A17stdlife+$E289),('PTRM input'!$J$159*(1+rvanilla04)^0.5)-SUM($J289:AY289),('PTRM input'!$J$159*(1+rvanilla04)^0.5)/A17stdlife))</f>
        <v>0</v>
      </c>
      <c r="BA289" s="107">
        <f>IF(A17stdlife="n/a","n/a",IF(BA$3&gt;(A17stdlife+$E289),('PTRM input'!$J$159*(1+rvanilla04)^0.5)-SUM($J289:AZ289),('PTRM input'!$J$159*(1+rvanilla04)^0.5)/A17stdlife))</f>
        <v>0</v>
      </c>
      <c r="BB289" s="107">
        <f>IF(A17stdlife="n/a","n/a",IF(BB$3&gt;(A17stdlife+$E289),('PTRM input'!$J$159*(1+rvanilla04)^0.5)-SUM($J289:BA289),('PTRM input'!$J$159*(1+rvanilla04)^0.5)/A17stdlife))</f>
        <v>0</v>
      </c>
      <c r="BC289" s="107">
        <f>IF(A17stdlife="n/a","n/a",IF(BC$3&gt;(A17stdlife+$E289),('PTRM input'!$J$159*(1+rvanilla04)^0.5)-SUM($J289:BB289),('PTRM input'!$J$159*(1+rvanilla04)^0.5)/A17stdlife))</f>
        <v>0</v>
      </c>
      <c r="BD289" s="107">
        <f>IF(A17stdlife="n/a","n/a",IF(BD$3&gt;(A17stdlife+$E289),('PTRM input'!$J$159*(1+rvanilla04)^0.5)-SUM($J289:BC289),('PTRM input'!$J$159*(1+rvanilla04)^0.5)/A17stdlife))</f>
        <v>0</v>
      </c>
      <c r="BE289" s="107">
        <f>IF(A17stdlife="n/a","n/a",IF(BE$3&gt;(A17stdlife+$E289),('PTRM input'!$J$159*(1+rvanilla04)^0.5)-SUM($J289:BD289),('PTRM input'!$J$159*(1+rvanilla04)^0.5)/A17stdlife))</f>
        <v>0</v>
      </c>
      <c r="BF289" s="107">
        <f>IF(A17stdlife="n/a","n/a",IF(BF$3&gt;(A17stdlife+$E289),('PTRM input'!$J$159*(1+rvanilla04)^0.5)-SUM($J289:BE289),('PTRM input'!$J$159*(1+rvanilla04)^0.5)/A17stdlife))</f>
        <v>0</v>
      </c>
      <c r="BG289" s="107">
        <f>IF(A17stdlife="n/a","n/a",IF(BG$3&gt;(A17stdlife+$E289),('PTRM input'!$J$159*(1+rvanilla04)^0.5)-SUM($J289:BF289),('PTRM input'!$J$159*(1+rvanilla04)^0.5)/A17stdlife))</f>
        <v>0</v>
      </c>
      <c r="BH289" s="107">
        <f>IF(A17stdlife="n/a","n/a",IF(BH$3&gt;(A17stdlife+$E289),('PTRM input'!$J$159*(1+rvanilla04)^0.5)-SUM($J289:BG289),('PTRM input'!$J$159*(1+rvanilla04)^0.5)/A17stdlife))</f>
        <v>0</v>
      </c>
      <c r="BI289" s="107">
        <f>IF(A17stdlife="n/a","n/a",IF(BI$3&gt;(A17stdlife+$E289),('PTRM input'!$J$159*(1+rvanilla04)^0.5)-SUM($J289:BH289),('PTRM input'!$J$159*(1+rvanilla04)^0.5)/A17stdlife))</f>
        <v>0</v>
      </c>
      <c r="BJ289" s="560"/>
      <c r="BK289" s="237"/>
      <c r="BL289" s="237"/>
      <c r="BM289" s="237"/>
    </row>
    <row r="290" spans="1:65" s="190" customFormat="1" hidden="1" outlineLevel="2">
      <c r="A290" s="237"/>
      <c r="B290" s="33"/>
      <c r="C290" s="32"/>
      <c r="D290" s="1618"/>
      <c r="E290" s="169">
        <v>5</v>
      </c>
      <c r="F290" s="35"/>
      <c r="G290" s="184"/>
      <c r="H290" s="186"/>
      <c r="I290" s="186"/>
      <c r="J290" s="186"/>
      <c r="K290" s="185"/>
      <c r="L290" s="107">
        <f>IF(A17stdlife="n/a","n/a",IF(L$3&gt;(A17stdlife+$E290),('PTRM input'!$K$159*(1+rvanilla05)^0.5)-SUM($K290:K290),('PTRM input'!$K$159*(1+rvanilla05)^0.5)/A17stdlife))</f>
        <v>0</v>
      </c>
      <c r="M290" s="107">
        <f>IF(A17stdlife="n/a","n/a",IF(M$3&gt;(A17stdlife+$E290),('PTRM input'!$K$159*(1+rvanilla05)^0.5)-SUM($K290:L290),('PTRM input'!$K$159*(1+rvanilla05)^0.5)/A17stdlife))</f>
        <v>0</v>
      </c>
      <c r="N290" s="107">
        <f>IF(A17stdlife="n/a","n/a",IF(N$3&gt;(A17stdlife+$E290),('PTRM input'!$K$159*(1+rvanilla05)^0.5)-SUM($K290:M290),('PTRM input'!$K$159*(1+rvanilla05)^0.5)/A17stdlife))</f>
        <v>0</v>
      </c>
      <c r="O290" s="107">
        <f>IF(A17stdlife="n/a","n/a",IF(O$3&gt;(A17stdlife+$E290),('PTRM input'!$K$159*(1+rvanilla05)^0.5)-SUM($K290:N290),('PTRM input'!$K$159*(1+rvanilla05)^0.5)/A17stdlife))</f>
        <v>0</v>
      </c>
      <c r="P290" s="107">
        <f>IF(A17stdlife="n/a","n/a",IF(P$3&gt;(A17stdlife+$E290),('PTRM input'!$K$159*(1+rvanilla05)^0.5)-SUM($K290:O290),('PTRM input'!$K$159*(1+rvanilla05)^0.5)/A17stdlife))</f>
        <v>0</v>
      </c>
      <c r="Q290" s="107">
        <f>IF(A17stdlife="n/a","n/a",IF(Q$3&gt;(A17stdlife+$E290),('PTRM input'!$K$159*(1+rvanilla05)^0.5)-SUM($K290:P290),('PTRM input'!$K$159*(1+rvanilla05)^0.5)/A17stdlife))</f>
        <v>0</v>
      </c>
      <c r="R290" s="107">
        <f>IF(A17stdlife="n/a","n/a",IF(R$3&gt;(A17stdlife+$E290),('PTRM input'!$K$159*(1+rvanilla05)^0.5)-SUM($K290:Q290),('PTRM input'!$K$159*(1+rvanilla05)^0.5)/A17stdlife))</f>
        <v>0</v>
      </c>
      <c r="S290" s="107">
        <f>IF(A17stdlife="n/a","n/a",IF(S$3&gt;(A17stdlife+$E290),('PTRM input'!$K$159*(1+rvanilla05)^0.5)-SUM($K290:R290),('PTRM input'!$K$159*(1+rvanilla05)^0.5)/A17stdlife))</f>
        <v>0</v>
      </c>
      <c r="T290" s="107">
        <f>IF(A17stdlife="n/a","n/a",IF(T$3&gt;(A17stdlife+$E290),('PTRM input'!$K$159*(1+rvanilla05)^0.5)-SUM($K290:S290),('PTRM input'!$K$159*(1+rvanilla05)^0.5)/A17stdlife))</f>
        <v>0</v>
      </c>
      <c r="U290" s="107">
        <f>IF(A17stdlife="n/a","n/a",IF(U$3&gt;(A17stdlife+$E290),('PTRM input'!$K$159*(1+rvanilla05)^0.5)-SUM($K290:T290),('PTRM input'!$K$159*(1+rvanilla05)^0.5)/A17stdlife))</f>
        <v>0</v>
      </c>
      <c r="V290" s="107">
        <f>IF(A17stdlife="n/a","n/a",IF(V$3&gt;(A17stdlife+$E290),('PTRM input'!$K$159*(1+rvanilla05)^0.5)-SUM($K290:U290),('PTRM input'!$K$159*(1+rvanilla05)^0.5)/A17stdlife))</f>
        <v>0</v>
      </c>
      <c r="W290" s="107">
        <f>IF(A17stdlife="n/a","n/a",IF(W$3&gt;(A17stdlife+$E290),('PTRM input'!$K$159*(1+rvanilla05)^0.5)-SUM($K290:V290),('PTRM input'!$K$159*(1+rvanilla05)^0.5)/A17stdlife))</f>
        <v>0</v>
      </c>
      <c r="X290" s="107">
        <f>IF(A17stdlife="n/a","n/a",IF(X$3&gt;(A17stdlife+$E290),('PTRM input'!$K$159*(1+rvanilla05)^0.5)-SUM($K290:W290),('PTRM input'!$K$159*(1+rvanilla05)^0.5)/A17stdlife))</f>
        <v>0</v>
      </c>
      <c r="Y290" s="107">
        <f>IF(A17stdlife="n/a","n/a",IF(Y$3&gt;(A17stdlife+$E290),('PTRM input'!$K$159*(1+rvanilla05)^0.5)-SUM($K290:X290),('PTRM input'!$K$159*(1+rvanilla05)^0.5)/A17stdlife))</f>
        <v>0</v>
      </c>
      <c r="Z290" s="107">
        <f>IF(A17stdlife="n/a","n/a",IF(Z$3&gt;(A17stdlife+$E290),('PTRM input'!$K$159*(1+rvanilla05)^0.5)-SUM($K290:Y290),('PTRM input'!$K$159*(1+rvanilla05)^0.5)/A17stdlife))</f>
        <v>0</v>
      </c>
      <c r="AA290" s="107">
        <f>IF(A17stdlife="n/a","n/a",IF(AA$3&gt;(A17stdlife+$E290),('PTRM input'!$K$159*(1+rvanilla05)^0.5)-SUM($K290:Z290),('PTRM input'!$K$159*(1+rvanilla05)^0.5)/A17stdlife))</f>
        <v>0</v>
      </c>
      <c r="AB290" s="107">
        <f>IF(A17stdlife="n/a","n/a",IF(AB$3&gt;(A17stdlife+$E290),('PTRM input'!$K$159*(1+rvanilla05)^0.5)-SUM($K290:AA290),('PTRM input'!$K$159*(1+rvanilla05)^0.5)/A17stdlife))</f>
        <v>0</v>
      </c>
      <c r="AC290" s="107">
        <f>IF(A17stdlife="n/a","n/a",IF(AC$3&gt;(A17stdlife+$E290),('PTRM input'!$K$159*(1+rvanilla05)^0.5)-SUM($K290:AB290),('PTRM input'!$K$159*(1+rvanilla05)^0.5)/A17stdlife))</f>
        <v>0</v>
      </c>
      <c r="AD290" s="107">
        <f>IF(A17stdlife="n/a","n/a",IF(AD$3&gt;(A17stdlife+$E290),('PTRM input'!$K$159*(1+rvanilla05)^0.5)-SUM($K290:AC290),('PTRM input'!$K$159*(1+rvanilla05)^0.5)/A17stdlife))</f>
        <v>0</v>
      </c>
      <c r="AE290" s="107">
        <f>IF(A17stdlife="n/a","n/a",IF(AE$3&gt;(A17stdlife+$E290),('PTRM input'!$K$159*(1+rvanilla05)^0.5)-SUM($K290:AD290),('PTRM input'!$K$159*(1+rvanilla05)^0.5)/A17stdlife))</f>
        <v>0</v>
      </c>
      <c r="AF290" s="107">
        <f>IF(A17stdlife="n/a","n/a",IF(AF$3&gt;(A17stdlife+$E290),('PTRM input'!$K$159*(1+rvanilla05)^0.5)-SUM($K290:AE290),('PTRM input'!$K$159*(1+rvanilla05)^0.5)/A17stdlife))</f>
        <v>0</v>
      </c>
      <c r="AG290" s="107">
        <f>IF(A17stdlife="n/a","n/a",IF(AG$3&gt;(A17stdlife+$E290),('PTRM input'!$K$159*(1+rvanilla05)^0.5)-SUM($K290:AF290),('PTRM input'!$K$159*(1+rvanilla05)^0.5)/A17stdlife))</f>
        <v>0</v>
      </c>
      <c r="AH290" s="107">
        <f>IF(A17stdlife="n/a","n/a",IF(AH$3&gt;(A17stdlife+$E290),('PTRM input'!$K$159*(1+rvanilla05)^0.5)-SUM($K290:AG290),('PTRM input'!$K$159*(1+rvanilla05)^0.5)/A17stdlife))</f>
        <v>0</v>
      </c>
      <c r="AI290" s="107">
        <f>IF(A17stdlife="n/a","n/a",IF(AI$3&gt;(A17stdlife+$E290),('PTRM input'!$K$159*(1+rvanilla05)^0.5)-SUM($K290:AH290),('PTRM input'!$K$159*(1+rvanilla05)^0.5)/A17stdlife))</f>
        <v>0</v>
      </c>
      <c r="AJ290" s="107">
        <f>IF(A17stdlife="n/a","n/a",IF(AJ$3&gt;(A17stdlife+$E290),('PTRM input'!$K$159*(1+rvanilla05)^0.5)-SUM($K290:AI290),('PTRM input'!$K$159*(1+rvanilla05)^0.5)/A17stdlife))</f>
        <v>0</v>
      </c>
      <c r="AK290" s="107">
        <f>IF(A17stdlife="n/a","n/a",IF(AK$3&gt;(A17stdlife+$E290),('PTRM input'!$K$159*(1+rvanilla05)^0.5)-SUM($K290:AJ290),('PTRM input'!$K$159*(1+rvanilla05)^0.5)/A17stdlife))</f>
        <v>0</v>
      </c>
      <c r="AL290" s="107">
        <f>IF(A17stdlife="n/a","n/a",IF(AL$3&gt;(A17stdlife+$E290),('PTRM input'!$K$159*(1+rvanilla05)^0.5)-SUM($K290:AK290),('PTRM input'!$K$159*(1+rvanilla05)^0.5)/A17stdlife))</f>
        <v>0</v>
      </c>
      <c r="AM290" s="107">
        <f>IF(A17stdlife="n/a","n/a",IF(AM$3&gt;(A17stdlife+$E290),('PTRM input'!$K$159*(1+rvanilla05)^0.5)-SUM($K290:AL290),('PTRM input'!$K$159*(1+rvanilla05)^0.5)/A17stdlife))</f>
        <v>0</v>
      </c>
      <c r="AN290" s="107">
        <f>IF(A17stdlife="n/a","n/a",IF(AN$3&gt;(A17stdlife+$E290),('PTRM input'!$K$159*(1+rvanilla05)^0.5)-SUM($K290:AM290),('PTRM input'!$K$159*(1+rvanilla05)^0.5)/A17stdlife))</f>
        <v>0</v>
      </c>
      <c r="AO290" s="107">
        <f>IF(A17stdlife="n/a","n/a",IF(AO$3&gt;(A17stdlife+$E290),('PTRM input'!$K$159*(1+rvanilla05)^0.5)-SUM($K290:AN290),('PTRM input'!$K$159*(1+rvanilla05)^0.5)/A17stdlife))</f>
        <v>0</v>
      </c>
      <c r="AP290" s="107">
        <f>IF(A17stdlife="n/a","n/a",IF(AP$3&gt;(A17stdlife+$E290),('PTRM input'!$K$159*(1+rvanilla05)^0.5)-SUM($K290:AO290),('PTRM input'!$K$159*(1+rvanilla05)^0.5)/A17stdlife))</f>
        <v>0</v>
      </c>
      <c r="AQ290" s="107">
        <f>IF(A17stdlife="n/a","n/a",IF(AQ$3&gt;(A17stdlife+$E290),('PTRM input'!$K$159*(1+rvanilla05)^0.5)-SUM($K290:AP290),('PTRM input'!$K$159*(1+rvanilla05)^0.5)/A17stdlife))</f>
        <v>0</v>
      </c>
      <c r="AR290" s="107">
        <f>IF(A17stdlife="n/a","n/a",IF(AR$3&gt;(A17stdlife+$E290),('PTRM input'!$K$159*(1+rvanilla05)^0.5)-SUM($K290:AQ290),('PTRM input'!$K$159*(1+rvanilla05)^0.5)/A17stdlife))</f>
        <v>0</v>
      </c>
      <c r="AS290" s="107">
        <f>IF(A17stdlife="n/a","n/a",IF(AS$3&gt;(A17stdlife+$E290),('PTRM input'!$K$159*(1+rvanilla05)^0.5)-SUM($K290:AR290),('PTRM input'!$K$159*(1+rvanilla05)^0.5)/A17stdlife))</f>
        <v>0</v>
      </c>
      <c r="AT290" s="107">
        <f>IF(A17stdlife="n/a","n/a",IF(AT$3&gt;(A17stdlife+$E290),('PTRM input'!$K$159*(1+rvanilla05)^0.5)-SUM($K290:AS290),('PTRM input'!$K$159*(1+rvanilla05)^0.5)/A17stdlife))</f>
        <v>0</v>
      </c>
      <c r="AU290" s="107">
        <f>IF(A17stdlife="n/a","n/a",IF(AU$3&gt;(A17stdlife+$E290),('PTRM input'!$K$159*(1+rvanilla05)^0.5)-SUM($K290:AT290),('PTRM input'!$K$159*(1+rvanilla05)^0.5)/A17stdlife))</f>
        <v>0</v>
      </c>
      <c r="AV290" s="107">
        <f>IF(A17stdlife="n/a","n/a",IF(AV$3&gt;(A17stdlife+$E290),('PTRM input'!$K$159*(1+rvanilla05)^0.5)-SUM($K290:AU290),('PTRM input'!$K$159*(1+rvanilla05)^0.5)/A17stdlife))</f>
        <v>0</v>
      </c>
      <c r="AW290" s="107">
        <f>IF(A17stdlife="n/a","n/a",IF(AW$3&gt;(A17stdlife+$E290),('PTRM input'!$K$159*(1+rvanilla05)^0.5)-SUM($K290:AV290),('PTRM input'!$K$159*(1+rvanilla05)^0.5)/A17stdlife))</f>
        <v>0</v>
      </c>
      <c r="AX290" s="107">
        <f>IF(A17stdlife="n/a","n/a",IF(AX$3&gt;(A17stdlife+$E290),('PTRM input'!$K$159*(1+rvanilla05)^0.5)-SUM($K290:AW290),('PTRM input'!$K$159*(1+rvanilla05)^0.5)/A17stdlife))</f>
        <v>0</v>
      </c>
      <c r="AY290" s="107">
        <f>IF(A17stdlife="n/a","n/a",IF(AY$3&gt;(A17stdlife+$E290),('PTRM input'!$K$159*(1+rvanilla05)^0.5)-SUM($K290:AX290),('PTRM input'!$K$159*(1+rvanilla05)^0.5)/A17stdlife))</f>
        <v>0</v>
      </c>
      <c r="AZ290" s="107">
        <f>IF(A17stdlife="n/a","n/a",IF(AZ$3&gt;(A17stdlife+$E290),('PTRM input'!$K$159*(1+rvanilla05)^0.5)-SUM($K290:AY290),('PTRM input'!$K$159*(1+rvanilla05)^0.5)/A17stdlife))</f>
        <v>0</v>
      </c>
      <c r="BA290" s="107">
        <f>IF(A17stdlife="n/a","n/a",IF(BA$3&gt;(A17stdlife+$E290),('PTRM input'!$K$159*(1+rvanilla05)^0.5)-SUM($K290:AZ290),('PTRM input'!$K$159*(1+rvanilla05)^0.5)/A17stdlife))</f>
        <v>0</v>
      </c>
      <c r="BB290" s="107">
        <f>IF(A17stdlife="n/a","n/a",IF(BB$3&gt;(A17stdlife+$E290),('PTRM input'!$K$159*(1+rvanilla05)^0.5)-SUM($K290:BA290),('PTRM input'!$K$159*(1+rvanilla05)^0.5)/A17stdlife))</f>
        <v>0</v>
      </c>
      <c r="BC290" s="107">
        <f>IF(A17stdlife="n/a","n/a",IF(BC$3&gt;(A17stdlife+$E290),('PTRM input'!$K$159*(1+rvanilla05)^0.5)-SUM($K290:BB290),('PTRM input'!$K$159*(1+rvanilla05)^0.5)/A17stdlife))</f>
        <v>0</v>
      </c>
      <c r="BD290" s="107">
        <f>IF(A17stdlife="n/a","n/a",IF(BD$3&gt;(A17stdlife+$E290),('PTRM input'!$K$159*(1+rvanilla05)^0.5)-SUM($K290:BC290),('PTRM input'!$K$159*(1+rvanilla05)^0.5)/A17stdlife))</f>
        <v>0</v>
      </c>
      <c r="BE290" s="107">
        <f>IF(A17stdlife="n/a","n/a",IF(BE$3&gt;(A17stdlife+$E290),('PTRM input'!$K$159*(1+rvanilla05)^0.5)-SUM($K290:BD290),('PTRM input'!$K$159*(1+rvanilla05)^0.5)/A17stdlife))</f>
        <v>0</v>
      </c>
      <c r="BF290" s="107">
        <f>IF(A17stdlife="n/a","n/a",IF(BF$3&gt;(A17stdlife+$E290),('PTRM input'!$K$159*(1+rvanilla05)^0.5)-SUM($K290:BE290),('PTRM input'!$K$159*(1+rvanilla05)^0.5)/A17stdlife))</f>
        <v>0</v>
      </c>
      <c r="BG290" s="107">
        <f>IF(A17stdlife="n/a","n/a",IF(BG$3&gt;(A17stdlife+$E290),('PTRM input'!$K$159*(1+rvanilla05)^0.5)-SUM($K290:BF290),('PTRM input'!$K$159*(1+rvanilla05)^0.5)/A17stdlife))</f>
        <v>0</v>
      </c>
      <c r="BH290" s="107">
        <f>IF(A17stdlife="n/a","n/a",IF(BH$3&gt;(A17stdlife+$E290),('PTRM input'!$K$159*(1+rvanilla05)^0.5)-SUM($K290:BG290),('PTRM input'!$K$159*(1+rvanilla05)^0.5)/A17stdlife))</f>
        <v>0</v>
      </c>
      <c r="BI290" s="107">
        <f>IF(A17stdlife="n/a","n/a",IF(BI$3&gt;(A17stdlife+$E290),('PTRM input'!$K$159*(1+rvanilla05)^0.5)-SUM($K290:BH290),('PTRM input'!$K$159*(1+rvanilla05)^0.5)/A17stdlife))</f>
        <v>0</v>
      </c>
      <c r="BJ290" s="237"/>
      <c r="BK290" s="237"/>
      <c r="BL290" s="237"/>
      <c r="BM290" s="237"/>
    </row>
    <row r="291" spans="1:65" s="190" customFormat="1" hidden="1" outlineLevel="2">
      <c r="A291" s="237"/>
      <c r="B291" s="33"/>
      <c r="C291" s="32"/>
      <c r="D291" s="1618"/>
      <c r="E291" s="169">
        <v>6</v>
      </c>
      <c r="F291" s="35"/>
      <c r="G291" s="184"/>
      <c r="H291" s="186"/>
      <c r="I291" s="186"/>
      <c r="J291" s="186"/>
      <c r="K291" s="186"/>
      <c r="L291" s="185"/>
      <c r="M291" s="107">
        <f>IF(A17stdlife="n/a","n/a",IF(M$3&gt;(A17stdlife+$E291),('PTRM input'!$L$159*(1+rvanilla06)^0.5)-SUM($L291:L291),('PTRM input'!$L$159*(1+rvanilla06)^0.5)/A17stdlife))</f>
        <v>0</v>
      </c>
      <c r="N291" s="107">
        <f>IF(A17stdlife="n/a","n/a",IF(N$3&gt;(A17stdlife+$E291),('PTRM input'!$L$159*(1+rvanilla06)^0.5)-SUM($L291:M291),('PTRM input'!$L$159*(1+rvanilla06)^0.5)/A17stdlife))</f>
        <v>0</v>
      </c>
      <c r="O291" s="107">
        <f>IF(A17stdlife="n/a","n/a",IF(O$3&gt;(A17stdlife+$E291),('PTRM input'!$L$159*(1+rvanilla06)^0.5)-SUM($L291:N291),('PTRM input'!$L$159*(1+rvanilla06)^0.5)/A17stdlife))</f>
        <v>0</v>
      </c>
      <c r="P291" s="107">
        <f>IF(A17stdlife="n/a","n/a",IF(P$3&gt;(A17stdlife+$E291),('PTRM input'!$L$159*(1+rvanilla06)^0.5)-SUM($L291:O291),('PTRM input'!$L$159*(1+rvanilla06)^0.5)/A17stdlife))</f>
        <v>0</v>
      </c>
      <c r="Q291" s="107">
        <f>IF(A17stdlife="n/a","n/a",IF(Q$3&gt;(A17stdlife+$E291),('PTRM input'!$L$159*(1+rvanilla06)^0.5)-SUM($L291:P291),('PTRM input'!$L$159*(1+rvanilla06)^0.5)/A17stdlife))</f>
        <v>0</v>
      </c>
      <c r="R291" s="107">
        <f>IF(A17stdlife="n/a","n/a",IF(R$3&gt;(A17stdlife+$E291),('PTRM input'!$L$159*(1+rvanilla06)^0.5)-SUM($L291:Q291),('PTRM input'!$L$159*(1+rvanilla06)^0.5)/A17stdlife))</f>
        <v>0</v>
      </c>
      <c r="S291" s="107">
        <f>IF(A17stdlife="n/a","n/a",IF(S$3&gt;(A17stdlife+$E291),('PTRM input'!$L$159*(1+rvanilla06)^0.5)-SUM($L291:R291),('PTRM input'!$L$159*(1+rvanilla06)^0.5)/A17stdlife))</f>
        <v>0</v>
      </c>
      <c r="T291" s="107">
        <f>IF(A17stdlife="n/a","n/a",IF(T$3&gt;(A17stdlife+$E291),('PTRM input'!$L$159*(1+rvanilla06)^0.5)-SUM($L291:S291),('PTRM input'!$L$159*(1+rvanilla06)^0.5)/A17stdlife))</f>
        <v>0</v>
      </c>
      <c r="U291" s="107">
        <f>IF(A17stdlife="n/a","n/a",IF(U$3&gt;(A17stdlife+$E291),('PTRM input'!$L$159*(1+rvanilla06)^0.5)-SUM($L291:T291),('PTRM input'!$L$159*(1+rvanilla06)^0.5)/A17stdlife))</f>
        <v>0</v>
      </c>
      <c r="V291" s="107">
        <f>IF(A17stdlife="n/a","n/a",IF(V$3&gt;(A17stdlife+$E291),('PTRM input'!$L$159*(1+rvanilla06)^0.5)-SUM($L291:U291),('PTRM input'!$L$159*(1+rvanilla06)^0.5)/A17stdlife))</f>
        <v>0</v>
      </c>
      <c r="W291" s="107">
        <f>IF(A17stdlife="n/a","n/a",IF(W$3&gt;(A17stdlife+$E291),('PTRM input'!$L$159*(1+rvanilla06)^0.5)-SUM($L291:V291),('PTRM input'!$L$159*(1+rvanilla06)^0.5)/A17stdlife))</f>
        <v>0</v>
      </c>
      <c r="X291" s="107">
        <f>IF(A17stdlife="n/a","n/a",IF(X$3&gt;(A17stdlife+$E291),('PTRM input'!$L$159*(1+rvanilla06)^0.5)-SUM($L291:W291),('PTRM input'!$L$159*(1+rvanilla06)^0.5)/A17stdlife))</f>
        <v>0</v>
      </c>
      <c r="Y291" s="107">
        <f>IF(A17stdlife="n/a","n/a",IF(Y$3&gt;(A17stdlife+$E291),('PTRM input'!$L$159*(1+rvanilla06)^0.5)-SUM($L291:X291),('PTRM input'!$L$159*(1+rvanilla06)^0.5)/A17stdlife))</f>
        <v>0</v>
      </c>
      <c r="Z291" s="107">
        <f>IF(A17stdlife="n/a","n/a",IF(Z$3&gt;(A17stdlife+$E291),('PTRM input'!$L$159*(1+rvanilla06)^0.5)-SUM($L291:Y291),('PTRM input'!$L$159*(1+rvanilla06)^0.5)/A17stdlife))</f>
        <v>0</v>
      </c>
      <c r="AA291" s="107">
        <f>IF(A17stdlife="n/a","n/a",IF(AA$3&gt;(A17stdlife+$E291),('PTRM input'!$L$159*(1+rvanilla06)^0.5)-SUM($L291:Z291),('PTRM input'!$L$159*(1+rvanilla06)^0.5)/A17stdlife))</f>
        <v>0</v>
      </c>
      <c r="AB291" s="107">
        <f>IF(A17stdlife="n/a","n/a",IF(AB$3&gt;(A17stdlife+$E291),('PTRM input'!$L$159*(1+rvanilla06)^0.5)-SUM($L291:AA291),('PTRM input'!$L$159*(1+rvanilla06)^0.5)/A17stdlife))</f>
        <v>0</v>
      </c>
      <c r="AC291" s="107">
        <f>IF(A17stdlife="n/a","n/a",IF(AC$3&gt;(A17stdlife+$E291),('PTRM input'!$L$159*(1+rvanilla06)^0.5)-SUM($L291:AB291),('PTRM input'!$L$159*(1+rvanilla06)^0.5)/A17stdlife))</f>
        <v>0</v>
      </c>
      <c r="AD291" s="107">
        <f>IF(A17stdlife="n/a","n/a",IF(AD$3&gt;(A17stdlife+$E291),('PTRM input'!$L$159*(1+rvanilla06)^0.5)-SUM($L291:AC291),('PTRM input'!$L$159*(1+rvanilla06)^0.5)/A17stdlife))</f>
        <v>0</v>
      </c>
      <c r="AE291" s="107">
        <f>IF(A17stdlife="n/a","n/a",IF(AE$3&gt;(A17stdlife+$E291),('PTRM input'!$L$159*(1+rvanilla06)^0.5)-SUM($L291:AD291),('PTRM input'!$L$159*(1+rvanilla06)^0.5)/A17stdlife))</f>
        <v>0</v>
      </c>
      <c r="AF291" s="107">
        <f>IF(A17stdlife="n/a","n/a",IF(AF$3&gt;(A17stdlife+$E291),('PTRM input'!$L$159*(1+rvanilla06)^0.5)-SUM($L291:AE291),('PTRM input'!$L$159*(1+rvanilla06)^0.5)/A17stdlife))</f>
        <v>0</v>
      </c>
      <c r="AG291" s="107">
        <f>IF(A17stdlife="n/a","n/a",IF(AG$3&gt;(A17stdlife+$E291),('PTRM input'!$L$159*(1+rvanilla06)^0.5)-SUM($L291:AF291),('PTRM input'!$L$159*(1+rvanilla06)^0.5)/A17stdlife))</f>
        <v>0</v>
      </c>
      <c r="AH291" s="107">
        <f>IF(A17stdlife="n/a","n/a",IF(AH$3&gt;(A17stdlife+$E291),('PTRM input'!$L$159*(1+rvanilla06)^0.5)-SUM($L291:AG291),('PTRM input'!$L$159*(1+rvanilla06)^0.5)/A17stdlife))</f>
        <v>0</v>
      </c>
      <c r="AI291" s="107">
        <f>IF(A17stdlife="n/a","n/a",IF(AI$3&gt;(A17stdlife+$E291),('PTRM input'!$L$159*(1+rvanilla06)^0.5)-SUM($L291:AH291),('PTRM input'!$L$159*(1+rvanilla06)^0.5)/A17stdlife))</f>
        <v>0</v>
      </c>
      <c r="AJ291" s="107">
        <f>IF(A17stdlife="n/a","n/a",IF(AJ$3&gt;(A17stdlife+$E291),('PTRM input'!$L$159*(1+rvanilla06)^0.5)-SUM($L291:AI291),('PTRM input'!$L$159*(1+rvanilla06)^0.5)/A17stdlife))</f>
        <v>0</v>
      </c>
      <c r="AK291" s="107">
        <f>IF(A17stdlife="n/a","n/a",IF(AK$3&gt;(A17stdlife+$E291),('PTRM input'!$L$159*(1+rvanilla06)^0.5)-SUM($L291:AJ291),('PTRM input'!$L$159*(1+rvanilla06)^0.5)/A17stdlife))</f>
        <v>0</v>
      </c>
      <c r="AL291" s="107">
        <f>IF(A17stdlife="n/a","n/a",IF(AL$3&gt;(A17stdlife+$E291),('PTRM input'!$L$159*(1+rvanilla06)^0.5)-SUM($L291:AK291),('PTRM input'!$L$159*(1+rvanilla06)^0.5)/A17stdlife))</f>
        <v>0</v>
      </c>
      <c r="AM291" s="107">
        <f>IF(A17stdlife="n/a","n/a",IF(AM$3&gt;(A17stdlife+$E291),('PTRM input'!$L$159*(1+rvanilla06)^0.5)-SUM($L291:AL291),('PTRM input'!$L$159*(1+rvanilla06)^0.5)/A17stdlife))</f>
        <v>0</v>
      </c>
      <c r="AN291" s="107">
        <f>IF(A17stdlife="n/a","n/a",IF(AN$3&gt;(A17stdlife+$E291),('PTRM input'!$L$159*(1+rvanilla06)^0.5)-SUM($L291:AM291),('PTRM input'!$L$159*(1+rvanilla06)^0.5)/A17stdlife))</f>
        <v>0</v>
      </c>
      <c r="AO291" s="107">
        <f>IF(A17stdlife="n/a","n/a",IF(AO$3&gt;(A17stdlife+$E291),('PTRM input'!$L$159*(1+rvanilla06)^0.5)-SUM($L291:AN291),('PTRM input'!$L$159*(1+rvanilla06)^0.5)/A17stdlife))</f>
        <v>0</v>
      </c>
      <c r="AP291" s="107">
        <f>IF(A17stdlife="n/a","n/a",IF(AP$3&gt;(A17stdlife+$E291),('PTRM input'!$L$159*(1+rvanilla06)^0.5)-SUM($L291:AO291),('PTRM input'!$L$159*(1+rvanilla06)^0.5)/A17stdlife))</f>
        <v>0</v>
      </c>
      <c r="AQ291" s="107">
        <f>IF(A17stdlife="n/a","n/a",IF(AQ$3&gt;(A17stdlife+$E291),('PTRM input'!$L$159*(1+rvanilla06)^0.5)-SUM($L291:AP291),('PTRM input'!$L$159*(1+rvanilla06)^0.5)/A17stdlife))</f>
        <v>0</v>
      </c>
      <c r="AR291" s="107">
        <f>IF(A17stdlife="n/a","n/a",IF(AR$3&gt;(A17stdlife+$E291),('PTRM input'!$L$159*(1+rvanilla06)^0.5)-SUM($L291:AQ291),('PTRM input'!$L$159*(1+rvanilla06)^0.5)/A17stdlife))</f>
        <v>0</v>
      </c>
      <c r="AS291" s="107">
        <f>IF(A17stdlife="n/a","n/a",IF(AS$3&gt;(A17stdlife+$E291),('PTRM input'!$L$159*(1+rvanilla06)^0.5)-SUM($L291:AR291),('PTRM input'!$L$159*(1+rvanilla06)^0.5)/A17stdlife))</f>
        <v>0</v>
      </c>
      <c r="AT291" s="107">
        <f>IF(A17stdlife="n/a","n/a",IF(AT$3&gt;(A17stdlife+$E291),('PTRM input'!$L$159*(1+rvanilla06)^0.5)-SUM($L291:AS291),('PTRM input'!$L$159*(1+rvanilla06)^0.5)/A17stdlife))</f>
        <v>0</v>
      </c>
      <c r="AU291" s="107">
        <f>IF(A17stdlife="n/a","n/a",IF(AU$3&gt;(A17stdlife+$E291),('PTRM input'!$L$159*(1+rvanilla06)^0.5)-SUM($L291:AT291),('PTRM input'!$L$159*(1+rvanilla06)^0.5)/A17stdlife))</f>
        <v>0</v>
      </c>
      <c r="AV291" s="107">
        <f>IF(A17stdlife="n/a","n/a",IF(AV$3&gt;(A17stdlife+$E291),('PTRM input'!$L$159*(1+rvanilla06)^0.5)-SUM($L291:AU291),('PTRM input'!$L$159*(1+rvanilla06)^0.5)/A17stdlife))</f>
        <v>0</v>
      </c>
      <c r="AW291" s="107">
        <f>IF(A17stdlife="n/a","n/a",IF(AW$3&gt;(A17stdlife+$E291),('PTRM input'!$L$159*(1+rvanilla06)^0.5)-SUM($L291:AV291),('PTRM input'!$L$159*(1+rvanilla06)^0.5)/A17stdlife))</f>
        <v>0</v>
      </c>
      <c r="AX291" s="107">
        <f>IF(A17stdlife="n/a","n/a",IF(AX$3&gt;(A17stdlife+$E291),('PTRM input'!$L$159*(1+rvanilla06)^0.5)-SUM($L291:AW291),('PTRM input'!$L$159*(1+rvanilla06)^0.5)/A17stdlife))</f>
        <v>0</v>
      </c>
      <c r="AY291" s="107">
        <f>IF(A17stdlife="n/a","n/a",IF(AY$3&gt;(A17stdlife+$E291),('PTRM input'!$L$159*(1+rvanilla06)^0.5)-SUM($L291:AX291),('PTRM input'!$L$159*(1+rvanilla06)^0.5)/A17stdlife))</f>
        <v>0</v>
      </c>
      <c r="AZ291" s="107">
        <f>IF(A17stdlife="n/a","n/a",IF(AZ$3&gt;(A17stdlife+$E291),('PTRM input'!$L$159*(1+rvanilla06)^0.5)-SUM($L291:AY291),('PTRM input'!$L$159*(1+rvanilla06)^0.5)/A17stdlife))</f>
        <v>0</v>
      </c>
      <c r="BA291" s="107">
        <f>IF(A17stdlife="n/a","n/a",IF(BA$3&gt;(A17stdlife+$E291),('PTRM input'!$L$159*(1+rvanilla06)^0.5)-SUM($L291:AZ291),('PTRM input'!$L$159*(1+rvanilla06)^0.5)/A17stdlife))</f>
        <v>0</v>
      </c>
      <c r="BB291" s="107">
        <f>IF(A17stdlife="n/a","n/a",IF(BB$3&gt;(A17stdlife+$E291),('PTRM input'!$L$159*(1+rvanilla06)^0.5)-SUM($L291:BA291),('PTRM input'!$L$159*(1+rvanilla06)^0.5)/A17stdlife))</f>
        <v>0</v>
      </c>
      <c r="BC291" s="107">
        <f>IF(A17stdlife="n/a","n/a",IF(BC$3&gt;(A17stdlife+$E291),('PTRM input'!$L$159*(1+rvanilla06)^0.5)-SUM($L291:BB291),('PTRM input'!$L$159*(1+rvanilla06)^0.5)/A17stdlife))</f>
        <v>0</v>
      </c>
      <c r="BD291" s="107">
        <f>IF(A17stdlife="n/a","n/a",IF(BD$3&gt;(A17stdlife+$E291),('PTRM input'!$L$159*(1+rvanilla06)^0.5)-SUM($L291:BC291),('PTRM input'!$L$159*(1+rvanilla06)^0.5)/A17stdlife))</f>
        <v>0</v>
      </c>
      <c r="BE291" s="107">
        <f>IF(A17stdlife="n/a","n/a",IF(BE$3&gt;(A17stdlife+$E291),('PTRM input'!$L$159*(1+rvanilla06)^0.5)-SUM($L291:BD291),('PTRM input'!$L$159*(1+rvanilla06)^0.5)/A17stdlife))</f>
        <v>0</v>
      </c>
      <c r="BF291" s="107">
        <f>IF(A17stdlife="n/a","n/a",IF(BF$3&gt;(A17stdlife+$E291),('PTRM input'!$L$159*(1+rvanilla06)^0.5)-SUM($L291:BE291),('PTRM input'!$L$159*(1+rvanilla06)^0.5)/A17stdlife))</f>
        <v>0</v>
      </c>
      <c r="BG291" s="107">
        <f>IF(A17stdlife="n/a","n/a",IF(BG$3&gt;(A17stdlife+$E291),('PTRM input'!$L$159*(1+rvanilla06)^0.5)-SUM($L291:BF291),('PTRM input'!$L$159*(1+rvanilla06)^0.5)/A17stdlife))</f>
        <v>0</v>
      </c>
      <c r="BH291" s="107">
        <f>IF(A17stdlife="n/a","n/a",IF(BH$3&gt;(A17stdlife+$E291),('PTRM input'!$L$159*(1+rvanilla06)^0.5)-SUM($L291:BG291),('PTRM input'!$L$159*(1+rvanilla06)^0.5)/A17stdlife))</f>
        <v>0</v>
      </c>
      <c r="BI291" s="107">
        <f>IF(A17stdlife="n/a","n/a",IF(BI$3&gt;(A17stdlife+$E291),('PTRM input'!$L$159*(1+rvanilla06)^0.5)-SUM($L291:BH291),('PTRM input'!$L$159*(1+rvanilla06)^0.5)/A17stdlife))</f>
        <v>0</v>
      </c>
      <c r="BJ291" s="237"/>
      <c r="BK291" s="237"/>
      <c r="BL291" s="237"/>
      <c r="BM291" s="237"/>
    </row>
    <row r="292" spans="1:65" s="190" customFormat="1" hidden="1" outlineLevel="2">
      <c r="A292" s="237"/>
      <c r="B292" s="33"/>
      <c r="C292" s="32"/>
      <c r="D292" s="1618"/>
      <c r="E292" s="169">
        <v>7</v>
      </c>
      <c r="F292" s="35"/>
      <c r="G292" s="184"/>
      <c r="H292" s="186"/>
      <c r="I292" s="186"/>
      <c r="J292" s="186"/>
      <c r="K292" s="186"/>
      <c r="L292" s="186"/>
      <c r="M292" s="185"/>
      <c r="N292" s="107">
        <f>IF(A17stdlife="n/a","n/a",IF(N$3&gt;(A17stdlife+$E292),('PTRM input'!$M$159*(1+rvanilla07)^0.5)-SUM($M292:M292),('PTRM input'!$M$159*(1+rvanilla07)^0.5)/A17stdlife))</f>
        <v>0</v>
      </c>
      <c r="O292" s="107">
        <f>IF(A17stdlife="n/a","n/a",IF(O$3&gt;(A17stdlife+$E292),('PTRM input'!$M$159*(1+rvanilla07)^0.5)-SUM($M292:N292),('PTRM input'!$M$159*(1+rvanilla07)^0.5)/A17stdlife))</f>
        <v>0</v>
      </c>
      <c r="P292" s="107">
        <f>IF(A17stdlife="n/a","n/a",IF(P$3&gt;(A17stdlife+$E292),('PTRM input'!$M$159*(1+rvanilla07)^0.5)-SUM($M292:O292),('PTRM input'!$M$159*(1+rvanilla07)^0.5)/A17stdlife))</f>
        <v>0</v>
      </c>
      <c r="Q292" s="107">
        <f>IF(A17stdlife="n/a","n/a",IF(Q$3&gt;(A17stdlife+$E292),('PTRM input'!$M$159*(1+rvanilla07)^0.5)-SUM($M292:P292),('PTRM input'!$M$159*(1+rvanilla07)^0.5)/A17stdlife))</f>
        <v>0</v>
      </c>
      <c r="R292" s="107">
        <f>IF(A17stdlife="n/a","n/a",IF(R$3&gt;(A17stdlife+$E292),('PTRM input'!$M$159*(1+rvanilla07)^0.5)-SUM($M292:Q292),('PTRM input'!$M$159*(1+rvanilla07)^0.5)/A17stdlife))</f>
        <v>0</v>
      </c>
      <c r="S292" s="107">
        <f>IF(A17stdlife="n/a","n/a",IF(S$3&gt;(A17stdlife+$E292),('PTRM input'!$M$159*(1+rvanilla07)^0.5)-SUM($M292:R292),('PTRM input'!$M$159*(1+rvanilla07)^0.5)/A17stdlife))</f>
        <v>0</v>
      </c>
      <c r="T292" s="107">
        <f>IF(A17stdlife="n/a","n/a",IF(T$3&gt;(A17stdlife+$E292),('PTRM input'!$M$159*(1+rvanilla07)^0.5)-SUM($M292:S292),('PTRM input'!$M$159*(1+rvanilla07)^0.5)/A17stdlife))</f>
        <v>0</v>
      </c>
      <c r="U292" s="107">
        <f>IF(A17stdlife="n/a","n/a",IF(U$3&gt;(A17stdlife+$E292),('PTRM input'!$M$159*(1+rvanilla07)^0.5)-SUM($M292:T292),('PTRM input'!$M$159*(1+rvanilla07)^0.5)/A17stdlife))</f>
        <v>0</v>
      </c>
      <c r="V292" s="107">
        <f>IF(A17stdlife="n/a","n/a",IF(V$3&gt;(A17stdlife+$E292),('PTRM input'!$M$159*(1+rvanilla07)^0.5)-SUM($M292:U292),('PTRM input'!$M$159*(1+rvanilla07)^0.5)/A17stdlife))</f>
        <v>0</v>
      </c>
      <c r="W292" s="107">
        <f>IF(A17stdlife="n/a","n/a",IF(W$3&gt;(A17stdlife+$E292),('PTRM input'!$M$159*(1+rvanilla07)^0.5)-SUM($M292:V292),('PTRM input'!$M$159*(1+rvanilla07)^0.5)/A17stdlife))</f>
        <v>0</v>
      </c>
      <c r="X292" s="107">
        <f>IF(A17stdlife="n/a","n/a",IF(X$3&gt;(A17stdlife+$E292),('PTRM input'!$M$159*(1+rvanilla07)^0.5)-SUM($M292:W292),('PTRM input'!$M$159*(1+rvanilla07)^0.5)/A17stdlife))</f>
        <v>0</v>
      </c>
      <c r="Y292" s="107">
        <f>IF(A17stdlife="n/a","n/a",IF(Y$3&gt;(A17stdlife+$E292),('PTRM input'!$M$159*(1+rvanilla07)^0.5)-SUM($M292:X292),('PTRM input'!$M$159*(1+rvanilla07)^0.5)/A17stdlife))</f>
        <v>0</v>
      </c>
      <c r="Z292" s="107">
        <f>IF(A17stdlife="n/a","n/a",IF(Z$3&gt;(A17stdlife+$E292),('PTRM input'!$M$159*(1+rvanilla07)^0.5)-SUM($M292:Y292),('PTRM input'!$M$159*(1+rvanilla07)^0.5)/A17stdlife))</f>
        <v>0</v>
      </c>
      <c r="AA292" s="107">
        <f>IF(A17stdlife="n/a","n/a",IF(AA$3&gt;(A17stdlife+$E292),('PTRM input'!$M$159*(1+rvanilla07)^0.5)-SUM($M292:Z292),('PTRM input'!$M$159*(1+rvanilla07)^0.5)/A17stdlife))</f>
        <v>0</v>
      </c>
      <c r="AB292" s="107">
        <f>IF(A17stdlife="n/a","n/a",IF(AB$3&gt;(A17stdlife+$E292),('PTRM input'!$M$159*(1+rvanilla07)^0.5)-SUM($M292:AA292),('PTRM input'!$M$159*(1+rvanilla07)^0.5)/A17stdlife))</f>
        <v>0</v>
      </c>
      <c r="AC292" s="107">
        <f>IF(A17stdlife="n/a","n/a",IF(AC$3&gt;(A17stdlife+$E292),('PTRM input'!$M$159*(1+rvanilla07)^0.5)-SUM($M292:AB292),('PTRM input'!$M$159*(1+rvanilla07)^0.5)/A17stdlife))</f>
        <v>0</v>
      </c>
      <c r="AD292" s="107">
        <f>IF(A17stdlife="n/a","n/a",IF(AD$3&gt;(A17stdlife+$E292),('PTRM input'!$M$159*(1+rvanilla07)^0.5)-SUM($M292:AC292),('PTRM input'!$M$159*(1+rvanilla07)^0.5)/A17stdlife))</f>
        <v>0</v>
      </c>
      <c r="AE292" s="107">
        <f>IF(A17stdlife="n/a","n/a",IF(AE$3&gt;(A17stdlife+$E292),('PTRM input'!$M$159*(1+rvanilla07)^0.5)-SUM($M292:AD292),('PTRM input'!$M$159*(1+rvanilla07)^0.5)/A17stdlife))</f>
        <v>0</v>
      </c>
      <c r="AF292" s="107">
        <f>IF(A17stdlife="n/a","n/a",IF(AF$3&gt;(A17stdlife+$E292),('PTRM input'!$M$159*(1+rvanilla07)^0.5)-SUM($M292:AE292),('PTRM input'!$M$159*(1+rvanilla07)^0.5)/A17stdlife))</f>
        <v>0</v>
      </c>
      <c r="AG292" s="107">
        <f>IF(A17stdlife="n/a","n/a",IF(AG$3&gt;(A17stdlife+$E292),('PTRM input'!$M$159*(1+rvanilla07)^0.5)-SUM($M292:AF292),('PTRM input'!$M$159*(1+rvanilla07)^0.5)/A17stdlife))</f>
        <v>0</v>
      </c>
      <c r="AH292" s="107">
        <f>IF(A17stdlife="n/a","n/a",IF(AH$3&gt;(A17stdlife+$E292),('PTRM input'!$M$159*(1+rvanilla07)^0.5)-SUM($M292:AG292),('PTRM input'!$M$159*(1+rvanilla07)^0.5)/A17stdlife))</f>
        <v>0</v>
      </c>
      <c r="AI292" s="107">
        <f>IF(A17stdlife="n/a","n/a",IF(AI$3&gt;(A17stdlife+$E292),('PTRM input'!$M$159*(1+rvanilla07)^0.5)-SUM($M292:AH292),('PTRM input'!$M$159*(1+rvanilla07)^0.5)/A17stdlife))</f>
        <v>0</v>
      </c>
      <c r="AJ292" s="107">
        <f>IF(A17stdlife="n/a","n/a",IF(AJ$3&gt;(A17stdlife+$E292),('PTRM input'!$M$159*(1+rvanilla07)^0.5)-SUM($M292:AI292),('PTRM input'!$M$159*(1+rvanilla07)^0.5)/A17stdlife))</f>
        <v>0</v>
      </c>
      <c r="AK292" s="107">
        <f>IF(A17stdlife="n/a","n/a",IF(AK$3&gt;(A17stdlife+$E292),('PTRM input'!$M$159*(1+rvanilla07)^0.5)-SUM($M292:AJ292),('PTRM input'!$M$159*(1+rvanilla07)^0.5)/A17stdlife))</f>
        <v>0</v>
      </c>
      <c r="AL292" s="107">
        <f>IF(A17stdlife="n/a","n/a",IF(AL$3&gt;(A17stdlife+$E292),('PTRM input'!$M$159*(1+rvanilla07)^0.5)-SUM($M292:AK292),('PTRM input'!$M$159*(1+rvanilla07)^0.5)/A17stdlife))</f>
        <v>0</v>
      </c>
      <c r="AM292" s="107">
        <f>IF(A17stdlife="n/a","n/a",IF(AM$3&gt;(A17stdlife+$E292),('PTRM input'!$M$159*(1+rvanilla07)^0.5)-SUM($M292:AL292),('PTRM input'!$M$159*(1+rvanilla07)^0.5)/A17stdlife))</f>
        <v>0</v>
      </c>
      <c r="AN292" s="107">
        <f>IF(A17stdlife="n/a","n/a",IF(AN$3&gt;(A17stdlife+$E292),('PTRM input'!$M$159*(1+rvanilla07)^0.5)-SUM($M292:AM292),('PTRM input'!$M$159*(1+rvanilla07)^0.5)/A17stdlife))</f>
        <v>0</v>
      </c>
      <c r="AO292" s="107">
        <f>IF(A17stdlife="n/a","n/a",IF(AO$3&gt;(A17stdlife+$E292),('PTRM input'!$M$159*(1+rvanilla07)^0.5)-SUM($M292:AN292),('PTRM input'!$M$159*(1+rvanilla07)^0.5)/A17stdlife))</f>
        <v>0</v>
      </c>
      <c r="AP292" s="107">
        <f>IF(A17stdlife="n/a","n/a",IF(AP$3&gt;(A17stdlife+$E292),('PTRM input'!$M$159*(1+rvanilla07)^0.5)-SUM($M292:AO292),('PTRM input'!$M$159*(1+rvanilla07)^0.5)/A17stdlife))</f>
        <v>0</v>
      </c>
      <c r="AQ292" s="107">
        <f>IF(A17stdlife="n/a","n/a",IF(AQ$3&gt;(A17stdlife+$E292),('PTRM input'!$M$159*(1+rvanilla07)^0.5)-SUM($M292:AP292),('PTRM input'!$M$159*(1+rvanilla07)^0.5)/A17stdlife))</f>
        <v>0</v>
      </c>
      <c r="AR292" s="107">
        <f>IF(A17stdlife="n/a","n/a",IF(AR$3&gt;(A17stdlife+$E292),('PTRM input'!$M$159*(1+rvanilla07)^0.5)-SUM($M292:AQ292),('PTRM input'!$M$159*(1+rvanilla07)^0.5)/A17stdlife))</f>
        <v>0</v>
      </c>
      <c r="AS292" s="107">
        <f>IF(A17stdlife="n/a","n/a",IF(AS$3&gt;(A17stdlife+$E292),('PTRM input'!$M$159*(1+rvanilla07)^0.5)-SUM($M292:AR292),('PTRM input'!$M$159*(1+rvanilla07)^0.5)/A17stdlife))</f>
        <v>0</v>
      </c>
      <c r="AT292" s="107">
        <f>IF(A17stdlife="n/a","n/a",IF(AT$3&gt;(A17stdlife+$E292),('PTRM input'!$M$159*(1+rvanilla07)^0.5)-SUM($M292:AS292),('PTRM input'!$M$159*(1+rvanilla07)^0.5)/A17stdlife))</f>
        <v>0</v>
      </c>
      <c r="AU292" s="107">
        <f>IF(A17stdlife="n/a","n/a",IF(AU$3&gt;(A17stdlife+$E292),('PTRM input'!$M$159*(1+rvanilla07)^0.5)-SUM($M292:AT292),('PTRM input'!$M$159*(1+rvanilla07)^0.5)/A17stdlife))</f>
        <v>0</v>
      </c>
      <c r="AV292" s="107">
        <f>IF(A17stdlife="n/a","n/a",IF(AV$3&gt;(A17stdlife+$E292),('PTRM input'!$M$159*(1+rvanilla07)^0.5)-SUM($M292:AU292),('PTRM input'!$M$159*(1+rvanilla07)^0.5)/A17stdlife))</f>
        <v>0</v>
      </c>
      <c r="AW292" s="107">
        <f>IF(A17stdlife="n/a","n/a",IF(AW$3&gt;(A17stdlife+$E292),('PTRM input'!$M$159*(1+rvanilla07)^0.5)-SUM($M292:AV292),('PTRM input'!$M$159*(1+rvanilla07)^0.5)/A17stdlife))</f>
        <v>0</v>
      </c>
      <c r="AX292" s="107">
        <f>IF(A17stdlife="n/a","n/a",IF(AX$3&gt;(A17stdlife+$E292),('PTRM input'!$M$159*(1+rvanilla07)^0.5)-SUM($M292:AW292),('PTRM input'!$M$159*(1+rvanilla07)^0.5)/A17stdlife))</f>
        <v>0</v>
      </c>
      <c r="AY292" s="107">
        <f>IF(A17stdlife="n/a","n/a",IF(AY$3&gt;(A17stdlife+$E292),('PTRM input'!$M$159*(1+rvanilla07)^0.5)-SUM($M292:AX292),('PTRM input'!$M$159*(1+rvanilla07)^0.5)/A17stdlife))</f>
        <v>0</v>
      </c>
      <c r="AZ292" s="107">
        <f>IF(A17stdlife="n/a","n/a",IF(AZ$3&gt;(A17stdlife+$E292),('PTRM input'!$M$159*(1+rvanilla07)^0.5)-SUM($M292:AY292),('PTRM input'!$M$159*(1+rvanilla07)^0.5)/A17stdlife))</f>
        <v>0</v>
      </c>
      <c r="BA292" s="107">
        <f>IF(A17stdlife="n/a","n/a",IF(BA$3&gt;(A17stdlife+$E292),('PTRM input'!$M$159*(1+rvanilla07)^0.5)-SUM($M292:AZ292),('PTRM input'!$M$159*(1+rvanilla07)^0.5)/A17stdlife))</f>
        <v>0</v>
      </c>
      <c r="BB292" s="107">
        <f>IF(A17stdlife="n/a","n/a",IF(BB$3&gt;(A17stdlife+$E292),('PTRM input'!$M$159*(1+rvanilla07)^0.5)-SUM($M292:BA292),('PTRM input'!$M$159*(1+rvanilla07)^0.5)/A17stdlife))</f>
        <v>0</v>
      </c>
      <c r="BC292" s="107">
        <f>IF(A17stdlife="n/a","n/a",IF(BC$3&gt;(A17stdlife+$E292),('PTRM input'!$M$159*(1+rvanilla07)^0.5)-SUM($M292:BB292),('PTRM input'!$M$159*(1+rvanilla07)^0.5)/A17stdlife))</f>
        <v>0</v>
      </c>
      <c r="BD292" s="107">
        <f>IF(A17stdlife="n/a","n/a",IF(BD$3&gt;(A17stdlife+$E292),('PTRM input'!$M$159*(1+rvanilla07)^0.5)-SUM($M292:BC292),('PTRM input'!$M$159*(1+rvanilla07)^0.5)/A17stdlife))</f>
        <v>0</v>
      </c>
      <c r="BE292" s="107">
        <f>IF(A17stdlife="n/a","n/a",IF(BE$3&gt;(A17stdlife+$E292),('PTRM input'!$M$159*(1+rvanilla07)^0.5)-SUM($M292:BD292),('PTRM input'!$M$159*(1+rvanilla07)^0.5)/A17stdlife))</f>
        <v>0</v>
      </c>
      <c r="BF292" s="107">
        <f>IF(A17stdlife="n/a","n/a",IF(BF$3&gt;(A17stdlife+$E292),('PTRM input'!$M$159*(1+rvanilla07)^0.5)-SUM($M292:BE292),('PTRM input'!$M$159*(1+rvanilla07)^0.5)/A17stdlife))</f>
        <v>0</v>
      </c>
      <c r="BG292" s="107">
        <f>IF(A17stdlife="n/a","n/a",IF(BG$3&gt;(A17stdlife+$E292),('PTRM input'!$M$159*(1+rvanilla07)^0.5)-SUM($M292:BF292),('PTRM input'!$M$159*(1+rvanilla07)^0.5)/A17stdlife))</f>
        <v>0</v>
      </c>
      <c r="BH292" s="107">
        <f>IF(A17stdlife="n/a","n/a",IF(BH$3&gt;(A17stdlife+$E292),('PTRM input'!$M$159*(1+rvanilla07)^0.5)-SUM($M292:BG292),('PTRM input'!$M$159*(1+rvanilla07)^0.5)/A17stdlife))</f>
        <v>0</v>
      </c>
      <c r="BI292" s="107">
        <f>IF(A17stdlife="n/a","n/a",IF(BI$3&gt;(A17stdlife+$E292),('PTRM input'!$M$159*(1+rvanilla07)^0.5)-SUM($M292:BH292),('PTRM input'!$M$159*(1+rvanilla07)^0.5)/A17stdlife))</f>
        <v>0</v>
      </c>
      <c r="BJ292" s="237"/>
      <c r="BK292" s="237"/>
      <c r="BL292" s="237"/>
      <c r="BM292" s="237"/>
    </row>
    <row r="293" spans="1:65" s="190" customFormat="1" hidden="1" outlineLevel="2">
      <c r="A293" s="237"/>
      <c r="B293" s="33"/>
      <c r="C293" s="32"/>
      <c r="D293" s="1618"/>
      <c r="E293" s="169">
        <v>8</v>
      </c>
      <c r="F293" s="35"/>
      <c r="G293" s="184"/>
      <c r="H293" s="186"/>
      <c r="I293" s="186"/>
      <c r="J293" s="186"/>
      <c r="K293" s="186"/>
      <c r="L293" s="186"/>
      <c r="M293" s="186"/>
      <c r="N293" s="185"/>
      <c r="O293" s="107">
        <f>IF(A17stdlife="n/a","n/a",IF(O$3&gt;(A17stdlife+$E293),('PTRM input'!$N$159*(1+rvanilla08)^0.5)-SUM($N293:N293),('PTRM input'!$N$159*(1+rvanilla08)^0.5)/A17stdlife))</f>
        <v>0</v>
      </c>
      <c r="P293" s="107">
        <f>IF(A17stdlife="n/a","n/a",IF(P$3&gt;(A17stdlife+$E293),('PTRM input'!$N$159*(1+rvanilla08)^0.5)-SUM($N293:O293),('PTRM input'!$N$159*(1+rvanilla08)^0.5)/A17stdlife))</f>
        <v>0</v>
      </c>
      <c r="Q293" s="107">
        <f>IF(A17stdlife="n/a","n/a",IF(Q$3&gt;(A17stdlife+$E293),('PTRM input'!$N$159*(1+rvanilla08)^0.5)-SUM($N293:P293),('PTRM input'!$N$159*(1+rvanilla08)^0.5)/A17stdlife))</f>
        <v>0</v>
      </c>
      <c r="R293" s="107">
        <f>IF(A17stdlife="n/a","n/a",IF(R$3&gt;(A17stdlife+$E293),('PTRM input'!$N$159*(1+rvanilla08)^0.5)-SUM($N293:Q293),('PTRM input'!$N$159*(1+rvanilla08)^0.5)/A17stdlife))</f>
        <v>0</v>
      </c>
      <c r="S293" s="107">
        <f>IF(A17stdlife="n/a","n/a",IF(S$3&gt;(A17stdlife+$E293),('PTRM input'!$N$159*(1+rvanilla08)^0.5)-SUM($N293:R293),('PTRM input'!$N$159*(1+rvanilla08)^0.5)/A17stdlife))</f>
        <v>0</v>
      </c>
      <c r="T293" s="107">
        <f>IF(A17stdlife="n/a","n/a",IF(T$3&gt;(A17stdlife+$E293),('PTRM input'!$N$159*(1+rvanilla08)^0.5)-SUM($N293:S293),('PTRM input'!$N$159*(1+rvanilla08)^0.5)/A17stdlife))</f>
        <v>0</v>
      </c>
      <c r="U293" s="107">
        <f>IF(A17stdlife="n/a","n/a",IF(U$3&gt;(A17stdlife+$E293),('PTRM input'!$N$159*(1+rvanilla08)^0.5)-SUM($N293:T293),('PTRM input'!$N$159*(1+rvanilla08)^0.5)/A17stdlife))</f>
        <v>0</v>
      </c>
      <c r="V293" s="107">
        <f>IF(A17stdlife="n/a","n/a",IF(V$3&gt;(A17stdlife+$E293),('PTRM input'!$N$159*(1+rvanilla08)^0.5)-SUM($N293:U293),('PTRM input'!$N$159*(1+rvanilla08)^0.5)/A17stdlife))</f>
        <v>0</v>
      </c>
      <c r="W293" s="107">
        <f>IF(A17stdlife="n/a","n/a",IF(W$3&gt;(A17stdlife+$E293),('PTRM input'!$N$159*(1+rvanilla08)^0.5)-SUM($N293:V293),('PTRM input'!$N$159*(1+rvanilla08)^0.5)/A17stdlife))</f>
        <v>0</v>
      </c>
      <c r="X293" s="107">
        <f>IF(A17stdlife="n/a","n/a",IF(X$3&gt;(A17stdlife+$E293),('PTRM input'!$N$159*(1+rvanilla08)^0.5)-SUM($N293:W293),('PTRM input'!$N$159*(1+rvanilla08)^0.5)/A17stdlife))</f>
        <v>0</v>
      </c>
      <c r="Y293" s="107">
        <f>IF(A17stdlife="n/a","n/a",IF(Y$3&gt;(A17stdlife+$E293),('PTRM input'!$N$159*(1+rvanilla08)^0.5)-SUM($N293:X293),('PTRM input'!$N$159*(1+rvanilla08)^0.5)/A17stdlife))</f>
        <v>0</v>
      </c>
      <c r="Z293" s="107">
        <f>IF(A17stdlife="n/a","n/a",IF(Z$3&gt;(A17stdlife+$E293),('PTRM input'!$N$159*(1+rvanilla08)^0.5)-SUM($N293:Y293),('PTRM input'!$N$159*(1+rvanilla08)^0.5)/A17stdlife))</f>
        <v>0</v>
      </c>
      <c r="AA293" s="107">
        <f>IF(A17stdlife="n/a","n/a",IF(AA$3&gt;(A17stdlife+$E293),('PTRM input'!$N$159*(1+rvanilla08)^0.5)-SUM($N293:Z293),('PTRM input'!$N$159*(1+rvanilla08)^0.5)/A17stdlife))</f>
        <v>0</v>
      </c>
      <c r="AB293" s="107">
        <f>IF(A17stdlife="n/a","n/a",IF(AB$3&gt;(A17stdlife+$E293),('PTRM input'!$N$159*(1+rvanilla08)^0.5)-SUM($N293:AA293),('PTRM input'!$N$159*(1+rvanilla08)^0.5)/A17stdlife))</f>
        <v>0</v>
      </c>
      <c r="AC293" s="107">
        <f>IF(A17stdlife="n/a","n/a",IF(AC$3&gt;(A17stdlife+$E293),('PTRM input'!$N$159*(1+rvanilla08)^0.5)-SUM($N293:AB293),('PTRM input'!$N$159*(1+rvanilla08)^0.5)/A17stdlife))</f>
        <v>0</v>
      </c>
      <c r="AD293" s="107">
        <f>IF(A17stdlife="n/a","n/a",IF(AD$3&gt;(A17stdlife+$E293),('PTRM input'!$N$159*(1+rvanilla08)^0.5)-SUM($N293:AC293),('PTRM input'!$N$159*(1+rvanilla08)^0.5)/A17stdlife))</f>
        <v>0</v>
      </c>
      <c r="AE293" s="107">
        <f>IF(A17stdlife="n/a","n/a",IF(AE$3&gt;(A17stdlife+$E293),('PTRM input'!$N$159*(1+rvanilla08)^0.5)-SUM($N293:AD293),('PTRM input'!$N$159*(1+rvanilla08)^0.5)/A17stdlife))</f>
        <v>0</v>
      </c>
      <c r="AF293" s="107">
        <f>IF(A17stdlife="n/a","n/a",IF(AF$3&gt;(A17stdlife+$E293),('PTRM input'!$N$159*(1+rvanilla08)^0.5)-SUM($N293:AE293),('PTRM input'!$N$159*(1+rvanilla08)^0.5)/A17stdlife))</f>
        <v>0</v>
      </c>
      <c r="AG293" s="107">
        <f>IF(A17stdlife="n/a","n/a",IF(AG$3&gt;(A17stdlife+$E293),('PTRM input'!$N$159*(1+rvanilla08)^0.5)-SUM($N293:AF293),('PTRM input'!$N$159*(1+rvanilla08)^0.5)/A17stdlife))</f>
        <v>0</v>
      </c>
      <c r="AH293" s="107">
        <f>IF(A17stdlife="n/a","n/a",IF(AH$3&gt;(A17stdlife+$E293),('PTRM input'!$N$159*(1+rvanilla08)^0.5)-SUM($N293:AG293),('PTRM input'!$N$159*(1+rvanilla08)^0.5)/A17stdlife))</f>
        <v>0</v>
      </c>
      <c r="AI293" s="107">
        <f>IF(A17stdlife="n/a","n/a",IF(AI$3&gt;(A17stdlife+$E293),('PTRM input'!$N$159*(1+rvanilla08)^0.5)-SUM($N293:AH293),('PTRM input'!$N$159*(1+rvanilla08)^0.5)/A17stdlife))</f>
        <v>0</v>
      </c>
      <c r="AJ293" s="107">
        <f>IF(A17stdlife="n/a","n/a",IF(AJ$3&gt;(A17stdlife+$E293),('PTRM input'!$N$159*(1+rvanilla08)^0.5)-SUM($N293:AI293),('PTRM input'!$N$159*(1+rvanilla08)^0.5)/A17stdlife))</f>
        <v>0</v>
      </c>
      <c r="AK293" s="107">
        <f>IF(A17stdlife="n/a","n/a",IF(AK$3&gt;(A17stdlife+$E293),('PTRM input'!$N$159*(1+rvanilla08)^0.5)-SUM($N293:AJ293),('PTRM input'!$N$159*(1+rvanilla08)^0.5)/A17stdlife))</f>
        <v>0</v>
      </c>
      <c r="AL293" s="107">
        <f>IF(A17stdlife="n/a","n/a",IF(AL$3&gt;(A17stdlife+$E293),('PTRM input'!$N$159*(1+rvanilla08)^0.5)-SUM($N293:AK293),('PTRM input'!$N$159*(1+rvanilla08)^0.5)/A17stdlife))</f>
        <v>0</v>
      </c>
      <c r="AM293" s="107">
        <f>IF(A17stdlife="n/a","n/a",IF(AM$3&gt;(A17stdlife+$E293),('PTRM input'!$N$159*(1+rvanilla08)^0.5)-SUM($N293:AL293),('PTRM input'!$N$159*(1+rvanilla08)^0.5)/A17stdlife))</f>
        <v>0</v>
      </c>
      <c r="AN293" s="107">
        <f>IF(A17stdlife="n/a","n/a",IF(AN$3&gt;(A17stdlife+$E293),('PTRM input'!$N$159*(1+rvanilla08)^0.5)-SUM($N293:AM293),('PTRM input'!$N$159*(1+rvanilla08)^0.5)/A17stdlife))</f>
        <v>0</v>
      </c>
      <c r="AO293" s="107">
        <f>IF(A17stdlife="n/a","n/a",IF(AO$3&gt;(A17stdlife+$E293),('PTRM input'!$N$159*(1+rvanilla08)^0.5)-SUM($N293:AN293),('PTRM input'!$N$159*(1+rvanilla08)^0.5)/A17stdlife))</f>
        <v>0</v>
      </c>
      <c r="AP293" s="107">
        <f>IF(A17stdlife="n/a","n/a",IF(AP$3&gt;(A17stdlife+$E293),('PTRM input'!$N$159*(1+rvanilla08)^0.5)-SUM($N293:AO293),('PTRM input'!$N$159*(1+rvanilla08)^0.5)/A17stdlife))</f>
        <v>0</v>
      </c>
      <c r="AQ293" s="107">
        <f>IF(A17stdlife="n/a","n/a",IF(AQ$3&gt;(A17stdlife+$E293),('PTRM input'!$N$159*(1+rvanilla08)^0.5)-SUM($N293:AP293),('PTRM input'!$N$159*(1+rvanilla08)^0.5)/A17stdlife))</f>
        <v>0</v>
      </c>
      <c r="AR293" s="107">
        <f>IF(A17stdlife="n/a","n/a",IF(AR$3&gt;(A17stdlife+$E293),('PTRM input'!$N$159*(1+rvanilla08)^0.5)-SUM($N293:AQ293),('PTRM input'!$N$159*(1+rvanilla08)^0.5)/A17stdlife))</f>
        <v>0</v>
      </c>
      <c r="AS293" s="107">
        <f>IF(A17stdlife="n/a","n/a",IF(AS$3&gt;(A17stdlife+$E293),('PTRM input'!$N$159*(1+rvanilla08)^0.5)-SUM($N293:AR293),('PTRM input'!$N$159*(1+rvanilla08)^0.5)/A17stdlife))</f>
        <v>0</v>
      </c>
      <c r="AT293" s="107">
        <f>IF(A17stdlife="n/a","n/a",IF(AT$3&gt;(A17stdlife+$E293),('PTRM input'!$N$159*(1+rvanilla08)^0.5)-SUM($N293:AS293),('PTRM input'!$N$159*(1+rvanilla08)^0.5)/A17stdlife))</f>
        <v>0</v>
      </c>
      <c r="AU293" s="107">
        <f>IF(A17stdlife="n/a","n/a",IF(AU$3&gt;(A17stdlife+$E293),('PTRM input'!$N$159*(1+rvanilla08)^0.5)-SUM($N293:AT293),('PTRM input'!$N$159*(1+rvanilla08)^0.5)/A17stdlife))</f>
        <v>0</v>
      </c>
      <c r="AV293" s="107">
        <f>IF(A17stdlife="n/a","n/a",IF(AV$3&gt;(A17stdlife+$E293),('PTRM input'!$N$159*(1+rvanilla08)^0.5)-SUM($N293:AU293),('PTRM input'!$N$159*(1+rvanilla08)^0.5)/A17stdlife))</f>
        <v>0</v>
      </c>
      <c r="AW293" s="107">
        <f>IF(A17stdlife="n/a","n/a",IF(AW$3&gt;(A17stdlife+$E293),('PTRM input'!$N$159*(1+rvanilla08)^0.5)-SUM($N293:AV293),('PTRM input'!$N$159*(1+rvanilla08)^0.5)/A17stdlife))</f>
        <v>0</v>
      </c>
      <c r="AX293" s="107">
        <f>IF(A17stdlife="n/a","n/a",IF(AX$3&gt;(A17stdlife+$E293),('PTRM input'!$N$159*(1+rvanilla08)^0.5)-SUM($N293:AW293),('PTRM input'!$N$159*(1+rvanilla08)^0.5)/A17stdlife))</f>
        <v>0</v>
      </c>
      <c r="AY293" s="107">
        <f>IF(A17stdlife="n/a","n/a",IF(AY$3&gt;(A17stdlife+$E293),('PTRM input'!$N$159*(1+rvanilla08)^0.5)-SUM($N293:AX293),('PTRM input'!$N$159*(1+rvanilla08)^0.5)/A17stdlife))</f>
        <v>0</v>
      </c>
      <c r="AZ293" s="107">
        <f>IF(A17stdlife="n/a","n/a",IF(AZ$3&gt;(A17stdlife+$E293),('PTRM input'!$N$159*(1+rvanilla08)^0.5)-SUM($N293:AY293),('PTRM input'!$N$159*(1+rvanilla08)^0.5)/A17stdlife))</f>
        <v>0</v>
      </c>
      <c r="BA293" s="107">
        <f>IF(A17stdlife="n/a","n/a",IF(BA$3&gt;(A17stdlife+$E293),('PTRM input'!$N$159*(1+rvanilla08)^0.5)-SUM($N293:AZ293),('PTRM input'!$N$159*(1+rvanilla08)^0.5)/A17stdlife))</f>
        <v>0</v>
      </c>
      <c r="BB293" s="107">
        <f>IF(A17stdlife="n/a","n/a",IF(BB$3&gt;(A17stdlife+$E293),('PTRM input'!$N$159*(1+rvanilla08)^0.5)-SUM($N293:BA293),('PTRM input'!$N$159*(1+rvanilla08)^0.5)/A17stdlife))</f>
        <v>0</v>
      </c>
      <c r="BC293" s="107">
        <f>IF(A17stdlife="n/a","n/a",IF(BC$3&gt;(A17stdlife+$E293),('PTRM input'!$N$159*(1+rvanilla08)^0.5)-SUM($N293:BB293),('PTRM input'!$N$159*(1+rvanilla08)^0.5)/A17stdlife))</f>
        <v>0</v>
      </c>
      <c r="BD293" s="107">
        <f>IF(A17stdlife="n/a","n/a",IF(BD$3&gt;(A17stdlife+$E293),('PTRM input'!$N$159*(1+rvanilla08)^0.5)-SUM($N293:BC293),('PTRM input'!$N$159*(1+rvanilla08)^0.5)/A17stdlife))</f>
        <v>0</v>
      </c>
      <c r="BE293" s="107">
        <f>IF(A17stdlife="n/a","n/a",IF(BE$3&gt;(A17stdlife+$E293),('PTRM input'!$N$159*(1+rvanilla08)^0.5)-SUM($N293:BD293),('PTRM input'!$N$159*(1+rvanilla08)^0.5)/A17stdlife))</f>
        <v>0</v>
      </c>
      <c r="BF293" s="107">
        <f>IF(A17stdlife="n/a","n/a",IF(BF$3&gt;(A17stdlife+$E293),('PTRM input'!$N$159*(1+rvanilla08)^0.5)-SUM($N293:BE293),('PTRM input'!$N$159*(1+rvanilla08)^0.5)/A17stdlife))</f>
        <v>0</v>
      </c>
      <c r="BG293" s="107">
        <f>IF(A17stdlife="n/a","n/a",IF(BG$3&gt;(A17stdlife+$E293),('PTRM input'!$N$159*(1+rvanilla08)^0.5)-SUM($N293:BF293),('PTRM input'!$N$159*(1+rvanilla08)^0.5)/A17stdlife))</f>
        <v>0</v>
      </c>
      <c r="BH293" s="107">
        <f>IF(A17stdlife="n/a","n/a",IF(BH$3&gt;(A17stdlife+$E293),('PTRM input'!$N$159*(1+rvanilla08)^0.5)-SUM($N293:BG293),('PTRM input'!$N$159*(1+rvanilla08)^0.5)/A17stdlife))</f>
        <v>0</v>
      </c>
      <c r="BI293" s="107">
        <f>IF(A17stdlife="n/a","n/a",IF(BI$3&gt;(A17stdlife+$E293),('PTRM input'!$N$159*(1+rvanilla08)^0.5)-SUM($N293:BH293),('PTRM input'!$N$159*(1+rvanilla08)^0.5)/A17stdlife))</f>
        <v>0</v>
      </c>
      <c r="BJ293" s="237"/>
      <c r="BK293" s="237"/>
      <c r="BL293" s="237"/>
      <c r="BM293" s="237"/>
    </row>
    <row r="294" spans="1:65" s="190" customFormat="1" hidden="1" outlineLevel="2">
      <c r="A294" s="237"/>
      <c r="B294" s="33"/>
      <c r="C294" s="32"/>
      <c r="D294" s="1618"/>
      <c r="E294" s="169">
        <v>9</v>
      </c>
      <c r="F294" s="35"/>
      <c r="G294" s="184"/>
      <c r="H294" s="186"/>
      <c r="I294" s="186"/>
      <c r="J294" s="186"/>
      <c r="K294" s="186"/>
      <c r="L294" s="186"/>
      <c r="M294" s="186"/>
      <c r="N294" s="186"/>
      <c r="O294" s="185"/>
      <c r="P294" s="107">
        <f>IF(A17stdlife="n/a","n/a",IF(P$3&gt;(A17stdlife+$E294),('PTRM input'!$O$159*(1+rvanilla09)^0.5)-SUM($O294:O294),('PTRM input'!$O$159*(1+rvanilla09)^0.5)/A17stdlife))</f>
        <v>0</v>
      </c>
      <c r="Q294" s="107">
        <f>IF(A17stdlife="n/a","n/a",IF(Q$3&gt;(A17stdlife+$E294),('PTRM input'!$O$159*(1+rvanilla09)^0.5)-SUM($O294:P294),('PTRM input'!$O$159*(1+rvanilla09)^0.5)/A17stdlife))</f>
        <v>0</v>
      </c>
      <c r="R294" s="107">
        <f>IF(A17stdlife="n/a","n/a",IF(R$3&gt;(A17stdlife+$E294),('PTRM input'!$O$159*(1+rvanilla09)^0.5)-SUM($O294:Q294),('PTRM input'!$O$159*(1+rvanilla09)^0.5)/A17stdlife))</f>
        <v>0</v>
      </c>
      <c r="S294" s="107">
        <f>IF(A17stdlife="n/a","n/a",IF(S$3&gt;(A17stdlife+$E294),('PTRM input'!$O$159*(1+rvanilla09)^0.5)-SUM($O294:R294),('PTRM input'!$O$159*(1+rvanilla09)^0.5)/A17stdlife))</f>
        <v>0</v>
      </c>
      <c r="T294" s="107">
        <f>IF(A17stdlife="n/a","n/a",IF(T$3&gt;(A17stdlife+$E294),('PTRM input'!$O$159*(1+rvanilla09)^0.5)-SUM($O294:S294),('PTRM input'!$O$159*(1+rvanilla09)^0.5)/A17stdlife))</f>
        <v>0</v>
      </c>
      <c r="U294" s="107">
        <f>IF(A17stdlife="n/a","n/a",IF(U$3&gt;(A17stdlife+$E294),('PTRM input'!$O$159*(1+rvanilla09)^0.5)-SUM($O294:T294),('PTRM input'!$O$159*(1+rvanilla09)^0.5)/A17stdlife))</f>
        <v>0</v>
      </c>
      <c r="V294" s="107">
        <f>IF(A17stdlife="n/a","n/a",IF(V$3&gt;(A17stdlife+$E294),('PTRM input'!$O$159*(1+rvanilla09)^0.5)-SUM($O294:U294),('PTRM input'!$O$159*(1+rvanilla09)^0.5)/A17stdlife))</f>
        <v>0</v>
      </c>
      <c r="W294" s="107">
        <f>IF(A17stdlife="n/a","n/a",IF(W$3&gt;(A17stdlife+$E294),('PTRM input'!$O$159*(1+rvanilla09)^0.5)-SUM($O294:V294),('PTRM input'!$O$159*(1+rvanilla09)^0.5)/A17stdlife))</f>
        <v>0</v>
      </c>
      <c r="X294" s="107">
        <f>IF(A17stdlife="n/a","n/a",IF(X$3&gt;(A17stdlife+$E294),('PTRM input'!$O$159*(1+rvanilla09)^0.5)-SUM($O294:W294),('PTRM input'!$O$159*(1+rvanilla09)^0.5)/A17stdlife))</f>
        <v>0</v>
      </c>
      <c r="Y294" s="107">
        <f>IF(A17stdlife="n/a","n/a",IF(Y$3&gt;(A17stdlife+$E294),('PTRM input'!$O$159*(1+rvanilla09)^0.5)-SUM($O294:X294),('PTRM input'!$O$159*(1+rvanilla09)^0.5)/A17stdlife))</f>
        <v>0</v>
      </c>
      <c r="Z294" s="107">
        <f>IF(A17stdlife="n/a","n/a",IF(Z$3&gt;(A17stdlife+$E294),('PTRM input'!$O$159*(1+rvanilla09)^0.5)-SUM($O294:Y294),('PTRM input'!$O$159*(1+rvanilla09)^0.5)/A17stdlife))</f>
        <v>0</v>
      </c>
      <c r="AA294" s="107">
        <f>IF(A17stdlife="n/a","n/a",IF(AA$3&gt;(A17stdlife+$E294),('PTRM input'!$O$159*(1+rvanilla09)^0.5)-SUM($O294:Z294),('PTRM input'!$O$159*(1+rvanilla09)^0.5)/A17stdlife))</f>
        <v>0</v>
      </c>
      <c r="AB294" s="107">
        <f>IF(A17stdlife="n/a","n/a",IF(AB$3&gt;(A17stdlife+$E294),('PTRM input'!$O$159*(1+rvanilla09)^0.5)-SUM($O294:AA294),('PTRM input'!$O$159*(1+rvanilla09)^0.5)/A17stdlife))</f>
        <v>0</v>
      </c>
      <c r="AC294" s="107">
        <f>IF(A17stdlife="n/a","n/a",IF(AC$3&gt;(A17stdlife+$E294),('PTRM input'!$O$159*(1+rvanilla09)^0.5)-SUM($O294:AB294),('PTRM input'!$O$159*(1+rvanilla09)^0.5)/A17stdlife))</f>
        <v>0</v>
      </c>
      <c r="AD294" s="107">
        <f>IF(A17stdlife="n/a","n/a",IF(AD$3&gt;(A17stdlife+$E294),('PTRM input'!$O$159*(1+rvanilla09)^0.5)-SUM($O294:AC294),('PTRM input'!$O$159*(1+rvanilla09)^0.5)/A17stdlife))</f>
        <v>0</v>
      </c>
      <c r="AE294" s="107">
        <f>IF(A17stdlife="n/a","n/a",IF(AE$3&gt;(A17stdlife+$E294),('PTRM input'!$O$159*(1+rvanilla09)^0.5)-SUM($O294:AD294),('PTRM input'!$O$159*(1+rvanilla09)^0.5)/A17stdlife))</f>
        <v>0</v>
      </c>
      <c r="AF294" s="107">
        <f>IF(A17stdlife="n/a","n/a",IF(AF$3&gt;(A17stdlife+$E294),('PTRM input'!$O$159*(1+rvanilla09)^0.5)-SUM($O294:AE294),('PTRM input'!$O$159*(1+rvanilla09)^0.5)/A17stdlife))</f>
        <v>0</v>
      </c>
      <c r="AG294" s="107">
        <f>IF(A17stdlife="n/a","n/a",IF(AG$3&gt;(A17stdlife+$E294),('PTRM input'!$O$159*(1+rvanilla09)^0.5)-SUM($O294:AF294),('PTRM input'!$O$159*(1+rvanilla09)^0.5)/A17stdlife))</f>
        <v>0</v>
      </c>
      <c r="AH294" s="107">
        <f>IF(A17stdlife="n/a","n/a",IF(AH$3&gt;(A17stdlife+$E294),('PTRM input'!$O$159*(1+rvanilla09)^0.5)-SUM($O294:AG294),('PTRM input'!$O$159*(1+rvanilla09)^0.5)/A17stdlife))</f>
        <v>0</v>
      </c>
      <c r="AI294" s="107">
        <f>IF(A17stdlife="n/a","n/a",IF(AI$3&gt;(A17stdlife+$E294),('PTRM input'!$O$159*(1+rvanilla09)^0.5)-SUM($O294:AH294),('PTRM input'!$O$159*(1+rvanilla09)^0.5)/A17stdlife))</f>
        <v>0</v>
      </c>
      <c r="AJ294" s="107">
        <f>IF(A17stdlife="n/a","n/a",IF(AJ$3&gt;(A17stdlife+$E294),('PTRM input'!$O$159*(1+rvanilla09)^0.5)-SUM($O294:AI294),('PTRM input'!$O$159*(1+rvanilla09)^0.5)/A17stdlife))</f>
        <v>0</v>
      </c>
      <c r="AK294" s="107">
        <f>IF(A17stdlife="n/a","n/a",IF(AK$3&gt;(A17stdlife+$E294),('PTRM input'!$O$159*(1+rvanilla09)^0.5)-SUM($O294:AJ294),('PTRM input'!$O$159*(1+rvanilla09)^0.5)/A17stdlife))</f>
        <v>0</v>
      </c>
      <c r="AL294" s="107">
        <f>IF(A17stdlife="n/a","n/a",IF(AL$3&gt;(A17stdlife+$E294),('PTRM input'!$O$159*(1+rvanilla09)^0.5)-SUM($O294:AK294),('PTRM input'!$O$159*(1+rvanilla09)^0.5)/A17stdlife))</f>
        <v>0</v>
      </c>
      <c r="AM294" s="107">
        <f>IF(A17stdlife="n/a","n/a",IF(AM$3&gt;(A17stdlife+$E294),('PTRM input'!$O$159*(1+rvanilla09)^0.5)-SUM($O294:AL294),('PTRM input'!$O$159*(1+rvanilla09)^0.5)/A17stdlife))</f>
        <v>0</v>
      </c>
      <c r="AN294" s="107">
        <f>IF(A17stdlife="n/a","n/a",IF(AN$3&gt;(A17stdlife+$E294),('PTRM input'!$O$159*(1+rvanilla09)^0.5)-SUM($O294:AM294),('PTRM input'!$O$159*(1+rvanilla09)^0.5)/A17stdlife))</f>
        <v>0</v>
      </c>
      <c r="AO294" s="107">
        <f>IF(A17stdlife="n/a","n/a",IF(AO$3&gt;(A17stdlife+$E294),('PTRM input'!$O$159*(1+rvanilla09)^0.5)-SUM($O294:AN294),('PTRM input'!$O$159*(1+rvanilla09)^0.5)/A17stdlife))</f>
        <v>0</v>
      </c>
      <c r="AP294" s="107">
        <f>IF(A17stdlife="n/a","n/a",IF(AP$3&gt;(A17stdlife+$E294),('PTRM input'!$O$159*(1+rvanilla09)^0.5)-SUM($O294:AO294),('PTRM input'!$O$159*(1+rvanilla09)^0.5)/A17stdlife))</f>
        <v>0</v>
      </c>
      <c r="AQ294" s="107">
        <f>IF(A17stdlife="n/a","n/a",IF(AQ$3&gt;(A17stdlife+$E294),('PTRM input'!$O$159*(1+rvanilla09)^0.5)-SUM($O294:AP294),('PTRM input'!$O$159*(1+rvanilla09)^0.5)/A17stdlife))</f>
        <v>0</v>
      </c>
      <c r="AR294" s="107">
        <f>IF(A17stdlife="n/a","n/a",IF(AR$3&gt;(A17stdlife+$E294),('PTRM input'!$O$159*(1+rvanilla09)^0.5)-SUM($O294:AQ294),('PTRM input'!$O$159*(1+rvanilla09)^0.5)/A17stdlife))</f>
        <v>0</v>
      </c>
      <c r="AS294" s="107">
        <f>IF(A17stdlife="n/a","n/a",IF(AS$3&gt;(A17stdlife+$E294),('PTRM input'!$O$159*(1+rvanilla09)^0.5)-SUM($O294:AR294),('PTRM input'!$O$159*(1+rvanilla09)^0.5)/A17stdlife))</f>
        <v>0</v>
      </c>
      <c r="AT294" s="107">
        <f>IF(A17stdlife="n/a","n/a",IF(AT$3&gt;(A17stdlife+$E294),('PTRM input'!$O$159*(1+rvanilla09)^0.5)-SUM($O294:AS294),('PTRM input'!$O$159*(1+rvanilla09)^0.5)/A17stdlife))</f>
        <v>0</v>
      </c>
      <c r="AU294" s="107">
        <f>IF(A17stdlife="n/a","n/a",IF(AU$3&gt;(A17stdlife+$E294),('PTRM input'!$O$159*(1+rvanilla09)^0.5)-SUM($O294:AT294),('PTRM input'!$O$159*(1+rvanilla09)^0.5)/A17stdlife))</f>
        <v>0</v>
      </c>
      <c r="AV294" s="107">
        <f>IF(A17stdlife="n/a","n/a",IF(AV$3&gt;(A17stdlife+$E294),('PTRM input'!$O$159*(1+rvanilla09)^0.5)-SUM($O294:AU294),('PTRM input'!$O$159*(1+rvanilla09)^0.5)/A17stdlife))</f>
        <v>0</v>
      </c>
      <c r="AW294" s="107">
        <f>IF(A17stdlife="n/a","n/a",IF(AW$3&gt;(A17stdlife+$E294),('PTRM input'!$O$159*(1+rvanilla09)^0.5)-SUM($O294:AV294),('PTRM input'!$O$159*(1+rvanilla09)^0.5)/A17stdlife))</f>
        <v>0</v>
      </c>
      <c r="AX294" s="107">
        <f>IF(A17stdlife="n/a","n/a",IF(AX$3&gt;(A17stdlife+$E294),('PTRM input'!$O$159*(1+rvanilla09)^0.5)-SUM($O294:AW294),('PTRM input'!$O$159*(1+rvanilla09)^0.5)/A17stdlife))</f>
        <v>0</v>
      </c>
      <c r="AY294" s="107">
        <f>IF(A17stdlife="n/a","n/a",IF(AY$3&gt;(A17stdlife+$E294),('PTRM input'!$O$159*(1+rvanilla09)^0.5)-SUM($O294:AX294),('PTRM input'!$O$159*(1+rvanilla09)^0.5)/A17stdlife))</f>
        <v>0</v>
      </c>
      <c r="AZ294" s="107">
        <f>IF(A17stdlife="n/a","n/a",IF(AZ$3&gt;(A17stdlife+$E294),('PTRM input'!$O$159*(1+rvanilla09)^0.5)-SUM($O294:AY294),('PTRM input'!$O$159*(1+rvanilla09)^0.5)/A17stdlife))</f>
        <v>0</v>
      </c>
      <c r="BA294" s="107">
        <f>IF(A17stdlife="n/a","n/a",IF(BA$3&gt;(A17stdlife+$E294),('PTRM input'!$O$159*(1+rvanilla09)^0.5)-SUM($O294:AZ294),('PTRM input'!$O$159*(1+rvanilla09)^0.5)/A17stdlife))</f>
        <v>0</v>
      </c>
      <c r="BB294" s="107">
        <f>IF(A17stdlife="n/a","n/a",IF(BB$3&gt;(A17stdlife+$E294),('PTRM input'!$O$159*(1+rvanilla09)^0.5)-SUM($O294:BA294),('PTRM input'!$O$159*(1+rvanilla09)^0.5)/A17stdlife))</f>
        <v>0</v>
      </c>
      <c r="BC294" s="107">
        <f>IF(A17stdlife="n/a","n/a",IF(BC$3&gt;(A17stdlife+$E294),('PTRM input'!$O$159*(1+rvanilla09)^0.5)-SUM($O294:BB294),('PTRM input'!$O$159*(1+rvanilla09)^0.5)/A17stdlife))</f>
        <v>0</v>
      </c>
      <c r="BD294" s="107">
        <f>IF(A17stdlife="n/a","n/a",IF(BD$3&gt;(A17stdlife+$E294),('PTRM input'!$O$159*(1+rvanilla09)^0.5)-SUM($O294:BC294),('PTRM input'!$O$159*(1+rvanilla09)^0.5)/A17stdlife))</f>
        <v>0</v>
      </c>
      <c r="BE294" s="107">
        <f>IF(A17stdlife="n/a","n/a",IF(BE$3&gt;(A17stdlife+$E294),('PTRM input'!$O$159*(1+rvanilla09)^0.5)-SUM($O294:BD294),('PTRM input'!$O$159*(1+rvanilla09)^0.5)/A17stdlife))</f>
        <v>0</v>
      </c>
      <c r="BF294" s="107">
        <f>IF(A17stdlife="n/a","n/a",IF(BF$3&gt;(A17stdlife+$E294),('PTRM input'!$O$159*(1+rvanilla09)^0.5)-SUM($O294:BE294),('PTRM input'!$O$159*(1+rvanilla09)^0.5)/A17stdlife))</f>
        <v>0</v>
      </c>
      <c r="BG294" s="107">
        <f>IF(A17stdlife="n/a","n/a",IF(BG$3&gt;(A17stdlife+$E294),('PTRM input'!$O$159*(1+rvanilla09)^0.5)-SUM($O294:BF294),('PTRM input'!$O$159*(1+rvanilla09)^0.5)/A17stdlife))</f>
        <v>0</v>
      </c>
      <c r="BH294" s="107">
        <f>IF(A17stdlife="n/a","n/a",IF(BH$3&gt;(A17stdlife+$E294),('PTRM input'!$O$159*(1+rvanilla09)^0.5)-SUM($O294:BG294),('PTRM input'!$O$159*(1+rvanilla09)^0.5)/A17stdlife))</f>
        <v>0</v>
      </c>
      <c r="BI294" s="107">
        <f>IF(A17stdlife="n/a","n/a",IF(BI$3&gt;(A17stdlife+$E294),('PTRM input'!$O$159*(1+rvanilla09)^0.5)-SUM($O294:BH294),('PTRM input'!$O$159*(1+rvanilla09)^0.5)/A17stdlife))</f>
        <v>0</v>
      </c>
      <c r="BJ294" s="237"/>
      <c r="BK294" s="237"/>
      <c r="BL294" s="237"/>
      <c r="BM294" s="237"/>
    </row>
    <row r="295" spans="1:65" s="190" customFormat="1" hidden="1" outlineLevel="2">
      <c r="A295" s="237"/>
      <c r="B295" s="33"/>
      <c r="C295" s="32"/>
      <c r="D295" s="1618"/>
      <c r="E295" s="170">
        <v>10</v>
      </c>
      <c r="F295" s="35"/>
      <c r="G295" s="184"/>
      <c r="H295" s="186"/>
      <c r="I295" s="186"/>
      <c r="J295" s="186"/>
      <c r="K295" s="186"/>
      <c r="L295" s="186"/>
      <c r="M295" s="186"/>
      <c r="N295" s="186"/>
      <c r="O295" s="186"/>
      <c r="P295" s="185"/>
      <c r="Q295" s="107">
        <f>IF(A17stdlife="n/a","n/a",IF(Q$3&gt;(A17stdlife+$E295),('PTRM input'!$P$159*(1+rvanilla10)^0.5)-SUM($P295:P295),('PTRM input'!$P$159*(1+rvanilla10)^0.5)/A17stdlife))</f>
        <v>0</v>
      </c>
      <c r="R295" s="107">
        <f>IF(A17stdlife="n/a","n/a",IF(R$3&gt;(A17stdlife+$E295),('PTRM input'!$P$159*(1+rvanilla10)^0.5)-SUM($P295:Q295),('PTRM input'!$P$159*(1+rvanilla10)^0.5)/A17stdlife))</f>
        <v>0</v>
      </c>
      <c r="S295" s="107">
        <f>IF(A17stdlife="n/a","n/a",IF(S$3&gt;(A17stdlife+$E295),('PTRM input'!$P$159*(1+rvanilla10)^0.5)-SUM($P295:R295),('PTRM input'!$P$159*(1+rvanilla10)^0.5)/A17stdlife))</f>
        <v>0</v>
      </c>
      <c r="T295" s="107">
        <f>IF(A17stdlife="n/a","n/a",IF(T$3&gt;(A17stdlife+$E295),('PTRM input'!$P$159*(1+rvanilla10)^0.5)-SUM($P295:S295),('PTRM input'!$P$159*(1+rvanilla10)^0.5)/A17stdlife))</f>
        <v>0</v>
      </c>
      <c r="U295" s="107">
        <f>IF(A17stdlife="n/a","n/a",IF(U$3&gt;(A17stdlife+$E295),('PTRM input'!$P$159*(1+rvanilla10)^0.5)-SUM($P295:T295),('PTRM input'!$P$159*(1+rvanilla10)^0.5)/A17stdlife))</f>
        <v>0</v>
      </c>
      <c r="V295" s="107">
        <f>IF(A17stdlife="n/a","n/a",IF(V$3&gt;(A17stdlife+$E295),('PTRM input'!$P$159*(1+rvanilla10)^0.5)-SUM($P295:U295),('PTRM input'!$P$159*(1+rvanilla10)^0.5)/A17stdlife))</f>
        <v>0</v>
      </c>
      <c r="W295" s="107">
        <f>IF(A17stdlife="n/a","n/a",IF(W$3&gt;(A17stdlife+$E295),('PTRM input'!$P$159*(1+rvanilla10)^0.5)-SUM($P295:V295),('PTRM input'!$P$159*(1+rvanilla10)^0.5)/A17stdlife))</f>
        <v>0</v>
      </c>
      <c r="X295" s="107">
        <f>IF(A17stdlife="n/a","n/a",IF(X$3&gt;(A17stdlife+$E295),('PTRM input'!$P$159*(1+rvanilla10)^0.5)-SUM($P295:W295),('PTRM input'!$P$159*(1+rvanilla10)^0.5)/A17stdlife))</f>
        <v>0</v>
      </c>
      <c r="Y295" s="107">
        <f>IF(A17stdlife="n/a","n/a",IF(Y$3&gt;(A17stdlife+$E295),('PTRM input'!$P$159*(1+rvanilla10)^0.5)-SUM($P295:X295),('PTRM input'!$P$159*(1+rvanilla10)^0.5)/A17stdlife))</f>
        <v>0</v>
      </c>
      <c r="Z295" s="107">
        <f>IF(A17stdlife="n/a","n/a",IF(Z$3&gt;(A17stdlife+$E295),('PTRM input'!$P$159*(1+rvanilla10)^0.5)-SUM($P295:Y295),('PTRM input'!$P$159*(1+rvanilla10)^0.5)/A17stdlife))</f>
        <v>0</v>
      </c>
      <c r="AA295" s="107">
        <f>IF(A17stdlife="n/a","n/a",IF(AA$3&gt;(A17stdlife+$E295),('PTRM input'!$P$159*(1+rvanilla10)^0.5)-SUM($P295:Z295),('PTRM input'!$P$159*(1+rvanilla10)^0.5)/A17stdlife))</f>
        <v>0</v>
      </c>
      <c r="AB295" s="107">
        <f>IF(A17stdlife="n/a","n/a",IF(AB$3&gt;(A17stdlife+$E295),('PTRM input'!$P$159*(1+rvanilla10)^0.5)-SUM($P295:AA295),('PTRM input'!$P$159*(1+rvanilla10)^0.5)/A17stdlife))</f>
        <v>0</v>
      </c>
      <c r="AC295" s="107">
        <f>IF(A17stdlife="n/a","n/a",IF(AC$3&gt;(A17stdlife+$E295),('PTRM input'!$P$159*(1+rvanilla10)^0.5)-SUM($P295:AB295),('PTRM input'!$P$159*(1+rvanilla10)^0.5)/A17stdlife))</f>
        <v>0</v>
      </c>
      <c r="AD295" s="107">
        <f>IF(A17stdlife="n/a","n/a",IF(AD$3&gt;(A17stdlife+$E295),('PTRM input'!$P$159*(1+rvanilla10)^0.5)-SUM($P295:AC295),('PTRM input'!$P$159*(1+rvanilla10)^0.5)/A17stdlife))</f>
        <v>0</v>
      </c>
      <c r="AE295" s="107">
        <f>IF(A17stdlife="n/a","n/a",IF(AE$3&gt;(A17stdlife+$E295),('PTRM input'!$P$159*(1+rvanilla10)^0.5)-SUM($P295:AD295),('PTRM input'!$P$159*(1+rvanilla10)^0.5)/A17stdlife))</f>
        <v>0</v>
      </c>
      <c r="AF295" s="107">
        <f>IF(A17stdlife="n/a","n/a",IF(AF$3&gt;(A17stdlife+$E295),('PTRM input'!$P$159*(1+rvanilla10)^0.5)-SUM($P295:AE295),('PTRM input'!$P$159*(1+rvanilla10)^0.5)/A17stdlife))</f>
        <v>0</v>
      </c>
      <c r="AG295" s="107">
        <f>IF(A17stdlife="n/a","n/a",IF(AG$3&gt;(A17stdlife+$E295),('PTRM input'!$P$159*(1+rvanilla10)^0.5)-SUM($P295:AF295),('PTRM input'!$P$159*(1+rvanilla10)^0.5)/A17stdlife))</f>
        <v>0</v>
      </c>
      <c r="AH295" s="107">
        <f>IF(A17stdlife="n/a","n/a",IF(AH$3&gt;(A17stdlife+$E295),('PTRM input'!$P$159*(1+rvanilla10)^0.5)-SUM($P295:AG295),('PTRM input'!$P$159*(1+rvanilla10)^0.5)/A17stdlife))</f>
        <v>0</v>
      </c>
      <c r="AI295" s="107">
        <f>IF(A17stdlife="n/a","n/a",IF(AI$3&gt;(A17stdlife+$E295),('PTRM input'!$P$159*(1+rvanilla10)^0.5)-SUM($P295:AH295),('PTRM input'!$P$159*(1+rvanilla10)^0.5)/A17stdlife))</f>
        <v>0</v>
      </c>
      <c r="AJ295" s="107">
        <f>IF(A17stdlife="n/a","n/a",IF(AJ$3&gt;(A17stdlife+$E295),('PTRM input'!$P$159*(1+rvanilla10)^0.5)-SUM($P295:AI295),('PTRM input'!$P$159*(1+rvanilla10)^0.5)/A17stdlife))</f>
        <v>0</v>
      </c>
      <c r="AK295" s="107">
        <f>IF(A17stdlife="n/a","n/a",IF(AK$3&gt;(A17stdlife+$E295),('PTRM input'!$P$159*(1+rvanilla10)^0.5)-SUM($P295:AJ295),('PTRM input'!$P$159*(1+rvanilla10)^0.5)/A17stdlife))</f>
        <v>0</v>
      </c>
      <c r="AL295" s="107">
        <f>IF(A17stdlife="n/a","n/a",IF(AL$3&gt;(A17stdlife+$E295),('PTRM input'!$P$159*(1+rvanilla10)^0.5)-SUM($P295:AK295),('PTRM input'!$P$159*(1+rvanilla10)^0.5)/A17stdlife))</f>
        <v>0</v>
      </c>
      <c r="AM295" s="107">
        <f>IF(A17stdlife="n/a","n/a",IF(AM$3&gt;(A17stdlife+$E295),('PTRM input'!$P$159*(1+rvanilla10)^0.5)-SUM($P295:AL295),('PTRM input'!$P$159*(1+rvanilla10)^0.5)/A17stdlife))</f>
        <v>0</v>
      </c>
      <c r="AN295" s="107">
        <f>IF(A17stdlife="n/a","n/a",IF(AN$3&gt;(A17stdlife+$E295),('PTRM input'!$P$159*(1+rvanilla10)^0.5)-SUM($P295:AM295),('PTRM input'!$P$159*(1+rvanilla10)^0.5)/A17stdlife))</f>
        <v>0</v>
      </c>
      <c r="AO295" s="107">
        <f>IF(A17stdlife="n/a","n/a",IF(AO$3&gt;(A17stdlife+$E295),('PTRM input'!$P$159*(1+rvanilla10)^0.5)-SUM($P295:AN295),('PTRM input'!$P$159*(1+rvanilla10)^0.5)/A17stdlife))</f>
        <v>0</v>
      </c>
      <c r="AP295" s="107">
        <f>IF(A17stdlife="n/a","n/a",IF(AP$3&gt;(A17stdlife+$E295),('PTRM input'!$P$159*(1+rvanilla10)^0.5)-SUM($P295:AO295),('PTRM input'!$P$159*(1+rvanilla10)^0.5)/A17stdlife))</f>
        <v>0</v>
      </c>
      <c r="AQ295" s="107">
        <f>IF(A17stdlife="n/a","n/a",IF(AQ$3&gt;(A17stdlife+$E295),('PTRM input'!$P$159*(1+rvanilla10)^0.5)-SUM($P295:AP295),('PTRM input'!$P$159*(1+rvanilla10)^0.5)/A17stdlife))</f>
        <v>0</v>
      </c>
      <c r="AR295" s="107">
        <f>IF(A17stdlife="n/a","n/a",IF(AR$3&gt;(A17stdlife+$E295),('PTRM input'!$P$159*(1+rvanilla10)^0.5)-SUM($P295:AQ295),('PTRM input'!$P$159*(1+rvanilla10)^0.5)/A17stdlife))</f>
        <v>0</v>
      </c>
      <c r="AS295" s="107">
        <f>IF(A17stdlife="n/a","n/a",IF(AS$3&gt;(A17stdlife+$E295),('PTRM input'!$P$159*(1+rvanilla10)^0.5)-SUM($P295:AR295),('PTRM input'!$P$159*(1+rvanilla10)^0.5)/A17stdlife))</f>
        <v>0</v>
      </c>
      <c r="AT295" s="107">
        <f>IF(A17stdlife="n/a","n/a",IF(AT$3&gt;(A17stdlife+$E295),('PTRM input'!$P$159*(1+rvanilla10)^0.5)-SUM($P295:AS295),('PTRM input'!$P$159*(1+rvanilla10)^0.5)/A17stdlife))</f>
        <v>0</v>
      </c>
      <c r="AU295" s="107">
        <f>IF(A17stdlife="n/a","n/a",IF(AU$3&gt;(A17stdlife+$E295),('PTRM input'!$P$159*(1+rvanilla10)^0.5)-SUM($P295:AT295),('PTRM input'!$P$159*(1+rvanilla10)^0.5)/A17stdlife))</f>
        <v>0</v>
      </c>
      <c r="AV295" s="107">
        <f>IF(A17stdlife="n/a","n/a",IF(AV$3&gt;(A17stdlife+$E295),('PTRM input'!$P$159*(1+rvanilla10)^0.5)-SUM($P295:AU295),('PTRM input'!$P$159*(1+rvanilla10)^0.5)/A17stdlife))</f>
        <v>0</v>
      </c>
      <c r="AW295" s="107">
        <f>IF(A17stdlife="n/a","n/a",IF(AW$3&gt;(A17stdlife+$E295),('PTRM input'!$P$159*(1+rvanilla10)^0.5)-SUM($P295:AV295),('PTRM input'!$P$159*(1+rvanilla10)^0.5)/A17stdlife))</f>
        <v>0</v>
      </c>
      <c r="AX295" s="107">
        <f>IF(A17stdlife="n/a","n/a",IF(AX$3&gt;(A17stdlife+$E295),('PTRM input'!$P$159*(1+rvanilla10)^0.5)-SUM($P295:AW295),('PTRM input'!$P$159*(1+rvanilla10)^0.5)/A17stdlife))</f>
        <v>0</v>
      </c>
      <c r="AY295" s="107">
        <f>IF(A17stdlife="n/a","n/a",IF(AY$3&gt;(A17stdlife+$E295),('PTRM input'!$P$159*(1+rvanilla10)^0.5)-SUM($P295:AX295),('PTRM input'!$P$159*(1+rvanilla10)^0.5)/A17stdlife))</f>
        <v>0</v>
      </c>
      <c r="AZ295" s="107">
        <f>IF(A17stdlife="n/a","n/a",IF(AZ$3&gt;(A17stdlife+$E295),('PTRM input'!$P$159*(1+rvanilla10)^0.5)-SUM($P295:AY295),('PTRM input'!$P$159*(1+rvanilla10)^0.5)/A17stdlife))</f>
        <v>0</v>
      </c>
      <c r="BA295" s="107">
        <f>IF(A17stdlife="n/a","n/a",IF(BA$3&gt;(A17stdlife+$E295),('PTRM input'!$P$159*(1+rvanilla10)^0.5)-SUM($P295:AZ295),('PTRM input'!$P$159*(1+rvanilla10)^0.5)/A17stdlife))</f>
        <v>0</v>
      </c>
      <c r="BB295" s="107">
        <f>IF(A17stdlife="n/a","n/a",IF(BB$3&gt;(A17stdlife+$E295),('PTRM input'!$P$159*(1+rvanilla10)^0.5)-SUM($P295:BA295),('PTRM input'!$P$159*(1+rvanilla10)^0.5)/A17stdlife))</f>
        <v>0</v>
      </c>
      <c r="BC295" s="107">
        <f>IF(A17stdlife="n/a","n/a",IF(BC$3&gt;(A17stdlife+$E295),('PTRM input'!$P$159*(1+rvanilla10)^0.5)-SUM($P295:BB295),('PTRM input'!$P$159*(1+rvanilla10)^0.5)/A17stdlife))</f>
        <v>0</v>
      </c>
      <c r="BD295" s="107">
        <f>IF(A17stdlife="n/a","n/a",IF(BD$3&gt;(A17stdlife+$E295),('PTRM input'!$P$159*(1+rvanilla10)^0.5)-SUM($P295:BC295),('PTRM input'!$P$159*(1+rvanilla10)^0.5)/A17stdlife))</f>
        <v>0</v>
      </c>
      <c r="BE295" s="107">
        <f>IF(A17stdlife="n/a","n/a",IF(BE$3&gt;(A17stdlife+$E295),('PTRM input'!$P$159*(1+rvanilla10)^0.5)-SUM($P295:BD295),('PTRM input'!$P$159*(1+rvanilla10)^0.5)/A17stdlife))</f>
        <v>0</v>
      </c>
      <c r="BF295" s="107">
        <f>IF(A17stdlife="n/a","n/a",IF(BF$3&gt;(A17stdlife+$E295),('PTRM input'!$P$159*(1+rvanilla10)^0.5)-SUM($P295:BE295),('PTRM input'!$P$159*(1+rvanilla10)^0.5)/A17stdlife))</f>
        <v>0</v>
      </c>
      <c r="BG295" s="107">
        <f>IF(A17stdlife="n/a","n/a",IF(BG$3&gt;(A17stdlife+$E295),('PTRM input'!$P$159*(1+rvanilla10)^0.5)-SUM($P295:BF295),('PTRM input'!$P$159*(1+rvanilla10)^0.5)/A17stdlife))</f>
        <v>0</v>
      </c>
      <c r="BH295" s="107">
        <f>IF(A17stdlife="n/a","n/a",IF(BH$3&gt;(A17stdlife+$E295),('PTRM input'!$P$159*(1+rvanilla10)^0.5)-SUM($P295:BG295),('PTRM input'!$P$159*(1+rvanilla10)^0.5)/A17stdlife))</f>
        <v>0</v>
      </c>
      <c r="BI295" s="107">
        <f>IF(A17stdlife="n/a","n/a",IF(BI$3&gt;(A17stdlife+$E295),('PTRM input'!$P$159*(1+rvanilla10)^0.5)-SUM($P295:BH295),('PTRM input'!$P$159*(1+rvanilla10)^0.5)/A17stdlife))</f>
        <v>0</v>
      </c>
      <c r="BJ295" s="237"/>
      <c r="BK295" s="237"/>
      <c r="BL295" s="237"/>
      <c r="BM295" s="237"/>
    </row>
    <row r="296" spans="1:65" s="190" customFormat="1" hidden="1" outlineLevel="1">
      <c r="A296" s="237"/>
      <c r="B296" s="18"/>
      <c r="C296" s="33">
        <f>Asset17</f>
        <v>0</v>
      </c>
      <c r="D296" s="18"/>
      <c r="E296" s="18"/>
      <c r="F296" s="31"/>
      <c r="G296" s="104">
        <f>SUM(G284:G295)</f>
        <v>0</v>
      </c>
      <c r="H296" s="104">
        <f t="shared" ref="H296:AL296" si="69">SUM(H284:H295)</f>
        <v>0</v>
      </c>
      <c r="I296" s="104">
        <f t="shared" si="69"/>
        <v>0</v>
      </c>
      <c r="J296" s="104">
        <f t="shared" si="69"/>
        <v>0</v>
      </c>
      <c r="K296" s="104">
        <f t="shared" si="69"/>
        <v>0</v>
      </c>
      <c r="L296" s="104">
        <f t="shared" si="69"/>
        <v>0</v>
      </c>
      <c r="M296" s="104">
        <f t="shared" si="69"/>
        <v>0</v>
      </c>
      <c r="N296" s="104">
        <f t="shared" si="69"/>
        <v>0</v>
      </c>
      <c r="O296" s="104">
        <f t="shared" si="69"/>
        <v>0</v>
      </c>
      <c r="P296" s="104">
        <f t="shared" si="69"/>
        <v>0</v>
      </c>
      <c r="Q296" s="104">
        <f t="shared" si="69"/>
        <v>0</v>
      </c>
      <c r="R296" s="104">
        <f t="shared" si="69"/>
        <v>0</v>
      </c>
      <c r="S296" s="104">
        <f t="shared" si="69"/>
        <v>0</v>
      </c>
      <c r="T296" s="104">
        <f t="shared" si="69"/>
        <v>0</v>
      </c>
      <c r="U296" s="104">
        <f t="shared" si="69"/>
        <v>0</v>
      </c>
      <c r="V296" s="104">
        <f t="shared" si="69"/>
        <v>0</v>
      </c>
      <c r="W296" s="104">
        <f t="shared" si="69"/>
        <v>0</v>
      </c>
      <c r="X296" s="104">
        <f t="shared" si="69"/>
        <v>0</v>
      </c>
      <c r="Y296" s="104">
        <f t="shared" si="69"/>
        <v>0</v>
      </c>
      <c r="Z296" s="104">
        <f t="shared" si="69"/>
        <v>0</v>
      </c>
      <c r="AA296" s="104">
        <f t="shared" si="69"/>
        <v>0</v>
      </c>
      <c r="AB296" s="104">
        <f t="shared" si="69"/>
        <v>0</v>
      </c>
      <c r="AC296" s="104">
        <f t="shared" si="69"/>
        <v>0</v>
      </c>
      <c r="AD296" s="104">
        <f t="shared" si="69"/>
        <v>0</v>
      </c>
      <c r="AE296" s="104">
        <f t="shared" si="69"/>
        <v>0</v>
      </c>
      <c r="AF296" s="104">
        <f t="shared" si="69"/>
        <v>0</v>
      </c>
      <c r="AG296" s="104">
        <f t="shared" si="69"/>
        <v>0</v>
      </c>
      <c r="AH296" s="104">
        <f t="shared" si="69"/>
        <v>0</v>
      </c>
      <c r="AI296" s="104">
        <f t="shared" si="69"/>
        <v>0</v>
      </c>
      <c r="AJ296" s="104">
        <f t="shared" si="69"/>
        <v>0</v>
      </c>
      <c r="AK296" s="104">
        <f t="shared" si="69"/>
        <v>0</v>
      </c>
      <c r="AL296" s="104">
        <f t="shared" si="69"/>
        <v>0</v>
      </c>
      <c r="AM296" s="104">
        <f t="shared" ref="AM296:BI296" si="70">SUM(AM284:AM295)</f>
        <v>0</v>
      </c>
      <c r="AN296" s="104">
        <f t="shared" si="70"/>
        <v>0</v>
      </c>
      <c r="AO296" s="104">
        <f t="shared" si="70"/>
        <v>0</v>
      </c>
      <c r="AP296" s="104">
        <f t="shared" si="70"/>
        <v>0</v>
      </c>
      <c r="AQ296" s="104">
        <f t="shared" si="70"/>
        <v>0</v>
      </c>
      <c r="AR296" s="104">
        <f t="shared" si="70"/>
        <v>0</v>
      </c>
      <c r="AS296" s="104">
        <f t="shared" si="70"/>
        <v>0</v>
      </c>
      <c r="AT296" s="104">
        <f t="shared" si="70"/>
        <v>0</v>
      </c>
      <c r="AU296" s="104">
        <f t="shared" si="70"/>
        <v>0</v>
      </c>
      <c r="AV296" s="104">
        <f t="shared" si="70"/>
        <v>0</v>
      </c>
      <c r="AW296" s="104">
        <f t="shared" si="70"/>
        <v>0</v>
      </c>
      <c r="AX296" s="104">
        <f t="shared" si="70"/>
        <v>0</v>
      </c>
      <c r="AY296" s="104">
        <f t="shared" si="70"/>
        <v>0</v>
      </c>
      <c r="AZ296" s="104">
        <f t="shared" si="70"/>
        <v>0</v>
      </c>
      <c r="BA296" s="104">
        <f t="shared" si="70"/>
        <v>0</v>
      </c>
      <c r="BB296" s="104">
        <f t="shared" si="70"/>
        <v>0</v>
      </c>
      <c r="BC296" s="104">
        <f t="shared" si="70"/>
        <v>0</v>
      </c>
      <c r="BD296" s="104">
        <f t="shared" si="70"/>
        <v>0</v>
      </c>
      <c r="BE296" s="104">
        <f t="shared" si="70"/>
        <v>0</v>
      </c>
      <c r="BF296" s="104">
        <f t="shared" si="70"/>
        <v>0</v>
      </c>
      <c r="BG296" s="104">
        <f t="shared" si="70"/>
        <v>0</v>
      </c>
      <c r="BH296" s="104">
        <f t="shared" si="70"/>
        <v>0</v>
      </c>
      <c r="BI296" s="104">
        <f t="shared" si="70"/>
        <v>0</v>
      </c>
      <c r="BJ296" s="237"/>
      <c r="BK296" s="237"/>
      <c r="BL296" s="237"/>
      <c r="BM296" s="237"/>
    </row>
    <row r="297" spans="1:65" s="190" customFormat="1" ht="12.75" hidden="1" customHeight="1" outlineLevel="2">
      <c r="A297" s="237"/>
      <c r="B297" s="37">
        <f>C309</f>
        <v>0</v>
      </c>
      <c r="C297" s="38"/>
      <c r="D297" s="39" t="s">
        <v>58</v>
      </c>
      <c r="E297" s="38"/>
      <c r="F297" s="40"/>
      <c r="G297" s="106">
        <f>IF(G$3&gt;A18remlife,A18value-SUM($F297:F297),IF(A18remlife="N/A","n/a",A18value/A18remlife))</f>
        <v>0</v>
      </c>
      <c r="H297" s="106">
        <f>IF(H$3&gt;A18remlife,A18value-SUM($F297:G297),IF(A18remlife="N/A","n/a",A18value/A18remlife))</f>
        <v>0</v>
      </c>
      <c r="I297" s="106">
        <f>IF(I$3&gt;A18remlife,A18value-SUM($F297:H297),IF(A18remlife="N/A","n/a",A18value/A18remlife))</f>
        <v>0</v>
      </c>
      <c r="J297" s="106">
        <f>IF(J$3&gt;A18remlife,A18value-SUM($F297:I297),IF(A18remlife="N/A","n/a",A18value/A18remlife))</f>
        <v>0</v>
      </c>
      <c r="K297" s="106">
        <f>IF(K$3&gt;A18remlife,A18value-SUM($F297:J297),IF(A18remlife="N/A","n/a",A18value/A18remlife))</f>
        <v>0</v>
      </c>
      <c r="L297" s="106">
        <f>IF(L$3&gt;A18remlife,A18value-SUM($F297:K297),IF(A18remlife="N/A","n/a",A18value/A18remlife))</f>
        <v>0</v>
      </c>
      <c r="M297" s="106">
        <f>IF(M$3&gt;A18remlife,A18value-SUM($F297:L297),IF(A18remlife="N/A","n/a",A18value/A18remlife))</f>
        <v>0</v>
      </c>
      <c r="N297" s="106">
        <f>IF(N$3&gt;A18remlife,A18value-SUM($F297:M297),IF(A18remlife="N/A","n/a",A18value/A18remlife))</f>
        <v>0</v>
      </c>
      <c r="O297" s="106">
        <f>IF(O$3&gt;A18remlife,A18value-SUM($F297:N297),IF(A18remlife="N/A","n/a",A18value/A18remlife))</f>
        <v>0</v>
      </c>
      <c r="P297" s="106">
        <f>IF(P$3&gt;A18remlife,A18value-SUM($F297:O297),IF(A18remlife="N/A","n/a",A18value/A18remlife))</f>
        <v>0</v>
      </c>
      <c r="Q297" s="106">
        <f>IF(Q$3&gt;A18remlife,A18value-SUM($F297:P297),IF(A18remlife="N/A","n/a",A18value/A18remlife))</f>
        <v>0</v>
      </c>
      <c r="R297" s="106">
        <f>IF(R$3&gt;A18remlife,A18value-SUM($F297:Q297),IF(A18remlife="N/A","n/a",A18value/A18remlife))</f>
        <v>0</v>
      </c>
      <c r="S297" s="106">
        <f>IF(S$3&gt;A18remlife,A18value-SUM($F297:R297),IF(A18remlife="N/A","n/a",A18value/A18remlife))</f>
        <v>0</v>
      </c>
      <c r="T297" s="106">
        <f>IF(T$3&gt;A18remlife,A18value-SUM($F297:S297),IF(A18remlife="N/A","n/a",A18value/A18remlife))</f>
        <v>0</v>
      </c>
      <c r="U297" s="106">
        <f>IF(U$3&gt;A18remlife,A18value-SUM($F297:T297),IF(A18remlife="N/A","n/a",A18value/A18remlife))</f>
        <v>0</v>
      </c>
      <c r="V297" s="106">
        <f>IF(V$3&gt;A18remlife,A18value-SUM($F297:U297),IF(A18remlife="N/A","n/a",A18value/A18remlife))</f>
        <v>0</v>
      </c>
      <c r="W297" s="106">
        <f>IF(W$3&gt;A18remlife,A18value-SUM($F297:V297),IF(A18remlife="N/A","n/a",A18value/A18remlife))</f>
        <v>0</v>
      </c>
      <c r="X297" s="106">
        <f>IF(X$3&gt;A18remlife,A18value-SUM($F297:W297),IF(A18remlife="N/A","n/a",A18value/A18remlife))</f>
        <v>0</v>
      </c>
      <c r="Y297" s="106">
        <f>IF(Y$3&gt;A18remlife,A18value-SUM($F297:X297),IF(A18remlife="N/A","n/a",A18value/A18remlife))</f>
        <v>0</v>
      </c>
      <c r="Z297" s="106">
        <f>IF(Z$3&gt;A18remlife,A18value-SUM($F297:Y297),IF(A18remlife="N/A","n/a",A18value/A18remlife))</f>
        <v>0</v>
      </c>
      <c r="AA297" s="106">
        <f>IF(AA$3&gt;A18remlife,A18value-SUM($F297:Z297),IF(A18remlife="N/A","n/a",A18value/A18remlife))</f>
        <v>0</v>
      </c>
      <c r="AB297" s="106">
        <f>IF(AB$3&gt;A18remlife,A18value-SUM($F297:AA297),IF(A18remlife="N/A","n/a",A18value/A18remlife))</f>
        <v>0</v>
      </c>
      <c r="AC297" s="106">
        <f>IF(AC$3&gt;A18remlife,A18value-SUM($F297:AB297),IF(A18remlife="N/A","n/a",A18value/A18remlife))</f>
        <v>0</v>
      </c>
      <c r="AD297" s="106">
        <f>IF(AD$3&gt;A18remlife,A18value-SUM($F297:AC297),IF(A18remlife="N/A","n/a",A18value/A18remlife))</f>
        <v>0</v>
      </c>
      <c r="AE297" s="106">
        <f>IF(AE$3&gt;A18remlife,A18value-SUM($F297:AD297),IF(A18remlife="N/A","n/a",A18value/A18remlife))</f>
        <v>0</v>
      </c>
      <c r="AF297" s="106">
        <f>IF(AF$3&gt;A18remlife,A18value-SUM($F297:AE297),IF(A18remlife="N/A","n/a",A18value/A18remlife))</f>
        <v>0</v>
      </c>
      <c r="AG297" s="106">
        <f>IF(AG$3&gt;A18remlife,A18value-SUM($F297:AF297),IF(A18remlife="N/A","n/a",A18value/A18remlife))</f>
        <v>0</v>
      </c>
      <c r="AH297" s="106">
        <f>IF(AH$3&gt;A18remlife,A18value-SUM($F297:AG297),IF(A18remlife="N/A","n/a",A18value/A18remlife))</f>
        <v>0</v>
      </c>
      <c r="AI297" s="106">
        <f>IF(AI$3&gt;A18remlife,A18value-SUM($F297:AH297),IF(A18remlife="N/A","n/a",A18value/A18remlife))</f>
        <v>0</v>
      </c>
      <c r="AJ297" s="106">
        <f>IF(AJ$3&gt;A18remlife,A18value-SUM($F297:AI297),IF(A18remlife="N/A","n/a",A18value/A18remlife))</f>
        <v>0</v>
      </c>
      <c r="AK297" s="106">
        <f>IF(AK$3&gt;A18remlife,A18value-SUM($F297:AJ297),IF(A18remlife="N/A","n/a",A18value/A18remlife))</f>
        <v>0</v>
      </c>
      <c r="AL297" s="106">
        <f>IF(AL$3&gt;A18remlife,A18value-SUM($F297:AK297),IF(A18remlife="N/A","n/a",A18value/A18remlife))</f>
        <v>0</v>
      </c>
      <c r="AM297" s="106">
        <f>IF(AM$3&gt;A18remlife,A18value-SUM($F297:AL297),IF(A18remlife="N/A","n/a",A18value/A18remlife))</f>
        <v>0</v>
      </c>
      <c r="AN297" s="106">
        <f>IF(AN$3&gt;A18remlife,A18value-SUM($F297:AM297),IF(A18remlife="N/A","n/a",A18value/A18remlife))</f>
        <v>0</v>
      </c>
      <c r="AO297" s="106">
        <f>IF(AO$3&gt;A18remlife,A18value-SUM($F297:AN297),IF(A18remlife="N/A","n/a",A18value/A18remlife))</f>
        <v>0</v>
      </c>
      <c r="AP297" s="106">
        <f>IF(AP$3&gt;A18remlife,A18value-SUM($F297:AO297),IF(A18remlife="N/A","n/a",A18value/A18remlife))</f>
        <v>0</v>
      </c>
      <c r="AQ297" s="106">
        <f>IF(AQ$3&gt;A18remlife,A18value-SUM($F297:AP297),IF(A18remlife="N/A","n/a",A18value/A18remlife))</f>
        <v>0</v>
      </c>
      <c r="AR297" s="106">
        <f>IF(AR$3&gt;A18remlife,A18value-SUM($F297:AQ297),IF(A18remlife="N/A","n/a",A18value/A18remlife))</f>
        <v>0</v>
      </c>
      <c r="AS297" s="106">
        <f>IF(AS$3&gt;A18remlife,A18value-SUM($F297:AR297),IF(A18remlife="N/A","n/a",A18value/A18remlife))</f>
        <v>0</v>
      </c>
      <c r="AT297" s="106">
        <f>IF(AT$3&gt;A18remlife,A18value-SUM($F297:AS297),IF(A18remlife="N/A","n/a",A18value/A18remlife))</f>
        <v>0</v>
      </c>
      <c r="AU297" s="106">
        <f>IF(AU$3&gt;A18remlife,A18value-SUM($F297:AT297),IF(A18remlife="N/A","n/a",A18value/A18remlife))</f>
        <v>0</v>
      </c>
      <c r="AV297" s="106">
        <f>IF(AV$3&gt;A18remlife,A18value-SUM($F297:AU297),IF(A18remlife="N/A","n/a",A18value/A18remlife))</f>
        <v>0</v>
      </c>
      <c r="AW297" s="106">
        <f>IF(AW$3&gt;A18remlife,A18value-SUM($F297:AV297),IF(A18remlife="N/A","n/a",A18value/A18remlife))</f>
        <v>0</v>
      </c>
      <c r="AX297" s="106">
        <f>IF(AX$3&gt;A18remlife,A18value-SUM($F297:AW297),IF(A18remlife="N/A","n/a",A18value/A18remlife))</f>
        <v>0</v>
      </c>
      <c r="AY297" s="106">
        <f>IF(AY$3&gt;A18remlife,A18value-SUM($F297:AX297),IF(A18remlife="N/A","n/a",A18value/A18remlife))</f>
        <v>0</v>
      </c>
      <c r="AZ297" s="106">
        <f>IF(AZ$3&gt;A18remlife,A18value-SUM($F297:AY297),IF(A18remlife="N/A","n/a",A18value/A18remlife))</f>
        <v>0</v>
      </c>
      <c r="BA297" s="106">
        <f>IF(BA$3&gt;A18remlife,A18value-SUM($F297:AZ297),IF(A18remlife="N/A","n/a",A18value/A18remlife))</f>
        <v>0</v>
      </c>
      <c r="BB297" s="106">
        <f>IF(BB$3&gt;A18remlife,A18value-SUM($F297:BA297),IF(A18remlife="N/A","n/a",A18value/A18remlife))</f>
        <v>0</v>
      </c>
      <c r="BC297" s="106">
        <f>IF(BC$3&gt;A18remlife,A18value-SUM($F297:BB297),IF(A18remlife="N/A","n/a",A18value/A18remlife))</f>
        <v>0</v>
      </c>
      <c r="BD297" s="106">
        <f>IF(BD$3&gt;A18remlife,A18value-SUM($F297:BC297),IF(A18remlife="N/A","n/a",A18value/A18remlife))</f>
        <v>0</v>
      </c>
      <c r="BE297" s="106">
        <f>IF(BE$3&gt;A18remlife,A18value-SUM($F297:BD297),IF(A18remlife="N/A","n/a",A18value/A18remlife))</f>
        <v>0</v>
      </c>
      <c r="BF297" s="106">
        <f>IF(BF$3&gt;A18remlife,A18value-SUM($F297:BE297),IF(A18remlife="N/A","n/a",A18value/A18remlife))</f>
        <v>0</v>
      </c>
      <c r="BG297" s="106">
        <f>IF(BG$3&gt;A18remlife,A18value-SUM($F297:BF297),IF(A18remlife="N/A","n/a",A18value/A18remlife))</f>
        <v>0</v>
      </c>
      <c r="BH297" s="106">
        <f>IF(BH$3&gt;A18remlife,A18value-SUM($F297:BG297),IF(A18remlife="N/A","n/a",A18value/A18remlife))</f>
        <v>0</v>
      </c>
      <c r="BI297" s="106">
        <f>IF(BI$3&gt;A18remlife,A18value-SUM($F297:BH297),IF(A18remlife="N/A","n/a",A18value/A18remlife))</f>
        <v>0</v>
      </c>
      <c r="BJ297" s="237"/>
      <c r="BK297" s="237"/>
      <c r="BL297" s="237"/>
      <c r="BM297" s="237"/>
    </row>
    <row r="298" spans="1:65" s="190" customFormat="1" ht="12.75" hidden="1" customHeight="1" outlineLevel="2">
      <c r="A298" s="237"/>
      <c r="B298" s="33"/>
      <c r="C298" s="32"/>
      <c r="D298" s="1618" t="s">
        <v>357</v>
      </c>
      <c r="E298" s="169">
        <v>0</v>
      </c>
      <c r="F298" s="35"/>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c r="BJ298" s="237"/>
      <c r="BK298" s="237"/>
      <c r="BL298" s="237"/>
      <c r="BM298" s="237"/>
    </row>
    <row r="299" spans="1:65" s="190" customFormat="1" hidden="1" outlineLevel="2">
      <c r="A299" s="237"/>
      <c r="B299" s="33"/>
      <c r="C299" s="32"/>
      <c r="D299" s="1618"/>
      <c r="E299" s="169">
        <v>1</v>
      </c>
      <c r="F299" s="35"/>
      <c r="G299" s="183"/>
      <c r="H299" s="107">
        <f>IF(A18stdlife="n/a","n/a",IF(H$3&gt;(A18stdlife+$E299),('PTRM input'!$G$160*(1+rvanilla01)^0.5)-SUM($G299:G299),('PTRM input'!$G$160*(1+rvanilla01)^0.5)/A18stdlife))</f>
        <v>0</v>
      </c>
      <c r="I299" s="107">
        <f>IF(A18stdlife="n/a","n/a",IF(I$3&gt;(A18stdlife+$E299),('PTRM input'!$G$160*(1+rvanilla01)^0.5)-SUM($G299:H299),('PTRM input'!$G$160*(1+rvanilla01)^0.5)/A18stdlife))</f>
        <v>0</v>
      </c>
      <c r="J299" s="107">
        <f>IF(A18stdlife="n/a","n/a",IF(J$3&gt;(A18stdlife+$E299),('PTRM input'!$G$160*(1+rvanilla01)^0.5)-SUM($G299:I299),('PTRM input'!$G$160*(1+rvanilla01)^0.5)/A18stdlife))</f>
        <v>0</v>
      </c>
      <c r="K299" s="107">
        <f>IF(A18stdlife="n/a","n/a",IF(K$3&gt;(A18stdlife+$E299),('PTRM input'!$G$160*(1+rvanilla01)^0.5)-SUM($G299:J299),('PTRM input'!$G$160*(1+rvanilla01)^0.5)/A18stdlife))</f>
        <v>0</v>
      </c>
      <c r="L299" s="107">
        <f>IF(A18stdlife="n/a","n/a",IF(L$3&gt;(A18stdlife+$E299),('PTRM input'!$G$160*(1+rvanilla01)^0.5)-SUM($G299:K299),('PTRM input'!$G$160*(1+rvanilla01)^0.5)/A18stdlife))</f>
        <v>0</v>
      </c>
      <c r="M299" s="107">
        <f>IF(A18stdlife="n/a","n/a",IF(M$3&gt;(A18stdlife+$E299),('PTRM input'!$G$160*(1+rvanilla01)^0.5)-SUM($G299:L299),('PTRM input'!$G$160*(1+rvanilla01)^0.5)/A18stdlife))</f>
        <v>0</v>
      </c>
      <c r="N299" s="107">
        <f>IF(A18stdlife="n/a","n/a",IF(N$3&gt;(A18stdlife+$E299),('PTRM input'!$G$160*(1+rvanilla01)^0.5)-SUM($G299:M299),('PTRM input'!$G$160*(1+rvanilla01)^0.5)/A18stdlife))</f>
        <v>0</v>
      </c>
      <c r="O299" s="107">
        <f>IF(A18stdlife="n/a","n/a",IF(O$3&gt;(A18stdlife+$E299),('PTRM input'!$G$160*(1+rvanilla01)^0.5)-SUM($G299:N299),('PTRM input'!$G$160*(1+rvanilla01)^0.5)/A18stdlife))</f>
        <v>0</v>
      </c>
      <c r="P299" s="107">
        <f>IF(A18stdlife="n/a","n/a",IF(P$3&gt;(A18stdlife+$E299),('PTRM input'!$G$160*(1+rvanilla01)^0.5)-SUM($G299:O299),('PTRM input'!$G$160*(1+rvanilla01)^0.5)/A18stdlife))</f>
        <v>0</v>
      </c>
      <c r="Q299" s="107">
        <f>IF(A18stdlife="n/a","n/a",IF(Q$3&gt;(A18stdlife+$E299),('PTRM input'!$G$160*(1+rvanilla01)^0.5)-SUM($G299:P299),('PTRM input'!$G$160*(1+rvanilla01)^0.5)/A18stdlife))</f>
        <v>0</v>
      </c>
      <c r="R299" s="107">
        <f>IF(A18stdlife="n/a","n/a",IF(R$3&gt;(A18stdlife+$E299),('PTRM input'!$G$160*(1+rvanilla01)^0.5)-SUM($G299:Q299),('PTRM input'!$G$160*(1+rvanilla01)^0.5)/A18stdlife))</f>
        <v>0</v>
      </c>
      <c r="S299" s="107">
        <f>IF(A18stdlife="n/a","n/a",IF(S$3&gt;(A18stdlife+$E299),('PTRM input'!$G$160*(1+rvanilla01)^0.5)-SUM($G299:R299),('PTRM input'!$G$160*(1+rvanilla01)^0.5)/A18stdlife))</f>
        <v>0</v>
      </c>
      <c r="T299" s="107">
        <f>IF(A18stdlife="n/a","n/a",IF(T$3&gt;(A18stdlife+$E299),('PTRM input'!$G$160*(1+rvanilla01)^0.5)-SUM($G299:S299),('PTRM input'!$G$160*(1+rvanilla01)^0.5)/A18stdlife))</f>
        <v>0</v>
      </c>
      <c r="U299" s="107">
        <f>IF(A18stdlife="n/a","n/a",IF(U$3&gt;(A18stdlife+$E299),('PTRM input'!$G$160*(1+rvanilla01)^0.5)-SUM($G299:T299),('PTRM input'!$G$160*(1+rvanilla01)^0.5)/A18stdlife))</f>
        <v>0</v>
      </c>
      <c r="V299" s="107">
        <f>IF(A18stdlife="n/a","n/a",IF(V$3&gt;(A18stdlife+$E299),('PTRM input'!$G$160*(1+rvanilla01)^0.5)-SUM($G299:U299),('PTRM input'!$G$160*(1+rvanilla01)^0.5)/A18stdlife))</f>
        <v>0</v>
      </c>
      <c r="W299" s="107">
        <f>IF(A18stdlife="n/a","n/a",IF(W$3&gt;(A18stdlife+$E299),('PTRM input'!$G$160*(1+rvanilla01)^0.5)-SUM($G299:V299),('PTRM input'!$G$160*(1+rvanilla01)^0.5)/A18stdlife))</f>
        <v>0</v>
      </c>
      <c r="X299" s="107">
        <f>IF(A18stdlife="n/a","n/a",IF(X$3&gt;(A18stdlife+$E299),('PTRM input'!$G$160*(1+rvanilla01)^0.5)-SUM($G299:W299),('PTRM input'!$G$160*(1+rvanilla01)^0.5)/A18stdlife))</f>
        <v>0</v>
      </c>
      <c r="Y299" s="107">
        <f>IF(A18stdlife="n/a","n/a",IF(Y$3&gt;(A18stdlife+$E299),('PTRM input'!$G$160*(1+rvanilla01)^0.5)-SUM($G299:X299),('PTRM input'!$G$160*(1+rvanilla01)^0.5)/A18stdlife))</f>
        <v>0</v>
      </c>
      <c r="Z299" s="107">
        <f>IF(A18stdlife="n/a","n/a",IF(Z$3&gt;(A18stdlife+$E299),('PTRM input'!$G$160*(1+rvanilla01)^0.5)-SUM($G299:Y299),('PTRM input'!$G$160*(1+rvanilla01)^0.5)/A18stdlife))</f>
        <v>0</v>
      </c>
      <c r="AA299" s="107">
        <f>IF(A18stdlife="n/a","n/a",IF(AA$3&gt;(A18stdlife+$E299),('PTRM input'!$G$160*(1+rvanilla01)^0.5)-SUM($G299:Z299),('PTRM input'!$G$160*(1+rvanilla01)^0.5)/A18stdlife))</f>
        <v>0</v>
      </c>
      <c r="AB299" s="107">
        <f>IF(A18stdlife="n/a","n/a",IF(AB$3&gt;(A18stdlife+$E299),('PTRM input'!$G$160*(1+rvanilla01)^0.5)-SUM($G299:AA299),('PTRM input'!$G$160*(1+rvanilla01)^0.5)/A18stdlife))</f>
        <v>0</v>
      </c>
      <c r="AC299" s="107">
        <f>IF(A18stdlife="n/a","n/a",IF(AC$3&gt;(A18stdlife+$E299),('PTRM input'!$G$160*(1+rvanilla01)^0.5)-SUM($G299:AB299),('PTRM input'!$G$160*(1+rvanilla01)^0.5)/A18stdlife))</f>
        <v>0</v>
      </c>
      <c r="AD299" s="107">
        <f>IF(A18stdlife="n/a","n/a",IF(AD$3&gt;(A18stdlife+$E299),('PTRM input'!$G$160*(1+rvanilla01)^0.5)-SUM($G299:AC299),('PTRM input'!$G$160*(1+rvanilla01)^0.5)/A18stdlife))</f>
        <v>0</v>
      </c>
      <c r="AE299" s="107">
        <f>IF(A18stdlife="n/a","n/a",IF(AE$3&gt;(A18stdlife+$E299),('PTRM input'!$G$160*(1+rvanilla01)^0.5)-SUM($G299:AD299),('PTRM input'!$G$160*(1+rvanilla01)^0.5)/A18stdlife))</f>
        <v>0</v>
      </c>
      <c r="AF299" s="107">
        <f>IF(A18stdlife="n/a","n/a",IF(AF$3&gt;(A18stdlife+$E299),('PTRM input'!$G$160*(1+rvanilla01)^0.5)-SUM($G299:AE299),('PTRM input'!$G$160*(1+rvanilla01)^0.5)/A18stdlife))</f>
        <v>0</v>
      </c>
      <c r="AG299" s="107">
        <f>IF(A18stdlife="n/a","n/a",IF(AG$3&gt;(A18stdlife+$E299),('PTRM input'!$G$160*(1+rvanilla01)^0.5)-SUM($G299:AF299),('PTRM input'!$G$160*(1+rvanilla01)^0.5)/A18stdlife))</f>
        <v>0</v>
      </c>
      <c r="AH299" s="107">
        <f>IF(A18stdlife="n/a","n/a",IF(AH$3&gt;(A18stdlife+$E299),('PTRM input'!$G$160*(1+rvanilla01)^0.5)-SUM($G299:AG299),('PTRM input'!$G$160*(1+rvanilla01)^0.5)/A18stdlife))</f>
        <v>0</v>
      </c>
      <c r="AI299" s="107">
        <f>IF(A18stdlife="n/a","n/a",IF(AI$3&gt;(A18stdlife+$E299),('PTRM input'!$G$160*(1+rvanilla01)^0.5)-SUM($G299:AH299),('PTRM input'!$G$160*(1+rvanilla01)^0.5)/A18stdlife))</f>
        <v>0</v>
      </c>
      <c r="AJ299" s="107">
        <f>IF(A18stdlife="n/a","n/a",IF(AJ$3&gt;(A18stdlife+$E299),('PTRM input'!$G$160*(1+rvanilla01)^0.5)-SUM($G299:AI299),('PTRM input'!$G$160*(1+rvanilla01)^0.5)/A18stdlife))</f>
        <v>0</v>
      </c>
      <c r="AK299" s="107">
        <f>IF(A18stdlife="n/a","n/a",IF(AK$3&gt;(A18stdlife+$E299),('PTRM input'!$G$160*(1+rvanilla01)^0.5)-SUM($G299:AJ299),('PTRM input'!$G$160*(1+rvanilla01)^0.5)/A18stdlife))</f>
        <v>0</v>
      </c>
      <c r="AL299" s="107">
        <f>IF(A18stdlife="n/a","n/a",IF(AL$3&gt;(A18stdlife+$E299),('PTRM input'!$G$160*(1+rvanilla01)^0.5)-SUM($G299:AK299),('PTRM input'!$G$160*(1+rvanilla01)^0.5)/A18stdlife))</f>
        <v>0</v>
      </c>
      <c r="AM299" s="107">
        <f>IF(A18stdlife="n/a","n/a",IF(AM$3&gt;(A18stdlife+$E299),('PTRM input'!$G$160*(1+rvanilla01)^0.5)-SUM($G299:AL299),('PTRM input'!$G$160*(1+rvanilla01)^0.5)/A18stdlife))</f>
        <v>0</v>
      </c>
      <c r="AN299" s="107">
        <f>IF(A18stdlife="n/a","n/a",IF(AN$3&gt;(A18stdlife+$E299),('PTRM input'!$G$160*(1+rvanilla01)^0.5)-SUM($G299:AM299),('PTRM input'!$G$160*(1+rvanilla01)^0.5)/A18stdlife))</f>
        <v>0</v>
      </c>
      <c r="AO299" s="107">
        <f>IF(A18stdlife="n/a","n/a",IF(AO$3&gt;(A18stdlife+$E299),('PTRM input'!$G$160*(1+rvanilla01)^0.5)-SUM($G299:AN299),('PTRM input'!$G$160*(1+rvanilla01)^0.5)/A18stdlife))</f>
        <v>0</v>
      </c>
      <c r="AP299" s="107">
        <f>IF(A18stdlife="n/a","n/a",IF(AP$3&gt;(A18stdlife+$E299),('PTRM input'!$G$160*(1+rvanilla01)^0.5)-SUM($G299:AO299),('PTRM input'!$G$160*(1+rvanilla01)^0.5)/A18stdlife))</f>
        <v>0</v>
      </c>
      <c r="AQ299" s="107">
        <f>IF(A18stdlife="n/a","n/a",IF(AQ$3&gt;(A18stdlife+$E299),('PTRM input'!$G$160*(1+rvanilla01)^0.5)-SUM($G299:AP299),('PTRM input'!$G$160*(1+rvanilla01)^0.5)/A18stdlife))</f>
        <v>0</v>
      </c>
      <c r="AR299" s="107">
        <f>IF(A18stdlife="n/a","n/a",IF(AR$3&gt;(A18stdlife+$E299),('PTRM input'!$G$160*(1+rvanilla01)^0.5)-SUM($G299:AQ299),('PTRM input'!$G$160*(1+rvanilla01)^0.5)/A18stdlife))</f>
        <v>0</v>
      </c>
      <c r="AS299" s="107">
        <f>IF(A18stdlife="n/a","n/a",IF(AS$3&gt;(A18stdlife+$E299),('PTRM input'!$G$160*(1+rvanilla01)^0.5)-SUM($G299:AR299),('PTRM input'!$G$160*(1+rvanilla01)^0.5)/A18stdlife))</f>
        <v>0</v>
      </c>
      <c r="AT299" s="107">
        <f>IF(A18stdlife="n/a","n/a",IF(AT$3&gt;(A18stdlife+$E299),('PTRM input'!$G$160*(1+rvanilla01)^0.5)-SUM($G299:AS299),('PTRM input'!$G$160*(1+rvanilla01)^0.5)/A18stdlife))</f>
        <v>0</v>
      </c>
      <c r="AU299" s="107">
        <f>IF(A18stdlife="n/a","n/a",IF(AU$3&gt;(A18stdlife+$E299),('PTRM input'!$G$160*(1+rvanilla01)^0.5)-SUM($G299:AT299),('PTRM input'!$G$160*(1+rvanilla01)^0.5)/A18stdlife))</f>
        <v>0</v>
      </c>
      <c r="AV299" s="107">
        <f>IF(A18stdlife="n/a","n/a",IF(AV$3&gt;(A18stdlife+$E299),('PTRM input'!$G$160*(1+rvanilla01)^0.5)-SUM($G299:AU299),('PTRM input'!$G$160*(1+rvanilla01)^0.5)/A18stdlife))</f>
        <v>0</v>
      </c>
      <c r="AW299" s="107">
        <f>IF(A18stdlife="n/a","n/a",IF(AW$3&gt;(A18stdlife+$E299),('PTRM input'!$G$160*(1+rvanilla01)^0.5)-SUM($G299:AV299),('PTRM input'!$G$160*(1+rvanilla01)^0.5)/A18stdlife))</f>
        <v>0</v>
      </c>
      <c r="AX299" s="107">
        <f>IF(A18stdlife="n/a","n/a",IF(AX$3&gt;(A18stdlife+$E299),('PTRM input'!$G$160*(1+rvanilla01)^0.5)-SUM($G299:AW299),('PTRM input'!$G$160*(1+rvanilla01)^0.5)/A18stdlife))</f>
        <v>0</v>
      </c>
      <c r="AY299" s="107">
        <f>IF(A18stdlife="n/a","n/a",IF(AY$3&gt;(A18stdlife+$E299),('PTRM input'!$G$160*(1+rvanilla01)^0.5)-SUM($G299:AX299),('PTRM input'!$G$160*(1+rvanilla01)^0.5)/A18stdlife))</f>
        <v>0</v>
      </c>
      <c r="AZ299" s="107">
        <f>IF(A18stdlife="n/a","n/a",IF(AZ$3&gt;(A18stdlife+$E299),('PTRM input'!$G$160*(1+rvanilla01)^0.5)-SUM($G299:AY299),('PTRM input'!$G$160*(1+rvanilla01)^0.5)/A18stdlife))</f>
        <v>0</v>
      </c>
      <c r="BA299" s="107">
        <f>IF(A18stdlife="n/a","n/a",IF(BA$3&gt;(A18stdlife+$E299),('PTRM input'!$G$160*(1+rvanilla01)^0.5)-SUM($G299:AZ299),('PTRM input'!$G$160*(1+rvanilla01)^0.5)/A18stdlife))</f>
        <v>0</v>
      </c>
      <c r="BB299" s="107">
        <f>IF(A18stdlife="n/a","n/a",IF(BB$3&gt;(A18stdlife+$E299),('PTRM input'!$G$160*(1+rvanilla01)^0.5)-SUM($G299:BA299),('PTRM input'!$G$160*(1+rvanilla01)^0.5)/A18stdlife))</f>
        <v>0</v>
      </c>
      <c r="BC299" s="107">
        <f>IF(A18stdlife="n/a","n/a",IF(BC$3&gt;(A18stdlife+$E299),('PTRM input'!$G$160*(1+rvanilla01)^0.5)-SUM($G299:BB299),('PTRM input'!$G$160*(1+rvanilla01)^0.5)/A18stdlife))</f>
        <v>0</v>
      </c>
      <c r="BD299" s="107">
        <f>IF(A18stdlife="n/a","n/a",IF(BD$3&gt;(A18stdlife+$E299),('PTRM input'!$G$160*(1+rvanilla01)^0.5)-SUM($G299:BC299),('PTRM input'!$G$160*(1+rvanilla01)^0.5)/A18stdlife))</f>
        <v>0</v>
      </c>
      <c r="BE299" s="107">
        <f>IF(A18stdlife="n/a","n/a",IF(BE$3&gt;(A18stdlife+$E299),('PTRM input'!$G$160*(1+rvanilla01)^0.5)-SUM($G299:BD299),('PTRM input'!$G$160*(1+rvanilla01)^0.5)/A18stdlife))</f>
        <v>0</v>
      </c>
      <c r="BF299" s="107">
        <f>IF(A18stdlife="n/a","n/a",IF(BF$3&gt;(A18stdlife+$E299),('PTRM input'!$G$160*(1+rvanilla01)^0.5)-SUM($G299:BE299),('PTRM input'!$G$160*(1+rvanilla01)^0.5)/A18stdlife))</f>
        <v>0</v>
      </c>
      <c r="BG299" s="107">
        <f>IF(A18stdlife="n/a","n/a",IF(BG$3&gt;(A18stdlife+$E299),('PTRM input'!$G$160*(1+rvanilla01)^0.5)-SUM($G299:BF299),('PTRM input'!$G$160*(1+rvanilla01)^0.5)/A18stdlife))</f>
        <v>0</v>
      </c>
      <c r="BH299" s="107">
        <f>IF(A18stdlife="n/a","n/a",IF(BH$3&gt;(A18stdlife+$E299),('PTRM input'!$G$160*(1+rvanilla01)^0.5)-SUM($G299:BG299),('PTRM input'!$G$160*(1+rvanilla01)^0.5)/A18stdlife))</f>
        <v>0</v>
      </c>
      <c r="BI299" s="107">
        <f>IF(A18stdlife="n/a","n/a",IF(BI$3&gt;(A18stdlife+$E299),('PTRM input'!$G$160*(1+rvanilla01)^0.5)-SUM($G299:BH299),('PTRM input'!$G$160*(1+rvanilla01)^0.5)/A18stdlife))</f>
        <v>0</v>
      </c>
      <c r="BJ299" s="237"/>
      <c r="BK299" s="237"/>
      <c r="BL299" s="237"/>
      <c r="BM299" s="237"/>
    </row>
    <row r="300" spans="1:65" s="190" customFormat="1" hidden="1" outlineLevel="2">
      <c r="A300" s="237"/>
      <c r="B300" s="33"/>
      <c r="C300" s="32"/>
      <c r="D300" s="1618"/>
      <c r="E300" s="169">
        <v>2</v>
      </c>
      <c r="F300" s="35"/>
      <c r="G300" s="184"/>
      <c r="H300" s="185"/>
      <c r="I300" s="107">
        <f>IF(A18stdlife="n/a","n/a",IF(I$3&gt;(A18stdlife+$E300),('PTRM input'!$H$160*(1+rvanilla02)^0.5)-SUM($H300:H300),('PTRM input'!$H$160*(1+rvanilla02)^0.5)/A18stdlife))</f>
        <v>0</v>
      </c>
      <c r="J300" s="107">
        <f>IF(A18stdlife="n/a","n/a",IF(J$3&gt;(A18stdlife+$E300),('PTRM input'!$H$160*(1+rvanilla02)^0.5)-SUM($H300:I300),('PTRM input'!$H$160*(1+rvanilla02)^0.5)/A18stdlife))</f>
        <v>0</v>
      </c>
      <c r="K300" s="107">
        <f>IF(A18stdlife="n/a","n/a",IF(K$3&gt;(A18stdlife+$E300),('PTRM input'!$H$160*(1+rvanilla02)^0.5)-SUM($H300:J300),('PTRM input'!$H$160*(1+rvanilla02)^0.5)/A18stdlife))</f>
        <v>0</v>
      </c>
      <c r="L300" s="107">
        <f>IF(A18stdlife="n/a","n/a",IF(L$3&gt;(A18stdlife+$E300),('PTRM input'!$H$160*(1+rvanilla02)^0.5)-SUM($H300:K300),('PTRM input'!$H$160*(1+rvanilla02)^0.5)/A18stdlife))</f>
        <v>0</v>
      </c>
      <c r="M300" s="107">
        <f>IF(A18stdlife="n/a","n/a",IF(M$3&gt;(A18stdlife+$E300),('PTRM input'!$H$160*(1+rvanilla02)^0.5)-SUM($H300:L300),('PTRM input'!$H$160*(1+rvanilla02)^0.5)/A18stdlife))</f>
        <v>0</v>
      </c>
      <c r="N300" s="107">
        <f>IF(A18stdlife="n/a","n/a",IF(N$3&gt;(A18stdlife+$E300),('PTRM input'!$H$160*(1+rvanilla02)^0.5)-SUM($H300:M300),('PTRM input'!$H$160*(1+rvanilla02)^0.5)/A18stdlife))</f>
        <v>0</v>
      </c>
      <c r="O300" s="107">
        <f>IF(A18stdlife="n/a","n/a",IF(O$3&gt;(A18stdlife+$E300),('PTRM input'!$H$160*(1+rvanilla02)^0.5)-SUM($H300:N300),('PTRM input'!$H$160*(1+rvanilla02)^0.5)/A18stdlife))</f>
        <v>0</v>
      </c>
      <c r="P300" s="107">
        <f>IF(A18stdlife="n/a","n/a",IF(P$3&gt;(A18stdlife+$E300),('PTRM input'!$H$160*(1+rvanilla02)^0.5)-SUM($H300:O300),('PTRM input'!$H$160*(1+rvanilla02)^0.5)/A18stdlife))</f>
        <v>0</v>
      </c>
      <c r="Q300" s="107">
        <f>IF(A18stdlife="n/a","n/a",IF(Q$3&gt;(A18stdlife+$E300),('PTRM input'!$H$160*(1+rvanilla02)^0.5)-SUM($H300:P300),('PTRM input'!$H$160*(1+rvanilla02)^0.5)/A18stdlife))</f>
        <v>0</v>
      </c>
      <c r="R300" s="107">
        <f>IF(A18stdlife="n/a","n/a",IF(R$3&gt;(A18stdlife+$E300),('PTRM input'!$H$160*(1+rvanilla02)^0.5)-SUM($H300:Q300),('PTRM input'!$H$160*(1+rvanilla02)^0.5)/A18stdlife))</f>
        <v>0</v>
      </c>
      <c r="S300" s="107">
        <f>IF(A18stdlife="n/a","n/a",IF(S$3&gt;(A18stdlife+$E300),('PTRM input'!$H$160*(1+rvanilla02)^0.5)-SUM($H300:R300),('PTRM input'!$H$160*(1+rvanilla02)^0.5)/A18stdlife))</f>
        <v>0</v>
      </c>
      <c r="T300" s="107">
        <f>IF(A18stdlife="n/a","n/a",IF(T$3&gt;(A18stdlife+$E300),('PTRM input'!$H$160*(1+rvanilla02)^0.5)-SUM($H300:S300),('PTRM input'!$H$160*(1+rvanilla02)^0.5)/A18stdlife))</f>
        <v>0</v>
      </c>
      <c r="U300" s="107">
        <f>IF(A18stdlife="n/a","n/a",IF(U$3&gt;(A18stdlife+$E300),('PTRM input'!$H$160*(1+rvanilla02)^0.5)-SUM($H300:T300),('PTRM input'!$H$160*(1+rvanilla02)^0.5)/A18stdlife))</f>
        <v>0</v>
      </c>
      <c r="V300" s="107">
        <f>IF(A18stdlife="n/a","n/a",IF(V$3&gt;(A18stdlife+$E300),('PTRM input'!$H$160*(1+rvanilla02)^0.5)-SUM($H300:U300),('PTRM input'!$H$160*(1+rvanilla02)^0.5)/A18stdlife))</f>
        <v>0</v>
      </c>
      <c r="W300" s="107">
        <f>IF(A18stdlife="n/a","n/a",IF(W$3&gt;(A18stdlife+$E300),('PTRM input'!$H$160*(1+rvanilla02)^0.5)-SUM($H300:V300),('PTRM input'!$H$160*(1+rvanilla02)^0.5)/A18stdlife))</f>
        <v>0</v>
      </c>
      <c r="X300" s="107">
        <f>IF(A18stdlife="n/a","n/a",IF(X$3&gt;(A18stdlife+$E300),('PTRM input'!$H$160*(1+rvanilla02)^0.5)-SUM($H300:W300),('PTRM input'!$H$160*(1+rvanilla02)^0.5)/A18stdlife))</f>
        <v>0</v>
      </c>
      <c r="Y300" s="107">
        <f>IF(A18stdlife="n/a","n/a",IF(Y$3&gt;(A18stdlife+$E300),('PTRM input'!$H$160*(1+rvanilla02)^0.5)-SUM($H300:X300),('PTRM input'!$H$160*(1+rvanilla02)^0.5)/A18stdlife))</f>
        <v>0</v>
      </c>
      <c r="Z300" s="107">
        <f>IF(A18stdlife="n/a","n/a",IF(Z$3&gt;(A18stdlife+$E300),('PTRM input'!$H$160*(1+rvanilla02)^0.5)-SUM($H300:Y300),('PTRM input'!$H$160*(1+rvanilla02)^0.5)/A18stdlife))</f>
        <v>0</v>
      </c>
      <c r="AA300" s="107">
        <f>IF(A18stdlife="n/a","n/a",IF(AA$3&gt;(A18stdlife+$E300),('PTRM input'!$H$160*(1+rvanilla02)^0.5)-SUM($H300:Z300),('PTRM input'!$H$160*(1+rvanilla02)^0.5)/A18stdlife))</f>
        <v>0</v>
      </c>
      <c r="AB300" s="107">
        <f>IF(A18stdlife="n/a","n/a",IF(AB$3&gt;(A18stdlife+$E300),('PTRM input'!$H$160*(1+rvanilla02)^0.5)-SUM($H300:AA300),('PTRM input'!$H$160*(1+rvanilla02)^0.5)/A18stdlife))</f>
        <v>0</v>
      </c>
      <c r="AC300" s="107">
        <f>IF(A18stdlife="n/a","n/a",IF(AC$3&gt;(A18stdlife+$E300),('PTRM input'!$H$160*(1+rvanilla02)^0.5)-SUM($H300:AB300),('PTRM input'!$H$160*(1+rvanilla02)^0.5)/A18stdlife))</f>
        <v>0</v>
      </c>
      <c r="AD300" s="107">
        <f>IF(A18stdlife="n/a","n/a",IF(AD$3&gt;(A18stdlife+$E300),('PTRM input'!$H$160*(1+rvanilla02)^0.5)-SUM($H300:AC300),('PTRM input'!$H$160*(1+rvanilla02)^0.5)/A18stdlife))</f>
        <v>0</v>
      </c>
      <c r="AE300" s="107">
        <f>IF(A18stdlife="n/a","n/a",IF(AE$3&gt;(A18stdlife+$E300),('PTRM input'!$H$160*(1+rvanilla02)^0.5)-SUM($H300:AD300),('PTRM input'!$H$160*(1+rvanilla02)^0.5)/A18stdlife))</f>
        <v>0</v>
      </c>
      <c r="AF300" s="107">
        <f>IF(A18stdlife="n/a","n/a",IF(AF$3&gt;(A18stdlife+$E300),('PTRM input'!$H$160*(1+rvanilla02)^0.5)-SUM($H300:AE300),('PTRM input'!$H$160*(1+rvanilla02)^0.5)/A18stdlife))</f>
        <v>0</v>
      </c>
      <c r="AG300" s="107">
        <f>IF(A18stdlife="n/a","n/a",IF(AG$3&gt;(A18stdlife+$E300),('PTRM input'!$H$160*(1+rvanilla02)^0.5)-SUM($H300:AF300),('PTRM input'!$H$160*(1+rvanilla02)^0.5)/A18stdlife))</f>
        <v>0</v>
      </c>
      <c r="AH300" s="107">
        <f>IF(A18stdlife="n/a","n/a",IF(AH$3&gt;(A18stdlife+$E300),('PTRM input'!$H$160*(1+rvanilla02)^0.5)-SUM($H300:AG300),('PTRM input'!$H$160*(1+rvanilla02)^0.5)/A18stdlife))</f>
        <v>0</v>
      </c>
      <c r="AI300" s="107">
        <f>IF(A18stdlife="n/a","n/a",IF(AI$3&gt;(A18stdlife+$E300),('PTRM input'!$H$160*(1+rvanilla02)^0.5)-SUM($H300:AH300),('PTRM input'!$H$160*(1+rvanilla02)^0.5)/A18stdlife))</f>
        <v>0</v>
      </c>
      <c r="AJ300" s="107">
        <f>IF(A18stdlife="n/a","n/a",IF(AJ$3&gt;(A18stdlife+$E300),('PTRM input'!$H$160*(1+rvanilla02)^0.5)-SUM($H300:AI300),('PTRM input'!$H$160*(1+rvanilla02)^0.5)/A18stdlife))</f>
        <v>0</v>
      </c>
      <c r="AK300" s="107">
        <f>IF(A18stdlife="n/a","n/a",IF(AK$3&gt;(A18stdlife+$E300),('PTRM input'!$H$160*(1+rvanilla02)^0.5)-SUM($H300:AJ300),('PTRM input'!$H$160*(1+rvanilla02)^0.5)/A18stdlife))</f>
        <v>0</v>
      </c>
      <c r="AL300" s="107">
        <f>IF(A18stdlife="n/a","n/a",IF(AL$3&gt;(A18stdlife+$E300),('PTRM input'!$H$160*(1+rvanilla02)^0.5)-SUM($H300:AK300),('PTRM input'!$H$160*(1+rvanilla02)^0.5)/A18stdlife))</f>
        <v>0</v>
      </c>
      <c r="AM300" s="107">
        <f>IF(A18stdlife="n/a","n/a",IF(AM$3&gt;(A18stdlife+$E300),('PTRM input'!$H$160*(1+rvanilla02)^0.5)-SUM($H300:AL300),('PTRM input'!$H$160*(1+rvanilla02)^0.5)/A18stdlife))</f>
        <v>0</v>
      </c>
      <c r="AN300" s="107">
        <f>IF(A18stdlife="n/a","n/a",IF(AN$3&gt;(A18stdlife+$E300),('PTRM input'!$H$160*(1+rvanilla02)^0.5)-SUM($H300:AM300),('PTRM input'!$H$160*(1+rvanilla02)^0.5)/A18stdlife))</f>
        <v>0</v>
      </c>
      <c r="AO300" s="107">
        <f>IF(A18stdlife="n/a","n/a",IF(AO$3&gt;(A18stdlife+$E300),('PTRM input'!$H$160*(1+rvanilla02)^0.5)-SUM($H300:AN300),('PTRM input'!$H$160*(1+rvanilla02)^0.5)/A18stdlife))</f>
        <v>0</v>
      </c>
      <c r="AP300" s="107">
        <f>IF(A18stdlife="n/a","n/a",IF(AP$3&gt;(A18stdlife+$E300),('PTRM input'!$H$160*(1+rvanilla02)^0.5)-SUM($H300:AO300),('PTRM input'!$H$160*(1+rvanilla02)^0.5)/A18stdlife))</f>
        <v>0</v>
      </c>
      <c r="AQ300" s="107">
        <f>IF(A18stdlife="n/a","n/a",IF(AQ$3&gt;(A18stdlife+$E300),('PTRM input'!$H$160*(1+rvanilla02)^0.5)-SUM($H300:AP300),('PTRM input'!$H$160*(1+rvanilla02)^0.5)/A18stdlife))</f>
        <v>0</v>
      </c>
      <c r="AR300" s="107">
        <f>IF(A18stdlife="n/a","n/a",IF(AR$3&gt;(A18stdlife+$E300),('PTRM input'!$H$160*(1+rvanilla02)^0.5)-SUM($H300:AQ300),('PTRM input'!$H$160*(1+rvanilla02)^0.5)/A18stdlife))</f>
        <v>0</v>
      </c>
      <c r="AS300" s="107">
        <f>IF(A18stdlife="n/a","n/a",IF(AS$3&gt;(A18stdlife+$E300),('PTRM input'!$H$160*(1+rvanilla02)^0.5)-SUM($H300:AR300),('PTRM input'!$H$160*(1+rvanilla02)^0.5)/A18stdlife))</f>
        <v>0</v>
      </c>
      <c r="AT300" s="107">
        <f>IF(A18stdlife="n/a","n/a",IF(AT$3&gt;(A18stdlife+$E300),('PTRM input'!$H$160*(1+rvanilla02)^0.5)-SUM($H300:AS300),('PTRM input'!$H$160*(1+rvanilla02)^0.5)/A18stdlife))</f>
        <v>0</v>
      </c>
      <c r="AU300" s="107">
        <f>IF(A18stdlife="n/a","n/a",IF(AU$3&gt;(A18stdlife+$E300),('PTRM input'!$H$160*(1+rvanilla02)^0.5)-SUM($H300:AT300),('PTRM input'!$H$160*(1+rvanilla02)^0.5)/A18stdlife))</f>
        <v>0</v>
      </c>
      <c r="AV300" s="107">
        <f>IF(A18stdlife="n/a","n/a",IF(AV$3&gt;(A18stdlife+$E300),('PTRM input'!$H$160*(1+rvanilla02)^0.5)-SUM($H300:AU300),('PTRM input'!$H$160*(1+rvanilla02)^0.5)/A18stdlife))</f>
        <v>0</v>
      </c>
      <c r="AW300" s="107">
        <f>IF(A18stdlife="n/a","n/a",IF(AW$3&gt;(A18stdlife+$E300),('PTRM input'!$H$160*(1+rvanilla02)^0.5)-SUM($H300:AV300),('PTRM input'!$H$160*(1+rvanilla02)^0.5)/A18stdlife))</f>
        <v>0</v>
      </c>
      <c r="AX300" s="107">
        <f>IF(A18stdlife="n/a","n/a",IF(AX$3&gt;(A18stdlife+$E300),('PTRM input'!$H$160*(1+rvanilla02)^0.5)-SUM($H300:AW300),('PTRM input'!$H$160*(1+rvanilla02)^0.5)/A18stdlife))</f>
        <v>0</v>
      </c>
      <c r="AY300" s="107">
        <f>IF(A18stdlife="n/a","n/a",IF(AY$3&gt;(A18stdlife+$E300),('PTRM input'!$H$160*(1+rvanilla02)^0.5)-SUM($H300:AX300),('PTRM input'!$H$160*(1+rvanilla02)^0.5)/A18stdlife))</f>
        <v>0</v>
      </c>
      <c r="AZ300" s="107">
        <f>IF(A18stdlife="n/a","n/a",IF(AZ$3&gt;(A18stdlife+$E300),('PTRM input'!$H$160*(1+rvanilla02)^0.5)-SUM($H300:AY300),('PTRM input'!$H$160*(1+rvanilla02)^0.5)/A18stdlife))</f>
        <v>0</v>
      </c>
      <c r="BA300" s="107">
        <f>IF(A18stdlife="n/a","n/a",IF(BA$3&gt;(A18stdlife+$E300),('PTRM input'!$H$160*(1+rvanilla02)^0.5)-SUM($H300:AZ300),('PTRM input'!$H$160*(1+rvanilla02)^0.5)/A18stdlife))</f>
        <v>0</v>
      </c>
      <c r="BB300" s="107">
        <f>IF(A18stdlife="n/a","n/a",IF(BB$3&gt;(A18stdlife+$E300),('PTRM input'!$H$160*(1+rvanilla02)^0.5)-SUM($H300:BA300),('PTRM input'!$H$160*(1+rvanilla02)^0.5)/A18stdlife))</f>
        <v>0</v>
      </c>
      <c r="BC300" s="107">
        <f>IF(A18stdlife="n/a","n/a",IF(BC$3&gt;(A18stdlife+$E300),('PTRM input'!$H$160*(1+rvanilla02)^0.5)-SUM($H300:BB300),('PTRM input'!$H$160*(1+rvanilla02)^0.5)/A18stdlife))</f>
        <v>0</v>
      </c>
      <c r="BD300" s="107">
        <f>IF(A18stdlife="n/a","n/a",IF(BD$3&gt;(A18stdlife+$E300),('PTRM input'!$H$160*(1+rvanilla02)^0.5)-SUM($H300:BC300),('PTRM input'!$H$160*(1+rvanilla02)^0.5)/A18stdlife))</f>
        <v>0</v>
      </c>
      <c r="BE300" s="107">
        <f>IF(A18stdlife="n/a","n/a",IF(BE$3&gt;(A18stdlife+$E300),('PTRM input'!$H$160*(1+rvanilla02)^0.5)-SUM($H300:BD300),('PTRM input'!$H$160*(1+rvanilla02)^0.5)/A18stdlife))</f>
        <v>0</v>
      </c>
      <c r="BF300" s="107">
        <f>IF(A18stdlife="n/a","n/a",IF(BF$3&gt;(A18stdlife+$E300),('PTRM input'!$H$160*(1+rvanilla02)^0.5)-SUM($H300:BE300),('PTRM input'!$H$160*(1+rvanilla02)^0.5)/A18stdlife))</f>
        <v>0</v>
      </c>
      <c r="BG300" s="107">
        <f>IF(A18stdlife="n/a","n/a",IF(BG$3&gt;(A18stdlife+$E300),('PTRM input'!$H$160*(1+rvanilla02)^0.5)-SUM($H300:BF300),('PTRM input'!$H$160*(1+rvanilla02)^0.5)/A18stdlife))</f>
        <v>0</v>
      </c>
      <c r="BH300" s="107">
        <f>IF(A18stdlife="n/a","n/a",IF(BH$3&gt;(A18stdlife+$E300),('PTRM input'!$H$160*(1+rvanilla02)^0.5)-SUM($H300:BG300),('PTRM input'!$H$160*(1+rvanilla02)^0.5)/A18stdlife))</f>
        <v>0</v>
      </c>
      <c r="BI300" s="107">
        <f>IF(A18stdlife="n/a","n/a",IF(BI$3&gt;(A18stdlife+$E300),('PTRM input'!$H$160*(1+rvanilla02)^0.5)-SUM($H300:BH300),('PTRM input'!$H$160*(1+rvanilla02)^0.5)/A18stdlife))</f>
        <v>0</v>
      </c>
      <c r="BJ300" s="237"/>
      <c r="BK300" s="237"/>
      <c r="BL300" s="237"/>
      <c r="BM300" s="237"/>
    </row>
    <row r="301" spans="1:65" s="190" customFormat="1" hidden="1" outlineLevel="2">
      <c r="A301" s="237"/>
      <c r="B301" s="33"/>
      <c r="C301" s="32"/>
      <c r="D301" s="1618"/>
      <c r="E301" s="169">
        <v>3</v>
      </c>
      <c r="F301" s="35"/>
      <c r="G301" s="184"/>
      <c r="H301" s="186"/>
      <c r="I301" s="185"/>
      <c r="J301" s="107">
        <f>IF(A18stdlife="n/a","n/a",IF(J$3&gt;(A18stdlife+$E301),('PTRM input'!$I$160*(1+rvanilla03)^0.5)-SUM($I301:I301),('PTRM input'!$I$160*(1+rvanilla03)^0.5)/A18stdlife))</f>
        <v>0</v>
      </c>
      <c r="K301" s="107">
        <f>IF(A18stdlife="n/a","n/a",IF(K$3&gt;(A18stdlife+$E301),('PTRM input'!$I$160*(1+rvanilla03)^0.5)-SUM($I301:J301),('PTRM input'!$I$160*(1+rvanilla03)^0.5)/A18stdlife))</f>
        <v>0</v>
      </c>
      <c r="L301" s="107">
        <f>IF(A18stdlife="n/a","n/a",IF(L$3&gt;(A18stdlife+$E301),('PTRM input'!$I$160*(1+rvanilla03)^0.5)-SUM($I301:K301),('PTRM input'!$I$160*(1+rvanilla03)^0.5)/A18stdlife))</f>
        <v>0</v>
      </c>
      <c r="M301" s="107">
        <f>IF(A18stdlife="n/a","n/a",IF(M$3&gt;(A18stdlife+$E301),('PTRM input'!$I$160*(1+rvanilla03)^0.5)-SUM($I301:L301),('PTRM input'!$I$160*(1+rvanilla03)^0.5)/A18stdlife))</f>
        <v>0</v>
      </c>
      <c r="N301" s="107">
        <f>IF(A18stdlife="n/a","n/a",IF(N$3&gt;(A18stdlife+$E301),('PTRM input'!$I$160*(1+rvanilla03)^0.5)-SUM($I301:M301),('PTRM input'!$I$160*(1+rvanilla03)^0.5)/A18stdlife))</f>
        <v>0</v>
      </c>
      <c r="O301" s="107">
        <f>IF(A18stdlife="n/a","n/a",IF(O$3&gt;(A18stdlife+$E301),('PTRM input'!$I$160*(1+rvanilla03)^0.5)-SUM($I301:N301),('PTRM input'!$I$160*(1+rvanilla03)^0.5)/A18stdlife))</f>
        <v>0</v>
      </c>
      <c r="P301" s="107">
        <f>IF(A18stdlife="n/a","n/a",IF(P$3&gt;(A18stdlife+$E301),('PTRM input'!$I$160*(1+rvanilla03)^0.5)-SUM($I301:O301),('PTRM input'!$I$160*(1+rvanilla03)^0.5)/A18stdlife))</f>
        <v>0</v>
      </c>
      <c r="Q301" s="107">
        <f>IF(A18stdlife="n/a","n/a",IF(Q$3&gt;(A18stdlife+$E301),('PTRM input'!$I$160*(1+rvanilla03)^0.5)-SUM($I301:P301),('PTRM input'!$I$160*(1+rvanilla03)^0.5)/A18stdlife))</f>
        <v>0</v>
      </c>
      <c r="R301" s="107">
        <f>IF(A18stdlife="n/a","n/a",IF(R$3&gt;(A18stdlife+$E301),('PTRM input'!$I$160*(1+rvanilla03)^0.5)-SUM($I301:Q301),('PTRM input'!$I$160*(1+rvanilla03)^0.5)/A18stdlife))</f>
        <v>0</v>
      </c>
      <c r="S301" s="107">
        <f>IF(A18stdlife="n/a","n/a",IF(S$3&gt;(A18stdlife+$E301),('PTRM input'!$I$160*(1+rvanilla03)^0.5)-SUM($I301:R301),('PTRM input'!$I$160*(1+rvanilla03)^0.5)/A18stdlife))</f>
        <v>0</v>
      </c>
      <c r="T301" s="107">
        <f>IF(A18stdlife="n/a","n/a",IF(T$3&gt;(A18stdlife+$E301),('PTRM input'!$I$160*(1+rvanilla03)^0.5)-SUM($I301:S301),('PTRM input'!$I$160*(1+rvanilla03)^0.5)/A18stdlife))</f>
        <v>0</v>
      </c>
      <c r="U301" s="107">
        <f>IF(A18stdlife="n/a","n/a",IF(U$3&gt;(A18stdlife+$E301),('PTRM input'!$I$160*(1+rvanilla03)^0.5)-SUM($I301:T301),('PTRM input'!$I$160*(1+rvanilla03)^0.5)/A18stdlife))</f>
        <v>0</v>
      </c>
      <c r="V301" s="107">
        <f>IF(A18stdlife="n/a","n/a",IF(V$3&gt;(A18stdlife+$E301),('PTRM input'!$I$160*(1+rvanilla03)^0.5)-SUM($I301:U301),('PTRM input'!$I$160*(1+rvanilla03)^0.5)/A18stdlife))</f>
        <v>0</v>
      </c>
      <c r="W301" s="107">
        <f>IF(A18stdlife="n/a","n/a",IF(W$3&gt;(A18stdlife+$E301),('PTRM input'!$I$160*(1+rvanilla03)^0.5)-SUM($I301:V301),('PTRM input'!$I$160*(1+rvanilla03)^0.5)/A18stdlife))</f>
        <v>0</v>
      </c>
      <c r="X301" s="107">
        <f>IF(A18stdlife="n/a","n/a",IF(X$3&gt;(A18stdlife+$E301),('PTRM input'!$I$160*(1+rvanilla03)^0.5)-SUM($I301:W301),('PTRM input'!$I$160*(1+rvanilla03)^0.5)/A18stdlife))</f>
        <v>0</v>
      </c>
      <c r="Y301" s="107">
        <f>IF(A18stdlife="n/a","n/a",IF(Y$3&gt;(A18stdlife+$E301),('PTRM input'!$I$160*(1+rvanilla03)^0.5)-SUM($I301:X301),('PTRM input'!$I$160*(1+rvanilla03)^0.5)/A18stdlife))</f>
        <v>0</v>
      </c>
      <c r="Z301" s="107">
        <f>IF(A18stdlife="n/a","n/a",IF(Z$3&gt;(A18stdlife+$E301),('PTRM input'!$I$160*(1+rvanilla03)^0.5)-SUM($I301:Y301),('PTRM input'!$I$160*(1+rvanilla03)^0.5)/A18stdlife))</f>
        <v>0</v>
      </c>
      <c r="AA301" s="107">
        <f>IF(A18stdlife="n/a","n/a",IF(AA$3&gt;(A18stdlife+$E301),('PTRM input'!$I$160*(1+rvanilla03)^0.5)-SUM($I301:Z301),('PTRM input'!$I$160*(1+rvanilla03)^0.5)/A18stdlife))</f>
        <v>0</v>
      </c>
      <c r="AB301" s="107">
        <f>IF(A18stdlife="n/a","n/a",IF(AB$3&gt;(A18stdlife+$E301),('PTRM input'!$I$160*(1+rvanilla03)^0.5)-SUM($I301:AA301),('PTRM input'!$I$160*(1+rvanilla03)^0.5)/A18stdlife))</f>
        <v>0</v>
      </c>
      <c r="AC301" s="107">
        <f>IF(A18stdlife="n/a","n/a",IF(AC$3&gt;(A18stdlife+$E301),('PTRM input'!$I$160*(1+rvanilla03)^0.5)-SUM($I301:AB301),('PTRM input'!$I$160*(1+rvanilla03)^0.5)/A18stdlife))</f>
        <v>0</v>
      </c>
      <c r="AD301" s="107">
        <f>IF(A18stdlife="n/a","n/a",IF(AD$3&gt;(A18stdlife+$E301),('PTRM input'!$I$160*(1+rvanilla03)^0.5)-SUM($I301:AC301),('PTRM input'!$I$160*(1+rvanilla03)^0.5)/A18stdlife))</f>
        <v>0</v>
      </c>
      <c r="AE301" s="107">
        <f>IF(A18stdlife="n/a","n/a",IF(AE$3&gt;(A18stdlife+$E301),('PTRM input'!$I$160*(1+rvanilla03)^0.5)-SUM($I301:AD301),('PTRM input'!$I$160*(1+rvanilla03)^0.5)/A18stdlife))</f>
        <v>0</v>
      </c>
      <c r="AF301" s="107">
        <f>IF(A18stdlife="n/a","n/a",IF(AF$3&gt;(A18stdlife+$E301),('PTRM input'!$I$160*(1+rvanilla03)^0.5)-SUM($I301:AE301),('PTRM input'!$I$160*(1+rvanilla03)^0.5)/A18stdlife))</f>
        <v>0</v>
      </c>
      <c r="AG301" s="107">
        <f>IF(A18stdlife="n/a","n/a",IF(AG$3&gt;(A18stdlife+$E301),('PTRM input'!$I$160*(1+rvanilla03)^0.5)-SUM($I301:AF301),('PTRM input'!$I$160*(1+rvanilla03)^0.5)/A18stdlife))</f>
        <v>0</v>
      </c>
      <c r="AH301" s="107">
        <f>IF(A18stdlife="n/a","n/a",IF(AH$3&gt;(A18stdlife+$E301),('PTRM input'!$I$160*(1+rvanilla03)^0.5)-SUM($I301:AG301),('PTRM input'!$I$160*(1+rvanilla03)^0.5)/A18stdlife))</f>
        <v>0</v>
      </c>
      <c r="AI301" s="107">
        <f>IF(A18stdlife="n/a","n/a",IF(AI$3&gt;(A18stdlife+$E301),('PTRM input'!$I$160*(1+rvanilla03)^0.5)-SUM($I301:AH301),('PTRM input'!$I$160*(1+rvanilla03)^0.5)/A18stdlife))</f>
        <v>0</v>
      </c>
      <c r="AJ301" s="107">
        <f>IF(A18stdlife="n/a","n/a",IF(AJ$3&gt;(A18stdlife+$E301),('PTRM input'!$I$160*(1+rvanilla03)^0.5)-SUM($I301:AI301),('PTRM input'!$I$160*(1+rvanilla03)^0.5)/A18stdlife))</f>
        <v>0</v>
      </c>
      <c r="AK301" s="107">
        <f>IF(A18stdlife="n/a","n/a",IF(AK$3&gt;(A18stdlife+$E301),('PTRM input'!$I$160*(1+rvanilla03)^0.5)-SUM($I301:AJ301),('PTRM input'!$I$160*(1+rvanilla03)^0.5)/A18stdlife))</f>
        <v>0</v>
      </c>
      <c r="AL301" s="107">
        <f>IF(A18stdlife="n/a","n/a",IF(AL$3&gt;(A18stdlife+$E301),('PTRM input'!$I$160*(1+rvanilla03)^0.5)-SUM($I301:AK301),('PTRM input'!$I$160*(1+rvanilla03)^0.5)/A18stdlife))</f>
        <v>0</v>
      </c>
      <c r="AM301" s="107">
        <f>IF(A18stdlife="n/a","n/a",IF(AM$3&gt;(A18stdlife+$E301),('PTRM input'!$I$160*(1+rvanilla03)^0.5)-SUM($I301:AL301),('PTRM input'!$I$160*(1+rvanilla03)^0.5)/A18stdlife))</f>
        <v>0</v>
      </c>
      <c r="AN301" s="107">
        <f>IF(A18stdlife="n/a","n/a",IF(AN$3&gt;(A18stdlife+$E301),('PTRM input'!$I$160*(1+rvanilla03)^0.5)-SUM($I301:AM301),('PTRM input'!$I$160*(1+rvanilla03)^0.5)/A18stdlife))</f>
        <v>0</v>
      </c>
      <c r="AO301" s="107">
        <f>IF(A18stdlife="n/a","n/a",IF(AO$3&gt;(A18stdlife+$E301),('PTRM input'!$I$160*(1+rvanilla03)^0.5)-SUM($I301:AN301),('PTRM input'!$I$160*(1+rvanilla03)^0.5)/A18stdlife))</f>
        <v>0</v>
      </c>
      <c r="AP301" s="107">
        <f>IF(A18stdlife="n/a","n/a",IF(AP$3&gt;(A18stdlife+$E301),('PTRM input'!$I$160*(1+rvanilla03)^0.5)-SUM($I301:AO301),('PTRM input'!$I$160*(1+rvanilla03)^0.5)/A18stdlife))</f>
        <v>0</v>
      </c>
      <c r="AQ301" s="107">
        <f>IF(A18stdlife="n/a","n/a",IF(AQ$3&gt;(A18stdlife+$E301),('PTRM input'!$I$160*(1+rvanilla03)^0.5)-SUM($I301:AP301),('PTRM input'!$I$160*(1+rvanilla03)^0.5)/A18stdlife))</f>
        <v>0</v>
      </c>
      <c r="AR301" s="107">
        <f>IF(A18stdlife="n/a","n/a",IF(AR$3&gt;(A18stdlife+$E301),('PTRM input'!$I$160*(1+rvanilla03)^0.5)-SUM($I301:AQ301),('PTRM input'!$I$160*(1+rvanilla03)^0.5)/A18stdlife))</f>
        <v>0</v>
      </c>
      <c r="AS301" s="107">
        <f>IF(A18stdlife="n/a","n/a",IF(AS$3&gt;(A18stdlife+$E301),('PTRM input'!$I$160*(1+rvanilla03)^0.5)-SUM($I301:AR301),('PTRM input'!$I$160*(1+rvanilla03)^0.5)/A18stdlife))</f>
        <v>0</v>
      </c>
      <c r="AT301" s="107">
        <f>IF(A18stdlife="n/a","n/a",IF(AT$3&gt;(A18stdlife+$E301),('PTRM input'!$I$160*(1+rvanilla03)^0.5)-SUM($I301:AS301),('PTRM input'!$I$160*(1+rvanilla03)^0.5)/A18stdlife))</f>
        <v>0</v>
      </c>
      <c r="AU301" s="107">
        <f>IF(A18stdlife="n/a","n/a",IF(AU$3&gt;(A18stdlife+$E301),('PTRM input'!$I$160*(1+rvanilla03)^0.5)-SUM($I301:AT301),('PTRM input'!$I$160*(1+rvanilla03)^0.5)/A18stdlife))</f>
        <v>0</v>
      </c>
      <c r="AV301" s="107">
        <f>IF(A18stdlife="n/a","n/a",IF(AV$3&gt;(A18stdlife+$E301),('PTRM input'!$I$160*(1+rvanilla03)^0.5)-SUM($I301:AU301),('PTRM input'!$I$160*(1+rvanilla03)^0.5)/A18stdlife))</f>
        <v>0</v>
      </c>
      <c r="AW301" s="107">
        <f>IF(A18stdlife="n/a","n/a",IF(AW$3&gt;(A18stdlife+$E301),('PTRM input'!$I$160*(1+rvanilla03)^0.5)-SUM($I301:AV301),('PTRM input'!$I$160*(1+rvanilla03)^0.5)/A18stdlife))</f>
        <v>0</v>
      </c>
      <c r="AX301" s="107">
        <f>IF(A18stdlife="n/a","n/a",IF(AX$3&gt;(A18stdlife+$E301),('PTRM input'!$I$160*(1+rvanilla03)^0.5)-SUM($I301:AW301),('PTRM input'!$I$160*(1+rvanilla03)^0.5)/A18stdlife))</f>
        <v>0</v>
      </c>
      <c r="AY301" s="107">
        <f>IF(A18stdlife="n/a","n/a",IF(AY$3&gt;(A18stdlife+$E301),('PTRM input'!$I$160*(1+rvanilla03)^0.5)-SUM($I301:AX301),('PTRM input'!$I$160*(1+rvanilla03)^0.5)/A18stdlife))</f>
        <v>0</v>
      </c>
      <c r="AZ301" s="107">
        <f>IF(A18stdlife="n/a","n/a",IF(AZ$3&gt;(A18stdlife+$E301),('PTRM input'!$I$160*(1+rvanilla03)^0.5)-SUM($I301:AY301),('PTRM input'!$I$160*(1+rvanilla03)^0.5)/A18stdlife))</f>
        <v>0</v>
      </c>
      <c r="BA301" s="107">
        <f>IF(A18stdlife="n/a","n/a",IF(BA$3&gt;(A18stdlife+$E301),('PTRM input'!$I$160*(1+rvanilla03)^0.5)-SUM($I301:AZ301),('PTRM input'!$I$160*(1+rvanilla03)^0.5)/A18stdlife))</f>
        <v>0</v>
      </c>
      <c r="BB301" s="107">
        <f>IF(A18stdlife="n/a","n/a",IF(BB$3&gt;(A18stdlife+$E301),('PTRM input'!$I$160*(1+rvanilla03)^0.5)-SUM($I301:BA301),('PTRM input'!$I$160*(1+rvanilla03)^0.5)/A18stdlife))</f>
        <v>0</v>
      </c>
      <c r="BC301" s="107">
        <f>IF(A18stdlife="n/a","n/a",IF(BC$3&gt;(A18stdlife+$E301),('PTRM input'!$I$160*(1+rvanilla03)^0.5)-SUM($I301:BB301),('PTRM input'!$I$160*(1+rvanilla03)^0.5)/A18stdlife))</f>
        <v>0</v>
      </c>
      <c r="BD301" s="107">
        <f>IF(A18stdlife="n/a","n/a",IF(BD$3&gt;(A18stdlife+$E301),('PTRM input'!$I$160*(1+rvanilla03)^0.5)-SUM($I301:BC301),('PTRM input'!$I$160*(1+rvanilla03)^0.5)/A18stdlife))</f>
        <v>0</v>
      </c>
      <c r="BE301" s="107">
        <f>IF(A18stdlife="n/a","n/a",IF(BE$3&gt;(A18stdlife+$E301),('PTRM input'!$I$160*(1+rvanilla03)^0.5)-SUM($I301:BD301),('PTRM input'!$I$160*(1+rvanilla03)^0.5)/A18stdlife))</f>
        <v>0</v>
      </c>
      <c r="BF301" s="107">
        <f>IF(A18stdlife="n/a","n/a",IF(BF$3&gt;(A18stdlife+$E301),('PTRM input'!$I$160*(1+rvanilla03)^0.5)-SUM($I301:BE301),('PTRM input'!$I$160*(1+rvanilla03)^0.5)/A18stdlife))</f>
        <v>0</v>
      </c>
      <c r="BG301" s="107">
        <f>IF(A18stdlife="n/a","n/a",IF(BG$3&gt;(A18stdlife+$E301),('PTRM input'!$I$160*(1+rvanilla03)^0.5)-SUM($I301:BF301),('PTRM input'!$I$160*(1+rvanilla03)^0.5)/A18stdlife))</f>
        <v>0</v>
      </c>
      <c r="BH301" s="107">
        <f>IF(A18stdlife="n/a","n/a",IF(BH$3&gt;(A18stdlife+$E301),('PTRM input'!$I$160*(1+rvanilla03)^0.5)-SUM($I301:BG301),('PTRM input'!$I$160*(1+rvanilla03)^0.5)/A18stdlife))</f>
        <v>0</v>
      </c>
      <c r="BI301" s="107">
        <f>IF(A18stdlife="n/a","n/a",IF(BI$3&gt;(A18stdlife+$E301),('PTRM input'!$I$160*(1+rvanilla03)^0.5)-SUM($I301:BH301),('PTRM input'!$I$160*(1+rvanilla03)^0.5)/A18stdlife))</f>
        <v>0</v>
      </c>
      <c r="BJ301" s="237"/>
      <c r="BK301" s="237"/>
      <c r="BL301" s="237"/>
      <c r="BM301" s="237"/>
    </row>
    <row r="302" spans="1:65" s="190" customFormat="1" hidden="1" outlineLevel="2">
      <c r="A302" s="237"/>
      <c r="B302" s="33"/>
      <c r="C302" s="32"/>
      <c r="D302" s="1618"/>
      <c r="E302" s="169">
        <v>4</v>
      </c>
      <c r="F302" s="35"/>
      <c r="G302" s="184"/>
      <c r="H302" s="186"/>
      <c r="I302" s="186"/>
      <c r="J302" s="185"/>
      <c r="K302" s="107">
        <f>IF(A18stdlife="n/a","n/a",IF(K$3&gt;(A18stdlife+$E302),('PTRM input'!$J$160*(1+rvanilla04)^0.5)-SUM($J302:J302),('PTRM input'!$J$160*(1+rvanilla04)^0.5)/A18stdlife))</f>
        <v>0</v>
      </c>
      <c r="L302" s="107">
        <f>IF(A18stdlife="n/a","n/a",IF(L$3&gt;(A18stdlife+$E302),('PTRM input'!$J$160*(1+rvanilla04)^0.5)-SUM($J302:K302),('PTRM input'!$J$160*(1+rvanilla04)^0.5)/A18stdlife))</f>
        <v>0</v>
      </c>
      <c r="M302" s="107">
        <f>IF(A18stdlife="n/a","n/a",IF(M$3&gt;(A18stdlife+$E302),('PTRM input'!$J$160*(1+rvanilla04)^0.5)-SUM($J302:L302),('PTRM input'!$J$160*(1+rvanilla04)^0.5)/A18stdlife))</f>
        <v>0</v>
      </c>
      <c r="N302" s="107">
        <f>IF(A18stdlife="n/a","n/a",IF(N$3&gt;(A18stdlife+$E302),('PTRM input'!$J$160*(1+rvanilla04)^0.5)-SUM($J302:M302),('PTRM input'!$J$160*(1+rvanilla04)^0.5)/A18stdlife))</f>
        <v>0</v>
      </c>
      <c r="O302" s="107">
        <f>IF(A18stdlife="n/a","n/a",IF(O$3&gt;(A18stdlife+$E302),('PTRM input'!$J$160*(1+rvanilla04)^0.5)-SUM($J302:N302),('PTRM input'!$J$160*(1+rvanilla04)^0.5)/A18stdlife))</f>
        <v>0</v>
      </c>
      <c r="P302" s="107">
        <f>IF(A18stdlife="n/a","n/a",IF(P$3&gt;(A18stdlife+$E302),('PTRM input'!$J$160*(1+rvanilla04)^0.5)-SUM($J302:O302),('PTRM input'!$J$160*(1+rvanilla04)^0.5)/A18stdlife))</f>
        <v>0</v>
      </c>
      <c r="Q302" s="107">
        <f>IF(A18stdlife="n/a","n/a",IF(Q$3&gt;(A18stdlife+$E302),('PTRM input'!$J$160*(1+rvanilla04)^0.5)-SUM($J302:P302),('PTRM input'!$J$160*(1+rvanilla04)^0.5)/A18stdlife))</f>
        <v>0</v>
      </c>
      <c r="R302" s="107">
        <f>IF(A18stdlife="n/a","n/a",IF(R$3&gt;(A18stdlife+$E302),('PTRM input'!$J$160*(1+rvanilla04)^0.5)-SUM($J302:Q302),('PTRM input'!$J$160*(1+rvanilla04)^0.5)/A18stdlife))</f>
        <v>0</v>
      </c>
      <c r="S302" s="107">
        <f>IF(A18stdlife="n/a","n/a",IF(S$3&gt;(A18stdlife+$E302),('PTRM input'!$J$160*(1+rvanilla04)^0.5)-SUM($J302:R302),('PTRM input'!$J$160*(1+rvanilla04)^0.5)/A18stdlife))</f>
        <v>0</v>
      </c>
      <c r="T302" s="107">
        <f>IF(A18stdlife="n/a","n/a",IF(T$3&gt;(A18stdlife+$E302),('PTRM input'!$J$160*(1+rvanilla04)^0.5)-SUM($J302:S302),('PTRM input'!$J$160*(1+rvanilla04)^0.5)/A18stdlife))</f>
        <v>0</v>
      </c>
      <c r="U302" s="107">
        <f>IF(A18stdlife="n/a","n/a",IF(U$3&gt;(A18stdlife+$E302),('PTRM input'!$J$160*(1+rvanilla04)^0.5)-SUM($J302:T302),('PTRM input'!$J$160*(1+rvanilla04)^0.5)/A18stdlife))</f>
        <v>0</v>
      </c>
      <c r="V302" s="107">
        <f>IF(A18stdlife="n/a","n/a",IF(V$3&gt;(A18stdlife+$E302),('PTRM input'!$J$160*(1+rvanilla04)^0.5)-SUM($J302:U302),('PTRM input'!$J$160*(1+rvanilla04)^0.5)/A18stdlife))</f>
        <v>0</v>
      </c>
      <c r="W302" s="107">
        <f>IF(A18stdlife="n/a","n/a",IF(W$3&gt;(A18stdlife+$E302),('PTRM input'!$J$160*(1+rvanilla04)^0.5)-SUM($J302:V302),('PTRM input'!$J$160*(1+rvanilla04)^0.5)/A18stdlife))</f>
        <v>0</v>
      </c>
      <c r="X302" s="107">
        <f>IF(A18stdlife="n/a","n/a",IF(X$3&gt;(A18stdlife+$E302),('PTRM input'!$J$160*(1+rvanilla04)^0.5)-SUM($J302:W302),('PTRM input'!$J$160*(1+rvanilla04)^0.5)/A18stdlife))</f>
        <v>0</v>
      </c>
      <c r="Y302" s="107">
        <f>IF(A18stdlife="n/a","n/a",IF(Y$3&gt;(A18stdlife+$E302),('PTRM input'!$J$160*(1+rvanilla04)^0.5)-SUM($J302:X302),('PTRM input'!$J$160*(1+rvanilla04)^0.5)/A18stdlife))</f>
        <v>0</v>
      </c>
      <c r="Z302" s="107">
        <f>IF(A18stdlife="n/a","n/a",IF(Z$3&gt;(A18stdlife+$E302),('PTRM input'!$J$160*(1+rvanilla04)^0.5)-SUM($J302:Y302),('PTRM input'!$J$160*(1+rvanilla04)^0.5)/A18stdlife))</f>
        <v>0</v>
      </c>
      <c r="AA302" s="107">
        <f>IF(A18stdlife="n/a","n/a",IF(AA$3&gt;(A18stdlife+$E302),('PTRM input'!$J$160*(1+rvanilla04)^0.5)-SUM($J302:Z302),('PTRM input'!$J$160*(1+rvanilla04)^0.5)/A18stdlife))</f>
        <v>0</v>
      </c>
      <c r="AB302" s="107">
        <f>IF(A18stdlife="n/a","n/a",IF(AB$3&gt;(A18stdlife+$E302),('PTRM input'!$J$160*(1+rvanilla04)^0.5)-SUM($J302:AA302),('PTRM input'!$J$160*(1+rvanilla04)^0.5)/A18stdlife))</f>
        <v>0</v>
      </c>
      <c r="AC302" s="107">
        <f>IF(A18stdlife="n/a","n/a",IF(AC$3&gt;(A18stdlife+$E302),('PTRM input'!$J$160*(1+rvanilla04)^0.5)-SUM($J302:AB302),('PTRM input'!$J$160*(1+rvanilla04)^0.5)/A18stdlife))</f>
        <v>0</v>
      </c>
      <c r="AD302" s="107">
        <f>IF(A18stdlife="n/a","n/a",IF(AD$3&gt;(A18stdlife+$E302),('PTRM input'!$J$160*(1+rvanilla04)^0.5)-SUM($J302:AC302),('PTRM input'!$J$160*(1+rvanilla04)^0.5)/A18stdlife))</f>
        <v>0</v>
      </c>
      <c r="AE302" s="107">
        <f>IF(A18stdlife="n/a","n/a",IF(AE$3&gt;(A18stdlife+$E302),('PTRM input'!$J$160*(1+rvanilla04)^0.5)-SUM($J302:AD302),('PTRM input'!$J$160*(1+rvanilla04)^0.5)/A18stdlife))</f>
        <v>0</v>
      </c>
      <c r="AF302" s="107">
        <f>IF(A18stdlife="n/a","n/a",IF(AF$3&gt;(A18stdlife+$E302),('PTRM input'!$J$160*(1+rvanilla04)^0.5)-SUM($J302:AE302),('PTRM input'!$J$160*(1+rvanilla04)^0.5)/A18stdlife))</f>
        <v>0</v>
      </c>
      <c r="AG302" s="107">
        <f>IF(A18stdlife="n/a","n/a",IF(AG$3&gt;(A18stdlife+$E302),('PTRM input'!$J$160*(1+rvanilla04)^0.5)-SUM($J302:AF302),('PTRM input'!$J$160*(1+rvanilla04)^0.5)/A18stdlife))</f>
        <v>0</v>
      </c>
      <c r="AH302" s="107">
        <f>IF(A18stdlife="n/a","n/a",IF(AH$3&gt;(A18stdlife+$E302),('PTRM input'!$J$160*(1+rvanilla04)^0.5)-SUM($J302:AG302),('PTRM input'!$J$160*(1+rvanilla04)^0.5)/A18stdlife))</f>
        <v>0</v>
      </c>
      <c r="AI302" s="107">
        <f>IF(A18stdlife="n/a","n/a",IF(AI$3&gt;(A18stdlife+$E302),('PTRM input'!$J$160*(1+rvanilla04)^0.5)-SUM($J302:AH302),('PTRM input'!$J$160*(1+rvanilla04)^0.5)/A18stdlife))</f>
        <v>0</v>
      </c>
      <c r="AJ302" s="107">
        <f>IF(A18stdlife="n/a","n/a",IF(AJ$3&gt;(A18stdlife+$E302),('PTRM input'!$J$160*(1+rvanilla04)^0.5)-SUM($J302:AI302),('PTRM input'!$J$160*(1+rvanilla04)^0.5)/A18stdlife))</f>
        <v>0</v>
      </c>
      <c r="AK302" s="107">
        <f>IF(A18stdlife="n/a","n/a",IF(AK$3&gt;(A18stdlife+$E302),('PTRM input'!$J$160*(1+rvanilla04)^0.5)-SUM($J302:AJ302),('PTRM input'!$J$160*(1+rvanilla04)^0.5)/A18stdlife))</f>
        <v>0</v>
      </c>
      <c r="AL302" s="107">
        <f>IF(A18stdlife="n/a","n/a",IF(AL$3&gt;(A18stdlife+$E302),('PTRM input'!$J$160*(1+rvanilla04)^0.5)-SUM($J302:AK302),('PTRM input'!$J$160*(1+rvanilla04)^0.5)/A18stdlife))</f>
        <v>0</v>
      </c>
      <c r="AM302" s="107">
        <f>IF(A18stdlife="n/a","n/a",IF(AM$3&gt;(A18stdlife+$E302),('PTRM input'!$J$160*(1+rvanilla04)^0.5)-SUM($J302:AL302),('PTRM input'!$J$160*(1+rvanilla04)^0.5)/A18stdlife))</f>
        <v>0</v>
      </c>
      <c r="AN302" s="107">
        <f>IF(A18stdlife="n/a","n/a",IF(AN$3&gt;(A18stdlife+$E302),('PTRM input'!$J$160*(1+rvanilla04)^0.5)-SUM($J302:AM302),('PTRM input'!$J$160*(1+rvanilla04)^0.5)/A18stdlife))</f>
        <v>0</v>
      </c>
      <c r="AO302" s="107">
        <f>IF(A18stdlife="n/a","n/a",IF(AO$3&gt;(A18stdlife+$E302),('PTRM input'!$J$160*(1+rvanilla04)^0.5)-SUM($J302:AN302),('PTRM input'!$J$160*(1+rvanilla04)^0.5)/A18stdlife))</f>
        <v>0</v>
      </c>
      <c r="AP302" s="107">
        <f>IF(A18stdlife="n/a","n/a",IF(AP$3&gt;(A18stdlife+$E302),('PTRM input'!$J$160*(1+rvanilla04)^0.5)-SUM($J302:AO302),('PTRM input'!$J$160*(1+rvanilla04)^0.5)/A18stdlife))</f>
        <v>0</v>
      </c>
      <c r="AQ302" s="107">
        <f>IF(A18stdlife="n/a","n/a",IF(AQ$3&gt;(A18stdlife+$E302),('PTRM input'!$J$160*(1+rvanilla04)^0.5)-SUM($J302:AP302),('PTRM input'!$J$160*(1+rvanilla04)^0.5)/A18stdlife))</f>
        <v>0</v>
      </c>
      <c r="AR302" s="107">
        <f>IF(A18stdlife="n/a","n/a",IF(AR$3&gt;(A18stdlife+$E302),('PTRM input'!$J$160*(1+rvanilla04)^0.5)-SUM($J302:AQ302),('PTRM input'!$J$160*(1+rvanilla04)^0.5)/A18stdlife))</f>
        <v>0</v>
      </c>
      <c r="AS302" s="107">
        <f>IF(A18stdlife="n/a","n/a",IF(AS$3&gt;(A18stdlife+$E302),('PTRM input'!$J$160*(1+rvanilla04)^0.5)-SUM($J302:AR302),('PTRM input'!$J$160*(1+rvanilla04)^0.5)/A18stdlife))</f>
        <v>0</v>
      </c>
      <c r="AT302" s="107">
        <f>IF(A18stdlife="n/a","n/a",IF(AT$3&gt;(A18stdlife+$E302),('PTRM input'!$J$160*(1+rvanilla04)^0.5)-SUM($J302:AS302),('PTRM input'!$J$160*(1+rvanilla04)^0.5)/A18stdlife))</f>
        <v>0</v>
      </c>
      <c r="AU302" s="107">
        <f>IF(A18stdlife="n/a","n/a",IF(AU$3&gt;(A18stdlife+$E302),('PTRM input'!$J$160*(1+rvanilla04)^0.5)-SUM($J302:AT302),('PTRM input'!$J$160*(1+rvanilla04)^0.5)/A18stdlife))</f>
        <v>0</v>
      </c>
      <c r="AV302" s="107">
        <f>IF(A18stdlife="n/a","n/a",IF(AV$3&gt;(A18stdlife+$E302),('PTRM input'!$J$160*(1+rvanilla04)^0.5)-SUM($J302:AU302),('PTRM input'!$J$160*(1+rvanilla04)^0.5)/A18stdlife))</f>
        <v>0</v>
      </c>
      <c r="AW302" s="107">
        <f>IF(A18stdlife="n/a","n/a",IF(AW$3&gt;(A18stdlife+$E302),('PTRM input'!$J$160*(1+rvanilla04)^0.5)-SUM($J302:AV302),('PTRM input'!$J$160*(1+rvanilla04)^0.5)/A18stdlife))</f>
        <v>0</v>
      </c>
      <c r="AX302" s="107">
        <f>IF(A18stdlife="n/a","n/a",IF(AX$3&gt;(A18stdlife+$E302),('PTRM input'!$J$160*(1+rvanilla04)^0.5)-SUM($J302:AW302),('PTRM input'!$J$160*(1+rvanilla04)^0.5)/A18stdlife))</f>
        <v>0</v>
      </c>
      <c r="AY302" s="107">
        <f>IF(A18stdlife="n/a","n/a",IF(AY$3&gt;(A18stdlife+$E302),('PTRM input'!$J$160*(1+rvanilla04)^0.5)-SUM($J302:AX302),('PTRM input'!$J$160*(1+rvanilla04)^0.5)/A18stdlife))</f>
        <v>0</v>
      </c>
      <c r="AZ302" s="107">
        <f>IF(A18stdlife="n/a","n/a",IF(AZ$3&gt;(A18stdlife+$E302),('PTRM input'!$J$160*(1+rvanilla04)^0.5)-SUM($J302:AY302),('PTRM input'!$J$160*(1+rvanilla04)^0.5)/A18stdlife))</f>
        <v>0</v>
      </c>
      <c r="BA302" s="107">
        <f>IF(A18stdlife="n/a","n/a",IF(BA$3&gt;(A18stdlife+$E302),('PTRM input'!$J$160*(1+rvanilla04)^0.5)-SUM($J302:AZ302),('PTRM input'!$J$160*(1+rvanilla04)^0.5)/A18stdlife))</f>
        <v>0</v>
      </c>
      <c r="BB302" s="107">
        <f>IF(A18stdlife="n/a","n/a",IF(BB$3&gt;(A18stdlife+$E302),('PTRM input'!$J$160*(1+rvanilla04)^0.5)-SUM($J302:BA302),('PTRM input'!$J$160*(1+rvanilla04)^0.5)/A18stdlife))</f>
        <v>0</v>
      </c>
      <c r="BC302" s="107">
        <f>IF(A18stdlife="n/a","n/a",IF(BC$3&gt;(A18stdlife+$E302),('PTRM input'!$J$160*(1+rvanilla04)^0.5)-SUM($J302:BB302),('PTRM input'!$J$160*(1+rvanilla04)^0.5)/A18stdlife))</f>
        <v>0</v>
      </c>
      <c r="BD302" s="107">
        <f>IF(A18stdlife="n/a","n/a",IF(BD$3&gt;(A18stdlife+$E302),('PTRM input'!$J$160*(1+rvanilla04)^0.5)-SUM($J302:BC302),('PTRM input'!$J$160*(1+rvanilla04)^0.5)/A18stdlife))</f>
        <v>0</v>
      </c>
      <c r="BE302" s="107">
        <f>IF(A18stdlife="n/a","n/a",IF(BE$3&gt;(A18stdlife+$E302),('PTRM input'!$J$160*(1+rvanilla04)^0.5)-SUM($J302:BD302),('PTRM input'!$J$160*(1+rvanilla04)^0.5)/A18stdlife))</f>
        <v>0</v>
      </c>
      <c r="BF302" s="107">
        <f>IF(A18stdlife="n/a","n/a",IF(BF$3&gt;(A18stdlife+$E302),('PTRM input'!$J$160*(1+rvanilla04)^0.5)-SUM($J302:BE302),('PTRM input'!$J$160*(1+rvanilla04)^0.5)/A18stdlife))</f>
        <v>0</v>
      </c>
      <c r="BG302" s="107">
        <f>IF(A18stdlife="n/a","n/a",IF(BG$3&gt;(A18stdlife+$E302),('PTRM input'!$J$160*(1+rvanilla04)^0.5)-SUM($J302:BF302),('PTRM input'!$J$160*(1+rvanilla04)^0.5)/A18stdlife))</f>
        <v>0</v>
      </c>
      <c r="BH302" s="107">
        <f>IF(A18stdlife="n/a","n/a",IF(BH$3&gt;(A18stdlife+$E302),('PTRM input'!$J$160*(1+rvanilla04)^0.5)-SUM($J302:BG302),('PTRM input'!$J$160*(1+rvanilla04)^0.5)/A18stdlife))</f>
        <v>0</v>
      </c>
      <c r="BI302" s="107">
        <f>IF(A18stdlife="n/a","n/a",IF(BI$3&gt;(A18stdlife+$E302),('PTRM input'!$J$160*(1+rvanilla04)^0.5)-SUM($J302:BH302),('PTRM input'!$J$160*(1+rvanilla04)^0.5)/A18stdlife))</f>
        <v>0</v>
      </c>
      <c r="BJ302" s="237"/>
      <c r="BK302" s="237"/>
      <c r="BL302" s="237"/>
      <c r="BM302" s="237"/>
    </row>
    <row r="303" spans="1:65" s="190" customFormat="1" hidden="1" outlineLevel="2">
      <c r="A303" s="237"/>
      <c r="B303" s="33"/>
      <c r="C303" s="32"/>
      <c r="D303" s="1618"/>
      <c r="E303" s="169">
        <v>5</v>
      </c>
      <c r="F303" s="35"/>
      <c r="G303" s="184"/>
      <c r="H303" s="186"/>
      <c r="I303" s="186"/>
      <c r="J303" s="186"/>
      <c r="K303" s="185"/>
      <c r="L303" s="107">
        <f>IF(A18stdlife="n/a","n/a",IF(L$3&gt;(A18stdlife+$E303),('PTRM input'!$K$160*(1+rvanilla05)^0.5)-SUM($K303:K303),('PTRM input'!$K$160*(1+rvanilla05)^0.5)/A18stdlife))</f>
        <v>0</v>
      </c>
      <c r="M303" s="107">
        <f>IF(A18stdlife="n/a","n/a",IF(M$3&gt;(A18stdlife+$E303),('PTRM input'!$K$160*(1+rvanilla05)^0.5)-SUM($K303:L303),('PTRM input'!$K$160*(1+rvanilla05)^0.5)/A18stdlife))</f>
        <v>0</v>
      </c>
      <c r="N303" s="107">
        <f>IF(A18stdlife="n/a","n/a",IF(N$3&gt;(A18stdlife+$E303),('PTRM input'!$K$160*(1+rvanilla05)^0.5)-SUM($K303:M303),('PTRM input'!$K$160*(1+rvanilla05)^0.5)/A18stdlife))</f>
        <v>0</v>
      </c>
      <c r="O303" s="107">
        <f>IF(A18stdlife="n/a","n/a",IF(O$3&gt;(A18stdlife+$E303),('PTRM input'!$K$160*(1+rvanilla05)^0.5)-SUM($K303:N303),('PTRM input'!$K$160*(1+rvanilla05)^0.5)/A18stdlife))</f>
        <v>0</v>
      </c>
      <c r="P303" s="107">
        <f>IF(A18stdlife="n/a","n/a",IF(P$3&gt;(A18stdlife+$E303),('PTRM input'!$K$160*(1+rvanilla05)^0.5)-SUM($K303:O303),('PTRM input'!$K$160*(1+rvanilla05)^0.5)/A18stdlife))</f>
        <v>0</v>
      </c>
      <c r="Q303" s="107">
        <f>IF(A18stdlife="n/a","n/a",IF(Q$3&gt;(A18stdlife+$E303),('PTRM input'!$K$160*(1+rvanilla05)^0.5)-SUM($K303:P303),('PTRM input'!$K$160*(1+rvanilla05)^0.5)/A18stdlife))</f>
        <v>0</v>
      </c>
      <c r="R303" s="107">
        <f>IF(A18stdlife="n/a","n/a",IF(R$3&gt;(A18stdlife+$E303),('PTRM input'!$K$160*(1+rvanilla05)^0.5)-SUM($K303:Q303),('PTRM input'!$K$160*(1+rvanilla05)^0.5)/A18stdlife))</f>
        <v>0</v>
      </c>
      <c r="S303" s="107">
        <f>IF(A18stdlife="n/a","n/a",IF(S$3&gt;(A18stdlife+$E303),('PTRM input'!$K$160*(1+rvanilla05)^0.5)-SUM($K303:R303),('PTRM input'!$K$160*(1+rvanilla05)^0.5)/A18stdlife))</f>
        <v>0</v>
      </c>
      <c r="T303" s="107">
        <f>IF(A18stdlife="n/a","n/a",IF(T$3&gt;(A18stdlife+$E303),('PTRM input'!$K$160*(1+rvanilla05)^0.5)-SUM($K303:S303),('PTRM input'!$K$160*(1+rvanilla05)^0.5)/A18stdlife))</f>
        <v>0</v>
      </c>
      <c r="U303" s="107">
        <f>IF(A18stdlife="n/a","n/a",IF(U$3&gt;(A18stdlife+$E303),('PTRM input'!$K$160*(1+rvanilla05)^0.5)-SUM($K303:T303),('PTRM input'!$K$160*(1+rvanilla05)^0.5)/A18stdlife))</f>
        <v>0</v>
      </c>
      <c r="V303" s="107">
        <f>IF(A18stdlife="n/a","n/a",IF(V$3&gt;(A18stdlife+$E303),('PTRM input'!$K$160*(1+rvanilla05)^0.5)-SUM($K303:U303),('PTRM input'!$K$160*(1+rvanilla05)^0.5)/A18stdlife))</f>
        <v>0</v>
      </c>
      <c r="W303" s="107">
        <f>IF(A18stdlife="n/a","n/a",IF(W$3&gt;(A18stdlife+$E303),('PTRM input'!$K$160*(1+rvanilla05)^0.5)-SUM($K303:V303),('PTRM input'!$K$160*(1+rvanilla05)^0.5)/A18stdlife))</f>
        <v>0</v>
      </c>
      <c r="X303" s="107">
        <f>IF(A18stdlife="n/a","n/a",IF(X$3&gt;(A18stdlife+$E303),('PTRM input'!$K$160*(1+rvanilla05)^0.5)-SUM($K303:W303),('PTRM input'!$K$160*(1+rvanilla05)^0.5)/A18stdlife))</f>
        <v>0</v>
      </c>
      <c r="Y303" s="107">
        <f>IF(A18stdlife="n/a","n/a",IF(Y$3&gt;(A18stdlife+$E303),('PTRM input'!$K$160*(1+rvanilla05)^0.5)-SUM($K303:X303),('PTRM input'!$K$160*(1+rvanilla05)^0.5)/A18stdlife))</f>
        <v>0</v>
      </c>
      <c r="Z303" s="107">
        <f>IF(A18stdlife="n/a","n/a",IF(Z$3&gt;(A18stdlife+$E303),('PTRM input'!$K$160*(1+rvanilla05)^0.5)-SUM($K303:Y303),('PTRM input'!$K$160*(1+rvanilla05)^0.5)/A18stdlife))</f>
        <v>0</v>
      </c>
      <c r="AA303" s="107">
        <f>IF(A18stdlife="n/a","n/a",IF(AA$3&gt;(A18stdlife+$E303),('PTRM input'!$K$160*(1+rvanilla05)^0.5)-SUM($K303:Z303),('PTRM input'!$K$160*(1+rvanilla05)^0.5)/A18stdlife))</f>
        <v>0</v>
      </c>
      <c r="AB303" s="107">
        <f>IF(A18stdlife="n/a","n/a",IF(AB$3&gt;(A18stdlife+$E303),('PTRM input'!$K$160*(1+rvanilla05)^0.5)-SUM($K303:AA303),('PTRM input'!$K$160*(1+rvanilla05)^0.5)/A18stdlife))</f>
        <v>0</v>
      </c>
      <c r="AC303" s="107">
        <f>IF(A18stdlife="n/a","n/a",IF(AC$3&gt;(A18stdlife+$E303),('PTRM input'!$K$160*(1+rvanilla05)^0.5)-SUM($K303:AB303),('PTRM input'!$K$160*(1+rvanilla05)^0.5)/A18stdlife))</f>
        <v>0</v>
      </c>
      <c r="AD303" s="107">
        <f>IF(A18stdlife="n/a","n/a",IF(AD$3&gt;(A18stdlife+$E303),('PTRM input'!$K$160*(1+rvanilla05)^0.5)-SUM($K303:AC303),('PTRM input'!$K$160*(1+rvanilla05)^0.5)/A18stdlife))</f>
        <v>0</v>
      </c>
      <c r="AE303" s="107">
        <f>IF(A18stdlife="n/a","n/a",IF(AE$3&gt;(A18stdlife+$E303),('PTRM input'!$K$160*(1+rvanilla05)^0.5)-SUM($K303:AD303),('PTRM input'!$K$160*(1+rvanilla05)^0.5)/A18stdlife))</f>
        <v>0</v>
      </c>
      <c r="AF303" s="107">
        <f>IF(A18stdlife="n/a","n/a",IF(AF$3&gt;(A18stdlife+$E303),('PTRM input'!$K$160*(1+rvanilla05)^0.5)-SUM($K303:AE303),('PTRM input'!$K$160*(1+rvanilla05)^0.5)/A18stdlife))</f>
        <v>0</v>
      </c>
      <c r="AG303" s="107">
        <f>IF(A18stdlife="n/a","n/a",IF(AG$3&gt;(A18stdlife+$E303),('PTRM input'!$K$160*(1+rvanilla05)^0.5)-SUM($K303:AF303),('PTRM input'!$K$160*(1+rvanilla05)^0.5)/A18stdlife))</f>
        <v>0</v>
      </c>
      <c r="AH303" s="107">
        <f>IF(A18stdlife="n/a","n/a",IF(AH$3&gt;(A18stdlife+$E303),('PTRM input'!$K$160*(1+rvanilla05)^0.5)-SUM($K303:AG303),('PTRM input'!$K$160*(1+rvanilla05)^0.5)/A18stdlife))</f>
        <v>0</v>
      </c>
      <c r="AI303" s="107">
        <f>IF(A18stdlife="n/a","n/a",IF(AI$3&gt;(A18stdlife+$E303),('PTRM input'!$K$160*(1+rvanilla05)^0.5)-SUM($K303:AH303),('PTRM input'!$K$160*(1+rvanilla05)^0.5)/A18stdlife))</f>
        <v>0</v>
      </c>
      <c r="AJ303" s="107">
        <f>IF(A18stdlife="n/a","n/a",IF(AJ$3&gt;(A18stdlife+$E303),('PTRM input'!$K$160*(1+rvanilla05)^0.5)-SUM($K303:AI303),('PTRM input'!$K$160*(1+rvanilla05)^0.5)/A18stdlife))</f>
        <v>0</v>
      </c>
      <c r="AK303" s="107">
        <f>IF(A18stdlife="n/a","n/a",IF(AK$3&gt;(A18stdlife+$E303),('PTRM input'!$K$160*(1+rvanilla05)^0.5)-SUM($K303:AJ303),('PTRM input'!$K$160*(1+rvanilla05)^0.5)/A18stdlife))</f>
        <v>0</v>
      </c>
      <c r="AL303" s="107">
        <f>IF(A18stdlife="n/a","n/a",IF(AL$3&gt;(A18stdlife+$E303),('PTRM input'!$K$160*(1+rvanilla05)^0.5)-SUM($K303:AK303),('PTRM input'!$K$160*(1+rvanilla05)^0.5)/A18stdlife))</f>
        <v>0</v>
      </c>
      <c r="AM303" s="107">
        <f>IF(A18stdlife="n/a","n/a",IF(AM$3&gt;(A18stdlife+$E303),('PTRM input'!$K$160*(1+rvanilla05)^0.5)-SUM($K303:AL303),('PTRM input'!$K$160*(1+rvanilla05)^0.5)/A18stdlife))</f>
        <v>0</v>
      </c>
      <c r="AN303" s="107">
        <f>IF(A18stdlife="n/a","n/a",IF(AN$3&gt;(A18stdlife+$E303),('PTRM input'!$K$160*(1+rvanilla05)^0.5)-SUM($K303:AM303),('PTRM input'!$K$160*(1+rvanilla05)^0.5)/A18stdlife))</f>
        <v>0</v>
      </c>
      <c r="AO303" s="107">
        <f>IF(A18stdlife="n/a","n/a",IF(AO$3&gt;(A18stdlife+$E303),('PTRM input'!$K$160*(1+rvanilla05)^0.5)-SUM($K303:AN303),('PTRM input'!$K$160*(1+rvanilla05)^0.5)/A18stdlife))</f>
        <v>0</v>
      </c>
      <c r="AP303" s="107">
        <f>IF(A18stdlife="n/a","n/a",IF(AP$3&gt;(A18stdlife+$E303),('PTRM input'!$K$160*(1+rvanilla05)^0.5)-SUM($K303:AO303),('PTRM input'!$K$160*(1+rvanilla05)^0.5)/A18stdlife))</f>
        <v>0</v>
      </c>
      <c r="AQ303" s="107">
        <f>IF(A18stdlife="n/a","n/a",IF(AQ$3&gt;(A18stdlife+$E303),('PTRM input'!$K$160*(1+rvanilla05)^0.5)-SUM($K303:AP303),('PTRM input'!$K$160*(1+rvanilla05)^0.5)/A18stdlife))</f>
        <v>0</v>
      </c>
      <c r="AR303" s="107">
        <f>IF(A18stdlife="n/a","n/a",IF(AR$3&gt;(A18stdlife+$E303),('PTRM input'!$K$160*(1+rvanilla05)^0.5)-SUM($K303:AQ303),('PTRM input'!$K$160*(1+rvanilla05)^0.5)/A18stdlife))</f>
        <v>0</v>
      </c>
      <c r="AS303" s="107">
        <f>IF(A18stdlife="n/a","n/a",IF(AS$3&gt;(A18stdlife+$E303),('PTRM input'!$K$160*(1+rvanilla05)^0.5)-SUM($K303:AR303),('PTRM input'!$K$160*(1+rvanilla05)^0.5)/A18stdlife))</f>
        <v>0</v>
      </c>
      <c r="AT303" s="107">
        <f>IF(A18stdlife="n/a","n/a",IF(AT$3&gt;(A18stdlife+$E303),('PTRM input'!$K$160*(1+rvanilla05)^0.5)-SUM($K303:AS303),('PTRM input'!$K$160*(1+rvanilla05)^0.5)/A18stdlife))</f>
        <v>0</v>
      </c>
      <c r="AU303" s="107">
        <f>IF(A18stdlife="n/a","n/a",IF(AU$3&gt;(A18stdlife+$E303),('PTRM input'!$K$160*(1+rvanilla05)^0.5)-SUM($K303:AT303),('PTRM input'!$K$160*(1+rvanilla05)^0.5)/A18stdlife))</f>
        <v>0</v>
      </c>
      <c r="AV303" s="107">
        <f>IF(A18stdlife="n/a","n/a",IF(AV$3&gt;(A18stdlife+$E303),('PTRM input'!$K$160*(1+rvanilla05)^0.5)-SUM($K303:AU303),('PTRM input'!$K$160*(1+rvanilla05)^0.5)/A18stdlife))</f>
        <v>0</v>
      </c>
      <c r="AW303" s="107">
        <f>IF(A18stdlife="n/a","n/a",IF(AW$3&gt;(A18stdlife+$E303),('PTRM input'!$K$160*(1+rvanilla05)^0.5)-SUM($K303:AV303),('PTRM input'!$K$160*(1+rvanilla05)^0.5)/A18stdlife))</f>
        <v>0</v>
      </c>
      <c r="AX303" s="107">
        <f>IF(A18stdlife="n/a","n/a",IF(AX$3&gt;(A18stdlife+$E303),('PTRM input'!$K$160*(1+rvanilla05)^0.5)-SUM($K303:AW303),('PTRM input'!$K$160*(1+rvanilla05)^0.5)/A18stdlife))</f>
        <v>0</v>
      </c>
      <c r="AY303" s="107">
        <f>IF(A18stdlife="n/a","n/a",IF(AY$3&gt;(A18stdlife+$E303),('PTRM input'!$K$160*(1+rvanilla05)^0.5)-SUM($K303:AX303),('PTRM input'!$K$160*(1+rvanilla05)^0.5)/A18stdlife))</f>
        <v>0</v>
      </c>
      <c r="AZ303" s="107">
        <f>IF(A18stdlife="n/a","n/a",IF(AZ$3&gt;(A18stdlife+$E303),('PTRM input'!$K$160*(1+rvanilla05)^0.5)-SUM($K303:AY303),('PTRM input'!$K$160*(1+rvanilla05)^0.5)/A18stdlife))</f>
        <v>0</v>
      </c>
      <c r="BA303" s="107">
        <f>IF(A18stdlife="n/a","n/a",IF(BA$3&gt;(A18stdlife+$E303),('PTRM input'!$K$160*(1+rvanilla05)^0.5)-SUM($K303:AZ303),('PTRM input'!$K$160*(1+rvanilla05)^0.5)/A18stdlife))</f>
        <v>0</v>
      </c>
      <c r="BB303" s="107">
        <f>IF(A18stdlife="n/a","n/a",IF(BB$3&gt;(A18stdlife+$E303),('PTRM input'!$K$160*(1+rvanilla05)^0.5)-SUM($K303:BA303),('PTRM input'!$K$160*(1+rvanilla05)^0.5)/A18stdlife))</f>
        <v>0</v>
      </c>
      <c r="BC303" s="107">
        <f>IF(A18stdlife="n/a","n/a",IF(BC$3&gt;(A18stdlife+$E303),('PTRM input'!$K$160*(1+rvanilla05)^0.5)-SUM($K303:BB303),('PTRM input'!$K$160*(1+rvanilla05)^0.5)/A18stdlife))</f>
        <v>0</v>
      </c>
      <c r="BD303" s="107">
        <f>IF(A18stdlife="n/a","n/a",IF(BD$3&gt;(A18stdlife+$E303),('PTRM input'!$K$160*(1+rvanilla05)^0.5)-SUM($K303:BC303),('PTRM input'!$K$160*(1+rvanilla05)^0.5)/A18stdlife))</f>
        <v>0</v>
      </c>
      <c r="BE303" s="107">
        <f>IF(A18stdlife="n/a","n/a",IF(BE$3&gt;(A18stdlife+$E303),('PTRM input'!$K$160*(1+rvanilla05)^0.5)-SUM($K303:BD303),('PTRM input'!$K$160*(1+rvanilla05)^0.5)/A18stdlife))</f>
        <v>0</v>
      </c>
      <c r="BF303" s="107">
        <f>IF(A18stdlife="n/a","n/a",IF(BF$3&gt;(A18stdlife+$E303),('PTRM input'!$K$160*(1+rvanilla05)^0.5)-SUM($K303:BE303),('PTRM input'!$K$160*(1+rvanilla05)^0.5)/A18stdlife))</f>
        <v>0</v>
      </c>
      <c r="BG303" s="107">
        <f>IF(A18stdlife="n/a","n/a",IF(BG$3&gt;(A18stdlife+$E303),('PTRM input'!$K$160*(1+rvanilla05)^0.5)-SUM($K303:BF303),('PTRM input'!$K$160*(1+rvanilla05)^0.5)/A18stdlife))</f>
        <v>0</v>
      </c>
      <c r="BH303" s="107">
        <f>IF(A18stdlife="n/a","n/a",IF(BH$3&gt;(A18stdlife+$E303),('PTRM input'!$K$160*(1+rvanilla05)^0.5)-SUM($K303:BG303),('PTRM input'!$K$160*(1+rvanilla05)^0.5)/A18stdlife))</f>
        <v>0</v>
      </c>
      <c r="BI303" s="107">
        <f>IF(A18stdlife="n/a","n/a",IF(BI$3&gt;(A18stdlife+$E303),('PTRM input'!$K$160*(1+rvanilla05)^0.5)-SUM($K303:BH303),('PTRM input'!$K$160*(1+rvanilla05)^0.5)/A18stdlife))</f>
        <v>0</v>
      </c>
      <c r="BJ303" s="237"/>
      <c r="BK303" s="237"/>
      <c r="BL303" s="237"/>
      <c r="BM303" s="237"/>
    </row>
    <row r="304" spans="1:65" s="190" customFormat="1" hidden="1" outlineLevel="2">
      <c r="A304" s="237"/>
      <c r="B304" s="33"/>
      <c r="C304" s="32"/>
      <c r="D304" s="1618"/>
      <c r="E304" s="169">
        <v>6</v>
      </c>
      <c r="F304" s="35"/>
      <c r="G304" s="184"/>
      <c r="H304" s="186"/>
      <c r="I304" s="186"/>
      <c r="J304" s="186"/>
      <c r="K304" s="186"/>
      <c r="L304" s="185"/>
      <c r="M304" s="107">
        <f>IF(A18stdlife="n/a","n/a",IF(M$3&gt;(A18stdlife+$E304),('PTRM input'!$L$160*(1+rvanilla06)^0.5)-SUM($L304:L304),('PTRM input'!$L$160*(1+rvanilla06)^0.5)/A18stdlife))</f>
        <v>0</v>
      </c>
      <c r="N304" s="107">
        <f>IF(A18stdlife="n/a","n/a",IF(N$3&gt;(A18stdlife+$E304),('PTRM input'!$L$160*(1+rvanilla06)^0.5)-SUM($L304:M304),('PTRM input'!$L$160*(1+rvanilla06)^0.5)/A18stdlife))</f>
        <v>0</v>
      </c>
      <c r="O304" s="107">
        <f>IF(A18stdlife="n/a","n/a",IF(O$3&gt;(A18stdlife+$E304),('PTRM input'!$L$160*(1+rvanilla06)^0.5)-SUM($L304:N304),('PTRM input'!$L$160*(1+rvanilla06)^0.5)/A18stdlife))</f>
        <v>0</v>
      </c>
      <c r="P304" s="107">
        <f>IF(A18stdlife="n/a","n/a",IF(P$3&gt;(A18stdlife+$E304),('PTRM input'!$L$160*(1+rvanilla06)^0.5)-SUM($L304:O304),('PTRM input'!$L$160*(1+rvanilla06)^0.5)/A18stdlife))</f>
        <v>0</v>
      </c>
      <c r="Q304" s="107">
        <f>IF(A18stdlife="n/a","n/a",IF(Q$3&gt;(A18stdlife+$E304),('PTRM input'!$L$160*(1+rvanilla06)^0.5)-SUM($L304:P304),('PTRM input'!$L$160*(1+rvanilla06)^0.5)/A18stdlife))</f>
        <v>0</v>
      </c>
      <c r="R304" s="107">
        <f>IF(A18stdlife="n/a","n/a",IF(R$3&gt;(A18stdlife+$E304),('PTRM input'!$L$160*(1+rvanilla06)^0.5)-SUM($L304:Q304),('PTRM input'!$L$160*(1+rvanilla06)^0.5)/A18stdlife))</f>
        <v>0</v>
      </c>
      <c r="S304" s="107">
        <f>IF(A18stdlife="n/a","n/a",IF(S$3&gt;(A18stdlife+$E304),('PTRM input'!$L$160*(1+rvanilla06)^0.5)-SUM($L304:R304),('PTRM input'!$L$160*(1+rvanilla06)^0.5)/A18stdlife))</f>
        <v>0</v>
      </c>
      <c r="T304" s="107">
        <f>IF(A18stdlife="n/a","n/a",IF(T$3&gt;(A18stdlife+$E304),('PTRM input'!$L$160*(1+rvanilla06)^0.5)-SUM($L304:S304),('PTRM input'!$L$160*(1+rvanilla06)^0.5)/A18stdlife))</f>
        <v>0</v>
      </c>
      <c r="U304" s="107">
        <f>IF(A18stdlife="n/a","n/a",IF(U$3&gt;(A18stdlife+$E304),('PTRM input'!$L$160*(1+rvanilla06)^0.5)-SUM($L304:T304),('PTRM input'!$L$160*(1+rvanilla06)^0.5)/A18stdlife))</f>
        <v>0</v>
      </c>
      <c r="V304" s="107">
        <f>IF(A18stdlife="n/a","n/a",IF(V$3&gt;(A18stdlife+$E304),('PTRM input'!$L$160*(1+rvanilla06)^0.5)-SUM($L304:U304),('PTRM input'!$L$160*(1+rvanilla06)^0.5)/A18stdlife))</f>
        <v>0</v>
      </c>
      <c r="W304" s="107">
        <f>IF(A18stdlife="n/a","n/a",IF(W$3&gt;(A18stdlife+$E304),('PTRM input'!$L$160*(1+rvanilla06)^0.5)-SUM($L304:V304),('PTRM input'!$L$160*(1+rvanilla06)^0.5)/A18stdlife))</f>
        <v>0</v>
      </c>
      <c r="X304" s="107">
        <f>IF(A18stdlife="n/a","n/a",IF(X$3&gt;(A18stdlife+$E304),('PTRM input'!$L$160*(1+rvanilla06)^0.5)-SUM($L304:W304),('PTRM input'!$L$160*(1+rvanilla06)^0.5)/A18stdlife))</f>
        <v>0</v>
      </c>
      <c r="Y304" s="107">
        <f>IF(A18stdlife="n/a","n/a",IF(Y$3&gt;(A18stdlife+$E304),('PTRM input'!$L$160*(1+rvanilla06)^0.5)-SUM($L304:X304),('PTRM input'!$L$160*(1+rvanilla06)^0.5)/A18stdlife))</f>
        <v>0</v>
      </c>
      <c r="Z304" s="107">
        <f>IF(A18stdlife="n/a","n/a",IF(Z$3&gt;(A18stdlife+$E304),('PTRM input'!$L$160*(1+rvanilla06)^0.5)-SUM($L304:Y304),('PTRM input'!$L$160*(1+rvanilla06)^0.5)/A18stdlife))</f>
        <v>0</v>
      </c>
      <c r="AA304" s="107">
        <f>IF(A18stdlife="n/a","n/a",IF(AA$3&gt;(A18stdlife+$E304),('PTRM input'!$L$160*(1+rvanilla06)^0.5)-SUM($L304:Z304),('PTRM input'!$L$160*(1+rvanilla06)^0.5)/A18stdlife))</f>
        <v>0</v>
      </c>
      <c r="AB304" s="107">
        <f>IF(A18stdlife="n/a","n/a",IF(AB$3&gt;(A18stdlife+$E304),('PTRM input'!$L$160*(1+rvanilla06)^0.5)-SUM($L304:AA304),('PTRM input'!$L$160*(1+rvanilla06)^0.5)/A18stdlife))</f>
        <v>0</v>
      </c>
      <c r="AC304" s="107">
        <f>IF(A18stdlife="n/a","n/a",IF(AC$3&gt;(A18stdlife+$E304),('PTRM input'!$L$160*(1+rvanilla06)^0.5)-SUM($L304:AB304),('PTRM input'!$L$160*(1+rvanilla06)^0.5)/A18stdlife))</f>
        <v>0</v>
      </c>
      <c r="AD304" s="107">
        <f>IF(A18stdlife="n/a","n/a",IF(AD$3&gt;(A18stdlife+$E304),('PTRM input'!$L$160*(1+rvanilla06)^0.5)-SUM($L304:AC304),('PTRM input'!$L$160*(1+rvanilla06)^0.5)/A18stdlife))</f>
        <v>0</v>
      </c>
      <c r="AE304" s="107">
        <f>IF(A18stdlife="n/a","n/a",IF(AE$3&gt;(A18stdlife+$E304),('PTRM input'!$L$160*(1+rvanilla06)^0.5)-SUM($L304:AD304),('PTRM input'!$L$160*(1+rvanilla06)^0.5)/A18stdlife))</f>
        <v>0</v>
      </c>
      <c r="AF304" s="107">
        <f>IF(A18stdlife="n/a","n/a",IF(AF$3&gt;(A18stdlife+$E304),('PTRM input'!$L$160*(1+rvanilla06)^0.5)-SUM($L304:AE304),('PTRM input'!$L$160*(1+rvanilla06)^0.5)/A18stdlife))</f>
        <v>0</v>
      </c>
      <c r="AG304" s="107">
        <f>IF(A18stdlife="n/a","n/a",IF(AG$3&gt;(A18stdlife+$E304),('PTRM input'!$L$160*(1+rvanilla06)^0.5)-SUM($L304:AF304),('PTRM input'!$L$160*(1+rvanilla06)^0.5)/A18stdlife))</f>
        <v>0</v>
      </c>
      <c r="AH304" s="107">
        <f>IF(A18stdlife="n/a","n/a",IF(AH$3&gt;(A18stdlife+$E304),('PTRM input'!$L$160*(1+rvanilla06)^0.5)-SUM($L304:AG304),('PTRM input'!$L$160*(1+rvanilla06)^0.5)/A18stdlife))</f>
        <v>0</v>
      </c>
      <c r="AI304" s="107">
        <f>IF(A18stdlife="n/a","n/a",IF(AI$3&gt;(A18stdlife+$E304),('PTRM input'!$L$160*(1+rvanilla06)^0.5)-SUM($L304:AH304),('PTRM input'!$L$160*(1+rvanilla06)^0.5)/A18stdlife))</f>
        <v>0</v>
      </c>
      <c r="AJ304" s="107">
        <f>IF(A18stdlife="n/a","n/a",IF(AJ$3&gt;(A18stdlife+$E304),('PTRM input'!$L$160*(1+rvanilla06)^0.5)-SUM($L304:AI304),('PTRM input'!$L$160*(1+rvanilla06)^0.5)/A18stdlife))</f>
        <v>0</v>
      </c>
      <c r="AK304" s="107">
        <f>IF(A18stdlife="n/a","n/a",IF(AK$3&gt;(A18stdlife+$E304),('PTRM input'!$L$160*(1+rvanilla06)^0.5)-SUM($L304:AJ304),('PTRM input'!$L$160*(1+rvanilla06)^0.5)/A18stdlife))</f>
        <v>0</v>
      </c>
      <c r="AL304" s="107">
        <f>IF(A18stdlife="n/a","n/a",IF(AL$3&gt;(A18stdlife+$E304),('PTRM input'!$L$160*(1+rvanilla06)^0.5)-SUM($L304:AK304),('PTRM input'!$L$160*(1+rvanilla06)^0.5)/A18stdlife))</f>
        <v>0</v>
      </c>
      <c r="AM304" s="107">
        <f>IF(A18stdlife="n/a","n/a",IF(AM$3&gt;(A18stdlife+$E304),('PTRM input'!$L$160*(1+rvanilla06)^0.5)-SUM($L304:AL304),('PTRM input'!$L$160*(1+rvanilla06)^0.5)/A18stdlife))</f>
        <v>0</v>
      </c>
      <c r="AN304" s="107">
        <f>IF(A18stdlife="n/a","n/a",IF(AN$3&gt;(A18stdlife+$E304),('PTRM input'!$L$160*(1+rvanilla06)^0.5)-SUM($L304:AM304),('PTRM input'!$L$160*(1+rvanilla06)^0.5)/A18stdlife))</f>
        <v>0</v>
      </c>
      <c r="AO304" s="107">
        <f>IF(A18stdlife="n/a","n/a",IF(AO$3&gt;(A18stdlife+$E304),('PTRM input'!$L$160*(1+rvanilla06)^0.5)-SUM($L304:AN304),('PTRM input'!$L$160*(1+rvanilla06)^0.5)/A18stdlife))</f>
        <v>0</v>
      </c>
      <c r="AP304" s="107">
        <f>IF(A18stdlife="n/a","n/a",IF(AP$3&gt;(A18stdlife+$E304),('PTRM input'!$L$160*(1+rvanilla06)^0.5)-SUM($L304:AO304),('PTRM input'!$L$160*(1+rvanilla06)^0.5)/A18stdlife))</f>
        <v>0</v>
      </c>
      <c r="AQ304" s="107">
        <f>IF(A18stdlife="n/a","n/a",IF(AQ$3&gt;(A18stdlife+$E304),('PTRM input'!$L$160*(1+rvanilla06)^0.5)-SUM($L304:AP304),('PTRM input'!$L$160*(1+rvanilla06)^0.5)/A18stdlife))</f>
        <v>0</v>
      </c>
      <c r="AR304" s="107">
        <f>IF(A18stdlife="n/a","n/a",IF(AR$3&gt;(A18stdlife+$E304),('PTRM input'!$L$160*(1+rvanilla06)^0.5)-SUM($L304:AQ304),('PTRM input'!$L$160*(1+rvanilla06)^0.5)/A18stdlife))</f>
        <v>0</v>
      </c>
      <c r="AS304" s="107">
        <f>IF(A18stdlife="n/a","n/a",IF(AS$3&gt;(A18stdlife+$E304),('PTRM input'!$L$160*(1+rvanilla06)^0.5)-SUM($L304:AR304),('PTRM input'!$L$160*(1+rvanilla06)^0.5)/A18stdlife))</f>
        <v>0</v>
      </c>
      <c r="AT304" s="107">
        <f>IF(A18stdlife="n/a","n/a",IF(AT$3&gt;(A18stdlife+$E304),('PTRM input'!$L$160*(1+rvanilla06)^0.5)-SUM($L304:AS304),('PTRM input'!$L$160*(1+rvanilla06)^0.5)/A18stdlife))</f>
        <v>0</v>
      </c>
      <c r="AU304" s="107">
        <f>IF(A18stdlife="n/a","n/a",IF(AU$3&gt;(A18stdlife+$E304),('PTRM input'!$L$160*(1+rvanilla06)^0.5)-SUM($L304:AT304),('PTRM input'!$L$160*(1+rvanilla06)^0.5)/A18stdlife))</f>
        <v>0</v>
      </c>
      <c r="AV304" s="107">
        <f>IF(A18stdlife="n/a","n/a",IF(AV$3&gt;(A18stdlife+$E304),('PTRM input'!$L$160*(1+rvanilla06)^0.5)-SUM($L304:AU304),('PTRM input'!$L$160*(1+rvanilla06)^0.5)/A18stdlife))</f>
        <v>0</v>
      </c>
      <c r="AW304" s="107">
        <f>IF(A18stdlife="n/a","n/a",IF(AW$3&gt;(A18stdlife+$E304),('PTRM input'!$L$160*(1+rvanilla06)^0.5)-SUM($L304:AV304),('PTRM input'!$L$160*(1+rvanilla06)^0.5)/A18stdlife))</f>
        <v>0</v>
      </c>
      <c r="AX304" s="107">
        <f>IF(A18stdlife="n/a","n/a",IF(AX$3&gt;(A18stdlife+$E304),('PTRM input'!$L$160*(1+rvanilla06)^0.5)-SUM($L304:AW304),('PTRM input'!$L$160*(1+rvanilla06)^0.5)/A18stdlife))</f>
        <v>0</v>
      </c>
      <c r="AY304" s="107">
        <f>IF(A18stdlife="n/a","n/a",IF(AY$3&gt;(A18stdlife+$E304),('PTRM input'!$L$160*(1+rvanilla06)^0.5)-SUM($L304:AX304),('PTRM input'!$L$160*(1+rvanilla06)^0.5)/A18stdlife))</f>
        <v>0</v>
      </c>
      <c r="AZ304" s="107">
        <f>IF(A18stdlife="n/a","n/a",IF(AZ$3&gt;(A18stdlife+$E304),('PTRM input'!$L$160*(1+rvanilla06)^0.5)-SUM($L304:AY304),('PTRM input'!$L$160*(1+rvanilla06)^0.5)/A18stdlife))</f>
        <v>0</v>
      </c>
      <c r="BA304" s="107">
        <f>IF(A18stdlife="n/a","n/a",IF(BA$3&gt;(A18stdlife+$E304),('PTRM input'!$L$160*(1+rvanilla06)^0.5)-SUM($L304:AZ304),('PTRM input'!$L$160*(1+rvanilla06)^0.5)/A18stdlife))</f>
        <v>0</v>
      </c>
      <c r="BB304" s="107">
        <f>IF(A18stdlife="n/a","n/a",IF(BB$3&gt;(A18stdlife+$E304),('PTRM input'!$L$160*(1+rvanilla06)^0.5)-SUM($L304:BA304),('PTRM input'!$L$160*(1+rvanilla06)^0.5)/A18stdlife))</f>
        <v>0</v>
      </c>
      <c r="BC304" s="107">
        <f>IF(A18stdlife="n/a","n/a",IF(BC$3&gt;(A18stdlife+$E304),('PTRM input'!$L$160*(1+rvanilla06)^0.5)-SUM($L304:BB304),('PTRM input'!$L$160*(1+rvanilla06)^0.5)/A18stdlife))</f>
        <v>0</v>
      </c>
      <c r="BD304" s="107">
        <f>IF(A18stdlife="n/a","n/a",IF(BD$3&gt;(A18stdlife+$E304),('PTRM input'!$L$160*(1+rvanilla06)^0.5)-SUM($L304:BC304),('PTRM input'!$L$160*(1+rvanilla06)^0.5)/A18stdlife))</f>
        <v>0</v>
      </c>
      <c r="BE304" s="107">
        <f>IF(A18stdlife="n/a","n/a",IF(BE$3&gt;(A18stdlife+$E304),('PTRM input'!$L$160*(1+rvanilla06)^0.5)-SUM($L304:BD304),('PTRM input'!$L$160*(1+rvanilla06)^0.5)/A18stdlife))</f>
        <v>0</v>
      </c>
      <c r="BF304" s="107">
        <f>IF(A18stdlife="n/a","n/a",IF(BF$3&gt;(A18stdlife+$E304),('PTRM input'!$L$160*(1+rvanilla06)^0.5)-SUM($L304:BE304),('PTRM input'!$L$160*(1+rvanilla06)^0.5)/A18stdlife))</f>
        <v>0</v>
      </c>
      <c r="BG304" s="107">
        <f>IF(A18stdlife="n/a","n/a",IF(BG$3&gt;(A18stdlife+$E304),('PTRM input'!$L$160*(1+rvanilla06)^0.5)-SUM($L304:BF304),('PTRM input'!$L$160*(1+rvanilla06)^0.5)/A18stdlife))</f>
        <v>0</v>
      </c>
      <c r="BH304" s="107">
        <f>IF(A18stdlife="n/a","n/a",IF(BH$3&gt;(A18stdlife+$E304),('PTRM input'!$L$160*(1+rvanilla06)^0.5)-SUM($L304:BG304),('PTRM input'!$L$160*(1+rvanilla06)^0.5)/A18stdlife))</f>
        <v>0</v>
      </c>
      <c r="BI304" s="107">
        <f>IF(A18stdlife="n/a","n/a",IF(BI$3&gt;(A18stdlife+$E304),('PTRM input'!$L$160*(1+rvanilla06)^0.5)-SUM($L304:BH304),('PTRM input'!$L$160*(1+rvanilla06)^0.5)/A18stdlife))</f>
        <v>0</v>
      </c>
      <c r="BJ304" s="237"/>
      <c r="BK304" s="237"/>
      <c r="BL304" s="237"/>
      <c r="BM304" s="237"/>
    </row>
    <row r="305" spans="1:65" s="190" customFormat="1" hidden="1" outlineLevel="2">
      <c r="A305" s="237"/>
      <c r="B305" s="33"/>
      <c r="C305" s="32"/>
      <c r="D305" s="1618"/>
      <c r="E305" s="169">
        <v>7</v>
      </c>
      <c r="F305" s="35"/>
      <c r="G305" s="184"/>
      <c r="H305" s="186"/>
      <c r="I305" s="186"/>
      <c r="J305" s="186"/>
      <c r="K305" s="186"/>
      <c r="L305" s="186"/>
      <c r="M305" s="185"/>
      <c r="N305" s="107">
        <f>IF(A18stdlife="n/a","n/a",IF(N$3&gt;(A18stdlife+$E305),('PTRM input'!$M$160*(1+rvanilla07)^0.5)-SUM($M305:M305),('PTRM input'!$M$160*(1+rvanilla07)^0.5)/A18stdlife))</f>
        <v>0</v>
      </c>
      <c r="O305" s="107">
        <f>IF(A18stdlife="n/a","n/a",IF(O$3&gt;(A18stdlife+$E305),('PTRM input'!$M$160*(1+rvanilla07)^0.5)-SUM($M305:N305),('PTRM input'!$M$160*(1+rvanilla07)^0.5)/A18stdlife))</f>
        <v>0</v>
      </c>
      <c r="P305" s="107">
        <f>IF(A18stdlife="n/a","n/a",IF(P$3&gt;(A18stdlife+$E305),('PTRM input'!$M$160*(1+rvanilla07)^0.5)-SUM($M305:O305),('PTRM input'!$M$160*(1+rvanilla07)^0.5)/A18stdlife))</f>
        <v>0</v>
      </c>
      <c r="Q305" s="107">
        <f>IF(A18stdlife="n/a","n/a",IF(Q$3&gt;(A18stdlife+$E305),('PTRM input'!$M$160*(1+rvanilla07)^0.5)-SUM($M305:P305),('PTRM input'!$M$160*(1+rvanilla07)^0.5)/A18stdlife))</f>
        <v>0</v>
      </c>
      <c r="R305" s="107">
        <f>IF(A18stdlife="n/a","n/a",IF(R$3&gt;(A18stdlife+$E305),('PTRM input'!$M$160*(1+rvanilla07)^0.5)-SUM($M305:Q305),('PTRM input'!$M$160*(1+rvanilla07)^0.5)/A18stdlife))</f>
        <v>0</v>
      </c>
      <c r="S305" s="107">
        <f>IF(A18stdlife="n/a","n/a",IF(S$3&gt;(A18stdlife+$E305),('PTRM input'!$M$160*(1+rvanilla07)^0.5)-SUM($M305:R305),('PTRM input'!$M$160*(1+rvanilla07)^0.5)/A18stdlife))</f>
        <v>0</v>
      </c>
      <c r="T305" s="107">
        <f>IF(A18stdlife="n/a","n/a",IF(T$3&gt;(A18stdlife+$E305),('PTRM input'!$M$160*(1+rvanilla07)^0.5)-SUM($M305:S305),('PTRM input'!$M$160*(1+rvanilla07)^0.5)/A18stdlife))</f>
        <v>0</v>
      </c>
      <c r="U305" s="107">
        <f>IF(A18stdlife="n/a","n/a",IF(U$3&gt;(A18stdlife+$E305),('PTRM input'!$M$160*(1+rvanilla07)^0.5)-SUM($M305:T305),('PTRM input'!$M$160*(1+rvanilla07)^0.5)/A18stdlife))</f>
        <v>0</v>
      </c>
      <c r="V305" s="107">
        <f>IF(A18stdlife="n/a","n/a",IF(V$3&gt;(A18stdlife+$E305),('PTRM input'!$M$160*(1+rvanilla07)^0.5)-SUM($M305:U305),('PTRM input'!$M$160*(1+rvanilla07)^0.5)/A18stdlife))</f>
        <v>0</v>
      </c>
      <c r="W305" s="107">
        <f>IF(A18stdlife="n/a","n/a",IF(W$3&gt;(A18stdlife+$E305),('PTRM input'!$M$160*(1+rvanilla07)^0.5)-SUM($M305:V305),('PTRM input'!$M$160*(1+rvanilla07)^0.5)/A18stdlife))</f>
        <v>0</v>
      </c>
      <c r="X305" s="107">
        <f>IF(A18stdlife="n/a","n/a",IF(X$3&gt;(A18stdlife+$E305),('PTRM input'!$M$160*(1+rvanilla07)^0.5)-SUM($M305:W305),('PTRM input'!$M$160*(1+rvanilla07)^0.5)/A18stdlife))</f>
        <v>0</v>
      </c>
      <c r="Y305" s="107">
        <f>IF(A18stdlife="n/a","n/a",IF(Y$3&gt;(A18stdlife+$E305),('PTRM input'!$M$160*(1+rvanilla07)^0.5)-SUM($M305:X305),('PTRM input'!$M$160*(1+rvanilla07)^0.5)/A18stdlife))</f>
        <v>0</v>
      </c>
      <c r="Z305" s="107">
        <f>IF(A18stdlife="n/a","n/a",IF(Z$3&gt;(A18stdlife+$E305),('PTRM input'!$M$160*(1+rvanilla07)^0.5)-SUM($M305:Y305),('PTRM input'!$M$160*(1+rvanilla07)^0.5)/A18stdlife))</f>
        <v>0</v>
      </c>
      <c r="AA305" s="107">
        <f>IF(A18stdlife="n/a","n/a",IF(AA$3&gt;(A18stdlife+$E305),('PTRM input'!$M$160*(1+rvanilla07)^0.5)-SUM($M305:Z305),('PTRM input'!$M$160*(1+rvanilla07)^0.5)/A18stdlife))</f>
        <v>0</v>
      </c>
      <c r="AB305" s="107">
        <f>IF(A18stdlife="n/a","n/a",IF(AB$3&gt;(A18stdlife+$E305),('PTRM input'!$M$160*(1+rvanilla07)^0.5)-SUM($M305:AA305),('PTRM input'!$M$160*(1+rvanilla07)^0.5)/A18stdlife))</f>
        <v>0</v>
      </c>
      <c r="AC305" s="107">
        <f>IF(A18stdlife="n/a","n/a",IF(AC$3&gt;(A18stdlife+$E305),('PTRM input'!$M$160*(1+rvanilla07)^0.5)-SUM($M305:AB305),('PTRM input'!$M$160*(1+rvanilla07)^0.5)/A18stdlife))</f>
        <v>0</v>
      </c>
      <c r="AD305" s="107">
        <f>IF(A18stdlife="n/a","n/a",IF(AD$3&gt;(A18stdlife+$E305),('PTRM input'!$M$160*(1+rvanilla07)^0.5)-SUM($M305:AC305),('PTRM input'!$M$160*(1+rvanilla07)^0.5)/A18stdlife))</f>
        <v>0</v>
      </c>
      <c r="AE305" s="107">
        <f>IF(A18stdlife="n/a","n/a",IF(AE$3&gt;(A18stdlife+$E305),('PTRM input'!$M$160*(1+rvanilla07)^0.5)-SUM($M305:AD305),('PTRM input'!$M$160*(1+rvanilla07)^0.5)/A18stdlife))</f>
        <v>0</v>
      </c>
      <c r="AF305" s="107">
        <f>IF(A18stdlife="n/a","n/a",IF(AF$3&gt;(A18stdlife+$E305),('PTRM input'!$M$160*(1+rvanilla07)^0.5)-SUM($M305:AE305),('PTRM input'!$M$160*(1+rvanilla07)^0.5)/A18stdlife))</f>
        <v>0</v>
      </c>
      <c r="AG305" s="107">
        <f>IF(A18stdlife="n/a","n/a",IF(AG$3&gt;(A18stdlife+$E305),('PTRM input'!$M$160*(1+rvanilla07)^0.5)-SUM($M305:AF305),('PTRM input'!$M$160*(1+rvanilla07)^0.5)/A18stdlife))</f>
        <v>0</v>
      </c>
      <c r="AH305" s="107">
        <f>IF(A18stdlife="n/a","n/a",IF(AH$3&gt;(A18stdlife+$E305),('PTRM input'!$M$160*(1+rvanilla07)^0.5)-SUM($M305:AG305),('PTRM input'!$M$160*(1+rvanilla07)^0.5)/A18stdlife))</f>
        <v>0</v>
      </c>
      <c r="AI305" s="107">
        <f>IF(A18stdlife="n/a","n/a",IF(AI$3&gt;(A18stdlife+$E305),('PTRM input'!$M$160*(1+rvanilla07)^0.5)-SUM($M305:AH305),('PTRM input'!$M$160*(1+rvanilla07)^0.5)/A18stdlife))</f>
        <v>0</v>
      </c>
      <c r="AJ305" s="107">
        <f>IF(A18stdlife="n/a","n/a",IF(AJ$3&gt;(A18stdlife+$E305),('PTRM input'!$M$160*(1+rvanilla07)^0.5)-SUM($M305:AI305),('PTRM input'!$M$160*(1+rvanilla07)^0.5)/A18stdlife))</f>
        <v>0</v>
      </c>
      <c r="AK305" s="107">
        <f>IF(A18stdlife="n/a","n/a",IF(AK$3&gt;(A18stdlife+$E305),('PTRM input'!$M$160*(1+rvanilla07)^0.5)-SUM($M305:AJ305),('PTRM input'!$M$160*(1+rvanilla07)^0.5)/A18stdlife))</f>
        <v>0</v>
      </c>
      <c r="AL305" s="107">
        <f>IF(A18stdlife="n/a","n/a",IF(AL$3&gt;(A18stdlife+$E305),('PTRM input'!$M$160*(1+rvanilla07)^0.5)-SUM($M305:AK305),('PTRM input'!$M$160*(1+rvanilla07)^0.5)/A18stdlife))</f>
        <v>0</v>
      </c>
      <c r="AM305" s="107">
        <f>IF(A18stdlife="n/a","n/a",IF(AM$3&gt;(A18stdlife+$E305),('PTRM input'!$M$160*(1+rvanilla07)^0.5)-SUM($M305:AL305),('PTRM input'!$M$160*(1+rvanilla07)^0.5)/A18stdlife))</f>
        <v>0</v>
      </c>
      <c r="AN305" s="107">
        <f>IF(A18stdlife="n/a","n/a",IF(AN$3&gt;(A18stdlife+$E305),('PTRM input'!$M$160*(1+rvanilla07)^0.5)-SUM($M305:AM305),('PTRM input'!$M$160*(1+rvanilla07)^0.5)/A18stdlife))</f>
        <v>0</v>
      </c>
      <c r="AO305" s="107">
        <f>IF(A18stdlife="n/a","n/a",IF(AO$3&gt;(A18stdlife+$E305),('PTRM input'!$M$160*(1+rvanilla07)^0.5)-SUM($M305:AN305),('PTRM input'!$M$160*(1+rvanilla07)^0.5)/A18stdlife))</f>
        <v>0</v>
      </c>
      <c r="AP305" s="107">
        <f>IF(A18stdlife="n/a","n/a",IF(AP$3&gt;(A18stdlife+$E305),('PTRM input'!$M$160*(1+rvanilla07)^0.5)-SUM($M305:AO305),('PTRM input'!$M$160*(1+rvanilla07)^0.5)/A18stdlife))</f>
        <v>0</v>
      </c>
      <c r="AQ305" s="107">
        <f>IF(A18stdlife="n/a","n/a",IF(AQ$3&gt;(A18stdlife+$E305),('PTRM input'!$M$160*(1+rvanilla07)^0.5)-SUM($M305:AP305),('PTRM input'!$M$160*(1+rvanilla07)^0.5)/A18stdlife))</f>
        <v>0</v>
      </c>
      <c r="AR305" s="107">
        <f>IF(A18stdlife="n/a","n/a",IF(AR$3&gt;(A18stdlife+$E305),('PTRM input'!$M$160*(1+rvanilla07)^0.5)-SUM($M305:AQ305),('PTRM input'!$M$160*(1+rvanilla07)^0.5)/A18stdlife))</f>
        <v>0</v>
      </c>
      <c r="AS305" s="107">
        <f>IF(A18stdlife="n/a","n/a",IF(AS$3&gt;(A18stdlife+$E305),('PTRM input'!$M$160*(1+rvanilla07)^0.5)-SUM($M305:AR305),('PTRM input'!$M$160*(1+rvanilla07)^0.5)/A18stdlife))</f>
        <v>0</v>
      </c>
      <c r="AT305" s="107">
        <f>IF(A18stdlife="n/a","n/a",IF(AT$3&gt;(A18stdlife+$E305),('PTRM input'!$M$160*(1+rvanilla07)^0.5)-SUM($M305:AS305),('PTRM input'!$M$160*(1+rvanilla07)^0.5)/A18stdlife))</f>
        <v>0</v>
      </c>
      <c r="AU305" s="107">
        <f>IF(A18stdlife="n/a","n/a",IF(AU$3&gt;(A18stdlife+$E305),('PTRM input'!$M$160*(1+rvanilla07)^0.5)-SUM($M305:AT305),('PTRM input'!$M$160*(1+rvanilla07)^0.5)/A18stdlife))</f>
        <v>0</v>
      </c>
      <c r="AV305" s="107">
        <f>IF(A18stdlife="n/a","n/a",IF(AV$3&gt;(A18stdlife+$E305),('PTRM input'!$M$160*(1+rvanilla07)^0.5)-SUM($M305:AU305),('PTRM input'!$M$160*(1+rvanilla07)^0.5)/A18stdlife))</f>
        <v>0</v>
      </c>
      <c r="AW305" s="107">
        <f>IF(A18stdlife="n/a","n/a",IF(AW$3&gt;(A18stdlife+$E305),('PTRM input'!$M$160*(1+rvanilla07)^0.5)-SUM($M305:AV305),('PTRM input'!$M$160*(1+rvanilla07)^0.5)/A18stdlife))</f>
        <v>0</v>
      </c>
      <c r="AX305" s="107">
        <f>IF(A18stdlife="n/a","n/a",IF(AX$3&gt;(A18stdlife+$E305),('PTRM input'!$M$160*(1+rvanilla07)^0.5)-SUM($M305:AW305),('PTRM input'!$M$160*(1+rvanilla07)^0.5)/A18stdlife))</f>
        <v>0</v>
      </c>
      <c r="AY305" s="107">
        <f>IF(A18stdlife="n/a","n/a",IF(AY$3&gt;(A18stdlife+$E305),('PTRM input'!$M$160*(1+rvanilla07)^0.5)-SUM($M305:AX305),('PTRM input'!$M$160*(1+rvanilla07)^0.5)/A18stdlife))</f>
        <v>0</v>
      </c>
      <c r="AZ305" s="107">
        <f>IF(A18stdlife="n/a","n/a",IF(AZ$3&gt;(A18stdlife+$E305),('PTRM input'!$M$160*(1+rvanilla07)^0.5)-SUM($M305:AY305),('PTRM input'!$M$160*(1+rvanilla07)^0.5)/A18stdlife))</f>
        <v>0</v>
      </c>
      <c r="BA305" s="107">
        <f>IF(A18stdlife="n/a","n/a",IF(BA$3&gt;(A18stdlife+$E305),('PTRM input'!$M$160*(1+rvanilla07)^0.5)-SUM($M305:AZ305),('PTRM input'!$M$160*(1+rvanilla07)^0.5)/A18stdlife))</f>
        <v>0</v>
      </c>
      <c r="BB305" s="107">
        <f>IF(A18stdlife="n/a","n/a",IF(BB$3&gt;(A18stdlife+$E305),('PTRM input'!$M$160*(1+rvanilla07)^0.5)-SUM($M305:BA305),('PTRM input'!$M$160*(1+rvanilla07)^0.5)/A18stdlife))</f>
        <v>0</v>
      </c>
      <c r="BC305" s="107">
        <f>IF(A18stdlife="n/a","n/a",IF(BC$3&gt;(A18stdlife+$E305),('PTRM input'!$M$160*(1+rvanilla07)^0.5)-SUM($M305:BB305),('PTRM input'!$M$160*(1+rvanilla07)^0.5)/A18stdlife))</f>
        <v>0</v>
      </c>
      <c r="BD305" s="107">
        <f>IF(A18stdlife="n/a","n/a",IF(BD$3&gt;(A18stdlife+$E305),('PTRM input'!$M$160*(1+rvanilla07)^0.5)-SUM($M305:BC305),('PTRM input'!$M$160*(1+rvanilla07)^0.5)/A18stdlife))</f>
        <v>0</v>
      </c>
      <c r="BE305" s="107">
        <f>IF(A18stdlife="n/a","n/a",IF(BE$3&gt;(A18stdlife+$E305),('PTRM input'!$M$160*(1+rvanilla07)^0.5)-SUM($M305:BD305),('PTRM input'!$M$160*(1+rvanilla07)^0.5)/A18stdlife))</f>
        <v>0</v>
      </c>
      <c r="BF305" s="107">
        <f>IF(A18stdlife="n/a","n/a",IF(BF$3&gt;(A18stdlife+$E305),('PTRM input'!$M$160*(1+rvanilla07)^0.5)-SUM($M305:BE305),('PTRM input'!$M$160*(1+rvanilla07)^0.5)/A18stdlife))</f>
        <v>0</v>
      </c>
      <c r="BG305" s="107">
        <f>IF(A18stdlife="n/a","n/a",IF(BG$3&gt;(A18stdlife+$E305),('PTRM input'!$M$160*(1+rvanilla07)^0.5)-SUM($M305:BF305),('PTRM input'!$M$160*(1+rvanilla07)^0.5)/A18stdlife))</f>
        <v>0</v>
      </c>
      <c r="BH305" s="107">
        <f>IF(A18stdlife="n/a","n/a",IF(BH$3&gt;(A18stdlife+$E305),('PTRM input'!$M$160*(1+rvanilla07)^0.5)-SUM($M305:BG305),('PTRM input'!$M$160*(1+rvanilla07)^0.5)/A18stdlife))</f>
        <v>0</v>
      </c>
      <c r="BI305" s="107">
        <f>IF(A18stdlife="n/a","n/a",IF(BI$3&gt;(A18stdlife+$E305),('PTRM input'!$M$160*(1+rvanilla07)^0.5)-SUM($M305:BH305),('PTRM input'!$M$160*(1+rvanilla07)^0.5)/A18stdlife))</f>
        <v>0</v>
      </c>
      <c r="BJ305" s="237"/>
      <c r="BK305" s="237"/>
      <c r="BL305" s="237"/>
      <c r="BM305" s="237"/>
    </row>
    <row r="306" spans="1:65" s="190" customFormat="1" hidden="1" outlineLevel="2">
      <c r="A306" s="237"/>
      <c r="B306" s="33"/>
      <c r="C306" s="32"/>
      <c r="D306" s="1618"/>
      <c r="E306" s="169">
        <v>8</v>
      </c>
      <c r="F306" s="35"/>
      <c r="G306" s="184"/>
      <c r="H306" s="186"/>
      <c r="I306" s="186"/>
      <c r="J306" s="186"/>
      <c r="K306" s="186"/>
      <c r="L306" s="186"/>
      <c r="M306" s="186"/>
      <c r="N306" s="185"/>
      <c r="O306" s="107">
        <f>IF(A18stdlife="n/a","n/a",IF(O$3&gt;(A18stdlife+$E306),('PTRM input'!$N$160*(1+rvanilla08)^0.5)-SUM($N306:N306),('PTRM input'!$N$160*(1+rvanilla08)^0.5)/A18stdlife))</f>
        <v>0</v>
      </c>
      <c r="P306" s="107">
        <f>IF(A18stdlife="n/a","n/a",IF(P$3&gt;(A18stdlife+$E306),('PTRM input'!$N$160*(1+rvanilla08)^0.5)-SUM($N306:O306),('PTRM input'!$N$160*(1+rvanilla08)^0.5)/A18stdlife))</f>
        <v>0</v>
      </c>
      <c r="Q306" s="107">
        <f>IF(A18stdlife="n/a","n/a",IF(Q$3&gt;(A18stdlife+$E306),('PTRM input'!$N$160*(1+rvanilla08)^0.5)-SUM($N306:P306),('PTRM input'!$N$160*(1+rvanilla08)^0.5)/A18stdlife))</f>
        <v>0</v>
      </c>
      <c r="R306" s="107">
        <f>IF(A18stdlife="n/a","n/a",IF(R$3&gt;(A18stdlife+$E306),('PTRM input'!$N$160*(1+rvanilla08)^0.5)-SUM($N306:Q306),('PTRM input'!$N$160*(1+rvanilla08)^0.5)/A18stdlife))</f>
        <v>0</v>
      </c>
      <c r="S306" s="107">
        <f>IF(A18stdlife="n/a","n/a",IF(S$3&gt;(A18stdlife+$E306),('PTRM input'!$N$160*(1+rvanilla08)^0.5)-SUM($N306:R306),('PTRM input'!$N$160*(1+rvanilla08)^0.5)/A18stdlife))</f>
        <v>0</v>
      </c>
      <c r="T306" s="107">
        <f>IF(A18stdlife="n/a","n/a",IF(T$3&gt;(A18stdlife+$E306),('PTRM input'!$N$160*(1+rvanilla08)^0.5)-SUM($N306:S306),('PTRM input'!$N$160*(1+rvanilla08)^0.5)/A18stdlife))</f>
        <v>0</v>
      </c>
      <c r="U306" s="107">
        <f>IF(A18stdlife="n/a","n/a",IF(U$3&gt;(A18stdlife+$E306),('PTRM input'!$N$160*(1+rvanilla08)^0.5)-SUM($N306:T306),('PTRM input'!$N$160*(1+rvanilla08)^0.5)/A18stdlife))</f>
        <v>0</v>
      </c>
      <c r="V306" s="107">
        <f>IF(A18stdlife="n/a","n/a",IF(V$3&gt;(A18stdlife+$E306),('PTRM input'!$N$160*(1+rvanilla08)^0.5)-SUM($N306:U306),('PTRM input'!$N$160*(1+rvanilla08)^0.5)/A18stdlife))</f>
        <v>0</v>
      </c>
      <c r="W306" s="107">
        <f>IF(A18stdlife="n/a","n/a",IF(W$3&gt;(A18stdlife+$E306),('PTRM input'!$N$160*(1+rvanilla08)^0.5)-SUM($N306:V306),('PTRM input'!$N$160*(1+rvanilla08)^0.5)/A18stdlife))</f>
        <v>0</v>
      </c>
      <c r="X306" s="107">
        <f>IF(A18stdlife="n/a","n/a",IF(X$3&gt;(A18stdlife+$E306),('PTRM input'!$N$160*(1+rvanilla08)^0.5)-SUM($N306:W306),('PTRM input'!$N$160*(1+rvanilla08)^0.5)/A18stdlife))</f>
        <v>0</v>
      </c>
      <c r="Y306" s="107">
        <f>IF(A18stdlife="n/a","n/a",IF(Y$3&gt;(A18stdlife+$E306),('PTRM input'!$N$160*(1+rvanilla08)^0.5)-SUM($N306:X306),('PTRM input'!$N$160*(1+rvanilla08)^0.5)/A18stdlife))</f>
        <v>0</v>
      </c>
      <c r="Z306" s="107">
        <f>IF(A18stdlife="n/a","n/a",IF(Z$3&gt;(A18stdlife+$E306),('PTRM input'!$N$160*(1+rvanilla08)^0.5)-SUM($N306:Y306),('PTRM input'!$N$160*(1+rvanilla08)^0.5)/A18stdlife))</f>
        <v>0</v>
      </c>
      <c r="AA306" s="107">
        <f>IF(A18stdlife="n/a","n/a",IF(AA$3&gt;(A18stdlife+$E306),('PTRM input'!$N$160*(1+rvanilla08)^0.5)-SUM($N306:Z306),('PTRM input'!$N$160*(1+rvanilla08)^0.5)/A18stdlife))</f>
        <v>0</v>
      </c>
      <c r="AB306" s="107">
        <f>IF(A18stdlife="n/a","n/a",IF(AB$3&gt;(A18stdlife+$E306),('PTRM input'!$N$160*(1+rvanilla08)^0.5)-SUM($N306:AA306),('PTRM input'!$N$160*(1+rvanilla08)^0.5)/A18stdlife))</f>
        <v>0</v>
      </c>
      <c r="AC306" s="107">
        <f>IF(A18stdlife="n/a","n/a",IF(AC$3&gt;(A18stdlife+$E306),('PTRM input'!$N$160*(1+rvanilla08)^0.5)-SUM($N306:AB306),('PTRM input'!$N$160*(1+rvanilla08)^0.5)/A18stdlife))</f>
        <v>0</v>
      </c>
      <c r="AD306" s="107">
        <f>IF(A18stdlife="n/a","n/a",IF(AD$3&gt;(A18stdlife+$E306),('PTRM input'!$N$160*(1+rvanilla08)^0.5)-SUM($N306:AC306),('PTRM input'!$N$160*(1+rvanilla08)^0.5)/A18stdlife))</f>
        <v>0</v>
      </c>
      <c r="AE306" s="107">
        <f>IF(A18stdlife="n/a","n/a",IF(AE$3&gt;(A18stdlife+$E306),('PTRM input'!$N$160*(1+rvanilla08)^0.5)-SUM($N306:AD306),('PTRM input'!$N$160*(1+rvanilla08)^0.5)/A18stdlife))</f>
        <v>0</v>
      </c>
      <c r="AF306" s="107">
        <f>IF(A18stdlife="n/a","n/a",IF(AF$3&gt;(A18stdlife+$E306),('PTRM input'!$N$160*(1+rvanilla08)^0.5)-SUM($N306:AE306),('PTRM input'!$N$160*(1+rvanilla08)^0.5)/A18stdlife))</f>
        <v>0</v>
      </c>
      <c r="AG306" s="107">
        <f>IF(A18stdlife="n/a","n/a",IF(AG$3&gt;(A18stdlife+$E306),('PTRM input'!$N$160*(1+rvanilla08)^0.5)-SUM($N306:AF306),('PTRM input'!$N$160*(1+rvanilla08)^0.5)/A18stdlife))</f>
        <v>0</v>
      </c>
      <c r="AH306" s="107">
        <f>IF(A18stdlife="n/a","n/a",IF(AH$3&gt;(A18stdlife+$E306),('PTRM input'!$N$160*(1+rvanilla08)^0.5)-SUM($N306:AG306),('PTRM input'!$N$160*(1+rvanilla08)^0.5)/A18stdlife))</f>
        <v>0</v>
      </c>
      <c r="AI306" s="107">
        <f>IF(A18stdlife="n/a","n/a",IF(AI$3&gt;(A18stdlife+$E306),('PTRM input'!$N$160*(1+rvanilla08)^0.5)-SUM($N306:AH306),('PTRM input'!$N$160*(1+rvanilla08)^0.5)/A18stdlife))</f>
        <v>0</v>
      </c>
      <c r="AJ306" s="107">
        <f>IF(A18stdlife="n/a","n/a",IF(AJ$3&gt;(A18stdlife+$E306),('PTRM input'!$N$160*(1+rvanilla08)^0.5)-SUM($N306:AI306),('PTRM input'!$N$160*(1+rvanilla08)^0.5)/A18stdlife))</f>
        <v>0</v>
      </c>
      <c r="AK306" s="107">
        <f>IF(A18stdlife="n/a","n/a",IF(AK$3&gt;(A18stdlife+$E306),('PTRM input'!$N$160*(1+rvanilla08)^0.5)-SUM($N306:AJ306),('PTRM input'!$N$160*(1+rvanilla08)^0.5)/A18stdlife))</f>
        <v>0</v>
      </c>
      <c r="AL306" s="107">
        <f>IF(A18stdlife="n/a","n/a",IF(AL$3&gt;(A18stdlife+$E306),('PTRM input'!$N$160*(1+rvanilla08)^0.5)-SUM($N306:AK306),('PTRM input'!$N$160*(1+rvanilla08)^0.5)/A18stdlife))</f>
        <v>0</v>
      </c>
      <c r="AM306" s="107">
        <f>IF(A18stdlife="n/a","n/a",IF(AM$3&gt;(A18stdlife+$E306),('PTRM input'!$N$160*(1+rvanilla08)^0.5)-SUM($N306:AL306),('PTRM input'!$N$160*(1+rvanilla08)^0.5)/A18stdlife))</f>
        <v>0</v>
      </c>
      <c r="AN306" s="107">
        <f>IF(A18stdlife="n/a","n/a",IF(AN$3&gt;(A18stdlife+$E306),('PTRM input'!$N$160*(1+rvanilla08)^0.5)-SUM($N306:AM306),('PTRM input'!$N$160*(1+rvanilla08)^0.5)/A18stdlife))</f>
        <v>0</v>
      </c>
      <c r="AO306" s="107">
        <f>IF(A18stdlife="n/a","n/a",IF(AO$3&gt;(A18stdlife+$E306),('PTRM input'!$N$160*(1+rvanilla08)^0.5)-SUM($N306:AN306),('PTRM input'!$N$160*(1+rvanilla08)^0.5)/A18stdlife))</f>
        <v>0</v>
      </c>
      <c r="AP306" s="107">
        <f>IF(A18stdlife="n/a","n/a",IF(AP$3&gt;(A18stdlife+$E306),('PTRM input'!$N$160*(1+rvanilla08)^0.5)-SUM($N306:AO306),('PTRM input'!$N$160*(1+rvanilla08)^0.5)/A18stdlife))</f>
        <v>0</v>
      </c>
      <c r="AQ306" s="107">
        <f>IF(A18stdlife="n/a","n/a",IF(AQ$3&gt;(A18stdlife+$E306),('PTRM input'!$N$160*(1+rvanilla08)^0.5)-SUM($N306:AP306),('PTRM input'!$N$160*(1+rvanilla08)^0.5)/A18stdlife))</f>
        <v>0</v>
      </c>
      <c r="AR306" s="107">
        <f>IF(A18stdlife="n/a","n/a",IF(AR$3&gt;(A18stdlife+$E306),('PTRM input'!$N$160*(1+rvanilla08)^0.5)-SUM($N306:AQ306),('PTRM input'!$N$160*(1+rvanilla08)^0.5)/A18stdlife))</f>
        <v>0</v>
      </c>
      <c r="AS306" s="107">
        <f>IF(A18stdlife="n/a","n/a",IF(AS$3&gt;(A18stdlife+$E306),('PTRM input'!$N$160*(1+rvanilla08)^0.5)-SUM($N306:AR306),('PTRM input'!$N$160*(1+rvanilla08)^0.5)/A18stdlife))</f>
        <v>0</v>
      </c>
      <c r="AT306" s="107">
        <f>IF(A18stdlife="n/a","n/a",IF(AT$3&gt;(A18stdlife+$E306),('PTRM input'!$N$160*(1+rvanilla08)^0.5)-SUM($N306:AS306),('PTRM input'!$N$160*(1+rvanilla08)^0.5)/A18stdlife))</f>
        <v>0</v>
      </c>
      <c r="AU306" s="107">
        <f>IF(A18stdlife="n/a","n/a",IF(AU$3&gt;(A18stdlife+$E306),('PTRM input'!$N$160*(1+rvanilla08)^0.5)-SUM($N306:AT306),('PTRM input'!$N$160*(1+rvanilla08)^0.5)/A18stdlife))</f>
        <v>0</v>
      </c>
      <c r="AV306" s="107">
        <f>IF(A18stdlife="n/a","n/a",IF(AV$3&gt;(A18stdlife+$E306),('PTRM input'!$N$160*(1+rvanilla08)^0.5)-SUM($N306:AU306),('PTRM input'!$N$160*(1+rvanilla08)^0.5)/A18stdlife))</f>
        <v>0</v>
      </c>
      <c r="AW306" s="107">
        <f>IF(A18stdlife="n/a","n/a",IF(AW$3&gt;(A18stdlife+$E306),('PTRM input'!$N$160*(1+rvanilla08)^0.5)-SUM($N306:AV306),('PTRM input'!$N$160*(1+rvanilla08)^0.5)/A18stdlife))</f>
        <v>0</v>
      </c>
      <c r="AX306" s="107">
        <f>IF(A18stdlife="n/a","n/a",IF(AX$3&gt;(A18stdlife+$E306),('PTRM input'!$N$160*(1+rvanilla08)^0.5)-SUM($N306:AW306),('PTRM input'!$N$160*(1+rvanilla08)^0.5)/A18stdlife))</f>
        <v>0</v>
      </c>
      <c r="AY306" s="107">
        <f>IF(A18stdlife="n/a","n/a",IF(AY$3&gt;(A18stdlife+$E306),('PTRM input'!$N$160*(1+rvanilla08)^0.5)-SUM($N306:AX306),('PTRM input'!$N$160*(1+rvanilla08)^0.5)/A18stdlife))</f>
        <v>0</v>
      </c>
      <c r="AZ306" s="107">
        <f>IF(A18stdlife="n/a","n/a",IF(AZ$3&gt;(A18stdlife+$E306),('PTRM input'!$N$160*(1+rvanilla08)^0.5)-SUM($N306:AY306),('PTRM input'!$N$160*(1+rvanilla08)^0.5)/A18stdlife))</f>
        <v>0</v>
      </c>
      <c r="BA306" s="107">
        <f>IF(A18stdlife="n/a","n/a",IF(BA$3&gt;(A18stdlife+$E306),('PTRM input'!$N$160*(1+rvanilla08)^0.5)-SUM($N306:AZ306),('PTRM input'!$N$160*(1+rvanilla08)^0.5)/A18stdlife))</f>
        <v>0</v>
      </c>
      <c r="BB306" s="107">
        <f>IF(A18stdlife="n/a","n/a",IF(BB$3&gt;(A18stdlife+$E306),('PTRM input'!$N$160*(1+rvanilla08)^0.5)-SUM($N306:BA306),('PTRM input'!$N$160*(1+rvanilla08)^0.5)/A18stdlife))</f>
        <v>0</v>
      </c>
      <c r="BC306" s="107">
        <f>IF(A18stdlife="n/a","n/a",IF(BC$3&gt;(A18stdlife+$E306),('PTRM input'!$N$160*(1+rvanilla08)^0.5)-SUM($N306:BB306),('PTRM input'!$N$160*(1+rvanilla08)^0.5)/A18stdlife))</f>
        <v>0</v>
      </c>
      <c r="BD306" s="107">
        <f>IF(A18stdlife="n/a","n/a",IF(BD$3&gt;(A18stdlife+$E306),('PTRM input'!$N$160*(1+rvanilla08)^0.5)-SUM($N306:BC306),('PTRM input'!$N$160*(1+rvanilla08)^0.5)/A18stdlife))</f>
        <v>0</v>
      </c>
      <c r="BE306" s="107">
        <f>IF(A18stdlife="n/a","n/a",IF(BE$3&gt;(A18stdlife+$E306),('PTRM input'!$N$160*(1+rvanilla08)^0.5)-SUM($N306:BD306),('PTRM input'!$N$160*(1+rvanilla08)^0.5)/A18stdlife))</f>
        <v>0</v>
      </c>
      <c r="BF306" s="107">
        <f>IF(A18stdlife="n/a","n/a",IF(BF$3&gt;(A18stdlife+$E306),('PTRM input'!$N$160*(1+rvanilla08)^0.5)-SUM($N306:BE306),('PTRM input'!$N$160*(1+rvanilla08)^0.5)/A18stdlife))</f>
        <v>0</v>
      </c>
      <c r="BG306" s="107">
        <f>IF(A18stdlife="n/a","n/a",IF(BG$3&gt;(A18stdlife+$E306),('PTRM input'!$N$160*(1+rvanilla08)^0.5)-SUM($N306:BF306),('PTRM input'!$N$160*(1+rvanilla08)^0.5)/A18stdlife))</f>
        <v>0</v>
      </c>
      <c r="BH306" s="107">
        <f>IF(A18stdlife="n/a","n/a",IF(BH$3&gt;(A18stdlife+$E306),('PTRM input'!$N$160*(1+rvanilla08)^0.5)-SUM($N306:BG306),('PTRM input'!$N$160*(1+rvanilla08)^0.5)/A18stdlife))</f>
        <v>0</v>
      </c>
      <c r="BI306" s="107">
        <f>IF(A18stdlife="n/a","n/a",IF(BI$3&gt;(A18stdlife+$E306),('PTRM input'!$N$160*(1+rvanilla08)^0.5)-SUM($N306:BH306),('PTRM input'!$N$160*(1+rvanilla08)^0.5)/A18stdlife))</f>
        <v>0</v>
      </c>
      <c r="BJ306" s="237"/>
      <c r="BK306" s="237"/>
      <c r="BL306" s="237"/>
      <c r="BM306" s="237"/>
    </row>
    <row r="307" spans="1:65" s="190" customFormat="1" hidden="1" outlineLevel="2">
      <c r="A307" s="237"/>
      <c r="B307" s="33"/>
      <c r="C307" s="32"/>
      <c r="D307" s="1618"/>
      <c r="E307" s="169">
        <v>9</v>
      </c>
      <c r="F307" s="35"/>
      <c r="G307" s="184"/>
      <c r="H307" s="186"/>
      <c r="I307" s="186"/>
      <c r="J307" s="186"/>
      <c r="K307" s="186"/>
      <c r="L307" s="186"/>
      <c r="M307" s="186"/>
      <c r="N307" s="186"/>
      <c r="O307" s="185"/>
      <c r="P307" s="107">
        <f>IF(A18stdlife="n/a","n/a",IF(P$3&gt;(A18stdlife+$E307),('PTRM input'!$O$160*(1+rvanilla09)^0.5)-SUM($O307:O307),('PTRM input'!$O$160*(1+rvanilla09)^0.5)/A18stdlife))</f>
        <v>0</v>
      </c>
      <c r="Q307" s="107">
        <f>IF(A18stdlife="n/a","n/a",IF(Q$3&gt;(A18stdlife+$E307),('PTRM input'!$O$160*(1+rvanilla09)^0.5)-SUM($O307:P307),('PTRM input'!$O$160*(1+rvanilla09)^0.5)/A18stdlife))</f>
        <v>0</v>
      </c>
      <c r="R307" s="107">
        <f>IF(A18stdlife="n/a","n/a",IF(R$3&gt;(A18stdlife+$E307),('PTRM input'!$O$160*(1+rvanilla09)^0.5)-SUM($O307:Q307),('PTRM input'!$O$160*(1+rvanilla09)^0.5)/A18stdlife))</f>
        <v>0</v>
      </c>
      <c r="S307" s="107">
        <f>IF(A18stdlife="n/a","n/a",IF(S$3&gt;(A18stdlife+$E307),('PTRM input'!$O$160*(1+rvanilla09)^0.5)-SUM($O307:R307),('PTRM input'!$O$160*(1+rvanilla09)^0.5)/A18stdlife))</f>
        <v>0</v>
      </c>
      <c r="T307" s="107">
        <f>IF(A18stdlife="n/a","n/a",IF(T$3&gt;(A18stdlife+$E307),('PTRM input'!$O$160*(1+rvanilla09)^0.5)-SUM($O307:S307),('PTRM input'!$O$160*(1+rvanilla09)^0.5)/A18stdlife))</f>
        <v>0</v>
      </c>
      <c r="U307" s="107">
        <f>IF(A18stdlife="n/a","n/a",IF(U$3&gt;(A18stdlife+$E307),('PTRM input'!$O$160*(1+rvanilla09)^0.5)-SUM($O307:T307),('PTRM input'!$O$160*(1+rvanilla09)^0.5)/A18stdlife))</f>
        <v>0</v>
      </c>
      <c r="V307" s="107">
        <f>IF(A18stdlife="n/a","n/a",IF(V$3&gt;(A18stdlife+$E307),('PTRM input'!$O$160*(1+rvanilla09)^0.5)-SUM($O307:U307),('PTRM input'!$O$160*(1+rvanilla09)^0.5)/A18stdlife))</f>
        <v>0</v>
      </c>
      <c r="W307" s="107">
        <f>IF(A18stdlife="n/a","n/a",IF(W$3&gt;(A18stdlife+$E307),('PTRM input'!$O$160*(1+rvanilla09)^0.5)-SUM($O307:V307),('PTRM input'!$O$160*(1+rvanilla09)^0.5)/A18stdlife))</f>
        <v>0</v>
      </c>
      <c r="X307" s="107">
        <f>IF(A18stdlife="n/a","n/a",IF(X$3&gt;(A18stdlife+$E307),('PTRM input'!$O$160*(1+rvanilla09)^0.5)-SUM($O307:W307),('PTRM input'!$O$160*(1+rvanilla09)^0.5)/A18stdlife))</f>
        <v>0</v>
      </c>
      <c r="Y307" s="107">
        <f>IF(A18stdlife="n/a","n/a",IF(Y$3&gt;(A18stdlife+$E307),('PTRM input'!$O$160*(1+rvanilla09)^0.5)-SUM($O307:X307),('PTRM input'!$O$160*(1+rvanilla09)^0.5)/A18stdlife))</f>
        <v>0</v>
      </c>
      <c r="Z307" s="107">
        <f>IF(A18stdlife="n/a","n/a",IF(Z$3&gt;(A18stdlife+$E307),('PTRM input'!$O$160*(1+rvanilla09)^0.5)-SUM($O307:Y307),('PTRM input'!$O$160*(1+rvanilla09)^0.5)/A18stdlife))</f>
        <v>0</v>
      </c>
      <c r="AA307" s="107">
        <f>IF(A18stdlife="n/a","n/a",IF(AA$3&gt;(A18stdlife+$E307),('PTRM input'!$O$160*(1+rvanilla09)^0.5)-SUM($O307:Z307),('PTRM input'!$O$160*(1+rvanilla09)^0.5)/A18stdlife))</f>
        <v>0</v>
      </c>
      <c r="AB307" s="107">
        <f>IF(A18stdlife="n/a","n/a",IF(AB$3&gt;(A18stdlife+$E307),('PTRM input'!$O$160*(1+rvanilla09)^0.5)-SUM($O307:AA307),('PTRM input'!$O$160*(1+rvanilla09)^0.5)/A18stdlife))</f>
        <v>0</v>
      </c>
      <c r="AC307" s="107">
        <f>IF(A18stdlife="n/a","n/a",IF(AC$3&gt;(A18stdlife+$E307),('PTRM input'!$O$160*(1+rvanilla09)^0.5)-SUM($O307:AB307),('PTRM input'!$O$160*(1+rvanilla09)^0.5)/A18stdlife))</f>
        <v>0</v>
      </c>
      <c r="AD307" s="107">
        <f>IF(A18stdlife="n/a","n/a",IF(AD$3&gt;(A18stdlife+$E307),('PTRM input'!$O$160*(1+rvanilla09)^0.5)-SUM($O307:AC307),('PTRM input'!$O$160*(1+rvanilla09)^0.5)/A18stdlife))</f>
        <v>0</v>
      </c>
      <c r="AE307" s="107">
        <f>IF(A18stdlife="n/a","n/a",IF(AE$3&gt;(A18stdlife+$E307),('PTRM input'!$O$160*(1+rvanilla09)^0.5)-SUM($O307:AD307),('PTRM input'!$O$160*(1+rvanilla09)^0.5)/A18stdlife))</f>
        <v>0</v>
      </c>
      <c r="AF307" s="107">
        <f>IF(A18stdlife="n/a","n/a",IF(AF$3&gt;(A18stdlife+$E307),('PTRM input'!$O$160*(1+rvanilla09)^0.5)-SUM($O307:AE307),('PTRM input'!$O$160*(1+rvanilla09)^0.5)/A18stdlife))</f>
        <v>0</v>
      </c>
      <c r="AG307" s="107">
        <f>IF(A18stdlife="n/a","n/a",IF(AG$3&gt;(A18stdlife+$E307),('PTRM input'!$O$160*(1+rvanilla09)^0.5)-SUM($O307:AF307),('PTRM input'!$O$160*(1+rvanilla09)^0.5)/A18stdlife))</f>
        <v>0</v>
      </c>
      <c r="AH307" s="107">
        <f>IF(A18stdlife="n/a","n/a",IF(AH$3&gt;(A18stdlife+$E307),('PTRM input'!$O$160*(1+rvanilla09)^0.5)-SUM($O307:AG307),('PTRM input'!$O$160*(1+rvanilla09)^0.5)/A18stdlife))</f>
        <v>0</v>
      </c>
      <c r="AI307" s="107">
        <f>IF(A18stdlife="n/a","n/a",IF(AI$3&gt;(A18stdlife+$E307),('PTRM input'!$O$160*(1+rvanilla09)^0.5)-SUM($O307:AH307),('PTRM input'!$O$160*(1+rvanilla09)^0.5)/A18stdlife))</f>
        <v>0</v>
      </c>
      <c r="AJ307" s="107">
        <f>IF(A18stdlife="n/a","n/a",IF(AJ$3&gt;(A18stdlife+$E307),('PTRM input'!$O$160*(1+rvanilla09)^0.5)-SUM($O307:AI307),('PTRM input'!$O$160*(1+rvanilla09)^0.5)/A18stdlife))</f>
        <v>0</v>
      </c>
      <c r="AK307" s="107">
        <f>IF(A18stdlife="n/a","n/a",IF(AK$3&gt;(A18stdlife+$E307),('PTRM input'!$O$160*(1+rvanilla09)^0.5)-SUM($O307:AJ307),('PTRM input'!$O$160*(1+rvanilla09)^0.5)/A18stdlife))</f>
        <v>0</v>
      </c>
      <c r="AL307" s="107">
        <f>IF(A18stdlife="n/a","n/a",IF(AL$3&gt;(A18stdlife+$E307),('PTRM input'!$O$160*(1+rvanilla09)^0.5)-SUM($O307:AK307),('PTRM input'!$O$160*(1+rvanilla09)^0.5)/A18stdlife))</f>
        <v>0</v>
      </c>
      <c r="AM307" s="107">
        <f>IF(A18stdlife="n/a","n/a",IF(AM$3&gt;(A18stdlife+$E307),('PTRM input'!$O$160*(1+rvanilla09)^0.5)-SUM($O307:AL307),('PTRM input'!$O$160*(1+rvanilla09)^0.5)/A18stdlife))</f>
        <v>0</v>
      </c>
      <c r="AN307" s="107">
        <f>IF(A18stdlife="n/a","n/a",IF(AN$3&gt;(A18stdlife+$E307),('PTRM input'!$O$160*(1+rvanilla09)^0.5)-SUM($O307:AM307),('PTRM input'!$O$160*(1+rvanilla09)^0.5)/A18stdlife))</f>
        <v>0</v>
      </c>
      <c r="AO307" s="107">
        <f>IF(A18stdlife="n/a","n/a",IF(AO$3&gt;(A18stdlife+$E307),('PTRM input'!$O$160*(1+rvanilla09)^0.5)-SUM($O307:AN307),('PTRM input'!$O$160*(1+rvanilla09)^0.5)/A18stdlife))</f>
        <v>0</v>
      </c>
      <c r="AP307" s="107">
        <f>IF(A18stdlife="n/a","n/a",IF(AP$3&gt;(A18stdlife+$E307),('PTRM input'!$O$160*(1+rvanilla09)^0.5)-SUM($O307:AO307),('PTRM input'!$O$160*(1+rvanilla09)^0.5)/A18stdlife))</f>
        <v>0</v>
      </c>
      <c r="AQ307" s="107">
        <f>IF(A18stdlife="n/a","n/a",IF(AQ$3&gt;(A18stdlife+$E307),('PTRM input'!$O$160*(1+rvanilla09)^0.5)-SUM($O307:AP307),('PTRM input'!$O$160*(1+rvanilla09)^0.5)/A18stdlife))</f>
        <v>0</v>
      </c>
      <c r="AR307" s="107">
        <f>IF(A18stdlife="n/a","n/a",IF(AR$3&gt;(A18stdlife+$E307),('PTRM input'!$O$160*(1+rvanilla09)^0.5)-SUM($O307:AQ307),('PTRM input'!$O$160*(1+rvanilla09)^0.5)/A18stdlife))</f>
        <v>0</v>
      </c>
      <c r="AS307" s="107">
        <f>IF(A18stdlife="n/a","n/a",IF(AS$3&gt;(A18stdlife+$E307),('PTRM input'!$O$160*(1+rvanilla09)^0.5)-SUM($O307:AR307),('PTRM input'!$O$160*(1+rvanilla09)^0.5)/A18stdlife))</f>
        <v>0</v>
      </c>
      <c r="AT307" s="107">
        <f>IF(A18stdlife="n/a","n/a",IF(AT$3&gt;(A18stdlife+$E307),('PTRM input'!$O$160*(1+rvanilla09)^0.5)-SUM($O307:AS307),('PTRM input'!$O$160*(1+rvanilla09)^0.5)/A18stdlife))</f>
        <v>0</v>
      </c>
      <c r="AU307" s="107">
        <f>IF(A18stdlife="n/a","n/a",IF(AU$3&gt;(A18stdlife+$E307),('PTRM input'!$O$160*(1+rvanilla09)^0.5)-SUM($O307:AT307),('PTRM input'!$O$160*(1+rvanilla09)^0.5)/A18stdlife))</f>
        <v>0</v>
      </c>
      <c r="AV307" s="107">
        <f>IF(A18stdlife="n/a","n/a",IF(AV$3&gt;(A18stdlife+$E307),('PTRM input'!$O$160*(1+rvanilla09)^0.5)-SUM($O307:AU307),('PTRM input'!$O$160*(1+rvanilla09)^0.5)/A18stdlife))</f>
        <v>0</v>
      </c>
      <c r="AW307" s="107">
        <f>IF(A18stdlife="n/a","n/a",IF(AW$3&gt;(A18stdlife+$E307),('PTRM input'!$O$160*(1+rvanilla09)^0.5)-SUM($O307:AV307),('PTRM input'!$O$160*(1+rvanilla09)^0.5)/A18stdlife))</f>
        <v>0</v>
      </c>
      <c r="AX307" s="107">
        <f>IF(A18stdlife="n/a","n/a",IF(AX$3&gt;(A18stdlife+$E307),('PTRM input'!$O$160*(1+rvanilla09)^0.5)-SUM($O307:AW307),('PTRM input'!$O$160*(1+rvanilla09)^0.5)/A18stdlife))</f>
        <v>0</v>
      </c>
      <c r="AY307" s="107">
        <f>IF(A18stdlife="n/a","n/a",IF(AY$3&gt;(A18stdlife+$E307),('PTRM input'!$O$160*(1+rvanilla09)^0.5)-SUM($O307:AX307),('PTRM input'!$O$160*(1+rvanilla09)^0.5)/A18stdlife))</f>
        <v>0</v>
      </c>
      <c r="AZ307" s="107">
        <f>IF(A18stdlife="n/a","n/a",IF(AZ$3&gt;(A18stdlife+$E307),('PTRM input'!$O$160*(1+rvanilla09)^0.5)-SUM($O307:AY307),('PTRM input'!$O$160*(1+rvanilla09)^0.5)/A18stdlife))</f>
        <v>0</v>
      </c>
      <c r="BA307" s="107">
        <f>IF(A18stdlife="n/a","n/a",IF(BA$3&gt;(A18stdlife+$E307),('PTRM input'!$O$160*(1+rvanilla09)^0.5)-SUM($O307:AZ307),('PTRM input'!$O$160*(1+rvanilla09)^0.5)/A18stdlife))</f>
        <v>0</v>
      </c>
      <c r="BB307" s="107">
        <f>IF(A18stdlife="n/a","n/a",IF(BB$3&gt;(A18stdlife+$E307),('PTRM input'!$O$160*(1+rvanilla09)^0.5)-SUM($O307:BA307),('PTRM input'!$O$160*(1+rvanilla09)^0.5)/A18stdlife))</f>
        <v>0</v>
      </c>
      <c r="BC307" s="107">
        <f>IF(A18stdlife="n/a","n/a",IF(BC$3&gt;(A18stdlife+$E307),('PTRM input'!$O$160*(1+rvanilla09)^0.5)-SUM($O307:BB307),('PTRM input'!$O$160*(1+rvanilla09)^0.5)/A18stdlife))</f>
        <v>0</v>
      </c>
      <c r="BD307" s="107">
        <f>IF(A18stdlife="n/a","n/a",IF(BD$3&gt;(A18stdlife+$E307),('PTRM input'!$O$160*(1+rvanilla09)^0.5)-SUM($O307:BC307),('PTRM input'!$O$160*(1+rvanilla09)^0.5)/A18stdlife))</f>
        <v>0</v>
      </c>
      <c r="BE307" s="107">
        <f>IF(A18stdlife="n/a","n/a",IF(BE$3&gt;(A18stdlife+$E307),('PTRM input'!$O$160*(1+rvanilla09)^0.5)-SUM($O307:BD307),('PTRM input'!$O$160*(1+rvanilla09)^0.5)/A18stdlife))</f>
        <v>0</v>
      </c>
      <c r="BF307" s="107">
        <f>IF(A18stdlife="n/a","n/a",IF(BF$3&gt;(A18stdlife+$E307),('PTRM input'!$O$160*(1+rvanilla09)^0.5)-SUM($O307:BE307),('PTRM input'!$O$160*(1+rvanilla09)^0.5)/A18stdlife))</f>
        <v>0</v>
      </c>
      <c r="BG307" s="107">
        <f>IF(A18stdlife="n/a","n/a",IF(BG$3&gt;(A18stdlife+$E307),('PTRM input'!$O$160*(1+rvanilla09)^0.5)-SUM($O307:BF307),('PTRM input'!$O$160*(1+rvanilla09)^0.5)/A18stdlife))</f>
        <v>0</v>
      </c>
      <c r="BH307" s="107">
        <f>IF(A18stdlife="n/a","n/a",IF(BH$3&gt;(A18stdlife+$E307),('PTRM input'!$O$160*(1+rvanilla09)^0.5)-SUM($O307:BG307),('PTRM input'!$O$160*(1+rvanilla09)^0.5)/A18stdlife))</f>
        <v>0</v>
      </c>
      <c r="BI307" s="107">
        <f>IF(A18stdlife="n/a","n/a",IF(BI$3&gt;(A18stdlife+$E307),('PTRM input'!$O$160*(1+rvanilla09)^0.5)-SUM($O307:BH307),('PTRM input'!$O$160*(1+rvanilla09)^0.5)/A18stdlife))</f>
        <v>0</v>
      </c>
      <c r="BJ307" s="237"/>
      <c r="BK307" s="237"/>
      <c r="BL307" s="237"/>
      <c r="BM307" s="237"/>
    </row>
    <row r="308" spans="1:65" s="190" customFormat="1" hidden="1" outlineLevel="2">
      <c r="A308" s="237"/>
      <c r="B308" s="33"/>
      <c r="C308" s="32"/>
      <c r="D308" s="1618"/>
      <c r="E308" s="170">
        <v>10</v>
      </c>
      <c r="F308" s="35"/>
      <c r="G308" s="184"/>
      <c r="H308" s="186"/>
      <c r="I308" s="186"/>
      <c r="J308" s="186"/>
      <c r="K308" s="186"/>
      <c r="L308" s="186"/>
      <c r="M308" s="186"/>
      <c r="N308" s="186"/>
      <c r="O308" s="186"/>
      <c r="P308" s="185"/>
      <c r="Q308" s="107">
        <f>IF(A18stdlife="n/a","n/a",IF(Q$3&gt;(A18stdlife+$E308),('PTRM input'!$P$160*(1+rvanilla10)^0.5)-SUM($P308:P308),('PTRM input'!$P$160*(1+rvanilla10)^0.5)/A18stdlife))</f>
        <v>0</v>
      </c>
      <c r="R308" s="107">
        <f>IF(A18stdlife="n/a","n/a",IF(R$3&gt;(A18stdlife+$E308),('PTRM input'!$P$160*(1+rvanilla10)^0.5)-SUM($P308:Q308),('PTRM input'!$P$160*(1+rvanilla10)^0.5)/A18stdlife))</f>
        <v>0</v>
      </c>
      <c r="S308" s="107">
        <f>IF(A18stdlife="n/a","n/a",IF(S$3&gt;(A18stdlife+$E308),('PTRM input'!$P$160*(1+rvanilla10)^0.5)-SUM($P308:R308),('PTRM input'!$P$160*(1+rvanilla10)^0.5)/A18stdlife))</f>
        <v>0</v>
      </c>
      <c r="T308" s="107">
        <f>IF(A18stdlife="n/a","n/a",IF(T$3&gt;(A18stdlife+$E308),('PTRM input'!$P$160*(1+rvanilla10)^0.5)-SUM($P308:S308),('PTRM input'!$P$160*(1+rvanilla10)^0.5)/A18stdlife))</f>
        <v>0</v>
      </c>
      <c r="U308" s="107">
        <f>IF(A18stdlife="n/a","n/a",IF(U$3&gt;(A18stdlife+$E308),('PTRM input'!$P$160*(1+rvanilla10)^0.5)-SUM($P308:T308),('PTRM input'!$P$160*(1+rvanilla10)^0.5)/A18stdlife))</f>
        <v>0</v>
      </c>
      <c r="V308" s="107">
        <f>IF(A18stdlife="n/a","n/a",IF(V$3&gt;(A18stdlife+$E308),('PTRM input'!$P$160*(1+rvanilla10)^0.5)-SUM($P308:U308),('PTRM input'!$P$160*(1+rvanilla10)^0.5)/A18stdlife))</f>
        <v>0</v>
      </c>
      <c r="W308" s="107">
        <f>IF(A18stdlife="n/a","n/a",IF(W$3&gt;(A18stdlife+$E308),('PTRM input'!$P$160*(1+rvanilla10)^0.5)-SUM($P308:V308),('PTRM input'!$P$160*(1+rvanilla10)^0.5)/A18stdlife))</f>
        <v>0</v>
      </c>
      <c r="X308" s="107">
        <f>IF(A18stdlife="n/a","n/a",IF(X$3&gt;(A18stdlife+$E308),('PTRM input'!$P$160*(1+rvanilla10)^0.5)-SUM($P308:W308),('PTRM input'!$P$160*(1+rvanilla10)^0.5)/A18stdlife))</f>
        <v>0</v>
      </c>
      <c r="Y308" s="107">
        <f>IF(A18stdlife="n/a","n/a",IF(Y$3&gt;(A18stdlife+$E308),('PTRM input'!$P$160*(1+rvanilla10)^0.5)-SUM($P308:X308),('PTRM input'!$P$160*(1+rvanilla10)^0.5)/A18stdlife))</f>
        <v>0</v>
      </c>
      <c r="Z308" s="107">
        <f>IF(A18stdlife="n/a","n/a",IF(Z$3&gt;(A18stdlife+$E308),('PTRM input'!$P$160*(1+rvanilla10)^0.5)-SUM($P308:Y308),('PTRM input'!$P$160*(1+rvanilla10)^0.5)/A18stdlife))</f>
        <v>0</v>
      </c>
      <c r="AA308" s="107">
        <f>IF(A18stdlife="n/a","n/a",IF(AA$3&gt;(A18stdlife+$E308),('PTRM input'!$P$160*(1+rvanilla10)^0.5)-SUM($P308:Z308),('PTRM input'!$P$160*(1+rvanilla10)^0.5)/A18stdlife))</f>
        <v>0</v>
      </c>
      <c r="AB308" s="107">
        <f>IF(A18stdlife="n/a","n/a",IF(AB$3&gt;(A18stdlife+$E308),('PTRM input'!$P$160*(1+rvanilla10)^0.5)-SUM($P308:AA308),('PTRM input'!$P$160*(1+rvanilla10)^0.5)/A18stdlife))</f>
        <v>0</v>
      </c>
      <c r="AC308" s="107">
        <f>IF(A18stdlife="n/a","n/a",IF(AC$3&gt;(A18stdlife+$E308),('PTRM input'!$P$160*(1+rvanilla10)^0.5)-SUM($P308:AB308),('PTRM input'!$P$160*(1+rvanilla10)^0.5)/A18stdlife))</f>
        <v>0</v>
      </c>
      <c r="AD308" s="107">
        <f>IF(A18stdlife="n/a","n/a",IF(AD$3&gt;(A18stdlife+$E308),('PTRM input'!$P$160*(1+rvanilla10)^0.5)-SUM($P308:AC308),('PTRM input'!$P$160*(1+rvanilla10)^0.5)/A18stdlife))</f>
        <v>0</v>
      </c>
      <c r="AE308" s="107">
        <f>IF(A18stdlife="n/a","n/a",IF(AE$3&gt;(A18stdlife+$E308),('PTRM input'!$P$160*(1+rvanilla10)^0.5)-SUM($P308:AD308),('PTRM input'!$P$160*(1+rvanilla10)^0.5)/A18stdlife))</f>
        <v>0</v>
      </c>
      <c r="AF308" s="107">
        <f>IF(A18stdlife="n/a","n/a",IF(AF$3&gt;(A18stdlife+$E308),('PTRM input'!$P$160*(1+rvanilla10)^0.5)-SUM($P308:AE308),('PTRM input'!$P$160*(1+rvanilla10)^0.5)/A18stdlife))</f>
        <v>0</v>
      </c>
      <c r="AG308" s="107">
        <f>IF(A18stdlife="n/a","n/a",IF(AG$3&gt;(A18stdlife+$E308),('PTRM input'!$P$160*(1+rvanilla10)^0.5)-SUM($P308:AF308),('PTRM input'!$P$160*(1+rvanilla10)^0.5)/A18stdlife))</f>
        <v>0</v>
      </c>
      <c r="AH308" s="107">
        <f>IF(A18stdlife="n/a","n/a",IF(AH$3&gt;(A18stdlife+$E308),('PTRM input'!$P$160*(1+rvanilla10)^0.5)-SUM($P308:AG308),('PTRM input'!$P$160*(1+rvanilla10)^0.5)/A18stdlife))</f>
        <v>0</v>
      </c>
      <c r="AI308" s="107">
        <f>IF(A18stdlife="n/a","n/a",IF(AI$3&gt;(A18stdlife+$E308),('PTRM input'!$P$160*(1+rvanilla10)^0.5)-SUM($P308:AH308),('PTRM input'!$P$160*(1+rvanilla10)^0.5)/A18stdlife))</f>
        <v>0</v>
      </c>
      <c r="AJ308" s="107">
        <f>IF(A18stdlife="n/a","n/a",IF(AJ$3&gt;(A18stdlife+$E308),('PTRM input'!$P$160*(1+rvanilla10)^0.5)-SUM($P308:AI308),('PTRM input'!$P$160*(1+rvanilla10)^0.5)/A18stdlife))</f>
        <v>0</v>
      </c>
      <c r="AK308" s="107">
        <f>IF(A18stdlife="n/a","n/a",IF(AK$3&gt;(A18stdlife+$E308),('PTRM input'!$P$160*(1+rvanilla10)^0.5)-SUM($P308:AJ308),('PTRM input'!$P$160*(1+rvanilla10)^0.5)/A18stdlife))</f>
        <v>0</v>
      </c>
      <c r="AL308" s="107">
        <f>IF(A18stdlife="n/a","n/a",IF(AL$3&gt;(A18stdlife+$E308),('PTRM input'!$P$160*(1+rvanilla10)^0.5)-SUM($P308:AK308),('PTRM input'!$P$160*(1+rvanilla10)^0.5)/A18stdlife))</f>
        <v>0</v>
      </c>
      <c r="AM308" s="107">
        <f>IF(A18stdlife="n/a","n/a",IF(AM$3&gt;(A18stdlife+$E308),('PTRM input'!$P$160*(1+rvanilla10)^0.5)-SUM($P308:AL308),('PTRM input'!$P$160*(1+rvanilla10)^0.5)/A18stdlife))</f>
        <v>0</v>
      </c>
      <c r="AN308" s="107">
        <f>IF(A18stdlife="n/a","n/a",IF(AN$3&gt;(A18stdlife+$E308),('PTRM input'!$P$160*(1+rvanilla10)^0.5)-SUM($P308:AM308),('PTRM input'!$P$160*(1+rvanilla10)^0.5)/A18stdlife))</f>
        <v>0</v>
      </c>
      <c r="AO308" s="107">
        <f>IF(A18stdlife="n/a","n/a",IF(AO$3&gt;(A18stdlife+$E308),('PTRM input'!$P$160*(1+rvanilla10)^0.5)-SUM($P308:AN308),('PTRM input'!$P$160*(1+rvanilla10)^0.5)/A18stdlife))</f>
        <v>0</v>
      </c>
      <c r="AP308" s="107">
        <f>IF(A18stdlife="n/a","n/a",IF(AP$3&gt;(A18stdlife+$E308),('PTRM input'!$P$160*(1+rvanilla10)^0.5)-SUM($P308:AO308),('PTRM input'!$P$160*(1+rvanilla10)^0.5)/A18stdlife))</f>
        <v>0</v>
      </c>
      <c r="AQ308" s="107">
        <f>IF(A18stdlife="n/a","n/a",IF(AQ$3&gt;(A18stdlife+$E308),('PTRM input'!$P$160*(1+rvanilla10)^0.5)-SUM($P308:AP308),('PTRM input'!$P$160*(1+rvanilla10)^0.5)/A18stdlife))</f>
        <v>0</v>
      </c>
      <c r="AR308" s="107">
        <f>IF(A18stdlife="n/a","n/a",IF(AR$3&gt;(A18stdlife+$E308),('PTRM input'!$P$160*(1+rvanilla10)^0.5)-SUM($P308:AQ308),('PTRM input'!$P$160*(1+rvanilla10)^0.5)/A18stdlife))</f>
        <v>0</v>
      </c>
      <c r="AS308" s="107">
        <f>IF(A18stdlife="n/a","n/a",IF(AS$3&gt;(A18stdlife+$E308),('PTRM input'!$P$160*(1+rvanilla10)^0.5)-SUM($P308:AR308),('PTRM input'!$P$160*(1+rvanilla10)^0.5)/A18stdlife))</f>
        <v>0</v>
      </c>
      <c r="AT308" s="107">
        <f>IF(A18stdlife="n/a","n/a",IF(AT$3&gt;(A18stdlife+$E308),('PTRM input'!$P$160*(1+rvanilla10)^0.5)-SUM($P308:AS308),('PTRM input'!$P$160*(1+rvanilla10)^0.5)/A18stdlife))</f>
        <v>0</v>
      </c>
      <c r="AU308" s="107">
        <f>IF(A18stdlife="n/a","n/a",IF(AU$3&gt;(A18stdlife+$E308),('PTRM input'!$P$160*(1+rvanilla10)^0.5)-SUM($P308:AT308),('PTRM input'!$P$160*(1+rvanilla10)^0.5)/A18stdlife))</f>
        <v>0</v>
      </c>
      <c r="AV308" s="107">
        <f>IF(A18stdlife="n/a","n/a",IF(AV$3&gt;(A18stdlife+$E308),('PTRM input'!$P$160*(1+rvanilla10)^0.5)-SUM($P308:AU308),('PTRM input'!$P$160*(1+rvanilla10)^0.5)/A18stdlife))</f>
        <v>0</v>
      </c>
      <c r="AW308" s="107">
        <f>IF(A18stdlife="n/a","n/a",IF(AW$3&gt;(A18stdlife+$E308),('PTRM input'!$P$160*(1+rvanilla10)^0.5)-SUM($P308:AV308),('PTRM input'!$P$160*(1+rvanilla10)^0.5)/A18stdlife))</f>
        <v>0</v>
      </c>
      <c r="AX308" s="107">
        <f>IF(A18stdlife="n/a","n/a",IF(AX$3&gt;(A18stdlife+$E308),('PTRM input'!$P$160*(1+rvanilla10)^0.5)-SUM($P308:AW308),('PTRM input'!$P$160*(1+rvanilla10)^0.5)/A18stdlife))</f>
        <v>0</v>
      </c>
      <c r="AY308" s="107">
        <f>IF(A18stdlife="n/a","n/a",IF(AY$3&gt;(A18stdlife+$E308),('PTRM input'!$P$160*(1+rvanilla10)^0.5)-SUM($P308:AX308),('PTRM input'!$P$160*(1+rvanilla10)^0.5)/A18stdlife))</f>
        <v>0</v>
      </c>
      <c r="AZ308" s="107">
        <f>IF(A18stdlife="n/a","n/a",IF(AZ$3&gt;(A18stdlife+$E308),('PTRM input'!$P$160*(1+rvanilla10)^0.5)-SUM($P308:AY308),('PTRM input'!$P$160*(1+rvanilla10)^0.5)/A18stdlife))</f>
        <v>0</v>
      </c>
      <c r="BA308" s="107">
        <f>IF(A18stdlife="n/a","n/a",IF(BA$3&gt;(A18stdlife+$E308),('PTRM input'!$P$160*(1+rvanilla10)^0.5)-SUM($P308:AZ308),('PTRM input'!$P$160*(1+rvanilla10)^0.5)/A18stdlife))</f>
        <v>0</v>
      </c>
      <c r="BB308" s="107">
        <f>IF(A18stdlife="n/a","n/a",IF(BB$3&gt;(A18stdlife+$E308),('PTRM input'!$P$160*(1+rvanilla10)^0.5)-SUM($P308:BA308),('PTRM input'!$P$160*(1+rvanilla10)^0.5)/A18stdlife))</f>
        <v>0</v>
      </c>
      <c r="BC308" s="107">
        <f>IF(A18stdlife="n/a","n/a",IF(BC$3&gt;(A18stdlife+$E308),('PTRM input'!$P$160*(1+rvanilla10)^0.5)-SUM($P308:BB308),('PTRM input'!$P$160*(1+rvanilla10)^0.5)/A18stdlife))</f>
        <v>0</v>
      </c>
      <c r="BD308" s="107">
        <f>IF(A18stdlife="n/a","n/a",IF(BD$3&gt;(A18stdlife+$E308),('PTRM input'!$P$160*(1+rvanilla10)^0.5)-SUM($P308:BC308),('PTRM input'!$P$160*(1+rvanilla10)^0.5)/A18stdlife))</f>
        <v>0</v>
      </c>
      <c r="BE308" s="107">
        <f>IF(A18stdlife="n/a","n/a",IF(BE$3&gt;(A18stdlife+$E308),('PTRM input'!$P$160*(1+rvanilla10)^0.5)-SUM($P308:BD308),('PTRM input'!$P$160*(1+rvanilla10)^0.5)/A18stdlife))</f>
        <v>0</v>
      </c>
      <c r="BF308" s="107">
        <f>IF(A18stdlife="n/a","n/a",IF(BF$3&gt;(A18stdlife+$E308),('PTRM input'!$P$160*(1+rvanilla10)^0.5)-SUM($P308:BE308),('PTRM input'!$P$160*(1+rvanilla10)^0.5)/A18stdlife))</f>
        <v>0</v>
      </c>
      <c r="BG308" s="107">
        <f>IF(A18stdlife="n/a","n/a",IF(BG$3&gt;(A18stdlife+$E308),('PTRM input'!$P$160*(1+rvanilla10)^0.5)-SUM($P308:BF308),('PTRM input'!$P$160*(1+rvanilla10)^0.5)/A18stdlife))</f>
        <v>0</v>
      </c>
      <c r="BH308" s="107">
        <f>IF(A18stdlife="n/a","n/a",IF(BH$3&gt;(A18stdlife+$E308),('PTRM input'!$P$160*(1+rvanilla10)^0.5)-SUM($P308:BG308),('PTRM input'!$P$160*(1+rvanilla10)^0.5)/A18stdlife))</f>
        <v>0</v>
      </c>
      <c r="BI308" s="107">
        <f>IF(A18stdlife="n/a","n/a",IF(BI$3&gt;(A18stdlife+$E308),('PTRM input'!$P$160*(1+rvanilla10)^0.5)-SUM($P308:BH308),('PTRM input'!$P$160*(1+rvanilla10)^0.5)/A18stdlife))</f>
        <v>0</v>
      </c>
      <c r="BJ308" s="237"/>
      <c r="BK308" s="237"/>
      <c r="BL308" s="237"/>
      <c r="BM308" s="237"/>
    </row>
    <row r="309" spans="1:65" s="190" customFormat="1" hidden="1" outlineLevel="1">
      <c r="A309" s="237"/>
      <c r="B309" s="18"/>
      <c r="C309" s="33">
        <f>Asset18</f>
        <v>0</v>
      </c>
      <c r="D309" s="18"/>
      <c r="E309" s="18"/>
      <c r="F309" s="31"/>
      <c r="G309" s="104">
        <f t="shared" ref="G309:AL309" si="71">SUM(G297:G308)</f>
        <v>0</v>
      </c>
      <c r="H309" s="104">
        <f t="shared" si="71"/>
        <v>0</v>
      </c>
      <c r="I309" s="104">
        <f t="shared" si="71"/>
        <v>0</v>
      </c>
      <c r="J309" s="104">
        <f t="shared" si="71"/>
        <v>0</v>
      </c>
      <c r="K309" s="104">
        <f t="shared" si="71"/>
        <v>0</v>
      </c>
      <c r="L309" s="104">
        <f t="shared" si="71"/>
        <v>0</v>
      </c>
      <c r="M309" s="104">
        <f t="shared" si="71"/>
        <v>0</v>
      </c>
      <c r="N309" s="104">
        <f t="shared" si="71"/>
        <v>0</v>
      </c>
      <c r="O309" s="104">
        <f t="shared" si="71"/>
        <v>0</v>
      </c>
      <c r="P309" s="104">
        <f t="shared" si="71"/>
        <v>0</v>
      </c>
      <c r="Q309" s="104">
        <f t="shared" si="71"/>
        <v>0</v>
      </c>
      <c r="R309" s="104">
        <f t="shared" si="71"/>
        <v>0</v>
      </c>
      <c r="S309" s="104">
        <f t="shared" si="71"/>
        <v>0</v>
      </c>
      <c r="T309" s="104">
        <f t="shared" si="71"/>
        <v>0</v>
      </c>
      <c r="U309" s="104">
        <f t="shared" si="71"/>
        <v>0</v>
      </c>
      <c r="V309" s="104">
        <f t="shared" si="71"/>
        <v>0</v>
      </c>
      <c r="W309" s="104">
        <f t="shared" si="71"/>
        <v>0</v>
      </c>
      <c r="X309" s="104">
        <f t="shared" si="71"/>
        <v>0</v>
      </c>
      <c r="Y309" s="104">
        <f t="shared" si="71"/>
        <v>0</v>
      </c>
      <c r="Z309" s="104">
        <f t="shared" si="71"/>
        <v>0</v>
      </c>
      <c r="AA309" s="104">
        <f t="shared" si="71"/>
        <v>0</v>
      </c>
      <c r="AB309" s="104">
        <f t="shared" si="71"/>
        <v>0</v>
      </c>
      <c r="AC309" s="104">
        <f t="shared" si="71"/>
        <v>0</v>
      </c>
      <c r="AD309" s="104">
        <f t="shared" si="71"/>
        <v>0</v>
      </c>
      <c r="AE309" s="104">
        <f t="shared" si="71"/>
        <v>0</v>
      </c>
      <c r="AF309" s="104">
        <f t="shared" si="71"/>
        <v>0</v>
      </c>
      <c r="AG309" s="104">
        <f t="shared" si="71"/>
        <v>0</v>
      </c>
      <c r="AH309" s="104">
        <f t="shared" si="71"/>
        <v>0</v>
      </c>
      <c r="AI309" s="104">
        <f t="shared" si="71"/>
        <v>0</v>
      </c>
      <c r="AJ309" s="104">
        <f t="shared" si="71"/>
        <v>0</v>
      </c>
      <c r="AK309" s="104">
        <f t="shared" si="71"/>
        <v>0</v>
      </c>
      <c r="AL309" s="104">
        <f t="shared" si="71"/>
        <v>0</v>
      </c>
      <c r="AM309" s="104">
        <f t="shared" ref="AM309:BI309" si="72">SUM(AM297:AM308)</f>
        <v>0</v>
      </c>
      <c r="AN309" s="104">
        <f t="shared" si="72"/>
        <v>0</v>
      </c>
      <c r="AO309" s="104">
        <f t="shared" si="72"/>
        <v>0</v>
      </c>
      <c r="AP309" s="104">
        <f t="shared" si="72"/>
        <v>0</v>
      </c>
      <c r="AQ309" s="104">
        <f t="shared" si="72"/>
        <v>0</v>
      </c>
      <c r="AR309" s="104">
        <f t="shared" si="72"/>
        <v>0</v>
      </c>
      <c r="AS309" s="104">
        <f t="shared" si="72"/>
        <v>0</v>
      </c>
      <c r="AT309" s="104">
        <f t="shared" si="72"/>
        <v>0</v>
      </c>
      <c r="AU309" s="104">
        <f t="shared" si="72"/>
        <v>0</v>
      </c>
      <c r="AV309" s="104">
        <f t="shared" si="72"/>
        <v>0</v>
      </c>
      <c r="AW309" s="104">
        <f t="shared" si="72"/>
        <v>0</v>
      </c>
      <c r="AX309" s="104">
        <f t="shared" si="72"/>
        <v>0</v>
      </c>
      <c r="AY309" s="104">
        <f t="shared" si="72"/>
        <v>0</v>
      </c>
      <c r="AZ309" s="104">
        <f t="shared" si="72"/>
        <v>0</v>
      </c>
      <c r="BA309" s="104">
        <f t="shared" si="72"/>
        <v>0</v>
      </c>
      <c r="BB309" s="104">
        <f t="shared" si="72"/>
        <v>0</v>
      </c>
      <c r="BC309" s="104">
        <f t="shared" si="72"/>
        <v>0</v>
      </c>
      <c r="BD309" s="104">
        <f t="shared" si="72"/>
        <v>0</v>
      </c>
      <c r="BE309" s="104">
        <f t="shared" si="72"/>
        <v>0</v>
      </c>
      <c r="BF309" s="104">
        <f t="shared" si="72"/>
        <v>0</v>
      </c>
      <c r="BG309" s="104">
        <f t="shared" si="72"/>
        <v>0</v>
      </c>
      <c r="BH309" s="104">
        <f t="shared" si="72"/>
        <v>0</v>
      </c>
      <c r="BI309" s="104">
        <f t="shared" si="72"/>
        <v>0</v>
      </c>
      <c r="BJ309" s="237"/>
      <c r="BK309" s="237"/>
      <c r="BL309" s="237"/>
      <c r="BM309" s="237"/>
    </row>
    <row r="310" spans="1:65" s="190" customFormat="1" ht="12.75" hidden="1" customHeight="1" outlineLevel="2">
      <c r="A310" s="237"/>
      <c r="B310" s="37">
        <f>C322</f>
        <v>0</v>
      </c>
      <c r="C310" s="38"/>
      <c r="D310" s="39" t="s">
        <v>58</v>
      </c>
      <c r="E310" s="38"/>
      <c r="F310" s="40"/>
      <c r="G310" s="106">
        <f>IF(G$3&gt;A19remlife,A19value-SUM($F310:F310),IF(A19remlife="N/A","n/a",A19value/A19remlife))</f>
        <v>0</v>
      </c>
      <c r="H310" s="106">
        <f>IF(H$3&gt;A19remlife,A19value-SUM($F310:G310),IF(A19remlife="N/A","n/a",A19value/A19remlife))</f>
        <v>0</v>
      </c>
      <c r="I310" s="106">
        <f>IF(I$3&gt;A19remlife,A19value-SUM($F310:H310),IF(A19remlife="N/A","n/a",A19value/A19remlife))</f>
        <v>0</v>
      </c>
      <c r="J310" s="106">
        <f>IF(J$3&gt;A19remlife,A19value-SUM($F310:I310),IF(A19remlife="N/A","n/a",A19value/A19remlife))</f>
        <v>0</v>
      </c>
      <c r="K310" s="106">
        <f>IF(K$3&gt;A19remlife,A19value-SUM($F310:J310),IF(A19remlife="N/A","n/a",A19value/A19remlife))</f>
        <v>0</v>
      </c>
      <c r="L310" s="106">
        <f>IF(L$3&gt;A19remlife,A19value-SUM($F310:K310),IF(A19remlife="N/A","n/a",A19value/A19remlife))</f>
        <v>0</v>
      </c>
      <c r="M310" s="106">
        <f>IF(M$3&gt;A19remlife,A19value-SUM($F310:L310),IF(A19remlife="N/A","n/a",A19value/A19remlife))</f>
        <v>0</v>
      </c>
      <c r="N310" s="106">
        <f>IF(N$3&gt;A19remlife,A19value-SUM($F310:M310),IF(A19remlife="N/A","n/a",A19value/A19remlife))</f>
        <v>0</v>
      </c>
      <c r="O310" s="106">
        <f>IF(O$3&gt;A19remlife,A19value-SUM($F310:N310),IF(A19remlife="N/A","n/a",A19value/A19remlife))</f>
        <v>0</v>
      </c>
      <c r="P310" s="106">
        <f>IF(P$3&gt;A19remlife,A19value-SUM($F310:O310),IF(A19remlife="N/A","n/a",A19value/A19remlife))</f>
        <v>0</v>
      </c>
      <c r="Q310" s="106">
        <f>IF(Q$3&gt;A19remlife,A19value-SUM($F310:P310),IF(A19remlife="N/A","n/a",A19value/A19remlife))</f>
        <v>0</v>
      </c>
      <c r="R310" s="106">
        <f>IF(R$3&gt;A19remlife,A19value-SUM($F310:Q310),IF(A19remlife="N/A","n/a",A19value/A19remlife))</f>
        <v>0</v>
      </c>
      <c r="S310" s="106">
        <f>IF(S$3&gt;A19remlife,A19value-SUM($F310:R310),IF(A19remlife="N/A","n/a",A19value/A19remlife))</f>
        <v>0</v>
      </c>
      <c r="T310" s="106">
        <f>IF(T$3&gt;A19remlife,A19value-SUM($F310:S310),IF(A19remlife="N/A","n/a",A19value/A19remlife))</f>
        <v>0</v>
      </c>
      <c r="U310" s="106">
        <f>IF(U$3&gt;A19remlife,A19value-SUM($F310:T310),IF(A19remlife="N/A","n/a",A19value/A19remlife))</f>
        <v>0</v>
      </c>
      <c r="V310" s="106">
        <f>IF(V$3&gt;A19remlife,A19value-SUM($F310:U310),IF(A19remlife="N/A","n/a",A19value/A19remlife))</f>
        <v>0</v>
      </c>
      <c r="W310" s="106">
        <f>IF(W$3&gt;A19remlife,A19value-SUM($F310:V310),IF(A19remlife="N/A","n/a",A19value/A19remlife))</f>
        <v>0</v>
      </c>
      <c r="X310" s="106">
        <f>IF(X$3&gt;A19remlife,A19value-SUM($F310:W310),IF(A19remlife="N/A","n/a",A19value/A19remlife))</f>
        <v>0</v>
      </c>
      <c r="Y310" s="106">
        <f>IF(Y$3&gt;A19remlife,A19value-SUM($F310:X310),IF(A19remlife="N/A","n/a",A19value/A19remlife))</f>
        <v>0</v>
      </c>
      <c r="Z310" s="106">
        <f>IF(Z$3&gt;A19remlife,A19value-SUM($F310:Y310),IF(A19remlife="N/A","n/a",A19value/A19remlife))</f>
        <v>0</v>
      </c>
      <c r="AA310" s="106">
        <f>IF(AA$3&gt;A19remlife,A19value-SUM($F310:Z310),IF(A19remlife="N/A","n/a",A19value/A19remlife))</f>
        <v>0</v>
      </c>
      <c r="AB310" s="106">
        <f>IF(AB$3&gt;A19remlife,A19value-SUM($F310:AA310),IF(A19remlife="N/A","n/a",A19value/A19remlife))</f>
        <v>0</v>
      </c>
      <c r="AC310" s="106">
        <f>IF(AC$3&gt;A19remlife,A19value-SUM($F310:AB310),IF(A19remlife="N/A","n/a",A19value/A19remlife))</f>
        <v>0</v>
      </c>
      <c r="AD310" s="106">
        <f>IF(AD$3&gt;A19remlife,A19value-SUM($F310:AC310),IF(A19remlife="N/A","n/a",A19value/A19remlife))</f>
        <v>0</v>
      </c>
      <c r="AE310" s="106">
        <f>IF(AE$3&gt;A19remlife,A19value-SUM($F310:AD310),IF(A19remlife="N/A","n/a",A19value/A19remlife))</f>
        <v>0</v>
      </c>
      <c r="AF310" s="106">
        <f>IF(AF$3&gt;A19remlife,A19value-SUM($F310:AE310),IF(A19remlife="N/A","n/a",A19value/A19remlife))</f>
        <v>0</v>
      </c>
      <c r="AG310" s="106">
        <f>IF(AG$3&gt;A19remlife,A19value-SUM($F310:AF310),IF(A19remlife="N/A","n/a",A19value/A19remlife))</f>
        <v>0</v>
      </c>
      <c r="AH310" s="106">
        <f>IF(AH$3&gt;A19remlife,A19value-SUM($F310:AG310),IF(A19remlife="N/A","n/a",A19value/A19remlife))</f>
        <v>0</v>
      </c>
      <c r="AI310" s="106">
        <f>IF(AI$3&gt;A19remlife,A19value-SUM($F310:AH310),IF(A19remlife="N/A","n/a",A19value/A19remlife))</f>
        <v>0</v>
      </c>
      <c r="AJ310" s="106">
        <f>IF(AJ$3&gt;A19remlife,A19value-SUM($F310:AI310),IF(A19remlife="N/A","n/a",A19value/A19remlife))</f>
        <v>0</v>
      </c>
      <c r="AK310" s="106">
        <f>IF(AK$3&gt;A19remlife,A19value-SUM($F310:AJ310),IF(A19remlife="N/A","n/a",A19value/A19remlife))</f>
        <v>0</v>
      </c>
      <c r="AL310" s="106">
        <f>IF(AL$3&gt;A19remlife,A19value-SUM($F310:AK310),IF(A19remlife="N/A","n/a",A19value/A19remlife))</f>
        <v>0</v>
      </c>
      <c r="AM310" s="106">
        <f>IF(AM$3&gt;A19remlife,A19value-SUM($F310:AL310),IF(A19remlife="N/A","n/a",A19value/A19remlife))</f>
        <v>0</v>
      </c>
      <c r="AN310" s="106">
        <f>IF(AN$3&gt;A19remlife,A19value-SUM($F310:AM310),IF(A19remlife="N/A","n/a",A19value/A19remlife))</f>
        <v>0</v>
      </c>
      <c r="AO310" s="106">
        <f>IF(AO$3&gt;A19remlife,A19value-SUM($F310:AN310),IF(A19remlife="N/A","n/a",A19value/A19remlife))</f>
        <v>0</v>
      </c>
      <c r="AP310" s="106">
        <f>IF(AP$3&gt;A19remlife,A19value-SUM($F310:AO310),IF(A19remlife="N/A","n/a",A19value/A19remlife))</f>
        <v>0</v>
      </c>
      <c r="AQ310" s="106">
        <f>IF(AQ$3&gt;A19remlife,A19value-SUM($F310:AP310),IF(A19remlife="N/A","n/a",A19value/A19remlife))</f>
        <v>0</v>
      </c>
      <c r="AR310" s="106">
        <f>IF(AR$3&gt;A19remlife,A19value-SUM($F310:AQ310),IF(A19remlife="N/A","n/a",A19value/A19remlife))</f>
        <v>0</v>
      </c>
      <c r="AS310" s="106">
        <f>IF(AS$3&gt;A19remlife,A19value-SUM($F310:AR310),IF(A19remlife="N/A","n/a",A19value/A19remlife))</f>
        <v>0</v>
      </c>
      <c r="AT310" s="106">
        <f>IF(AT$3&gt;A19remlife,A19value-SUM($F310:AS310),IF(A19remlife="N/A","n/a",A19value/A19remlife))</f>
        <v>0</v>
      </c>
      <c r="AU310" s="106">
        <f>IF(AU$3&gt;A19remlife,A19value-SUM($F310:AT310),IF(A19remlife="N/A","n/a",A19value/A19remlife))</f>
        <v>0</v>
      </c>
      <c r="AV310" s="106">
        <f>IF(AV$3&gt;A19remlife,A19value-SUM($F310:AU310),IF(A19remlife="N/A","n/a",A19value/A19remlife))</f>
        <v>0</v>
      </c>
      <c r="AW310" s="106">
        <f>IF(AW$3&gt;A19remlife,A19value-SUM($F310:AV310),IF(A19remlife="N/A","n/a",A19value/A19remlife))</f>
        <v>0</v>
      </c>
      <c r="AX310" s="106">
        <f>IF(AX$3&gt;A19remlife,A19value-SUM($F310:AW310),IF(A19remlife="N/A","n/a",A19value/A19remlife))</f>
        <v>0</v>
      </c>
      <c r="AY310" s="106">
        <f>IF(AY$3&gt;A19remlife,A19value-SUM($F310:AX310),IF(A19remlife="N/A","n/a",A19value/A19remlife))</f>
        <v>0</v>
      </c>
      <c r="AZ310" s="106">
        <f>IF(AZ$3&gt;A19remlife,A19value-SUM($F310:AY310),IF(A19remlife="N/A","n/a",A19value/A19remlife))</f>
        <v>0</v>
      </c>
      <c r="BA310" s="106">
        <f>IF(BA$3&gt;A19remlife,A19value-SUM($F310:AZ310),IF(A19remlife="N/A","n/a",A19value/A19remlife))</f>
        <v>0</v>
      </c>
      <c r="BB310" s="106">
        <f>IF(BB$3&gt;A19remlife,A19value-SUM($F310:BA310),IF(A19remlife="N/A","n/a",A19value/A19remlife))</f>
        <v>0</v>
      </c>
      <c r="BC310" s="106">
        <f>IF(BC$3&gt;A19remlife,A19value-SUM($F310:BB310),IF(A19remlife="N/A","n/a",A19value/A19remlife))</f>
        <v>0</v>
      </c>
      <c r="BD310" s="106">
        <f>IF(BD$3&gt;A19remlife,A19value-SUM($F310:BC310),IF(A19remlife="N/A","n/a",A19value/A19remlife))</f>
        <v>0</v>
      </c>
      <c r="BE310" s="106">
        <f>IF(BE$3&gt;A19remlife,A19value-SUM($F310:BD310),IF(A19remlife="N/A","n/a",A19value/A19remlife))</f>
        <v>0</v>
      </c>
      <c r="BF310" s="106">
        <f>IF(BF$3&gt;A19remlife,A19value-SUM($F310:BE310),IF(A19remlife="N/A","n/a",A19value/A19remlife))</f>
        <v>0</v>
      </c>
      <c r="BG310" s="106">
        <f>IF(BG$3&gt;A19remlife,A19value-SUM($F310:BF310),IF(A19remlife="N/A","n/a",A19value/A19remlife))</f>
        <v>0</v>
      </c>
      <c r="BH310" s="106">
        <f>IF(BH$3&gt;A19remlife,A19value-SUM($F310:BG310),IF(A19remlife="N/A","n/a",A19value/A19remlife))</f>
        <v>0</v>
      </c>
      <c r="BI310" s="106">
        <f>IF(BI$3&gt;A19remlife,A19value-SUM($F310:BH310),IF(A19remlife="N/A","n/a",A19value/A19remlife))</f>
        <v>0</v>
      </c>
      <c r="BJ310" s="237"/>
      <c r="BK310" s="237"/>
      <c r="BL310" s="237"/>
      <c r="BM310" s="237"/>
    </row>
    <row r="311" spans="1:65" s="190" customFormat="1" ht="12.75" hidden="1" customHeight="1" outlineLevel="2">
      <c r="A311" s="237"/>
      <c r="B311" s="33"/>
      <c r="C311" s="32"/>
      <c r="D311" s="1618" t="s">
        <v>357</v>
      </c>
      <c r="E311" s="169">
        <v>0</v>
      </c>
      <c r="F311" s="35"/>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107"/>
      <c r="BJ311" s="237"/>
      <c r="BK311" s="237"/>
      <c r="BL311" s="237"/>
      <c r="BM311" s="237"/>
    </row>
    <row r="312" spans="1:65" s="190" customFormat="1" hidden="1" outlineLevel="2">
      <c r="A312" s="237"/>
      <c r="B312" s="33"/>
      <c r="C312" s="32"/>
      <c r="D312" s="1618"/>
      <c r="E312" s="169">
        <v>1</v>
      </c>
      <c r="F312" s="35"/>
      <c r="G312" s="183"/>
      <c r="H312" s="107">
        <f>IF(A19stdlife="n/a","n/a",IF(H$3&gt;(A19stdlife+$E312),('PTRM input'!$G$161*(1+rvanilla01)^0.5)-SUM($G312:G312),('PTRM input'!$G$161*(1+rvanilla01)^0.5)/A19stdlife))</f>
        <v>0</v>
      </c>
      <c r="I312" s="107">
        <f>IF(A19stdlife="n/a","n/a",IF(I$3&gt;(A19stdlife+$E312),('PTRM input'!$G$161*(1+rvanilla01)^0.5)-SUM($G312:H312),('PTRM input'!$G$161*(1+rvanilla01)^0.5)/A19stdlife))</f>
        <v>0</v>
      </c>
      <c r="J312" s="107">
        <f>IF(A19stdlife="n/a","n/a",IF(J$3&gt;(A19stdlife+$E312),('PTRM input'!$G$161*(1+rvanilla01)^0.5)-SUM($G312:I312),('PTRM input'!$G$161*(1+rvanilla01)^0.5)/A19stdlife))</f>
        <v>0</v>
      </c>
      <c r="K312" s="107">
        <f>IF(A19stdlife="n/a","n/a",IF(K$3&gt;(A19stdlife+$E312),('PTRM input'!$G$161*(1+rvanilla01)^0.5)-SUM($G312:J312),('PTRM input'!$G$161*(1+rvanilla01)^0.5)/A19stdlife))</f>
        <v>0</v>
      </c>
      <c r="L312" s="107">
        <f>IF(A19stdlife="n/a","n/a",IF(L$3&gt;(A19stdlife+$E312),('PTRM input'!$G$161*(1+rvanilla01)^0.5)-SUM($G312:K312),('PTRM input'!$G$161*(1+rvanilla01)^0.5)/A19stdlife))</f>
        <v>0</v>
      </c>
      <c r="M312" s="107">
        <f>IF(A19stdlife="n/a","n/a",IF(M$3&gt;(A19stdlife+$E312),('PTRM input'!$G$161*(1+rvanilla01)^0.5)-SUM($G312:L312),('PTRM input'!$G$161*(1+rvanilla01)^0.5)/A19stdlife))</f>
        <v>0</v>
      </c>
      <c r="N312" s="107">
        <f>IF(A19stdlife="n/a","n/a",IF(N$3&gt;(A19stdlife+$E312),('PTRM input'!$G$161*(1+rvanilla01)^0.5)-SUM($G312:M312),('PTRM input'!$G$161*(1+rvanilla01)^0.5)/A19stdlife))</f>
        <v>0</v>
      </c>
      <c r="O312" s="107">
        <f>IF(A19stdlife="n/a","n/a",IF(O$3&gt;(A19stdlife+$E312),('PTRM input'!$G$161*(1+rvanilla01)^0.5)-SUM($G312:N312),('PTRM input'!$G$161*(1+rvanilla01)^0.5)/A19stdlife))</f>
        <v>0</v>
      </c>
      <c r="P312" s="107">
        <f>IF(A19stdlife="n/a","n/a",IF(P$3&gt;(A19stdlife+$E312),('PTRM input'!$G$161*(1+rvanilla01)^0.5)-SUM($G312:O312),('PTRM input'!$G$161*(1+rvanilla01)^0.5)/A19stdlife))</f>
        <v>0</v>
      </c>
      <c r="Q312" s="107">
        <f>IF(A19stdlife="n/a","n/a",IF(Q$3&gt;(A19stdlife+$E312),('PTRM input'!$G$161*(1+rvanilla01)^0.5)-SUM($G312:P312),('PTRM input'!$G$161*(1+rvanilla01)^0.5)/A19stdlife))</f>
        <v>0</v>
      </c>
      <c r="R312" s="107">
        <f>IF(A19stdlife="n/a","n/a",IF(R$3&gt;(A19stdlife+$E312),('PTRM input'!$G$161*(1+rvanilla01)^0.5)-SUM($G312:Q312),('PTRM input'!$G$161*(1+rvanilla01)^0.5)/A19stdlife))</f>
        <v>0</v>
      </c>
      <c r="S312" s="107">
        <f>IF(A19stdlife="n/a","n/a",IF(S$3&gt;(A19stdlife+$E312),('PTRM input'!$G$161*(1+rvanilla01)^0.5)-SUM($G312:R312),('PTRM input'!$G$161*(1+rvanilla01)^0.5)/A19stdlife))</f>
        <v>0</v>
      </c>
      <c r="T312" s="107">
        <f>IF(A19stdlife="n/a","n/a",IF(T$3&gt;(A19stdlife+$E312),('PTRM input'!$G$161*(1+rvanilla01)^0.5)-SUM($G312:S312),('PTRM input'!$G$161*(1+rvanilla01)^0.5)/A19stdlife))</f>
        <v>0</v>
      </c>
      <c r="U312" s="107">
        <f>IF(A19stdlife="n/a","n/a",IF(U$3&gt;(A19stdlife+$E312),('PTRM input'!$G$161*(1+rvanilla01)^0.5)-SUM($G312:T312),('PTRM input'!$G$161*(1+rvanilla01)^0.5)/A19stdlife))</f>
        <v>0</v>
      </c>
      <c r="V312" s="107">
        <f>IF(A19stdlife="n/a","n/a",IF(V$3&gt;(A19stdlife+$E312),('PTRM input'!$G$161*(1+rvanilla01)^0.5)-SUM($G312:U312),('PTRM input'!$G$161*(1+rvanilla01)^0.5)/A19stdlife))</f>
        <v>0</v>
      </c>
      <c r="W312" s="107">
        <f>IF(A19stdlife="n/a","n/a",IF(W$3&gt;(A19stdlife+$E312),('PTRM input'!$G$161*(1+rvanilla01)^0.5)-SUM($G312:V312),('PTRM input'!$G$161*(1+rvanilla01)^0.5)/A19stdlife))</f>
        <v>0</v>
      </c>
      <c r="X312" s="107">
        <f>IF(A19stdlife="n/a","n/a",IF(X$3&gt;(A19stdlife+$E312),('PTRM input'!$G$161*(1+rvanilla01)^0.5)-SUM($G312:W312),('PTRM input'!$G$161*(1+rvanilla01)^0.5)/A19stdlife))</f>
        <v>0</v>
      </c>
      <c r="Y312" s="107">
        <f>IF(A19stdlife="n/a","n/a",IF(Y$3&gt;(A19stdlife+$E312),('PTRM input'!$G$161*(1+rvanilla01)^0.5)-SUM($G312:X312),('PTRM input'!$G$161*(1+rvanilla01)^0.5)/A19stdlife))</f>
        <v>0</v>
      </c>
      <c r="Z312" s="107">
        <f>IF(A19stdlife="n/a","n/a",IF(Z$3&gt;(A19stdlife+$E312),('PTRM input'!$G$161*(1+rvanilla01)^0.5)-SUM($G312:Y312),('PTRM input'!$G$161*(1+rvanilla01)^0.5)/A19stdlife))</f>
        <v>0</v>
      </c>
      <c r="AA312" s="107">
        <f>IF(A19stdlife="n/a","n/a",IF(AA$3&gt;(A19stdlife+$E312),('PTRM input'!$G$161*(1+rvanilla01)^0.5)-SUM($G312:Z312),('PTRM input'!$G$161*(1+rvanilla01)^0.5)/A19stdlife))</f>
        <v>0</v>
      </c>
      <c r="AB312" s="107">
        <f>IF(A19stdlife="n/a","n/a",IF(AB$3&gt;(A19stdlife+$E312),('PTRM input'!$G$161*(1+rvanilla01)^0.5)-SUM($G312:AA312),('PTRM input'!$G$161*(1+rvanilla01)^0.5)/A19stdlife))</f>
        <v>0</v>
      </c>
      <c r="AC312" s="107">
        <f>IF(A19stdlife="n/a","n/a",IF(AC$3&gt;(A19stdlife+$E312),('PTRM input'!$G$161*(1+rvanilla01)^0.5)-SUM($G312:AB312),('PTRM input'!$G$161*(1+rvanilla01)^0.5)/A19stdlife))</f>
        <v>0</v>
      </c>
      <c r="AD312" s="107">
        <f>IF(A19stdlife="n/a","n/a",IF(AD$3&gt;(A19stdlife+$E312),('PTRM input'!$G$161*(1+rvanilla01)^0.5)-SUM($G312:AC312),('PTRM input'!$G$161*(1+rvanilla01)^0.5)/A19stdlife))</f>
        <v>0</v>
      </c>
      <c r="AE312" s="107">
        <f>IF(A19stdlife="n/a","n/a",IF(AE$3&gt;(A19stdlife+$E312),('PTRM input'!$G$161*(1+rvanilla01)^0.5)-SUM($G312:AD312),('PTRM input'!$G$161*(1+rvanilla01)^0.5)/A19stdlife))</f>
        <v>0</v>
      </c>
      <c r="AF312" s="107">
        <f>IF(A19stdlife="n/a","n/a",IF(AF$3&gt;(A19stdlife+$E312),('PTRM input'!$G$161*(1+rvanilla01)^0.5)-SUM($G312:AE312),('PTRM input'!$G$161*(1+rvanilla01)^0.5)/A19stdlife))</f>
        <v>0</v>
      </c>
      <c r="AG312" s="107">
        <f>IF(A19stdlife="n/a","n/a",IF(AG$3&gt;(A19stdlife+$E312),('PTRM input'!$G$161*(1+rvanilla01)^0.5)-SUM($G312:AF312),('PTRM input'!$G$161*(1+rvanilla01)^0.5)/A19stdlife))</f>
        <v>0</v>
      </c>
      <c r="AH312" s="107">
        <f>IF(A19stdlife="n/a","n/a",IF(AH$3&gt;(A19stdlife+$E312),('PTRM input'!$G$161*(1+rvanilla01)^0.5)-SUM($G312:AG312),('PTRM input'!$G$161*(1+rvanilla01)^0.5)/A19stdlife))</f>
        <v>0</v>
      </c>
      <c r="AI312" s="107">
        <f>IF(A19stdlife="n/a","n/a",IF(AI$3&gt;(A19stdlife+$E312),('PTRM input'!$G$161*(1+rvanilla01)^0.5)-SUM($G312:AH312),('PTRM input'!$G$161*(1+rvanilla01)^0.5)/A19stdlife))</f>
        <v>0</v>
      </c>
      <c r="AJ312" s="107">
        <f>IF(A19stdlife="n/a","n/a",IF(AJ$3&gt;(A19stdlife+$E312),('PTRM input'!$G$161*(1+rvanilla01)^0.5)-SUM($G312:AI312),('PTRM input'!$G$161*(1+rvanilla01)^0.5)/A19stdlife))</f>
        <v>0</v>
      </c>
      <c r="AK312" s="107">
        <f>IF(A19stdlife="n/a","n/a",IF(AK$3&gt;(A19stdlife+$E312),('PTRM input'!$G$161*(1+rvanilla01)^0.5)-SUM($G312:AJ312),('PTRM input'!$G$161*(1+rvanilla01)^0.5)/A19stdlife))</f>
        <v>0</v>
      </c>
      <c r="AL312" s="107">
        <f>IF(A19stdlife="n/a","n/a",IF(AL$3&gt;(A19stdlife+$E312),('PTRM input'!$G$161*(1+rvanilla01)^0.5)-SUM($G312:AK312),('PTRM input'!$G$161*(1+rvanilla01)^0.5)/A19stdlife))</f>
        <v>0</v>
      </c>
      <c r="AM312" s="107">
        <f>IF(A19stdlife="n/a","n/a",IF(AM$3&gt;(A19stdlife+$E312),('PTRM input'!$G$161*(1+rvanilla01)^0.5)-SUM($G312:AL312),('PTRM input'!$G$161*(1+rvanilla01)^0.5)/A19stdlife))</f>
        <v>0</v>
      </c>
      <c r="AN312" s="107">
        <f>IF(A19stdlife="n/a","n/a",IF(AN$3&gt;(A19stdlife+$E312),('PTRM input'!$G$161*(1+rvanilla01)^0.5)-SUM($G312:AM312),('PTRM input'!$G$161*(1+rvanilla01)^0.5)/A19stdlife))</f>
        <v>0</v>
      </c>
      <c r="AO312" s="107">
        <f>IF(A19stdlife="n/a","n/a",IF(AO$3&gt;(A19stdlife+$E312),('PTRM input'!$G$161*(1+rvanilla01)^0.5)-SUM($G312:AN312),('PTRM input'!$G$161*(1+rvanilla01)^0.5)/A19stdlife))</f>
        <v>0</v>
      </c>
      <c r="AP312" s="107">
        <f>IF(A19stdlife="n/a","n/a",IF(AP$3&gt;(A19stdlife+$E312),('PTRM input'!$G$161*(1+rvanilla01)^0.5)-SUM($G312:AO312),('PTRM input'!$G$161*(1+rvanilla01)^0.5)/A19stdlife))</f>
        <v>0</v>
      </c>
      <c r="AQ312" s="107">
        <f>IF(A19stdlife="n/a","n/a",IF(AQ$3&gt;(A19stdlife+$E312),('PTRM input'!$G$161*(1+rvanilla01)^0.5)-SUM($G312:AP312),('PTRM input'!$G$161*(1+rvanilla01)^0.5)/A19stdlife))</f>
        <v>0</v>
      </c>
      <c r="AR312" s="107">
        <f>IF(A19stdlife="n/a","n/a",IF(AR$3&gt;(A19stdlife+$E312),('PTRM input'!$G$161*(1+rvanilla01)^0.5)-SUM($G312:AQ312),('PTRM input'!$G$161*(1+rvanilla01)^0.5)/A19stdlife))</f>
        <v>0</v>
      </c>
      <c r="AS312" s="107">
        <f>IF(A19stdlife="n/a","n/a",IF(AS$3&gt;(A19stdlife+$E312),('PTRM input'!$G$161*(1+rvanilla01)^0.5)-SUM($G312:AR312),('PTRM input'!$G$161*(1+rvanilla01)^0.5)/A19stdlife))</f>
        <v>0</v>
      </c>
      <c r="AT312" s="107">
        <f>IF(A19stdlife="n/a","n/a",IF(AT$3&gt;(A19stdlife+$E312),('PTRM input'!$G$161*(1+rvanilla01)^0.5)-SUM($G312:AS312),('PTRM input'!$G$161*(1+rvanilla01)^0.5)/A19stdlife))</f>
        <v>0</v>
      </c>
      <c r="AU312" s="107">
        <f>IF(A19stdlife="n/a","n/a",IF(AU$3&gt;(A19stdlife+$E312),('PTRM input'!$G$161*(1+rvanilla01)^0.5)-SUM($G312:AT312),('PTRM input'!$G$161*(1+rvanilla01)^0.5)/A19stdlife))</f>
        <v>0</v>
      </c>
      <c r="AV312" s="107">
        <f>IF(A19stdlife="n/a","n/a",IF(AV$3&gt;(A19stdlife+$E312),('PTRM input'!$G$161*(1+rvanilla01)^0.5)-SUM($G312:AU312),('PTRM input'!$G$161*(1+rvanilla01)^0.5)/A19stdlife))</f>
        <v>0</v>
      </c>
      <c r="AW312" s="107">
        <f>IF(A19stdlife="n/a","n/a",IF(AW$3&gt;(A19stdlife+$E312),('PTRM input'!$G$161*(1+rvanilla01)^0.5)-SUM($G312:AV312),('PTRM input'!$G$161*(1+rvanilla01)^0.5)/A19stdlife))</f>
        <v>0</v>
      </c>
      <c r="AX312" s="107">
        <f>IF(A19stdlife="n/a","n/a",IF(AX$3&gt;(A19stdlife+$E312),('PTRM input'!$G$161*(1+rvanilla01)^0.5)-SUM($G312:AW312),('PTRM input'!$G$161*(1+rvanilla01)^0.5)/A19stdlife))</f>
        <v>0</v>
      </c>
      <c r="AY312" s="107">
        <f>IF(A19stdlife="n/a","n/a",IF(AY$3&gt;(A19stdlife+$E312),('PTRM input'!$G$161*(1+rvanilla01)^0.5)-SUM($G312:AX312),('PTRM input'!$G$161*(1+rvanilla01)^0.5)/A19stdlife))</f>
        <v>0</v>
      </c>
      <c r="AZ312" s="107">
        <f>IF(A19stdlife="n/a","n/a",IF(AZ$3&gt;(A19stdlife+$E312),('PTRM input'!$G$161*(1+rvanilla01)^0.5)-SUM($G312:AY312),('PTRM input'!$G$161*(1+rvanilla01)^0.5)/A19stdlife))</f>
        <v>0</v>
      </c>
      <c r="BA312" s="107">
        <f>IF(A19stdlife="n/a","n/a",IF(BA$3&gt;(A19stdlife+$E312),('PTRM input'!$G$161*(1+rvanilla01)^0.5)-SUM($G312:AZ312),('PTRM input'!$G$161*(1+rvanilla01)^0.5)/A19stdlife))</f>
        <v>0</v>
      </c>
      <c r="BB312" s="107">
        <f>IF(A19stdlife="n/a","n/a",IF(BB$3&gt;(A19stdlife+$E312),('PTRM input'!$G$161*(1+rvanilla01)^0.5)-SUM($G312:BA312),('PTRM input'!$G$161*(1+rvanilla01)^0.5)/A19stdlife))</f>
        <v>0</v>
      </c>
      <c r="BC312" s="107">
        <f>IF(A19stdlife="n/a","n/a",IF(BC$3&gt;(A19stdlife+$E312),('PTRM input'!$G$161*(1+rvanilla01)^0.5)-SUM($G312:BB312),('PTRM input'!$G$161*(1+rvanilla01)^0.5)/A19stdlife))</f>
        <v>0</v>
      </c>
      <c r="BD312" s="107">
        <f>IF(A19stdlife="n/a","n/a",IF(BD$3&gt;(A19stdlife+$E312),('PTRM input'!$G$161*(1+rvanilla01)^0.5)-SUM($G312:BC312),('PTRM input'!$G$161*(1+rvanilla01)^0.5)/A19stdlife))</f>
        <v>0</v>
      </c>
      <c r="BE312" s="107">
        <f>IF(A19stdlife="n/a","n/a",IF(BE$3&gt;(A19stdlife+$E312),('PTRM input'!$G$161*(1+rvanilla01)^0.5)-SUM($G312:BD312),('PTRM input'!$G$161*(1+rvanilla01)^0.5)/A19stdlife))</f>
        <v>0</v>
      </c>
      <c r="BF312" s="107">
        <f>IF(A19stdlife="n/a","n/a",IF(BF$3&gt;(A19stdlife+$E312),('PTRM input'!$G$161*(1+rvanilla01)^0.5)-SUM($G312:BE312),('PTRM input'!$G$161*(1+rvanilla01)^0.5)/A19stdlife))</f>
        <v>0</v>
      </c>
      <c r="BG312" s="107">
        <f>IF(A19stdlife="n/a","n/a",IF(BG$3&gt;(A19stdlife+$E312),('PTRM input'!$G$161*(1+rvanilla01)^0.5)-SUM($G312:BF312),('PTRM input'!$G$161*(1+rvanilla01)^0.5)/A19stdlife))</f>
        <v>0</v>
      </c>
      <c r="BH312" s="107">
        <f>IF(A19stdlife="n/a","n/a",IF(BH$3&gt;(A19stdlife+$E312),('PTRM input'!$G$161*(1+rvanilla01)^0.5)-SUM($G312:BG312),('PTRM input'!$G$161*(1+rvanilla01)^0.5)/A19stdlife))</f>
        <v>0</v>
      </c>
      <c r="BI312" s="107">
        <f>IF(A19stdlife="n/a","n/a",IF(BI$3&gt;(A19stdlife+$E312),('PTRM input'!$G$161*(1+rvanilla01)^0.5)-SUM($G312:BH312),('PTRM input'!$G$161*(1+rvanilla01)^0.5)/A19stdlife))</f>
        <v>0</v>
      </c>
      <c r="BJ312" s="237"/>
      <c r="BK312" s="237"/>
      <c r="BL312" s="237"/>
      <c r="BM312" s="237"/>
    </row>
    <row r="313" spans="1:65" s="190" customFormat="1" hidden="1" outlineLevel="2">
      <c r="A313" s="237"/>
      <c r="B313" s="33"/>
      <c r="C313" s="32"/>
      <c r="D313" s="1618"/>
      <c r="E313" s="169">
        <v>2</v>
      </c>
      <c r="F313" s="35"/>
      <c r="G313" s="184"/>
      <c r="H313" s="185"/>
      <c r="I313" s="107">
        <f>IF(A19stdlife="n/a","n/a",IF(I$3&gt;(A19stdlife+$E313),('PTRM input'!$H$161*(1+rvanilla02)^0.5)-SUM($H313:H313),('PTRM input'!$H$161*(1+rvanilla02)^0.5)/A19stdlife))</f>
        <v>0</v>
      </c>
      <c r="J313" s="107">
        <f>IF(A19stdlife="n/a","n/a",IF(J$3&gt;(A19stdlife+$E313),('PTRM input'!$H$161*(1+rvanilla02)^0.5)-SUM($H313:I313),('PTRM input'!$H$161*(1+rvanilla02)^0.5)/A19stdlife))</f>
        <v>0</v>
      </c>
      <c r="K313" s="107">
        <f>IF(A19stdlife="n/a","n/a",IF(K$3&gt;(A19stdlife+$E313),('PTRM input'!$H$161*(1+rvanilla02)^0.5)-SUM($H313:J313),('PTRM input'!$H$161*(1+rvanilla02)^0.5)/A19stdlife))</f>
        <v>0</v>
      </c>
      <c r="L313" s="107">
        <f>IF(A19stdlife="n/a","n/a",IF(L$3&gt;(A19stdlife+$E313),('PTRM input'!$H$161*(1+rvanilla02)^0.5)-SUM($H313:K313),('PTRM input'!$H$161*(1+rvanilla02)^0.5)/A19stdlife))</f>
        <v>0</v>
      </c>
      <c r="M313" s="107">
        <f>IF(A19stdlife="n/a","n/a",IF(M$3&gt;(A19stdlife+$E313),('PTRM input'!$H$161*(1+rvanilla02)^0.5)-SUM($H313:L313),('PTRM input'!$H$161*(1+rvanilla02)^0.5)/A19stdlife))</f>
        <v>0</v>
      </c>
      <c r="N313" s="107">
        <f>IF(A19stdlife="n/a","n/a",IF(N$3&gt;(A19stdlife+$E313),('PTRM input'!$H$161*(1+rvanilla02)^0.5)-SUM($H313:M313),('PTRM input'!$H$161*(1+rvanilla02)^0.5)/A19stdlife))</f>
        <v>0</v>
      </c>
      <c r="O313" s="107">
        <f>IF(A19stdlife="n/a","n/a",IF(O$3&gt;(A19stdlife+$E313),('PTRM input'!$H$161*(1+rvanilla02)^0.5)-SUM($H313:N313),('PTRM input'!$H$161*(1+rvanilla02)^0.5)/A19stdlife))</f>
        <v>0</v>
      </c>
      <c r="P313" s="107">
        <f>IF(A19stdlife="n/a","n/a",IF(P$3&gt;(A19stdlife+$E313),('PTRM input'!$H$161*(1+rvanilla02)^0.5)-SUM($H313:O313),('PTRM input'!$H$161*(1+rvanilla02)^0.5)/A19stdlife))</f>
        <v>0</v>
      </c>
      <c r="Q313" s="107">
        <f>IF(A19stdlife="n/a","n/a",IF(Q$3&gt;(A19stdlife+$E313),('PTRM input'!$H$161*(1+rvanilla02)^0.5)-SUM($H313:P313),('PTRM input'!$H$161*(1+rvanilla02)^0.5)/A19stdlife))</f>
        <v>0</v>
      </c>
      <c r="R313" s="107">
        <f>IF(A19stdlife="n/a","n/a",IF(R$3&gt;(A19stdlife+$E313),('PTRM input'!$H$161*(1+rvanilla02)^0.5)-SUM($H313:Q313),('PTRM input'!$H$161*(1+rvanilla02)^0.5)/A19stdlife))</f>
        <v>0</v>
      </c>
      <c r="S313" s="107">
        <f>IF(A19stdlife="n/a","n/a",IF(S$3&gt;(A19stdlife+$E313),('PTRM input'!$H$161*(1+rvanilla02)^0.5)-SUM($H313:R313),('PTRM input'!$H$161*(1+rvanilla02)^0.5)/A19stdlife))</f>
        <v>0</v>
      </c>
      <c r="T313" s="107">
        <f>IF(A19stdlife="n/a","n/a",IF(T$3&gt;(A19stdlife+$E313),('PTRM input'!$H$161*(1+rvanilla02)^0.5)-SUM($H313:S313),('PTRM input'!$H$161*(1+rvanilla02)^0.5)/A19stdlife))</f>
        <v>0</v>
      </c>
      <c r="U313" s="107">
        <f>IF(A19stdlife="n/a","n/a",IF(U$3&gt;(A19stdlife+$E313),('PTRM input'!$H$161*(1+rvanilla02)^0.5)-SUM($H313:T313),('PTRM input'!$H$161*(1+rvanilla02)^0.5)/A19stdlife))</f>
        <v>0</v>
      </c>
      <c r="V313" s="107">
        <f>IF(A19stdlife="n/a","n/a",IF(V$3&gt;(A19stdlife+$E313),('PTRM input'!$H$161*(1+rvanilla02)^0.5)-SUM($H313:U313),('PTRM input'!$H$161*(1+rvanilla02)^0.5)/A19stdlife))</f>
        <v>0</v>
      </c>
      <c r="W313" s="107">
        <f>IF(A19stdlife="n/a","n/a",IF(W$3&gt;(A19stdlife+$E313),('PTRM input'!$H$161*(1+rvanilla02)^0.5)-SUM($H313:V313),('PTRM input'!$H$161*(1+rvanilla02)^0.5)/A19stdlife))</f>
        <v>0</v>
      </c>
      <c r="X313" s="107">
        <f>IF(A19stdlife="n/a","n/a",IF(X$3&gt;(A19stdlife+$E313),('PTRM input'!$H$161*(1+rvanilla02)^0.5)-SUM($H313:W313),('PTRM input'!$H$161*(1+rvanilla02)^0.5)/A19stdlife))</f>
        <v>0</v>
      </c>
      <c r="Y313" s="107">
        <f>IF(A19stdlife="n/a","n/a",IF(Y$3&gt;(A19stdlife+$E313),('PTRM input'!$H$161*(1+rvanilla02)^0.5)-SUM($H313:X313),('PTRM input'!$H$161*(1+rvanilla02)^0.5)/A19stdlife))</f>
        <v>0</v>
      </c>
      <c r="Z313" s="107">
        <f>IF(A19stdlife="n/a","n/a",IF(Z$3&gt;(A19stdlife+$E313),('PTRM input'!$H$161*(1+rvanilla02)^0.5)-SUM($H313:Y313),('PTRM input'!$H$161*(1+rvanilla02)^0.5)/A19stdlife))</f>
        <v>0</v>
      </c>
      <c r="AA313" s="107">
        <f>IF(A19stdlife="n/a","n/a",IF(AA$3&gt;(A19stdlife+$E313),('PTRM input'!$H$161*(1+rvanilla02)^0.5)-SUM($H313:Z313),('PTRM input'!$H$161*(1+rvanilla02)^0.5)/A19stdlife))</f>
        <v>0</v>
      </c>
      <c r="AB313" s="107">
        <f>IF(A19stdlife="n/a","n/a",IF(AB$3&gt;(A19stdlife+$E313),('PTRM input'!$H$161*(1+rvanilla02)^0.5)-SUM($H313:AA313),('PTRM input'!$H$161*(1+rvanilla02)^0.5)/A19stdlife))</f>
        <v>0</v>
      </c>
      <c r="AC313" s="107">
        <f>IF(A19stdlife="n/a","n/a",IF(AC$3&gt;(A19stdlife+$E313),('PTRM input'!$H$161*(1+rvanilla02)^0.5)-SUM($H313:AB313),('PTRM input'!$H$161*(1+rvanilla02)^0.5)/A19stdlife))</f>
        <v>0</v>
      </c>
      <c r="AD313" s="107">
        <f>IF(A19stdlife="n/a","n/a",IF(AD$3&gt;(A19stdlife+$E313),('PTRM input'!$H$161*(1+rvanilla02)^0.5)-SUM($H313:AC313),('PTRM input'!$H$161*(1+rvanilla02)^0.5)/A19stdlife))</f>
        <v>0</v>
      </c>
      <c r="AE313" s="107">
        <f>IF(A19stdlife="n/a","n/a",IF(AE$3&gt;(A19stdlife+$E313),('PTRM input'!$H$161*(1+rvanilla02)^0.5)-SUM($H313:AD313),('PTRM input'!$H$161*(1+rvanilla02)^0.5)/A19stdlife))</f>
        <v>0</v>
      </c>
      <c r="AF313" s="107">
        <f>IF(A19stdlife="n/a","n/a",IF(AF$3&gt;(A19stdlife+$E313),('PTRM input'!$H$161*(1+rvanilla02)^0.5)-SUM($H313:AE313),('PTRM input'!$H$161*(1+rvanilla02)^0.5)/A19stdlife))</f>
        <v>0</v>
      </c>
      <c r="AG313" s="107">
        <f>IF(A19stdlife="n/a","n/a",IF(AG$3&gt;(A19stdlife+$E313),('PTRM input'!$H$161*(1+rvanilla02)^0.5)-SUM($H313:AF313),('PTRM input'!$H$161*(1+rvanilla02)^0.5)/A19stdlife))</f>
        <v>0</v>
      </c>
      <c r="AH313" s="107">
        <f>IF(A19stdlife="n/a","n/a",IF(AH$3&gt;(A19stdlife+$E313),('PTRM input'!$H$161*(1+rvanilla02)^0.5)-SUM($H313:AG313),('PTRM input'!$H$161*(1+rvanilla02)^0.5)/A19stdlife))</f>
        <v>0</v>
      </c>
      <c r="AI313" s="107">
        <f>IF(A19stdlife="n/a","n/a",IF(AI$3&gt;(A19stdlife+$E313),('PTRM input'!$H$161*(1+rvanilla02)^0.5)-SUM($H313:AH313),('PTRM input'!$H$161*(1+rvanilla02)^0.5)/A19stdlife))</f>
        <v>0</v>
      </c>
      <c r="AJ313" s="107">
        <f>IF(A19stdlife="n/a","n/a",IF(AJ$3&gt;(A19stdlife+$E313),('PTRM input'!$H$161*(1+rvanilla02)^0.5)-SUM($H313:AI313),('PTRM input'!$H$161*(1+rvanilla02)^0.5)/A19stdlife))</f>
        <v>0</v>
      </c>
      <c r="AK313" s="107">
        <f>IF(A19stdlife="n/a","n/a",IF(AK$3&gt;(A19stdlife+$E313),('PTRM input'!$H$161*(1+rvanilla02)^0.5)-SUM($H313:AJ313),('PTRM input'!$H$161*(1+rvanilla02)^0.5)/A19stdlife))</f>
        <v>0</v>
      </c>
      <c r="AL313" s="107">
        <f>IF(A19stdlife="n/a","n/a",IF(AL$3&gt;(A19stdlife+$E313),('PTRM input'!$H$161*(1+rvanilla02)^0.5)-SUM($H313:AK313),('PTRM input'!$H$161*(1+rvanilla02)^0.5)/A19stdlife))</f>
        <v>0</v>
      </c>
      <c r="AM313" s="107">
        <f>IF(A19stdlife="n/a","n/a",IF(AM$3&gt;(A19stdlife+$E313),('PTRM input'!$H$161*(1+rvanilla02)^0.5)-SUM($H313:AL313),('PTRM input'!$H$161*(1+rvanilla02)^0.5)/A19stdlife))</f>
        <v>0</v>
      </c>
      <c r="AN313" s="107">
        <f>IF(A19stdlife="n/a","n/a",IF(AN$3&gt;(A19stdlife+$E313),('PTRM input'!$H$161*(1+rvanilla02)^0.5)-SUM($H313:AM313),('PTRM input'!$H$161*(1+rvanilla02)^0.5)/A19stdlife))</f>
        <v>0</v>
      </c>
      <c r="AO313" s="107">
        <f>IF(A19stdlife="n/a","n/a",IF(AO$3&gt;(A19stdlife+$E313),('PTRM input'!$H$161*(1+rvanilla02)^0.5)-SUM($H313:AN313),('PTRM input'!$H$161*(1+rvanilla02)^0.5)/A19stdlife))</f>
        <v>0</v>
      </c>
      <c r="AP313" s="107">
        <f>IF(A19stdlife="n/a","n/a",IF(AP$3&gt;(A19stdlife+$E313),('PTRM input'!$H$161*(1+rvanilla02)^0.5)-SUM($H313:AO313),('PTRM input'!$H$161*(1+rvanilla02)^0.5)/A19stdlife))</f>
        <v>0</v>
      </c>
      <c r="AQ313" s="107">
        <f>IF(A19stdlife="n/a","n/a",IF(AQ$3&gt;(A19stdlife+$E313),('PTRM input'!$H$161*(1+rvanilla02)^0.5)-SUM($H313:AP313),('PTRM input'!$H$161*(1+rvanilla02)^0.5)/A19stdlife))</f>
        <v>0</v>
      </c>
      <c r="AR313" s="107">
        <f>IF(A19stdlife="n/a","n/a",IF(AR$3&gt;(A19stdlife+$E313),('PTRM input'!$H$161*(1+rvanilla02)^0.5)-SUM($H313:AQ313),('PTRM input'!$H$161*(1+rvanilla02)^0.5)/A19stdlife))</f>
        <v>0</v>
      </c>
      <c r="AS313" s="107">
        <f>IF(A19stdlife="n/a","n/a",IF(AS$3&gt;(A19stdlife+$E313),('PTRM input'!$H$161*(1+rvanilla02)^0.5)-SUM($H313:AR313),('PTRM input'!$H$161*(1+rvanilla02)^0.5)/A19stdlife))</f>
        <v>0</v>
      </c>
      <c r="AT313" s="107">
        <f>IF(A19stdlife="n/a","n/a",IF(AT$3&gt;(A19stdlife+$E313),('PTRM input'!$H$161*(1+rvanilla02)^0.5)-SUM($H313:AS313),('PTRM input'!$H$161*(1+rvanilla02)^0.5)/A19stdlife))</f>
        <v>0</v>
      </c>
      <c r="AU313" s="107">
        <f>IF(A19stdlife="n/a","n/a",IF(AU$3&gt;(A19stdlife+$E313),('PTRM input'!$H$161*(1+rvanilla02)^0.5)-SUM($H313:AT313),('PTRM input'!$H$161*(1+rvanilla02)^0.5)/A19stdlife))</f>
        <v>0</v>
      </c>
      <c r="AV313" s="107">
        <f>IF(A19stdlife="n/a","n/a",IF(AV$3&gt;(A19stdlife+$E313),('PTRM input'!$H$161*(1+rvanilla02)^0.5)-SUM($H313:AU313),('PTRM input'!$H$161*(1+rvanilla02)^0.5)/A19stdlife))</f>
        <v>0</v>
      </c>
      <c r="AW313" s="107">
        <f>IF(A19stdlife="n/a","n/a",IF(AW$3&gt;(A19stdlife+$E313),('PTRM input'!$H$161*(1+rvanilla02)^0.5)-SUM($H313:AV313),('PTRM input'!$H$161*(1+rvanilla02)^0.5)/A19stdlife))</f>
        <v>0</v>
      </c>
      <c r="AX313" s="107">
        <f>IF(A19stdlife="n/a","n/a",IF(AX$3&gt;(A19stdlife+$E313),('PTRM input'!$H$161*(1+rvanilla02)^0.5)-SUM($H313:AW313),('PTRM input'!$H$161*(1+rvanilla02)^0.5)/A19stdlife))</f>
        <v>0</v>
      </c>
      <c r="AY313" s="107">
        <f>IF(A19stdlife="n/a","n/a",IF(AY$3&gt;(A19stdlife+$E313),('PTRM input'!$H$161*(1+rvanilla02)^0.5)-SUM($H313:AX313),('PTRM input'!$H$161*(1+rvanilla02)^0.5)/A19stdlife))</f>
        <v>0</v>
      </c>
      <c r="AZ313" s="107">
        <f>IF(A19stdlife="n/a","n/a",IF(AZ$3&gt;(A19stdlife+$E313),('PTRM input'!$H$161*(1+rvanilla02)^0.5)-SUM($H313:AY313),('PTRM input'!$H$161*(1+rvanilla02)^0.5)/A19stdlife))</f>
        <v>0</v>
      </c>
      <c r="BA313" s="107">
        <f>IF(A19stdlife="n/a","n/a",IF(BA$3&gt;(A19stdlife+$E313),('PTRM input'!$H$161*(1+rvanilla02)^0.5)-SUM($H313:AZ313),('PTRM input'!$H$161*(1+rvanilla02)^0.5)/A19stdlife))</f>
        <v>0</v>
      </c>
      <c r="BB313" s="107">
        <f>IF(A19stdlife="n/a","n/a",IF(BB$3&gt;(A19stdlife+$E313),('PTRM input'!$H$161*(1+rvanilla02)^0.5)-SUM($H313:BA313),('PTRM input'!$H$161*(1+rvanilla02)^0.5)/A19stdlife))</f>
        <v>0</v>
      </c>
      <c r="BC313" s="107">
        <f>IF(A19stdlife="n/a","n/a",IF(BC$3&gt;(A19stdlife+$E313),('PTRM input'!$H$161*(1+rvanilla02)^0.5)-SUM($H313:BB313),('PTRM input'!$H$161*(1+rvanilla02)^0.5)/A19stdlife))</f>
        <v>0</v>
      </c>
      <c r="BD313" s="107">
        <f>IF(A19stdlife="n/a","n/a",IF(BD$3&gt;(A19stdlife+$E313),('PTRM input'!$H$161*(1+rvanilla02)^0.5)-SUM($H313:BC313),('PTRM input'!$H$161*(1+rvanilla02)^0.5)/A19stdlife))</f>
        <v>0</v>
      </c>
      <c r="BE313" s="107">
        <f>IF(A19stdlife="n/a","n/a",IF(BE$3&gt;(A19stdlife+$E313),('PTRM input'!$H$161*(1+rvanilla02)^0.5)-SUM($H313:BD313),('PTRM input'!$H$161*(1+rvanilla02)^0.5)/A19stdlife))</f>
        <v>0</v>
      </c>
      <c r="BF313" s="107">
        <f>IF(A19stdlife="n/a","n/a",IF(BF$3&gt;(A19stdlife+$E313),('PTRM input'!$H$161*(1+rvanilla02)^0.5)-SUM($H313:BE313),('PTRM input'!$H$161*(1+rvanilla02)^0.5)/A19stdlife))</f>
        <v>0</v>
      </c>
      <c r="BG313" s="107">
        <f>IF(A19stdlife="n/a","n/a",IF(BG$3&gt;(A19stdlife+$E313),('PTRM input'!$H$161*(1+rvanilla02)^0.5)-SUM($H313:BF313),('PTRM input'!$H$161*(1+rvanilla02)^0.5)/A19stdlife))</f>
        <v>0</v>
      </c>
      <c r="BH313" s="107">
        <f>IF(A19stdlife="n/a","n/a",IF(BH$3&gt;(A19stdlife+$E313),('PTRM input'!$H$161*(1+rvanilla02)^0.5)-SUM($H313:BG313),('PTRM input'!$H$161*(1+rvanilla02)^0.5)/A19stdlife))</f>
        <v>0</v>
      </c>
      <c r="BI313" s="107">
        <f>IF(A19stdlife="n/a","n/a",IF(BI$3&gt;(A19stdlife+$E313),('PTRM input'!$H$161*(1+rvanilla02)^0.5)-SUM($H313:BH313),('PTRM input'!$H$161*(1+rvanilla02)^0.5)/A19stdlife))</f>
        <v>0</v>
      </c>
      <c r="BJ313" s="237"/>
      <c r="BK313" s="237"/>
      <c r="BL313" s="237"/>
      <c r="BM313" s="237"/>
    </row>
    <row r="314" spans="1:65" s="190" customFormat="1" hidden="1" outlineLevel="2">
      <c r="A314" s="237"/>
      <c r="B314" s="33"/>
      <c r="C314" s="32"/>
      <c r="D314" s="1618"/>
      <c r="E314" s="169">
        <v>3</v>
      </c>
      <c r="F314" s="35"/>
      <c r="G314" s="184"/>
      <c r="H314" s="186"/>
      <c r="I314" s="185"/>
      <c r="J314" s="107">
        <f>IF(A19stdlife="n/a","n/a",IF(J$3&gt;(A19stdlife+$E314),('PTRM input'!$I$161*(1+rvanilla03)^0.5)-SUM($I314:I314),('PTRM input'!$I$161*(1+rvanilla03)^0.5)/A19stdlife))</f>
        <v>0</v>
      </c>
      <c r="K314" s="107">
        <f>IF(A19stdlife="n/a","n/a",IF(K$3&gt;(A19stdlife+$E314),('PTRM input'!$I$161*(1+rvanilla03)^0.5)-SUM($I314:J314),('PTRM input'!$I$161*(1+rvanilla03)^0.5)/A19stdlife))</f>
        <v>0</v>
      </c>
      <c r="L314" s="107">
        <f>IF(A19stdlife="n/a","n/a",IF(L$3&gt;(A19stdlife+$E314),('PTRM input'!$I$161*(1+rvanilla03)^0.5)-SUM($I314:K314),('PTRM input'!$I$161*(1+rvanilla03)^0.5)/A19stdlife))</f>
        <v>0</v>
      </c>
      <c r="M314" s="107">
        <f>IF(A19stdlife="n/a","n/a",IF(M$3&gt;(A19stdlife+$E314),('PTRM input'!$I$161*(1+rvanilla03)^0.5)-SUM($I314:L314),('PTRM input'!$I$161*(1+rvanilla03)^0.5)/A19stdlife))</f>
        <v>0</v>
      </c>
      <c r="N314" s="107">
        <f>IF(A19stdlife="n/a","n/a",IF(N$3&gt;(A19stdlife+$E314),('PTRM input'!$I$161*(1+rvanilla03)^0.5)-SUM($I314:M314),('PTRM input'!$I$161*(1+rvanilla03)^0.5)/A19stdlife))</f>
        <v>0</v>
      </c>
      <c r="O314" s="107">
        <f>IF(A19stdlife="n/a","n/a",IF(O$3&gt;(A19stdlife+$E314),('PTRM input'!$I$161*(1+rvanilla03)^0.5)-SUM($I314:N314),('PTRM input'!$I$161*(1+rvanilla03)^0.5)/A19stdlife))</f>
        <v>0</v>
      </c>
      <c r="P314" s="107">
        <f>IF(A19stdlife="n/a","n/a",IF(P$3&gt;(A19stdlife+$E314),('PTRM input'!$I$161*(1+rvanilla03)^0.5)-SUM($I314:O314),('PTRM input'!$I$161*(1+rvanilla03)^0.5)/A19stdlife))</f>
        <v>0</v>
      </c>
      <c r="Q314" s="107">
        <f>IF(A19stdlife="n/a","n/a",IF(Q$3&gt;(A19stdlife+$E314),('PTRM input'!$I$161*(1+rvanilla03)^0.5)-SUM($I314:P314),('PTRM input'!$I$161*(1+rvanilla03)^0.5)/A19stdlife))</f>
        <v>0</v>
      </c>
      <c r="R314" s="107">
        <f>IF(A19stdlife="n/a","n/a",IF(R$3&gt;(A19stdlife+$E314),('PTRM input'!$I$161*(1+rvanilla03)^0.5)-SUM($I314:Q314),('PTRM input'!$I$161*(1+rvanilla03)^0.5)/A19stdlife))</f>
        <v>0</v>
      </c>
      <c r="S314" s="107">
        <f>IF(A19stdlife="n/a","n/a",IF(S$3&gt;(A19stdlife+$E314),('PTRM input'!$I$161*(1+rvanilla03)^0.5)-SUM($I314:R314),('PTRM input'!$I$161*(1+rvanilla03)^0.5)/A19stdlife))</f>
        <v>0</v>
      </c>
      <c r="T314" s="107">
        <f>IF(A19stdlife="n/a","n/a",IF(T$3&gt;(A19stdlife+$E314),('PTRM input'!$I$161*(1+rvanilla03)^0.5)-SUM($I314:S314),('PTRM input'!$I$161*(1+rvanilla03)^0.5)/A19stdlife))</f>
        <v>0</v>
      </c>
      <c r="U314" s="107">
        <f>IF(A19stdlife="n/a","n/a",IF(U$3&gt;(A19stdlife+$E314),('PTRM input'!$I$161*(1+rvanilla03)^0.5)-SUM($I314:T314),('PTRM input'!$I$161*(1+rvanilla03)^0.5)/A19stdlife))</f>
        <v>0</v>
      </c>
      <c r="V314" s="107">
        <f>IF(A19stdlife="n/a","n/a",IF(V$3&gt;(A19stdlife+$E314),('PTRM input'!$I$161*(1+rvanilla03)^0.5)-SUM($I314:U314),('PTRM input'!$I$161*(1+rvanilla03)^0.5)/A19stdlife))</f>
        <v>0</v>
      </c>
      <c r="W314" s="107">
        <f>IF(A19stdlife="n/a","n/a",IF(W$3&gt;(A19stdlife+$E314),('PTRM input'!$I$161*(1+rvanilla03)^0.5)-SUM($I314:V314),('PTRM input'!$I$161*(1+rvanilla03)^0.5)/A19stdlife))</f>
        <v>0</v>
      </c>
      <c r="X314" s="107">
        <f>IF(A19stdlife="n/a","n/a",IF(X$3&gt;(A19stdlife+$E314),('PTRM input'!$I$161*(1+rvanilla03)^0.5)-SUM($I314:W314),('PTRM input'!$I$161*(1+rvanilla03)^0.5)/A19stdlife))</f>
        <v>0</v>
      </c>
      <c r="Y314" s="107">
        <f>IF(A19stdlife="n/a","n/a",IF(Y$3&gt;(A19stdlife+$E314),('PTRM input'!$I$161*(1+rvanilla03)^0.5)-SUM($I314:X314),('PTRM input'!$I$161*(1+rvanilla03)^0.5)/A19stdlife))</f>
        <v>0</v>
      </c>
      <c r="Z314" s="107">
        <f>IF(A19stdlife="n/a","n/a",IF(Z$3&gt;(A19stdlife+$E314),('PTRM input'!$I$161*(1+rvanilla03)^0.5)-SUM($I314:Y314),('PTRM input'!$I$161*(1+rvanilla03)^0.5)/A19stdlife))</f>
        <v>0</v>
      </c>
      <c r="AA314" s="107">
        <f>IF(A19stdlife="n/a","n/a",IF(AA$3&gt;(A19stdlife+$E314),('PTRM input'!$I$161*(1+rvanilla03)^0.5)-SUM($I314:Z314),('PTRM input'!$I$161*(1+rvanilla03)^0.5)/A19stdlife))</f>
        <v>0</v>
      </c>
      <c r="AB314" s="107">
        <f>IF(A19stdlife="n/a","n/a",IF(AB$3&gt;(A19stdlife+$E314),('PTRM input'!$I$161*(1+rvanilla03)^0.5)-SUM($I314:AA314),('PTRM input'!$I$161*(1+rvanilla03)^0.5)/A19stdlife))</f>
        <v>0</v>
      </c>
      <c r="AC314" s="107">
        <f>IF(A19stdlife="n/a","n/a",IF(AC$3&gt;(A19stdlife+$E314),('PTRM input'!$I$161*(1+rvanilla03)^0.5)-SUM($I314:AB314),('PTRM input'!$I$161*(1+rvanilla03)^0.5)/A19stdlife))</f>
        <v>0</v>
      </c>
      <c r="AD314" s="107">
        <f>IF(A19stdlife="n/a","n/a",IF(AD$3&gt;(A19stdlife+$E314),('PTRM input'!$I$161*(1+rvanilla03)^0.5)-SUM($I314:AC314),('PTRM input'!$I$161*(1+rvanilla03)^0.5)/A19stdlife))</f>
        <v>0</v>
      </c>
      <c r="AE314" s="107">
        <f>IF(A19stdlife="n/a","n/a",IF(AE$3&gt;(A19stdlife+$E314),('PTRM input'!$I$161*(1+rvanilla03)^0.5)-SUM($I314:AD314),('PTRM input'!$I$161*(1+rvanilla03)^0.5)/A19stdlife))</f>
        <v>0</v>
      </c>
      <c r="AF314" s="107">
        <f>IF(A19stdlife="n/a","n/a",IF(AF$3&gt;(A19stdlife+$E314),('PTRM input'!$I$161*(1+rvanilla03)^0.5)-SUM($I314:AE314),('PTRM input'!$I$161*(1+rvanilla03)^0.5)/A19stdlife))</f>
        <v>0</v>
      </c>
      <c r="AG314" s="107">
        <f>IF(A19stdlife="n/a","n/a",IF(AG$3&gt;(A19stdlife+$E314),('PTRM input'!$I$161*(1+rvanilla03)^0.5)-SUM($I314:AF314),('PTRM input'!$I$161*(1+rvanilla03)^0.5)/A19stdlife))</f>
        <v>0</v>
      </c>
      <c r="AH314" s="107">
        <f>IF(A19stdlife="n/a","n/a",IF(AH$3&gt;(A19stdlife+$E314),('PTRM input'!$I$161*(1+rvanilla03)^0.5)-SUM($I314:AG314),('PTRM input'!$I$161*(1+rvanilla03)^0.5)/A19stdlife))</f>
        <v>0</v>
      </c>
      <c r="AI314" s="107">
        <f>IF(A19stdlife="n/a","n/a",IF(AI$3&gt;(A19stdlife+$E314),('PTRM input'!$I$161*(1+rvanilla03)^0.5)-SUM($I314:AH314),('PTRM input'!$I$161*(1+rvanilla03)^0.5)/A19stdlife))</f>
        <v>0</v>
      </c>
      <c r="AJ314" s="107">
        <f>IF(A19stdlife="n/a","n/a",IF(AJ$3&gt;(A19stdlife+$E314),('PTRM input'!$I$161*(1+rvanilla03)^0.5)-SUM($I314:AI314),('PTRM input'!$I$161*(1+rvanilla03)^0.5)/A19stdlife))</f>
        <v>0</v>
      </c>
      <c r="AK314" s="107">
        <f>IF(A19stdlife="n/a","n/a",IF(AK$3&gt;(A19stdlife+$E314),('PTRM input'!$I$161*(1+rvanilla03)^0.5)-SUM($I314:AJ314),('PTRM input'!$I$161*(1+rvanilla03)^0.5)/A19stdlife))</f>
        <v>0</v>
      </c>
      <c r="AL314" s="107">
        <f>IF(A19stdlife="n/a","n/a",IF(AL$3&gt;(A19stdlife+$E314),('PTRM input'!$I$161*(1+rvanilla03)^0.5)-SUM($I314:AK314),('PTRM input'!$I$161*(1+rvanilla03)^0.5)/A19stdlife))</f>
        <v>0</v>
      </c>
      <c r="AM314" s="107">
        <f>IF(A19stdlife="n/a","n/a",IF(AM$3&gt;(A19stdlife+$E314),('PTRM input'!$I$161*(1+rvanilla03)^0.5)-SUM($I314:AL314),('PTRM input'!$I$161*(1+rvanilla03)^0.5)/A19stdlife))</f>
        <v>0</v>
      </c>
      <c r="AN314" s="107">
        <f>IF(A19stdlife="n/a","n/a",IF(AN$3&gt;(A19stdlife+$E314),('PTRM input'!$I$161*(1+rvanilla03)^0.5)-SUM($I314:AM314),('PTRM input'!$I$161*(1+rvanilla03)^0.5)/A19stdlife))</f>
        <v>0</v>
      </c>
      <c r="AO314" s="107">
        <f>IF(A19stdlife="n/a","n/a",IF(AO$3&gt;(A19stdlife+$E314),('PTRM input'!$I$161*(1+rvanilla03)^0.5)-SUM($I314:AN314),('PTRM input'!$I$161*(1+rvanilla03)^0.5)/A19stdlife))</f>
        <v>0</v>
      </c>
      <c r="AP314" s="107">
        <f>IF(A19stdlife="n/a","n/a",IF(AP$3&gt;(A19stdlife+$E314),('PTRM input'!$I$161*(1+rvanilla03)^0.5)-SUM($I314:AO314),('PTRM input'!$I$161*(1+rvanilla03)^0.5)/A19stdlife))</f>
        <v>0</v>
      </c>
      <c r="AQ314" s="107">
        <f>IF(A19stdlife="n/a","n/a",IF(AQ$3&gt;(A19stdlife+$E314),('PTRM input'!$I$161*(1+rvanilla03)^0.5)-SUM($I314:AP314),('PTRM input'!$I$161*(1+rvanilla03)^0.5)/A19stdlife))</f>
        <v>0</v>
      </c>
      <c r="AR314" s="107">
        <f>IF(A19stdlife="n/a","n/a",IF(AR$3&gt;(A19stdlife+$E314),('PTRM input'!$I$161*(1+rvanilla03)^0.5)-SUM($I314:AQ314),('PTRM input'!$I$161*(1+rvanilla03)^0.5)/A19stdlife))</f>
        <v>0</v>
      </c>
      <c r="AS314" s="107">
        <f>IF(A19stdlife="n/a","n/a",IF(AS$3&gt;(A19stdlife+$E314),('PTRM input'!$I$161*(1+rvanilla03)^0.5)-SUM($I314:AR314),('PTRM input'!$I$161*(1+rvanilla03)^0.5)/A19stdlife))</f>
        <v>0</v>
      </c>
      <c r="AT314" s="107">
        <f>IF(A19stdlife="n/a","n/a",IF(AT$3&gt;(A19stdlife+$E314),('PTRM input'!$I$161*(1+rvanilla03)^0.5)-SUM($I314:AS314),('PTRM input'!$I$161*(1+rvanilla03)^0.5)/A19stdlife))</f>
        <v>0</v>
      </c>
      <c r="AU314" s="107">
        <f>IF(A19stdlife="n/a","n/a",IF(AU$3&gt;(A19stdlife+$E314),('PTRM input'!$I$161*(1+rvanilla03)^0.5)-SUM($I314:AT314),('PTRM input'!$I$161*(1+rvanilla03)^0.5)/A19stdlife))</f>
        <v>0</v>
      </c>
      <c r="AV314" s="107">
        <f>IF(A19stdlife="n/a","n/a",IF(AV$3&gt;(A19stdlife+$E314),('PTRM input'!$I$161*(1+rvanilla03)^0.5)-SUM($I314:AU314),('PTRM input'!$I$161*(1+rvanilla03)^0.5)/A19stdlife))</f>
        <v>0</v>
      </c>
      <c r="AW314" s="107">
        <f>IF(A19stdlife="n/a","n/a",IF(AW$3&gt;(A19stdlife+$E314),('PTRM input'!$I$161*(1+rvanilla03)^0.5)-SUM($I314:AV314),('PTRM input'!$I$161*(1+rvanilla03)^0.5)/A19stdlife))</f>
        <v>0</v>
      </c>
      <c r="AX314" s="107">
        <f>IF(A19stdlife="n/a","n/a",IF(AX$3&gt;(A19stdlife+$E314),('PTRM input'!$I$161*(1+rvanilla03)^0.5)-SUM($I314:AW314),('PTRM input'!$I$161*(1+rvanilla03)^0.5)/A19stdlife))</f>
        <v>0</v>
      </c>
      <c r="AY314" s="107">
        <f>IF(A19stdlife="n/a","n/a",IF(AY$3&gt;(A19stdlife+$E314),('PTRM input'!$I$161*(1+rvanilla03)^0.5)-SUM($I314:AX314),('PTRM input'!$I$161*(1+rvanilla03)^0.5)/A19stdlife))</f>
        <v>0</v>
      </c>
      <c r="AZ314" s="107">
        <f>IF(A19stdlife="n/a","n/a",IF(AZ$3&gt;(A19stdlife+$E314),('PTRM input'!$I$161*(1+rvanilla03)^0.5)-SUM($I314:AY314),('PTRM input'!$I$161*(1+rvanilla03)^0.5)/A19stdlife))</f>
        <v>0</v>
      </c>
      <c r="BA314" s="107">
        <f>IF(A19stdlife="n/a","n/a",IF(BA$3&gt;(A19stdlife+$E314),('PTRM input'!$I$161*(1+rvanilla03)^0.5)-SUM($I314:AZ314),('PTRM input'!$I$161*(1+rvanilla03)^0.5)/A19stdlife))</f>
        <v>0</v>
      </c>
      <c r="BB314" s="107">
        <f>IF(A19stdlife="n/a","n/a",IF(BB$3&gt;(A19stdlife+$E314),('PTRM input'!$I$161*(1+rvanilla03)^0.5)-SUM($I314:BA314),('PTRM input'!$I$161*(1+rvanilla03)^0.5)/A19stdlife))</f>
        <v>0</v>
      </c>
      <c r="BC314" s="107">
        <f>IF(A19stdlife="n/a","n/a",IF(BC$3&gt;(A19stdlife+$E314),('PTRM input'!$I$161*(1+rvanilla03)^0.5)-SUM($I314:BB314),('PTRM input'!$I$161*(1+rvanilla03)^0.5)/A19stdlife))</f>
        <v>0</v>
      </c>
      <c r="BD314" s="107">
        <f>IF(A19stdlife="n/a","n/a",IF(BD$3&gt;(A19stdlife+$E314),('PTRM input'!$I$161*(1+rvanilla03)^0.5)-SUM($I314:BC314),('PTRM input'!$I$161*(1+rvanilla03)^0.5)/A19stdlife))</f>
        <v>0</v>
      </c>
      <c r="BE314" s="107">
        <f>IF(A19stdlife="n/a","n/a",IF(BE$3&gt;(A19stdlife+$E314),('PTRM input'!$I$161*(1+rvanilla03)^0.5)-SUM($I314:BD314),('PTRM input'!$I$161*(1+rvanilla03)^0.5)/A19stdlife))</f>
        <v>0</v>
      </c>
      <c r="BF314" s="107">
        <f>IF(A19stdlife="n/a","n/a",IF(BF$3&gt;(A19stdlife+$E314),('PTRM input'!$I$161*(1+rvanilla03)^0.5)-SUM($I314:BE314),('PTRM input'!$I$161*(1+rvanilla03)^0.5)/A19stdlife))</f>
        <v>0</v>
      </c>
      <c r="BG314" s="107">
        <f>IF(A19stdlife="n/a","n/a",IF(BG$3&gt;(A19stdlife+$E314),('PTRM input'!$I$161*(1+rvanilla03)^0.5)-SUM($I314:BF314),('PTRM input'!$I$161*(1+rvanilla03)^0.5)/A19stdlife))</f>
        <v>0</v>
      </c>
      <c r="BH314" s="107">
        <f>IF(A19stdlife="n/a","n/a",IF(BH$3&gt;(A19stdlife+$E314),('PTRM input'!$I$161*(1+rvanilla03)^0.5)-SUM($I314:BG314),('PTRM input'!$I$161*(1+rvanilla03)^0.5)/A19stdlife))</f>
        <v>0</v>
      </c>
      <c r="BI314" s="107">
        <f>IF(A19stdlife="n/a","n/a",IF(BI$3&gt;(A19stdlife+$E314),('PTRM input'!$I$161*(1+rvanilla03)^0.5)-SUM($I314:BH314),('PTRM input'!$I$161*(1+rvanilla03)^0.5)/A19stdlife))</f>
        <v>0</v>
      </c>
      <c r="BJ314" s="237"/>
      <c r="BK314" s="237"/>
      <c r="BL314" s="237"/>
      <c r="BM314" s="237"/>
    </row>
    <row r="315" spans="1:65" s="190" customFormat="1" hidden="1" outlineLevel="2">
      <c r="A315" s="237"/>
      <c r="B315" s="33"/>
      <c r="C315" s="32"/>
      <c r="D315" s="1618"/>
      <c r="E315" s="169">
        <v>4</v>
      </c>
      <c r="F315" s="35"/>
      <c r="G315" s="184"/>
      <c r="H315" s="186"/>
      <c r="I315" s="186"/>
      <c r="J315" s="185"/>
      <c r="K315" s="107">
        <f>IF(A19stdlife="n/a","n/a",IF(K$3&gt;(A19stdlife+$E315),('PTRM input'!$J$161*(1+rvanilla04)^0.5)-SUM($J315:J315),('PTRM input'!$J$161*(1+rvanilla04)^0.5)/A19stdlife))</f>
        <v>0</v>
      </c>
      <c r="L315" s="107">
        <f>IF(A19stdlife="n/a","n/a",IF(L$3&gt;(A19stdlife+$E315),('PTRM input'!$J$161*(1+rvanilla04)^0.5)-SUM($J315:K315),('PTRM input'!$J$161*(1+rvanilla04)^0.5)/A19stdlife))</f>
        <v>0</v>
      </c>
      <c r="M315" s="107">
        <f>IF(A19stdlife="n/a","n/a",IF(M$3&gt;(A19stdlife+$E315),('PTRM input'!$J$161*(1+rvanilla04)^0.5)-SUM($J315:L315),('PTRM input'!$J$161*(1+rvanilla04)^0.5)/A19stdlife))</f>
        <v>0</v>
      </c>
      <c r="N315" s="107">
        <f>IF(A19stdlife="n/a","n/a",IF(N$3&gt;(A19stdlife+$E315),('PTRM input'!$J$161*(1+rvanilla04)^0.5)-SUM($J315:M315),('PTRM input'!$J$161*(1+rvanilla04)^0.5)/A19stdlife))</f>
        <v>0</v>
      </c>
      <c r="O315" s="107">
        <f>IF(A19stdlife="n/a","n/a",IF(O$3&gt;(A19stdlife+$E315),('PTRM input'!$J$161*(1+rvanilla04)^0.5)-SUM($J315:N315),('PTRM input'!$J$161*(1+rvanilla04)^0.5)/A19stdlife))</f>
        <v>0</v>
      </c>
      <c r="P315" s="107">
        <f>IF(A19stdlife="n/a","n/a",IF(P$3&gt;(A19stdlife+$E315),('PTRM input'!$J$161*(1+rvanilla04)^0.5)-SUM($J315:O315),('PTRM input'!$J$161*(1+rvanilla04)^0.5)/A19stdlife))</f>
        <v>0</v>
      </c>
      <c r="Q315" s="107">
        <f>IF(A19stdlife="n/a","n/a",IF(Q$3&gt;(A19stdlife+$E315),('PTRM input'!$J$161*(1+rvanilla04)^0.5)-SUM($J315:P315),('PTRM input'!$J$161*(1+rvanilla04)^0.5)/A19stdlife))</f>
        <v>0</v>
      </c>
      <c r="R315" s="107">
        <f>IF(A19stdlife="n/a","n/a",IF(R$3&gt;(A19stdlife+$E315),('PTRM input'!$J$161*(1+rvanilla04)^0.5)-SUM($J315:Q315),('PTRM input'!$J$161*(1+rvanilla04)^0.5)/A19stdlife))</f>
        <v>0</v>
      </c>
      <c r="S315" s="107">
        <f>IF(A19stdlife="n/a","n/a",IF(S$3&gt;(A19stdlife+$E315),('PTRM input'!$J$161*(1+rvanilla04)^0.5)-SUM($J315:R315),('PTRM input'!$J$161*(1+rvanilla04)^0.5)/A19stdlife))</f>
        <v>0</v>
      </c>
      <c r="T315" s="107">
        <f>IF(A19stdlife="n/a","n/a",IF(T$3&gt;(A19stdlife+$E315),('PTRM input'!$J$161*(1+rvanilla04)^0.5)-SUM($J315:S315),('PTRM input'!$J$161*(1+rvanilla04)^0.5)/A19stdlife))</f>
        <v>0</v>
      </c>
      <c r="U315" s="107">
        <f>IF(A19stdlife="n/a","n/a",IF(U$3&gt;(A19stdlife+$E315),('PTRM input'!$J$161*(1+rvanilla04)^0.5)-SUM($J315:T315),('PTRM input'!$J$161*(1+rvanilla04)^0.5)/A19stdlife))</f>
        <v>0</v>
      </c>
      <c r="V315" s="107">
        <f>IF(A19stdlife="n/a","n/a",IF(V$3&gt;(A19stdlife+$E315),('PTRM input'!$J$161*(1+rvanilla04)^0.5)-SUM($J315:U315),('PTRM input'!$J$161*(1+rvanilla04)^0.5)/A19stdlife))</f>
        <v>0</v>
      </c>
      <c r="W315" s="107">
        <f>IF(A19stdlife="n/a","n/a",IF(W$3&gt;(A19stdlife+$E315),('PTRM input'!$J$161*(1+rvanilla04)^0.5)-SUM($J315:V315),('PTRM input'!$J$161*(1+rvanilla04)^0.5)/A19stdlife))</f>
        <v>0</v>
      </c>
      <c r="X315" s="107">
        <f>IF(A19stdlife="n/a","n/a",IF(X$3&gt;(A19stdlife+$E315),('PTRM input'!$J$161*(1+rvanilla04)^0.5)-SUM($J315:W315),('PTRM input'!$J$161*(1+rvanilla04)^0.5)/A19stdlife))</f>
        <v>0</v>
      </c>
      <c r="Y315" s="107">
        <f>IF(A19stdlife="n/a","n/a",IF(Y$3&gt;(A19stdlife+$E315),('PTRM input'!$J$161*(1+rvanilla04)^0.5)-SUM($J315:X315),('PTRM input'!$J$161*(1+rvanilla04)^0.5)/A19stdlife))</f>
        <v>0</v>
      </c>
      <c r="Z315" s="107">
        <f>IF(A19stdlife="n/a","n/a",IF(Z$3&gt;(A19stdlife+$E315),('PTRM input'!$J$161*(1+rvanilla04)^0.5)-SUM($J315:Y315),('PTRM input'!$J$161*(1+rvanilla04)^0.5)/A19stdlife))</f>
        <v>0</v>
      </c>
      <c r="AA315" s="107">
        <f>IF(A19stdlife="n/a","n/a",IF(AA$3&gt;(A19stdlife+$E315),('PTRM input'!$J$161*(1+rvanilla04)^0.5)-SUM($J315:Z315),('PTRM input'!$J$161*(1+rvanilla04)^0.5)/A19stdlife))</f>
        <v>0</v>
      </c>
      <c r="AB315" s="107">
        <f>IF(A19stdlife="n/a","n/a",IF(AB$3&gt;(A19stdlife+$E315),('PTRM input'!$J$161*(1+rvanilla04)^0.5)-SUM($J315:AA315),('PTRM input'!$J$161*(1+rvanilla04)^0.5)/A19stdlife))</f>
        <v>0</v>
      </c>
      <c r="AC315" s="107">
        <f>IF(A19stdlife="n/a","n/a",IF(AC$3&gt;(A19stdlife+$E315),('PTRM input'!$J$161*(1+rvanilla04)^0.5)-SUM($J315:AB315),('PTRM input'!$J$161*(1+rvanilla04)^0.5)/A19stdlife))</f>
        <v>0</v>
      </c>
      <c r="AD315" s="107">
        <f>IF(A19stdlife="n/a","n/a",IF(AD$3&gt;(A19stdlife+$E315),('PTRM input'!$J$161*(1+rvanilla04)^0.5)-SUM($J315:AC315),('PTRM input'!$J$161*(1+rvanilla04)^0.5)/A19stdlife))</f>
        <v>0</v>
      </c>
      <c r="AE315" s="107">
        <f>IF(A19stdlife="n/a","n/a",IF(AE$3&gt;(A19stdlife+$E315),('PTRM input'!$J$161*(1+rvanilla04)^0.5)-SUM($J315:AD315),('PTRM input'!$J$161*(1+rvanilla04)^0.5)/A19stdlife))</f>
        <v>0</v>
      </c>
      <c r="AF315" s="107">
        <f>IF(A19stdlife="n/a","n/a",IF(AF$3&gt;(A19stdlife+$E315),('PTRM input'!$J$161*(1+rvanilla04)^0.5)-SUM($J315:AE315),('PTRM input'!$J$161*(1+rvanilla04)^0.5)/A19stdlife))</f>
        <v>0</v>
      </c>
      <c r="AG315" s="107">
        <f>IF(A19stdlife="n/a","n/a",IF(AG$3&gt;(A19stdlife+$E315),('PTRM input'!$J$161*(1+rvanilla04)^0.5)-SUM($J315:AF315),('PTRM input'!$J$161*(1+rvanilla04)^0.5)/A19stdlife))</f>
        <v>0</v>
      </c>
      <c r="AH315" s="107">
        <f>IF(A19stdlife="n/a","n/a",IF(AH$3&gt;(A19stdlife+$E315),('PTRM input'!$J$161*(1+rvanilla04)^0.5)-SUM($J315:AG315),('PTRM input'!$J$161*(1+rvanilla04)^0.5)/A19stdlife))</f>
        <v>0</v>
      </c>
      <c r="AI315" s="107">
        <f>IF(A19stdlife="n/a","n/a",IF(AI$3&gt;(A19stdlife+$E315),('PTRM input'!$J$161*(1+rvanilla04)^0.5)-SUM($J315:AH315),('PTRM input'!$J$161*(1+rvanilla04)^0.5)/A19stdlife))</f>
        <v>0</v>
      </c>
      <c r="AJ315" s="107">
        <f>IF(A19stdlife="n/a","n/a",IF(AJ$3&gt;(A19stdlife+$E315),('PTRM input'!$J$161*(1+rvanilla04)^0.5)-SUM($J315:AI315),('PTRM input'!$J$161*(1+rvanilla04)^0.5)/A19stdlife))</f>
        <v>0</v>
      </c>
      <c r="AK315" s="107">
        <f>IF(A19stdlife="n/a","n/a",IF(AK$3&gt;(A19stdlife+$E315),('PTRM input'!$J$161*(1+rvanilla04)^0.5)-SUM($J315:AJ315),('PTRM input'!$J$161*(1+rvanilla04)^0.5)/A19stdlife))</f>
        <v>0</v>
      </c>
      <c r="AL315" s="107">
        <f>IF(A19stdlife="n/a","n/a",IF(AL$3&gt;(A19stdlife+$E315),('PTRM input'!$J$161*(1+rvanilla04)^0.5)-SUM($J315:AK315),('PTRM input'!$J$161*(1+rvanilla04)^0.5)/A19stdlife))</f>
        <v>0</v>
      </c>
      <c r="AM315" s="107">
        <f>IF(A19stdlife="n/a","n/a",IF(AM$3&gt;(A19stdlife+$E315),('PTRM input'!$J$161*(1+rvanilla04)^0.5)-SUM($J315:AL315),('PTRM input'!$J$161*(1+rvanilla04)^0.5)/A19stdlife))</f>
        <v>0</v>
      </c>
      <c r="AN315" s="107">
        <f>IF(A19stdlife="n/a","n/a",IF(AN$3&gt;(A19stdlife+$E315),('PTRM input'!$J$161*(1+rvanilla04)^0.5)-SUM($J315:AM315),('PTRM input'!$J$161*(1+rvanilla04)^0.5)/A19stdlife))</f>
        <v>0</v>
      </c>
      <c r="AO315" s="107">
        <f>IF(A19stdlife="n/a","n/a",IF(AO$3&gt;(A19stdlife+$E315),('PTRM input'!$J$161*(1+rvanilla04)^0.5)-SUM($J315:AN315),('PTRM input'!$J$161*(1+rvanilla04)^0.5)/A19stdlife))</f>
        <v>0</v>
      </c>
      <c r="AP315" s="107">
        <f>IF(A19stdlife="n/a","n/a",IF(AP$3&gt;(A19stdlife+$E315),('PTRM input'!$J$161*(1+rvanilla04)^0.5)-SUM($J315:AO315),('PTRM input'!$J$161*(1+rvanilla04)^0.5)/A19stdlife))</f>
        <v>0</v>
      </c>
      <c r="AQ315" s="107">
        <f>IF(A19stdlife="n/a","n/a",IF(AQ$3&gt;(A19stdlife+$E315),('PTRM input'!$J$161*(1+rvanilla04)^0.5)-SUM($J315:AP315),('PTRM input'!$J$161*(1+rvanilla04)^0.5)/A19stdlife))</f>
        <v>0</v>
      </c>
      <c r="AR315" s="107">
        <f>IF(A19stdlife="n/a","n/a",IF(AR$3&gt;(A19stdlife+$E315),('PTRM input'!$J$161*(1+rvanilla04)^0.5)-SUM($J315:AQ315),('PTRM input'!$J$161*(1+rvanilla04)^0.5)/A19stdlife))</f>
        <v>0</v>
      </c>
      <c r="AS315" s="107">
        <f>IF(A19stdlife="n/a","n/a",IF(AS$3&gt;(A19stdlife+$E315),('PTRM input'!$J$161*(1+rvanilla04)^0.5)-SUM($J315:AR315),('PTRM input'!$J$161*(1+rvanilla04)^0.5)/A19stdlife))</f>
        <v>0</v>
      </c>
      <c r="AT315" s="107">
        <f>IF(A19stdlife="n/a","n/a",IF(AT$3&gt;(A19stdlife+$E315),('PTRM input'!$J$161*(1+rvanilla04)^0.5)-SUM($J315:AS315),('PTRM input'!$J$161*(1+rvanilla04)^0.5)/A19stdlife))</f>
        <v>0</v>
      </c>
      <c r="AU315" s="107">
        <f>IF(A19stdlife="n/a","n/a",IF(AU$3&gt;(A19stdlife+$E315),('PTRM input'!$J$161*(1+rvanilla04)^0.5)-SUM($J315:AT315),('PTRM input'!$J$161*(1+rvanilla04)^0.5)/A19stdlife))</f>
        <v>0</v>
      </c>
      <c r="AV315" s="107">
        <f>IF(A19stdlife="n/a","n/a",IF(AV$3&gt;(A19stdlife+$E315),('PTRM input'!$J$161*(1+rvanilla04)^0.5)-SUM($J315:AU315),('PTRM input'!$J$161*(1+rvanilla04)^0.5)/A19stdlife))</f>
        <v>0</v>
      </c>
      <c r="AW315" s="107">
        <f>IF(A19stdlife="n/a","n/a",IF(AW$3&gt;(A19stdlife+$E315),('PTRM input'!$J$161*(1+rvanilla04)^0.5)-SUM($J315:AV315),('PTRM input'!$J$161*(1+rvanilla04)^0.5)/A19stdlife))</f>
        <v>0</v>
      </c>
      <c r="AX315" s="107">
        <f>IF(A19stdlife="n/a","n/a",IF(AX$3&gt;(A19stdlife+$E315),('PTRM input'!$J$161*(1+rvanilla04)^0.5)-SUM($J315:AW315),('PTRM input'!$J$161*(1+rvanilla04)^0.5)/A19stdlife))</f>
        <v>0</v>
      </c>
      <c r="AY315" s="107">
        <f>IF(A19stdlife="n/a","n/a",IF(AY$3&gt;(A19stdlife+$E315),('PTRM input'!$J$161*(1+rvanilla04)^0.5)-SUM($J315:AX315),('PTRM input'!$J$161*(1+rvanilla04)^0.5)/A19stdlife))</f>
        <v>0</v>
      </c>
      <c r="AZ315" s="107">
        <f>IF(A19stdlife="n/a","n/a",IF(AZ$3&gt;(A19stdlife+$E315),('PTRM input'!$J$161*(1+rvanilla04)^0.5)-SUM($J315:AY315),('PTRM input'!$J$161*(1+rvanilla04)^0.5)/A19stdlife))</f>
        <v>0</v>
      </c>
      <c r="BA315" s="107">
        <f>IF(A19stdlife="n/a","n/a",IF(BA$3&gt;(A19stdlife+$E315),('PTRM input'!$J$161*(1+rvanilla04)^0.5)-SUM($J315:AZ315),('PTRM input'!$J$161*(1+rvanilla04)^0.5)/A19stdlife))</f>
        <v>0</v>
      </c>
      <c r="BB315" s="107">
        <f>IF(A19stdlife="n/a","n/a",IF(BB$3&gt;(A19stdlife+$E315),('PTRM input'!$J$161*(1+rvanilla04)^0.5)-SUM($J315:BA315),('PTRM input'!$J$161*(1+rvanilla04)^0.5)/A19stdlife))</f>
        <v>0</v>
      </c>
      <c r="BC315" s="107">
        <f>IF(A19stdlife="n/a","n/a",IF(BC$3&gt;(A19stdlife+$E315),('PTRM input'!$J$161*(1+rvanilla04)^0.5)-SUM($J315:BB315),('PTRM input'!$J$161*(1+rvanilla04)^0.5)/A19stdlife))</f>
        <v>0</v>
      </c>
      <c r="BD315" s="107">
        <f>IF(A19stdlife="n/a","n/a",IF(BD$3&gt;(A19stdlife+$E315),('PTRM input'!$J$161*(1+rvanilla04)^0.5)-SUM($J315:BC315),('PTRM input'!$J$161*(1+rvanilla04)^0.5)/A19stdlife))</f>
        <v>0</v>
      </c>
      <c r="BE315" s="107">
        <f>IF(A19stdlife="n/a","n/a",IF(BE$3&gt;(A19stdlife+$E315),('PTRM input'!$J$161*(1+rvanilla04)^0.5)-SUM($J315:BD315),('PTRM input'!$J$161*(1+rvanilla04)^0.5)/A19stdlife))</f>
        <v>0</v>
      </c>
      <c r="BF315" s="107">
        <f>IF(A19stdlife="n/a","n/a",IF(BF$3&gt;(A19stdlife+$E315),('PTRM input'!$J$161*(1+rvanilla04)^0.5)-SUM($J315:BE315),('PTRM input'!$J$161*(1+rvanilla04)^0.5)/A19stdlife))</f>
        <v>0</v>
      </c>
      <c r="BG315" s="107">
        <f>IF(A19stdlife="n/a","n/a",IF(BG$3&gt;(A19stdlife+$E315),('PTRM input'!$J$161*(1+rvanilla04)^0.5)-SUM($J315:BF315),('PTRM input'!$J$161*(1+rvanilla04)^0.5)/A19stdlife))</f>
        <v>0</v>
      </c>
      <c r="BH315" s="107">
        <f>IF(A19stdlife="n/a","n/a",IF(BH$3&gt;(A19stdlife+$E315),('PTRM input'!$J$161*(1+rvanilla04)^0.5)-SUM($J315:BG315),('PTRM input'!$J$161*(1+rvanilla04)^0.5)/A19stdlife))</f>
        <v>0</v>
      </c>
      <c r="BI315" s="107">
        <f>IF(A19stdlife="n/a","n/a",IF(BI$3&gt;(A19stdlife+$E315),('PTRM input'!$J$161*(1+rvanilla04)^0.5)-SUM($J315:BH315),('PTRM input'!$J$161*(1+rvanilla04)^0.5)/A19stdlife))</f>
        <v>0</v>
      </c>
      <c r="BJ315" s="237"/>
      <c r="BK315" s="237"/>
      <c r="BL315" s="237"/>
      <c r="BM315" s="237"/>
    </row>
    <row r="316" spans="1:65" s="190" customFormat="1" hidden="1" outlineLevel="2">
      <c r="A316" s="237"/>
      <c r="B316" s="33"/>
      <c r="C316" s="32"/>
      <c r="D316" s="1618"/>
      <c r="E316" s="169">
        <v>5</v>
      </c>
      <c r="F316" s="35"/>
      <c r="G316" s="184"/>
      <c r="H316" s="186"/>
      <c r="I316" s="186"/>
      <c r="J316" s="186"/>
      <c r="K316" s="185"/>
      <c r="L316" s="107">
        <f>IF(A19stdlife="n/a","n/a",IF(L$3&gt;(A19stdlife+$E316),('PTRM input'!$K$161*(1+rvanilla05)^0.5)-SUM($K316:K316),('PTRM input'!$K$161*(1+rvanilla05)^0.5)/A19stdlife))</f>
        <v>0</v>
      </c>
      <c r="M316" s="107">
        <f>IF(A19stdlife="n/a","n/a",IF(M$3&gt;(A19stdlife+$E316),('PTRM input'!$K$161*(1+rvanilla05)^0.5)-SUM($K316:L316),('PTRM input'!$K$161*(1+rvanilla05)^0.5)/A19stdlife))</f>
        <v>0</v>
      </c>
      <c r="N316" s="107">
        <f>IF(A19stdlife="n/a","n/a",IF(N$3&gt;(A19stdlife+$E316),('PTRM input'!$K$161*(1+rvanilla05)^0.5)-SUM($K316:M316),('PTRM input'!$K$161*(1+rvanilla05)^0.5)/A19stdlife))</f>
        <v>0</v>
      </c>
      <c r="O316" s="107">
        <f>IF(A19stdlife="n/a","n/a",IF(O$3&gt;(A19stdlife+$E316),('PTRM input'!$K$161*(1+rvanilla05)^0.5)-SUM($K316:N316),('PTRM input'!$K$161*(1+rvanilla05)^0.5)/A19stdlife))</f>
        <v>0</v>
      </c>
      <c r="P316" s="107">
        <f>IF(A19stdlife="n/a","n/a",IF(P$3&gt;(A19stdlife+$E316),('PTRM input'!$K$161*(1+rvanilla05)^0.5)-SUM($K316:O316),('PTRM input'!$K$161*(1+rvanilla05)^0.5)/A19stdlife))</f>
        <v>0</v>
      </c>
      <c r="Q316" s="107">
        <f>IF(A19stdlife="n/a","n/a",IF(Q$3&gt;(A19stdlife+$E316),('PTRM input'!$K$161*(1+rvanilla05)^0.5)-SUM($K316:P316),('PTRM input'!$K$161*(1+rvanilla05)^0.5)/A19stdlife))</f>
        <v>0</v>
      </c>
      <c r="R316" s="107">
        <f>IF(A19stdlife="n/a","n/a",IF(R$3&gt;(A19stdlife+$E316),('PTRM input'!$K$161*(1+rvanilla05)^0.5)-SUM($K316:Q316),('PTRM input'!$K$161*(1+rvanilla05)^0.5)/A19stdlife))</f>
        <v>0</v>
      </c>
      <c r="S316" s="107">
        <f>IF(A19stdlife="n/a","n/a",IF(S$3&gt;(A19stdlife+$E316),('PTRM input'!$K$161*(1+rvanilla05)^0.5)-SUM($K316:R316),('PTRM input'!$K$161*(1+rvanilla05)^0.5)/A19stdlife))</f>
        <v>0</v>
      </c>
      <c r="T316" s="107">
        <f>IF(A19stdlife="n/a","n/a",IF(T$3&gt;(A19stdlife+$E316),('PTRM input'!$K$161*(1+rvanilla05)^0.5)-SUM($K316:S316),('PTRM input'!$K$161*(1+rvanilla05)^0.5)/A19stdlife))</f>
        <v>0</v>
      </c>
      <c r="U316" s="107">
        <f>IF(A19stdlife="n/a","n/a",IF(U$3&gt;(A19stdlife+$E316),('PTRM input'!$K$161*(1+rvanilla05)^0.5)-SUM($K316:T316),('PTRM input'!$K$161*(1+rvanilla05)^0.5)/A19stdlife))</f>
        <v>0</v>
      </c>
      <c r="V316" s="107">
        <f>IF(A19stdlife="n/a","n/a",IF(V$3&gt;(A19stdlife+$E316),('PTRM input'!$K$161*(1+rvanilla05)^0.5)-SUM($K316:U316),('PTRM input'!$K$161*(1+rvanilla05)^0.5)/A19stdlife))</f>
        <v>0</v>
      </c>
      <c r="W316" s="107">
        <f>IF(A19stdlife="n/a","n/a",IF(W$3&gt;(A19stdlife+$E316),('PTRM input'!$K$161*(1+rvanilla05)^0.5)-SUM($K316:V316),('PTRM input'!$K$161*(1+rvanilla05)^0.5)/A19stdlife))</f>
        <v>0</v>
      </c>
      <c r="X316" s="107">
        <f>IF(A19stdlife="n/a","n/a",IF(X$3&gt;(A19stdlife+$E316),('PTRM input'!$K$161*(1+rvanilla05)^0.5)-SUM($K316:W316),('PTRM input'!$K$161*(1+rvanilla05)^0.5)/A19stdlife))</f>
        <v>0</v>
      </c>
      <c r="Y316" s="107">
        <f>IF(A19stdlife="n/a","n/a",IF(Y$3&gt;(A19stdlife+$E316),('PTRM input'!$K$161*(1+rvanilla05)^0.5)-SUM($K316:X316),('PTRM input'!$K$161*(1+rvanilla05)^0.5)/A19stdlife))</f>
        <v>0</v>
      </c>
      <c r="Z316" s="107">
        <f>IF(A19stdlife="n/a","n/a",IF(Z$3&gt;(A19stdlife+$E316),('PTRM input'!$K$161*(1+rvanilla05)^0.5)-SUM($K316:Y316),('PTRM input'!$K$161*(1+rvanilla05)^0.5)/A19stdlife))</f>
        <v>0</v>
      </c>
      <c r="AA316" s="107">
        <f>IF(A19stdlife="n/a","n/a",IF(AA$3&gt;(A19stdlife+$E316),('PTRM input'!$K$161*(1+rvanilla05)^0.5)-SUM($K316:Z316),('PTRM input'!$K$161*(1+rvanilla05)^0.5)/A19stdlife))</f>
        <v>0</v>
      </c>
      <c r="AB316" s="107">
        <f>IF(A19stdlife="n/a","n/a",IF(AB$3&gt;(A19stdlife+$E316),('PTRM input'!$K$161*(1+rvanilla05)^0.5)-SUM($K316:AA316),('PTRM input'!$K$161*(1+rvanilla05)^0.5)/A19stdlife))</f>
        <v>0</v>
      </c>
      <c r="AC316" s="107">
        <f>IF(A19stdlife="n/a","n/a",IF(AC$3&gt;(A19stdlife+$E316),('PTRM input'!$K$161*(1+rvanilla05)^0.5)-SUM($K316:AB316),('PTRM input'!$K$161*(1+rvanilla05)^0.5)/A19stdlife))</f>
        <v>0</v>
      </c>
      <c r="AD316" s="107">
        <f>IF(A19stdlife="n/a","n/a",IF(AD$3&gt;(A19stdlife+$E316),('PTRM input'!$K$161*(1+rvanilla05)^0.5)-SUM($K316:AC316),('PTRM input'!$K$161*(1+rvanilla05)^0.5)/A19stdlife))</f>
        <v>0</v>
      </c>
      <c r="AE316" s="107">
        <f>IF(A19stdlife="n/a","n/a",IF(AE$3&gt;(A19stdlife+$E316),('PTRM input'!$K$161*(1+rvanilla05)^0.5)-SUM($K316:AD316),('PTRM input'!$K$161*(1+rvanilla05)^0.5)/A19stdlife))</f>
        <v>0</v>
      </c>
      <c r="AF316" s="107">
        <f>IF(A19stdlife="n/a","n/a",IF(AF$3&gt;(A19stdlife+$E316),('PTRM input'!$K$161*(1+rvanilla05)^0.5)-SUM($K316:AE316),('PTRM input'!$K$161*(1+rvanilla05)^0.5)/A19stdlife))</f>
        <v>0</v>
      </c>
      <c r="AG316" s="107">
        <f>IF(A19stdlife="n/a","n/a",IF(AG$3&gt;(A19stdlife+$E316),('PTRM input'!$K$161*(1+rvanilla05)^0.5)-SUM($K316:AF316),('PTRM input'!$K$161*(1+rvanilla05)^0.5)/A19stdlife))</f>
        <v>0</v>
      </c>
      <c r="AH316" s="107">
        <f>IF(A19stdlife="n/a","n/a",IF(AH$3&gt;(A19stdlife+$E316),('PTRM input'!$K$161*(1+rvanilla05)^0.5)-SUM($K316:AG316),('PTRM input'!$K$161*(1+rvanilla05)^0.5)/A19stdlife))</f>
        <v>0</v>
      </c>
      <c r="AI316" s="107">
        <f>IF(A19stdlife="n/a","n/a",IF(AI$3&gt;(A19stdlife+$E316),('PTRM input'!$K$161*(1+rvanilla05)^0.5)-SUM($K316:AH316),('PTRM input'!$K$161*(1+rvanilla05)^0.5)/A19stdlife))</f>
        <v>0</v>
      </c>
      <c r="AJ316" s="107">
        <f>IF(A19stdlife="n/a","n/a",IF(AJ$3&gt;(A19stdlife+$E316),('PTRM input'!$K$161*(1+rvanilla05)^0.5)-SUM($K316:AI316),('PTRM input'!$K$161*(1+rvanilla05)^0.5)/A19stdlife))</f>
        <v>0</v>
      </c>
      <c r="AK316" s="107">
        <f>IF(A19stdlife="n/a","n/a",IF(AK$3&gt;(A19stdlife+$E316),('PTRM input'!$K$161*(1+rvanilla05)^0.5)-SUM($K316:AJ316),('PTRM input'!$K$161*(1+rvanilla05)^0.5)/A19stdlife))</f>
        <v>0</v>
      </c>
      <c r="AL316" s="107">
        <f>IF(A19stdlife="n/a","n/a",IF(AL$3&gt;(A19stdlife+$E316),('PTRM input'!$K$161*(1+rvanilla05)^0.5)-SUM($K316:AK316),('PTRM input'!$K$161*(1+rvanilla05)^0.5)/A19stdlife))</f>
        <v>0</v>
      </c>
      <c r="AM316" s="107">
        <f>IF(A19stdlife="n/a","n/a",IF(AM$3&gt;(A19stdlife+$E316),('PTRM input'!$K$161*(1+rvanilla05)^0.5)-SUM($K316:AL316),('PTRM input'!$K$161*(1+rvanilla05)^0.5)/A19stdlife))</f>
        <v>0</v>
      </c>
      <c r="AN316" s="107">
        <f>IF(A19stdlife="n/a","n/a",IF(AN$3&gt;(A19stdlife+$E316),('PTRM input'!$K$161*(1+rvanilla05)^0.5)-SUM($K316:AM316),('PTRM input'!$K$161*(1+rvanilla05)^0.5)/A19stdlife))</f>
        <v>0</v>
      </c>
      <c r="AO316" s="107">
        <f>IF(A19stdlife="n/a","n/a",IF(AO$3&gt;(A19stdlife+$E316),('PTRM input'!$K$161*(1+rvanilla05)^0.5)-SUM($K316:AN316),('PTRM input'!$K$161*(1+rvanilla05)^0.5)/A19stdlife))</f>
        <v>0</v>
      </c>
      <c r="AP316" s="107">
        <f>IF(A19stdlife="n/a","n/a",IF(AP$3&gt;(A19stdlife+$E316),('PTRM input'!$K$161*(1+rvanilla05)^0.5)-SUM($K316:AO316),('PTRM input'!$K$161*(1+rvanilla05)^0.5)/A19stdlife))</f>
        <v>0</v>
      </c>
      <c r="AQ316" s="107">
        <f>IF(A19stdlife="n/a","n/a",IF(AQ$3&gt;(A19stdlife+$E316),('PTRM input'!$K$161*(1+rvanilla05)^0.5)-SUM($K316:AP316),('PTRM input'!$K$161*(1+rvanilla05)^0.5)/A19stdlife))</f>
        <v>0</v>
      </c>
      <c r="AR316" s="107">
        <f>IF(A19stdlife="n/a","n/a",IF(AR$3&gt;(A19stdlife+$E316),('PTRM input'!$K$161*(1+rvanilla05)^0.5)-SUM($K316:AQ316),('PTRM input'!$K$161*(1+rvanilla05)^0.5)/A19stdlife))</f>
        <v>0</v>
      </c>
      <c r="AS316" s="107">
        <f>IF(A19stdlife="n/a","n/a",IF(AS$3&gt;(A19stdlife+$E316),('PTRM input'!$K$161*(1+rvanilla05)^0.5)-SUM($K316:AR316),('PTRM input'!$K$161*(1+rvanilla05)^0.5)/A19stdlife))</f>
        <v>0</v>
      </c>
      <c r="AT316" s="107">
        <f>IF(A19stdlife="n/a","n/a",IF(AT$3&gt;(A19stdlife+$E316),('PTRM input'!$K$161*(1+rvanilla05)^0.5)-SUM($K316:AS316),('PTRM input'!$K$161*(1+rvanilla05)^0.5)/A19stdlife))</f>
        <v>0</v>
      </c>
      <c r="AU316" s="107">
        <f>IF(A19stdlife="n/a","n/a",IF(AU$3&gt;(A19stdlife+$E316),('PTRM input'!$K$161*(1+rvanilla05)^0.5)-SUM($K316:AT316),('PTRM input'!$K$161*(1+rvanilla05)^0.5)/A19stdlife))</f>
        <v>0</v>
      </c>
      <c r="AV316" s="107">
        <f>IF(A19stdlife="n/a","n/a",IF(AV$3&gt;(A19stdlife+$E316),('PTRM input'!$K$161*(1+rvanilla05)^0.5)-SUM($K316:AU316),('PTRM input'!$K$161*(1+rvanilla05)^0.5)/A19stdlife))</f>
        <v>0</v>
      </c>
      <c r="AW316" s="107">
        <f>IF(A19stdlife="n/a","n/a",IF(AW$3&gt;(A19stdlife+$E316),('PTRM input'!$K$161*(1+rvanilla05)^0.5)-SUM($K316:AV316),('PTRM input'!$K$161*(1+rvanilla05)^0.5)/A19stdlife))</f>
        <v>0</v>
      </c>
      <c r="AX316" s="107">
        <f>IF(A19stdlife="n/a","n/a",IF(AX$3&gt;(A19stdlife+$E316),('PTRM input'!$K$161*(1+rvanilla05)^0.5)-SUM($K316:AW316),('PTRM input'!$K$161*(1+rvanilla05)^0.5)/A19stdlife))</f>
        <v>0</v>
      </c>
      <c r="AY316" s="107">
        <f>IF(A19stdlife="n/a","n/a",IF(AY$3&gt;(A19stdlife+$E316),('PTRM input'!$K$161*(1+rvanilla05)^0.5)-SUM($K316:AX316),('PTRM input'!$K$161*(1+rvanilla05)^0.5)/A19stdlife))</f>
        <v>0</v>
      </c>
      <c r="AZ316" s="107">
        <f>IF(A19stdlife="n/a","n/a",IF(AZ$3&gt;(A19stdlife+$E316),('PTRM input'!$K$161*(1+rvanilla05)^0.5)-SUM($K316:AY316),('PTRM input'!$K$161*(1+rvanilla05)^0.5)/A19stdlife))</f>
        <v>0</v>
      </c>
      <c r="BA316" s="107">
        <f>IF(A19stdlife="n/a","n/a",IF(BA$3&gt;(A19stdlife+$E316),('PTRM input'!$K$161*(1+rvanilla05)^0.5)-SUM($K316:AZ316),('PTRM input'!$K$161*(1+rvanilla05)^0.5)/A19stdlife))</f>
        <v>0</v>
      </c>
      <c r="BB316" s="107">
        <f>IF(A19stdlife="n/a","n/a",IF(BB$3&gt;(A19stdlife+$E316),('PTRM input'!$K$161*(1+rvanilla05)^0.5)-SUM($K316:BA316),('PTRM input'!$K$161*(1+rvanilla05)^0.5)/A19stdlife))</f>
        <v>0</v>
      </c>
      <c r="BC316" s="107">
        <f>IF(A19stdlife="n/a","n/a",IF(BC$3&gt;(A19stdlife+$E316),('PTRM input'!$K$161*(1+rvanilla05)^0.5)-SUM($K316:BB316),('PTRM input'!$K$161*(1+rvanilla05)^0.5)/A19stdlife))</f>
        <v>0</v>
      </c>
      <c r="BD316" s="107">
        <f>IF(A19stdlife="n/a","n/a",IF(BD$3&gt;(A19stdlife+$E316),('PTRM input'!$K$161*(1+rvanilla05)^0.5)-SUM($K316:BC316),('PTRM input'!$K$161*(1+rvanilla05)^0.5)/A19stdlife))</f>
        <v>0</v>
      </c>
      <c r="BE316" s="107">
        <f>IF(A19stdlife="n/a","n/a",IF(BE$3&gt;(A19stdlife+$E316),('PTRM input'!$K$161*(1+rvanilla05)^0.5)-SUM($K316:BD316),('PTRM input'!$K$161*(1+rvanilla05)^0.5)/A19stdlife))</f>
        <v>0</v>
      </c>
      <c r="BF316" s="107">
        <f>IF(A19stdlife="n/a","n/a",IF(BF$3&gt;(A19stdlife+$E316),('PTRM input'!$K$161*(1+rvanilla05)^0.5)-SUM($K316:BE316),('PTRM input'!$K$161*(1+rvanilla05)^0.5)/A19stdlife))</f>
        <v>0</v>
      </c>
      <c r="BG316" s="107">
        <f>IF(A19stdlife="n/a","n/a",IF(BG$3&gt;(A19stdlife+$E316),('PTRM input'!$K$161*(1+rvanilla05)^0.5)-SUM($K316:BF316),('PTRM input'!$K$161*(1+rvanilla05)^0.5)/A19stdlife))</f>
        <v>0</v>
      </c>
      <c r="BH316" s="107">
        <f>IF(A19stdlife="n/a","n/a",IF(BH$3&gt;(A19stdlife+$E316),('PTRM input'!$K$161*(1+rvanilla05)^0.5)-SUM($K316:BG316),('PTRM input'!$K$161*(1+rvanilla05)^0.5)/A19stdlife))</f>
        <v>0</v>
      </c>
      <c r="BI316" s="107">
        <f>IF(A19stdlife="n/a","n/a",IF(BI$3&gt;(A19stdlife+$E316),('PTRM input'!$K$161*(1+rvanilla05)^0.5)-SUM($K316:BH316),('PTRM input'!$K$161*(1+rvanilla05)^0.5)/A19stdlife))</f>
        <v>0</v>
      </c>
      <c r="BJ316" s="237"/>
      <c r="BK316" s="237"/>
      <c r="BL316" s="237"/>
      <c r="BM316" s="237"/>
    </row>
    <row r="317" spans="1:65" s="190" customFormat="1" hidden="1" outlineLevel="2">
      <c r="A317" s="237"/>
      <c r="B317" s="33"/>
      <c r="C317" s="32"/>
      <c r="D317" s="1618"/>
      <c r="E317" s="169">
        <v>6</v>
      </c>
      <c r="F317" s="35"/>
      <c r="G317" s="184"/>
      <c r="H317" s="186"/>
      <c r="I317" s="186"/>
      <c r="J317" s="186"/>
      <c r="K317" s="186"/>
      <c r="L317" s="185"/>
      <c r="M317" s="107">
        <f>IF(A19stdlife="n/a","n/a",IF(M$3&gt;(A19stdlife+$E317),('PTRM input'!$L$161*(1+rvanilla06)^0.5)-SUM($L317:L317),('PTRM input'!$L$161*(1+rvanilla06)^0.5)/A19stdlife))</f>
        <v>0</v>
      </c>
      <c r="N317" s="107">
        <f>IF(A19stdlife="n/a","n/a",IF(N$3&gt;(A19stdlife+$E317),('PTRM input'!$L$161*(1+rvanilla06)^0.5)-SUM($L317:M317),('PTRM input'!$L$161*(1+rvanilla06)^0.5)/A19stdlife))</f>
        <v>0</v>
      </c>
      <c r="O317" s="107">
        <f>IF(A19stdlife="n/a","n/a",IF(O$3&gt;(A19stdlife+$E317),('PTRM input'!$L$161*(1+rvanilla06)^0.5)-SUM($L317:N317),('PTRM input'!$L$161*(1+rvanilla06)^0.5)/A19stdlife))</f>
        <v>0</v>
      </c>
      <c r="P317" s="107">
        <f>IF(A19stdlife="n/a","n/a",IF(P$3&gt;(A19stdlife+$E317),('PTRM input'!$L$161*(1+rvanilla06)^0.5)-SUM($L317:O317),('PTRM input'!$L$161*(1+rvanilla06)^0.5)/A19stdlife))</f>
        <v>0</v>
      </c>
      <c r="Q317" s="107">
        <f>IF(A19stdlife="n/a","n/a",IF(Q$3&gt;(A19stdlife+$E317),('PTRM input'!$L$161*(1+rvanilla06)^0.5)-SUM($L317:P317),('PTRM input'!$L$161*(1+rvanilla06)^0.5)/A19stdlife))</f>
        <v>0</v>
      </c>
      <c r="R317" s="107">
        <f>IF(A19stdlife="n/a","n/a",IF(R$3&gt;(A19stdlife+$E317),('PTRM input'!$L$161*(1+rvanilla06)^0.5)-SUM($L317:Q317),('PTRM input'!$L$161*(1+rvanilla06)^0.5)/A19stdlife))</f>
        <v>0</v>
      </c>
      <c r="S317" s="107">
        <f>IF(A19stdlife="n/a","n/a",IF(S$3&gt;(A19stdlife+$E317),('PTRM input'!$L$161*(1+rvanilla06)^0.5)-SUM($L317:R317),('PTRM input'!$L$161*(1+rvanilla06)^0.5)/A19stdlife))</f>
        <v>0</v>
      </c>
      <c r="T317" s="107">
        <f>IF(A19stdlife="n/a","n/a",IF(T$3&gt;(A19stdlife+$E317),('PTRM input'!$L$161*(1+rvanilla06)^0.5)-SUM($L317:S317),('PTRM input'!$L$161*(1+rvanilla06)^0.5)/A19stdlife))</f>
        <v>0</v>
      </c>
      <c r="U317" s="107">
        <f>IF(A19stdlife="n/a","n/a",IF(U$3&gt;(A19stdlife+$E317),('PTRM input'!$L$161*(1+rvanilla06)^0.5)-SUM($L317:T317),('PTRM input'!$L$161*(1+rvanilla06)^0.5)/A19stdlife))</f>
        <v>0</v>
      </c>
      <c r="V317" s="107">
        <f>IF(A19stdlife="n/a","n/a",IF(V$3&gt;(A19stdlife+$E317),('PTRM input'!$L$161*(1+rvanilla06)^0.5)-SUM($L317:U317),('PTRM input'!$L$161*(1+rvanilla06)^0.5)/A19stdlife))</f>
        <v>0</v>
      </c>
      <c r="W317" s="107">
        <f>IF(A19stdlife="n/a","n/a",IF(W$3&gt;(A19stdlife+$E317),('PTRM input'!$L$161*(1+rvanilla06)^0.5)-SUM($L317:V317),('PTRM input'!$L$161*(1+rvanilla06)^0.5)/A19stdlife))</f>
        <v>0</v>
      </c>
      <c r="X317" s="107">
        <f>IF(A19stdlife="n/a","n/a",IF(X$3&gt;(A19stdlife+$E317),('PTRM input'!$L$161*(1+rvanilla06)^0.5)-SUM($L317:W317),('PTRM input'!$L$161*(1+rvanilla06)^0.5)/A19stdlife))</f>
        <v>0</v>
      </c>
      <c r="Y317" s="107">
        <f>IF(A19stdlife="n/a","n/a",IF(Y$3&gt;(A19stdlife+$E317),('PTRM input'!$L$161*(1+rvanilla06)^0.5)-SUM($L317:X317),('PTRM input'!$L$161*(1+rvanilla06)^0.5)/A19stdlife))</f>
        <v>0</v>
      </c>
      <c r="Z317" s="107">
        <f>IF(A19stdlife="n/a","n/a",IF(Z$3&gt;(A19stdlife+$E317),('PTRM input'!$L$161*(1+rvanilla06)^0.5)-SUM($L317:Y317),('PTRM input'!$L$161*(1+rvanilla06)^0.5)/A19stdlife))</f>
        <v>0</v>
      </c>
      <c r="AA317" s="107">
        <f>IF(A19stdlife="n/a","n/a",IF(AA$3&gt;(A19stdlife+$E317),('PTRM input'!$L$161*(1+rvanilla06)^0.5)-SUM($L317:Z317),('PTRM input'!$L$161*(1+rvanilla06)^0.5)/A19stdlife))</f>
        <v>0</v>
      </c>
      <c r="AB317" s="107">
        <f>IF(A19stdlife="n/a","n/a",IF(AB$3&gt;(A19stdlife+$E317),('PTRM input'!$L$161*(1+rvanilla06)^0.5)-SUM($L317:AA317),('PTRM input'!$L$161*(1+rvanilla06)^0.5)/A19stdlife))</f>
        <v>0</v>
      </c>
      <c r="AC317" s="107">
        <f>IF(A19stdlife="n/a","n/a",IF(AC$3&gt;(A19stdlife+$E317),('PTRM input'!$L$161*(1+rvanilla06)^0.5)-SUM($L317:AB317),('PTRM input'!$L$161*(1+rvanilla06)^0.5)/A19stdlife))</f>
        <v>0</v>
      </c>
      <c r="AD317" s="107">
        <f>IF(A19stdlife="n/a","n/a",IF(AD$3&gt;(A19stdlife+$E317),('PTRM input'!$L$161*(1+rvanilla06)^0.5)-SUM($L317:AC317),('PTRM input'!$L$161*(1+rvanilla06)^0.5)/A19stdlife))</f>
        <v>0</v>
      </c>
      <c r="AE317" s="107">
        <f>IF(A19stdlife="n/a","n/a",IF(AE$3&gt;(A19stdlife+$E317),('PTRM input'!$L$161*(1+rvanilla06)^0.5)-SUM($L317:AD317),('PTRM input'!$L$161*(1+rvanilla06)^0.5)/A19stdlife))</f>
        <v>0</v>
      </c>
      <c r="AF317" s="107">
        <f>IF(A19stdlife="n/a","n/a",IF(AF$3&gt;(A19stdlife+$E317),('PTRM input'!$L$161*(1+rvanilla06)^0.5)-SUM($L317:AE317),('PTRM input'!$L$161*(1+rvanilla06)^0.5)/A19stdlife))</f>
        <v>0</v>
      </c>
      <c r="AG317" s="107">
        <f>IF(A19stdlife="n/a","n/a",IF(AG$3&gt;(A19stdlife+$E317),('PTRM input'!$L$161*(1+rvanilla06)^0.5)-SUM($L317:AF317),('PTRM input'!$L$161*(1+rvanilla06)^0.5)/A19stdlife))</f>
        <v>0</v>
      </c>
      <c r="AH317" s="107">
        <f>IF(A19stdlife="n/a","n/a",IF(AH$3&gt;(A19stdlife+$E317),('PTRM input'!$L$161*(1+rvanilla06)^0.5)-SUM($L317:AG317),('PTRM input'!$L$161*(1+rvanilla06)^0.5)/A19stdlife))</f>
        <v>0</v>
      </c>
      <c r="AI317" s="107">
        <f>IF(A19stdlife="n/a","n/a",IF(AI$3&gt;(A19stdlife+$E317),('PTRM input'!$L$161*(1+rvanilla06)^0.5)-SUM($L317:AH317),('PTRM input'!$L$161*(1+rvanilla06)^0.5)/A19stdlife))</f>
        <v>0</v>
      </c>
      <c r="AJ317" s="107">
        <f>IF(A19stdlife="n/a","n/a",IF(AJ$3&gt;(A19stdlife+$E317),('PTRM input'!$L$161*(1+rvanilla06)^0.5)-SUM($L317:AI317),('PTRM input'!$L$161*(1+rvanilla06)^0.5)/A19stdlife))</f>
        <v>0</v>
      </c>
      <c r="AK317" s="107">
        <f>IF(A19stdlife="n/a","n/a",IF(AK$3&gt;(A19stdlife+$E317),('PTRM input'!$L$161*(1+rvanilla06)^0.5)-SUM($L317:AJ317),('PTRM input'!$L$161*(1+rvanilla06)^0.5)/A19stdlife))</f>
        <v>0</v>
      </c>
      <c r="AL317" s="107">
        <f>IF(A19stdlife="n/a","n/a",IF(AL$3&gt;(A19stdlife+$E317),('PTRM input'!$L$161*(1+rvanilla06)^0.5)-SUM($L317:AK317),('PTRM input'!$L$161*(1+rvanilla06)^0.5)/A19stdlife))</f>
        <v>0</v>
      </c>
      <c r="AM317" s="107">
        <f>IF(A19stdlife="n/a","n/a",IF(AM$3&gt;(A19stdlife+$E317),('PTRM input'!$L$161*(1+rvanilla06)^0.5)-SUM($L317:AL317),('PTRM input'!$L$161*(1+rvanilla06)^0.5)/A19stdlife))</f>
        <v>0</v>
      </c>
      <c r="AN317" s="107">
        <f>IF(A19stdlife="n/a","n/a",IF(AN$3&gt;(A19stdlife+$E317),('PTRM input'!$L$161*(1+rvanilla06)^0.5)-SUM($L317:AM317),('PTRM input'!$L$161*(1+rvanilla06)^0.5)/A19stdlife))</f>
        <v>0</v>
      </c>
      <c r="AO317" s="107">
        <f>IF(A19stdlife="n/a","n/a",IF(AO$3&gt;(A19stdlife+$E317),('PTRM input'!$L$161*(1+rvanilla06)^0.5)-SUM($L317:AN317),('PTRM input'!$L$161*(1+rvanilla06)^0.5)/A19stdlife))</f>
        <v>0</v>
      </c>
      <c r="AP317" s="107">
        <f>IF(A19stdlife="n/a","n/a",IF(AP$3&gt;(A19stdlife+$E317),('PTRM input'!$L$161*(1+rvanilla06)^0.5)-SUM($L317:AO317),('PTRM input'!$L$161*(1+rvanilla06)^0.5)/A19stdlife))</f>
        <v>0</v>
      </c>
      <c r="AQ317" s="107">
        <f>IF(A19stdlife="n/a","n/a",IF(AQ$3&gt;(A19stdlife+$E317),('PTRM input'!$L$161*(1+rvanilla06)^0.5)-SUM($L317:AP317),('PTRM input'!$L$161*(1+rvanilla06)^0.5)/A19stdlife))</f>
        <v>0</v>
      </c>
      <c r="AR317" s="107">
        <f>IF(A19stdlife="n/a","n/a",IF(AR$3&gt;(A19stdlife+$E317),('PTRM input'!$L$161*(1+rvanilla06)^0.5)-SUM($L317:AQ317),('PTRM input'!$L$161*(1+rvanilla06)^0.5)/A19stdlife))</f>
        <v>0</v>
      </c>
      <c r="AS317" s="107">
        <f>IF(A19stdlife="n/a","n/a",IF(AS$3&gt;(A19stdlife+$E317),('PTRM input'!$L$161*(1+rvanilla06)^0.5)-SUM($L317:AR317),('PTRM input'!$L$161*(1+rvanilla06)^0.5)/A19stdlife))</f>
        <v>0</v>
      </c>
      <c r="AT317" s="107">
        <f>IF(A19stdlife="n/a","n/a",IF(AT$3&gt;(A19stdlife+$E317),('PTRM input'!$L$161*(1+rvanilla06)^0.5)-SUM($L317:AS317),('PTRM input'!$L$161*(1+rvanilla06)^0.5)/A19stdlife))</f>
        <v>0</v>
      </c>
      <c r="AU317" s="107">
        <f>IF(A19stdlife="n/a","n/a",IF(AU$3&gt;(A19stdlife+$E317),('PTRM input'!$L$161*(1+rvanilla06)^0.5)-SUM($L317:AT317),('PTRM input'!$L$161*(1+rvanilla06)^0.5)/A19stdlife))</f>
        <v>0</v>
      </c>
      <c r="AV317" s="107">
        <f>IF(A19stdlife="n/a","n/a",IF(AV$3&gt;(A19stdlife+$E317),('PTRM input'!$L$161*(1+rvanilla06)^0.5)-SUM($L317:AU317),('PTRM input'!$L$161*(1+rvanilla06)^0.5)/A19stdlife))</f>
        <v>0</v>
      </c>
      <c r="AW317" s="107">
        <f>IF(A19stdlife="n/a","n/a",IF(AW$3&gt;(A19stdlife+$E317),('PTRM input'!$L$161*(1+rvanilla06)^0.5)-SUM($L317:AV317),('PTRM input'!$L$161*(1+rvanilla06)^0.5)/A19stdlife))</f>
        <v>0</v>
      </c>
      <c r="AX317" s="107">
        <f>IF(A19stdlife="n/a","n/a",IF(AX$3&gt;(A19stdlife+$E317),('PTRM input'!$L$161*(1+rvanilla06)^0.5)-SUM($L317:AW317),('PTRM input'!$L$161*(1+rvanilla06)^0.5)/A19stdlife))</f>
        <v>0</v>
      </c>
      <c r="AY317" s="107">
        <f>IF(A19stdlife="n/a","n/a",IF(AY$3&gt;(A19stdlife+$E317),('PTRM input'!$L$161*(1+rvanilla06)^0.5)-SUM($L317:AX317),('PTRM input'!$L$161*(1+rvanilla06)^0.5)/A19stdlife))</f>
        <v>0</v>
      </c>
      <c r="AZ317" s="107">
        <f>IF(A19stdlife="n/a","n/a",IF(AZ$3&gt;(A19stdlife+$E317),('PTRM input'!$L$161*(1+rvanilla06)^0.5)-SUM($L317:AY317),('PTRM input'!$L$161*(1+rvanilla06)^0.5)/A19stdlife))</f>
        <v>0</v>
      </c>
      <c r="BA317" s="107">
        <f>IF(A19stdlife="n/a","n/a",IF(BA$3&gt;(A19stdlife+$E317),('PTRM input'!$L$161*(1+rvanilla06)^0.5)-SUM($L317:AZ317),('PTRM input'!$L$161*(1+rvanilla06)^0.5)/A19stdlife))</f>
        <v>0</v>
      </c>
      <c r="BB317" s="107">
        <f>IF(A19stdlife="n/a","n/a",IF(BB$3&gt;(A19stdlife+$E317),('PTRM input'!$L$161*(1+rvanilla06)^0.5)-SUM($L317:BA317),('PTRM input'!$L$161*(1+rvanilla06)^0.5)/A19stdlife))</f>
        <v>0</v>
      </c>
      <c r="BC317" s="107">
        <f>IF(A19stdlife="n/a","n/a",IF(BC$3&gt;(A19stdlife+$E317),('PTRM input'!$L$161*(1+rvanilla06)^0.5)-SUM($L317:BB317),('PTRM input'!$L$161*(1+rvanilla06)^0.5)/A19stdlife))</f>
        <v>0</v>
      </c>
      <c r="BD317" s="107">
        <f>IF(A19stdlife="n/a","n/a",IF(BD$3&gt;(A19stdlife+$E317),('PTRM input'!$L$161*(1+rvanilla06)^0.5)-SUM($L317:BC317),('PTRM input'!$L$161*(1+rvanilla06)^0.5)/A19stdlife))</f>
        <v>0</v>
      </c>
      <c r="BE317" s="107">
        <f>IF(A19stdlife="n/a","n/a",IF(BE$3&gt;(A19stdlife+$E317),('PTRM input'!$L$161*(1+rvanilla06)^0.5)-SUM($L317:BD317),('PTRM input'!$L$161*(1+rvanilla06)^0.5)/A19stdlife))</f>
        <v>0</v>
      </c>
      <c r="BF317" s="107">
        <f>IF(A19stdlife="n/a","n/a",IF(BF$3&gt;(A19stdlife+$E317),('PTRM input'!$L$161*(1+rvanilla06)^0.5)-SUM($L317:BE317),('PTRM input'!$L$161*(1+rvanilla06)^0.5)/A19stdlife))</f>
        <v>0</v>
      </c>
      <c r="BG317" s="107">
        <f>IF(A19stdlife="n/a","n/a",IF(BG$3&gt;(A19stdlife+$E317),('PTRM input'!$L$161*(1+rvanilla06)^0.5)-SUM($L317:BF317),('PTRM input'!$L$161*(1+rvanilla06)^0.5)/A19stdlife))</f>
        <v>0</v>
      </c>
      <c r="BH317" s="107">
        <f>IF(A19stdlife="n/a","n/a",IF(BH$3&gt;(A19stdlife+$E317),('PTRM input'!$L$161*(1+rvanilla06)^0.5)-SUM($L317:BG317),('PTRM input'!$L$161*(1+rvanilla06)^0.5)/A19stdlife))</f>
        <v>0</v>
      </c>
      <c r="BI317" s="107">
        <f>IF(A19stdlife="n/a","n/a",IF(BI$3&gt;(A19stdlife+$E317),('PTRM input'!$L$161*(1+rvanilla06)^0.5)-SUM($L317:BH317),('PTRM input'!$L$161*(1+rvanilla06)^0.5)/A19stdlife))</f>
        <v>0</v>
      </c>
      <c r="BJ317" s="237"/>
      <c r="BK317" s="237"/>
      <c r="BL317" s="237"/>
      <c r="BM317" s="237"/>
    </row>
    <row r="318" spans="1:65" s="190" customFormat="1" hidden="1" outlineLevel="2">
      <c r="A318" s="237"/>
      <c r="B318" s="33"/>
      <c r="C318" s="32"/>
      <c r="D318" s="1618"/>
      <c r="E318" s="169">
        <v>7</v>
      </c>
      <c r="F318" s="35"/>
      <c r="G318" s="184"/>
      <c r="H318" s="186"/>
      <c r="I318" s="186"/>
      <c r="J318" s="186"/>
      <c r="K318" s="186"/>
      <c r="L318" s="186"/>
      <c r="M318" s="185"/>
      <c r="N318" s="107">
        <f>IF(A19stdlife="n/a","n/a",IF(N$3&gt;(A19stdlife+$E318),('PTRM input'!$M$161*(1+rvanilla07)^0.5)-SUM($M318:M318),('PTRM input'!$M$161*(1+rvanilla07)^0.5)/A19stdlife))</f>
        <v>0</v>
      </c>
      <c r="O318" s="107">
        <f>IF(A19stdlife="n/a","n/a",IF(O$3&gt;(A19stdlife+$E318),('PTRM input'!$M$161*(1+rvanilla07)^0.5)-SUM($M318:N318),('PTRM input'!$M$161*(1+rvanilla07)^0.5)/A19stdlife))</f>
        <v>0</v>
      </c>
      <c r="P318" s="107">
        <f>IF(A19stdlife="n/a","n/a",IF(P$3&gt;(A19stdlife+$E318),('PTRM input'!$M$161*(1+rvanilla07)^0.5)-SUM($M318:O318),('PTRM input'!$M$161*(1+rvanilla07)^0.5)/A19stdlife))</f>
        <v>0</v>
      </c>
      <c r="Q318" s="107">
        <f>IF(A19stdlife="n/a","n/a",IF(Q$3&gt;(A19stdlife+$E318),('PTRM input'!$M$161*(1+rvanilla07)^0.5)-SUM($M318:P318),('PTRM input'!$M$161*(1+rvanilla07)^0.5)/A19stdlife))</f>
        <v>0</v>
      </c>
      <c r="R318" s="107">
        <f>IF(A19stdlife="n/a","n/a",IF(R$3&gt;(A19stdlife+$E318),('PTRM input'!$M$161*(1+rvanilla07)^0.5)-SUM($M318:Q318),('PTRM input'!$M$161*(1+rvanilla07)^0.5)/A19stdlife))</f>
        <v>0</v>
      </c>
      <c r="S318" s="107">
        <f>IF(A19stdlife="n/a","n/a",IF(S$3&gt;(A19stdlife+$E318),('PTRM input'!$M$161*(1+rvanilla07)^0.5)-SUM($M318:R318),('PTRM input'!$M$161*(1+rvanilla07)^0.5)/A19stdlife))</f>
        <v>0</v>
      </c>
      <c r="T318" s="107">
        <f>IF(A19stdlife="n/a","n/a",IF(T$3&gt;(A19stdlife+$E318),('PTRM input'!$M$161*(1+rvanilla07)^0.5)-SUM($M318:S318),('PTRM input'!$M$161*(1+rvanilla07)^0.5)/A19stdlife))</f>
        <v>0</v>
      </c>
      <c r="U318" s="107">
        <f>IF(A19stdlife="n/a","n/a",IF(U$3&gt;(A19stdlife+$E318),('PTRM input'!$M$161*(1+rvanilla07)^0.5)-SUM($M318:T318),('PTRM input'!$M$161*(1+rvanilla07)^0.5)/A19stdlife))</f>
        <v>0</v>
      </c>
      <c r="V318" s="107">
        <f>IF(A19stdlife="n/a","n/a",IF(V$3&gt;(A19stdlife+$E318),('PTRM input'!$M$161*(1+rvanilla07)^0.5)-SUM($M318:U318),('PTRM input'!$M$161*(1+rvanilla07)^0.5)/A19stdlife))</f>
        <v>0</v>
      </c>
      <c r="W318" s="107">
        <f>IF(A19stdlife="n/a","n/a",IF(W$3&gt;(A19stdlife+$E318),('PTRM input'!$M$161*(1+rvanilla07)^0.5)-SUM($M318:V318),('PTRM input'!$M$161*(1+rvanilla07)^0.5)/A19stdlife))</f>
        <v>0</v>
      </c>
      <c r="X318" s="107">
        <f>IF(A19stdlife="n/a","n/a",IF(X$3&gt;(A19stdlife+$E318),('PTRM input'!$M$161*(1+rvanilla07)^0.5)-SUM($M318:W318),('PTRM input'!$M$161*(1+rvanilla07)^0.5)/A19stdlife))</f>
        <v>0</v>
      </c>
      <c r="Y318" s="107">
        <f>IF(A19stdlife="n/a","n/a",IF(Y$3&gt;(A19stdlife+$E318),('PTRM input'!$M$161*(1+rvanilla07)^0.5)-SUM($M318:X318),('PTRM input'!$M$161*(1+rvanilla07)^0.5)/A19stdlife))</f>
        <v>0</v>
      </c>
      <c r="Z318" s="107">
        <f>IF(A19stdlife="n/a","n/a",IF(Z$3&gt;(A19stdlife+$E318),('PTRM input'!$M$161*(1+rvanilla07)^0.5)-SUM($M318:Y318),('PTRM input'!$M$161*(1+rvanilla07)^0.5)/A19stdlife))</f>
        <v>0</v>
      </c>
      <c r="AA318" s="107">
        <f>IF(A19stdlife="n/a","n/a",IF(AA$3&gt;(A19stdlife+$E318),('PTRM input'!$M$161*(1+rvanilla07)^0.5)-SUM($M318:Z318),('PTRM input'!$M$161*(1+rvanilla07)^0.5)/A19stdlife))</f>
        <v>0</v>
      </c>
      <c r="AB318" s="107">
        <f>IF(A19stdlife="n/a","n/a",IF(AB$3&gt;(A19stdlife+$E318),('PTRM input'!$M$161*(1+rvanilla07)^0.5)-SUM($M318:AA318),('PTRM input'!$M$161*(1+rvanilla07)^0.5)/A19stdlife))</f>
        <v>0</v>
      </c>
      <c r="AC318" s="107">
        <f>IF(A19stdlife="n/a","n/a",IF(AC$3&gt;(A19stdlife+$E318),('PTRM input'!$M$161*(1+rvanilla07)^0.5)-SUM($M318:AB318),('PTRM input'!$M$161*(1+rvanilla07)^0.5)/A19stdlife))</f>
        <v>0</v>
      </c>
      <c r="AD318" s="107">
        <f>IF(A19stdlife="n/a","n/a",IF(AD$3&gt;(A19stdlife+$E318),('PTRM input'!$M$161*(1+rvanilla07)^0.5)-SUM($M318:AC318),('PTRM input'!$M$161*(1+rvanilla07)^0.5)/A19stdlife))</f>
        <v>0</v>
      </c>
      <c r="AE318" s="107">
        <f>IF(A19stdlife="n/a","n/a",IF(AE$3&gt;(A19stdlife+$E318),('PTRM input'!$M$161*(1+rvanilla07)^0.5)-SUM($M318:AD318),('PTRM input'!$M$161*(1+rvanilla07)^0.5)/A19stdlife))</f>
        <v>0</v>
      </c>
      <c r="AF318" s="107">
        <f>IF(A19stdlife="n/a","n/a",IF(AF$3&gt;(A19stdlife+$E318),('PTRM input'!$M$161*(1+rvanilla07)^0.5)-SUM($M318:AE318),('PTRM input'!$M$161*(1+rvanilla07)^0.5)/A19stdlife))</f>
        <v>0</v>
      </c>
      <c r="AG318" s="107">
        <f>IF(A19stdlife="n/a","n/a",IF(AG$3&gt;(A19stdlife+$E318),('PTRM input'!$M$161*(1+rvanilla07)^0.5)-SUM($M318:AF318),('PTRM input'!$M$161*(1+rvanilla07)^0.5)/A19stdlife))</f>
        <v>0</v>
      </c>
      <c r="AH318" s="107">
        <f>IF(A19stdlife="n/a","n/a",IF(AH$3&gt;(A19stdlife+$E318),('PTRM input'!$M$161*(1+rvanilla07)^0.5)-SUM($M318:AG318),('PTRM input'!$M$161*(1+rvanilla07)^0.5)/A19stdlife))</f>
        <v>0</v>
      </c>
      <c r="AI318" s="107">
        <f>IF(A19stdlife="n/a","n/a",IF(AI$3&gt;(A19stdlife+$E318),('PTRM input'!$M$161*(1+rvanilla07)^0.5)-SUM($M318:AH318),('PTRM input'!$M$161*(1+rvanilla07)^0.5)/A19stdlife))</f>
        <v>0</v>
      </c>
      <c r="AJ318" s="107">
        <f>IF(A19stdlife="n/a","n/a",IF(AJ$3&gt;(A19stdlife+$E318),('PTRM input'!$M$161*(1+rvanilla07)^0.5)-SUM($M318:AI318),('PTRM input'!$M$161*(1+rvanilla07)^0.5)/A19stdlife))</f>
        <v>0</v>
      </c>
      <c r="AK318" s="107">
        <f>IF(A19stdlife="n/a","n/a",IF(AK$3&gt;(A19stdlife+$E318),('PTRM input'!$M$161*(1+rvanilla07)^0.5)-SUM($M318:AJ318),('PTRM input'!$M$161*(1+rvanilla07)^0.5)/A19stdlife))</f>
        <v>0</v>
      </c>
      <c r="AL318" s="107">
        <f>IF(A19stdlife="n/a","n/a",IF(AL$3&gt;(A19stdlife+$E318),('PTRM input'!$M$161*(1+rvanilla07)^0.5)-SUM($M318:AK318),('PTRM input'!$M$161*(1+rvanilla07)^0.5)/A19stdlife))</f>
        <v>0</v>
      </c>
      <c r="AM318" s="107">
        <f>IF(A19stdlife="n/a","n/a",IF(AM$3&gt;(A19stdlife+$E318),('PTRM input'!$M$161*(1+rvanilla07)^0.5)-SUM($M318:AL318),('PTRM input'!$M$161*(1+rvanilla07)^0.5)/A19stdlife))</f>
        <v>0</v>
      </c>
      <c r="AN318" s="107">
        <f>IF(A19stdlife="n/a","n/a",IF(AN$3&gt;(A19stdlife+$E318),('PTRM input'!$M$161*(1+rvanilla07)^0.5)-SUM($M318:AM318),('PTRM input'!$M$161*(1+rvanilla07)^0.5)/A19stdlife))</f>
        <v>0</v>
      </c>
      <c r="AO318" s="107">
        <f>IF(A19stdlife="n/a","n/a",IF(AO$3&gt;(A19stdlife+$E318),('PTRM input'!$M$161*(1+rvanilla07)^0.5)-SUM($M318:AN318),('PTRM input'!$M$161*(1+rvanilla07)^0.5)/A19stdlife))</f>
        <v>0</v>
      </c>
      <c r="AP318" s="107">
        <f>IF(A19stdlife="n/a","n/a",IF(AP$3&gt;(A19stdlife+$E318),('PTRM input'!$M$161*(1+rvanilla07)^0.5)-SUM($M318:AO318),('PTRM input'!$M$161*(1+rvanilla07)^0.5)/A19stdlife))</f>
        <v>0</v>
      </c>
      <c r="AQ318" s="107">
        <f>IF(A19stdlife="n/a","n/a",IF(AQ$3&gt;(A19stdlife+$E318),('PTRM input'!$M$161*(1+rvanilla07)^0.5)-SUM($M318:AP318),('PTRM input'!$M$161*(1+rvanilla07)^0.5)/A19stdlife))</f>
        <v>0</v>
      </c>
      <c r="AR318" s="107">
        <f>IF(A19stdlife="n/a","n/a",IF(AR$3&gt;(A19stdlife+$E318),('PTRM input'!$M$161*(1+rvanilla07)^0.5)-SUM($M318:AQ318),('PTRM input'!$M$161*(1+rvanilla07)^0.5)/A19stdlife))</f>
        <v>0</v>
      </c>
      <c r="AS318" s="107">
        <f>IF(A19stdlife="n/a","n/a",IF(AS$3&gt;(A19stdlife+$E318),('PTRM input'!$M$161*(1+rvanilla07)^0.5)-SUM($M318:AR318),('PTRM input'!$M$161*(1+rvanilla07)^0.5)/A19stdlife))</f>
        <v>0</v>
      </c>
      <c r="AT318" s="107">
        <f>IF(A19stdlife="n/a","n/a",IF(AT$3&gt;(A19stdlife+$E318),('PTRM input'!$M$161*(1+rvanilla07)^0.5)-SUM($M318:AS318),('PTRM input'!$M$161*(1+rvanilla07)^0.5)/A19stdlife))</f>
        <v>0</v>
      </c>
      <c r="AU318" s="107">
        <f>IF(A19stdlife="n/a","n/a",IF(AU$3&gt;(A19stdlife+$E318),('PTRM input'!$M$161*(1+rvanilla07)^0.5)-SUM($M318:AT318),('PTRM input'!$M$161*(1+rvanilla07)^0.5)/A19stdlife))</f>
        <v>0</v>
      </c>
      <c r="AV318" s="107">
        <f>IF(A19stdlife="n/a","n/a",IF(AV$3&gt;(A19stdlife+$E318),('PTRM input'!$M$161*(1+rvanilla07)^0.5)-SUM($M318:AU318),('PTRM input'!$M$161*(1+rvanilla07)^0.5)/A19stdlife))</f>
        <v>0</v>
      </c>
      <c r="AW318" s="107">
        <f>IF(A19stdlife="n/a","n/a",IF(AW$3&gt;(A19stdlife+$E318),('PTRM input'!$M$161*(1+rvanilla07)^0.5)-SUM($M318:AV318),('PTRM input'!$M$161*(1+rvanilla07)^0.5)/A19stdlife))</f>
        <v>0</v>
      </c>
      <c r="AX318" s="107">
        <f>IF(A19stdlife="n/a","n/a",IF(AX$3&gt;(A19stdlife+$E318),('PTRM input'!$M$161*(1+rvanilla07)^0.5)-SUM($M318:AW318),('PTRM input'!$M$161*(1+rvanilla07)^0.5)/A19stdlife))</f>
        <v>0</v>
      </c>
      <c r="AY318" s="107">
        <f>IF(A19stdlife="n/a","n/a",IF(AY$3&gt;(A19stdlife+$E318),('PTRM input'!$M$161*(1+rvanilla07)^0.5)-SUM($M318:AX318),('PTRM input'!$M$161*(1+rvanilla07)^0.5)/A19stdlife))</f>
        <v>0</v>
      </c>
      <c r="AZ318" s="107">
        <f>IF(A19stdlife="n/a","n/a",IF(AZ$3&gt;(A19stdlife+$E318),('PTRM input'!$M$161*(1+rvanilla07)^0.5)-SUM($M318:AY318),('PTRM input'!$M$161*(1+rvanilla07)^0.5)/A19stdlife))</f>
        <v>0</v>
      </c>
      <c r="BA318" s="107">
        <f>IF(A19stdlife="n/a","n/a",IF(BA$3&gt;(A19stdlife+$E318),('PTRM input'!$M$161*(1+rvanilla07)^0.5)-SUM($M318:AZ318),('PTRM input'!$M$161*(1+rvanilla07)^0.5)/A19stdlife))</f>
        <v>0</v>
      </c>
      <c r="BB318" s="107">
        <f>IF(A19stdlife="n/a","n/a",IF(BB$3&gt;(A19stdlife+$E318),('PTRM input'!$M$161*(1+rvanilla07)^0.5)-SUM($M318:BA318),('PTRM input'!$M$161*(1+rvanilla07)^0.5)/A19stdlife))</f>
        <v>0</v>
      </c>
      <c r="BC318" s="107">
        <f>IF(A19stdlife="n/a","n/a",IF(BC$3&gt;(A19stdlife+$E318),('PTRM input'!$M$161*(1+rvanilla07)^0.5)-SUM($M318:BB318),('PTRM input'!$M$161*(1+rvanilla07)^0.5)/A19stdlife))</f>
        <v>0</v>
      </c>
      <c r="BD318" s="107">
        <f>IF(A19stdlife="n/a","n/a",IF(BD$3&gt;(A19stdlife+$E318),('PTRM input'!$M$161*(1+rvanilla07)^0.5)-SUM($M318:BC318),('PTRM input'!$M$161*(1+rvanilla07)^0.5)/A19stdlife))</f>
        <v>0</v>
      </c>
      <c r="BE318" s="107">
        <f>IF(A19stdlife="n/a","n/a",IF(BE$3&gt;(A19stdlife+$E318),('PTRM input'!$M$161*(1+rvanilla07)^0.5)-SUM($M318:BD318),('PTRM input'!$M$161*(1+rvanilla07)^0.5)/A19stdlife))</f>
        <v>0</v>
      </c>
      <c r="BF318" s="107">
        <f>IF(A19stdlife="n/a","n/a",IF(BF$3&gt;(A19stdlife+$E318),('PTRM input'!$M$161*(1+rvanilla07)^0.5)-SUM($M318:BE318),('PTRM input'!$M$161*(1+rvanilla07)^0.5)/A19stdlife))</f>
        <v>0</v>
      </c>
      <c r="BG318" s="107">
        <f>IF(A19stdlife="n/a","n/a",IF(BG$3&gt;(A19stdlife+$E318),('PTRM input'!$M$161*(1+rvanilla07)^0.5)-SUM($M318:BF318),('PTRM input'!$M$161*(1+rvanilla07)^0.5)/A19stdlife))</f>
        <v>0</v>
      </c>
      <c r="BH318" s="107">
        <f>IF(A19stdlife="n/a","n/a",IF(BH$3&gt;(A19stdlife+$E318),('PTRM input'!$M$161*(1+rvanilla07)^0.5)-SUM($M318:BG318),('PTRM input'!$M$161*(1+rvanilla07)^0.5)/A19stdlife))</f>
        <v>0</v>
      </c>
      <c r="BI318" s="107">
        <f>IF(A19stdlife="n/a","n/a",IF(BI$3&gt;(A19stdlife+$E318),('PTRM input'!$M$161*(1+rvanilla07)^0.5)-SUM($M318:BH318),('PTRM input'!$M$161*(1+rvanilla07)^0.5)/A19stdlife))</f>
        <v>0</v>
      </c>
      <c r="BJ318" s="237"/>
      <c r="BK318" s="237"/>
      <c r="BL318" s="237"/>
      <c r="BM318" s="237"/>
    </row>
    <row r="319" spans="1:65" s="190" customFormat="1" hidden="1" outlineLevel="2">
      <c r="A319" s="237"/>
      <c r="B319" s="33"/>
      <c r="C319" s="32"/>
      <c r="D319" s="1618"/>
      <c r="E319" s="169">
        <v>8</v>
      </c>
      <c r="F319" s="35"/>
      <c r="G319" s="184"/>
      <c r="H319" s="186"/>
      <c r="I319" s="186"/>
      <c r="J319" s="186"/>
      <c r="K319" s="186"/>
      <c r="L319" s="186"/>
      <c r="M319" s="186"/>
      <c r="N319" s="185"/>
      <c r="O319" s="107">
        <f>IF(A19stdlife="n/a","n/a",IF(O$3&gt;(A19stdlife+$E319),('PTRM input'!$N$161*(1+rvanilla08)^0.5)-SUM($N319:N319),('PTRM input'!$N$161*(1+rvanilla08)^0.5)/A19stdlife))</f>
        <v>0</v>
      </c>
      <c r="P319" s="107">
        <f>IF(A19stdlife="n/a","n/a",IF(P$3&gt;(A19stdlife+$E319),('PTRM input'!$N$161*(1+rvanilla08)^0.5)-SUM($N319:O319),('PTRM input'!$N$161*(1+rvanilla08)^0.5)/A19stdlife))</f>
        <v>0</v>
      </c>
      <c r="Q319" s="107">
        <f>IF(A19stdlife="n/a","n/a",IF(Q$3&gt;(A19stdlife+$E319),('PTRM input'!$N$161*(1+rvanilla08)^0.5)-SUM($N319:P319),('PTRM input'!$N$161*(1+rvanilla08)^0.5)/A19stdlife))</f>
        <v>0</v>
      </c>
      <c r="R319" s="107">
        <f>IF(A19stdlife="n/a","n/a",IF(R$3&gt;(A19stdlife+$E319),('PTRM input'!$N$161*(1+rvanilla08)^0.5)-SUM($N319:Q319),('PTRM input'!$N$161*(1+rvanilla08)^0.5)/A19stdlife))</f>
        <v>0</v>
      </c>
      <c r="S319" s="107">
        <f>IF(A19stdlife="n/a","n/a",IF(S$3&gt;(A19stdlife+$E319),('PTRM input'!$N$161*(1+rvanilla08)^0.5)-SUM($N319:R319),('PTRM input'!$N$161*(1+rvanilla08)^0.5)/A19stdlife))</f>
        <v>0</v>
      </c>
      <c r="T319" s="107">
        <f>IF(A19stdlife="n/a","n/a",IF(T$3&gt;(A19stdlife+$E319),('PTRM input'!$N$161*(1+rvanilla08)^0.5)-SUM($N319:S319),('PTRM input'!$N$161*(1+rvanilla08)^0.5)/A19stdlife))</f>
        <v>0</v>
      </c>
      <c r="U319" s="107">
        <f>IF(A19stdlife="n/a","n/a",IF(U$3&gt;(A19stdlife+$E319),('PTRM input'!$N$161*(1+rvanilla08)^0.5)-SUM($N319:T319),('PTRM input'!$N$161*(1+rvanilla08)^0.5)/A19stdlife))</f>
        <v>0</v>
      </c>
      <c r="V319" s="107">
        <f>IF(A19stdlife="n/a","n/a",IF(V$3&gt;(A19stdlife+$E319),('PTRM input'!$N$161*(1+rvanilla08)^0.5)-SUM($N319:U319),('PTRM input'!$N$161*(1+rvanilla08)^0.5)/A19stdlife))</f>
        <v>0</v>
      </c>
      <c r="W319" s="107">
        <f>IF(A19stdlife="n/a","n/a",IF(W$3&gt;(A19stdlife+$E319),('PTRM input'!$N$161*(1+rvanilla08)^0.5)-SUM($N319:V319),('PTRM input'!$N$161*(1+rvanilla08)^0.5)/A19stdlife))</f>
        <v>0</v>
      </c>
      <c r="X319" s="107">
        <f>IF(A19stdlife="n/a","n/a",IF(X$3&gt;(A19stdlife+$E319),('PTRM input'!$N$161*(1+rvanilla08)^0.5)-SUM($N319:W319),('PTRM input'!$N$161*(1+rvanilla08)^0.5)/A19stdlife))</f>
        <v>0</v>
      </c>
      <c r="Y319" s="107">
        <f>IF(A19stdlife="n/a","n/a",IF(Y$3&gt;(A19stdlife+$E319),('PTRM input'!$N$161*(1+rvanilla08)^0.5)-SUM($N319:X319),('PTRM input'!$N$161*(1+rvanilla08)^0.5)/A19stdlife))</f>
        <v>0</v>
      </c>
      <c r="Z319" s="107">
        <f>IF(A19stdlife="n/a","n/a",IF(Z$3&gt;(A19stdlife+$E319),('PTRM input'!$N$161*(1+rvanilla08)^0.5)-SUM($N319:Y319),('PTRM input'!$N$161*(1+rvanilla08)^0.5)/A19stdlife))</f>
        <v>0</v>
      </c>
      <c r="AA319" s="107">
        <f>IF(A19stdlife="n/a","n/a",IF(AA$3&gt;(A19stdlife+$E319),('PTRM input'!$N$161*(1+rvanilla08)^0.5)-SUM($N319:Z319),('PTRM input'!$N$161*(1+rvanilla08)^0.5)/A19stdlife))</f>
        <v>0</v>
      </c>
      <c r="AB319" s="107">
        <f>IF(A19stdlife="n/a","n/a",IF(AB$3&gt;(A19stdlife+$E319),('PTRM input'!$N$161*(1+rvanilla08)^0.5)-SUM($N319:AA319),('PTRM input'!$N$161*(1+rvanilla08)^0.5)/A19stdlife))</f>
        <v>0</v>
      </c>
      <c r="AC319" s="107">
        <f>IF(A19stdlife="n/a","n/a",IF(AC$3&gt;(A19stdlife+$E319),('PTRM input'!$N$161*(1+rvanilla08)^0.5)-SUM($N319:AB319),('PTRM input'!$N$161*(1+rvanilla08)^0.5)/A19stdlife))</f>
        <v>0</v>
      </c>
      <c r="AD319" s="107">
        <f>IF(A19stdlife="n/a","n/a",IF(AD$3&gt;(A19stdlife+$E319),('PTRM input'!$N$161*(1+rvanilla08)^0.5)-SUM($N319:AC319),('PTRM input'!$N$161*(1+rvanilla08)^0.5)/A19stdlife))</f>
        <v>0</v>
      </c>
      <c r="AE319" s="107">
        <f>IF(A19stdlife="n/a","n/a",IF(AE$3&gt;(A19stdlife+$E319),('PTRM input'!$N$161*(1+rvanilla08)^0.5)-SUM($N319:AD319),('PTRM input'!$N$161*(1+rvanilla08)^0.5)/A19stdlife))</f>
        <v>0</v>
      </c>
      <c r="AF319" s="107">
        <f>IF(A19stdlife="n/a","n/a",IF(AF$3&gt;(A19stdlife+$E319),('PTRM input'!$N$161*(1+rvanilla08)^0.5)-SUM($N319:AE319),('PTRM input'!$N$161*(1+rvanilla08)^0.5)/A19stdlife))</f>
        <v>0</v>
      </c>
      <c r="AG319" s="107">
        <f>IF(A19stdlife="n/a","n/a",IF(AG$3&gt;(A19stdlife+$E319),('PTRM input'!$N$161*(1+rvanilla08)^0.5)-SUM($N319:AF319),('PTRM input'!$N$161*(1+rvanilla08)^0.5)/A19stdlife))</f>
        <v>0</v>
      </c>
      <c r="AH319" s="107">
        <f>IF(A19stdlife="n/a","n/a",IF(AH$3&gt;(A19stdlife+$E319),('PTRM input'!$N$161*(1+rvanilla08)^0.5)-SUM($N319:AG319),('PTRM input'!$N$161*(1+rvanilla08)^0.5)/A19stdlife))</f>
        <v>0</v>
      </c>
      <c r="AI319" s="107">
        <f>IF(A19stdlife="n/a","n/a",IF(AI$3&gt;(A19stdlife+$E319),('PTRM input'!$N$161*(1+rvanilla08)^0.5)-SUM($N319:AH319),('PTRM input'!$N$161*(1+rvanilla08)^0.5)/A19stdlife))</f>
        <v>0</v>
      </c>
      <c r="AJ319" s="107">
        <f>IF(A19stdlife="n/a","n/a",IF(AJ$3&gt;(A19stdlife+$E319),('PTRM input'!$N$161*(1+rvanilla08)^0.5)-SUM($N319:AI319),('PTRM input'!$N$161*(1+rvanilla08)^0.5)/A19stdlife))</f>
        <v>0</v>
      </c>
      <c r="AK319" s="107">
        <f>IF(A19stdlife="n/a","n/a",IF(AK$3&gt;(A19stdlife+$E319),('PTRM input'!$N$161*(1+rvanilla08)^0.5)-SUM($N319:AJ319),('PTRM input'!$N$161*(1+rvanilla08)^0.5)/A19stdlife))</f>
        <v>0</v>
      </c>
      <c r="AL319" s="107">
        <f>IF(A19stdlife="n/a","n/a",IF(AL$3&gt;(A19stdlife+$E319),('PTRM input'!$N$161*(1+rvanilla08)^0.5)-SUM($N319:AK319),('PTRM input'!$N$161*(1+rvanilla08)^0.5)/A19stdlife))</f>
        <v>0</v>
      </c>
      <c r="AM319" s="107">
        <f>IF(A19stdlife="n/a","n/a",IF(AM$3&gt;(A19stdlife+$E319),('PTRM input'!$N$161*(1+rvanilla08)^0.5)-SUM($N319:AL319),('PTRM input'!$N$161*(1+rvanilla08)^0.5)/A19stdlife))</f>
        <v>0</v>
      </c>
      <c r="AN319" s="107">
        <f>IF(A19stdlife="n/a","n/a",IF(AN$3&gt;(A19stdlife+$E319),('PTRM input'!$N$161*(1+rvanilla08)^0.5)-SUM($N319:AM319),('PTRM input'!$N$161*(1+rvanilla08)^0.5)/A19stdlife))</f>
        <v>0</v>
      </c>
      <c r="AO319" s="107">
        <f>IF(A19stdlife="n/a","n/a",IF(AO$3&gt;(A19stdlife+$E319),('PTRM input'!$N$161*(1+rvanilla08)^0.5)-SUM($N319:AN319),('PTRM input'!$N$161*(1+rvanilla08)^0.5)/A19stdlife))</f>
        <v>0</v>
      </c>
      <c r="AP319" s="107">
        <f>IF(A19stdlife="n/a","n/a",IF(AP$3&gt;(A19stdlife+$E319),('PTRM input'!$N$161*(1+rvanilla08)^0.5)-SUM($N319:AO319),('PTRM input'!$N$161*(1+rvanilla08)^0.5)/A19stdlife))</f>
        <v>0</v>
      </c>
      <c r="AQ319" s="107">
        <f>IF(A19stdlife="n/a","n/a",IF(AQ$3&gt;(A19stdlife+$E319),('PTRM input'!$N$161*(1+rvanilla08)^0.5)-SUM($N319:AP319),('PTRM input'!$N$161*(1+rvanilla08)^0.5)/A19stdlife))</f>
        <v>0</v>
      </c>
      <c r="AR319" s="107">
        <f>IF(A19stdlife="n/a","n/a",IF(AR$3&gt;(A19stdlife+$E319),('PTRM input'!$N$161*(1+rvanilla08)^0.5)-SUM($N319:AQ319),('PTRM input'!$N$161*(1+rvanilla08)^0.5)/A19stdlife))</f>
        <v>0</v>
      </c>
      <c r="AS319" s="107">
        <f>IF(A19stdlife="n/a","n/a",IF(AS$3&gt;(A19stdlife+$E319),('PTRM input'!$N$161*(1+rvanilla08)^0.5)-SUM($N319:AR319),('PTRM input'!$N$161*(1+rvanilla08)^0.5)/A19stdlife))</f>
        <v>0</v>
      </c>
      <c r="AT319" s="107">
        <f>IF(A19stdlife="n/a","n/a",IF(AT$3&gt;(A19stdlife+$E319),('PTRM input'!$N$161*(1+rvanilla08)^0.5)-SUM($N319:AS319),('PTRM input'!$N$161*(1+rvanilla08)^0.5)/A19stdlife))</f>
        <v>0</v>
      </c>
      <c r="AU319" s="107">
        <f>IF(A19stdlife="n/a","n/a",IF(AU$3&gt;(A19stdlife+$E319),('PTRM input'!$N$161*(1+rvanilla08)^0.5)-SUM($N319:AT319),('PTRM input'!$N$161*(1+rvanilla08)^0.5)/A19stdlife))</f>
        <v>0</v>
      </c>
      <c r="AV319" s="107">
        <f>IF(A19stdlife="n/a","n/a",IF(AV$3&gt;(A19stdlife+$E319),('PTRM input'!$N$161*(1+rvanilla08)^0.5)-SUM($N319:AU319),('PTRM input'!$N$161*(1+rvanilla08)^0.5)/A19stdlife))</f>
        <v>0</v>
      </c>
      <c r="AW319" s="107">
        <f>IF(A19stdlife="n/a","n/a",IF(AW$3&gt;(A19stdlife+$E319),('PTRM input'!$N$161*(1+rvanilla08)^0.5)-SUM($N319:AV319),('PTRM input'!$N$161*(1+rvanilla08)^0.5)/A19stdlife))</f>
        <v>0</v>
      </c>
      <c r="AX319" s="107">
        <f>IF(A19stdlife="n/a","n/a",IF(AX$3&gt;(A19stdlife+$E319),('PTRM input'!$N$161*(1+rvanilla08)^0.5)-SUM($N319:AW319),('PTRM input'!$N$161*(1+rvanilla08)^0.5)/A19stdlife))</f>
        <v>0</v>
      </c>
      <c r="AY319" s="107">
        <f>IF(A19stdlife="n/a","n/a",IF(AY$3&gt;(A19stdlife+$E319),('PTRM input'!$N$161*(1+rvanilla08)^0.5)-SUM($N319:AX319),('PTRM input'!$N$161*(1+rvanilla08)^0.5)/A19stdlife))</f>
        <v>0</v>
      </c>
      <c r="AZ319" s="107">
        <f>IF(A19stdlife="n/a","n/a",IF(AZ$3&gt;(A19stdlife+$E319),('PTRM input'!$N$161*(1+rvanilla08)^0.5)-SUM($N319:AY319),('PTRM input'!$N$161*(1+rvanilla08)^0.5)/A19stdlife))</f>
        <v>0</v>
      </c>
      <c r="BA319" s="107">
        <f>IF(A19stdlife="n/a","n/a",IF(BA$3&gt;(A19stdlife+$E319),('PTRM input'!$N$161*(1+rvanilla08)^0.5)-SUM($N319:AZ319),('PTRM input'!$N$161*(1+rvanilla08)^0.5)/A19stdlife))</f>
        <v>0</v>
      </c>
      <c r="BB319" s="107">
        <f>IF(A19stdlife="n/a","n/a",IF(BB$3&gt;(A19stdlife+$E319),('PTRM input'!$N$161*(1+rvanilla08)^0.5)-SUM($N319:BA319),('PTRM input'!$N$161*(1+rvanilla08)^0.5)/A19stdlife))</f>
        <v>0</v>
      </c>
      <c r="BC319" s="107">
        <f>IF(A19stdlife="n/a","n/a",IF(BC$3&gt;(A19stdlife+$E319),('PTRM input'!$N$161*(1+rvanilla08)^0.5)-SUM($N319:BB319),('PTRM input'!$N$161*(1+rvanilla08)^0.5)/A19stdlife))</f>
        <v>0</v>
      </c>
      <c r="BD319" s="107">
        <f>IF(A19stdlife="n/a","n/a",IF(BD$3&gt;(A19stdlife+$E319),('PTRM input'!$N$161*(1+rvanilla08)^0.5)-SUM($N319:BC319),('PTRM input'!$N$161*(1+rvanilla08)^0.5)/A19stdlife))</f>
        <v>0</v>
      </c>
      <c r="BE319" s="107">
        <f>IF(A19stdlife="n/a","n/a",IF(BE$3&gt;(A19stdlife+$E319),('PTRM input'!$N$161*(1+rvanilla08)^0.5)-SUM($N319:BD319),('PTRM input'!$N$161*(1+rvanilla08)^0.5)/A19stdlife))</f>
        <v>0</v>
      </c>
      <c r="BF319" s="107">
        <f>IF(A19stdlife="n/a","n/a",IF(BF$3&gt;(A19stdlife+$E319),('PTRM input'!$N$161*(1+rvanilla08)^0.5)-SUM($N319:BE319),('PTRM input'!$N$161*(1+rvanilla08)^0.5)/A19stdlife))</f>
        <v>0</v>
      </c>
      <c r="BG319" s="107">
        <f>IF(A19stdlife="n/a","n/a",IF(BG$3&gt;(A19stdlife+$E319),('PTRM input'!$N$161*(1+rvanilla08)^0.5)-SUM($N319:BF319),('PTRM input'!$N$161*(1+rvanilla08)^0.5)/A19stdlife))</f>
        <v>0</v>
      </c>
      <c r="BH319" s="107">
        <f>IF(A19stdlife="n/a","n/a",IF(BH$3&gt;(A19stdlife+$E319),('PTRM input'!$N$161*(1+rvanilla08)^0.5)-SUM($N319:BG319),('PTRM input'!$N$161*(1+rvanilla08)^0.5)/A19stdlife))</f>
        <v>0</v>
      </c>
      <c r="BI319" s="107">
        <f>IF(A19stdlife="n/a","n/a",IF(BI$3&gt;(A19stdlife+$E319),('PTRM input'!$N$161*(1+rvanilla08)^0.5)-SUM($N319:BH319),('PTRM input'!$N$161*(1+rvanilla08)^0.5)/A19stdlife))</f>
        <v>0</v>
      </c>
      <c r="BJ319" s="237"/>
      <c r="BK319" s="237"/>
      <c r="BL319" s="237"/>
      <c r="BM319" s="237"/>
    </row>
    <row r="320" spans="1:65" s="190" customFormat="1" hidden="1" outlineLevel="2">
      <c r="A320" s="237"/>
      <c r="B320" s="33"/>
      <c r="C320" s="32"/>
      <c r="D320" s="1618"/>
      <c r="E320" s="169">
        <v>9</v>
      </c>
      <c r="F320" s="35"/>
      <c r="G320" s="184"/>
      <c r="H320" s="186"/>
      <c r="I320" s="186"/>
      <c r="J320" s="186"/>
      <c r="K320" s="186"/>
      <c r="L320" s="186"/>
      <c r="M320" s="186"/>
      <c r="N320" s="186"/>
      <c r="O320" s="185"/>
      <c r="P320" s="107">
        <f>IF(A19stdlife="n/a","n/a",IF(P$3&gt;(A19stdlife+$E320),('PTRM input'!$O$161*(1+rvanilla09)^0.5)-SUM($O320:O320),('PTRM input'!$O$161*(1+rvanilla09)^0.5)/A19stdlife))</f>
        <v>0</v>
      </c>
      <c r="Q320" s="107">
        <f>IF(A19stdlife="n/a","n/a",IF(Q$3&gt;(A19stdlife+$E320),('PTRM input'!$O$161*(1+rvanilla09)^0.5)-SUM($O320:P320),('PTRM input'!$O$161*(1+rvanilla09)^0.5)/A19stdlife))</f>
        <v>0</v>
      </c>
      <c r="R320" s="107">
        <f>IF(A19stdlife="n/a","n/a",IF(R$3&gt;(A19stdlife+$E320),('PTRM input'!$O$161*(1+rvanilla09)^0.5)-SUM($O320:Q320),('PTRM input'!$O$161*(1+rvanilla09)^0.5)/A19stdlife))</f>
        <v>0</v>
      </c>
      <c r="S320" s="107">
        <f>IF(A19stdlife="n/a","n/a",IF(S$3&gt;(A19stdlife+$E320),('PTRM input'!$O$161*(1+rvanilla09)^0.5)-SUM($O320:R320),('PTRM input'!$O$161*(1+rvanilla09)^0.5)/A19stdlife))</f>
        <v>0</v>
      </c>
      <c r="T320" s="107">
        <f>IF(A19stdlife="n/a","n/a",IF(T$3&gt;(A19stdlife+$E320),('PTRM input'!$O$161*(1+rvanilla09)^0.5)-SUM($O320:S320),('PTRM input'!$O$161*(1+rvanilla09)^0.5)/A19stdlife))</f>
        <v>0</v>
      </c>
      <c r="U320" s="107">
        <f>IF(A19stdlife="n/a","n/a",IF(U$3&gt;(A19stdlife+$E320),('PTRM input'!$O$161*(1+rvanilla09)^0.5)-SUM($O320:T320),('PTRM input'!$O$161*(1+rvanilla09)^0.5)/A19stdlife))</f>
        <v>0</v>
      </c>
      <c r="V320" s="107">
        <f>IF(A19stdlife="n/a","n/a",IF(V$3&gt;(A19stdlife+$E320),('PTRM input'!$O$161*(1+rvanilla09)^0.5)-SUM($O320:U320),('PTRM input'!$O$161*(1+rvanilla09)^0.5)/A19stdlife))</f>
        <v>0</v>
      </c>
      <c r="W320" s="107">
        <f>IF(A19stdlife="n/a","n/a",IF(W$3&gt;(A19stdlife+$E320),('PTRM input'!$O$161*(1+rvanilla09)^0.5)-SUM($O320:V320),('PTRM input'!$O$161*(1+rvanilla09)^0.5)/A19stdlife))</f>
        <v>0</v>
      </c>
      <c r="X320" s="107">
        <f>IF(A19stdlife="n/a","n/a",IF(X$3&gt;(A19stdlife+$E320),('PTRM input'!$O$161*(1+rvanilla09)^0.5)-SUM($O320:W320),('PTRM input'!$O$161*(1+rvanilla09)^0.5)/A19stdlife))</f>
        <v>0</v>
      </c>
      <c r="Y320" s="107">
        <f>IF(A19stdlife="n/a","n/a",IF(Y$3&gt;(A19stdlife+$E320),('PTRM input'!$O$161*(1+rvanilla09)^0.5)-SUM($O320:X320),('PTRM input'!$O$161*(1+rvanilla09)^0.5)/A19stdlife))</f>
        <v>0</v>
      </c>
      <c r="Z320" s="107">
        <f>IF(A19stdlife="n/a","n/a",IF(Z$3&gt;(A19stdlife+$E320),('PTRM input'!$O$161*(1+rvanilla09)^0.5)-SUM($O320:Y320),('PTRM input'!$O$161*(1+rvanilla09)^0.5)/A19stdlife))</f>
        <v>0</v>
      </c>
      <c r="AA320" s="107">
        <f>IF(A19stdlife="n/a","n/a",IF(AA$3&gt;(A19stdlife+$E320),('PTRM input'!$O$161*(1+rvanilla09)^0.5)-SUM($O320:Z320),('PTRM input'!$O$161*(1+rvanilla09)^0.5)/A19stdlife))</f>
        <v>0</v>
      </c>
      <c r="AB320" s="107">
        <f>IF(A19stdlife="n/a","n/a",IF(AB$3&gt;(A19stdlife+$E320),('PTRM input'!$O$161*(1+rvanilla09)^0.5)-SUM($O320:AA320),('PTRM input'!$O$161*(1+rvanilla09)^0.5)/A19stdlife))</f>
        <v>0</v>
      </c>
      <c r="AC320" s="107">
        <f>IF(A19stdlife="n/a","n/a",IF(AC$3&gt;(A19stdlife+$E320),('PTRM input'!$O$161*(1+rvanilla09)^0.5)-SUM($O320:AB320),('PTRM input'!$O$161*(1+rvanilla09)^0.5)/A19stdlife))</f>
        <v>0</v>
      </c>
      <c r="AD320" s="107">
        <f>IF(A19stdlife="n/a","n/a",IF(AD$3&gt;(A19stdlife+$E320),('PTRM input'!$O$161*(1+rvanilla09)^0.5)-SUM($O320:AC320),('PTRM input'!$O$161*(1+rvanilla09)^0.5)/A19stdlife))</f>
        <v>0</v>
      </c>
      <c r="AE320" s="107">
        <f>IF(A19stdlife="n/a","n/a",IF(AE$3&gt;(A19stdlife+$E320),('PTRM input'!$O$161*(1+rvanilla09)^0.5)-SUM($O320:AD320),('PTRM input'!$O$161*(1+rvanilla09)^0.5)/A19stdlife))</f>
        <v>0</v>
      </c>
      <c r="AF320" s="107">
        <f>IF(A19stdlife="n/a","n/a",IF(AF$3&gt;(A19stdlife+$E320),('PTRM input'!$O$161*(1+rvanilla09)^0.5)-SUM($O320:AE320),('PTRM input'!$O$161*(1+rvanilla09)^0.5)/A19stdlife))</f>
        <v>0</v>
      </c>
      <c r="AG320" s="107">
        <f>IF(A19stdlife="n/a","n/a",IF(AG$3&gt;(A19stdlife+$E320),('PTRM input'!$O$161*(1+rvanilla09)^0.5)-SUM($O320:AF320),('PTRM input'!$O$161*(1+rvanilla09)^0.5)/A19stdlife))</f>
        <v>0</v>
      </c>
      <c r="AH320" s="107">
        <f>IF(A19stdlife="n/a","n/a",IF(AH$3&gt;(A19stdlife+$E320),('PTRM input'!$O$161*(1+rvanilla09)^0.5)-SUM($O320:AG320),('PTRM input'!$O$161*(1+rvanilla09)^0.5)/A19stdlife))</f>
        <v>0</v>
      </c>
      <c r="AI320" s="107">
        <f>IF(A19stdlife="n/a","n/a",IF(AI$3&gt;(A19stdlife+$E320),('PTRM input'!$O$161*(1+rvanilla09)^0.5)-SUM($O320:AH320),('PTRM input'!$O$161*(1+rvanilla09)^0.5)/A19stdlife))</f>
        <v>0</v>
      </c>
      <c r="AJ320" s="107">
        <f>IF(A19stdlife="n/a","n/a",IF(AJ$3&gt;(A19stdlife+$E320),('PTRM input'!$O$161*(1+rvanilla09)^0.5)-SUM($O320:AI320),('PTRM input'!$O$161*(1+rvanilla09)^0.5)/A19stdlife))</f>
        <v>0</v>
      </c>
      <c r="AK320" s="107">
        <f>IF(A19stdlife="n/a","n/a",IF(AK$3&gt;(A19stdlife+$E320),('PTRM input'!$O$161*(1+rvanilla09)^0.5)-SUM($O320:AJ320),('PTRM input'!$O$161*(1+rvanilla09)^0.5)/A19stdlife))</f>
        <v>0</v>
      </c>
      <c r="AL320" s="107">
        <f>IF(A19stdlife="n/a","n/a",IF(AL$3&gt;(A19stdlife+$E320),('PTRM input'!$O$161*(1+rvanilla09)^0.5)-SUM($O320:AK320),('PTRM input'!$O$161*(1+rvanilla09)^0.5)/A19stdlife))</f>
        <v>0</v>
      </c>
      <c r="AM320" s="107">
        <f>IF(A19stdlife="n/a","n/a",IF(AM$3&gt;(A19stdlife+$E320),('PTRM input'!$O$161*(1+rvanilla09)^0.5)-SUM($O320:AL320),('PTRM input'!$O$161*(1+rvanilla09)^0.5)/A19stdlife))</f>
        <v>0</v>
      </c>
      <c r="AN320" s="107">
        <f>IF(A19stdlife="n/a","n/a",IF(AN$3&gt;(A19stdlife+$E320),('PTRM input'!$O$161*(1+rvanilla09)^0.5)-SUM($O320:AM320),('PTRM input'!$O$161*(1+rvanilla09)^0.5)/A19stdlife))</f>
        <v>0</v>
      </c>
      <c r="AO320" s="107">
        <f>IF(A19stdlife="n/a","n/a",IF(AO$3&gt;(A19stdlife+$E320),('PTRM input'!$O$161*(1+rvanilla09)^0.5)-SUM($O320:AN320),('PTRM input'!$O$161*(1+rvanilla09)^0.5)/A19stdlife))</f>
        <v>0</v>
      </c>
      <c r="AP320" s="107">
        <f>IF(A19stdlife="n/a","n/a",IF(AP$3&gt;(A19stdlife+$E320),('PTRM input'!$O$161*(1+rvanilla09)^0.5)-SUM($O320:AO320),('PTRM input'!$O$161*(1+rvanilla09)^0.5)/A19stdlife))</f>
        <v>0</v>
      </c>
      <c r="AQ320" s="107">
        <f>IF(A19stdlife="n/a","n/a",IF(AQ$3&gt;(A19stdlife+$E320),('PTRM input'!$O$161*(1+rvanilla09)^0.5)-SUM($O320:AP320),('PTRM input'!$O$161*(1+rvanilla09)^0.5)/A19stdlife))</f>
        <v>0</v>
      </c>
      <c r="AR320" s="107">
        <f>IF(A19stdlife="n/a","n/a",IF(AR$3&gt;(A19stdlife+$E320),('PTRM input'!$O$161*(1+rvanilla09)^0.5)-SUM($O320:AQ320),('PTRM input'!$O$161*(1+rvanilla09)^0.5)/A19stdlife))</f>
        <v>0</v>
      </c>
      <c r="AS320" s="107">
        <f>IF(A19stdlife="n/a","n/a",IF(AS$3&gt;(A19stdlife+$E320),('PTRM input'!$O$161*(1+rvanilla09)^0.5)-SUM($O320:AR320),('PTRM input'!$O$161*(1+rvanilla09)^0.5)/A19stdlife))</f>
        <v>0</v>
      </c>
      <c r="AT320" s="107">
        <f>IF(A19stdlife="n/a","n/a",IF(AT$3&gt;(A19stdlife+$E320),('PTRM input'!$O$161*(1+rvanilla09)^0.5)-SUM($O320:AS320),('PTRM input'!$O$161*(1+rvanilla09)^0.5)/A19stdlife))</f>
        <v>0</v>
      </c>
      <c r="AU320" s="107">
        <f>IF(A19stdlife="n/a","n/a",IF(AU$3&gt;(A19stdlife+$E320),('PTRM input'!$O$161*(1+rvanilla09)^0.5)-SUM($O320:AT320),('PTRM input'!$O$161*(1+rvanilla09)^0.5)/A19stdlife))</f>
        <v>0</v>
      </c>
      <c r="AV320" s="107">
        <f>IF(A19stdlife="n/a","n/a",IF(AV$3&gt;(A19stdlife+$E320),('PTRM input'!$O$161*(1+rvanilla09)^0.5)-SUM($O320:AU320),('PTRM input'!$O$161*(1+rvanilla09)^0.5)/A19stdlife))</f>
        <v>0</v>
      </c>
      <c r="AW320" s="107">
        <f>IF(A19stdlife="n/a","n/a",IF(AW$3&gt;(A19stdlife+$E320),('PTRM input'!$O$161*(1+rvanilla09)^0.5)-SUM($O320:AV320),('PTRM input'!$O$161*(1+rvanilla09)^0.5)/A19stdlife))</f>
        <v>0</v>
      </c>
      <c r="AX320" s="107">
        <f>IF(A19stdlife="n/a","n/a",IF(AX$3&gt;(A19stdlife+$E320),('PTRM input'!$O$161*(1+rvanilla09)^0.5)-SUM($O320:AW320),('PTRM input'!$O$161*(1+rvanilla09)^0.5)/A19stdlife))</f>
        <v>0</v>
      </c>
      <c r="AY320" s="107">
        <f>IF(A19stdlife="n/a","n/a",IF(AY$3&gt;(A19stdlife+$E320),('PTRM input'!$O$161*(1+rvanilla09)^0.5)-SUM($O320:AX320),('PTRM input'!$O$161*(1+rvanilla09)^0.5)/A19stdlife))</f>
        <v>0</v>
      </c>
      <c r="AZ320" s="107">
        <f>IF(A19stdlife="n/a","n/a",IF(AZ$3&gt;(A19stdlife+$E320),('PTRM input'!$O$161*(1+rvanilla09)^0.5)-SUM($O320:AY320),('PTRM input'!$O$161*(1+rvanilla09)^0.5)/A19stdlife))</f>
        <v>0</v>
      </c>
      <c r="BA320" s="107">
        <f>IF(A19stdlife="n/a","n/a",IF(BA$3&gt;(A19stdlife+$E320),('PTRM input'!$O$161*(1+rvanilla09)^0.5)-SUM($O320:AZ320),('PTRM input'!$O$161*(1+rvanilla09)^0.5)/A19stdlife))</f>
        <v>0</v>
      </c>
      <c r="BB320" s="107">
        <f>IF(A19stdlife="n/a","n/a",IF(BB$3&gt;(A19stdlife+$E320),('PTRM input'!$O$161*(1+rvanilla09)^0.5)-SUM($O320:BA320),('PTRM input'!$O$161*(1+rvanilla09)^0.5)/A19stdlife))</f>
        <v>0</v>
      </c>
      <c r="BC320" s="107">
        <f>IF(A19stdlife="n/a","n/a",IF(BC$3&gt;(A19stdlife+$E320),('PTRM input'!$O$161*(1+rvanilla09)^0.5)-SUM($O320:BB320),('PTRM input'!$O$161*(1+rvanilla09)^0.5)/A19stdlife))</f>
        <v>0</v>
      </c>
      <c r="BD320" s="107">
        <f>IF(A19stdlife="n/a","n/a",IF(BD$3&gt;(A19stdlife+$E320),('PTRM input'!$O$161*(1+rvanilla09)^0.5)-SUM($O320:BC320),('PTRM input'!$O$161*(1+rvanilla09)^0.5)/A19stdlife))</f>
        <v>0</v>
      </c>
      <c r="BE320" s="107">
        <f>IF(A19stdlife="n/a","n/a",IF(BE$3&gt;(A19stdlife+$E320),('PTRM input'!$O$161*(1+rvanilla09)^0.5)-SUM($O320:BD320),('PTRM input'!$O$161*(1+rvanilla09)^0.5)/A19stdlife))</f>
        <v>0</v>
      </c>
      <c r="BF320" s="107">
        <f>IF(A19stdlife="n/a","n/a",IF(BF$3&gt;(A19stdlife+$E320),('PTRM input'!$O$161*(1+rvanilla09)^0.5)-SUM($O320:BE320),('PTRM input'!$O$161*(1+rvanilla09)^0.5)/A19stdlife))</f>
        <v>0</v>
      </c>
      <c r="BG320" s="107">
        <f>IF(A19stdlife="n/a","n/a",IF(BG$3&gt;(A19stdlife+$E320),('PTRM input'!$O$161*(1+rvanilla09)^0.5)-SUM($O320:BF320),('PTRM input'!$O$161*(1+rvanilla09)^0.5)/A19stdlife))</f>
        <v>0</v>
      </c>
      <c r="BH320" s="107">
        <f>IF(A19stdlife="n/a","n/a",IF(BH$3&gt;(A19stdlife+$E320),('PTRM input'!$O$161*(1+rvanilla09)^0.5)-SUM($O320:BG320),('PTRM input'!$O$161*(1+rvanilla09)^0.5)/A19stdlife))</f>
        <v>0</v>
      </c>
      <c r="BI320" s="107">
        <f>IF(A19stdlife="n/a","n/a",IF(BI$3&gt;(A19stdlife+$E320),('PTRM input'!$O$161*(1+rvanilla09)^0.5)-SUM($O320:BH320),('PTRM input'!$O$161*(1+rvanilla09)^0.5)/A19stdlife))</f>
        <v>0</v>
      </c>
      <c r="BJ320" s="237"/>
      <c r="BK320" s="237"/>
      <c r="BL320" s="237"/>
      <c r="BM320" s="237"/>
    </row>
    <row r="321" spans="1:65" s="190" customFormat="1" hidden="1" outlineLevel="2">
      <c r="A321" s="237"/>
      <c r="B321" s="33"/>
      <c r="C321" s="32"/>
      <c r="D321" s="1618"/>
      <c r="E321" s="170">
        <v>10</v>
      </c>
      <c r="F321" s="35"/>
      <c r="G321" s="184"/>
      <c r="H321" s="186"/>
      <c r="I321" s="186"/>
      <c r="J321" s="186"/>
      <c r="K321" s="186"/>
      <c r="L321" s="186"/>
      <c r="M321" s="186"/>
      <c r="N321" s="186"/>
      <c r="O321" s="186"/>
      <c r="P321" s="185"/>
      <c r="Q321" s="107">
        <f>IF(A19stdlife="n/a","n/a",IF(Q$3&gt;(A19stdlife+$E321),('PTRM input'!$P$161*(1+rvanilla10)^0.5)-SUM($P321:P321),('PTRM input'!$P$161*(1+rvanilla10)^0.5)/A19stdlife))</f>
        <v>0</v>
      </c>
      <c r="R321" s="107">
        <f>IF(A19stdlife="n/a","n/a",IF(R$3&gt;(A19stdlife+$E321),('PTRM input'!$P$161*(1+rvanilla10)^0.5)-SUM($P321:Q321),('PTRM input'!$P$161*(1+rvanilla10)^0.5)/A19stdlife))</f>
        <v>0</v>
      </c>
      <c r="S321" s="107">
        <f>IF(A19stdlife="n/a","n/a",IF(S$3&gt;(A19stdlife+$E321),('PTRM input'!$P$161*(1+rvanilla10)^0.5)-SUM($P321:R321),('PTRM input'!$P$161*(1+rvanilla10)^0.5)/A19stdlife))</f>
        <v>0</v>
      </c>
      <c r="T321" s="107">
        <f>IF(A19stdlife="n/a","n/a",IF(T$3&gt;(A19stdlife+$E321),('PTRM input'!$P$161*(1+rvanilla10)^0.5)-SUM($P321:S321),('PTRM input'!$P$161*(1+rvanilla10)^0.5)/A19stdlife))</f>
        <v>0</v>
      </c>
      <c r="U321" s="107">
        <f>IF(A19stdlife="n/a","n/a",IF(U$3&gt;(A19stdlife+$E321),('PTRM input'!$P$161*(1+rvanilla10)^0.5)-SUM($P321:T321),('PTRM input'!$P$161*(1+rvanilla10)^0.5)/A19stdlife))</f>
        <v>0</v>
      </c>
      <c r="V321" s="107">
        <f>IF(A19stdlife="n/a","n/a",IF(V$3&gt;(A19stdlife+$E321),('PTRM input'!$P$161*(1+rvanilla10)^0.5)-SUM($P321:U321),('PTRM input'!$P$161*(1+rvanilla10)^0.5)/A19stdlife))</f>
        <v>0</v>
      </c>
      <c r="W321" s="107">
        <f>IF(A19stdlife="n/a","n/a",IF(W$3&gt;(A19stdlife+$E321),('PTRM input'!$P$161*(1+rvanilla10)^0.5)-SUM($P321:V321),('PTRM input'!$P$161*(1+rvanilla10)^0.5)/A19stdlife))</f>
        <v>0</v>
      </c>
      <c r="X321" s="107">
        <f>IF(A19stdlife="n/a","n/a",IF(X$3&gt;(A19stdlife+$E321),('PTRM input'!$P$161*(1+rvanilla10)^0.5)-SUM($P321:W321),('PTRM input'!$P$161*(1+rvanilla10)^0.5)/A19stdlife))</f>
        <v>0</v>
      </c>
      <c r="Y321" s="107">
        <f>IF(A19stdlife="n/a","n/a",IF(Y$3&gt;(A19stdlife+$E321),('PTRM input'!$P$161*(1+rvanilla10)^0.5)-SUM($P321:X321),('PTRM input'!$P$161*(1+rvanilla10)^0.5)/A19stdlife))</f>
        <v>0</v>
      </c>
      <c r="Z321" s="107">
        <f>IF(A19stdlife="n/a","n/a",IF(Z$3&gt;(A19stdlife+$E321),('PTRM input'!$P$161*(1+rvanilla10)^0.5)-SUM($P321:Y321),('PTRM input'!$P$161*(1+rvanilla10)^0.5)/A19stdlife))</f>
        <v>0</v>
      </c>
      <c r="AA321" s="107">
        <f>IF(A19stdlife="n/a","n/a",IF(AA$3&gt;(A19stdlife+$E321),('PTRM input'!$P$161*(1+rvanilla10)^0.5)-SUM($P321:Z321),('PTRM input'!$P$161*(1+rvanilla10)^0.5)/A19stdlife))</f>
        <v>0</v>
      </c>
      <c r="AB321" s="107">
        <f>IF(A19stdlife="n/a","n/a",IF(AB$3&gt;(A19stdlife+$E321),('PTRM input'!$P$161*(1+rvanilla10)^0.5)-SUM($P321:AA321),('PTRM input'!$P$161*(1+rvanilla10)^0.5)/A19stdlife))</f>
        <v>0</v>
      </c>
      <c r="AC321" s="107">
        <f>IF(A19stdlife="n/a","n/a",IF(AC$3&gt;(A19stdlife+$E321),('PTRM input'!$P$161*(1+rvanilla10)^0.5)-SUM($P321:AB321),('PTRM input'!$P$161*(1+rvanilla10)^0.5)/A19stdlife))</f>
        <v>0</v>
      </c>
      <c r="AD321" s="107">
        <f>IF(A19stdlife="n/a","n/a",IF(AD$3&gt;(A19stdlife+$E321),('PTRM input'!$P$161*(1+rvanilla10)^0.5)-SUM($P321:AC321),('PTRM input'!$P$161*(1+rvanilla10)^0.5)/A19stdlife))</f>
        <v>0</v>
      </c>
      <c r="AE321" s="107">
        <f>IF(A19stdlife="n/a","n/a",IF(AE$3&gt;(A19stdlife+$E321),('PTRM input'!$P$161*(1+rvanilla10)^0.5)-SUM($P321:AD321),('PTRM input'!$P$161*(1+rvanilla10)^0.5)/A19stdlife))</f>
        <v>0</v>
      </c>
      <c r="AF321" s="107">
        <f>IF(A19stdlife="n/a","n/a",IF(AF$3&gt;(A19stdlife+$E321),('PTRM input'!$P$161*(1+rvanilla10)^0.5)-SUM($P321:AE321),('PTRM input'!$P$161*(1+rvanilla10)^0.5)/A19stdlife))</f>
        <v>0</v>
      </c>
      <c r="AG321" s="107">
        <f>IF(A19stdlife="n/a","n/a",IF(AG$3&gt;(A19stdlife+$E321),('PTRM input'!$P$161*(1+rvanilla10)^0.5)-SUM($P321:AF321),('PTRM input'!$P$161*(1+rvanilla10)^0.5)/A19stdlife))</f>
        <v>0</v>
      </c>
      <c r="AH321" s="107">
        <f>IF(A19stdlife="n/a","n/a",IF(AH$3&gt;(A19stdlife+$E321),('PTRM input'!$P$161*(1+rvanilla10)^0.5)-SUM($P321:AG321),('PTRM input'!$P$161*(1+rvanilla10)^0.5)/A19stdlife))</f>
        <v>0</v>
      </c>
      <c r="AI321" s="107">
        <f>IF(A19stdlife="n/a","n/a",IF(AI$3&gt;(A19stdlife+$E321),('PTRM input'!$P$161*(1+rvanilla10)^0.5)-SUM($P321:AH321),('PTRM input'!$P$161*(1+rvanilla10)^0.5)/A19stdlife))</f>
        <v>0</v>
      </c>
      <c r="AJ321" s="107">
        <f>IF(A19stdlife="n/a","n/a",IF(AJ$3&gt;(A19stdlife+$E321),('PTRM input'!$P$161*(1+rvanilla10)^0.5)-SUM($P321:AI321),('PTRM input'!$P$161*(1+rvanilla10)^0.5)/A19stdlife))</f>
        <v>0</v>
      </c>
      <c r="AK321" s="107">
        <f>IF(A19stdlife="n/a","n/a",IF(AK$3&gt;(A19stdlife+$E321),('PTRM input'!$P$161*(1+rvanilla10)^0.5)-SUM($P321:AJ321),('PTRM input'!$P$161*(1+rvanilla10)^0.5)/A19stdlife))</f>
        <v>0</v>
      </c>
      <c r="AL321" s="107">
        <f>IF(A19stdlife="n/a","n/a",IF(AL$3&gt;(A19stdlife+$E321),('PTRM input'!$P$161*(1+rvanilla10)^0.5)-SUM($P321:AK321),('PTRM input'!$P$161*(1+rvanilla10)^0.5)/A19stdlife))</f>
        <v>0</v>
      </c>
      <c r="AM321" s="107">
        <f>IF(A19stdlife="n/a","n/a",IF(AM$3&gt;(A19stdlife+$E321),('PTRM input'!$P$161*(1+rvanilla10)^0.5)-SUM($P321:AL321),('PTRM input'!$P$161*(1+rvanilla10)^0.5)/A19stdlife))</f>
        <v>0</v>
      </c>
      <c r="AN321" s="107">
        <f>IF(A19stdlife="n/a","n/a",IF(AN$3&gt;(A19stdlife+$E321),('PTRM input'!$P$161*(1+rvanilla10)^0.5)-SUM($P321:AM321),('PTRM input'!$P$161*(1+rvanilla10)^0.5)/A19stdlife))</f>
        <v>0</v>
      </c>
      <c r="AO321" s="107">
        <f>IF(A19stdlife="n/a","n/a",IF(AO$3&gt;(A19stdlife+$E321),('PTRM input'!$P$161*(1+rvanilla10)^0.5)-SUM($P321:AN321),('PTRM input'!$P$161*(1+rvanilla10)^0.5)/A19stdlife))</f>
        <v>0</v>
      </c>
      <c r="AP321" s="107">
        <f>IF(A19stdlife="n/a","n/a",IF(AP$3&gt;(A19stdlife+$E321),('PTRM input'!$P$161*(1+rvanilla10)^0.5)-SUM($P321:AO321),('PTRM input'!$P$161*(1+rvanilla10)^0.5)/A19stdlife))</f>
        <v>0</v>
      </c>
      <c r="AQ321" s="107">
        <f>IF(A19stdlife="n/a","n/a",IF(AQ$3&gt;(A19stdlife+$E321),('PTRM input'!$P$161*(1+rvanilla10)^0.5)-SUM($P321:AP321),('PTRM input'!$P$161*(1+rvanilla10)^0.5)/A19stdlife))</f>
        <v>0</v>
      </c>
      <c r="AR321" s="107">
        <f>IF(A19stdlife="n/a","n/a",IF(AR$3&gt;(A19stdlife+$E321),('PTRM input'!$P$161*(1+rvanilla10)^0.5)-SUM($P321:AQ321),('PTRM input'!$P$161*(1+rvanilla10)^0.5)/A19stdlife))</f>
        <v>0</v>
      </c>
      <c r="AS321" s="107">
        <f>IF(A19stdlife="n/a","n/a",IF(AS$3&gt;(A19stdlife+$E321),('PTRM input'!$P$161*(1+rvanilla10)^0.5)-SUM($P321:AR321),('PTRM input'!$P$161*(1+rvanilla10)^0.5)/A19stdlife))</f>
        <v>0</v>
      </c>
      <c r="AT321" s="107">
        <f>IF(A19stdlife="n/a","n/a",IF(AT$3&gt;(A19stdlife+$E321),('PTRM input'!$P$161*(1+rvanilla10)^0.5)-SUM($P321:AS321),('PTRM input'!$P$161*(1+rvanilla10)^0.5)/A19stdlife))</f>
        <v>0</v>
      </c>
      <c r="AU321" s="107">
        <f>IF(A19stdlife="n/a","n/a",IF(AU$3&gt;(A19stdlife+$E321),('PTRM input'!$P$161*(1+rvanilla10)^0.5)-SUM($P321:AT321),('PTRM input'!$P$161*(1+rvanilla10)^0.5)/A19stdlife))</f>
        <v>0</v>
      </c>
      <c r="AV321" s="107">
        <f>IF(A19stdlife="n/a","n/a",IF(AV$3&gt;(A19stdlife+$E321),('PTRM input'!$P$161*(1+rvanilla10)^0.5)-SUM($P321:AU321),('PTRM input'!$P$161*(1+rvanilla10)^0.5)/A19stdlife))</f>
        <v>0</v>
      </c>
      <c r="AW321" s="107">
        <f>IF(A19stdlife="n/a","n/a",IF(AW$3&gt;(A19stdlife+$E321),('PTRM input'!$P$161*(1+rvanilla10)^0.5)-SUM($P321:AV321),('PTRM input'!$P$161*(1+rvanilla10)^0.5)/A19stdlife))</f>
        <v>0</v>
      </c>
      <c r="AX321" s="107">
        <f>IF(A19stdlife="n/a","n/a",IF(AX$3&gt;(A19stdlife+$E321),('PTRM input'!$P$161*(1+rvanilla10)^0.5)-SUM($P321:AW321),('PTRM input'!$P$161*(1+rvanilla10)^0.5)/A19stdlife))</f>
        <v>0</v>
      </c>
      <c r="AY321" s="107">
        <f>IF(A19stdlife="n/a","n/a",IF(AY$3&gt;(A19stdlife+$E321),('PTRM input'!$P$161*(1+rvanilla10)^0.5)-SUM($P321:AX321),('PTRM input'!$P$161*(1+rvanilla10)^0.5)/A19stdlife))</f>
        <v>0</v>
      </c>
      <c r="AZ321" s="107">
        <f>IF(A19stdlife="n/a","n/a",IF(AZ$3&gt;(A19stdlife+$E321),('PTRM input'!$P$161*(1+rvanilla10)^0.5)-SUM($P321:AY321),('PTRM input'!$P$161*(1+rvanilla10)^0.5)/A19stdlife))</f>
        <v>0</v>
      </c>
      <c r="BA321" s="107">
        <f>IF(A19stdlife="n/a","n/a",IF(BA$3&gt;(A19stdlife+$E321),('PTRM input'!$P$161*(1+rvanilla10)^0.5)-SUM($P321:AZ321),('PTRM input'!$P$161*(1+rvanilla10)^0.5)/A19stdlife))</f>
        <v>0</v>
      </c>
      <c r="BB321" s="107">
        <f>IF(A19stdlife="n/a","n/a",IF(BB$3&gt;(A19stdlife+$E321),('PTRM input'!$P$161*(1+rvanilla10)^0.5)-SUM($P321:BA321),('PTRM input'!$P$161*(1+rvanilla10)^0.5)/A19stdlife))</f>
        <v>0</v>
      </c>
      <c r="BC321" s="107">
        <f>IF(A19stdlife="n/a","n/a",IF(BC$3&gt;(A19stdlife+$E321),('PTRM input'!$P$161*(1+rvanilla10)^0.5)-SUM($P321:BB321),('PTRM input'!$P$161*(1+rvanilla10)^0.5)/A19stdlife))</f>
        <v>0</v>
      </c>
      <c r="BD321" s="107">
        <f>IF(A19stdlife="n/a","n/a",IF(BD$3&gt;(A19stdlife+$E321),('PTRM input'!$P$161*(1+rvanilla10)^0.5)-SUM($P321:BC321),('PTRM input'!$P$161*(1+rvanilla10)^0.5)/A19stdlife))</f>
        <v>0</v>
      </c>
      <c r="BE321" s="107">
        <f>IF(A19stdlife="n/a","n/a",IF(BE$3&gt;(A19stdlife+$E321),('PTRM input'!$P$161*(1+rvanilla10)^0.5)-SUM($P321:BD321),('PTRM input'!$P$161*(1+rvanilla10)^0.5)/A19stdlife))</f>
        <v>0</v>
      </c>
      <c r="BF321" s="107">
        <f>IF(A19stdlife="n/a","n/a",IF(BF$3&gt;(A19stdlife+$E321),('PTRM input'!$P$161*(1+rvanilla10)^0.5)-SUM($P321:BE321),('PTRM input'!$P$161*(1+rvanilla10)^0.5)/A19stdlife))</f>
        <v>0</v>
      </c>
      <c r="BG321" s="107">
        <f>IF(A19stdlife="n/a","n/a",IF(BG$3&gt;(A19stdlife+$E321),('PTRM input'!$P$161*(1+rvanilla10)^0.5)-SUM($P321:BF321),('PTRM input'!$P$161*(1+rvanilla10)^0.5)/A19stdlife))</f>
        <v>0</v>
      </c>
      <c r="BH321" s="107">
        <f>IF(A19stdlife="n/a","n/a",IF(BH$3&gt;(A19stdlife+$E321),('PTRM input'!$P$161*(1+rvanilla10)^0.5)-SUM($P321:BG321),('PTRM input'!$P$161*(1+rvanilla10)^0.5)/A19stdlife))</f>
        <v>0</v>
      </c>
      <c r="BI321" s="107">
        <f>IF(A19stdlife="n/a","n/a",IF(BI$3&gt;(A19stdlife+$E321),('PTRM input'!$P$161*(1+rvanilla10)^0.5)-SUM($P321:BH321),('PTRM input'!$P$161*(1+rvanilla10)^0.5)/A19stdlife))</f>
        <v>0</v>
      </c>
      <c r="BJ321" s="237"/>
      <c r="BK321" s="237"/>
      <c r="BL321" s="237"/>
      <c r="BM321" s="237"/>
    </row>
    <row r="322" spans="1:65" s="190" customFormat="1" hidden="1" outlineLevel="1">
      <c r="A322" s="237"/>
      <c r="B322" s="18"/>
      <c r="C322" s="33">
        <f>Asset19</f>
        <v>0</v>
      </c>
      <c r="D322" s="18"/>
      <c r="E322" s="18"/>
      <c r="F322" s="31"/>
      <c r="G322" s="104">
        <f t="shared" ref="G322:AL322" si="73">SUM(G310:G321)</f>
        <v>0</v>
      </c>
      <c r="H322" s="104">
        <f t="shared" si="73"/>
        <v>0</v>
      </c>
      <c r="I322" s="104">
        <f t="shared" si="73"/>
        <v>0</v>
      </c>
      <c r="J322" s="104">
        <f t="shared" si="73"/>
        <v>0</v>
      </c>
      <c r="K322" s="104">
        <f t="shared" si="73"/>
        <v>0</v>
      </c>
      <c r="L322" s="104">
        <f t="shared" si="73"/>
        <v>0</v>
      </c>
      <c r="M322" s="104">
        <f t="shared" si="73"/>
        <v>0</v>
      </c>
      <c r="N322" s="104">
        <f t="shared" si="73"/>
        <v>0</v>
      </c>
      <c r="O322" s="104">
        <f t="shared" si="73"/>
        <v>0</v>
      </c>
      <c r="P322" s="104">
        <f t="shared" si="73"/>
        <v>0</v>
      </c>
      <c r="Q322" s="104">
        <f t="shared" si="73"/>
        <v>0</v>
      </c>
      <c r="R322" s="104">
        <f t="shared" si="73"/>
        <v>0</v>
      </c>
      <c r="S322" s="104">
        <f t="shared" si="73"/>
        <v>0</v>
      </c>
      <c r="T322" s="104">
        <f t="shared" si="73"/>
        <v>0</v>
      </c>
      <c r="U322" s="104">
        <f t="shared" si="73"/>
        <v>0</v>
      </c>
      <c r="V322" s="104">
        <f t="shared" si="73"/>
        <v>0</v>
      </c>
      <c r="W322" s="104">
        <f t="shared" si="73"/>
        <v>0</v>
      </c>
      <c r="X322" s="104">
        <f t="shared" si="73"/>
        <v>0</v>
      </c>
      <c r="Y322" s="104">
        <f t="shared" si="73"/>
        <v>0</v>
      </c>
      <c r="Z322" s="104">
        <f t="shared" si="73"/>
        <v>0</v>
      </c>
      <c r="AA322" s="104">
        <f t="shared" si="73"/>
        <v>0</v>
      </c>
      <c r="AB322" s="104">
        <f t="shared" si="73"/>
        <v>0</v>
      </c>
      <c r="AC322" s="104">
        <f t="shared" si="73"/>
        <v>0</v>
      </c>
      <c r="AD322" s="104">
        <f t="shared" si="73"/>
        <v>0</v>
      </c>
      <c r="AE322" s="104">
        <f t="shared" si="73"/>
        <v>0</v>
      </c>
      <c r="AF322" s="104">
        <f t="shared" si="73"/>
        <v>0</v>
      </c>
      <c r="AG322" s="104">
        <f t="shared" si="73"/>
        <v>0</v>
      </c>
      <c r="AH322" s="104">
        <f t="shared" si="73"/>
        <v>0</v>
      </c>
      <c r="AI322" s="104">
        <f t="shared" si="73"/>
        <v>0</v>
      </c>
      <c r="AJ322" s="104">
        <f t="shared" si="73"/>
        <v>0</v>
      </c>
      <c r="AK322" s="104">
        <f t="shared" si="73"/>
        <v>0</v>
      </c>
      <c r="AL322" s="104">
        <f t="shared" si="73"/>
        <v>0</v>
      </c>
      <c r="AM322" s="104">
        <f t="shared" ref="AM322:BI322" si="74">SUM(AM310:AM321)</f>
        <v>0</v>
      </c>
      <c r="AN322" s="104">
        <f t="shared" si="74"/>
        <v>0</v>
      </c>
      <c r="AO322" s="104">
        <f t="shared" si="74"/>
        <v>0</v>
      </c>
      <c r="AP322" s="104">
        <f t="shared" si="74"/>
        <v>0</v>
      </c>
      <c r="AQ322" s="104">
        <f t="shared" si="74"/>
        <v>0</v>
      </c>
      <c r="AR322" s="104">
        <f t="shared" si="74"/>
        <v>0</v>
      </c>
      <c r="AS322" s="104">
        <f t="shared" si="74"/>
        <v>0</v>
      </c>
      <c r="AT322" s="104">
        <f t="shared" si="74"/>
        <v>0</v>
      </c>
      <c r="AU322" s="104">
        <f t="shared" si="74"/>
        <v>0</v>
      </c>
      <c r="AV322" s="104">
        <f t="shared" si="74"/>
        <v>0</v>
      </c>
      <c r="AW322" s="104">
        <f t="shared" si="74"/>
        <v>0</v>
      </c>
      <c r="AX322" s="104">
        <f t="shared" si="74"/>
        <v>0</v>
      </c>
      <c r="AY322" s="104">
        <f t="shared" si="74"/>
        <v>0</v>
      </c>
      <c r="AZ322" s="104">
        <f t="shared" si="74"/>
        <v>0</v>
      </c>
      <c r="BA322" s="104">
        <f t="shared" si="74"/>
        <v>0</v>
      </c>
      <c r="BB322" s="104">
        <f t="shared" si="74"/>
        <v>0</v>
      </c>
      <c r="BC322" s="104">
        <f t="shared" si="74"/>
        <v>0</v>
      </c>
      <c r="BD322" s="104">
        <f t="shared" si="74"/>
        <v>0</v>
      </c>
      <c r="BE322" s="104">
        <f t="shared" si="74"/>
        <v>0</v>
      </c>
      <c r="BF322" s="104">
        <f t="shared" si="74"/>
        <v>0</v>
      </c>
      <c r="BG322" s="104">
        <f t="shared" si="74"/>
        <v>0</v>
      </c>
      <c r="BH322" s="104">
        <f t="shared" si="74"/>
        <v>0</v>
      </c>
      <c r="BI322" s="104">
        <f t="shared" si="74"/>
        <v>0</v>
      </c>
      <c r="BJ322" s="237"/>
      <c r="BK322" s="237"/>
      <c r="BL322" s="237"/>
      <c r="BM322" s="237"/>
    </row>
    <row r="323" spans="1:65" s="190" customFormat="1" ht="12.75" hidden="1" customHeight="1" outlineLevel="2">
      <c r="A323" s="237"/>
      <c r="B323" s="37">
        <f>C335</f>
        <v>0</v>
      </c>
      <c r="C323" s="38"/>
      <c r="D323" s="39" t="s">
        <v>58</v>
      </c>
      <c r="E323" s="38"/>
      <c r="F323" s="40"/>
      <c r="G323" s="106">
        <f>IF(G$3&gt;A20remlife,A20value-SUM($F323:F323),IF(A20remlife="N/A","n/a",A20value/A20remlife))</f>
        <v>0</v>
      </c>
      <c r="H323" s="106">
        <f>IF(H$3&gt;A20remlife,A20value-SUM($F323:G323),IF(A20remlife="N/A","n/a",A20value/A20remlife))</f>
        <v>0</v>
      </c>
      <c r="I323" s="106">
        <f>IF(I$3&gt;A20remlife,A20value-SUM($F323:H323),IF(A20remlife="N/A","n/a",A20value/A20remlife))</f>
        <v>0</v>
      </c>
      <c r="J323" s="106">
        <f>IF(J$3&gt;A20remlife,A20value-SUM($F323:I323),IF(A20remlife="N/A","n/a",A20value/A20remlife))</f>
        <v>0</v>
      </c>
      <c r="K323" s="106">
        <f>IF(K$3&gt;A20remlife,A20value-SUM($F323:J323),IF(A20remlife="N/A","n/a",A20value/A20remlife))</f>
        <v>0</v>
      </c>
      <c r="L323" s="106">
        <f>IF(L$3&gt;A20remlife,A20value-SUM($F323:K323),IF(A20remlife="N/A","n/a",A20value/A20remlife))</f>
        <v>0</v>
      </c>
      <c r="M323" s="106">
        <f>IF(M$3&gt;A20remlife,A20value-SUM($F323:L323),IF(A20remlife="N/A","n/a",A20value/A20remlife))</f>
        <v>0</v>
      </c>
      <c r="N323" s="106">
        <f>IF(N$3&gt;A20remlife,A20value-SUM($F323:M323),IF(A20remlife="N/A","n/a",A20value/A20remlife))</f>
        <v>0</v>
      </c>
      <c r="O323" s="106">
        <f>IF(O$3&gt;A20remlife,A20value-SUM($F323:N323),IF(A20remlife="N/A","n/a",A20value/A20remlife))</f>
        <v>0</v>
      </c>
      <c r="P323" s="106">
        <f>IF(P$3&gt;A20remlife,A20value-SUM($F323:O323),IF(A20remlife="N/A","n/a",A20value/A20remlife))</f>
        <v>0</v>
      </c>
      <c r="Q323" s="106">
        <f>IF(Q$3&gt;A20remlife,A20value-SUM($F323:P323),IF(A20remlife="N/A","n/a",A20value/A20remlife))</f>
        <v>0</v>
      </c>
      <c r="R323" s="106">
        <f>IF(R$3&gt;A20remlife,A20value-SUM($F323:Q323),IF(A20remlife="N/A","n/a",A20value/A20remlife))</f>
        <v>0</v>
      </c>
      <c r="S323" s="106">
        <f>IF(S$3&gt;A20remlife,A20value-SUM($F323:R323),IF(A20remlife="N/A","n/a",A20value/A20remlife))</f>
        <v>0</v>
      </c>
      <c r="T323" s="106">
        <f>IF(T$3&gt;A20remlife,A20value-SUM($F323:S323),IF(A20remlife="N/A","n/a",A20value/A20remlife))</f>
        <v>0</v>
      </c>
      <c r="U323" s="106">
        <f>IF(U$3&gt;A20remlife,A20value-SUM($F323:T323),IF(A20remlife="N/A","n/a",A20value/A20remlife))</f>
        <v>0</v>
      </c>
      <c r="V323" s="106">
        <f>IF(V$3&gt;A20remlife,A20value-SUM($F323:U323),IF(A20remlife="N/A","n/a",A20value/A20remlife))</f>
        <v>0</v>
      </c>
      <c r="W323" s="106">
        <f>IF(W$3&gt;A20remlife,A20value-SUM($F323:V323),IF(A20remlife="N/A","n/a",A20value/A20remlife))</f>
        <v>0</v>
      </c>
      <c r="X323" s="106">
        <f>IF(X$3&gt;A20remlife,A20value-SUM($F323:W323),IF(A20remlife="N/A","n/a",A20value/A20remlife))</f>
        <v>0</v>
      </c>
      <c r="Y323" s="106">
        <f>IF(Y$3&gt;A20remlife,A20value-SUM($F323:X323),IF(A20remlife="N/A","n/a",A20value/A20remlife))</f>
        <v>0</v>
      </c>
      <c r="Z323" s="106">
        <f>IF(Z$3&gt;A20remlife,A20value-SUM($F323:Y323),IF(A20remlife="N/A","n/a",A20value/A20remlife))</f>
        <v>0</v>
      </c>
      <c r="AA323" s="106">
        <f>IF(AA$3&gt;A20remlife,A20value-SUM($F323:Z323),IF(A20remlife="N/A","n/a",A20value/A20remlife))</f>
        <v>0</v>
      </c>
      <c r="AB323" s="106">
        <f>IF(AB$3&gt;A20remlife,A20value-SUM($F323:AA323),IF(A20remlife="N/A","n/a",A20value/A20remlife))</f>
        <v>0</v>
      </c>
      <c r="AC323" s="106">
        <f>IF(AC$3&gt;A20remlife,A20value-SUM($F323:AB323),IF(A20remlife="N/A","n/a",A20value/A20remlife))</f>
        <v>0</v>
      </c>
      <c r="AD323" s="106">
        <f>IF(AD$3&gt;A20remlife,A20value-SUM($F323:AC323),IF(A20remlife="N/A","n/a",A20value/A20remlife))</f>
        <v>0</v>
      </c>
      <c r="AE323" s="106">
        <f>IF(AE$3&gt;A20remlife,A20value-SUM($F323:AD323),IF(A20remlife="N/A","n/a",A20value/A20remlife))</f>
        <v>0</v>
      </c>
      <c r="AF323" s="106">
        <f>IF(AF$3&gt;A20remlife,A20value-SUM($F323:AE323),IF(A20remlife="N/A","n/a",A20value/A20remlife))</f>
        <v>0</v>
      </c>
      <c r="AG323" s="106">
        <f>IF(AG$3&gt;A20remlife,A20value-SUM($F323:AF323),IF(A20remlife="N/A","n/a",A20value/A20remlife))</f>
        <v>0</v>
      </c>
      <c r="AH323" s="106">
        <f>IF(AH$3&gt;A20remlife,A20value-SUM($F323:AG323),IF(A20remlife="N/A","n/a",A20value/A20remlife))</f>
        <v>0</v>
      </c>
      <c r="AI323" s="106">
        <f>IF(AI$3&gt;A20remlife,A20value-SUM($F323:AH323),IF(A20remlife="N/A","n/a",A20value/A20remlife))</f>
        <v>0</v>
      </c>
      <c r="AJ323" s="106">
        <f>IF(AJ$3&gt;A20remlife,A20value-SUM($F323:AI323),IF(A20remlife="N/A","n/a",A20value/A20remlife))</f>
        <v>0</v>
      </c>
      <c r="AK323" s="106">
        <f>IF(AK$3&gt;A20remlife,A20value-SUM($F323:AJ323),IF(A20remlife="N/A","n/a",A20value/A20remlife))</f>
        <v>0</v>
      </c>
      <c r="AL323" s="106">
        <f>IF(AL$3&gt;A20remlife,A20value-SUM($F323:AK323),IF(A20remlife="N/A","n/a",A20value/A20remlife))</f>
        <v>0</v>
      </c>
      <c r="AM323" s="106">
        <f>IF(AM$3&gt;A20remlife,A20value-SUM($F323:AL323),IF(A20remlife="N/A","n/a",A20value/A20remlife))</f>
        <v>0</v>
      </c>
      <c r="AN323" s="106">
        <f>IF(AN$3&gt;A20remlife,A20value-SUM($F323:AM323),IF(A20remlife="N/A","n/a",A20value/A20remlife))</f>
        <v>0</v>
      </c>
      <c r="AO323" s="106">
        <f>IF(AO$3&gt;A20remlife,A20value-SUM($F323:AN323),IF(A20remlife="N/A","n/a",A20value/A20remlife))</f>
        <v>0</v>
      </c>
      <c r="AP323" s="106">
        <f>IF(AP$3&gt;A20remlife,A20value-SUM($F323:AO323),IF(A20remlife="N/A","n/a",A20value/A20remlife))</f>
        <v>0</v>
      </c>
      <c r="AQ323" s="106">
        <f>IF(AQ$3&gt;A20remlife,A20value-SUM($F323:AP323),IF(A20remlife="N/A","n/a",A20value/A20remlife))</f>
        <v>0</v>
      </c>
      <c r="AR323" s="106">
        <f>IF(AR$3&gt;A20remlife,A20value-SUM($F323:AQ323),IF(A20remlife="N/A","n/a",A20value/A20remlife))</f>
        <v>0</v>
      </c>
      <c r="AS323" s="106">
        <f>IF(AS$3&gt;A20remlife,A20value-SUM($F323:AR323),IF(A20remlife="N/A","n/a",A20value/A20remlife))</f>
        <v>0</v>
      </c>
      <c r="AT323" s="106">
        <f>IF(AT$3&gt;A20remlife,A20value-SUM($F323:AS323),IF(A20remlife="N/A","n/a",A20value/A20remlife))</f>
        <v>0</v>
      </c>
      <c r="AU323" s="106">
        <f>IF(AU$3&gt;A20remlife,A20value-SUM($F323:AT323),IF(A20remlife="N/A","n/a",A20value/A20remlife))</f>
        <v>0</v>
      </c>
      <c r="AV323" s="106">
        <f>IF(AV$3&gt;A20remlife,A20value-SUM($F323:AU323),IF(A20remlife="N/A","n/a",A20value/A20remlife))</f>
        <v>0</v>
      </c>
      <c r="AW323" s="106">
        <f>IF(AW$3&gt;A20remlife,A20value-SUM($F323:AV323),IF(A20remlife="N/A","n/a",A20value/A20remlife))</f>
        <v>0</v>
      </c>
      <c r="AX323" s="106">
        <f>IF(AX$3&gt;A20remlife,A20value-SUM($F323:AW323),IF(A20remlife="N/A","n/a",A20value/A20remlife))</f>
        <v>0</v>
      </c>
      <c r="AY323" s="106">
        <f>IF(AY$3&gt;A20remlife,A20value-SUM($F323:AX323),IF(A20remlife="N/A","n/a",A20value/A20remlife))</f>
        <v>0</v>
      </c>
      <c r="AZ323" s="106">
        <f>IF(AZ$3&gt;A20remlife,A20value-SUM($F323:AY323),IF(A20remlife="N/A","n/a",A20value/A20remlife))</f>
        <v>0</v>
      </c>
      <c r="BA323" s="106">
        <f>IF(BA$3&gt;A20remlife,A20value-SUM($F323:AZ323),IF(A20remlife="N/A","n/a",A20value/A20remlife))</f>
        <v>0</v>
      </c>
      <c r="BB323" s="106">
        <f>IF(BB$3&gt;A20remlife,A20value-SUM($F323:BA323),IF(A20remlife="N/A","n/a",A20value/A20remlife))</f>
        <v>0</v>
      </c>
      <c r="BC323" s="106">
        <f>IF(BC$3&gt;A20remlife,A20value-SUM($F323:BB323),IF(A20remlife="N/A","n/a",A20value/A20remlife))</f>
        <v>0</v>
      </c>
      <c r="BD323" s="106">
        <f>IF(BD$3&gt;A20remlife,A20value-SUM($F323:BC323),IF(A20remlife="N/A","n/a",A20value/A20remlife))</f>
        <v>0</v>
      </c>
      <c r="BE323" s="106">
        <f>IF(BE$3&gt;A20remlife,A20value-SUM($F323:BD323),IF(A20remlife="N/A","n/a",A20value/A20remlife))</f>
        <v>0</v>
      </c>
      <c r="BF323" s="106">
        <f>IF(BF$3&gt;A20remlife,A20value-SUM($F323:BE323),IF(A20remlife="N/A","n/a",A20value/A20remlife))</f>
        <v>0</v>
      </c>
      <c r="BG323" s="106">
        <f>IF(BG$3&gt;A20remlife,A20value-SUM($F323:BF323),IF(A20remlife="N/A","n/a",A20value/A20remlife))</f>
        <v>0</v>
      </c>
      <c r="BH323" s="106">
        <f>IF(BH$3&gt;A20remlife,A20value-SUM($F323:BG323),IF(A20remlife="N/A","n/a",A20value/A20remlife))</f>
        <v>0</v>
      </c>
      <c r="BI323" s="106">
        <f>IF(BI$3&gt;A20remlife,A20value-SUM($F323:BH323),IF(A20remlife="N/A","n/a",A20value/A20remlife))</f>
        <v>0</v>
      </c>
      <c r="BJ323" s="237"/>
      <c r="BK323" s="237"/>
      <c r="BL323" s="237"/>
      <c r="BM323" s="237"/>
    </row>
    <row r="324" spans="1:65" s="190" customFormat="1" ht="12.75" hidden="1" customHeight="1" outlineLevel="2">
      <c r="A324" s="237"/>
      <c r="B324" s="33"/>
      <c r="C324" s="32"/>
      <c r="D324" s="1618" t="s">
        <v>357</v>
      </c>
      <c r="E324" s="169">
        <v>0</v>
      </c>
      <c r="F324" s="35"/>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c r="BE324" s="107"/>
      <c r="BF324" s="107"/>
      <c r="BG324" s="107"/>
      <c r="BH324" s="107"/>
      <c r="BI324" s="107"/>
      <c r="BJ324" s="237"/>
      <c r="BK324" s="237"/>
      <c r="BL324" s="237"/>
      <c r="BM324" s="237"/>
    </row>
    <row r="325" spans="1:65" s="190" customFormat="1" hidden="1" outlineLevel="2">
      <c r="A325" s="237"/>
      <c r="B325" s="33"/>
      <c r="C325" s="32"/>
      <c r="D325" s="1618"/>
      <c r="E325" s="169">
        <v>1</v>
      </c>
      <c r="F325" s="35"/>
      <c r="G325" s="183"/>
      <c r="H325" s="107">
        <f>IF(A20stdlife="n/a","n/a",IF(H$3&gt;(A20stdlife+$E325),('PTRM input'!$G$162*(1+rvanilla01)^0.5)-SUM($G325:G325),('PTRM input'!$G$162*(1+rvanilla01)^0.5)/A20stdlife))</f>
        <v>0</v>
      </c>
      <c r="I325" s="107">
        <f>IF(A20stdlife="n/a","n/a",IF(I$3&gt;(A20stdlife+$E325),('PTRM input'!$G$162*(1+rvanilla01)^0.5)-SUM($G325:H325),('PTRM input'!$G$162*(1+rvanilla01)^0.5)/A20stdlife))</f>
        <v>0</v>
      </c>
      <c r="J325" s="107">
        <f>IF(A20stdlife="n/a","n/a",IF(J$3&gt;(A20stdlife+$E325),('PTRM input'!$G$162*(1+rvanilla01)^0.5)-SUM($G325:I325),('PTRM input'!$G$162*(1+rvanilla01)^0.5)/A20stdlife))</f>
        <v>0</v>
      </c>
      <c r="K325" s="107">
        <f>IF(A20stdlife="n/a","n/a",IF(K$3&gt;(A20stdlife+$E325),('PTRM input'!$G$162*(1+rvanilla01)^0.5)-SUM($G325:J325),('PTRM input'!$G$162*(1+rvanilla01)^0.5)/A20stdlife))</f>
        <v>0</v>
      </c>
      <c r="L325" s="107">
        <f>IF(A20stdlife="n/a","n/a",IF(L$3&gt;(A20stdlife+$E325),('PTRM input'!$G$162*(1+rvanilla01)^0.5)-SUM($G325:K325),('PTRM input'!$G$162*(1+rvanilla01)^0.5)/A20stdlife))</f>
        <v>0</v>
      </c>
      <c r="M325" s="107">
        <f>IF(A20stdlife="n/a","n/a",IF(M$3&gt;(A20stdlife+$E325),('PTRM input'!$G$162*(1+rvanilla01)^0.5)-SUM($G325:L325),('PTRM input'!$G$162*(1+rvanilla01)^0.5)/A20stdlife))</f>
        <v>0</v>
      </c>
      <c r="N325" s="107">
        <f>IF(A20stdlife="n/a","n/a",IF(N$3&gt;(A20stdlife+$E325),('PTRM input'!$G$162*(1+rvanilla01)^0.5)-SUM($G325:M325),('PTRM input'!$G$162*(1+rvanilla01)^0.5)/A20stdlife))</f>
        <v>0</v>
      </c>
      <c r="O325" s="107">
        <f>IF(A20stdlife="n/a","n/a",IF(O$3&gt;(A20stdlife+$E325),('PTRM input'!$G$162*(1+rvanilla01)^0.5)-SUM($G325:N325),('PTRM input'!$G$162*(1+rvanilla01)^0.5)/A20stdlife))</f>
        <v>0</v>
      </c>
      <c r="P325" s="107">
        <f>IF(A20stdlife="n/a","n/a",IF(P$3&gt;(A20stdlife+$E325),('PTRM input'!$G$162*(1+rvanilla01)^0.5)-SUM($G325:O325),('PTRM input'!$G$162*(1+rvanilla01)^0.5)/A20stdlife))</f>
        <v>0</v>
      </c>
      <c r="Q325" s="107">
        <f>IF(A20stdlife="n/a","n/a",IF(Q$3&gt;(A20stdlife+$E325),('PTRM input'!$G$162*(1+rvanilla01)^0.5)-SUM($G325:P325),('PTRM input'!$G$162*(1+rvanilla01)^0.5)/A20stdlife))</f>
        <v>0</v>
      </c>
      <c r="R325" s="107">
        <f>IF(A20stdlife="n/a","n/a",IF(R$3&gt;(A20stdlife+$E325),('PTRM input'!$G$162*(1+rvanilla01)^0.5)-SUM($G325:Q325),('PTRM input'!$G$162*(1+rvanilla01)^0.5)/A20stdlife))</f>
        <v>0</v>
      </c>
      <c r="S325" s="107">
        <f>IF(A20stdlife="n/a","n/a",IF(S$3&gt;(A20stdlife+$E325),('PTRM input'!$G$162*(1+rvanilla01)^0.5)-SUM($G325:R325),('PTRM input'!$G$162*(1+rvanilla01)^0.5)/A20stdlife))</f>
        <v>0</v>
      </c>
      <c r="T325" s="107">
        <f>IF(A20stdlife="n/a","n/a",IF(T$3&gt;(A20stdlife+$E325),('PTRM input'!$G$162*(1+rvanilla01)^0.5)-SUM($G325:S325),('PTRM input'!$G$162*(1+rvanilla01)^0.5)/A20stdlife))</f>
        <v>0</v>
      </c>
      <c r="U325" s="107">
        <f>IF(A20stdlife="n/a","n/a",IF(U$3&gt;(A20stdlife+$E325),('PTRM input'!$G$162*(1+rvanilla01)^0.5)-SUM($G325:T325),('PTRM input'!$G$162*(1+rvanilla01)^0.5)/A20stdlife))</f>
        <v>0</v>
      </c>
      <c r="V325" s="107">
        <f>IF(A20stdlife="n/a","n/a",IF(V$3&gt;(A20stdlife+$E325),('PTRM input'!$G$162*(1+rvanilla01)^0.5)-SUM($G325:U325),('PTRM input'!$G$162*(1+rvanilla01)^0.5)/A20stdlife))</f>
        <v>0</v>
      </c>
      <c r="W325" s="107">
        <f>IF(A20stdlife="n/a","n/a",IF(W$3&gt;(A20stdlife+$E325),('PTRM input'!$G$162*(1+rvanilla01)^0.5)-SUM($G325:V325),('PTRM input'!$G$162*(1+rvanilla01)^0.5)/A20stdlife))</f>
        <v>0</v>
      </c>
      <c r="X325" s="107">
        <f>IF(A20stdlife="n/a","n/a",IF(X$3&gt;(A20stdlife+$E325),('PTRM input'!$G$162*(1+rvanilla01)^0.5)-SUM($G325:W325),('PTRM input'!$G$162*(1+rvanilla01)^0.5)/A20stdlife))</f>
        <v>0</v>
      </c>
      <c r="Y325" s="107">
        <f>IF(A20stdlife="n/a","n/a",IF(Y$3&gt;(A20stdlife+$E325),('PTRM input'!$G$162*(1+rvanilla01)^0.5)-SUM($G325:X325),('PTRM input'!$G$162*(1+rvanilla01)^0.5)/A20stdlife))</f>
        <v>0</v>
      </c>
      <c r="Z325" s="107">
        <f>IF(A20stdlife="n/a","n/a",IF(Z$3&gt;(A20stdlife+$E325),('PTRM input'!$G$162*(1+rvanilla01)^0.5)-SUM($G325:Y325),('PTRM input'!$G$162*(1+rvanilla01)^0.5)/A20stdlife))</f>
        <v>0</v>
      </c>
      <c r="AA325" s="107">
        <f>IF(A20stdlife="n/a","n/a",IF(AA$3&gt;(A20stdlife+$E325),('PTRM input'!$G$162*(1+rvanilla01)^0.5)-SUM($G325:Z325),('PTRM input'!$G$162*(1+rvanilla01)^0.5)/A20stdlife))</f>
        <v>0</v>
      </c>
      <c r="AB325" s="107">
        <f>IF(A20stdlife="n/a","n/a",IF(AB$3&gt;(A20stdlife+$E325),('PTRM input'!$G$162*(1+rvanilla01)^0.5)-SUM($G325:AA325),('PTRM input'!$G$162*(1+rvanilla01)^0.5)/A20stdlife))</f>
        <v>0</v>
      </c>
      <c r="AC325" s="107">
        <f>IF(A20stdlife="n/a","n/a",IF(AC$3&gt;(A20stdlife+$E325),('PTRM input'!$G$162*(1+rvanilla01)^0.5)-SUM($G325:AB325),('PTRM input'!$G$162*(1+rvanilla01)^0.5)/A20stdlife))</f>
        <v>0</v>
      </c>
      <c r="AD325" s="107">
        <f>IF(A20stdlife="n/a","n/a",IF(AD$3&gt;(A20stdlife+$E325),('PTRM input'!$G$162*(1+rvanilla01)^0.5)-SUM($G325:AC325),('PTRM input'!$G$162*(1+rvanilla01)^0.5)/A20stdlife))</f>
        <v>0</v>
      </c>
      <c r="AE325" s="107">
        <f>IF(A20stdlife="n/a","n/a",IF(AE$3&gt;(A20stdlife+$E325),('PTRM input'!$G$162*(1+rvanilla01)^0.5)-SUM($G325:AD325),('PTRM input'!$G$162*(1+rvanilla01)^0.5)/A20stdlife))</f>
        <v>0</v>
      </c>
      <c r="AF325" s="107">
        <f>IF(A20stdlife="n/a","n/a",IF(AF$3&gt;(A20stdlife+$E325),('PTRM input'!$G$162*(1+rvanilla01)^0.5)-SUM($G325:AE325),('PTRM input'!$G$162*(1+rvanilla01)^0.5)/A20stdlife))</f>
        <v>0</v>
      </c>
      <c r="AG325" s="107">
        <f>IF(A20stdlife="n/a","n/a",IF(AG$3&gt;(A20stdlife+$E325),('PTRM input'!$G$162*(1+rvanilla01)^0.5)-SUM($G325:AF325),('PTRM input'!$G$162*(1+rvanilla01)^0.5)/A20stdlife))</f>
        <v>0</v>
      </c>
      <c r="AH325" s="107">
        <f>IF(A20stdlife="n/a","n/a",IF(AH$3&gt;(A20stdlife+$E325),('PTRM input'!$G$162*(1+rvanilla01)^0.5)-SUM($G325:AG325),('PTRM input'!$G$162*(1+rvanilla01)^0.5)/A20stdlife))</f>
        <v>0</v>
      </c>
      <c r="AI325" s="107">
        <f>IF(A20stdlife="n/a","n/a",IF(AI$3&gt;(A20stdlife+$E325),('PTRM input'!$G$162*(1+rvanilla01)^0.5)-SUM($G325:AH325),('PTRM input'!$G$162*(1+rvanilla01)^0.5)/A20stdlife))</f>
        <v>0</v>
      </c>
      <c r="AJ325" s="107">
        <f>IF(A20stdlife="n/a","n/a",IF(AJ$3&gt;(A20stdlife+$E325),('PTRM input'!$G$162*(1+rvanilla01)^0.5)-SUM($G325:AI325),('PTRM input'!$G$162*(1+rvanilla01)^0.5)/A20stdlife))</f>
        <v>0</v>
      </c>
      <c r="AK325" s="107">
        <f>IF(A20stdlife="n/a","n/a",IF(AK$3&gt;(A20stdlife+$E325),('PTRM input'!$G$162*(1+rvanilla01)^0.5)-SUM($G325:AJ325),('PTRM input'!$G$162*(1+rvanilla01)^0.5)/A20stdlife))</f>
        <v>0</v>
      </c>
      <c r="AL325" s="107">
        <f>IF(A20stdlife="n/a","n/a",IF(AL$3&gt;(A20stdlife+$E325),('PTRM input'!$G$162*(1+rvanilla01)^0.5)-SUM($G325:AK325),('PTRM input'!$G$162*(1+rvanilla01)^0.5)/A20stdlife))</f>
        <v>0</v>
      </c>
      <c r="AM325" s="107">
        <f>IF(A20stdlife="n/a","n/a",IF(AM$3&gt;(A20stdlife+$E325),('PTRM input'!$G$162*(1+rvanilla01)^0.5)-SUM($G325:AL325),('PTRM input'!$G$162*(1+rvanilla01)^0.5)/A20stdlife))</f>
        <v>0</v>
      </c>
      <c r="AN325" s="107">
        <f>IF(A20stdlife="n/a","n/a",IF(AN$3&gt;(A20stdlife+$E325),('PTRM input'!$G$162*(1+rvanilla01)^0.5)-SUM($G325:AM325),('PTRM input'!$G$162*(1+rvanilla01)^0.5)/A20stdlife))</f>
        <v>0</v>
      </c>
      <c r="AO325" s="107">
        <f>IF(A20stdlife="n/a","n/a",IF(AO$3&gt;(A20stdlife+$E325),('PTRM input'!$G$162*(1+rvanilla01)^0.5)-SUM($G325:AN325),('PTRM input'!$G$162*(1+rvanilla01)^0.5)/A20stdlife))</f>
        <v>0</v>
      </c>
      <c r="AP325" s="107">
        <f>IF(A20stdlife="n/a","n/a",IF(AP$3&gt;(A20stdlife+$E325),('PTRM input'!$G$162*(1+rvanilla01)^0.5)-SUM($G325:AO325),('PTRM input'!$G$162*(1+rvanilla01)^0.5)/A20stdlife))</f>
        <v>0</v>
      </c>
      <c r="AQ325" s="107">
        <f>IF(A20stdlife="n/a","n/a",IF(AQ$3&gt;(A20stdlife+$E325),('PTRM input'!$G$162*(1+rvanilla01)^0.5)-SUM($G325:AP325),('PTRM input'!$G$162*(1+rvanilla01)^0.5)/A20stdlife))</f>
        <v>0</v>
      </c>
      <c r="AR325" s="107">
        <f>IF(A20stdlife="n/a","n/a",IF(AR$3&gt;(A20stdlife+$E325),('PTRM input'!$G$162*(1+rvanilla01)^0.5)-SUM($G325:AQ325),('PTRM input'!$G$162*(1+rvanilla01)^0.5)/A20stdlife))</f>
        <v>0</v>
      </c>
      <c r="AS325" s="107">
        <f>IF(A20stdlife="n/a","n/a",IF(AS$3&gt;(A20stdlife+$E325),('PTRM input'!$G$162*(1+rvanilla01)^0.5)-SUM($G325:AR325),('PTRM input'!$G$162*(1+rvanilla01)^0.5)/A20stdlife))</f>
        <v>0</v>
      </c>
      <c r="AT325" s="107">
        <f>IF(A20stdlife="n/a","n/a",IF(AT$3&gt;(A20stdlife+$E325),('PTRM input'!$G$162*(1+rvanilla01)^0.5)-SUM($G325:AS325),('PTRM input'!$G$162*(1+rvanilla01)^0.5)/A20stdlife))</f>
        <v>0</v>
      </c>
      <c r="AU325" s="107">
        <f>IF(A20stdlife="n/a","n/a",IF(AU$3&gt;(A20stdlife+$E325),('PTRM input'!$G$162*(1+rvanilla01)^0.5)-SUM($G325:AT325),('PTRM input'!$G$162*(1+rvanilla01)^0.5)/A20stdlife))</f>
        <v>0</v>
      </c>
      <c r="AV325" s="107">
        <f>IF(A20stdlife="n/a","n/a",IF(AV$3&gt;(A20stdlife+$E325),('PTRM input'!$G$162*(1+rvanilla01)^0.5)-SUM($G325:AU325),('PTRM input'!$G$162*(1+rvanilla01)^0.5)/A20stdlife))</f>
        <v>0</v>
      </c>
      <c r="AW325" s="107">
        <f>IF(A20stdlife="n/a","n/a",IF(AW$3&gt;(A20stdlife+$E325),('PTRM input'!$G$162*(1+rvanilla01)^0.5)-SUM($G325:AV325),('PTRM input'!$G$162*(1+rvanilla01)^0.5)/A20stdlife))</f>
        <v>0</v>
      </c>
      <c r="AX325" s="107">
        <f>IF(A20stdlife="n/a","n/a",IF(AX$3&gt;(A20stdlife+$E325),('PTRM input'!$G$162*(1+rvanilla01)^0.5)-SUM($G325:AW325),('PTRM input'!$G$162*(1+rvanilla01)^0.5)/A20stdlife))</f>
        <v>0</v>
      </c>
      <c r="AY325" s="107">
        <f>IF(A20stdlife="n/a","n/a",IF(AY$3&gt;(A20stdlife+$E325),('PTRM input'!$G$162*(1+rvanilla01)^0.5)-SUM($G325:AX325),('PTRM input'!$G$162*(1+rvanilla01)^0.5)/A20stdlife))</f>
        <v>0</v>
      </c>
      <c r="AZ325" s="107">
        <f>IF(A20stdlife="n/a","n/a",IF(AZ$3&gt;(A20stdlife+$E325),('PTRM input'!$G$162*(1+rvanilla01)^0.5)-SUM($G325:AY325),('PTRM input'!$G$162*(1+rvanilla01)^0.5)/A20stdlife))</f>
        <v>0</v>
      </c>
      <c r="BA325" s="107">
        <f>IF(A20stdlife="n/a","n/a",IF(BA$3&gt;(A20stdlife+$E325),('PTRM input'!$G$162*(1+rvanilla01)^0.5)-SUM($G325:AZ325),('PTRM input'!$G$162*(1+rvanilla01)^0.5)/A20stdlife))</f>
        <v>0</v>
      </c>
      <c r="BB325" s="107">
        <f>IF(A20stdlife="n/a","n/a",IF(BB$3&gt;(A20stdlife+$E325),('PTRM input'!$G$162*(1+rvanilla01)^0.5)-SUM($G325:BA325),('PTRM input'!$G$162*(1+rvanilla01)^0.5)/A20stdlife))</f>
        <v>0</v>
      </c>
      <c r="BC325" s="107">
        <f>IF(A20stdlife="n/a","n/a",IF(BC$3&gt;(A20stdlife+$E325),('PTRM input'!$G$162*(1+rvanilla01)^0.5)-SUM($G325:BB325),('PTRM input'!$G$162*(1+rvanilla01)^0.5)/A20stdlife))</f>
        <v>0</v>
      </c>
      <c r="BD325" s="107">
        <f>IF(A20stdlife="n/a","n/a",IF(BD$3&gt;(A20stdlife+$E325),('PTRM input'!$G$162*(1+rvanilla01)^0.5)-SUM($G325:BC325),('PTRM input'!$G$162*(1+rvanilla01)^0.5)/A20stdlife))</f>
        <v>0</v>
      </c>
      <c r="BE325" s="107">
        <f>IF(A20stdlife="n/a","n/a",IF(BE$3&gt;(A20stdlife+$E325),('PTRM input'!$G$162*(1+rvanilla01)^0.5)-SUM($G325:BD325),('PTRM input'!$G$162*(1+rvanilla01)^0.5)/A20stdlife))</f>
        <v>0</v>
      </c>
      <c r="BF325" s="107">
        <f>IF(A20stdlife="n/a","n/a",IF(BF$3&gt;(A20stdlife+$E325),('PTRM input'!$G$162*(1+rvanilla01)^0.5)-SUM($G325:BE325),('PTRM input'!$G$162*(1+rvanilla01)^0.5)/A20stdlife))</f>
        <v>0</v>
      </c>
      <c r="BG325" s="107">
        <f>IF(A20stdlife="n/a","n/a",IF(BG$3&gt;(A20stdlife+$E325),('PTRM input'!$G$162*(1+rvanilla01)^0.5)-SUM($G325:BF325),('PTRM input'!$G$162*(1+rvanilla01)^0.5)/A20stdlife))</f>
        <v>0</v>
      </c>
      <c r="BH325" s="107">
        <f>IF(A20stdlife="n/a","n/a",IF(BH$3&gt;(A20stdlife+$E325),('PTRM input'!$G$162*(1+rvanilla01)^0.5)-SUM($G325:BG325),('PTRM input'!$G$162*(1+rvanilla01)^0.5)/A20stdlife))</f>
        <v>0</v>
      </c>
      <c r="BI325" s="107">
        <f>IF(A20stdlife="n/a","n/a",IF(BI$3&gt;(A20stdlife+$E325),('PTRM input'!$G$162*(1+rvanilla01)^0.5)-SUM($G325:BH325),('PTRM input'!$G$162*(1+rvanilla01)^0.5)/A20stdlife))</f>
        <v>0</v>
      </c>
      <c r="BJ325" s="237"/>
      <c r="BK325" s="237"/>
      <c r="BL325" s="237"/>
      <c r="BM325" s="237"/>
    </row>
    <row r="326" spans="1:65" s="190" customFormat="1" hidden="1" outlineLevel="2">
      <c r="A326" s="237"/>
      <c r="B326" s="33"/>
      <c r="C326" s="32"/>
      <c r="D326" s="1618"/>
      <c r="E326" s="169">
        <v>2</v>
      </c>
      <c r="F326" s="35"/>
      <c r="G326" s="184"/>
      <c r="H326" s="185"/>
      <c r="I326" s="107">
        <f>IF(A20stdlife="n/a","n/a",IF(I$3&gt;(A20stdlife+$E326),('PTRM input'!$H$162*(1+rvanilla02)^0.5)-SUM($H326:H326),('PTRM input'!$H$162*(1+rvanilla02)^0.5)/A20stdlife))</f>
        <v>0</v>
      </c>
      <c r="J326" s="107">
        <f>IF(A20stdlife="n/a","n/a",IF(J$3&gt;(A20stdlife+$E326),('PTRM input'!$H$162*(1+rvanilla02)^0.5)-SUM($H326:I326),('PTRM input'!$H$162*(1+rvanilla02)^0.5)/A20stdlife))</f>
        <v>0</v>
      </c>
      <c r="K326" s="107">
        <f>IF(A20stdlife="n/a","n/a",IF(K$3&gt;(A20stdlife+$E326),('PTRM input'!$H$162*(1+rvanilla02)^0.5)-SUM($H326:J326),('PTRM input'!$H$162*(1+rvanilla02)^0.5)/A20stdlife))</f>
        <v>0</v>
      </c>
      <c r="L326" s="107">
        <f>IF(A20stdlife="n/a","n/a",IF(L$3&gt;(A20stdlife+$E326),('PTRM input'!$H$162*(1+rvanilla02)^0.5)-SUM($H326:K326),('PTRM input'!$H$162*(1+rvanilla02)^0.5)/A20stdlife))</f>
        <v>0</v>
      </c>
      <c r="M326" s="107">
        <f>IF(A20stdlife="n/a","n/a",IF(M$3&gt;(A20stdlife+$E326),('PTRM input'!$H$162*(1+rvanilla02)^0.5)-SUM($H326:L326),('PTRM input'!$H$162*(1+rvanilla02)^0.5)/A20stdlife))</f>
        <v>0</v>
      </c>
      <c r="N326" s="107">
        <f>IF(A20stdlife="n/a","n/a",IF(N$3&gt;(A20stdlife+$E326),('PTRM input'!$H$162*(1+rvanilla02)^0.5)-SUM($H326:M326),('PTRM input'!$H$162*(1+rvanilla02)^0.5)/A20stdlife))</f>
        <v>0</v>
      </c>
      <c r="O326" s="107">
        <f>IF(A20stdlife="n/a","n/a",IF(O$3&gt;(A20stdlife+$E326),('PTRM input'!$H$162*(1+rvanilla02)^0.5)-SUM($H326:N326),('PTRM input'!$H$162*(1+rvanilla02)^0.5)/A20stdlife))</f>
        <v>0</v>
      </c>
      <c r="P326" s="107">
        <f>IF(A20stdlife="n/a","n/a",IF(P$3&gt;(A20stdlife+$E326),('PTRM input'!$H$162*(1+rvanilla02)^0.5)-SUM($H326:O326),('PTRM input'!$H$162*(1+rvanilla02)^0.5)/A20stdlife))</f>
        <v>0</v>
      </c>
      <c r="Q326" s="107">
        <f>IF(A20stdlife="n/a","n/a",IF(Q$3&gt;(A20stdlife+$E326),('PTRM input'!$H$162*(1+rvanilla02)^0.5)-SUM($H326:P326),('PTRM input'!$H$162*(1+rvanilla02)^0.5)/A20stdlife))</f>
        <v>0</v>
      </c>
      <c r="R326" s="107">
        <f>IF(A20stdlife="n/a","n/a",IF(R$3&gt;(A20stdlife+$E326),('PTRM input'!$H$162*(1+rvanilla02)^0.5)-SUM($H326:Q326),('PTRM input'!$H$162*(1+rvanilla02)^0.5)/A20stdlife))</f>
        <v>0</v>
      </c>
      <c r="S326" s="107">
        <f>IF(A20stdlife="n/a","n/a",IF(S$3&gt;(A20stdlife+$E326),('PTRM input'!$H$162*(1+rvanilla02)^0.5)-SUM($H326:R326),('PTRM input'!$H$162*(1+rvanilla02)^0.5)/A20stdlife))</f>
        <v>0</v>
      </c>
      <c r="T326" s="107">
        <f>IF(A20stdlife="n/a","n/a",IF(T$3&gt;(A20stdlife+$E326),('PTRM input'!$H$162*(1+rvanilla02)^0.5)-SUM($H326:S326),('PTRM input'!$H$162*(1+rvanilla02)^0.5)/A20stdlife))</f>
        <v>0</v>
      </c>
      <c r="U326" s="107">
        <f>IF(A20stdlife="n/a","n/a",IF(U$3&gt;(A20stdlife+$E326),('PTRM input'!$H$162*(1+rvanilla02)^0.5)-SUM($H326:T326),('PTRM input'!$H$162*(1+rvanilla02)^0.5)/A20stdlife))</f>
        <v>0</v>
      </c>
      <c r="V326" s="107">
        <f>IF(A20stdlife="n/a","n/a",IF(V$3&gt;(A20stdlife+$E326),('PTRM input'!$H$162*(1+rvanilla02)^0.5)-SUM($H326:U326),('PTRM input'!$H$162*(1+rvanilla02)^0.5)/A20stdlife))</f>
        <v>0</v>
      </c>
      <c r="W326" s="107">
        <f>IF(A20stdlife="n/a","n/a",IF(W$3&gt;(A20stdlife+$E326),('PTRM input'!$H$162*(1+rvanilla02)^0.5)-SUM($H326:V326),('PTRM input'!$H$162*(1+rvanilla02)^0.5)/A20stdlife))</f>
        <v>0</v>
      </c>
      <c r="X326" s="107">
        <f>IF(A20stdlife="n/a","n/a",IF(X$3&gt;(A20stdlife+$E326),('PTRM input'!$H$162*(1+rvanilla02)^0.5)-SUM($H326:W326),('PTRM input'!$H$162*(1+rvanilla02)^0.5)/A20stdlife))</f>
        <v>0</v>
      </c>
      <c r="Y326" s="107">
        <f>IF(A20stdlife="n/a","n/a",IF(Y$3&gt;(A20stdlife+$E326),('PTRM input'!$H$162*(1+rvanilla02)^0.5)-SUM($H326:X326),('PTRM input'!$H$162*(1+rvanilla02)^0.5)/A20stdlife))</f>
        <v>0</v>
      </c>
      <c r="Z326" s="107">
        <f>IF(A20stdlife="n/a","n/a",IF(Z$3&gt;(A20stdlife+$E326),('PTRM input'!$H$162*(1+rvanilla02)^0.5)-SUM($H326:Y326),('PTRM input'!$H$162*(1+rvanilla02)^0.5)/A20stdlife))</f>
        <v>0</v>
      </c>
      <c r="AA326" s="107">
        <f>IF(A20stdlife="n/a","n/a",IF(AA$3&gt;(A20stdlife+$E326),('PTRM input'!$H$162*(1+rvanilla02)^0.5)-SUM($H326:Z326),('PTRM input'!$H$162*(1+rvanilla02)^0.5)/A20stdlife))</f>
        <v>0</v>
      </c>
      <c r="AB326" s="107">
        <f>IF(A20stdlife="n/a","n/a",IF(AB$3&gt;(A20stdlife+$E326),('PTRM input'!$H$162*(1+rvanilla02)^0.5)-SUM($H326:AA326),('PTRM input'!$H$162*(1+rvanilla02)^0.5)/A20stdlife))</f>
        <v>0</v>
      </c>
      <c r="AC326" s="107">
        <f>IF(A20stdlife="n/a","n/a",IF(AC$3&gt;(A20stdlife+$E326),('PTRM input'!$H$162*(1+rvanilla02)^0.5)-SUM($H326:AB326),('PTRM input'!$H$162*(1+rvanilla02)^0.5)/A20stdlife))</f>
        <v>0</v>
      </c>
      <c r="AD326" s="107">
        <f>IF(A20stdlife="n/a","n/a",IF(AD$3&gt;(A20stdlife+$E326),('PTRM input'!$H$162*(1+rvanilla02)^0.5)-SUM($H326:AC326),('PTRM input'!$H$162*(1+rvanilla02)^0.5)/A20stdlife))</f>
        <v>0</v>
      </c>
      <c r="AE326" s="107">
        <f>IF(A20stdlife="n/a","n/a",IF(AE$3&gt;(A20stdlife+$E326),('PTRM input'!$H$162*(1+rvanilla02)^0.5)-SUM($H326:AD326),('PTRM input'!$H$162*(1+rvanilla02)^0.5)/A20stdlife))</f>
        <v>0</v>
      </c>
      <c r="AF326" s="107">
        <f>IF(A20stdlife="n/a","n/a",IF(AF$3&gt;(A20stdlife+$E326),('PTRM input'!$H$162*(1+rvanilla02)^0.5)-SUM($H326:AE326),('PTRM input'!$H$162*(1+rvanilla02)^0.5)/A20stdlife))</f>
        <v>0</v>
      </c>
      <c r="AG326" s="107">
        <f>IF(A20stdlife="n/a","n/a",IF(AG$3&gt;(A20stdlife+$E326),('PTRM input'!$H$162*(1+rvanilla02)^0.5)-SUM($H326:AF326),('PTRM input'!$H$162*(1+rvanilla02)^0.5)/A20stdlife))</f>
        <v>0</v>
      </c>
      <c r="AH326" s="107">
        <f>IF(A20stdlife="n/a","n/a",IF(AH$3&gt;(A20stdlife+$E326),('PTRM input'!$H$162*(1+rvanilla02)^0.5)-SUM($H326:AG326),('PTRM input'!$H$162*(1+rvanilla02)^0.5)/A20stdlife))</f>
        <v>0</v>
      </c>
      <c r="AI326" s="107">
        <f>IF(A20stdlife="n/a","n/a",IF(AI$3&gt;(A20stdlife+$E326),('PTRM input'!$H$162*(1+rvanilla02)^0.5)-SUM($H326:AH326),('PTRM input'!$H$162*(1+rvanilla02)^0.5)/A20stdlife))</f>
        <v>0</v>
      </c>
      <c r="AJ326" s="107">
        <f>IF(A20stdlife="n/a","n/a",IF(AJ$3&gt;(A20stdlife+$E326),('PTRM input'!$H$162*(1+rvanilla02)^0.5)-SUM($H326:AI326),('PTRM input'!$H$162*(1+rvanilla02)^0.5)/A20stdlife))</f>
        <v>0</v>
      </c>
      <c r="AK326" s="107">
        <f>IF(A20stdlife="n/a","n/a",IF(AK$3&gt;(A20stdlife+$E326),('PTRM input'!$H$162*(1+rvanilla02)^0.5)-SUM($H326:AJ326),('PTRM input'!$H$162*(1+rvanilla02)^0.5)/A20stdlife))</f>
        <v>0</v>
      </c>
      <c r="AL326" s="107">
        <f>IF(A20stdlife="n/a","n/a",IF(AL$3&gt;(A20stdlife+$E326),('PTRM input'!$H$162*(1+rvanilla02)^0.5)-SUM($H326:AK326),('PTRM input'!$H$162*(1+rvanilla02)^0.5)/A20stdlife))</f>
        <v>0</v>
      </c>
      <c r="AM326" s="107">
        <f>IF(A20stdlife="n/a","n/a",IF(AM$3&gt;(A20stdlife+$E326),('PTRM input'!$H$162*(1+rvanilla02)^0.5)-SUM($H326:AL326),('PTRM input'!$H$162*(1+rvanilla02)^0.5)/A20stdlife))</f>
        <v>0</v>
      </c>
      <c r="AN326" s="107">
        <f>IF(A20stdlife="n/a","n/a",IF(AN$3&gt;(A20stdlife+$E326),('PTRM input'!$H$162*(1+rvanilla02)^0.5)-SUM($H326:AM326),('PTRM input'!$H$162*(1+rvanilla02)^0.5)/A20stdlife))</f>
        <v>0</v>
      </c>
      <c r="AO326" s="107">
        <f>IF(A20stdlife="n/a","n/a",IF(AO$3&gt;(A20stdlife+$E326),('PTRM input'!$H$162*(1+rvanilla02)^0.5)-SUM($H326:AN326),('PTRM input'!$H$162*(1+rvanilla02)^0.5)/A20stdlife))</f>
        <v>0</v>
      </c>
      <c r="AP326" s="107">
        <f>IF(A20stdlife="n/a","n/a",IF(AP$3&gt;(A20stdlife+$E326),('PTRM input'!$H$162*(1+rvanilla02)^0.5)-SUM($H326:AO326),('PTRM input'!$H$162*(1+rvanilla02)^0.5)/A20stdlife))</f>
        <v>0</v>
      </c>
      <c r="AQ326" s="107">
        <f>IF(A20stdlife="n/a","n/a",IF(AQ$3&gt;(A20stdlife+$E326),('PTRM input'!$H$162*(1+rvanilla02)^0.5)-SUM($H326:AP326),('PTRM input'!$H$162*(1+rvanilla02)^0.5)/A20stdlife))</f>
        <v>0</v>
      </c>
      <c r="AR326" s="107">
        <f>IF(A20stdlife="n/a","n/a",IF(AR$3&gt;(A20stdlife+$E326),('PTRM input'!$H$162*(1+rvanilla02)^0.5)-SUM($H326:AQ326),('PTRM input'!$H$162*(1+rvanilla02)^0.5)/A20stdlife))</f>
        <v>0</v>
      </c>
      <c r="AS326" s="107">
        <f>IF(A20stdlife="n/a","n/a",IF(AS$3&gt;(A20stdlife+$E326),('PTRM input'!$H$162*(1+rvanilla02)^0.5)-SUM($H326:AR326),('PTRM input'!$H$162*(1+rvanilla02)^0.5)/A20stdlife))</f>
        <v>0</v>
      </c>
      <c r="AT326" s="107">
        <f>IF(A20stdlife="n/a","n/a",IF(AT$3&gt;(A20stdlife+$E326),('PTRM input'!$H$162*(1+rvanilla02)^0.5)-SUM($H326:AS326),('PTRM input'!$H$162*(1+rvanilla02)^0.5)/A20stdlife))</f>
        <v>0</v>
      </c>
      <c r="AU326" s="107">
        <f>IF(A20stdlife="n/a","n/a",IF(AU$3&gt;(A20stdlife+$E326),('PTRM input'!$H$162*(1+rvanilla02)^0.5)-SUM($H326:AT326),('PTRM input'!$H$162*(1+rvanilla02)^0.5)/A20stdlife))</f>
        <v>0</v>
      </c>
      <c r="AV326" s="107">
        <f>IF(A20stdlife="n/a","n/a",IF(AV$3&gt;(A20stdlife+$E326),('PTRM input'!$H$162*(1+rvanilla02)^0.5)-SUM($H326:AU326),('PTRM input'!$H$162*(1+rvanilla02)^0.5)/A20stdlife))</f>
        <v>0</v>
      </c>
      <c r="AW326" s="107">
        <f>IF(A20stdlife="n/a","n/a",IF(AW$3&gt;(A20stdlife+$E326),('PTRM input'!$H$162*(1+rvanilla02)^0.5)-SUM($H326:AV326),('PTRM input'!$H$162*(1+rvanilla02)^0.5)/A20stdlife))</f>
        <v>0</v>
      </c>
      <c r="AX326" s="107">
        <f>IF(A20stdlife="n/a","n/a",IF(AX$3&gt;(A20stdlife+$E326),('PTRM input'!$H$162*(1+rvanilla02)^0.5)-SUM($H326:AW326),('PTRM input'!$H$162*(1+rvanilla02)^0.5)/A20stdlife))</f>
        <v>0</v>
      </c>
      <c r="AY326" s="107">
        <f>IF(A20stdlife="n/a","n/a",IF(AY$3&gt;(A20stdlife+$E326),('PTRM input'!$H$162*(1+rvanilla02)^0.5)-SUM($H326:AX326),('PTRM input'!$H$162*(1+rvanilla02)^0.5)/A20stdlife))</f>
        <v>0</v>
      </c>
      <c r="AZ326" s="107">
        <f>IF(A20stdlife="n/a","n/a",IF(AZ$3&gt;(A20stdlife+$E326),('PTRM input'!$H$162*(1+rvanilla02)^0.5)-SUM($H326:AY326),('PTRM input'!$H$162*(1+rvanilla02)^0.5)/A20stdlife))</f>
        <v>0</v>
      </c>
      <c r="BA326" s="107">
        <f>IF(A20stdlife="n/a","n/a",IF(BA$3&gt;(A20stdlife+$E326),('PTRM input'!$H$162*(1+rvanilla02)^0.5)-SUM($H326:AZ326),('PTRM input'!$H$162*(1+rvanilla02)^0.5)/A20stdlife))</f>
        <v>0</v>
      </c>
      <c r="BB326" s="107">
        <f>IF(A20stdlife="n/a","n/a",IF(BB$3&gt;(A20stdlife+$E326),('PTRM input'!$H$162*(1+rvanilla02)^0.5)-SUM($H326:BA326),('PTRM input'!$H$162*(1+rvanilla02)^0.5)/A20stdlife))</f>
        <v>0</v>
      </c>
      <c r="BC326" s="107">
        <f>IF(A20stdlife="n/a","n/a",IF(BC$3&gt;(A20stdlife+$E326),('PTRM input'!$H$162*(1+rvanilla02)^0.5)-SUM($H326:BB326),('PTRM input'!$H$162*(1+rvanilla02)^0.5)/A20stdlife))</f>
        <v>0</v>
      </c>
      <c r="BD326" s="107">
        <f>IF(A20stdlife="n/a","n/a",IF(BD$3&gt;(A20stdlife+$E326),('PTRM input'!$H$162*(1+rvanilla02)^0.5)-SUM($H326:BC326),('PTRM input'!$H$162*(1+rvanilla02)^0.5)/A20stdlife))</f>
        <v>0</v>
      </c>
      <c r="BE326" s="107">
        <f>IF(A20stdlife="n/a","n/a",IF(BE$3&gt;(A20stdlife+$E326),('PTRM input'!$H$162*(1+rvanilla02)^0.5)-SUM($H326:BD326),('PTRM input'!$H$162*(1+rvanilla02)^0.5)/A20stdlife))</f>
        <v>0</v>
      </c>
      <c r="BF326" s="107">
        <f>IF(A20stdlife="n/a","n/a",IF(BF$3&gt;(A20stdlife+$E326),('PTRM input'!$H$162*(1+rvanilla02)^0.5)-SUM($H326:BE326),('PTRM input'!$H$162*(1+rvanilla02)^0.5)/A20stdlife))</f>
        <v>0</v>
      </c>
      <c r="BG326" s="107">
        <f>IF(A20stdlife="n/a","n/a",IF(BG$3&gt;(A20stdlife+$E326),('PTRM input'!$H$162*(1+rvanilla02)^0.5)-SUM($H326:BF326),('PTRM input'!$H$162*(1+rvanilla02)^0.5)/A20stdlife))</f>
        <v>0</v>
      </c>
      <c r="BH326" s="107">
        <f>IF(A20stdlife="n/a","n/a",IF(BH$3&gt;(A20stdlife+$E326),('PTRM input'!$H$162*(1+rvanilla02)^0.5)-SUM($H326:BG326),('PTRM input'!$H$162*(1+rvanilla02)^0.5)/A20stdlife))</f>
        <v>0</v>
      </c>
      <c r="BI326" s="107">
        <f>IF(A20stdlife="n/a","n/a",IF(BI$3&gt;(A20stdlife+$E326),('PTRM input'!$H$162*(1+rvanilla02)^0.5)-SUM($H326:BH326),('PTRM input'!$H$162*(1+rvanilla02)^0.5)/A20stdlife))</f>
        <v>0</v>
      </c>
      <c r="BJ326" s="237"/>
      <c r="BK326" s="237"/>
      <c r="BL326" s="237"/>
      <c r="BM326" s="237"/>
    </row>
    <row r="327" spans="1:65" s="190" customFormat="1" hidden="1" outlineLevel="2">
      <c r="A327" s="237"/>
      <c r="B327" s="33"/>
      <c r="C327" s="32"/>
      <c r="D327" s="1618"/>
      <c r="E327" s="169">
        <v>3</v>
      </c>
      <c r="F327" s="35"/>
      <c r="G327" s="184"/>
      <c r="H327" s="186"/>
      <c r="I327" s="185"/>
      <c r="J327" s="107">
        <f>IF(A20stdlife="n/a","n/a",IF(J$3&gt;(A20stdlife+$E327),('PTRM input'!$I$162*(1+rvanilla03)^0.5)-SUM($I327:I327),('PTRM input'!$I$162*(1+rvanilla03)^0.5)/A20stdlife))</f>
        <v>0</v>
      </c>
      <c r="K327" s="107">
        <f>IF(A20stdlife="n/a","n/a",IF(K$3&gt;(A20stdlife+$E327),('PTRM input'!$I$162*(1+rvanilla03)^0.5)-SUM($I327:J327),('PTRM input'!$I$162*(1+rvanilla03)^0.5)/A20stdlife))</f>
        <v>0</v>
      </c>
      <c r="L327" s="107">
        <f>IF(A20stdlife="n/a","n/a",IF(L$3&gt;(A20stdlife+$E327),('PTRM input'!$I$162*(1+rvanilla03)^0.5)-SUM($I327:K327),('PTRM input'!$I$162*(1+rvanilla03)^0.5)/A20stdlife))</f>
        <v>0</v>
      </c>
      <c r="M327" s="107">
        <f>IF(A20stdlife="n/a","n/a",IF(M$3&gt;(A20stdlife+$E327),('PTRM input'!$I$162*(1+rvanilla03)^0.5)-SUM($I327:L327),('PTRM input'!$I$162*(1+rvanilla03)^0.5)/A20stdlife))</f>
        <v>0</v>
      </c>
      <c r="N327" s="107">
        <f>IF(A20stdlife="n/a","n/a",IF(N$3&gt;(A20stdlife+$E327),('PTRM input'!$I$162*(1+rvanilla03)^0.5)-SUM($I327:M327),('PTRM input'!$I$162*(1+rvanilla03)^0.5)/A20stdlife))</f>
        <v>0</v>
      </c>
      <c r="O327" s="107">
        <f>IF(A20stdlife="n/a","n/a",IF(O$3&gt;(A20stdlife+$E327),('PTRM input'!$I$162*(1+rvanilla03)^0.5)-SUM($I327:N327),('PTRM input'!$I$162*(1+rvanilla03)^0.5)/A20stdlife))</f>
        <v>0</v>
      </c>
      <c r="P327" s="107">
        <f>IF(A20stdlife="n/a","n/a",IF(P$3&gt;(A20stdlife+$E327),('PTRM input'!$I$162*(1+rvanilla03)^0.5)-SUM($I327:O327),('PTRM input'!$I$162*(1+rvanilla03)^0.5)/A20stdlife))</f>
        <v>0</v>
      </c>
      <c r="Q327" s="107">
        <f>IF(A20stdlife="n/a","n/a",IF(Q$3&gt;(A20stdlife+$E327),('PTRM input'!$I$162*(1+rvanilla03)^0.5)-SUM($I327:P327),('PTRM input'!$I$162*(1+rvanilla03)^0.5)/A20stdlife))</f>
        <v>0</v>
      </c>
      <c r="R327" s="107">
        <f>IF(A20stdlife="n/a","n/a",IF(R$3&gt;(A20stdlife+$E327),('PTRM input'!$I$162*(1+rvanilla03)^0.5)-SUM($I327:Q327),('PTRM input'!$I$162*(1+rvanilla03)^0.5)/A20stdlife))</f>
        <v>0</v>
      </c>
      <c r="S327" s="107">
        <f>IF(A20stdlife="n/a","n/a",IF(S$3&gt;(A20stdlife+$E327),('PTRM input'!$I$162*(1+rvanilla03)^0.5)-SUM($I327:R327),('PTRM input'!$I$162*(1+rvanilla03)^0.5)/A20stdlife))</f>
        <v>0</v>
      </c>
      <c r="T327" s="107">
        <f>IF(A20stdlife="n/a","n/a",IF(T$3&gt;(A20stdlife+$E327),('PTRM input'!$I$162*(1+rvanilla03)^0.5)-SUM($I327:S327),('PTRM input'!$I$162*(1+rvanilla03)^0.5)/A20stdlife))</f>
        <v>0</v>
      </c>
      <c r="U327" s="107">
        <f>IF(A20stdlife="n/a","n/a",IF(U$3&gt;(A20stdlife+$E327),('PTRM input'!$I$162*(1+rvanilla03)^0.5)-SUM($I327:T327),('PTRM input'!$I$162*(1+rvanilla03)^0.5)/A20stdlife))</f>
        <v>0</v>
      </c>
      <c r="V327" s="107">
        <f>IF(A20stdlife="n/a","n/a",IF(V$3&gt;(A20stdlife+$E327),('PTRM input'!$I$162*(1+rvanilla03)^0.5)-SUM($I327:U327),('PTRM input'!$I$162*(1+rvanilla03)^0.5)/A20stdlife))</f>
        <v>0</v>
      </c>
      <c r="W327" s="107">
        <f>IF(A20stdlife="n/a","n/a",IF(W$3&gt;(A20stdlife+$E327),('PTRM input'!$I$162*(1+rvanilla03)^0.5)-SUM($I327:V327),('PTRM input'!$I$162*(1+rvanilla03)^0.5)/A20stdlife))</f>
        <v>0</v>
      </c>
      <c r="X327" s="107">
        <f>IF(A20stdlife="n/a","n/a",IF(X$3&gt;(A20stdlife+$E327),('PTRM input'!$I$162*(1+rvanilla03)^0.5)-SUM($I327:W327),('PTRM input'!$I$162*(1+rvanilla03)^0.5)/A20stdlife))</f>
        <v>0</v>
      </c>
      <c r="Y327" s="107">
        <f>IF(A20stdlife="n/a","n/a",IF(Y$3&gt;(A20stdlife+$E327),('PTRM input'!$I$162*(1+rvanilla03)^0.5)-SUM($I327:X327),('PTRM input'!$I$162*(1+rvanilla03)^0.5)/A20stdlife))</f>
        <v>0</v>
      </c>
      <c r="Z327" s="107">
        <f>IF(A20stdlife="n/a","n/a",IF(Z$3&gt;(A20stdlife+$E327),('PTRM input'!$I$162*(1+rvanilla03)^0.5)-SUM($I327:Y327),('PTRM input'!$I$162*(1+rvanilla03)^0.5)/A20stdlife))</f>
        <v>0</v>
      </c>
      <c r="AA327" s="107">
        <f>IF(A20stdlife="n/a","n/a",IF(AA$3&gt;(A20stdlife+$E327),('PTRM input'!$I$162*(1+rvanilla03)^0.5)-SUM($I327:Z327),('PTRM input'!$I$162*(1+rvanilla03)^0.5)/A20stdlife))</f>
        <v>0</v>
      </c>
      <c r="AB327" s="107">
        <f>IF(A20stdlife="n/a","n/a",IF(AB$3&gt;(A20stdlife+$E327),('PTRM input'!$I$162*(1+rvanilla03)^0.5)-SUM($I327:AA327),('PTRM input'!$I$162*(1+rvanilla03)^0.5)/A20stdlife))</f>
        <v>0</v>
      </c>
      <c r="AC327" s="107">
        <f>IF(A20stdlife="n/a","n/a",IF(AC$3&gt;(A20stdlife+$E327),('PTRM input'!$I$162*(1+rvanilla03)^0.5)-SUM($I327:AB327),('PTRM input'!$I$162*(1+rvanilla03)^0.5)/A20stdlife))</f>
        <v>0</v>
      </c>
      <c r="AD327" s="107">
        <f>IF(A20stdlife="n/a","n/a",IF(AD$3&gt;(A20stdlife+$E327),('PTRM input'!$I$162*(1+rvanilla03)^0.5)-SUM($I327:AC327),('PTRM input'!$I$162*(1+rvanilla03)^0.5)/A20stdlife))</f>
        <v>0</v>
      </c>
      <c r="AE327" s="107">
        <f>IF(A20stdlife="n/a","n/a",IF(AE$3&gt;(A20stdlife+$E327),('PTRM input'!$I$162*(1+rvanilla03)^0.5)-SUM($I327:AD327),('PTRM input'!$I$162*(1+rvanilla03)^0.5)/A20stdlife))</f>
        <v>0</v>
      </c>
      <c r="AF327" s="107">
        <f>IF(A20stdlife="n/a","n/a",IF(AF$3&gt;(A20stdlife+$E327),('PTRM input'!$I$162*(1+rvanilla03)^0.5)-SUM($I327:AE327),('PTRM input'!$I$162*(1+rvanilla03)^0.5)/A20stdlife))</f>
        <v>0</v>
      </c>
      <c r="AG327" s="107">
        <f>IF(A20stdlife="n/a","n/a",IF(AG$3&gt;(A20stdlife+$E327),('PTRM input'!$I$162*(1+rvanilla03)^0.5)-SUM($I327:AF327),('PTRM input'!$I$162*(1+rvanilla03)^0.5)/A20stdlife))</f>
        <v>0</v>
      </c>
      <c r="AH327" s="107">
        <f>IF(A20stdlife="n/a","n/a",IF(AH$3&gt;(A20stdlife+$E327),('PTRM input'!$I$162*(1+rvanilla03)^0.5)-SUM($I327:AG327),('PTRM input'!$I$162*(1+rvanilla03)^0.5)/A20stdlife))</f>
        <v>0</v>
      </c>
      <c r="AI327" s="107">
        <f>IF(A20stdlife="n/a","n/a",IF(AI$3&gt;(A20stdlife+$E327),('PTRM input'!$I$162*(1+rvanilla03)^0.5)-SUM($I327:AH327),('PTRM input'!$I$162*(1+rvanilla03)^0.5)/A20stdlife))</f>
        <v>0</v>
      </c>
      <c r="AJ327" s="107">
        <f>IF(A20stdlife="n/a","n/a",IF(AJ$3&gt;(A20stdlife+$E327),('PTRM input'!$I$162*(1+rvanilla03)^0.5)-SUM($I327:AI327),('PTRM input'!$I$162*(1+rvanilla03)^0.5)/A20stdlife))</f>
        <v>0</v>
      </c>
      <c r="AK327" s="107">
        <f>IF(A20stdlife="n/a","n/a",IF(AK$3&gt;(A20stdlife+$E327),('PTRM input'!$I$162*(1+rvanilla03)^0.5)-SUM($I327:AJ327),('PTRM input'!$I$162*(1+rvanilla03)^0.5)/A20stdlife))</f>
        <v>0</v>
      </c>
      <c r="AL327" s="107">
        <f>IF(A20stdlife="n/a","n/a",IF(AL$3&gt;(A20stdlife+$E327),('PTRM input'!$I$162*(1+rvanilla03)^0.5)-SUM($I327:AK327),('PTRM input'!$I$162*(1+rvanilla03)^0.5)/A20stdlife))</f>
        <v>0</v>
      </c>
      <c r="AM327" s="107">
        <f>IF(A20stdlife="n/a","n/a",IF(AM$3&gt;(A20stdlife+$E327),('PTRM input'!$I$162*(1+rvanilla03)^0.5)-SUM($I327:AL327),('PTRM input'!$I$162*(1+rvanilla03)^0.5)/A20stdlife))</f>
        <v>0</v>
      </c>
      <c r="AN327" s="107">
        <f>IF(A20stdlife="n/a","n/a",IF(AN$3&gt;(A20stdlife+$E327),('PTRM input'!$I$162*(1+rvanilla03)^0.5)-SUM($I327:AM327),('PTRM input'!$I$162*(1+rvanilla03)^0.5)/A20stdlife))</f>
        <v>0</v>
      </c>
      <c r="AO327" s="107">
        <f>IF(A20stdlife="n/a","n/a",IF(AO$3&gt;(A20stdlife+$E327),('PTRM input'!$I$162*(1+rvanilla03)^0.5)-SUM($I327:AN327),('PTRM input'!$I$162*(1+rvanilla03)^0.5)/A20stdlife))</f>
        <v>0</v>
      </c>
      <c r="AP327" s="107">
        <f>IF(A20stdlife="n/a","n/a",IF(AP$3&gt;(A20stdlife+$E327),('PTRM input'!$I$162*(1+rvanilla03)^0.5)-SUM($I327:AO327),('PTRM input'!$I$162*(1+rvanilla03)^0.5)/A20stdlife))</f>
        <v>0</v>
      </c>
      <c r="AQ327" s="107">
        <f>IF(A20stdlife="n/a","n/a",IF(AQ$3&gt;(A20stdlife+$E327),('PTRM input'!$I$162*(1+rvanilla03)^0.5)-SUM($I327:AP327),('PTRM input'!$I$162*(1+rvanilla03)^0.5)/A20stdlife))</f>
        <v>0</v>
      </c>
      <c r="AR327" s="107">
        <f>IF(A20stdlife="n/a","n/a",IF(AR$3&gt;(A20stdlife+$E327),('PTRM input'!$I$162*(1+rvanilla03)^0.5)-SUM($I327:AQ327),('PTRM input'!$I$162*(1+rvanilla03)^0.5)/A20stdlife))</f>
        <v>0</v>
      </c>
      <c r="AS327" s="107">
        <f>IF(A20stdlife="n/a","n/a",IF(AS$3&gt;(A20stdlife+$E327),('PTRM input'!$I$162*(1+rvanilla03)^0.5)-SUM($I327:AR327),('PTRM input'!$I$162*(1+rvanilla03)^0.5)/A20stdlife))</f>
        <v>0</v>
      </c>
      <c r="AT327" s="107">
        <f>IF(A20stdlife="n/a","n/a",IF(AT$3&gt;(A20stdlife+$E327),('PTRM input'!$I$162*(1+rvanilla03)^0.5)-SUM($I327:AS327),('PTRM input'!$I$162*(1+rvanilla03)^0.5)/A20stdlife))</f>
        <v>0</v>
      </c>
      <c r="AU327" s="107">
        <f>IF(A20stdlife="n/a","n/a",IF(AU$3&gt;(A20stdlife+$E327),('PTRM input'!$I$162*(1+rvanilla03)^0.5)-SUM($I327:AT327),('PTRM input'!$I$162*(1+rvanilla03)^0.5)/A20stdlife))</f>
        <v>0</v>
      </c>
      <c r="AV327" s="107">
        <f>IF(A20stdlife="n/a","n/a",IF(AV$3&gt;(A20stdlife+$E327),('PTRM input'!$I$162*(1+rvanilla03)^0.5)-SUM($I327:AU327),('PTRM input'!$I$162*(1+rvanilla03)^0.5)/A20stdlife))</f>
        <v>0</v>
      </c>
      <c r="AW327" s="107">
        <f>IF(A20stdlife="n/a","n/a",IF(AW$3&gt;(A20stdlife+$E327),('PTRM input'!$I$162*(1+rvanilla03)^0.5)-SUM($I327:AV327),('PTRM input'!$I$162*(1+rvanilla03)^0.5)/A20stdlife))</f>
        <v>0</v>
      </c>
      <c r="AX327" s="107">
        <f>IF(A20stdlife="n/a","n/a",IF(AX$3&gt;(A20stdlife+$E327),('PTRM input'!$I$162*(1+rvanilla03)^0.5)-SUM($I327:AW327),('PTRM input'!$I$162*(1+rvanilla03)^0.5)/A20stdlife))</f>
        <v>0</v>
      </c>
      <c r="AY327" s="107">
        <f>IF(A20stdlife="n/a","n/a",IF(AY$3&gt;(A20stdlife+$E327),('PTRM input'!$I$162*(1+rvanilla03)^0.5)-SUM($I327:AX327),('PTRM input'!$I$162*(1+rvanilla03)^0.5)/A20stdlife))</f>
        <v>0</v>
      </c>
      <c r="AZ327" s="107">
        <f>IF(A20stdlife="n/a","n/a",IF(AZ$3&gt;(A20stdlife+$E327),('PTRM input'!$I$162*(1+rvanilla03)^0.5)-SUM($I327:AY327),('PTRM input'!$I$162*(1+rvanilla03)^0.5)/A20stdlife))</f>
        <v>0</v>
      </c>
      <c r="BA327" s="107">
        <f>IF(A20stdlife="n/a","n/a",IF(BA$3&gt;(A20stdlife+$E327),('PTRM input'!$I$162*(1+rvanilla03)^0.5)-SUM($I327:AZ327),('PTRM input'!$I$162*(1+rvanilla03)^0.5)/A20stdlife))</f>
        <v>0</v>
      </c>
      <c r="BB327" s="107">
        <f>IF(A20stdlife="n/a","n/a",IF(BB$3&gt;(A20stdlife+$E327),('PTRM input'!$I$162*(1+rvanilla03)^0.5)-SUM($I327:BA327),('PTRM input'!$I$162*(1+rvanilla03)^0.5)/A20stdlife))</f>
        <v>0</v>
      </c>
      <c r="BC327" s="107">
        <f>IF(A20stdlife="n/a","n/a",IF(BC$3&gt;(A20stdlife+$E327),('PTRM input'!$I$162*(1+rvanilla03)^0.5)-SUM($I327:BB327),('PTRM input'!$I$162*(1+rvanilla03)^0.5)/A20stdlife))</f>
        <v>0</v>
      </c>
      <c r="BD327" s="107">
        <f>IF(A20stdlife="n/a","n/a",IF(BD$3&gt;(A20stdlife+$E327),('PTRM input'!$I$162*(1+rvanilla03)^0.5)-SUM($I327:BC327),('PTRM input'!$I$162*(1+rvanilla03)^0.5)/A20stdlife))</f>
        <v>0</v>
      </c>
      <c r="BE327" s="107">
        <f>IF(A20stdlife="n/a","n/a",IF(BE$3&gt;(A20stdlife+$E327),('PTRM input'!$I$162*(1+rvanilla03)^0.5)-SUM($I327:BD327),('PTRM input'!$I$162*(1+rvanilla03)^0.5)/A20stdlife))</f>
        <v>0</v>
      </c>
      <c r="BF327" s="107">
        <f>IF(A20stdlife="n/a","n/a",IF(BF$3&gt;(A20stdlife+$E327),('PTRM input'!$I$162*(1+rvanilla03)^0.5)-SUM($I327:BE327),('PTRM input'!$I$162*(1+rvanilla03)^0.5)/A20stdlife))</f>
        <v>0</v>
      </c>
      <c r="BG327" s="107">
        <f>IF(A20stdlife="n/a","n/a",IF(BG$3&gt;(A20stdlife+$E327),('PTRM input'!$I$162*(1+rvanilla03)^0.5)-SUM($I327:BF327),('PTRM input'!$I$162*(1+rvanilla03)^0.5)/A20stdlife))</f>
        <v>0</v>
      </c>
      <c r="BH327" s="107">
        <f>IF(A20stdlife="n/a","n/a",IF(BH$3&gt;(A20stdlife+$E327),('PTRM input'!$I$162*(1+rvanilla03)^0.5)-SUM($I327:BG327),('PTRM input'!$I$162*(1+rvanilla03)^0.5)/A20stdlife))</f>
        <v>0</v>
      </c>
      <c r="BI327" s="107">
        <f>IF(A20stdlife="n/a","n/a",IF(BI$3&gt;(A20stdlife+$E327),('PTRM input'!$I$162*(1+rvanilla03)^0.5)-SUM($I327:BH327),('PTRM input'!$I$162*(1+rvanilla03)^0.5)/A20stdlife))</f>
        <v>0</v>
      </c>
      <c r="BJ327" s="237"/>
      <c r="BK327" s="237"/>
      <c r="BL327" s="237"/>
      <c r="BM327" s="237"/>
    </row>
    <row r="328" spans="1:65" s="190" customFormat="1" hidden="1" outlineLevel="2">
      <c r="A328" s="237"/>
      <c r="B328" s="33"/>
      <c r="C328" s="32"/>
      <c r="D328" s="1618"/>
      <c r="E328" s="169">
        <v>4</v>
      </c>
      <c r="F328" s="35"/>
      <c r="G328" s="184"/>
      <c r="H328" s="186"/>
      <c r="I328" s="186"/>
      <c r="J328" s="185"/>
      <c r="K328" s="107">
        <f>IF(A20stdlife="n/a","n/a",IF(K$3&gt;(A20stdlife+$E328),('PTRM input'!$J$162*(1+rvanilla04)^0.5)-SUM($J328:J328),('PTRM input'!$J$162*(1+rvanilla04)^0.5)/A20stdlife))</f>
        <v>0</v>
      </c>
      <c r="L328" s="107">
        <f>IF(A20stdlife="n/a","n/a",IF(L$3&gt;(A20stdlife+$E328),('PTRM input'!$J$162*(1+rvanilla04)^0.5)-SUM($J328:K328),('PTRM input'!$J$162*(1+rvanilla04)^0.5)/A20stdlife))</f>
        <v>0</v>
      </c>
      <c r="M328" s="107">
        <f>IF(A20stdlife="n/a","n/a",IF(M$3&gt;(A20stdlife+$E328),('PTRM input'!$J$162*(1+rvanilla04)^0.5)-SUM($J328:L328),('PTRM input'!$J$162*(1+rvanilla04)^0.5)/A20stdlife))</f>
        <v>0</v>
      </c>
      <c r="N328" s="107">
        <f>IF(A20stdlife="n/a","n/a",IF(N$3&gt;(A20stdlife+$E328),('PTRM input'!$J$162*(1+rvanilla04)^0.5)-SUM($J328:M328),('PTRM input'!$J$162*(1+rvanilla04)^0.5)/A20stdlife))</f>
        <v>0</v>
      </c>
      <c r="O328" s="107">
        <f>IF(A20stdlife="n/a","n/a",IF(O$3&gt;(A20stdlife+$E328),('PTRM input'!$J$162*(1+rvanilla04)^0.5)-SUM($J328:N328),('PTRM input'!$J$162*(1+rvanilla04)^0.5)/A20stdlife))</f>
        <v>0</v>
      </c>
      <c r="P328" s="107">
        <f>IF(A20stdlife="n/a","n/a",IF(P$3&gt;(A20stdlife+$E328),('PTRM input'!$J$162*(1+rvanilla04)^0.5)-SUM($J328:O328),('PTRM input'!$J$162*(1+rvanilla04)^0.5)/A20stdlife))</f>
        <v>0</v>
      </c>
      <c r="Q328" s="107">
        <f>IF(A20stdlife="n/a","n/a",IF(Q$3&gt;(A20stdlife+$E328),('PTRM input'!$J$162*(1+rvanilla04)^0.5)-SUM($J328:P328),('PTRM input'!$J$162*(1+rvanilla04)^0.5)/A20stdlife))</f>
        <v>0</v>
      </c>
      <c r="R328" s="107">
        <f>IF(A20stdlife="n/a","n/a",IF(R$3&gt;(A20stdlife+$E328),('PTRM input'!$J$162*(1+rvanilla04)^0.5)-SUM($J328:Q328),('PTRM input'!$J$162*(1+rvanilla04)^0.5)/A20stdlife))</f>
        <v>0</v>
      </c>
      <c r="S328" s="107">
        <f>IF(A20stdlife="n/a","n/a",IF(S$3&gt;(A20stdlife+$E328),('PTRM input'!$J$162*(1+rvanilla04)^0.5)-SUM($J328:R328),('PTRM input'!$J$162*(1+rvanilla04)^0.5)/A20stdlife))</f>
        <v>0</v>
      </c>
      <c r="T328" s="107">
        <f>IF(A20stdlife="n/a","n/a",IF(T$3&gt;(A20stdlife+$E328),('PTRM input'!$J$162*(1+rvanilla04)^0.5)-SUM($J328:S328),('PTRM input'!$J$162*(1+rvanilla04)^0.5)/A20stdlife))</f>
        <v>0</v>
      </c>
      <c r="U328" s="107">
        <f>IF(A20stdlife="n/a","n/a",IF(U$3&gt;(A20stdlife+$E328),('PTRM input'!$J$162*(1+rvanilla04)^0.5)-SUM($J328:T328),('PTRM input'!$J$162*(1+rvanilla04)^0.5)/A20stdlife))</f>
        <v>0</v>
      </c>
      <c r="V328" s="107">
        <f>IF(A20stdlife="n/a","n/a",IF(V$3&gt;(A20stdlife+$E328),('PTRM input'!$J$162*(1+rvanilla04)^0.5)-SUM($J328:U328),('PTRM input'!$J$162*(1+rvanilla04)^0.5)/A20stdlife))</f>
        <v>0</v>
      </c>
      <c r="W328" s="107">
        <f>IF(A20stdlife="n/a","n/a",IF(W$3&gt;(A20stdlife+$E328),('PTRM input'!$J$162*(1+rvanilla04)^0.5)-SUM($J328:V328),('PTRM input'!$J$162*(1+rvanilla04)^0.5)/A20stdlife))</f>
        <v>0</v>
      </c>
      <c r="X328" s="107">
        <f>IF(A20stdlife="n/a","n/a",IF(X$3&gt;(A20stdlife+$E328),('PTRM input'!$J$162*(1+rvanilla04)^0.5)-SUM($J328:W328),('PTRM input'!$J$162*(1+rvanilla04)^0.5)/A20stdlife))</f>
        <v>0</v>
      </c>
      <c r="Y328" s="107">
        <f>IF(A20stdlife="n/a","n/a",IF(Y$3&gt;(A20stdlife+$E328),('PTRM input'!$J$162*(1+rvanilla04)^0.5)-SUM($J328:X328),('PTRM input'!$J$162*(1+rvanilla04)^0.5)/A20stdlife))</f>
        <v>0</v>
      </c>
      <c r="Z328" s="107">
        <f>IF(A20stdlife="n/a","n/a",IF(Z$3&gt;(A20stdlife+$E328),('PTRM input'!$J$162*(1+rvanilla04)^0.5)-SUM($J328:Y328),('PTRM input'!$J$162*(1+rvanilla04)^0.5)/A20stdlife))</f>
        <v>0</v>
      </c>
      <c r="AA328" s="107">
        <f>IF(A20stdlife="n/a","n/a",IF(AA$3&gt;(A20stdlife+$E328),('PTRM input'!$J$162*(1+rvanilla04)^0.5)-SUM($J328:Z328),('PTRM input'!$J$162*(1+rvanilla04)^0.5)/A20stdlife))</f>
        <v>0</v>
      </c>
      <c r="AB328" s="107">
        <f>IF(A20stdlife="n/a","n/a",IF(AB$3&gt;(A20stdlife+$E328),('PTRM input'!$J$162*(1+rvanilla04)^0.5)-SUM($J328:AA328),('PTRM input'!$J$162*(1+rvanilla04)^0.5)/A20stdlife))</f>
        <v>0</v>
      </c>
      <c r="AC328" s="107">
        <f>IF(A20stdlife="n/a","n/a",IF(AC$3&gt;(A20stdlife+$E328),('PTRM input'!$J$162*(1+rvanilla04)^0.5)-SUM($J328:AB328),('PTRM input'!$J$162*(1+rvanilla04)^0.5)/A20stdlife))</f>
        <v>0</v>
      </c>
      <c r="AD328" s="107">
        <f>IF(A20stdlife="n/a","n/a",IF(AD$3&gt;(A20stdlife+$E328),('PTRM input'!$J$162*(1+rvanilla04)^0.5)-SUM($J328:AC328),('PTRM input'!$J$162*(1+rvanilla04)^0.5)/A20stdlife))</f>
        <v>0</v>
      </c>
      <c r="AE328" s="107">
        <f>IF(A20stdlife="n/a","n/a",IF(AE$3&gt;(A20stdlife+$E328),('PTRM input'!$J$162*(1+rvanilla04)^0.5)-SUM($J328:AD328),('PTRM input'!$J$162*(1+rvanilla04)^0.5)/A20stdlife))</f>
        <v>0</v>
      </c>
      <c r="AF328" s="107">
        <f>IF(A20stdlife="n/a","n/a",IF(AF$3&gt;(A20stdlife+$E328),('PTRM input'!$J$162*(1+rvanilla04)^0.5)-SUM($J328:AE328),('PTRM input'!$J$162*(1+rvanilla04)^0.5)/A20stdlife))</f>
        <v>0</v>
      </c>
      <c r="AG328" s="107">
        <f>IF(A20stdlife="n/a","n/a",IF(AG$3&gt;(A20stdlife+$E328),('PTRM input'!$J$162*(1+rvanilla04)^0.5)-SUM($J328:AF328),('PTRM input'!$J$162*(1+rvanilla04)^0.5)/A20stdlife))</f>
        <v>0</v>
      </c>
      <c r="AH328" s="107">
        <f>IF(A20stdlife="n/a","n/a",IF(AH$3&gt;(A20stdlife+$E328),('PTRM input'!$J$162*(1+rvanilla04)^0.5)-SUM($J328:AG328),('PTRM input'!$J$162*(1+rvanilla04)^0.5)/A20stdlife))</f>
        <v>0</v>
      </c>
      <c r="AI328" s="107">
        <f>IF(A20stdlife="n/a","n/a",IF(AI$3&gt;(A20stdlife+$E328),('PTRM input'!$J$162*(1+rvanilla04)^0.5)-SUM($J328:AH328),('PTRM input'!$J$162*(1+rvanilla04)^0.5)/A20stdlife))</f>
        <v>0</v>
      </c>
      <c r="AJ328" s="107">
        <f>IF(A20stdlife="n/a","n/a",IF(AJ$3&gt;(A20stdlife+$E328),('PTRM input'!$J$162*(1+rvanilla04)^0.5)-SUM($J328:AI328),('PTRM input'!$J$162*(1+rvanilla04)^0.5)/A20stdlife))</f>
        <v>0</v>
      </c>
      <c r="AK328" s="107">
        <f>IF(A20stdlife="n/a","n/a",IF(AK$3&gt;(A20stdlife+$E328),('PTRM input'!$J$162*(1+rvanilla04)^0.5)-SUM($J328:AJ328),('PTRM input'!$J$162*(1+rvanilla04)^0.5)/A20stdlife))</f>
        <v>0</v>
      </c>
      <c r="AL328" s="107">
        <f>IF(A20stdlife="n/a","n/a",IF(AL$3&gt;(A20stdlife+$E328),('PTRM input'!$J$162*(1+rvanilla04)^0.5)-SUM($J328:AK328),('PTRM input'!$J$162*(1+rvanilla04)^0.5)/A20stdlife))</f>
        <v>0</v>
      </c>
      <c r="AM328" s="107">
        <f>IF(A20stdlife="n/a","n/a",IF(AM$3&gt;(A20stdlife+$E328),('PTRM input'!$J$162*(1+rvanilla04)^0.5)-SUM($J328:AL328),('PTRM input'!$J$162*(1+rvanilla04)^0.5)/A20stdlife))</f>
        <v>0</v>
      </c>
      <c r="AN328" s="107">
        <f>IF(A20stdlife="n/a","n/a",IF(AN$3&gt;(A20stdlife+$E328),('PTRM input'!$J$162*(1+rvanilla04)^0.5)-SUM($J328:AM328),('PTRM input'!$J$162*(1+rvanilla04)^0.5)/A20stdlife))</f>
        <v>0</v>
      </c>
      <c r="AO328" s="107">
        <f>IF(A20stdlife="n/a","n/a",IF(AO$3&gt;(A20stdlife+$E328),('PTRM input'!$J$162*(1+rvanilla04)^0.5)-SUM($J328:AN328),('PTRM input'!$J$162*(1+rvanilla04)^0.5)/A20stdlife))</f>
        <v>0</v>
      </c>
      <c r="AP328" s="107">
        <f>IF(A20stdlife="n/a","n/a",IF(AP$3&gt;(A20stdlife+$E328),('PTRM input'!$J$162*(1+rvanilla04)^0.5)-SUM($J328:AO328),('PTRM input'!$J$162*(1+rvanilla04)^0.5)/A20stdlife))</f>
        <v>0</v>
      </c>
      <c r="AQ328" s="107">
        <f>IF(A20stdlife="n/a","n/a",IF(AQ$3&gt;(A20stdlife+$E328),('PTRM input'!$J$162*(1+rvanilla04)^0.5)-SUM($J328:AP328),('PTRM input'!$J$162*(1+rvanilla04)^0.5)/A20stdlife))</f>
        <v>0</v>
      </c>
      <c r="AR328" s="107">
        <f>IF(A20stdlife="n/a","n/a",IF(AR$3&gt;(A20stdlife+$E328),('PTRM input'!$J$162*(1+rvanilla04)^0.5)-SUM($J328:AQ328),('PTRM input'!$J$162*(1+rvanilla04)^0.5)/A20stdlife))</f>
        <v>0</v>
      </c>
      <c r="AS328" s="107">
        <f>IF(A20stdlife="n/a","n/a",IF(AS$3&gt;(A20stdlife+$E328),('PTRM input'!$J$162*(1+rvanilla04)^0.5)-SUM($J328:AR328),('PTRM input'!$J$162*(1+rvanilla04)^0.5)/A20stdlife))</f>
        <v>0</v>
      </c>
      <c r="AT328" s="107">
        <f>IF(A20stdlife="n/a","n/a",IF(AT$3&gt;(A20stdlife+$E328),('PTRM input'!$J$162*(1+rvanilla04)^0.5)-SUM($J328:AS328),('PTRM input'!$J$162*(1+rvanilla04)^0.5)/A20stdlife))</f>
        <v>0</v>
      </c>
      <c r="AU328" s="107">
        <f>IF(A20stdlife="n/a","n/a",IF(AU$3&gt;(A20stdlife+$E328),('PTRM input'!$J$162*(1+rvanilla04)^0.5)-SUM($J328:AT328),('PTRM input'!$J$162*(1+rvanilla04)^0.5)/A20stdlife))</f>
        <v>0</v>
      </c>
      <c r="AV328" s="107">
        <f>IF(A20stdlife="n/a","n/a",IF(AV$3&gt;(A20stdlife+$E328),('PTRM input'!$J$162*(1+rvanilla04)^0.5)-SUM($J328:AU328),('PTRM input'!$J$162*(1+rvanilla04)^0.5)/A20stdlife))</f>
        <v>0</v>
      </c>
      <c r="AW328" s="107">
        <f>IF(A20stdlife="n/a","n/a",IF(AW$3&gt;(A20stdlife+$E328),('PTRM input'!$J$162*(1+rvanilla04)^0.5)-SUM($J328:AV328),('PTRM input'!$J$162*(1+rvanilla04)^0.5)/A20stdlife))</f>
        <v>0</v>
      </c>
      <c r="AX328" s="107">
        <f>IF(A20stdlife="n/a","n/a",IF(AX$3&gt;(A20stdlife+$E328),('PTRM input'!$J$162*(1+rvanilla04)^0.5)-SUM($J328:AW328),('PTRM input'!$J$162*(1+rvanilla04)^0.5)/A20stdlife))</f>
        <v>0</v>
      </c>
      <c r="AY328" s="107">
        <f>IF(A20stdlife="n/a","n/a",IF(AY$3&gt;(A20stdlife+$E328),('PTRM input'!$J$162*(1+rvanilla04)^0.5)-SUM($J328:AX328),('PTRM input'!$J$162*(1+rvanilla04)^0.5)/A20stdlife))</f>
        <v>0</v>
      </c>
      <c r="AZ328" s="107">
        <f>IF(A20stdlife="n/a","n/a",IF(AZ$3&gt;(A20stdlife+$E328),('PTRM input'!$J$162*(1+rvanilla04)^0.5)-SUM($J328:AY328),('PTRM input'!$J$162*(1+rvanilla04)^0.5)/A20stdlife))</f>
        <v>0</v>
      </c>
      <c r="BA328" s="107">
        <f>IF(A20stdlife="n/a","n/a",IF(BA$3&gt;(A20stdlife+$E328),('PTRM input'!$J$162*(1+rvanilla04)^0.5)-SUM($J328:AZ328),('PTRM input'!$J$162*(1+rvanilla04)^0.5)/A20stdlife))</f>
        <v>0</v>
      </c>
      <c r="BB328" s="107">
        <f>IF(A20stdlife="n/a","n/a",IF(BB$3&gt;(A20stdlife+$E328),('PTRM input'!$J$162*(1+rvanilla04)^0.5)-SUM($J328:BA328),('PTRM input'!$J$162*(1+rvanilla04)^0.5)/A20stdlife))</f>
        <v>0</v>
      </c>
      <c r="BC328" s="107">
        <f>IF(A20stdlife="n/a","n/a",IF(BC$3&gt;(A20stdlife+$E328),('PTRM input'!$J$162*(1+rvanilla04)^0.5)-SUM($J328:BB328),('PTRM input'!$J$162*(1+rvanilla04)^0.5)/A20stdlife))</f>
        <v>0</v>
      </c>
      <c r="BD328" s="107">
        <f>IF(A20stdlife="n/a","n/a",IF(BD$3&gt;(A20stdlife+$E328),('PTRM input'!$J$162*(1+rvanilla04)^0.5)-SUM($J328:BC328),('PTRM input'!$J$162*(1+rvanilla04)^0.5)/A20stdlife))</f>
        <v>0</v>
      </c>
      <c r="BE328" s="107">
        <f>IF(A20stdlife="n/a","n/a",IF(BE$3&gt;(A20stdlife+$E328),('PTRM input'!$J$162*(1+rvanilla04)^0.5)-SUM($J328:BD328),('PTRM input'!$J$162*(1+rvanilla04)^0.5)/A20stdlife))</f>
        <v>0</v>
      </c>
      <c r="BF328" s="107">
        <f>IF(A20stdlife="n/a","n/a",IF(BF$3&gt;(A20stdlife+$E328),('PTRM input'!$J$162*(1+rvanilla04)^0.5)-SUM($J328:BE328),('PTRM input'!$J$162*(1+rvanilla04)^0.5)/A20stdlife))</f>
        <v>0</v>
      </c>
      <c r="BG328" s="107">
        <f>IF(A20stdlife="n/a","n/a",IF(BG$3&gt;(A20stdlife+$E328),('PTRM input'!$J$162*(1+rvanilla04)^0.5)-SUM($J328:BF328),('PTRM input'!$J$162*(1+rvanilla04)^0.5)/A20stdlife))</f>
        <v>0</v>
      </c>
      <c r="BH328" s="107">
        <f>IF(A20stdlife="n/a","n/a",IF(BH$3&gt;(A20stdlife+$E328),('PTRM input'!$J$162*(1+rvanilla04)^0.5)-SUM($J328:BG328),('PTRM input'!$J$162*(1+rvanilla04)^0.5)/A20stdlife))</f>
        <v>0</v>
      </c>
      <c r="BI328" s="107">
        <f>IF(A20stdlife="n/a","n/a",IF(BI$3&gt;(A20stdlife+$E328),('PTRM input'!$J$162*(1+rvanilla04)^0.5)-SUM($J328:BH328),('PTRM input'!$J$162*(1+rvanilla04)^0.5)/A20stdlife))</f>
        <v>0</v>
      </c>
      <c r="BJ328" s="237"/>
      <c r="BK328" s="237"/>
      <c r="BL328" s="237"/>
      <c r="BM328" s="237"/>
    </row>
    <row r="329" spans="1:65" s="190" customFormat="1" hidden="1" outlineLevel="2">
      <c r="A329" s="237"/>
      <c r="B329" s="33"/>
      <c r="C329" s="32"/>
      <c r="D329" s="1618"/>
      <c r="E329" s="169">
        <v>5</v>
      </c>
      <c r="F329" s="35"/>
      <c r="G329" s="184"/>
      <c r="H329" s="186"/>
      <c r="I329" s="186"/>
      <c r="J329" s="186"/>
      <c r="K329" s="185"/>
      <c r="L329" s="107">
        <f>IF(A20stdlife="n/a","n/a",IF(L$3&gt;(A20stdlife+$E329),('PTRM input'!$K$162*(1+rvanilla05)^0.5)-SUM($K329:K329),('PTRM input'!$K$162*(1+rvanilla05)^0.5)/A20stdlife))</f>
        <v>0</v>
      </c>
      <c r="M329" s="107">
        <f>IF(A20stdlife="n/a","n/a",IF(M$3&gt;(A20stdlife+$E329),('PTRM input'!$K$162*(1+rvanilla05)^0.5)-SUM($K329:L329),('PTRM input'!$K$162*(1+rvanilla05)^0.5)/A20stdlife))</f>
        <v>0</v>
      </c>
      <c r="N329" s="107">
        <f>IF(A20stdlife="n/a","n/a",IF(N$3&gt;(A20stdlife+$E329),('PTRM input'!$K$162*(1+rvanilla05)^0.5)-SUM($K329:M329),('PTRM input'!$K$162*(1+rvanilla05)^0.5)/A20stdlife))</f>
        <v>0</v>
      </c>
      <c r="O329" s="107">
        <f>IF(A20stdlife="n/a","n/a",IF(O$3&gt;(A20stdlife+$E329),('PTRM input'!$K$162*(1+rvanilla05)^0.5)-SUM($K329:N329),('PTRM input'!$K$162*(1+rvanilla05)^0.5)/A20stdlife))</f>
        <v>0</v>
      </c>
      <c r="P329" s="107">
        <f>IF(A20stdlife="n/a","n/a",IF(P$3&gt;(A20stdlife+$E329),('PTRM input'!$K$162*(1+rvanilla05)^0.5)-SUM($K329:O329),('PTRM input'!$K$162*(1+rvanilla05)^0.5)/A20stdlife))</f>
        <v>0</v>
      </c>
      <c r="Q329" s="107">
        <f>IF(A20stdlife="n/a","n/a",IF(Q$3&gt;(A20stdlife+$E329),('PTRM input'!$K$162*(1+rvanilla05)^0.5)-SUM($K329:P329),('PTRM input'!$K$162*(1+rvanilla05)^0.5)/A20stdlife))</f>
        <v>0</v>
      </c>
      <c r="R329" s="107">
        <f>IF(A20stdlife="n/a","n/a",IF(R$3&gt;(A20stdlife+$E329),('PTRM input'!$K$162*(1+rvanilla05)^0.5)-SUM($K329:Q329),('PTRM input'!$K$162*(1+rvanilla05)^0.5)/A20stdlife))</f>
        <v>0</v>
      </c>
      <c r="S329" s="107">
        <f>IF(A20stdlife="n/a","n/a",IF(S$3&gt;(A20stdlife+$E329),('PTRM input'!$K$162*(1+rvanilla05)^0.5)-SUM($K329:R329),('PTRM input'!$K$162*(1+rvanilla05)^0.5)/A20stdlife))</f>
        <v>0</v>
      </c>
      <c r="T329" s="107">
        <f>IF(A20stdlife="n/a","n/a",IF(T$3&gt;(A20stdlife+$E329),('PTRM input'!$K$162*(1+rvanilla05)^0.5)-SUM($K329:S329),('PTRM input'!$K$162*(1+rvanilla05)^0.5)/A20stdlife))</f>
        <v>0</v>
      </c>
      <c r="U329" s="107">
        <f>IF(A20stdlife="n/a","n/a",IF(U$3&gt;(A20stdlife+$E329),('PTRM input'!$K$162*(1+rvanilla05)^0.5)-SUM($K329:T329),('PTRM input'!$K$162*(1+rvanilla05)^0.5)/A20stdlife))</f>
        <v>0</v>
      </c>
      <c r="V329" s="107">
        <f>IF(A20stdlife="n/a","n/a",IF(V$3&gt;(A20stdlife+$E329),('PTRM input'!$K$162*(1+rvanilla05)^0.5)-SUM($K329:U329),('PTRM input'!$K$162*(1+rvanilla05)^0.5)/A20stdlife))</f>
        <v>0</v>
      </c>
      <c r="W329" s="107">
        <f>IF(A20stdlife="n/a","n/a",IF(W$3&gt;(A20stdlife+$E329),('PTRM input'!$K$162*(1+rvanilla05)^0.5)-SUM($K329:V329),('PTRM input'!$K$162*(1+rvanilla05)^0.5)/A20stdlife))</f>
        <v>0</v>
      </c>
      <c r="X329" s="107">
        <f>IF(A20stdlife="n/a","n/a",IF(X$3&gt;(A20stdlife+$E329),('PTRM input'!$K$162*(1+rvanilla05)^0.5)-SUM($K329:W329),('PTRM input'!$K$162*(1+rvanilla05)^0.5)/A20stdlife))</f>
        <v>0</v>
      </c>
      <c r="Y329" s="107">
        <f>IF(A20stdlife="n/a","n/a",IF(Y$3&gt;(A20stdlife+$E329),('PTRM input'!$K$162*(1+rvanilla05)^0.5)-SUM($K329:X329),('PTRM input'!$K$162*(1+rvanilla05)^0.5)/A20stdlife))</f>
        <v>0</v>
      </c>
      <c r="Z329" s="107">
        <f>IF(A20stdlife="n/a","n/a",IF(Z$3&gt;(A20stdlife+$E329),('PTRM input'!$K$162*(1+rvanilla05)^0.5)-SUM($K329:Y329),('PTRM input'!$K$162*(1+rvanilla05)^0.5)/A20stdlife))</f>
        <v>0</v>
      </c>
      <c r="AA329" s="107">
        <f>IF(A20stdlife="n/a","n/a",IF(AA$3&gt;(A20stdlife+$E329),('PTRM input'!$K$162*(1+rvanilla05)^0.5)-SUM($K329:Z329),('PTRM input'!$K$162*(1+rvanilla05)^0.5)/A20stdlife))</f>
        <v>0</v>
      </c>
      <c r="AB329" s="107">
        <f>IF(A20stdlife="n/a","n/a",IF(AB$3&gt;(A20stdlife+$E329),('PTRM input'!$K$162*(1+rvanilla05)^0.5)-SUM($K329:AA329),('PTRM input'!$K$162*(1+rvanilla05)^0.5)/A20stdlife))</f>
        <v>0</v>
      </c>
      <c r="AC329" s="107">
        <f>IF(A20stdlife="n/a","n/a",IF(AC$3&gt;(A20stdlife+$E329),('PTRM input'!$K$162*(1+rvanilla05)^0.5)-SUM($K329:AB329),('PTRM input'!$K$162*(1+rvanilla05)^0.5)/A20stdlife))</f>
        <v>0</v>
      </c>
      <c r="AD329" s="107">
        <f>IF(A20stdlife="n/a","n/a",IF(AD$3&gt;(A20stdlife+$E329),('PTRM input'!$K$162*(1+rvanilla05)^0.5)-SUM($K329:AC329),('PTRM input'!$K$162*(1+rvanilla05)^0.5)/A20stdlife))</f>
        <v>0</v>
      </c>
      <c r="AE329" s="107">
        <f>IF(A20stdlife="n/a","n/a",IF(AE$3&gt;(A20stdlife+$E329),('PTRM input'!$K$162*(1+rvanilla05)^0.5)-SUM($K329:AD329),('PTRM input'!$K$162*(1+rvanilla05)^0.5)/A20stdlife))</f>
        <v>0</v>
      </c>
      <c r="AF329" s="107">
        <f>IF(A20stdlife="n/a","n/a",IF(AF$3&gt;(A20stdlife+$E329),('PTRM input'!$K$162*(1+rvanilla05)^0.5)-SUM($K329:AE329),('PTRM input'!$K$162*(1+rvanilla05)^0.5)/A20stdlife))</f>
        <v>0</v>
      </c>
      <c r="AG329" s="107">
        <f>IF(A20stdlife="n/a","n/a",IF(AG$3&gt;(A20stdlife+$E329),('PTRM input'!$K$162*(1+rvanilla05)^0.5)-SUM($K329:AF329),('PTRM input'!$K$162*(1+rvanilla05)^0.5)/A20stdlife))</f>
        <v>0</v>
      </c>
      <c r="AH329" s="107">
        <f>IF(A20stdlife="n/a","n/a",IF(AH$3&gt;(A20stdlife+$E329),('PTRM input'!$K$162*(1+rvanilla05)^0.5)-SUM($K329:AG329),('PTRM input'!$K$162*(1+rvanilla05)^0.5)/A20stdlife))</f>
        <v>0</v>
      </c>
      <c r="AI329" s="107">
        <f>IF(A20stdlife="n/a","n/a",IF(AI$3&gt;(A20stdlife+$E329),('PTRM input'!$K$162*(1+rvanilla05)^0.5)-SUM($K329:AH329),('PTRM input'!$K$162*(1+rvanilla05)^0.5)/A20stdlife))</f>
        <v>0</v>
      </c>
      <c r="AJ329" s="107">
        <f>IF(A20stdlife="n/a","n/a",IF(AJ$3&gt;(A20stdlife+$E329),('PTRM input'!$K$162*(1+rvanilla05)^0.5)-SUM($K329:AI329),('PTRM input'!$K$162*(1+rvanilla05)^0.5)/A20stdlife))</f>
        <v>0</v>
      </c>
      <c r="AK329" s="107">
        <f>IF(A20stdlife="n/a","n/a",IF(AK$3&gt;(A20stdlife+$E329),('PTRM input'!$K$162*(1+rvanilla05)^0.5)-SUM($K329:AJ329),('PTRM input'!$K$162*(1+rvanilla05)^0.5)/A20stdlife))</f>
        <v>0</v>
      </c>
      <c r="AL329" s="107">
        <f>IF(A20stdlife="n/a","n/a",IF(AL$3&gt;(A20stdlife+$E329),('PTRM input'!$K$162*(1+rvanilla05)^0.5)-SUM($K329:AK329),('PTRM input'!$K$162*(1+rvanilla05)^0.5)/A20stdlife))</f>
        <v>0</v>
      </c>
      <c r="AM329" s="107">
        <f>IF(A20stdlife="n/a","n/a",IF(AM$3&gt;(A20stdlife+$E329),('PTRM input'!$K$162*(1+rvanilla05)^0.5)-SUM($K329:AL329),('PTRM input'!$K$162*(1+rvanilla05)^0.5)/A20stdlife))</f>
        <v>0</v>
      </c>
      <c r="AN329" s="107">
        <f>IF(A20stdlife="n/a","n/a",IF(AN$3&gt;(A20stdlife+$E329),('PTRM input'!$K$162*(1+rvanilla05)^0.5)-SUM($K329:AM329),('PTRM input'!$K$162*(1+rvanilla05)^0.5)/A20stdlife))</f>
        <v>0</v>
      </c>
      <c r="AO329" s="107">
        <f>IF(A20stdlife="n/a","n/a",IF(AO$3&gt;(A20stdlife+$E329),('PTRM input'!$K$162*(1+rvanilla05)^0.5)-SUM($K329:AN329),('PTRM input'!$K$162*(1+rvanilla05)^0.5)/A20stdlife))</f>
        <v>0</v>
      </c>
      <c r="AP329" s="107">
        <f>IF(A20stdlife="n/a","n/a",IF(AP$3&gt;(A20stdlife+$E329),('PTRM input'!$K$162*(1+rvanilla05)^0.5)-SUM($K329:AO329),('PTRM input'!$K$162*(1+rvanilla05)^0.5)/A20stdlife))</f>
        <v>0</v>
      </c>
      <c r="AQ329" s="107">
        <f>IF(A20stdlife="n/a","n/a",IF(AQ$3&gt;(A20stdlife+$E329),('PTRM input'!$K$162*(1+rvanilla05)^0.5)-SUM($K329:AP329),('PTRM input'!$K$162*(1+rvanilla05)^0.5)/A20stdlife))</f>
        <v>0</v>
      </c>
      <c r="AR329" s="107">
        <f>IF(A20stdlife="n/a","n/a",IF(AR$3&gt;(A20stdlife+$E329),('PTRM input'!$K$162*(1+rvanilla05)^0.5)-SUM($K329:AQ329),('PTRM input'!$K$162*(1+rvanilla05)^0.5)/A20stdlife))</f>
        <v>0</v>
      </c>
      <c r="AS329" s="107">
        <f>IF(A20stdlife="n/a","n/a",IF(AS$3&gt;(A20stdlife+$E329),('PTRM input'!$K$162*(1+rvanilla05)^0.5)-SUM($K329:AR329),('PTRM input'!$K$162*(1+rvanilla05)^0.5)/A20stdlife))</f>
        <v>0</v>
      </c>
      <c r="AT329" s="107">
        <f>IF(A20stdlife="n/a","n/a",IF(AT$3&gt;(A20stdlife+$E329),('PTRM input'!$K$162*(1+rvanilla05)^0.5)-SUM($K329:AS329),('PTRM input'!$K$162*(1+rvanilla05)^0.5)/A20stdlife))</f>
        <v>0</v>
      </c>
      <c r="AU329" s="107">
        <f>IF(A20stdlife="n/a","n/a",IF(AU$3&gt;(A20stdlife+$E329),('PTRM input'!$K$162*(1+rvanilla05)^0.5)-SUM($K329:AT329),('PTRM input'!$K$162*(1+rvanilla05)^0.5)/A20stdlife))</f>
        <v>0</v>
      </c>
      <c r="AV329" s="107">
        <f>IF(A20stdlife="n/a","n/a",IF(AV$3&gt;(A20stdlife+$E329),('PTRM input'!$K$162*(1+rvanilla05)^0.5)-SUM($K329:AU329),('PTRM input'!$K$162*(1+rvanilla05)^0.5)/A20stdlife))</f>
        <v>0</v>
      </c>
      <c r="AW329" s="107">
        <f>IF(A20stdlife="n/a","n/a",IF(AW$3&gt;(A20stdlife+$E329),('PTRM input'!$K$162*(1+rvanilla05)^0.5)-SUM($K329:AV329),('PTRM input'!$K$162*(1+rvanilla05)^0.5)/A20stdlife))</f>
        <v>0</v>
      </c>
      <c r="AX329" s="107">
        <f>IF(A20stdlife="n/a","n/a",IF(AX$3&gt;(A20stdlife+$E329),('PTRM input'!$K$162*(1+rvanilla05)^0.5)-SUM($K329:AW329),('PTRM input'!$K$162*(1+rvanilla05)^0.5)/A20stdlife))</f>
        <v>0</v>
      </c>
      <c r="AY329" s="107">
        <f>IF(A20stdlife="n/a","n/a",IF(AY$3&gt;(A20stdlife+$E329),('PTRM input'!$K$162*(1+rvanilla05)^0.5)-SUM($K329:AX329),('PTRM input'!$K$162*(1+rvanilla05)^0.5)/A20stdlife))</f>
        <v>0</v>
      </c>
      <c r="AZ329" s="107">
        <f>IF(A20stdlife="n/a","n/a",IF(AZ$3&gt;(A20stdlife+$E329),('PTRM input'!$K$162*(1+rvanilla05)^0.5)-SUM($K329:AY329),('PTRM input'!$K$162*(1+rvanilla05)^0.5)/A20stdlife))</f>
        <v>0</v>
      </c>
      <c r="BA329" s="107">
        <f>IF(A20stdlife="n/a","n/a",IF(BA$3&gt;(A20stdlife+$E329),('PTRM input'!$K$162*(1+rvanilla05)^0.5)-SUM($K329:AZ329),('PTRM input'!$K$162*(1+rvanilla05)^0.5)/A20stdlife))</f>
        <v>0</v>
      </c>
      <c r="BB329" s="107">
        <f>IF(A20stdlife="n/a","n/a",IF(BB$3&gt;(A20stdlife+$E329),('PTRM input'!$K$162*(1+rvanilla05)^0.5)-SUM($K329:BA329),('PTRM input'!$K$162*(1+rvanilla05)^0.5)/A20stdlife))</f>
        <v>0</v>
      </c>
      <c r="BC329" s="107">
        <f>IF(A20stdlife="n/a","n/a",IF(BC$3&gt;(A20stdlife+$E329),('PTRM input'!$K$162*(1+rvanilla05)^0.5)-SUM($K329:BB329),('PTRM input'!$K$162*(1+rvanilla05)^0.5)/A20stdlife))</f>
        <v>0</v>
      </c>
      <c r="BD329" s="107">
        <f>IF(A20stdlife="n/a","n/a",IF(BD$3&gt;(A20stdlife+$E329),('PTRM input'!$K$162*(1+rvanilla05)^0.5)-SUM($K329:BC329),('PTRM input'!$K$162*(1+rvanilla05)^0.5)/A20stdlife))</f>
        <v>0</v>
      </c>
      <c r="BE329" s="107">
        <f>IF(A20stdlife="n/a","n/a",IF(BE$3&gt;(A20stdlife+$E329),('PTRM input'!$K$162*(1+rvanilla05)^0.5)-SUM($K329:BD329),('PTRM input'!$K$162*(1+rvanilla05)^0.5)/A20stdlife))</f>
        <v>0</v>
      </c>
      <c r="BF329" s="107">
        <f>IF(A20stdlife="n/a","n/a",IF(BF$3&gt;(A20stdlife+$E329),('PTRM input'!$K$162*(1+rvanilla05)^0.5)-SUM($K329:BE329),('PTRM input'!$K$162*(1+rvanilla05)^0.5)/A20stdlife))</f>
        <v>0</v>
      </c>
      <c r="BG329" s="107">
        <f>IF(A20stdlife="n/a","n/a",IF(BG$3&gt;(A20stdlife+$E329),('PTRM input'!$K$162*(1+rvanilla05)^0.5)-SUM($K329:BF329),('PTRM input'!$K$162*(1+rvanilla05)^0.5)/A20stdlife))</f>
        <v>0</v>
      </c>
      <c r="BH329" s="107">
        <f>IF(A20stdlife="n/a","n/a",IF(BH$3&gt;(A20stdlife+$E329),('PTRM input'!$K$162*(1+rvanilla05)^0.5)-SUM($K329:BG329),('PTRM input'!$K$162*(1+rvanilla05)^0.5)/A20stdlife))</f>
        <v>0</v>
      </c>
      <c r="BI329" s="107">
        <f>IF(A20stdlife="n/a","n/a",IF(BI$3&gt;(A20stdlife+$E329),('PTRM input'!$K$162*(1+rvanilla05)^0.5)-SUM($K329:BH329),('PTRM input'!$K$162*(1+rvanilla05)^0.5)/A20stdlife))</f>
        <v>0</v>
      </c>
      <c r="BJ329" s="237"/>
      <c r="BK329" s="237"/>
      <c r="BL329" s="237"/>
      <c r="BM329" s="237"/>
    </row>
    <row r="330" spans="1:65" s="190" customFormat="1" hidden="1" outlineLevel="2">
      <c r="A330" s="237"/>
      <c r="B330" s="33"/>
      <c r="C330" s="32"/>
      <c r="D330" s="1618"/>
      <c r="E330" s="169">
        <v>6</v>
      </c>
      <c r="F330" s="35"/>
      <c r="G330" s="184"/>
      <c r="H330" s="186"/>
      <c r="I330" s="186"/>
      <c r="J330" s="186"/>
      <c r="K330" s="186"/>
      <c r="L330" s="185"/>
      <c r="M330" s="107">
        <f>IF(A20stdlife="n/a","n/a",IF(M$3&gt;(A20stdlife+$E330),('PTRM input'!$L$162*(1+rvanilla06)^0.5)-SUM($L330:L330),('PTRM input'!$L$162*(1+rvanilla06)^0.5)/A20stdlife))</f>
        <v>0</v>
      </c>
      <c r="N330" s="107">
        <f>IF(A20stdlife="n/a","n/a",IF(N$3&gt;(A20stdlife+$E330),('PTRM input'!$L$162*(1+rvanilla06)^0.5)-SUM($L330:M330),('PTRM input'!$L$162*(1+rvanilla06)^0.5)/A20stdlife))</f>
        <v>0</v>
      </c>
      <c r="O330" s="107">
        <f>IF(A20stdlife="n/a","n/a",IF(O$3&gt;(A20stdlife+$E330),('PTRM input'!$L$162*(1+rvanilla06)^0.5)-SUM($L330:N330),('PTRM input'!$L$162*(1+rvanilla06)^0.5)/A20stdlife))</f>
        <v>0</v>
      </c>
      <c r="P330" s="107">
        <f>IF(A20stdlife="n/a","n/a",IF(P$3&gt;(A20stdlife+$E330),('PTRM input'!$L$162*(1+rvanilla06)^0.5)-SUM($L330:O330),('PTRM input'!$L$162*(1+rvanilla06)^0.5)/A20stdlife))</f>
        <v>0</v>
      </c>
      <c r="Q330" s="107">
        <f>IF(A20stdlife="n/a","n/a",IF(Q$3&gt;(A20stdlife+$E330),('PTRM input'!$L$162*(1+rvanilla06)^0.5)-SUM($L330:P330),('PTRM input'!$L$162*(1+rvanilla06)^0.5)/A20stdlife))</f>
        <v>0</v>
      </c>
      <c r="R330" s="107">
        <f>IF(A20stdlife="n/a","n/a",IF(R$3&gt;(A20stdlife+$E330),('PTRM input'!$L$162*(1+rvanilla06)^0.5)-SUM($L330:Q330),('PTRM input'!$L$162*(1+rvanilla06)^0.5)/A20stdlife))</f>
        <v>0</v>
      </c>
      <c r="S330" s="107">
        <f>IF(A20stdlife="n/a","n/a",IF(S$3&gt;(A20stdlife+$E330),('PTRM input'!$L$162*(1+rvanilla06)^0.5)-SUM($L330:R330),('PTRM input'!$L$162*(1+rvanilla06)^0.5)/A20stdlife))</f>
        <v>0</v>
      </c>
      <c r="T330" s="107">
        <f>IF(A20stdlife="n/a","n/a",IF(T$3&gt;(A20stdlife+$E330),('PTRM input'!$L$162*(1+rvanilla06)^0.5)-SUM($L330:S330),('PTRM input'!$L$162*(1+rvanilla06)^0.5)/A20stdlife))</f>
        <v>0</v>
      </c>
      <c r="U330" s="107">
        <f>IF(A20stdlife="n/a","n/a",IF(U$3&gt;(A20stdlife+$E330),('PTRM input'!$L$162*(1+rvanilla06)^0.5)-SUM($L330:T330),('PTRM input'!$L$162*(1+rvanilla06)^0.5)/A20stdlife))</f>
        <v>0</v>
      </c>
      <c r="V330" s="107">
        <f>IF(A20stdlife="n/a","n/a",IF(V$3&gt;(A20stdlife+$E330),('PTRM input'!$L$162*(1+rvanilla06)^0.5)-SUM($L330:U330),('PTRM input'!$L$162*(1+rvanilla06)^0.5)/A20stdlife))</f>
        <v>0</v>
      </c>
      <c r="W330" s="107">
        <f>IF(A20stdlife="n/a","n/a",IF(W$3&gt;(A20stdlife+$E330),('PTRM input'!$L$162*(1+rvanilla06)^0.5)-SUM($L330:V330),('PTRM input'!$L$162*(1+rvanilla06)^0.5)/A20stdlife))</f>
        <v>0</v>
      </c>
      <c r="X330" s="107">
        <f>IF(A20stdlife="n/a","n/a",IF(X$3&gt;(A20stdlife+$E330),('PTRM input'!$L$162*(1+rvanilla06)^0.5)-SUM($L330:W330),('PTRM input'!$L$162*(1+rvanilla06)^0.5)/A20stdlife))</f>
        <v>0</v>
      </c>
      <c r="Y330" s="107">
        <f>IF(A20stdlife="n/a","n/a",IF(Y$3&gt;(A20stdlife+$E330),('PTRM input'!$L$162*(1+rvanilla06)^0.5)-SUM($L330:X330),('PTRM input'!$L$162*(1+rvanilla06)^0.5)/A20stdlife))</f>
        <v>0</v>
      </c>
      <c r="Z330" s="107">
        <f>IF(A20stdlife="n/a","n/a",IF(Z$3&gt;(A20stdlife+$E330),('PTRM input'!$L$162*(1+rvanilla06)^0.5)-SUM($L330:Y330),('PTRM input'!$L$162*(1+rvanilla06)^0.5)/A20stdlife))</f>
        <v>0</v>
      </c>
      <c r="AA330" s="107">
        <f>IF(A20stdlife="n/a","n/a",IF(AA$3&gt;(A20stdlife+$E330),('PTRM input'!$L$162*(1+rvanilla06)^0.5)-SUM($L330:Z330),('PTRM input'!$L$162*(1+rvanilla06)^0.5)/A20stdlife))</f>
        <v>0</v>
      </c>
      <c r="AB330" s="107">
        <f>IF(A20stdlife="n/a","n/a",IF(AB$3&gt;(A20stdlife+$E330),('PTRM input'!$L$162*(1+rvanilla06)^0.5)-SUM($L330:AA330),('PTRM input'!$L$162*(1+rvanilla06)^0.5)/A20stdlife))</f>
        <v>0</v>
      </c>
      <c r="AC330" s="107">
        <f>IF(A20stdlife="n/a","n/a",IF(AC$3&gt;(A20stdlife+$E330),('PTRM input'!$L$162*(1+rvanilla06)^0.5)-SUM($L330:AB330),('PTRM input'!$L$162*(1+rvanilla06)^0.5)/A20stdlife))</f>
        <v>0</v>
      </c>
      <c r="AD330" s="107">
        <f>IF(A20stdlife="n/a","n/a",IF(AD$3&gt;(A20stdlife+$E330),('PTRM input'!$L$162*(1+rvanilla06)^0.5)-SUM($L330:AC330),('PTRM input'!$L$162*(1+rvanilla06)^0.5)/A20stdlife))</f>
        <v>0</v>
      </c>
      <c r="AE330" s="107">
        <f>IF(A20stdlife="n/a","n/a",IF(AE$3&gt;(A20stdlife+$E330),('PTRM input'!$L$162*(1+rvanilla06)^0.5)-SUM($L330:AD330),('PTRM input'!$L$162*(1+rvanilla06)^0.5)/A20stdlife))</f>
        <v>0</v>
      </c>
      <c r="AF330" s="107">
        <f>IF(A20stdlife="n/a","n/a",IF(AF$3&gt;(A20stdlife+$E330),('PTRM input'!$L$162*(1+rvanilla06)^0.5)-SUM($L330:AE330),('PTRM input'!$L$162*(1+rvanilla06)^0.5)/A20stdlife))</f>
        <v>0</v>
      </c>
      <c r="AG330" s="107">
        <f>IF(A20stdlife="n/a","n/a",IF(AG$3&gt;(A20stdlife+$E330),('PTRM input'!$L$162*(1+rvanilla06)^0.5)-SUM($L330:AF330),('PTRM input'!$L$162*(1+rvanilla06)^0.5)/A20stdlife))</f>
        <v>0</v>
      </c>
      <c r="AH330" s="107">
        <f>IF(A20stdlife="n/a","n/a",IF(AH$3&gt;(A20stdlife+$E330),('PTRM input'!$L$162*(1+rvanilla06)^0.5)-SUM($L330:AG330),('PTRM input'!$L$162*(1+rvanilla06)^0.5)/A20stdlife))</f>
        <v>0</v>
      </c>
      <c r="AI330" s="107">
        <f>IF(A20stdlife="n/a","n/a",IF(AI$3&gt;(A20stdlife+$E330),('PTRM input'!$L$162*(1+rvanilla06)^0.5)-SUM($L330:AH330),('PTRM input'!$L$162*(1+rvanilla06)^0.5)/A20stdlife))</f>
        <v>0</v>
      </c>
      <c r="AJ330" s="107">
        <f>IF(A20stdlife="n/a","n/a",IF(AJ$3&gt;(A20stdlife+$E330),('PTRM input'!$L$162*(1+rvanilla06)^0.5)-SUM($L330:AI330),('PTRM input'!$L$162*(1+rvanilla06)^0.5)/A20stdlife))</f>
        <v>0</v>
      </c>
      <c r="AK330" s="107">
        <f>IF(A20stdlife="n/a","n/a",IF(AK$3&gt;(A20stdlife+$E330),('PTRM input'!$L$162*(1+rvanilla06)^0.5)-SUM($L330:AJ330),('PTRM input'!$L$162*(1+rvanilla06)^0.5)/A20stdlife))</f>
        <v>0</v>
      </c>
      <c r="AL330" s="107">
        <f>IF(A20stdlife="n/a","n/a",IF(AL$3&gt;(A20stdlife+$E330),('PTRM input'!$L$162*(1+rvanilla06)^0.5)-SUM($L330:AK330),('PTRM input'!$L$162*(1+rvanilla06)^0.5)/A20stdlife))</f>
        <v>0</v>
      </c>
      <c r="AM330" s="107">
        <f>IF(A20stdlife="n/a","n/a",IF(AM$3&gt;(A20stdlife+$E330),('PTRM input'!$L$162*(1+rvanilla06)^0.5)-SUM($L330:AL330),('PTRM input'!$L$162*(1+rvanilla06)^0.5)/A20stdlife))</f>
        <v>0</v>
      </c>
      <c r="AN330" s="107">
        <f>IF(A20stdlife="n/a","n/a",IF(AN$3&gt;(A20stdlife+$E330),('PTRM input'!$L$162*(1+rvanilla06)^0.5)-SUM($L330:AM330),('PTRM input'!$L$162*(1+rvanilla06)^0.5)/A20stdlife))</f>
        <v>0</v>
      </c>
      <c r="AO330" s="107">
        <f>IF(A20stdlife="n/a","n/a",IF(AO$3&gt;(A20stdlife+$E330),('PTRM input'!$L$162*(1+rvanilla06)^0.5)-SUM($L330:AN330),('PTRM input'!$L$162*(1+rvanilla06)^0.5)/A20stdlife))</f>
        <v>0</v>
      </c>
      <c r="AP330" s="107">
        <f>IF(A20stdlife="n/a","n/a",IF(AP$3&gt;(A20stdlife+$E330),('PTRM input'!$L$162*(1+rvanilla06)^0.5)-SUM($L330:AO330),('PTRM input'!$L$162*(1+rvanilla06)^0.5)/A20stdlife))</f>
        <v>0</v>
      </c>
      <c r="AQ330" s="107">
        <f>IF(A20stdlife="n/a","n/a",IF(AQ$3&gt;(A20stdlife+$E330),('PTRM input'!$L$162*(1+rvanilla06)^0.5)-SUM($L330:AP330),('PTRM input'!$L$162*(1+rvanilla06)^0.5)/A20stdlife))</f>
        <v>0</v>
      </c>
      <c r="AR330" s="107">
        <f>IF(A20stdlife="n/a","n/a",IF(AR$3&gt;(A20stdlife+$E330),('PTRM input'!$L$162*(1+rvanilla06)^0.5)-SUM($L330:AQ330),('PTRM input'!$L$162*(1+rvanilla06)^0.5)/A20stdlife))</f>
        <v>0</v>
      </c>
      <c r="AS330" s="107">
        <f>IF(A20stdlife="n/a","n/a",IF(AS$3&gt;(A20stdlife+$E330),('PTRM input'!$L$162*(1+rvanilla06)^0.5)-SUM($L330:AR330),('PTRM input'!$L$162*(1+rvanilla06)^0.5)/A20stdlife))</f>
        <v>0</v>
      </c>
      <c r="AT330" s="107">
        <f>IF(A20stdlife="n/a","n/a",IF(AT$3&gt;(A20stdlife+$E330),('PTRM input'!$L$162*(1+rvanilla06)^0.5)-SUM($L330:AS330),('PTRM input'!$L$162*(1+rvanilla06)^0.5)/A20stdlife))</f>
        <v>0</v>
      </c>
      <c r="AU330" s="107">
        <f>IF(A20stdlife="n/a","n/a",IF(AU$3&gt;(A20stdlife+$E330),('PTRM input'!$L$162*(1+rvanilla06)^0.5)-SUM($L330:AT330),('PTRM input'!$L$162*(1+rvanilla06)^0.5)/A20stdlife))</f>
        <v>0</v>
      </c>
      <c r="AV330" s="107">
        <f>IF(A20stdlife="n/a","n/a",IF(AV$3&gt;(A20stdlife+$E330),('PTRM input'!$L$162*(1+rvanilla06)^0.5)-SUM($L330:AU330),('PTRM input'!$L$162*(1+rvanilla06)^0.5)/A20stdlife))</f>
        <v>0</v>
      </c>
      <c r="AW330" s="107">
        <f>IF(A20stdlife="n/a","n/a",IF(AW$3&gt;(A20stdlife+$E330),('PTRM input'!$L$162*(1+rvanilla06)^0.5)-SUM($L330:AV330),('PTRM input'!$L$162*(1+rvanilla06)^0.5)/A20stdlife))</f>
        <v>0</v>
      </c>
      <c r="AX330" s="107">
        <f>IF(A20stdlife="n/a","n/a",IF(AX$3&gt;(A20stdlife+$E330),('PTRM input'!$L$162*(1+rvanilla06)^0.5)-SUM($L330:AW330),('PTRM input'!$L$162*(1+rvanilla06)^0.5)/A20stdlife))</f>
        <v>0</v>
      </c>
      <c r="AY330" s="107">
        <f>IF(A20stdlife="n/a","n/a",IF(AY$3&gt;(A20stdlife+$E330),('PTRM input'!$L$162*(1+rvanilla06)^0.5)-SUM($L330:AX330),('PTRM input'!$L$162*(1+rvanilla06)^0.5)/A20stdlife))</f>
        <v>0</v>
      </c>
      <c r="AZ330" s="107">
        <f>IF(A20stdlife="n/a","n/a",IF(AZ$3&gt;(A20stdlife+$E330),('PTRM input'!$L$162*(1+rvanilla06)^0.5)-SUM($L330:AY330),('PTRM input'!$L$162*(1+rvanilla06)^0.5)/A20stdlife))</f>
        <v>0</v>
      </c>
      <c r="BA330" s="107">
        <f>IF(A20stdlife="n/a","n/a",IF(BA$3&gt;(A20stdlife+$E330),('PTRM input'!$L$162*(1+rvanilla06)^0.5)-SUM($L330:AZ330),('PTRM input'!$L$162*(1+rvanilla06)^0.5)/A20stdlife))</f>
        <v>0</v>
      </c>
      <c r="BB330" s="107">
        <f>IF(A20stdlife="n/a","n/a",IF(BB$3&gt;(A20stdlife+$E330),('PTRM input'!$L$162*(1+rvanilla06)^0.5)-SUM($L330:BA330),('PTRM input'!$L$162*(1+rvanilla06)^0.5)/A20stdlife))</f>
        <v>0</v>
      </c>
      <c r="BC330" s="107">
        <f>IF(A20stdlife="n/a","n/a",IF(BC$3&gt;(A20stdlife+$E330),('PTRM input'!$L$162*(1+rvanilla06)^0.5)-SUM($L330:BB330),('PTRM input'!$L$162*(1+rvanilla06)^0.5)/A20stdlife))</f>
        <v>0</v>
      </c>
      <c r="BD330" s="107">
        <f>IF(A20stdlife="n/a","n/a",IF(BD$3&gt;(A20stdlife+$E330),('PTRM input'!$L$162*(1+rvanilla06)^0.5)-SUM($L330:BC330),('PTRM input'!$L$162*(1+rvanilla06)^0.5)/A20stdlife))</f>
        <v>0</v>
      </c>
      <c r="BE330" s="107">
        <f>IF(A20stdlife="n/a","n/a",IF(BE$3&gt;(A20stdlife+$E330),('PTRM input'!$L$162*(1+rvanilla06)^0.5)-SUM($L330:BD330),('PTRM input'!$L$162*(1+rvanilla06)^0.5)/A20stdlife))</f>
        <v>0</v>
      </c>
      <c r="BF330" s="107">
        <f>IF(A20stdlife="n/a","n/a",IF(BF$3&gt;(A20stdlife+$E330),('PTRM input'!$L$162*(1+rvanilla06)^0.5)-SUM($L330:BE330),('PTRM input'!$L$162*(1+rvanilla06)^0.5)/A20stdlife))</f>
        <v>0</v>
      </c>
      <c r="BG330" s="107">
        <f>IF(A20stdlife="n/a","n/a",IF(BG$3&gt;(A20stdlife+$E330),('PTRM input'!$L$162*(1+rvanilla06)^0.5)-SUM($L330:BF330),('PTRM input'!$L$162*(1+rvanilla06)^0.5)/A20stdlife))</f>
        <v>0</v>
      </c>
      <c r="BH330" s="107">
        <f>IF(A20stdlife="n/a","n/a",IF(BH$3&gt;(A20stdlife+$E330),('PTRM input'!$L$162*(1+rvanilla06)^0.5)-SUM($L330:BG330),('PTRM input'!$L$162*(1+rvanilla06)^0.5)/A20stdlife))</f>
        <v>0</v>
      </c>
      <c r="BI330" s="107">
        <f>IF(A20stdlife="n/a","n/a",IF(BI$3&gt;(A20stdlife+$E330),('PTRM input'!$L$162*(1+rvanilla06)^0.5)-SUM($L330:BH330),('PTRM input'!$L$162*(1+rvanilla06)^0.5)/A20stdlife))</f>
        <v>0</v>
      </c>
      <c r="BJ330" s="237"/>
      <c r="BK330" s="237"/>
      <c r="BL330" s="237"/>
      <c r="BM330" s="237"/>
    </row>
    <row r="331" spans="1:65" s="190" customFormat="1" hidden="1" outlineLevel="2">
      <c r="A331" s="237"/>
      <c r="B331" s="33"/>
      <c r="C331" s="32"/>
      <c r="D331" s="1618"/>
      <c r="E331" s="169">
        <v>7</v>
      </c>
      <c r="F331" s="35"/>
      <c r="G331" s="184"/>
      <c r="H331" s="186"/>
      <c r="I331" s="186"/>
      <c r="J331" s="186"/>
      <c r="K331" s="186"/>
      <c r="L331" s="186"/>
      <c r="M331" s="185"/>
      <c r="N331" s="107">
        <f>IF(A20stdlife="n/a","n/a",IF(N$3&gt;(A20stdlife+$E331),('PTRM input'!$M$162*(1+rvanilla07)^0.5)-SUM($M331:M331),('PTRM input'!$M$162*(1+rvanilla07)^0.5)/A20stdlife))</f>
        <v>0</v>
      </c>
      <c r="O331" s="107">
        <f>IF(A20stdlife="n/a","n/a",IF(O$3&gt;(A20stdlife+$E331),('PTRM input'!$M$162*(1+rvanilla07)^0.5)-SUM($M331:N331),('PTRM input'!$M$162*(1+rvanilla07)^0.5)/A20stdlife))</f>
        <v>0</v>
      </c>
      <c r="P331" s="107">
        <f>IF(A20stdlife="n/a","n/a",IF(P$3&gt;(A20stdlife+$E331),('PTRM input'!$M$162*(1+rvanilla07)^0.5)-SUM($M331:O331),('PTRM input'!$M$162*(1+rvanilla07)^0.5)/A20stdlife))</f>
        <v>0</v>
      </c>
      <c r="Q331" s="107">
        <f>IF(A20stdlife="n/a","n/a",IF(Q$3&gt;(A20stdlife+$E331),('PTRM input'!$M$162*(1+rvanilla07)^0.5)-SUM($M331:P331),('PTRM input'!$M$162*(1+rvanilla07)^0.5)/A20stdlife))</f>
        <v>0</v>
      </c>
      <c r="R331" s="107">
        <f>IF(A20stdlife="n/a","n/a",IF(R$3&gt;(A20stdlife+$E331),('PTRM input'!$M$162*(1+rvanilla07)^0.5)-SUM($M331:Q331),('PTRM input'!$M$162*(1+rvanilla07)^0.5)/A20stdlife))</f>
        <v>0</v>
      </c>
      <c r="S331" s="107">
        <f>IF(A20stdlife="n/a","n/a",IF(S$3&gt;(A20stdlife+$E331),('PTRM input'!$M$162*(1+rvanilla07)^0.5)-SUM($M331:R331),('PTRM input'!$M$162*(1+rvanilla07)^0.5)/A20stdlife))</f>
        <v>0</v>
      </c>
      <c r="T331" s="107">
        <f>IF(A20stdlife="n/a","n/a",IF(T$3&gt;(A20stdlife+$E331),('PTRM input'!$M$162*(1+rvanilla07)^0.5)-SUM($M331:S331),('PTRM input'!$M$162*(1+rvanilla07)^0.5)/A20stdlife))</f>
        <v>0</v>
      </c>
      <c r="U331" s="107">
        <f>IF(A20stdlife="n/a","n/a",IF(U$3&gt;(A20stdlife+$E331),('PTRM input'!$M$162*(1+rvanilla07)^0.5)-SUM($M331:T331),('PTRM input'!$M$162*(1+rvanilla07)^0.5)/A20stdlife))</f>
        <v>0</v>
      </c>
      <c r="V331" s="107">
        <f>IF(A20stdlife="n/a","n/a",IF(V$3&gt;(A20stdlife+$E331),('PTRM input'!$M$162*(1+rvanilla07)^0.5)-SUM($M331:U331),('PTRM input'!$M$162*(1+rvanilla07)^0.5)/A20stdlife))</f>
        <v>0</v>
      </c>
      <c r="W331" s="107">
        <f>IF(A20stdlife="n/a","n/a",IF(W$3&gt;(A20stdlife+$E331),('PTRM input'!$M$162*(1+rvanilla07)^0.5)-SUM($M331:V331),('PTRM input'!$M$162*(1+rvanilla07)^0.5)/A20stdlife))</f>
        <v>0</v>
      </c>
      <c r="X331" s="107">
        <f>IF(A20stdlife="n/a","n/a",IF(X$3&gt;(A20stdlife+$E331),('PTRM input'!$M$162*(1+rvanilla07)^0.5)-SUM($M331:W331),('PTRM input'!$M$162*(1+rvanilla07)^0.5)/A20stdlife))</f>
        <v>0</v>
      </c>
      <c r="Y331" s="107">
        <f>IF(A20stdlife="n/a","n/a",IF(Y$3&gt;(A20stdlife+$E331),('PTRM input'!$M$162*(1+rvanilla07)^0.5)-SUM($M331:X331),('PTRM input'!$M$162*(1+rvanilla07)^0.5)/A20stdlife))</f>
        <v>0</v>
      </c>
      <c r="Z331" s="107">
        <f>IF(A20stdlife="n/a","n/a",IF(Z$3&gt;(A20stdlife+$E331),('PTRM input'!$M$162*(1+rvanilla07)^0.5)-SUM($M331:Y331),('PTRM input'!$M$162*(1+rvanilla07)^0.5)/A20stdlife))</f>
        <v>0</v>
      </c>
      <c r="AA331" s="107">
        <f>IF(A20stdlife="n/a","n/a",IF(AA$3&gt;(A20stdlife+$E331),('PTRM input'!$M$162*(1+rvanilla07)^0.5)-SUM($M331:Z331),('PTRM input'!$M$162*(1+rvanilla07)^0.5)/A20stdlife))</f>
        <v>0</v>
      </c>
      <c r="AB331" s="107">
        <f>IF(A20stdlife="n/a","n/a",IF(AB$3&gt;(A20stdlife+$E331),('PTRM input'!$M$162*(1+rvanilla07)^0.5)-SUM($M331:AA331),('PTRM input'!$M$162*(1+rvanilla07)^0.5)/A20stdlife))</f>
        <v>0</v>
      </c>
      <c r="AC331" s="107">
        <f>IF(A20stdlife="n/a","n/a",IF(AC$3&gt;(A20stdlife+$E331),('PTRM input'!$M$162*(1+rvanilla07)^0.5)-SUM($M331:AB331),('PTRM input'!$M$162*(1+rvanilla07)^0.5)/A20stdlife))</f>
        <v>0</v>
      </c>
      <c r="AD331" s="107">
        <f>IF(A20stdlife="n/a","n/a",IF(AD$3&gt;(A20stdlife+$E331),('PTRM input'!$M$162*(1+rvanilla07)^0.5)-SUM($M331:AC331),('PTRM input'!$M$162*(1+rvanilla07)^0.5)/A20stdlife))</f>
        <v>0</v>
      </c>
      <c r="AE331" s="107">
        <f>IF(A20stdlife="n/a","n/a",IF(AE$3&gt;(A20stdlife+$E331),('PTRM input'!$M$162*(1+rvanilla07)^0.5)-SUM($M331:AD331),('PTRM input'!$M$162*(1+rvanilla07)^0.5)/A20stdlife))</f>
        <v>0</v>
      </c>
      <c r="AF331" s="107">
        <f>IF(A20stdlife="n/a","n/a",IF(AF$3&gt;(A20stdlife+$E331),('PTRM input'!$M$162*(1+rvanilla07)^0.5)-SUM($M331:AE331),('PTRM input'!$M$162*(1+rvanilla07)^0.5)/A20stdlife))</f>
        <v>0</v>
      </c>
      <c r="AG331" s="107">
        <f>IF(A20stdlife="n/a","n/a",IF(AG$3&gt;(A20stdlife+$E331),('PTRM input'!$M$162*(1+rvanilla07)^0.5)-SUM($M331:AF331),('PTRM input'!$M$162*(1+rvanilla07)^0.5)/A20stdlife))</f>
        <v>0</v>
      </c>
      <c r="AH331" s="107">
        <f>IF(A20stdlife="n/a","n/a",IF(AH$3&gt;(A20stdlife+$E331),('PTRM input'!$M$162*(1+rvanilla07)^0.5)-SUM($M331:AG331),('PTRM input'!$M$162*(1+rvanilla07)^0.5)/A20stdlife))</f>
        <v>0</v>
      </c>
      <c r="AI331" s="107">
        <f>IF(A20stdlife="n/a","n/a",IF(AI$3&gt;(A20stdlife+$E331),('PTRM input'!$M$162*(1+rvanilla07)^0.5)-SUM($M331:AH331),('PTRM input'!$M$162*(1+rvanilla07)^0.5)/A20stdlife))</f>
        <v>0</v>
      </c>
      <c r="AJ331" s="107">
        <f>IF(A20stdlife="n/a","n/a",IF(AJ$3&gt;(A20stdlife+$E331),('PTRM input'!$M$162*(1+rvanilla07)^0.5)-SUM($M331:AI331),('PTRM input'!$M$162*(1+rvanilla07)^0.5)/A20stdlife))</f>
        <v>0</v>
      </c>
      <c r="AK331" s="107">
        <f>IF(A20stdlife="n/a","n/a",IF(AK$3&gt;(A20stdlife+$E331),('PTRM input'!$M$162*(1+rvanilla07)^0.5)-SUM($M331:AJ331),('PTRM input'!$M$162*(1+rvanilla07)^0.5)/A20stdlife))</f>
        <v>0</v>
      </c>
      <c r="AL331" s="107">
        <f>IF(A20stdlife="n/a","n/a",IF(AL$3&gt;(A20stdlife+$E331),('PTRM input'!$M$162*(1+rvanilla07)^0.5)-SUM($M331:AK331),('PTRM input'!$M$162*(1+rvanilla07)^0.5)/A20stdlife))</f>
        <v>0</v>
      </c>
      <c r="AM331" s="107">
        <f>IF(A20stdlife="n/a","n/a",IF(AM$3&gt;(A20stdlife+$E331),('PTRM input'!$M$162*(1+rvanilla07)^0.5)-SUM($M331:AL331),('PTRM input'!$M$162*(1+rvanilla07)^0.5)/A20stdlife))</f>
        <v>0</v>
      </c>
      <c r="AN331" s="107">
        <f>IF(A20stdlife="n/a","n/a",IF(AN$3&gt;(A20stdlife+$E331),('PTRM input'!$M$162*(1+rvanilla07)^0.5)-SUM($M331:AM331),('PTRM input'!$M$162*(1+rvanilla07)^0.5)/A20stdlife))</f>
        <v>0</v>
      </c>
      <c r="AO331" s="107">
        <f>IF(A20stdlife="n/a","n/a",IF(AO$3&gt;(A20stdlife+$E331),('PTRM input'!$M$162*(1+rvanilla07)^0.5)-SUM($M331:AN331),('PTRM input'!$M$162*(1+rvanilla07)^0.5)/A20stdlife))</f>
        <v>0</v>
      </c>
      <c r="AP331" s="107">
        <f>IF(A20stdlife="n/a","n/a",IF(AP$3&gt;(A20stdlife+$E331),('PTRM input'!$M$162*(1+rvanilla07)^0.5)-SUM($M331:AO331),('PTRM input'!$M$162*(1+rvanilla07)^0.5)/A20stdlife))</f>
        <v>0</v>
      </c>
      <c r="AQ331" s="107">
        <f>IF(A20stdlife="n/a","n/a",IF(AQ$3&gt;(A20stdlife+$E331),('PTRM input'!$M$162*(1+rvanilla07)^0.5)-SUM($M331:AP331),('PTRM input'!$M$162*(1+rvanilla07)^0.5)/A20stdlife))</f>
        <v>0</v>
      </c>
      <c r="AR331" s="107">
        <f>IF(A20stdlife="n/a","n/a",IF(AR$3&gt;(A20stdlife+$E331),('PTRM input'!$M$162*(1+rvanilla07)^0.5)-SUM($M331:AQ331),('PTRM input'!$M$162*(1+rvanilla07)^0.5)/A20stdlife))</f>
        <v>0</v>
      </c>
      <c r="AS331" s="107">
        <f>IF(A20stdlife="n/a","n/a",IF(AS$3&gt;(A20stdlife+$E331),('PTRM input'!$M$162*(1+rvanilla07)^0.5)-SUM($M331:AR331),('PTRM input'!$M$162*(1+rvanilla07)^0.5)/A20stdlife))</f>
        <v>0</v>
      </c>
      <c r="AT331" s="107">
        <f>IF(A20stdlife="n/a","n/a",IF(AT$3&gt;(A20stdlife+$E331),('PTRM input'!$M$162*(1+rvanilla07)^0.5)-SUM($M331:AS331),('PTRM input'!$M$162*(1+rvanilla07)^0.5)/A20stdlife))</f>
        <v>0</v>
      </c>
      <c r="AU331" s="107">
        <f>IF(A20stdlife="n/a","n/a",IF(AU$3&gt;(A20stdlife+$E331),('PTRM input'!$M$162*(1+rvanilla07)^0.5)-SUM($M331:AT331),('PTRM input'!$M$162*(1+rvanilla07)^0.5)/A20stdlife))</f>
        <v>0</v>
      </c>
      <c r="AV331" s="107">
        <f>IF(A20stdlife="n/a","n/a",IF(AV$3&gt;(A20stdlife+$E331),('PTRM input'!$M$162*(1+rvanilla07)^0.5)-SUM($M331:AU331),('PTRM input'!$M$162*(1+rvanilla07)^0.5)/A20stdlife))</f>
        <v>0</v>
      </c>
      <c r="AW331" s="107">
        <f>IF(A20stdlife="n/a","n/a",IF(AW$3&gt;(A20stdlife+$E331),('PTRM input'!$M$162*(1+rvanilla07)^0.5)-SUM($M331:AV331),('PTRM input'!$M$162*(1+rvanilla07)^0.5)/A20stdlife))</f>
        <v>0</v>
      </c>
      <c r="AX331" s="107">
        <f>IF(A20stdlife="n/a","n/a",IF(AX$3&gt;(A20stdlife+$E331),('PTRM input'!$M$162*(1+rvanilla07)^0.5)-SUM($M331:AW331),('PTRM input'!$M$162*(1+rvanilla07)^0.5)/A20stdlife))</f>
        <v>0</v>
      </c>
      <c r="AY331" s="107">
        <f>IF(A20stdlife="n/a","n/a",IF(AY$3&gt;(A20stdlife+$E331),('PTRM input'!$M$162*(1+rvanilla07)^0.5)-SUM($M331:AX331),('PTRM input'!$M$162*(1+rvanilla07)^0.5)/A20stdlife))</f>
        <v>0</v>
      </c>
      <c r="AZ331" s="107">
        <f>IF(A20stdlife="n/a","n/a",IF(AZ$3&gt;(A20stdlife+$E331),('PTRM input'!$M$162*(1+rvanilla07)^0.5)-SUM($M331:AY331),('PTRM input'!$M$162*(1+rvanilla07)^0.5)/A20stdlife))</f>
        <v>0</v>
      </c>
      <c r="BA331" s="107">
        <f>IF(A20stdlife="n/a","n/a",IF(BA$3&gt;(A20stdlife+$E331),('PTRM input'!$M$162*(1+rvanilla07)^0.5)-SUM($M331:AZ331),('PTRM input'!$M$162*(1+rvanilla07)^0.5)/A20stdlife))</f>
        <v>0</v>
      </c>
      <c r="BB331" s="107">
        <f>IF(A20stdlife="n/a","n/a",IF(BB$3&gt;(A20stdlife+$E331),('PTRM input'!$M$162*(1+rvanilla07)^0.5)-SUM($M331:BA331),('PTRM input'!$M$162*(1+rvanilla07)^0.5)/A20stdlife))</f>
        <v>0</v>
      </c>
      <c r="BC331" s="107">
        <f>IF(A20stdlife="n/a","n/a",IF(BC$3&gt;(A20stdlife+$E331),('PTRM input'!$M$162*(1+rvanilla07)^0.5)-SUM($M331:BB331),('PTRM input'!$M$162*(1+rvanilla07)^0.5)/A20stdlife))</f>
        <v>0</v>
      </c>
      <c r="BD331" s="107">
        <f>IF(A20stdlife="n/a","n/a",IF(BD$3&gt;(A20stdlife+$E331),('PTRM input'!$M$162*(1+rvanilla07)^0.5)-SUM($M331:BC331),('PTRM input'!$M$162*(1+rvanilla07)^0.5)/A20stdlife))</f>
        <v>0</v>
      </c>
      <c r="BE331" s="107">
        <f>IF(A20stdlife="n/a","n/a",IF(BE$3&gt;(A20stdlife+$E331),('PTRM input'!$M$162*(1+rvanilla07)^0.5)-SUM($M331:BD331),('PTRM input'!$M$162*(1+rvanilla07)^0.5)/A20stdlife))</f>
        <v>0</v>
      </c>
      <c r="BF331" s="107">
        <f>IF(A20stdlife="n/a","n/a",IF(BF$3&gt;(A20stdlife+$E331),('PTRM input'!$M$162*(1+rvanilla07)^0.5)-SUM($M331:BE331),('PTRM input'!$M$162*(1+rvanilla07)^0.5)/A20stdlife))</f>
        <v>0</v>
      </c>
      <c r="BG331" s="107">
        <f>IF(A20stdlife="n/a","n/a",IF(BG$3&gt;(A20stdlife+$E331),('PTRM input'!$M$162*(1+rvanilla07)^0.5)-SUM($M331:BF331),('PTRM input'!$M$162*(1+rvanilla07)^0.5)/A20stdlife))</f>
        <v>0</v>
      </c>
      <c r="BH331" s="107">
        <f>IF(A20stdlife="n/a","n/a",IF(BH$3&gt;(A20stdlife+$E331),('PTRM input'!$M$162*(1+rvanilla07)^0.5)-SUM($M331:BG331),('PTRM input'!$M$162*(1+rvanilla07)^0.5)/A20stdlife))</f>
        <v>0</v>
      </c>
      <c r="BI331" s="107">
        <f>IF(A20stdlife="n/a","n/a",IF(BI$3&gt;(A20stdlife+$E331),('PTRM input'!$M$162*(1+rvanilla07)^0.5)-SUM($M331:BH331),('PTRM input'!$M$162*(1+rvanilla07)^0.5)/A20stdlife))</f>
        <v>0</v>
      </c>
      <c r="BJ331" s="237"/>
      <c r="BK331" s="237"/>
      <c r="BL331" s="237"/>
      <c r="BM331" s="237"/>
    </row>
    <row r="332" spans="1:65" s="190" customFormat="1" hidden="1" outlineLevel="2">
      <c r="A332" s="237"/>
      <c r="B332" s="33"/>
      <c r="C332" s="32"/>
      <c r="D332" s="1618"/>
      <c r="E332" s="169">
        <v>8</v>
      </c>
      <c r="F332" s="35"/>
      <c r="G332" s="184"/>
      <c r="H332" s="186"/>
      <c r="I332" s="186"/>
      <c r="J332" s="186"/>
      <c r="K332" s="186"/>
      <c r="L332" s="186"/>
      <c r="M332" s="186"/>
      <c r="N332" s="185"/>
      <c r="O332" s="107">
        <f>IF(A20stdlife="n/a","n/a",IF(O$3&gt;(A20stdlife+$E332),('PTRM input'!$N$162*(1+rvanilla08)^0.5)-SUM($N332:N332),('PTRM input'!$N$162*(1+rvanilla08)^0.5)/A20stdlife))</f>
        <v>0</v>
      </c>
      <c r="P332" s="107">
        <f>IF(A20stdlife="n/a","n/a",IF(P$3&gt;(A20stdlife+$E332),('PTRM input'!$N$162*(1+rvanilla08)^0.5)-SUM($N332:O332),('PTRM input'!$N$162*(1+rvanilla08)^0.5)/A20stdlife))</f>
        <v>0</v>
      </c>
      <c r="Q332" s="107">
        <f>IF(A20stdlife="n/a","n/a",IF(Q$3&gt;(A20stdlife+$E332),('PTRM input'!$N$162*(1+rvanilla08)^0.5)-SUM($N332:P332),('PTRM input'!$N$162*(1+rvanilla08)^0.5)/A20stdlife))</f>
        <v>0</v>
      </c>
      <c r="R332" s="107">
        <f>IF(A20stdlife="n/a","n/a",IF(R$3&gt;(A20stdlife+$E332),('PTRM input'!$N$162*(1+rvanilla08)^0.5)-SUM($N332:Q332),('PTRM input'!$N$162*(1+rvanilla08)^0.5)/A20stdlife))</f>
        <v>0</v>
      </c>
      <c r="S332" s="107">
        <f>IF(A20stdlife="n/a","n/a",IF(S$3&gt;(A20stdlife+$E332),('PTRM input'!$N$162*(1+rvanilla08)^0.5)-SUM($N332:R332),('PTRM input'!$N$162*(1+rvanilla08)^0.5)/A20stdlife))</f>
        <v>0</v>
      </c>
      <c r="T332" s="107">
        <f>IF(A20stdlife="n/a","n/a",IF(T$3&gt;(A20stdlife+$E332),('PTRM input'!$N$162*(1+rvanilla08)^0.5)-SUM($N332:S332),('PTRM input'!$N$162*(1+rvanilla08)^0.5)/A20stdlife))</f>
        <v>0</v>
      </c>
      <c r="U332" s="107">
        <f>IF(A20stdlife="n/a","n/a",IF(U$3&gt;(A20stdlife+$E332),('PTRM input'!$N$162*(1+rvanilla08)^0.5)-SUM($N332:T332),('PTRM input'!$N$162*(1+rvanilla08)^0.5)/A20stdlife))</f>
        <v>0</v>
      </c>
      <c r="V332" s="107">
        <f>IF(A20stdlife="n/a","n/a",IF(V$3&gt;(A20stdlife+$E332),('PTRM input'!$N$162*(1+rvanilla08)^0.5)-SUM($N332:U332),('PTRM input'!$N$162*(1+rvanilla08)^0.5)/A20stdlife))</f>
        <v>0</v>
      </c>
      <c r="W332" s="107">
        <f>IF(A20stdlife="n/a","n/a",IF(W$3&gt;(A20stdlife+$E332),('PTRM input'!$N$162*(1+rvanilla08)^0.5)-SUM($N332:V332),('PTRM input'!$N$162*(1+rvanilla08)^0.5)/A20stdlife))</f>
        <v>0</v>
      </c>
      <c r="X332" s="107">
        <f>IF(A20stdlife="n/a","n/a",IF(X$3&gt;(A20stdlife+$E332),('PTRM input'!$N$162*(1+rvanilla08)^0.5)-SUM($N332:W332),('PTRM input'!$N$162*(1+rvanilla08)^0.5)/A20stdlife))</f>
        <v>0</v>
      </c>
      <c r="Y332" s="107">
        <f>IF(A20stdlife="n/a","n/a",IF(Y$3&gt;(A20stdlife+$E332),('PTRM input'!$N$162*(1+rvanilla08)^0.5)-SUM($N332:X332),('PTRM input'!$N$162*(1+rvanilla08)^0.5)/A20stdlife))</f>
        <v>0</v>
      </c>
      <c r="Z332" s="107">
        <f>IF(A20stdlife="n/a","n/a",IF(Z$3&gt;(A20stdlife+$E332),('PTRM input'!$N$162*(1+rvanilla08)^0.5)-SUM($N332:Y332),('PTRM input'!$N$162*(1+rvanilla08)^0.5)/A20stdlife))</f>
        <v>0</v>
      </c>
      <c r="AA332" s="107">
        <f>IF(A20stdlife="n/a","n/a",IF(AA$3&gt;(A20stdlife+$E332),('PTRM input'!$N$162*(1+rvanilla08)^0.5)-SUM($N332:Z332),('PTRM input'!$N$162*(1+rvanilla08)^0.5)/A20stdlife))</f>
        <v>0</v>
      </c>
      <c r="AB332" s="107">
        <f>IF(A20stdlife="n/a","n/a",IF(AB$3&gt;(A20stdlife+$E332),('PTRM input'!$N$162*(1+rvanilla08)^0.5)-SUM($N332:AA332),('PTRM input'!$N$162*(1+rvanilla08)^0.5)/A20stdlife))</f>
        <v>0</v>
      </c>
      <c r="AC332" s="107">
        <f>IF(A20stdlife="n/a","n/a",IF(AC$3&gt;(A20stdlife+$E332),('PTRM input'!$N$162*(1+rvanilla08)^0.5)-SUM($N332:AB332),('PTRM input'!$N$162*(1+rvanilla08)^0.5)/A20stdlife))</f>
        <v>0</v>
      </c>
      <c r="AD332" s="107">
        <f>IF(A20stdlife="n/a","n/a",IF(AD$3&gt;(A20stdlife+$E332),('PTRM input'!$N$162*(1+rvanilla08)^0.5)-SUM($N332:AC332),('PTRM input'!$N$162*(1+rvanilla08)^0.5)/A20stdlife))</f>
        <v>0</v>
      </c>
      <c r="AE332" s="107">
        <f>IF(A20stdlife="n/a","n/a",IF(AE$3&gt;(A20stdlife+$E332),('PTRM input'!$N$162*(1+rvanilla08)^0.5)-SUM($N332:AD332),('PTRM input'!$N$162*(1+rvanilla08)^0.5)/A20stdlife))</f>
        <v>0</v>
      </c>
      <c r="AF332" s="107">
        <f>IF(A20stdlife="n/a","n/a",IF(AF$3&gt;(A20stdlife+$E332),('PTRM input'!$N$162*(1+rvanilla08)^0.5)-SUM($N332:AE332),('PTRM input'!$N$162*(1+rvanilla08)^0.5)/A20stdlife))</f>
        <v>0</v>
      </c>
      <c r="AG332" s="107">
        <f>IF(A20stdlife="n/a","n/a",IF(AG$3&gt;(A20stdlife+$E332),('PTRM input'!$N$162*(1+rvanilla08)^0.5)-SUM($N332:AF332),('PTRM input'!$N$162*(1+rvanilla08)^0.5)/A20stdlife))</f>
        <v>0</v>
      </c>
      <c r="AH332" s="107">
        <f>IF(A20stdlife="n/a","n/a",IF(AH$3&gt;(A20stdlife+$E332),('PTRM input'!$N$162*(1+rvanilla08)^0.5)-SUM($N332:AG332),('PTRM input'!$N$162*(1+rvanilla08)^0.5)/A20stdlife))</f>
        <v>0</v>
      </c>
      <c r="AI332" s="107">
        <f>IF(A20stdlife="n/a","n/a",IF(AI$3&gt;(A20stdlife+$E332),('PTRM input'!$N$162*(1+rvanilla08)^0.5)-SUM($N332:AH332),('PTRM input'!$N$162*(1+rvanilla08)^0.5)/A20stdlife))</f>
        <v>0</v>
      </c>
      <c r="AJ332" s="107">
        <f>IF(A20stdlife="n/a","n/a",IF(AJ$3&gt;(A20stdlife+$E332),('PTRM input'!$N$162*(1+rvanilla08)^0.5)-SUM($N332:AI332),('PTRM input'!$N$162*(1+rvanilla08)^0.5)/A20stdlife))</f>
        <v>0</v>
      </c>
      <c r="AK332" s="107">
        <f>IF(A20stdlife="n/a","n/a",IF(AK$3&gt;(A20stdlife+$E332),('PTRM input'!$N$162*(1+rvanilla08)^0.5)-SUM($N332:AJ332),('PTRM input'!$N$162*(1+rvanilla08)^0.5)/A20stdlife))</f>
        <v>0</v>
      </c>
      <c r="AL332" s="107">
        <f>IF(A20stdlife="n/a","n/a",IF(AL$3&gt;(A20stdlife+$E332),('PTRM input'!$N$162*(1+rvanilla08)^0.5)-SUM($N332:AK332),('PTRM input'!$N$162*(1+rvanilla08)^0.5)/A20stdlife))</f>
        <v>0</v>
      </c>
      <c r="AM332" s="107">
        <f>IF(A20stdlife="n/a","n/a",IF(AM$3&gt;(A20stdlife+$E332),('PTRM input'!$N$162*(1+rvanilla08)^0.5)-SUM($N332:AL332),('PTRM input'!$N$162*(1+rvanilla08)^0.5)/A20stdlife))</f>
        <v>0</v>
      </c>
      <c r="AN332" s="107">
        <f>IF(A20stdlife="n/a","n/a",IF(AN$3&gt;(A20stdlife+$E332),('PTRM input'!$N$162*(1+rvanilla08)^0.5)-SUM($N332:AM332),('PTRM input'!$N$162*(1+rvanilla08)^0.5)/A20stdlife))</f>
        <v>0</v>
      </c>
      <c r="AO332" s="107">
        <f>IF(A20stdlife="n/a","n/a",IF(AO$3&gt;(A20stdlife+$E332),('PTRM input'!$N$162*(1+rvanilla08)^0.5)-SUM($N332:AN332),('PTRM input'!$N$162*(1+rvanilla08)^0.5)/A20stdlife))</f>
        <v>0</v>
      </c>
      <c r="AP332" s="107">
        <f>IF(A20stdlife="n/a","n/a",IF(AP$3&gt;(A20stdlife+$E332),('PTRM input'!$N$162*(1+rvanilla08)^0.5)-SUM($N332:AO332),('PTRM input'!$N$162*(1+rvanilla08)^0.5)/A20stdlife))</f>
        <v>0</v>
      </c>
      <c r="AQ332" s="107">
        <f>IF(A20stdlife="n/a","n/a",IF(AQ$3&gt;(A20stdlife+$E332),('PTRM input'!$N$162*(1+rvanilla08)^0.5)-SUM($N332:AP332),('PTRM input'!$N$162*(1+rvanilla08)^0.5)/A20stdlife))</f>
        <v>0</v>
      </c>
      <c r="AR332" s="107">
        <f>IF(A20stdlife="n/a","n/a",IF(AR$3&gt;(A20stdlife+$E332),('PTRM input'!$N$162*(1+rvanilla08)^0.5)-SUM($N332:AQ332),('PTRM input'!$N$162*(1+rvanilla08)^0.5)/A20stdlife))</f>
        <v>0</v>
      </c>
      <c r="AS332" s="107">
        <f>IF(A20stdlife="n/a","n/a",IF(AS$3&gt;(A20stdlife+$E332),('PTRM input'!$N$162*(1+rvanilla08)^0.5)-SUM($N332:AR332),('PTRM input'!$N$162*(1+rvanilla08)^0.5)/A20stdlife))</f>
        <v>0</v>
      </c>
      <c r="AT332" s="107">
        <f>IF(A20stdlife="n/a","n/a",IF(AT$3&gt;(A20stdlife+$E332),('PTRM input'!$N$162*(1+rvanilla08)^0.5)-SUM($N332:AS332),('PTRM input'!$N$162*(1+rvanilla08)^0.5)/A20stdlife))</f>
        <v>0</v>
      </c>
      <c r="AU332" s="107">
        <f>IF(A20stdlife="n/a","n/a",IF(AU$3&gt;(A20stdlife+$E332),('PTRM input'!$N$162*(1+rvanilla08)^0.5)-SUM($N332:AT332),('PTRM input'!$N$162*(1+rvanilla08)^0.5)/A20stdlife))</f>
        <v>0</v>
      </c>
      <c r="AV332" s="107">
        <f>IF(A20stdlife="n/a","n/a",IF(AV$3&gt;(A20stdlife+$E332),('PTRM input'!$N$162*(1+rvanilla08)^0.5)-SUM($N332:AU332),('PTRM input'!$N$162*(1+rvanilla08)^0.5)/A20stdlife))</f>
        <v>0</v>
      </c>
      <c r="AW332" s="107">
        <f>IF(A20stdlife="n/a","n/a",IF(AW$3&gt;(A20stdlife+$E332),('PTRM input'!$N$162*(1+rvanilla08)^0.5)-SUM($N332:AV332),('PTRM input'!$N$162*(1+rvanilla08)^0.5)/A20stdlife))</f>
        <v>0</v>
      </c>
      <c r="AX332" s="107">
        <f>IF(A20stdlife="n/a","n/a",IF(AX$3&gt;(A20stdlife+$E332),('PTRM input'!$N$162*(1+rvanilla08)^0.5)-SUM($N332:AW332),('PTRM input'!$N$162*(1+rvanilla08)^0.5)/A20stdlife))</f>
        <v>0</v>
      </c>
      <c r="AY332" s="107">
        <f>IF(A20stdlife="n/a","n/a",IF(AY$3&gt;(A20stdlife+$E332),('PTRM input'!$N$162*(1+rvanilla08)^0.5)-SUM($N332:AX332),('PTRM input'!$N$162*(1+rvanilla08)^0.5)/A20stdlife))</f>
        <v>0</v>
      </c>
      <c r="AZ332" s="107">
        <f>IF(A20stdlife="n/a","n/a",IF(AZ$3&gt;(A20stdlife+$E332),('PTRM input'!$N$162*(1+rvanilla08)^0.5)-SUM($N332:AY332),('PTRM input'!$N$162*(1+rvanilla08)^0.5)/A20stdlife))</f>
        <v>0</v>
      </c>
      <c r="BA332" s="107">
        <f>IF(A20stdlife="n/a","n/a",IF(BA$3&gt;(A20stdlife+$E332),('PTRM input'!$N$162*(1+rvanilla08)^0.5)-SUM($N332:AZ332),('PTRM input'!$N$162*(1+rvanilla08)^0.5)/A20stdlife))</f>
        <v>0</v>
      </c>
      <c r="BB332" s="107">
        <f>IF(A20stdlife="n/a","n/a",IF(BB$3&gt;(A20stdlife+$E332),('PTRM input'!$N$162*(1+rvanilla08)^0.5)-SUM($N332:BA332),('PTRM input'!$N$162*(1+rvanilla08)^0.5)/A20stdlife))</f>
        <v>0</v>
      </c>
      <c r="BC332" s="107">
        <f>IF(A20stdlife="n/a","n/a",IF(BC$3&gt;(A20stdlife+$E332),('PTRM input'!$N$162*(1+rvanilla08)^0.5)-SUM($N332:BB332),('PTRM input'!$N$162*(1+rvanilla08)^0.5)/A20stdlife))</f>
        <v>0</v>
      </c>
      <c r="BD332" s="107">
        <f>IF(A20stdlife="n/a","n/a",IF(BD$3&gt;(A20stdlife+$E332),('PTRM input'!$N$162*(1+rvanilla08)^0.5)-SUM($N332:BC332),('PTRM input'!$N$162*(1+rvanilla08)^0.5)/A20stdlife))</f>
        <v>0</v>
      </c>
      <c r="BE332" s="107">
        <f>IF(A20stdlife="n/a","n/a",IF(BE$3&gt;(A20stdlife+$E332),('PTRM input'!$N$162*(1+rvanilla08)^0.5)-SUM($N332:BD332),('PTRM input'!$N$162*(1+rvanilla08)^0.5)/A20stdlife))</f>
        <v>0</v>
      </c>
      <c r="BF332" s="107">
        <f>IF(A20stdlife="n/a","n/a",IF(BF$3&gt;(A20stdlife+$E332),('PTRM input'!$N$162*(1+rvanilla08)^0.5)-SUM($N332:BE332),('PTRM input'!$N$162*(1+rvanilla08)^0.5)/A20stdlife))</f>
        <v>0</v>
      </c>
      <c r="BG332" s="107">
        <f>IF(A20stdlife="n/a","n/a",IF(BG$3&gt;(A20stdlife+$E332),('PTRM input'!$N$162*(1+rvanilla08)^0.5)-SUM($N332:BF332),('PTRM input'!$N$162*(1+rvanilla08)^0.5)/A20stdlife))</f>
        <v>0</v>
      </c>
      <c r="BH332" s="107">
        <f>IF(A20stdlife="n/a","n/a",IF(BH$3&gt;(A20stdlife+$E332),('PTRM input'!$N$162*(1+rvanilla08)^0.5)-SUM($N332:BG332),('PTRM input'!$N$162*(1+rvanilla08)^0.5)/A20stdlife))</f>
        <v>0</v>
      </c>
      <c r="BI332" s="107">
        <f>IF(A20stdlife="n/a","n/a",IF(BI$3&gt;(A20stdlife+$E332),('PTRM input'!$N$162*(1+rvanilla08)^0.5)-SUM($N332:BH332),('PTRM input'!$N$162*(1+rvanilla08)^0.5)/A20stdlife))</f>
        <v>0</v>
      </c>
      <c r="BJ332" s="237"/>
      <c r="BK332" s="237"/>
      <c r="BL332" s="237"/>
      <c r="BM332" s="237"/>
    </row>
    <row r="333" spans="1:65" s="190" customFormat="1" hidden="1" outlineLevel="2">
      <c r="A333" s="237"/>
      <c r="B333" s="33"/>
      <c r="C333" s="32"/>
      <c r="D333" s="1618"/>
      <c r="E333" s="169">
        <v>9</v>
      </c>
      <c r="F333" s="35"/>
      <c r="G333" s="184"/>
      <c r="H333" s="186"/>
      <c r="I333" s="186"/>
      <c r="J333" s="186"/>
      <c r="K333" s="186"/>
      <c r="L333" s="186"/>
      <c r="M333" s="186"/>
      <c r="N333" s="186"/>
      <c r="O333" s="185"/>
      <c r="P333" s="107">
        <f>IF(A20stdlife="n/a","n/a",IF(P$3&gt;(A20stdlife+$E333),('PTRM input'!$O$162*(1+rvanilla09)^0.5)-SUM($O333:O333),('PTRM input'!$O$162*(1+rvanilla09)^0.5)/A20stdlife))</f>
        <v>0</v>
      </c>
      <c r="Q333" s="107">
        <f>IF(A20stdlife="n/a","n/a",IF(Q$3&gt;(A20stdlife+$E333),('PTRM input'!$O$162*(1+rvanilla09)^0.5)-SUM($O333:P333),('PTRM input'!$O$162*(1+rvanilla09)^0.5)/A20stdlife))</f>
        <v>0</v>
      </c>
      <c r="R333" s="107">
        <f>IF(A20stdlife="n/a","n/a",IF(R$3&gt;(A20stdlife+$E333),('PTRM input'!$O$162*(1+rvanilla09)^0.5)-SUM($O333:Q333),('PTRM input'!$O$162*(1+rvanilla09)^0.5)/A20stdlife))</f>
        <v>0</v>
      </c>
      <c r="S333" s="107">
        <f>IF(A20stdlife="n/a","n/a",IF(S$3&gt;(A20stdlife+$E333),('PTRM input'!$O$162*(1+rvanilla09)^0.5)-SUM($O333:R333),('PTRM input'!$O$162*(1+rvanilla09)^0.5)/A20stdlife))</f>
        <v>0</v>
      </c>
      <c r="T333" s="107">
        <f>IF(A20stdlife="n/a","n/a",IF(T$3&gt;(A20stdlife+$E333),('PTRM input'!$O$162*(1+rvanilla09)^0.5)-SUM($O333:S333),('PTRM input'!$O$162*(1+rvanilla09)^0.5)/A20stdlife))</f>
        <v>0</v>
      </c>
      <c r="U333" s="107">
        <f>IF(A20stdlife="n/a","n/a",IF(U$3&gt;(A20stdlife+$E333),('PTRM input'!$O$162*(1+rvanilla09)^0.5)-SUM($O333:T333),('PTRM input'!$O$162*(1+rvanilla09)^0.5)/A20stdlife))</f>
        <v>0</v>
      </c>
      <c r="V333" s="107">
        <f>IF(A20stdlife="n/a","n/a",IF(V$3&gt;(A20stdlife+$E333),('PTRM input'!$O$162*(1+rvanilla09)^0.5)-SUM($O333:U333),('PTRM input'!$O$162*(1+rvanilla09)^0.5)/A20stdlife))</f>
        <v>0</v>
      </c>
      <c r="W333" s="107">
        <f>IF(A20stdlife="n/a","n/a",IF(W$3&gt;(A20stdlife+$E333),('PTRM input'!$O$162*(1+rvanilla09)^0.5)-SUM($O333:V333),('PTRM input'!$O$162*(1+rvanilla09)^0.5)/A20stdlife))</f>
        <v>0</v>
      </c>
      <c r="X333" s="107">
        <f>IF(A20stdlife="n/a","n/a",IF(X$3&gt;(A20stdlife+$E333),('PTRM input'!$O$162*(1+rvanilla09)^0.5)-SUM($O333:W333),('PTRM input'!$O$162*(1+rvanilla09)^0.5)/A20stdlife))</f>
        <v>0</v>
      </c>
      <c r="Y333" s="107">
        <f>IF(A20stdlife="n/a","n/a",IF(Y$3&gt;(A20stdlife+$E333),('PTRM input'!$O$162*(1+rvanilla09)^0.5)-SUM($O333:X333),('PTRM input'!$O$162*(1+rvanilla09)^0.5)/A20stdlife))</f>
        <v>0</v>
      </c>
      <c r="Z333" s="107">
        <f>IF(A20stdlife="n/a","n/a",IF(Z$3&gt;(A20stdlife+$E333),('PTRM input'!$O$162*(1+rvanilla09)^0.5)-SUM($O333:Y333),('PTRM input'!$O$162*(1+rvanilla09)^0.5)/A20stdlife))</f>
        <v>0</v>
      </c>
      <c r="AA333" s="107">
        <f>IF(A20stdlife="n/a","n/a",IF(AA$3&gt;(A20stdlife+$E333),('PTRM input'!$O$162*(1+rvanilla09)^0.5)-SUM($O333:Z333),('PTRM input'!$O$162*(1+rvanilla09)^0.5)/A20stdlife))</f>
        <v>0</v>
      </c>
      <c r="AB333" s="107">
        <f>IF(A20stdlife="n/a","n/a",IF(AB$3&gt;(A20stdlife+$E333),('PTRM input'!$O$162*(1+rvanilla09)^0.5)-SUM($O333:AA333),('PTRM input'!$O$162*(1+rvanilla09)^0.5)/A20stdlife))</f>
        <v>0</v>
      </c>
      <c r="AC333" s="107">
        <f>IF(A20stdlife="n/a","n/a",IF(AC$3&gt;(A20stdlife+$E333),('PTRM input'!$O$162*(1+rvanilla09)^0.5)-SUM($O333:AB333),('PTRM input'!$O$162*(1+rvanilla09)^0.5)/A20stdlife))</f>
        <v>0</v>
      </c>
      <c r="AD333" s="107">
        <f>IF(A20stdlife="n/a","n/a",IF(AD$3&gt;(A20stdlife+$E333),('PTRM input'!$O$162*(1+rvanilla09)^0.5)-SUM($O333:AC333),('PTRM input'!$O$162*(1+rvanilla09)^0.5)/A20stdlife))</f>
        <v>0</v>
      </c>
      <c r="AE333" s="107">
        <f>IF(A20stdlife="n/a","n/a",IF(AE$3&gt;(A20stdlife+$E333),('PTRM input'!$O$162*(1+rvanilla09)^0.5)-SUM($O333:AD333),('PTRM input'!$O$162*(1+rvanilla09)^0.5)/A20stdlife))</f>
        <v>0</v>
      </c>
      <c r="AF333" s="107">
        <f>IF(A20stdlife="n/a","n/a",IF(AF$3&gt;(A20stdlife+$E333),('PTRM input'!$O$162*(1+rvanilla09)^0.5)-SUM($O333:AE333),('PTRM input'!$O$162*(1+rvanilla09)^0.5)/A20stdlife))</f>
        <v>0</v>
      </c>
      <c r="AG333" s="107">
        <f>IF(A20stdlife="n/a","n/a",IF(AG$3&gt;(A20stdlife+$E333),('PTRM input'!$O$162*(1+rvanilla09)^0.5)-SUM($O333:AF333),('PTRM input'!$O$162*(1+rvanilla09)^0.5)/A20stdlife))</f>
        <v>0</v>
      </c>
      <c r="AH333" s="107">
        <f>IF(A20stdlife="n/a","n/a",IF(AH$3&gt;(A20stdlife+$E333),('PTRM input'!$O$162*(1+rvanilla09)^0.5)-SUM($O333:AG333),('PTRM input'!$O$162*(1+rvanilla09)^0.5)/A20stdlife))</f>
        <v>0</v>
      </c>
      <c r="AI333" s="107">
        <f>IF(A20stdlife="n/a","n/a",IF(AI$3&gt;(A20stdlife+$E333),('PTRM input'!$O$162*(1+rvanilla09)^0.5)-SUM($O333:AH333),('PTRM input'!$O$162*(1+rvanilla09)^0.5)/A20stdlife))</f>
        <v>0</v>
      </c>
      <c r="AJ333" s="107">
        <f>IF(A20stdlife="n/a","n/a",IF(AJ$3&gt;(A20stdlife+$E333),('PTRM input'!$O$162*(1+rvanilla09)^0.5)-SUM($O333:AI333),('PTRM input'!$O$162*(1+rvanilla09)^0.5)/A20stdlife))</f>
        <v>0</v>
      </c>
      <c r="AK333" s="107">
        <f>IF(A20stdlife="n/a","n/a",IF(AK$3&gt;(A20stdlife+$E333),('PTRM input'!$O$162*(1+rvanilla09)^0.5)-SUM($O333:AJ333),('PTRM input'!$O$162*(1+rvanilla09)^0.5)/A20stdlife))</f>
        <v>0</v>
      </c>
      <c r="AL333" s="107">
        <f>IF(A20stdlife="n/a","n/a",IF(AL$3&gt;(A20stdlife+$E333),('PTRM input'!$O$162*(1+rvanilla09)^0.5)-SUM($O333:AK333),('PTRM input'!$O$162*(1+rvanilla09)^0.5)/A20stdlife))</f>
        <v>0</v>
      </c>
      <c r="AM333" s="107">
        <f>IF(A20stdlife="n/a","n/a",IF(AM$3&gt;(A20stdlife+$E333),('PTRM input'!$O$162*(1+rvanilla09)^0.5)-SUM($O333:AL333),('PTRM input'!$O$162*(1+rvanilla09)^0.5)/A20stdlife))</f>
        <v>0</v>
      </c>
      <c r="AN333" s="107">
        <f>IF(A20stdlife="n/a","n/a",IF(AN$3&gt;(A20stdlife+$E333),('PTRM input'!$O$162*(1+rvanilla09)^0.5)-SUM($O333:AM333),('PTRM input'!$O$162*(1+rvanilla09)^0.5)/A20stdlife))</f>
        <v>0</v>
      </c>
      <c r="AO333" s="107">
        <f>IF(A20stdlife="n/a","n/a",IF(AO$3&gt;(A20stdlife+$E333),('PTRM input'!$O$162*(1+rvanilla09)^0.5)-SUM($O333:AN333),('PTRM input'!$O$162*(1+rvanilla09)^0.5)/A20stdlife))</f>
        <v>0</v>
      </c>
      <c r="AP333" s="107">
        <f>IF(A20stdlife="n/a","n/a",IF(AP$3&gt;(A20stdlife+$E333),('PTRM input'!$O$162*(1+rvanilla09)^0.5)-SUM($O333:AO333),('PTRM input'!$O$162*(1+rvanilla09)^0.5)/A20stdlife))</f>
        <v>0</v>
      </c>
      <c r="AQ333" s="107">
        <f>IF(A20stdlife="n/a","n/a",IF(AQ$3&gt;(A20stdlife+$E333),('PTRM input'!$O$162*(1+rvanilla09)^0.5)-SUM($O333:AP333),('PTRM input'!$O$162*(1+rvanilla09)^0.5)/A20stdlife))</f>
        <v>0</v>
      </c>
      <c r="AR333" s="107">
        <f>IF(A20stdlife="n/a","n/a",IF(AR$3&gt;(A20stdlife+$E333),('PTRM input'!$O$162*(1+rvanilla09)^0.5)-SUM($O333:AQ333),('PTRM input'!$O$162*(1+rvanilla09)^0.5)/A20stdlife))</f>
        <v>0</v>
      </c>
      <c r="AS333" s="107">
        <f>IF(A20stdlife="n/a","n/a",IF(AS$3&gt;(A20stdlife+$E333),('PTRM input'!$O$162*(1+rvanilla09)^0.5)-SUM($O333:AR333),('PTRM input'!$O$162*(1+rvanilla09)^0.5)/A20stdlife))</f>
        <v>0</v>
      </c>
      <c r="AT333" s="107">
        <f>IF(A20stdlife="n/a","n/a",IF(AT$3&gt;(A20stdlife+$E333),('PTRM input'!$O$162*(1+rvanilla09)^0.5)-SUM($O333:AS333),('PTRM input'!$O$162*(1+rvanilla09)^0.5)/A20stdlife))</f>
        <v>0</v>
      </c>
      <c r="AU333" s="107">
        <f>IF(A20stdlife="n/a","n/a",IF(AU$3&gt;(A20stdlife+$E333),('PTRM input'!$O$162*(1+rvanilla09)^0.5)-SUM($O333:AT333),('PTRM input'!$O$162*(1+rvanilla09)^0.5)/A20stdlife))</f>
        <v>0</v>
      </c>
      <c r="AV333" s="107">
        <f>IF(A20stdlife="n/a","n/a",IF(AV$3&gt;(A20stdlife+$E333),('PTRM input'!$O$162*(1+rvanilla09)^0.5)-SUM($O333:AU333),('PTRM input'!$O$162*(1+rvanilla09)^0.5)/A20stdlife))</f>
        <v>0</v>
      </c>
      <c r="AW333" s="107">
        <f>IF(A20stdlife="n/a","n/a",IF(AW$3&gt;(A20stdlife+$E333),('PTRM input'!$O$162*(1+rvanilla09)^0.5)-SUM($O333:AV333),('PTRM input'!$O$162*(1+rvanilla09)^0.5)/A20stdlife))</f>
        <v>0</v>
      </c>
      <c r="AX333" s="107">
        <f>IF(A20stdlife="n/a","n/a",IF(AX$3&gt;(A20stdlife+$E333),('PTRM input'!$O$162*(1+rvanilla09)^0.5)-SUM($O333:AW333),('PTRM input'!$O$162*(1+rvanilla09)^0.5)/A20stdlife))</f>
        <v>0</v>
      </c>
      <c r="AY333" s="107">
        <f>IF(A20stdlife="n/a","n/a",IF(AY$3&gt;(A20stdlife+$E333),('PTRM input'!$O$162*(1+rvanilla09)^0.5)-SUM($O333:AX333),('PTRM input'!$O$162*(1+rvanilla09)^0.5)/A20stdlife))</f>
        <v>0</v>
      </c>
      <c r="AZ333" s="107">
        <f>IF(A20stdlife="n/a","n/a",IF(AZ$3&gt;(A20stdlife+$E333),('PTRM input'!$O$162*(1+rvanilla09)^0.5)-SUM($O333:AY333),('PTRM input'!$O$162*(1+rvanilla09)^0.5)/A20stdlife))</f>
        <v>0</v>
      </c>
      <c r="BA333" s="107">
        <f>IF(A20stdlife="n/a","n/a",IF(BA$3&gt;(A20stdlife+$E333),('PTRM input'!$O$162*(1+rvanilla09)^0.5)-SUM($O333:AZ333),('PTRM input'!$O$162*(1+rvanilla09)^0.5)/A20stdlife))</f>
        <v>0</v>
      </c>
      <c r="BB333" s="107">
        <f>IF(A20stdlife="n/a","n/a",IF(BB$3&gt;(A20stdlife+$E333),('PTRM input'!$O$162*(1+rvanilla09)^0.5)-SUM($O333:BA333),('PTRM input'!$O$162*(1+rvanilla09)^0.5)/A20stdlife))</f>
        <v>0</v>
      </c>
      <c r="BC333" s="107">
        <f>IF(A20stdlife="n/a","n/a",IF(BC$3&gt;(A20stdlife+$E333),('PTRM input'!$O$162*(1+rvanilla09)^0.5)-SUM($O333:BB333),('PTRM input'!$O$162*(1+rvanilla09)^0.5)/A20stdlife))</f>
        <v>0</v>
      </c>
      <c r="BD333" s="107">
        <f>IF(A20stdlife="n/a","n/a",IF(BD$3&gt;(A20stdlife+$E333),('PTRM input'!$O$162*(1+rvanilla09)^0.5)-SUM($O333:BC333),('PTRM input'!$O$162*(1+rvanilla09)^0.5)/A20stdlife))</f>
        <v>0</v>
      </c>
      <c r="BE333" s="107">
        <f>IF(A20stdlife="n/a","n/a",IF(BE$3&gt;(A20stdlife+$E333),('PTRM input'!$O$162*(1+rvanilla09)^0.5)-SUM($O333:BD333),('PTRM input'!$O$162*(1+rvanilla09)^0.5)/A20stdlife))</f>
        <v>0</v>
      </c>
      <c r="BF333" s="107">
        <f>IF(A20stdlife="n/a","n/a",IF(BF$3&gt;(A20stdlife+$E333),('PTRM input'!$O$162*(1+rvanilla09)^0.5)-SUM($O333:BE333),('PTRM input'!$O$162*(1+rvanilla09)^0.5)/A20stdlife))</f>
        <v>0</v>
      </c>
      <c r="BG333" s="107">
        <f>IF(A20stdlife="n/a","n/a",IF(BG$3&gt;(A20stdlife+$E333),('PTRM input'!$O$162*(1+rvanilla09)^0.5)-SUM($O333:BF333),('PTRM input'!$O$162*(1+rvanilla09)^0.5)/A20stdlife))</f>
        <v>0</v>
      </c>
      <c r="BH333" s="107">
        <f>IF(A20stdlife="n/a","n/a",IF(BH$3&gt;(A20stdlife+$E333),('PTRM input'!$O$162*(1+rvanilla09)^0.5)-SUM($O333:BG333),('PTRM input'!$O$162*(1+rvanilla09)^0.5)/A20stdlife))</f>
        <v>0</v>
      </c>
      <c r="BI333" s="107">
        <f>IF(A20stdlife="n/a","n/a",IF(BI$3&gt;(A20stdlife+$E333),('PTRM input'!$O$162*(1+rvanilla09)^0.5)-SUM($O333:BH333),('PTRM input'!$O$162*(1+rvanilla09)^0.5)/A20stdlife))</f>
        <v>0</v>
      </c>
      <c r="BJ333" s="237"/>
      <c r="BK333" s="237"/>
      <c r="BL333" s="237"/>
      <c r="BM333" s="237"/>
    </row>
    <row r="334" spans="1:65" s="190" customFormat="1" hidden="1" outlineLevel="2">
      <c r="A334" s="237"/>
      <c r="B334" s="33"/>
      <c r="C334" s="32"/>
      <c r="D334" s="1618"/>
      <c r="E334" s="170">
        <v>10</v>
      </c>
      <c r="F334" s="35"/>
      <c r="G334" s="184"/>
      <c r="H334" s="186"/>
      <c r="I334" s="186"/>
      <c r="J334" s="186"/>
      <c r="K334" s="186"/>
      <c r="L334" s="186"/>
      <c r="M334" s="186"/>
      <c r="N334" s="186"/>
      <c r="O334" s="186"/>
      <c r="P334" s="185"/>
      <c r="Q334" s="107">
        <f>IF(A20stdlife="n/a","n/a",IF(Q$3&gt;(A20stdlife+$E334),('PTRM input'!$P$162*(1+rvanilla10)^0.5)-SUM($P334:P334),('PTRM input'!$P$162*(1+rvanilla10)^0.5)/A20stdlife))</f>
        <v>0</v>
      </c>
      <c r="R334" s="107">
        <f>IF(A20stdlife="n/a","n/a",IF(R$3&gt;(A20stdlife+$E334),('PTRM input'!$P$162*(1+rvanilla10)^0.5)-SUM($P334:Q334),('PTRM input'!$P$162*(1+rvanilla10)^0.5)/A20stdlife))</f>
        <v>0</v>
      </c>
      <c r="S334" s="107">
        <f>IF(A20stdlife="n/a","n/a",IF(S$3&gt;(A20stdlife+$E334),('PTRM input'!$P$162*(1+rvanilla10)^0.5)-SUM($P334:R334),('PTRM input'!$P$162*(1+rvanilla10)^0.5)/A20stdlife))</f>
        <v>0</v>
      </c>
      <c r="T334" s="107">
        <f>IF(A20stdlife="n/a","n/a",IF(T$3&gt;(A20stdlife+$E334),('PTRM input'!$P$162*(1+rvanilla10)^0.5)-SUM($P334:S334),('PTRM input'!$P$162*(1+rvanilla10)^0.5)/A20stdlife))</f>
        <v>0</v>
      </c>
      <c r="U334" s="107">
        <f>IF(A20stdlife="n/a","n/a",IF(U$3&gt;(A20stdlife+$E334),('PTRM input'!$P$162*(1+rvanilla10)^0.5)-SUM($P334:T334),('PTRM input'!$P$162*(1+rvanilla10)^0.5)/A20stdlife))</f>
        <v>0</v>
      </c>
      <c r="V334" s="107">
        <f>IF(A20stdlife="n/a","n/a",IF(V$3&gt;(A20stdlife+$E334),('PTRM input'!$P$162*(1+rvanilla10)^0.5)-SUM($P334:U334),('PTRM input'!$P$162*(1+rvanilla10)^0.5)/A20stdlife))</f>
        <v>0</v>
      </c>
      <c r="W334" s="107">
        <f>IF(A20stdlife="n/a","n/a",IF(W$3&gt;(A20stdlife+$E334),('PTRM input'!$P$162*(1+rvanilla10)^0.5)-SUM($P334:V334),('PTRM input'!$P$162*(1+rvanilla10)^0.5)/A20stdlife))</f>
        <v>0</v>
      </c>
      <c r="X334" s="107">
        <f>IF(A20stdlife="n/a","n/a",IF(X$3&gt;(A20stdlife+$E334),('PTRM input'!$P$162*(1+rvanilla10)^0.5)-SUM($P334:W334),('PTRM input'!$P$162*(1+rvanilla10)^0.5)/A20stdlife))</f>
        <v>0</v>
      </c>
      <c r="Y334" s="107">
        <f>IF(A20stdlife="n/a","n/a",IF(Y$3&gt;(A20stdlife+$E334),('PTRM input'!$P$162*(1+rvanilla10)^0.5)-SUM($P334:X334),('PTRM input'!$P$162*(1+rvanilla10)^0.5)/A20stdlife))</f>
        <v>0</v>
      </c>
      <c r="Z334" s="107">
        <f>IF(A20stdlife="n/a","n/a",IF(Z$3&gt;(A20stdlife+$E334),('PTRM input'!$P$162*(1+rvanilla10)^0.5)-SUM($P334:Y334),('PTRM input'!$P$162*(1+rvanilla10)^0.5)/A20stdlife))</f>
        <v>0</v>
      </c>
      <c r="AA334" s="107">
        <f>IF(A20stdlife="n/a","n/a",IF(AA$3&gt;(A20stdlife+$E334),('PTRM input'!$P$162*(1+rvanilla10)^0.5)-SUM($P334:Z334),('PTRM input'!$P$162*(1+rvanilla10)^0.5)/A20stdlife))</f>
        <v>0</v>
      </c>
      <c r="AB334" s="107">
        <f>IF(A20stdlife="n/a","n/a",IF(AB$3&gt;(A20stdlife+$E334),('PTRM input'!$P$162*(1+rvanilla10)^0.5)-SUM($P334:AA334),('PTRM input'!$P$162*(1+rvanilla10)^0.5)/A20stdlife))</f>
        <v>0</v>
      </c>
      <c r="AC334" s="107">
        <f>IF(A20stdlife="n/a","n/a",IF(AC$3&gt;(A20stdlife+$E334),('PTRM input'!$P$162*(1+rvanilla10)^0.5)-SUM($P334:AB334),('PTRM input'!$P$162*(1+rvanilla10)^0.5)/A20stdlife))</f>
        <v>0</v>
      </c>
      <c r="AD334" s="107">
        <f>IF(A20stdlife="n/a","n/a",IF(AD$3&gt;(A20stdlife+$E334),('PTRM input'!$P$162*(1+rvanilla10)^0.5)-SUM($P334:AC334),('PTRM input'!$P$162*(1+rvanilla10)^0.5)/A20stdlife))</f>
        <v>0</v>
      </c>
      <c r="AE334" s="107">
        <f>IF(A20stdlife="n/a","n/a",IF(AE$3&gt;(A20stdlife+$E334),('PTRM input'!$P$162*(1+rvanilla10)^0.5)-SUM($P334:AD334),('PTRM input'!$P$162*(1+rvanilla10)^0.5)/A20stdlife))</f>
        <v>0</v>
      </c>
      <c r="AF334" s="107">
        <f>IF(A20stdlife="n/a","n/a",IF(AF$3&gt;(A20stdlife+$E334),('PTRM input'!$P$162*(1+rvanilla10)^0.5)-SUM($P334:AE334),('PTRM input'!$P$162*(1+rvanilla10)^0.5)/A20stdlife))</f>
        <v>0</v>
      </c>
      <c r="AG334" s="107">
        <f>IF(A20stdlife="n/a","n/a",IF(AG$3&gt;(A20stdlife+$E334),('PTRM input'!$P$162*(1+rvanilla10)^0.5)-SUM($P334:AF334),('PTRM input'!$P$162*(1+rvanilla10)^0.5)/A20stdlife))</f>
        <v>0</v>
      </c>
      <c r="AH334" s="107">
        <f>IF(A20stdlife="n/a","n/a",IF(AH$3&gt;(A20stdlife+$E334),('PTRM input'!$P$162*(1+rvanilla10)^0.5)-SUM($P334:AG334),('PTRM input'!$P$162*(1+rvanilla10)^0.5)/A20stdlife))</f>
        <v>0</v>
      </c>
      <c r="AI334" s="107">
        <f>IF(A20stdlife="n/a","n/a",IF(AI$3&gt;(A20stdlife+$E334),('PTRM input'!$P$162*(1+rvanilla10)^0.5)-SUM($P334:AH334),('PTRM input'!$P$162*(1+rvanilla10)^0.5)/A20stdlife))</f>
        <v>0</v>
      </c>
      <c r="AJ334" s="107">
        <f>IF(A20stdlife="n/a","n/a",IF(AJ$3&gt;(A20stdlife+$E334),('PTRM input'!$P$162*(1+rvanilla10)^0.5)-SUM($P334:AI334),('PTRM input'!$P$162*(1+rvanilla10)^0.5)/A20stdlife))</f>
        <v>0</v>
      </c>
      <c r="AK334" s="107">
        <f>IF(A20stdlife="n/a","n/a",IF(AK$3&gt;(A20stdlife+$E334),('PTRM input'!$P$162*(1+rvanilla10)^0.5)-SUM($P334:AJ334),('PTRM input'!$P$162*(1+rvanilla10)^0.5)/A20stdlife))</f>
        <v>0</v>
      </c>
      <c r="AL334" s="107">
        <f>IF(A20stdlife="n/a","n/a",IF(AL$3&gt;(A20stdlife+$E334),('PTRM input'!$P$162*(1+rvanilla10)^0.5)-SUM($P334:AK334),('PTRM input'!$P$162*(1+rvanilla10)^0.5)/A20stdlife))</f>
        <v>0</v>
      </c>
      <c r="AM334" s="107">
        <f>IF(A20stdlife="n/a","n/a",IF(AM$3&gt;(A20stdlife+$E334),('PTRM input'!$P$162*(1+rvanilla10)^0.5)-SUM($P334:AL334),('PTRM input'!$P$162*(1+rvanilla10)^0.5)/A20stdlife))</f>
        <v>0</v>
      </c>
      <c r="AN334" s="107">
        <f>IF(A20stdlife="n/a","n/a",IF(AN$3&gt;(A20stdlife+$E334),('PTRM input'!$P$162*(1+rvanilla10)^0.5)-SUM($P334:AM334),('PTRM input'!$P$162*(1+rvanilla10)^0.5)/A20stdlife))</f>
        <v>0</v>
      </c>
      <c r="AO334" s="107">
        <f>IF(A20stdlife="n/a","n/a",IF(AO$3&gt;(A20stdlife+$E334),('PTRM input'!$P$162*(1+rvanilla10)^0.5)-SUM($P334:AN334),('PTRM input'!$P$162*(1+rvanilla10)^0.5)/A20stdlife))</f>
        <v>0</v>
      </c>
      <c r="AP334" s="107">
        <f>IF(A20stdlife="n/a","n/a",IF(AP$3&gt;(A20stdlife+$E334),('PTRM input'!$P$162*(1+rvanilla10)^0.5)-SUM($P334:AO334),('PTRM input'!$P$162*(1+rvanilla10)^0.5)/A20stdlife))</f>
        <v>0</v>
      </c>
      <c r="AQ334" s="107">
        <f>IF(A20stdlife="n/a","n/a",IF(AQ$3&gt;(A20stdlife+$E334),('PTRM input'!$P$162*(1+rvanilla10)^0.5)-SUM($P334:AP334),('PTRM input'!$P$162*(1+rvanilla10)^0.5)/A20stdlife))</f>
        <v>0</v>
      </c>
      <c r="AR334" s="107">
        <f>IF(A20stdlife="n/a","n/a",IF(AR$3&gt;(A20stdlife+$E334),('PTRM input'!$P$162*(1+rvanilla10)^0.5)-SUM($P334:AQ334),('PTRM input'!$P$162*(1+rvanilla10)^0.5)/A20stdlife))</f>
        <v>0</v>
      </c>
      <c r="AS334" s="107">
        <f>IF(A20stdlife="n/a","n/a",IF(AS$3&gt;(A20stdlife+$E334),('PTRM input'!$P$162*(1+rvanilla10)^0.5)-SUM($P334:AR334),('PTRM input'!$P$162*(1+rvanilla10)^0.5)/A20stdlife))</f>
        <v>0</v>
      </c>
      <c r="AT334" s="107">
        <f>IF(A20stdlife="n/a","n/a",IF(AT$3&gt;(A20stdlife+$E334),('PTRM input'!$P$162*(1+rvanilla10)^0.5)-SUM($P334:AS334),('PTRM input'!$P$162*(1+rvanilla10)^0.5)/A20stdlife))</f>
        <v>0</v>
      </c>
      <c r="AU334" s="107">
        <f>IF(A20stdlife="n/a","n/a",IF(AU$3&gt;(A20stdlife+$E334),('PTRM input'!$P$162*(1+rvanilla10)^0.5)-SUM($P334:AT334),('PTRM input'!$P$162*(1+rvanilla10)^0.5)/A20stdlife))</f>
        <v>0</v>
      </c>
      <c r="AV334" s="107">
        <f>IF(A20stdlife="n/a","n/a",IF(AV$3&gt;(A20stdlife+$E334),('PTRM input'!$P$162*(1+rvanilla10)^0.5)-SUM($P334:AU334),('PTRM input'!$P$162*(1+rvanilla10)^0.5)/A20stdlife))</f>
        <v>0</v>
      </c>
      <c r="AW334" s="107">
        <f>IF(A20stdlife="n/a","n/a",IF(AW$3&gt;(A20stdlife+$E334),('PTRM input'!$P$162*(1+rvanilla10)^0.5)-SUM($P334:AV334),('PTRM input'!$P$162*(1+rvanilla10)^0.5)/A20stdlife))</f>
        <v>0</v>
      </c>
      <c r="AX334" s="107">
        <f>IF(A20stdlife="n/a","n/a",IF(AX$3&gt;(A20stdlife+$E334),('PTRM input'!$P$162*(1+rvanilla10)^0.5)-SUM($P334:AW334),('PTRM input'!$P$162*(1+rvanilla10)^0.5)/A20stdlife))</f>
        <v>0</v>
      </c>
      <c r="AY334" s="107">
        <f>IF(A20stdlife="n/a","n/a",IF(AY$3&gt;(A20stdlife+$E334),('PTRM input'!$P$162*(1+rvanilla10)^0.5)-SUM($P334:AX334),('PTRM input'!$P$162*(1+rvanilla10)^0.5)/A20stdlife))</f>
        <v>0</v>
      </c>
      <c r="AZ334" s="107">
        <f>IF(A20stdlife="n/a","n/a",IF(AZ$3&gt;(A20stdlife+$E334),('PTRM input'!$P$162*(1+rvanilla10)^0.5)-SUM($P334:AY334),('PTRM input'!$P$162*(1+rvanilla10)^0.5)/A20stdlife))</f>
        <v>0</v>
      </c>
      <c r="BA334" s="107">
        <f>IF(A20stdlife="n/a","n/a",IF(BA$3&gt;(A20stdlife+$E334),('PTRM input'!$P$162*(1+rvanilla10)^0.5)-SUM($P334:AZ334),('PTRM input'!$P$162*(1+rvanilla10)^0.5)/A20stdlife))</f>
        <v>0</v>
      </c>
      <c r="BB334" s="107">
        <f>IF(A20stdlife="n/a","n/a",IF(BB$3&gt;(A20stdlife+$E334),('PTRM input'!$P$162*(1+rvanilla10)^0.5)-SUM($P334:BA334),('PTRM input'!$P$162*(1+rvanilla10)^0.5)/A20stdlife))</f>
        <v>0</v>
      </c>
      <c r="BC334" s="107">
        <f>IF(A20stdlife="n/a","n/a",IF(BC$3&gt;(A20stdlife+$E334),('PTRM input'!$P$162*(1+rvanilla10)^0.5)-SUM($P334:BB334),('PTRM input'!$P$162*(1+rvanilla10)^0.5)/A20stdlife))</f>
        <v>0</v>
      </c>
      <c r="BD334" s="107">
        <f>IF(A20stdlife="n/a","n/a",IF(BD$3&gt;(A20stdlife+$E334),('PTRM input'!$P$162*(1+rvanilla10)^0.5)-SUM($P334:BC334),('PTRM input'!$P$162*(1+rvanilla10)^0.5)/A20stdlife))</f>
        <v>0</v>
      </c>
      <c r="BE334" s="107">
        <f>IF(A20stdlife="n/a","n/a",IF(BE$3&gt;(A20stdlife+$E334),('PTRM input'!$P$162*(1+rvanilla10)^0.5)-SUM($P334:BD334),('PTRM input'!$P$162*(1+rvanilla10)^0.5)/A20stdlife))</f>
        <v>0</v>
      </c>
      <c r="BF334" s="107">
        <f>IF(A20stdlife="n/a","n/a",IF(BF$3&gt;(A20stdlife+$E334),('PTRM input'!$P$162*(1+rvanilla10)^0.5)-SUM($P334:BE334),('PTRM input'!$P$162*(1+rvanilla10)^0.5)/A20stdlife))</f>
        <v>0</v>
      </c>
      <c r="BG334" s="107">
        <f>IF(A20stdlife="n/a","n/a",IF(BG$3&gt;(A20stdlife+$E334),('PTRM input'!$P$162*(1+rvanilla10)^0.5)-SUM($P334:BF334),('PTRM input'!$P$162*(1+rvanilla10)^0.5)/A20stdlife))</f>
        <v>0</v>
      </c>
      <c r="BH334" s="107">
        <f>IF(A20stdlife="n/a","n/a",IF(BH$3&gt;(A20stdlife+$E334),('PTRM input'!$P$162*(1+rvanilla10)^0.5)-SUM($P334:BG334),('PTRM input'!$P$162*(1+rvanilla10)^0.5)/A20stdlife))</f>
        <v>0</v>
      </c>
      <c r="BI334" s="107">
        <f>IF(A20stdlife="n/a","n/a",IF(BI$3&gt;(A20stdlife+$E334),('PTRM input'!$P$162*(1+rvanilla10)^0.5)-SUM($P334:BH334),('PTRM input'!$P$162*(1+rvanilla10)^0.5)/A20stdlife))</f>
        <v>0</v>
      </c>
      <c r="BJ334" s="237"/>
      <c r="BK334" s="237"/>
      <c r="BL334" s="237"/>
      <c r="BM334" s="237"/>
    </row>
    <row r="335" spans="1:65" s="190" customFormat="1" hidden="1" outlineLevel="1">
      <c r="A335" s="237"/>
      <c r="B335" s="18"/>
      <c r="C335" s="33">
        <f>Asset20</f>
        <v>0</v>
      </c>
      <c r="D335" s="18"/>
      <c r="E335" s="18"/>
      <c r="F335" s="31"/>
      <c r="G335" s="104">
        <f t="shared" ref="G335:AL335" si="75">SUM(G323:G334)</f>
        <v>0</v>
      </c>
      <c r="H335" s="104">
        <f t="shared" si="75"/>
        <v>0</v>
      </c>
      <c r="I335" s="104">
        <f t="shared" si="75"/>
        <v>0</v>
      </c>
      <c r="J335" s="104">
        <f t="shared" si="75"/>
        <v>0</v>
      </c>
      <c r="K335" s="104">
        <f t="shared" si="75"/>
        <v>0</v>
      </c>
      <c r="L335" s="104">
        <f t="shared" si="75"/>
        <v>0</v>
      </c>
      <c r="M335" s="104">
        <f t="shared" si="75"/>
        <v>0</v>
      </c>
      <c r="N335" s="104">
        <f t="shared" si="75"/>
        <v>0</v>
      </c>
      <c r="O335" s="104">
        <f t="shared" si="75"/>
        <v>0</v>
      </c>
      <c r="P335" s="104">
        <f t="shared" si="75"/>
        <v>0</v>
      </c>
      <c r="Q335" s="104">
        <f t="shared" si="75"/>
        <v>0</v>
      </c>
      <c r="R335" s="104">
        <f t="shared" si="75"/>
        <v>0</v>
      </c>
      <c r="S335" s="104">
        <f t="shared" si="75"/>
        <v>0</v>
      </c>
      <c r="T335" s="104">
        <f t="shared" si="75"/>
        <v>0</v>
      </c>
      <c r="U335" s="104">
        <f t="shared" si="75"/>
        <v>0</v>
      </c>
      <c r="V335" s="104">
        <f t="shared" si="75"/>
        <v>0</v>
      </c>
      <c r="W335" s="104">
        <f t="shared" si="75"/>
        <v>0</v>
      </c>
      <c r="X335" s="104">
        <f t="shared" si="75"/>
        <v>0</v>
      </c>
      <c r="Y335" s="104">
        <f t="shared" si="75"/>
        <v>0</v>
      </c>
      <c r="Z335" s="104">
        <f t="shared" si="75"/>
        <v>0</v>
      </c>
      <c r="AA335" s="104">
        <f t="shared" si="75"/>
        <v>0</v>
      </c>
      <c r="AB335" s="104">
        <f t="shared" si="75"/>
        <v>0</v>
      </c>
      <c r="AC335" s="104">
        <f t="shared" si="75"/>
        <v>0</v>
      </c>
      <c r="AD335" s="104">
        <f t="shared" si="75"/>
        <v>0</v>
      </c>
      <c r="AE335" s="104">
        <f t="shared" si="75"/>
        <v>0</v>
      </c>
      <c r="AF335" s="104">
        <f t="shared" si="75"/>
        <v>0</v>
      </c>
      <c r="AG335" s="104">
        <f t="shared" si="75"/>
        <v>0</v>
      </c>
      <c r="AH335" s="104">
        <f t="shared" si="75"/>
        <v>0</v>
      </c>
      <c r="AI335" s="104">
        <f t="shared" si="75"/>
        <v>0</v>
      </c>
      <c r="AJ335" s="104">
        <f t="shared" si="75"/>
        <v>0</v>
      </c>
      <c r="AK335" s="104">
        <f t="shared" si="75"/>
        <v>0</v>
      </c>
      <c r="AL335" s="104">
        <f t="shared" si="75"/>
        <v>0</v>
      </c>
      <c r="AM335" s="104">
        <f t="shared" ref="AM335:BI335" si="76">SUM(AM323:AM334)</f>
        <v>0</v>
      </c>
      <c r="AN335" s="104">
        <f t="shared" si="76"/>
        <v>0</v>
      </c>
      <c r="AO335" s="104">
        <f t="shared" si="76"/>
        <v>0</v>
      </c>
      <c r="AP335" s="104">
        <f t="shared" si="76"/>
        <v>0</v>
      </c>
      <c r="AQ335" s="104">
        <f t="shared" si="76"/>
        <v>0</v>
      </c>
      <c r="AR335" s="104">
        <f t="shared" si="76"/>
        <v>0</v>
      </c>
      <c r="AS335" s="104">
        <f t="shared" si="76"/>
        <v>0</v>
      </c>
      <c r="AT335" s="104">
        <f t="shared" si="76"/>
        <v>0</v>
      </c>
      <c r="AU335" s="104">
        <f t="shared" si="76"/>
        <v>0</v>
      </c>
      <c r="AV335" s="104">
        <f t="shared" si="76"/>
        <v>0</v>
      </c>
      <c r="AW335" s="104">
        <f t="shared" si="76"/>
        <v>0</v>
      </c>
      <c r="AX335" s="104">
        <f t="shared" si="76"/>
        <v>0</v>
      </c>
      <c r="AY335" s="104">
        <f t="shared" si="76"/>
        <v>0</v>
      </c>
      <c r="AZ335" s="104">
        <f t="shared" si="76"/>
        <v>0</v>
      </c>
      <c r="BA335" s="104">
        <f t="shared" si="76"/>
        <v>0</v>
      </c>
      <c r="BB335" s="104">
        <f t="shared" si="76"/>
        <v>0</v>
      </c>
      <c r="BC335" s="104">
        <f t="shared" si="76"/>
        <v>0</v>
      </c>
      <c r="BD335" s="104">
        <f t="shared" si="76"/>
        <v>0</v>
      </c>
      <c r="BE335" s="104">
        <f t="shared" si="76"/>
        <v>0</v>
      </c>
      <c r="BF335" s="104">
        <f t="shared" si="76"/>
        <v>0</v>
      </c>
      <c r="BG335" s="104">
        <f t="shared" si="76"/>
        <v>0</v>
      </c>
      <c r="BH335" s="104">
        <f t="shared" si="76"/>
        <v>0</v>
      </c>
      <c r="BI335" s="104">
        <f t="shared" si="76"/>
        <v>0</v>
      </c>
      <c r="BJ335" s="237"/>
      <c r="BK335" s="237"/>
      <c r="BL335" s="237"/>
      <c r="BM335" s="237"/>
    </row>
    <row r="336" spans="1:65" s="190" customFormat="1" ht="12.75" hidden="1" customHeight="1" outlineLevel="2">
      <c r="A336" s="237"/>
      <c r="B336" s="37">
        <f>C348</f>
        <v>0</v>
      </c>
      <c r="C336" s="38"/>
      <c r="D336" s="39" t="s">
        <v>58</v>
      </c>
      <c r="E336" s="38"/>
      <c r="F336" s="40"/>
      <c r="G336" s="106">
        <f>IF(G$3&gt;A21remlife,A21value-SUM($F336:F336),IF(A21remlife="N/A","n/a",A21value/A21remlife))</f>
        <v>0</v>
      </c>
      <c r="H336" s="106">
        <f>IF(H$3&gt;A21remlife,A21value-SUM($F336:G336),IF(A21remlife="N/A","n/a",A21value/A21remlife))</f>
        <v>0</v>
      </c>
      <c r="I336" s="106">
        <f>IF(I$3&gt;A21remlife,A21value-SUM($F336:H336),IF(A21remlife="N/A","n/a",A21value/A21remlife))</f>
        <v>0</v>
      </c>
      <c r="J336" s="106">
        <f>IF(J$3&gt;A21remlife,A21value-SUM($F336:I336),IF(A21remlife="N/A","n/a",A21value/A21remlife))</f>
        <v>0</v>
      </c>
      <c r="K336" s="106">
        <f>IF(K$3&gt;A21remlife,A21value-SUM($F336:J336),IF(A21remlife="N/A","n/a",A21value/A21remlife))</f>
        <v>0</v>
      </c>
      <c r="L336" s="106">
        <f>IF(L$3&gt;A21remlife,A21value-SUM($F336:K336),IF(A21remlife="N/A","n/a",A21value/A21remlife))</f>
        <v>0</v>
      </c>
      <c r="M336" s="106">
        <f>IF(M$3&gt;A21remlife,A21value-SUM($F336:L336),IF(A21remlife="N/A","n/a",A21value/A21remlife))</f>
        <v>0</v>
      </c>
      <c r="N336" s="106">
        <f>IF(N$3&gt;A21remlife,A21value-SUM($F336:M336),IF(A21remlife="N/A","n/a",A21value/A21remlife))</f>
        <v>0</v>
      </c>
      <c r="O336" s="106">
        <f>IF(O$3&gt;A21remlife,A21value-SUM($F336:N336),IF(A21remlife="N/A","n/a",A21value/A21remlife))</f>
        <v>0</v>
      </c>
      <c r="P336" s="106">
        <f>IF(P$3&gt;A21remlife,A21value-SUM($F336:O336),IF(A21remlife="N/A","n/a",A21value/A21remlife))</f>
        <v>0</v>
      </c>
      <c r="Q336" s="106">
        <f>IF(Q$3&gt;A21remlife,A21value-SUM($F336:P336),IF(A21remlife="N/A","n/a",A21value/A21remlife))</f>
        <v>0</v>
      </c>
      <c r="R336" s="106">
        <f>IF(R$3&gt;A21remlife,A21value-SUM($F336:Q336),IF(A21remlife="N/A","n/a",A21value/A21remlife))</f>
        <v>0</v>
      </c>
      <c r="S336" s="106">
        <f>IF(S$3&gt;A21remlife,A21value-SUM($F336:R336),IF(A21remlife="N/A","n/a",A21value/A21remlife))</f>
        <v>0</v>
      </c>
      <c r="T336" s="106">
        <f>IF(T$3&gt;A21remlife,A21value-SUM($F336:S336),IF(A21remlife="N/A","n/a",A21value/A21remlife))</f>
        <v>0</v>
      </c>
      <c r="U336" s="106">
        <f>IF(U$3&gt;A21remlife,A21value-SUM($F336:T336),IF(A21remlife="N/A","n/a",A21value/A21remlife))</f>
        <v>0</v>
      </c>
      <c r="V336" s="106">
        <f>IF(V$3&gt;A21remlife,A21value-SUM($F336:U336),IF(A21remlife="N/A","n/a",A21value/A21remlife))</f>
        <v>0</v>
      </c>
      <c r="W336" s="106">
        <f>IF(W$3&gt;A21remlife,A21value-SUM($F336:V336),IF(A21remlife="N/A","n/a",A21value/A21remlife))</f>
        <v>0</v>
      </c>
      <c r="X336" s="106">
        <f>IF(X$3&gt;A21remlife,A21value-SUM($F336:W336),IF(A21remlife="N/A","n/a",A21value/A21remlife))</f>
        <v>0</v>
      </c>
      <c r="Y336" s="106">
        <f>IF(Y$3&gt;A21remlife,A21value-SUM($F336:X336),IF(A21remlife="N/A","n/a",A21value/A21remlife))</f>
        <v>0</v>
      </c>
      <c r="Z336" s="106">
        <f>IF(Z$3&gt;A21remlife,A21value-SUM($F336:Y336),IF(A21remlife="N/A","n/a",A21value/A21remlife))</f>
        <v>0</v>
      </c>
      <c r="AA336" s="106">
        <f>IF(AA$3&gt;A21remlife,A21value-SUM($F336:Z336),IF(A21remlife="N/A","n/a",A21value/A21remlife))</f>
        <v>0</v>
      </c>
      <c r="AB336" s="106">
        <f>IF(AB$3&gt;A21remlife,A21value-SUM($F336:AA336),IF(A21remlife="N/A","n/a",A21value/A21remlife))</f>
        <v>0</v>
      </c>
      <c r="AC336" s="106">
        <f>IF(AC$3&gt;A21remlife,A21value-SUM($F336:AB336),IF(A21remlife="N/A","n/a",A21value/A21remlife))</f>
        <v>0</v>
      </c>
      <c r="AD336" s="106">
        <f>IF(AD$3&gt;A21remlife,A21value-SUM($F336:AC336),IF(A21remlife="N/A","n/a",A21value/A21remlife))</f>
        <v>0</v>
      </c>
      <c r="AE336" s="106">
        <f>IF(AE$3&gt;A21remlife,A21value-SUM($F336:AD336),IF(A21remlife="N/A","n/a",A21value/A21remlife))</f>
        <v>0</v>
      </c>
      <c r="AF336" s="106">
        <f>IF(AF$3&gt;A21remlife,A21value-SUM($F336:AE336),IF(A21remlife="N/A","n/a",A21value/A21remlife))</f>
        <v>0</v>
      </c>
      <c r="AG336" s="106">
        <f>IF(AG$3&gt;A21remlife,A21value-SUM($F336:AF336),IF(A21remlife="N/A","n/a",A21value/A21remlife))</f>
        <v>0</v>
      </c>
      <c r="AH336" s="106">
        <f>IF(AH$3&gt;A21remlife,A21value-SUM($F336:AG336),IF(A21remlife="N/A","n/a",A21value/A21remlife))</f>
        <v>0</v>
      </c>
      <c r="AI336" s="106">
        <f>IF(AI$3&gt;A21remlife,A21value-SUM($F336:AH336),IF(A21remlife="N/A","n/a",A21value/A21remlife))</f>
        <v>0</v>
      </c>
      <c r="AJ336" s="106">
        <f>IF(AJ$3&gt;A21remlife,A21value-SUM($F336:AI336),IF(A21remlife="N/A","n/a",A21value/A21remlife))</f>
        <v>0</v>
      </c>
      <c r="AK336" s="106">
        <f>IF(AK$3&gt;A21remlife,A21value-SUM($F336:AJ336),IF(A21remlife="N/A","n/a",A21value/A21remlife))</f>
        <v>0</v>
      </c>
      <c r="AL336" s="106">
        <f>IF(AL$3&gt;A21remlife,A21value-SUM($F336:AK336),IF(A21remlife="N/A","n/a",A21value/A21remlife))</f>
        <v>0</v>
      </c>
      <c r="AM336" s="106">
        <f>IF(AM$3&gt;A21remlife,A21value-SUM($F336:AL336),IF(A21remlife="N/A","n/a",A21value/A21remlife))</f>
        <v>0</v>
      </c>
      <c r="AN336" s="106">
        <f>IF(AN$3&gt;A21remlife,A21value-SUM($F336:AM336),IF(A21remlife="N/A","n/a",A21value/A21remlife))</f>
        <v>0</v>
      </c>
      <c r="AO336" s="106">
        <f>IF(AO$3&gt;A21remlife,A21value-SUM($F336:AN336),IF(A21remlife="N/A","n/a",A21value/A21remlife))</f>
        <v>0</v>
      </c>
      <c r="AP336" s="106">
        <f>IF(AP$3&gt;A21remlife,A21value-SUM($F336:AO336),IF(A21remlife="N/A","n/a",A21value/A21remlife))</f>
        <v>0</v>
      </c>
      <c r="AQ336" s="106">
        <f>IF(AQ$3&gt;A21remlife,A21value-SUM($F336:AP336),IF(A21remlife="N/A","n/a",A21value/A21remlife))</f>
        <v>0</v>
      </c>
      <c r="AR336" s="106">
        <f>IF(AR$3&gt;A21remlife,A21value-SUM($F336:AQ336),IF(A21remlife="N/A","n/a",A21value/A21remlife))</f>
        <v>0</v>
      </c>
      <c r="AS336" s="106">
        <f>IF(AS$3&gt;A21remlife,A21value-SUM($F336:AR336),IF(A21remlife="N/A","n/a",A21value/A21remlife))</f>
        <v>0</v>
      </c>
      <c r="AT336" s="106">
        <f>IF(AT$3&gt;A21remlife,A21value-SUM($F336:AS336),IF(A21remlife="N/A","n/a",A21value/A21remlife))</f>
        <v>0</v>
      </c>
      <c r="AU336" s="106">
        <f>IF(AU$3&gt;A21remlife,A21value-SUM($F336:AT336),IF(A21remlife="N/A","n/a",A21value/A21remlife))</f>
        <v>0</v>
      </c>
      <c r="AV336" s="106">
        <f>IF(AV$3&gt;A21remlife,A21value-SUM($F336:AU336),IF(A21remlife="N/A","n/a",A21value/A21remlife))</f>
        <v>0</v>
      </c>
      <c r="AW336" s="106">
        <f>IF(AW$3&gt;A21remlife,A21value-SUM($F336:AV336),IF(A21remlife="N/A","n/a",A21value/A21remlife))</f>
        <v>0</v>
      </c>
      <c r="AX336" s="106">
        <f>IF(AX$3&gt;A21remlife,A21value-SUM($F336:AW336),IF(A21remlife="N/A","n/a",A21value/A21remlife))</f>
        <v>0</v>
      </c>
      <c r="AY336" s="106">
        <f>IF(AY$3&gt;A21remlife,A21value-SUM($F336:AX336),IF(A21remlife="N/A","n/a",A21value/A21remlife))</f>
        <v>0</v>
      </c>
      <c r="AZ336" s="106">
        <f>IF(AZ$3&gt;A21remlife,A21value-SUM($F336:AY336),IF(A21remlife="N/A","n/a",A21value/A21remlife))</f>
        <v>0</v>
      </c>
      <c r="BA336" s="106">
        <f>IF(BA$3&gt;A21remlife,A21value-SUM($F336:AZ336),IF(A21remlife="N/A","n/a",A21value/A21remlife))</f>
        <v>0</v>
      </c>
      <c r="BB336" s="106">
        <f>IF(BB$3&gt;A21remlife,A21value-SUM($F336:BA336),IF(A21remlife="N/A","n/a",A21value/A21remlife))</f>
        <v>0</v>
      </c>
      <c r="BC336" s="106">
        <f>IF(BC$3&gt;A21remlife,A21value-SUM($F336:BB336),IF(A21remlife="N/A","n/a",A21value/A21remlife))</f>
        <v>0</v>
      </c>
      <c r="BD336" s="106">
        <f>IF(BD$3&gt;A21remlife,A21value-SUM($F336:BC336),IF(A21remlife="N/A","n/a",A21value/A21remlife))</f>
        <v>0</v>
      </c>
      <c r="BE336" s="106">
        <f>IF(BE$3&gt;A21remlife,A21value-SUM($F336:BD336),IF(A21remlife="N/A","n/a",A21value/A21remlife))</f>
        <v>0</v>
      </c>
      <c r="BF336" s="106">
        <f>IF(BF$3&gt;A21remlife,A21value-SUM($F336:BE336),IF(A21remlife="N/A","n/a",A21value/A21remlife))</f>
        <v>0</v>
      </c>
      <c r="BG336" s="106">
        <f>IF(BG$3&gt;A21remlife,A21value-SUM($F336:BF336),IF(A21remlife="N/A","n/a",A21value/A21remlife))</f>
        <v>0</v>
      </c>
      <c r="BH336" s="106">
        <f>IF(BH$3&gt;A21remlife,A21value-SUM($F336:BG336),IF(A21remlife="N/A","n/a",A21value/A21remlife))</f>
        <v>0</v>
      </c>
      <c r="BI336" s="106">
        <f>IF(BI$3&gt;A21remlife,A21value-SUM($F336:BH336),IF(A21remlife="N/A","n/a",A21value/A21remlife))</f>
        <v>0</v>
      </c>
      <c r="BJ336" s="237"/>
      <c r="BK336" s="237"/>
      <c r="BL336" s="237"/>
      <c r="BM336" s="237"/>
    </row>
    <row r="337" spans="1:65" s="190" customFormat="1" ht="12.75" hidden="1" customHeight="1" outlineLevel="2">
      <c r="A337" s="237"/>
      <c r="B337" s="33"/>
      <c r="C337" s="32"/>
      <c r="D337" s="1618" t="s">
        <v>357</v>
      </c>
      <c r="E337" s="169">
        <v>0</v>
      </c>
      <c r="F337" s="35"/>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c r="BJ337" s="237"/>
      <c r="BK337" s="237"/>
      <c r="BL337" s="237"/>
      <c r="BM337" s="237"/>
    </row>
    <row r="338" spans="1:65" s="190" customFormat="1" hidden="1" outlineLevel="2">
      <c r="A338" s="237"/>
      <c r="B338" s="33"/>
      <c r="C338" s="32"/>
      <c r="D338" s="1618"/>
      <c r="E338" s="169">
        <v>1</v>
      </c>
      <c r="F338" s="35"/>
      <c r="G338" s="183"/>
      <c r="H338" s="107">
        <f>IF(A21stdlife="n/a","n/a",IF(H$3&gt;(A21stdlife+$E338),('PTRM input'!$G$163*(1+rvanilla01)^0.5)-SUM($G338:G338),('PTRM input'!$G$163*(1+rvanilla01)^0.5)/A21stdlife))</f>
        <v>0</v>
      </c>
      <c r="I338" s="107">
        <f>IF(A21stdlife="n/a","n/a",IF(I$3&gt;(A21stdlife+$E338),('PTRM input'!$G$163*(1+rvanilla01)^0.5)-SUM($G338:H338),('PTRM input'!$G$163*(1+rvanilla01)^0.5)/A21stdlife))</f>
        <v>0</v>
      </c>
      <c r="J338" s="107">
        <f>IF(A21stdlife="n/a","n/a",IF(J$3&gt;(A21stdlife+$E338),('PTRM input'!$G$163*(1+rvanilla01)^0.5)-SUM($G338:I338),('PTRM input'!$G$163*(1+rvanilla01)^0.5)/A21stdlife))</f>
        <v>0</v>
      </c>
      <c r="K338" s="107">
        <f>IF(A21stdlife="n/a","n/a",IF(K$3&gt;(A21stdlife+$E338),('PTRM input'!$G$163*(1+rvanilla01)^0.5)-SUM($G338:J338),('PTRM input'!$G$163*(1+rvanilla01)^0.5)/A21stdlife))</f>
        <v>0</v>
      </c>
      <c r="L338" s="107">
        <f>IF(A21stdlife="n/a","n/a",IF(L$3&gt;(A21stdlife+$E338),('PTRM input'!$G$163*(1+rvanilla01)^0.5)-SUM($G338:K338),('PTRM input'!$G$163*(1+rvanilla01)^0.5)/A21stdlife))</f>
        <v>0</v>
      </c>
      <c r="M338" s="107">
        <f>IF(A21stdlife="n/a","n/a",IF(M$3&gt;(A21stdlife+$E338),('PTRM input'!$G$163*(1+rvanilla01)^0.5)-SUM($G338:L338),('PTRM input'!$G$163*(1+rvanilla01)^0.5)/A21stdlife))</f>
        <v>0</v>
      </c>
      <c r="N338" s="107">
        <f>IF(A21stdlife="n/a","n/a",IF(N$3&gt;(A21stdlife+$E338),('PTRM input'!$G$163*(1+rvanilla01)^0.5)-SUM($G338:M338),('PTRM input'!$G$163*(1+rvanilla01)^0.5)/A21stdlife))</f>
        <v>0</v>
      </c>
      <c r="O338" s="107">
        <f>IF(A21stdlife="n/a","n/a",IF(O$3&gt;(A21stdlife+$E338),('PTRM input'!$G$163*(1+rvanilla01)^0.5)-SUM($G338:N338),('PTRM input'!$G$163*(1+rvanilla01)^0.5)/A21stdlife))</f>
        <v>0</v>
      </c>
      <c r="P338" s="107">
        <f>IF(A21stdlife="n/a","n/a",IF(P$3&gt;(A21stdlife+$E338),('PTRM input'!$G$163*(1+rvanilla01)^0.5)-SUM($G338:O338),('PTRM input'!$G$163*(1+rvanilla01)^0.5)/A21stdlife))</f>
        <v>0</v>
      </c>
      <c r="Q338" s="107">
        <f>IF(A21stdlife="n/a","n/a",IF(Q$3&gt;(A21stdlife+$E338),('PTRM input'!$G$163*(1+rvanilla01)^0.5)-SUM($G338:P338),('PTRM input'!$G$163*(1+rvanilla01)^0.5)/A21stdlife))</f>
        <v>0</v>
      </c>
      <c r="R338" s="107">
        <f>IF(A21stdlife="n/a","n/a",IF(R$3&gt;(A21stdlife+$E338),('PTRM input'!$G$163*(1+rvanilla01)^0.5)-SUM($G338:Q338),('PTRM input'!$G$163*(1+rvanilla01)^0.5)/A21stdlife))</f>
        <v>0</v>
      </c>
      <c r="S338" s="107">
        <f>IF(A21stdlife="n/a","n/a",IF(S$3&gt;(A21stdlife+$E338),('PTRM input'!$G$163*(1+rvanilla01)^0.5)-SUM($G338:R338),('PTRM input'!$G$163*(1+rvanilla01)^0.5)/A21stdlife))</f>
        <v>0</v>
      </c>
      <c r="T338" s="107">
        <f>IF(A21stdlife="n/a","n/a",IF(T$3&gt;(A21stdlife+$E338),('PTRM input'!$G$163*(1+rvanilla01)^0.5)-SUM($G338:S338),('PTRM input'!$G$163*(1+rvanilla01)^0.5)/A21stdlife))</f>
        <v>0</v>
      </c>
      <c r="U338" s="107">
        <f>IF(A21stdlife="n/a","n/a",IF(U$3&gt;(A21stdlife+$E338),('PTRM input'!$G$163*(1+rvanilla01)^0.5)-SUM($G338:T338),('PTRM input'!$G$163*(1+rvanilla01)^0.5)/A21stdlife))</f>
        <v>0</v>
      </c>
      <c r="V338" s="107">
        <f>IF(A21stdlife="n/a","n/a",IF(V$3&gt;(A21stdlife+$E338),('PTRM input'!$G$163*(1+rvanilla01)^0.5)-SUM($G338:U338),('PTRM input'!$G$163*(1+rvanilla01)^0.5)/A21stdlife))</f>
        <v>0</v>
      </c>
      <c r="W338" s="107">
        <f>IF(A21stdlife="n/a","n/a",IF(W$3&gt;(A21stdlife+$E338),('PTRM input'!$G$163*(1+rvanilla01)^0.5)-SUM($G338:V338),('PTRM input'!$G$163*(1+rvanilla01)^0.5)/A21stdlife))</f>
        <v>0</v>
      </c>
      <c r="X338" s="107">
        <f>IF(A21stdlife="n/a","n/a",IF(X$3&gt;(A21stdlife+$E338),('PTRM input'!$G$163*(1+rvanilla01)^0.5)-SUM($G338:W338),('PTRM input'!$G$163*(1+rvanilla01)^0.5)/A21stdlife))</f>
        <v>0</v>
      </c>
      <c r="Y338" s="107">
        <f>IF(A21stdlife="n/a","n/a",IF(Y$3&gt;(A21stdlife+$E338),('PTRM input'!$G$163*(1+rvanilla01)^0.5)-SUM($G338:X338),('PTRM input'!$G$163*(1+rvanilla01)^0.5)/A21stdlife))</f>
        <v>0</v>
      </c>
      <c r="Z338" s="107">
        <f>IF(A21stdlife="n/a","n/a",IF(Z$3&gt;(A21stdlife+$E338),('PTRM input'!$G$163*(1+rvanilla01)^0.5)-SUM($G338:Y338),('PTRM input'!$G$163*(1+rvanilla01)^0.5)/A21stdlife))</f>
        <v>0</v>
      </c>
      <c r="AA338" s="107">
        <f>IF(A21stdlife="n/a","n/a",IF(AA$3&gt;(A21stdlife+$E338),('PTRM input'!$G$163*(1+rvanilla01)^0.5)-SUM($G338:Z338),('PTRM input'!$G$163*(1+rvanilla01)^0.5)/A21stdlife))</f>
        <v>0</v>
      </c>
      <c r="AB338" s="107">
        <f>IF(A21stdlife="n/a","n/a",IF(AB$3&gt;(A21stdlife+$E338),('PTRM input'!$G$163*(1+rvanilla01)^0.5)-SUM($G338:AA338),('PTRM input'!$G$163*(1+rvanilla01)^0.5)/A21stdlife))</f>
        <v>0</v>
      </c>
      <c r="AC338" s="107">
        <f>IF(A21stdlife="n/a","n/a",IF(AC$3&gt;(A21stdlife+$E338),('PTRM input'!$G$163*(1+rvanilla01)^0.5)-SUM($G338:AB338),('PTRM input'!$G$163*(1+rvanilla01)^0.5)/A21stdlife))</f>
        <v>0</v>
      </c>
      <c r="AD338" s="107">
        <f>IF(A21stdlife="n/a","n/a",IF(AD$3&gt;(A21stdlife+$E338),('PTRM input'!$G$163*(1+rvanilla01)^0.5)-SUM($G338:AC338),('PTRM input'!$G$163*(1+rvanilla01)^0.5)/A21stdlife))</f>
        <v>0</v>
      </c>
      <c r="AE338" s="107">
        <f>IF(A21stdlife="n/a","n/a",IF(AE$3&gt;(A21stdlife+$E338),('PTRM input'!$G$163*(1+rvanilla01)^0.5)-SUM($G338:AD338),('PTRM input'!$G$163*(1+rvanilla01)^0.5)/A21stdlife))</f>
        <v>0</v>
      </c>
      <c r="AF338" s="107">
        <f>IF(A21stdlife="n/a","n/a",IF(AF$3&gt;(A21stdlife+$E338),('PTRM input'!$G$163*(1+rvanilla01)^0.5)-SUM($G338:AE338),('PTRM input'!$G$163*(1+rvanilla01)^0.5)/A21stdlife))</f>
        <v>0</v>
      </c>
      <c r="AG338" s="107">
        <f>IF(A21stdlife="n/a","n/a",IF(AG$3&gt;(A21stdlife+$E338),('PTRM input'!$G$163*(1+rvanilla01)^0.5)-SUM($G338:AF338),('PTRM input'!$G$163*(1+rvanilla01)^0.5)/A21stdlife))</f>
        <v>0</v>
      </c>
      <c r="AH338" s="107">
        <f>IF(A21stdlife="n/a","n/a",IF(AH$3&gt;(A21stdlife+$E338),('PTRM input'!$G$163*(1+rvanilla01)^0.5)-SUM($G338:AG338),('PTRM input'!$G$163*(1+rvanilla01)^0.5)/A21stdlife))</f>
        <v>0</v>
      </c>
      <c r="AI338" s="107">
        <f>IF(A21stdlife="n/a","n/a",IF(AI$3&gt;(A21stdlife+$E338),('PTRM input'!$G$163*(1+rvanilla01)^0.5)-SUM($G338:AH338),('PTRM input'!$G$163*(1+rvanilla01)^0.5)/A21stdlife))</f>
        <v>0</v>
      </c>
      <c r="AJ338" s="107">
        <f>IF(A21stdlife="n/a","n/a",IF(AJ$3&gt;(A21stdlife+$E338),('PTRM input'!$G$163*(1+rvanilla01)^0.5)-SUM($G338:AI338),('PTRM input'!$G$163*(1+rvanilla01)^0.5)/A21stdlife))</f>
        <v>0</v>
      </c>
      <c r="AK338" s="107">
        <f>IF(A21stdlife="n/a","n/a",IF(AK$3&gt;(A21stdlife+$E338),('PTRM input'!$G$163*(1+rvanilla01)^0.5)-SUM($G338:AJ338),('PTRM input'!$G$163*(1+rvanilla01)^0.5)/A21stdlife))</f>
        <v>0</v>
      </c>
      <c r="AL338" s="107">
        <f>IF(A21stdlife="n/a","n/a",IF(AL$3&gt;(A21stdlife+$E338),('PTRM input'!$G$163*(1+rvanilla01)^0.5)-SUM($G338:AK338),('PTRM input'!$G$163*(1+rvanilla01)^0.5)/A21stdlife))</f>
        <v>0</v>
      </c>
      <c r="AM338" s="107">
        <f>IF(A21stdlife="n/a","n/a",IF(AM$3&gt;(A21stdlife+$E338),('PTRM input'!$G$163*(1+rvanilla01)^0.5)-SUM($G338:AL338),('PTRM input'!$G$163*(1+rvanilla01)^0.5)/A21stdlife))</f>
        <v>0</v>
      </c>
      <c r="AN338" s="107">
        <f>IF(A21stdlife="n/a","n/a",IF(AN$3&gt;(A21stdlife+$E338),('PTRM input'!$G$163*(1+rvanilla01)^0.5)-SUM($G338:AM338),('PTRM input'!$G$163*(1+rvanilla01)^0.5)/A21stdlife))</f>
        <v>0</v>
      </c>
      <c r="AO338" s="107">
        <f>IF(A21stdlife="n/a","n/a",IF(AO$3&gt;(A21stdlife+$E338),('PTRM input'!$G$163*(1+rvanilla01)^0.5)-SUM($G338:AN338),('PTRM input'!$G$163*(1+rvanilla01)^0.5)/A21stdlife))</f>
        <v>0</v>
      </c>
      <c r="AP338" s="107">
        <f>IF(A21stdlife="n/a","n/a",IF(AP$3&gt;(A21stdlife+$E338),('PTRM input'!$G$163*(1+rvanilla01)^0.5)-SUM($G338:AO338),('PTRM input'!$G$163*(1+rvanilla01)^0.5)/A21stdlife))</f>
        <v>0</v>
      </c>
      <c r="AQ338" s="107">
        <f>IF(A21stdlife="n/a","n/a",IF(AQ$3&gt;(A21stdlife+$E338),('PTRM input'!$G$163*(1+rvanilla01)^0.5)-SUM($G338:AP338),('PTRM input'!$G$163*(1+rvanilla01)^0.5)/A21stdlife))</f>
        <v>0</v>
      </c>
      <c r="AR338" s="107">
        <f>IF(A21stdlife="n/a","n/a",IF(AR$3&gt;(A21stdlife+$E338),('PTRM input'!$G$163*(1+rvanilla01)^0.5)-SUM($G338:AQ338),('PTRM input'!$G$163*(1+rvanilla01)^0.5)/A21stdlife))</f>
        <v>0</v>
      </c>
      <c r="AS338" s="107">
        <f>IF(A21stdlife="n/a","n/a",IF(AS$3&gt;(A21stdlife+$E338),('PTRM input'!$G$163*(1+rvanilla01)^0.5)-SUM($G338:AR338),('PTRM input'!$G$163*(1+rvanilla01)^0.5)/A21stdlife))</f>
        <v>0</v>
      </c>
      <c r="AT338" s="107">
        <f>IF(A21stdlife="n/a","n/a",IF(AT$3&gt;(A21stdlife+$E338),('PTRM input'!$G$163*(1+rvanilla01)^0.5)-SUM($G338:AS338),('PTRM input'!$G$163*(1+rvanilla01)^0.5)/A21stdlife))</f>
        <v>0</v>
      </c>
      <c r="AU338" s="107">
        <f>IF(A21stdlife="n/a","n/a",IF(AU$3&gt;(A21stdlife+$E338),('PTRM input'!$G$163*(1+rvanilla01)^0.5)-SUM($G338:AT338),('PTRM input'!$G$163*(1+rvanilla01)^0.5)/A21stdlife))</f>
        <v>0</v>
      </c>
      <c r="AV338" s="107">
        <f>IF(A21stdlife="n/a","n/a",IF(AV$3&gt;(A21stdlife+$E338),('PTRM input'!$G$163*(1+rvanilla01)^0.5)-SUM($G338:AU338),('PTRM input'!$G$163*(1+rvanilla01)^0.5)/A21stdlife))</f>
        <v>0</v>
      </c>
      <c r="AW338" s="107">
        <f>IF(A21stdlife="n/a","n/a",IF(AW$3&gt;(A21stdlife+$E338),('PTRM input'!$G$163*(1+rvanilla01)^0.5)-SUM($G338:AV338),('PTRM input'!$G$163*(1+rvanilla01)^0.5)/A21stdlife))</f>
        <v>0</v>
      </c>
      <c r="AX338" s="107">
        <f>IF(A21stdlife="n/a","n/a",IF(AX$3&gt;(A21stdlife+$E338),('PTRM input'!$G$163*(1+rvanilla01)^0.5)-SUM($G338:AW338),('PTRM input'!$G$163*(1+rvanilla01)^0.5)/A21stdlife))</f>
        <v>0</v>
      </c>
      <c r="AY338" s="107">
        <f>IF(A21stdlife="n/a","n/a",IF(AY$3&gt;(A21stdlife+$E338),('PTRM input'!$G$163*(1+rvanilla01)^0.5)-SUM($G338:AX338),('PTRM input'!$G$163*(1+rvanilla01)^0.5)/A21stdlife))</f>
        <v>0</v>
      </c>
      <c r="AZ338" s="107">
        <f>IF(A21stdlife="n/a","n/a",IF(AZ$3&gt;(A21stdlife+$E338),('PTRM input'!$G$163*(1+rvanilla01)^0.5)-SUM($G338:AY338),('PTRM input'!$G$163*(1+rvanilla01)^0.5)/A21stdlife))</f>
        <v>0</v>
      </c>
      <c r="BA338" s="107">
        <f>IF(A21stdlife="n/a","n/a",IF(BA$3&gt;(A21stdlife+$E338),('PTRM input'!$G$163*(1+rvanilla01)^0.5)-SUM($G338:AZ338),('PTRM input'!$G$163*(1+rvanilla01)^0.5)/A21stdlife))</f>
        <v>0</v>
      </c>
      <c r="BB338" s="107">
        <f>IF(A21stdlife="n/a","n/a",IF(BB$3&gt;(A21stdlife+$E338),('PTRM input'!$G$163*(1+rvanilla01)^0.5)-SUM($G338:BA338),('PTRM input'!$G$163*(1+rvanilla01)^0.5)/A21stdlife))</f>
        <v>0</v>
      </c>
      <c r="BC338" s="107">
        <f>IF(A21stdlife="n/a","n/a",IF(BC$3&gt;(A21stdlife+$E338),('PTRM input'!$G$163*(1+rvanilla01)^0.5)-SUM($G338:BB338),('PTRM input'!$G$163*(1+rvanilla01)^0.5)/A21stdlife))</f>
        <v>0</v>
      </c>
      <c r="BD338" s="107">
        <f>IF(A21stdlife="n/a","n/a",IF(BD$3&gt;(A21stdlife+$E338),('PTRM input'!$G$163*(1+rvanilla01)^0.5)-SUM($G338:BC338),('PTRM input'!$G$163*(1+rvanilla01)^0.5)/A21stdlife))</f>
        <v>0</v>
      </c>
      <c r="BE338" s="107">
        <f>IF(A21stdlife="n/a","n/a",IF(BE$3&gt;(A21stdlife+$E338),('PTRM input'!$G$163*(1+rvanilla01)^0.5)-SUM($G338:BD338),('PTRM input'!$G$163*(1+rvanilla01)^0.5)/A21stdlife))</f>
        <v>0</v>
      </c>
      <c r="BF338" s="107">
        <f>IF(A21stdlife="n/a","n/a",IF(BF$3&gt;(A21stdlife+$E338),('PTRM input'!$G$163*(1+rvanilla01)^0.5)-SUM($G338:BE338),('PTRM input'!$G$163*(1+rvanilla01)^0.5)/A21stdlife))</f>
        <v>0</v>
      </c>
      <c r="BG338" s="107">
        <f>IF(A21stdlife="n/a","n/a",IF(BG$3&gt;(A21stdlife+$E338),('PTRM input'!$G$163*(1+rvanilla01)^0.5)-SUM($G338:BF338),('PTRM input'!$G$163*(1+rvanilla01)^0.5)/A21stdlife))</f>
        <v>0</v>
      </c>
      <c r="BH338" s="107">
        <f>IF(A21stdlife="n/a","n/a",IF(BH$3&gt;(A21stdlife+$E338),('PTRM input'!$G$163*(1+rvanilla01)^0.5)-SUM($G338:BG338),('PTRM input'!$G$163*(1+rvanilla01)^0.5)/A21stdlife))</f>
        <v>0</v>
      </c>
      <c r="BI338" s="107">
        <f>IF(A21stdlife="n/a","n/a",IF(BI$3&gt;(A21stdlife+$E338),('PTRM input'!$G$163*(1+rvanilla01)^0.5)-SUM($G338:BH338),('PTRM input'!$G$163*(1+rvanilla01)^0.5)/A21stdlife))</f>
        <v>0</v>
      </c>
      <c r="BJ338" s="237"/>
      <c r="BK338" s="237"/>
      <c r="BL338" s="237"/>
      <c r="BM338" s="237"/>
    </row>
    <row r="339" spans="1:65" s="190" customFormat="1" hidden="1" outlineLevel="2">
      <c r="A339" s="237"/>
      <c r="B339" s="33"/>
      <c r="C339" s="32"/>
      <c r="D339" s="1618"/>
      <c r="E339" s="169">
        <v>2</v>
      </c>
      <c r="F339" s="35"/>
      <c r="G339" s="184"/>
      <c r="H339" s="185"/>
      <c r="I339" s="107">
        <f>IF(A21stdlife="n/a","n/a",IF(I$3&gt;(A21stdlife+$E339),('PTRM input'!$H$163*(1+rvanilla02)^0.5)-SUM($H339:H339),('PTRM input'!$H$163*(1+rvanilla02)^0.5)/A21stdlife))</f>
        <v>0</v>
      </c>
      <c r="J339" s="107">
        <f>IF(A21stdlife="n/a","n/a",IF(J$3&gt;(A21stdlife+$E339),('PTRM input'!$H$163*(1+rvanilla02)^0.5)-SUM($H339:I339),('PTRM input'!$H$163*(1+rvanilla02)^0.5)/A21stdlife))</f>
        <v>0</v>
      </c>
      <c r="K339" s="107">
        <f>IF(A21stdlife="n/a","n/a",IF(K$3&gt;(A21stdlife+$E339),('PTRM input'!$H$163*(1+rvanilla02)^0.5)-SUM($H339:J339),('PTRM input'!$H$163*(1+rvanilla02)^0.5)/A21stdlife))</f>
        <v>0</v>
      </c>
      <c r="L339" s="107">
        <f>IF(A21stdlife="n/a","n/a",IF(L$3&gt;(A21stdlife+$E339),('PTRM input'!$H$163*(1+rvanilla02)^0.5)-SUM($H339:K339),('PTRM input'!$H$163*(1+rvanilla02)^0.5)/A21stdlife))</f>
        <v>0</v>
      </c>
      <c r="M339" s="107">
        <f>IF(A21stdlife="n/a","n/a",IF(M$3&gt;(A21stdlife+$E339),('PTRM input'!$H$163*(1+rvanilla02)^0.5)-SUM($H339:L339),('PTRM input'!$H$163*(1+rvanilla02)^0.5)/A21stdlife))</f>
        <v>0</v>
      </c>
      <c r="N339" s="107">
        <f>IF(A21stdlife="n/a","n/a",IF(N$3&gt;(A21stdlife+$E339),('PTRM input'!$H$163*(1+rvanilla02)^0.5)-SUM($H339:M339),('PTRM input'!$H$163*(1+rvanilla02)^0.5)/A21stdlife))</f>
        <v>0</v>
      </c>
      <c r="O339" s="107">
        <f>IF(A21stdlife="n/a","n/a",IF(O$3&gt;(A21stdlife+$E339),('PTRM input'!$H$163*(1+rvanilla02)^0.5)-SUM($H339:N339),('PTRM input'!$H$163*(1+rvanilla02)^0.5)/A21stdlife))</f>
        <v>0</v>
      </c>
      <c r="P339" s="107">
        <f>IF(A21stdlife="n/a","n/a",IF(P$3&gt;(A21stdlife+$E339),('PTRM input'!$H$163*(1+rvanilla02)^0.5)-SUM($H339:O339),('PTRM input'!$H$163*(1+rvanilla02)^0.5)/A21stdlife))</f>
        <v>0</v>
      </c>
      <c r="Q339" s="107">
        <f>IF(A21stdlife="n/a","n/a",IF(Q$3&gt;(A21stdlife+$E339),('PTRM input'!$H$163*(1+rvanilla02)^0.5)-SUM($H339:P339),('PTRM input'!$H$163*(1+rvanilla02)^0.5)/A21stdlife))</f>
        <v>0</v>
      </c>
      <c r="R339" s="107">
        <f>IF(A21stdlife="n/a","n/a",IF(R$3&gt;(A21stdlife+$E339),('PTRM input'!$H$163*(1+rvanilla02)^0.5)-SUM($H339:Q339),('PTRM input'!$H$163*(1+rvanilla02)^0.5)/A21stdlife))</f>
        <v>0</v>
      </c>
      <c r="S339" s="107">
        <f>IF(A21stdlife="n/a","n/a",IF(S$3&gt;(A21stdlife+$E339),('PTRM input'!$H$163*(1+rvanilla02)^0.5)-SUM($H339:R339),('PTRM input'!$H$163*(1+rvanilla02)^0.5)/A21stdlife))</f>
        <v>0</v>
      </c>
      <c r="T339" s="107">
        <f>IF(A21stdlife="n/a","n/a",IF(T$3&gt;(A21stdlife+$E339),('PTRM input'!$H$163*(1+rvanilla02)^0.5)-SUM($H339:S339),('PTRM input'!$H$163*(1+rvanilla02)^0.5)/A21stdlife))</f>
        <v>0</v>
      </c>
      <c r="U339" s="107">
        <f>IF(A21stdlife="n/a","n/a",IF(U$3&gt;(A21stdlife+$E339),('PTRM input'!$H$163*(1+rvanilla02)^0.5)-SUM($H339:T339),('PTRM input'!$H$163*(1+rvanilla02)^0.5)/A21stdlife))</f>
        <v>0</v>
      </c>
      <c r="V339" s="107">
        <f>IF(A21stdlife="n/a","n/a",IF(V$3&gt;(A21stdlife+$E339),('PTRM input'!$H$163*(1+rvanilla02)^0.5)-SUM($H339:U339),('PTRM input'!$H$163*(1+rvanilla02)^0.5)/A21stdlife))</f>
        <v>0</v>
      </c>
      <c r="W339" s="107">
        <f>IF(A21stdlife="n/a","n/a",IF(W$3&gt;(A21stdlife+$E339),('PTRM input'!$H$163*(1+rvanilla02)^0.5)-SUM($H339:V339),('PTRM input'!$H$163*(1+rvanilla02)^0.5)/A21stdlife))</f>
        <v>0</v>
      </c>
      <c r="X339" s="107">
        <f>IF(A21stdlife="n/a","n/a",IF(X$3&gt;(A21stdlife+$E339),('PTRM input'!$H$163*(1+rvanilla02)^0.5)-SUM($H339:W339),('PTRM input'!$H$163*(1+rvanilla02)^0.5)/A21stdlife))</f>
        <v>0</v>
      </c>
      <c r="Y339" s="107">
        <f>IF(A21stdlife="n/a","n/a",IF(Y$3&gt;(A21stdlife+$E339),('PTRM input'!$H$163*(1+rvanilla02)^0.5)-SUM($H339:X339),('PTRM input'!$H$163*(1+rvanilla02)^0.5)/A21stdlife))</f>
        <v>0</v>
      </c>
      <c r="Z339" s="107">
        <f>IF(A21stdlife="n/a","n/a",IF(Z$3&gt;(A21stdlife+$E339),('PTRM input'!$H$163*(1+rvanilla02)^0.5)-SUM($H339:Y339),('PTRM input'!$H$163*(1+rvanilla02)^0.5)/A21stdlife))</f>
        <v>0</v>
      </c>
      <c r="AA339" s="107">
        <f>IF(A21stdlife="n/a","n/a",IF(AA$3&gt;(A21stdlife+$E339),('PTRM input'!$H$163*(1+rvanilla02)^0.5)-SUM($H339:Z339),('PTRM input'!$H$163*(1+rvanilla02)^0.5)/A21stdlife))</f>
        <v>0</v>
      </c>
      <c r="AB339" s="107">
        <f>IF(A21stdlife="n/a","n/a",IF(AB$3&gt;(A21stdlife+$E339),('PTRM input'!$H$163*(1+rvanilla02)^0.5)-SUM($H339:AA339),('PTRM input'!$H$163*(1+rvanilla02)^0.5)/A21stdlife))</f>
        <v>0</v>
      </c>
      <c r="AC339" s="107">
        <f>IF(A21stdlife="n/a","n/a",IF(AC$3&gt;(A21stdlife+$E339),('PTRM input'!$H$163*(1+rvanilla02)^0.5)-SUM($H339:AB339),('PTRM input'!$H$163*(1+rvanilla02)^0.5)/A21stdlife))</f>
        <v>0</v>
      </c>
      <c r="AD339" s="107">
        <f>IF(A21stdlife="n/a","n/a",IF(AD$3&gt;(A21stdlife+$E339),('PTRM input'!$H$163*(1+rvanilla02)^0.5)-SUM($H339:AC339),('PTRM input'!$H$163*(1+rvanilla02)^0.5)/A21stdlife))</f>
        <v>0</v>
      </c>
      <c r="AE339" s="107">
        <f>IF(A21stdlife="n/a","n/a",IF(AE$3&gt;(A21stdlife+$E339),('PTRM input'!$H$163*(1+rvanilla02)^0.5)-SUM($H339:AD339),('PTRM input'!$H$163*(1+rvanilla02)^0.5)/A21stdlife))</f>
        <v>0</v>
      </c>
      <c r="AF339" s="107">
        <f>IF(A21stdlife="n/a","n/a",IF(AF$3&gt;(A21stdlife+$E339),('PTRM input'!$H$163*(1+rvanilla02)^0.5)-SUM($H339:AE339),('PTRM input'!$H$163*(1+rvanilla02)^0.5)/A21stdlife))</f>
        <v>0</v>
      </c>
      <c r="AG339" s="107">
        <f>IF(A21stdlife="n/a","n/a",IF(AG$3&gt;(A21stdlife+$E339),('PTRM input'!$H$163*(1+rvanilla02)^0.5)-SUM($H339:AF339),('PTRM input'!$H$163*(1+rvanilla02)^0.5)/A21stdlife))</f>
        <v>0</v>
      </c>
      <c r="AH339" s="107">
        <f>IF(A21stdlife="n/a","n/a",IF(AH$3&gt;(A21stdlife+$E339),('PTRM input'!$H$163*(1+rvanilla02)^0.5)-SUM($H339:AG339),('PTRM input'!$H$163*(1+rvanilla02)^0.5)/A21stdlife))</f>
        <v>0</v>
      </c>
      <c r="AI339" s="107">
        <f>IF(A21stdlife="n/a","n/a",IF(AI$3&gt;(A21stdlife+$E339),('PTRM input'!$H$163*(1+rvanilla02)^0.5)-SUM($H339:AH339),('PTRM input'!$H$163*(1+rvanilla02)^0.5)/A21stdlife))</f>
        <v>0</v>
      </c>
      <c r="AJ339" s="107">
        <f>IF(A21stdlife="n/a","n/a",IF(AJ$3&gt;(A21stdlife+$E339),('PTRM input'!$H$163*(1+rvanilla02)^0.5)-SUM($H339:AI339),('PTRM input'!$H$163*(1+rvanilla02)^0.5)/A21stdlife))</f>
        <v>0</v>
      </c>
      <c r="AK339" s="107">
        <f>IF(A21stdlife="n/a","n/a",IF(AK$3&gt;(A21stdlife+$E339),('PTRM input'!$H$163*(1+rvanilla02)^0.5)-SUM($H339:AJ339),('PTRM input'!$H$163*(1+rvanilla02)^0.5)/A21stdlife))</f>
        <v>0</v>
      </c>
      <c r="AL339" s="107">
        <f>IF(A21stdlife="n/a","n/a",IF(AL$3&gt;(A21stdlife+$E339),('PTRM input'!$H$163*(1+rvanilla02)^0.5)-SUM($H339:AK339),('PTRM input'!$H$163*(1+rvanilla02)^0.5)/A21stdlife))</f>
        <v>0</v>
      </c>
      <c r="AM339" s="107">
        <f>IF(A21stdlife="n/a","n/a",IF(AM$3&gt;(A21stdlife+$E339),('PTRM input'!$H$163*(1+rvanilla02)^0.5)-SUM($H339:AL339),('PTRM input'!$H$163*(1+rvanilla02)^0.5)/A21stdlife))</f>
        <v>0</v>
      </c>
      <c r="AN339" s="107">
        <f>IF(A21stdlife="n/a","n/a",IF(AN$3&gt;(A21stdlife+$E339),('PTRM input'!$H$163*(1+rvanilla02)^0.5)-SUM($H339:AM339),('PTRM input'!$H$163*(1+rvanilla02)^0.5)/A21stdlife))</f>
        <v>0</v>
      </c>
      <c r="AO339" s="107">
        <f>IF(A21stdlife="n/a","n/a",IF(AO$3&gt;(A21stdlife+$E339),('PTRM input'!$H$163*(1+rvanilla02)^0.5)-SUM($H339:AN339),('PTRM input'!$H$163*(1+rvanilla02)^0.5)/A21stdlife))</f>
        <v>0</v>
      </c>
      <c r="AP339" s="107">
        <f>IF(A21stdlife="n/a","n/a",IF(AP$3&gt;(A21stdlife+$E339),('PTRM input'!$H$163*(1+rvanilla02)^0.5)-SUM($H339:AO339),('PTRM input'!$H$163*(1+rvanilla02)^0.5)/A21stdlife))</f>
        <v>0</v>
      </c>
      <c r="AQ339" s="107">
        <f>IF(A21stdlife="n/a","n/a",IF(AQ$3&gt;(A21stdlife+$E339),('PTRM input'!$H$163*(1+rvanilla02)^0.5)-SUM($H339:AP339),('PTRM input'!$H$163*(1+rvanilla02)^0.5)/A21stdlife))</f>
        <v>0</v>
      </c>
      <c r="AR339" s="107">
        <f>IF(A21stdlife="n/a","n/a",IF(AR$3&gt;(A21stdlife+$E339),('PTRM input'!$H$163*(1+rvanilla02)^0.5)-SUM($H339:AQ339),('PTRM input'!$H$163*(1+rvanilla02)^0.5)/A21stdlife))</f>
        <v>0</v>
      </c>
      <c r="AS339" s="107">
        <f>IF(A21stdlife="n/a","n/a",IF(AS$3&gt;(A21stdlife+$E339),('PTRM input'!$H$163*(1+rvanilla02)^0.5)-SUM($H339:AR339),('PTRM input'!$H$163*(1+rvanilla02)^0.5)/A21stdlife))</f>
        <v>0</v>
      </c>
      <c r="AT339" s="107">
        <f>IF(A21stdlife="n/a","n/a",IF(AT$3&gt;(A21stdlife+$E339),('PTRM input'!$H$163*(1+rvanilla02)^0.5)-SUM($H339:AS339),('PTRM input'!$H$163*(1+rvanilla02)^0.5)/A21stdlife))</f>
        <v>0</v>
      </c>
      <c r="AU339" s="107">
        <f>IF(A21stdlife="n/a","n/a",IF(AU$3&gt;(A21stdlife+$E339),('PTRM input'!$H$163*(1+rvanilla02)^0.5)-SUM($H339:AT339),('PTRM input'!$H$163*(1+rvanilla02)^0.5)/A21stdlife))</f>
        <v>0</v>
      </c>
      <c r="AV339" s="107">
        <f>IF(A21stdlife="n/a","n/a",IF(AV$3&gt;(A21stdlife+$E339),('PTRM input'!$H$163*(1+rvanilla02)^0.5)-SUM($H339:AU339),('PTRM input'!$H$163*(1+rvanilla02)^0.5)/A21stdlife))</f>
        <v>0</v>
      </c>
      <c r="AW339" s="107">
        <f>IF(A21stdlife="n/a","n/a",IF(AW$3&gt;(A21stdlife+$E339),('PTRM input'!$H$163*(1+rvanilla02)^0.5)-SUM($H339:AV339),('PTRM input'!$H$163*(1+rvanilla02)^0.5)/A21stdlife))</f>
        <v>0</v>
      </c>
      <c r="AX339" s="107">
        <f>IF(A21stdlife="n/a","n/a",IF(AX$3&gt;(A21stdlife+$E339),('PTRM input'!$H$163*(1+rvanilla02)^0.5)-SUM($H339:AW339),('PTRM input'!$H$163*(1+rvanilla02)^0.5)/A21stdlife))</f>
        <v>0</v>
      </c>
      <c r="AY339" s="107">
        <f>IF(A21stdlife="n/a","n/a",IF(AY$3&gt;(A21stdlife+$E339),('PTRM input'!$H$163*(1+rvanilla02)^0.5)-SUM($H339:AX339),('PTRM input'!$H$163*(1+rvanilla02)^0.5)/A21stdlife))</f>
        <v>0</v>
      </c>
      <c r="AZ339" s="107">
        <f>IF(A21stdlife="n/a","n/a",IF(AZ$3&gt;(A21stdlife+$E339),('PTRM input'!$H$163*(1+rvanilla02)^0.5)-SUM($H339:AY339),('PTRM input'!$H$163*(1+rvanilla02)^0.5)/A21stdlife))</f>
        <v>0</v>
      </c>
      <c r="BA339" s="107">
        <f>IF(A21stdlife="n/a","n/a",IF(BA$3&gt;(A21stdlife+$E339),('PTRM input'!$H$163*(1+rvanilla02)^0.5)-SUM($H339:AZ339),('PTRM input'!$H$163*(1+rvanilla02)^0.5)/A21stdlife))</f>
        <v>0</v>
      </c>
      <c r="BB339" s="107">
        <f>IF(A21stdlife="n/a","n/a",IF(BB$3&gt;(A21stdlife+$E339),('PTRM input'!$H$163*(1+rvanilla02)^0.5)-SUM($H339:BA339),('PTRM input'!$H$163*(1+rvanilla02)^0.5)/A21stdlife))</f>
        <v>0</v>
      </c>
      <c r="BC339" s="107">
        <f>IF(A21stdlife="n/a","n/a",IF(BC$3&gt;(A21stdlife+$E339),('PTRM input'!$H$163*(1+rvanilla02)^0.5)-SUM($H339:BB339),('PTRM input'!$H$163*(1+rvanilla02)^0.5)/A21stdlife))</f>
        <v>0</v>
      </c>
      <c r="BD339" s="107">
        <f>IF(A21stdlife="n/a","n/a",IF(BD$3&gt;(A21stdlife+$E339),('PTRM input'!$H$163*(1+rvanilla02)^0.5)-SUM($H339:BC339),('PTRM input'!$H$163*(1+rvanilla02)^0.5)/A21stdlife))</f>
        <v>0</v>
      </c>
      <c r="BE339" s="107">
        <f>IF(A21stdlife="n/a","n/a",IF(BE$3&gt;(A21stdlife+$E339),('PTRM input'!$H$163*(1+rvanilla02)^0.5)-SUM($H339:BD339),('PTRM input'!$H$163*(1+rvanilla02)^0.5)/A21stdlife))</f>
        <v>0</v>
      </c>
      <c r="BF339" s="107">
        <f>IF(A21stdlife="n/a","n/a",IF(BF$3&gt;(A21stdlife+$E339),('PTRM input'!$H$163*(1+rvanilla02)^0.5)-SUM($H339:BE339),('PTRM input'!$H$163*(1+rvanilla02)^0.5)/A21stdlife))</f>
        <v>0</v>
      </c>
      <c r="BG339" s="107">
        <f>IF(A21stdlife="n/a","n/a",IF(BG$3&gt;(A21stdlife+$E339),('PTRM input'!$H$163*(1+rvanilla02)^0.5)-SUM($H339:BF339),('PTRM input'!$H$163*(1+rvanilla02)^0.5)/A21stdlife))</f>
        <v>0</v>
      </c>
      <c r="BH339" s="107">
        <f>IF(A21stdlife="n/a","n/a",IF(BH$3&gt;(A21stdlife+$E339),('PTRM input'!$H$163*(1+rvanilla02)^0.5)-SUM($H339:BG339),('PTRM input'!$H$163*(1+rvanilla02)^0.5)/A21stdlife))</f>
        <v>0</v>
      </c>
      <c r="BI339" s="107">
        <f>IF(A21stdlife="n/a","n/a",IF(BI$3&gt;(A21stdlife+$E339),('PTRM input'!$H$163*(1+rvanilla02)^0.5)-SUM($H339:BH339),('PTRM input'!$H$163*(1+rvanilla02)^0.5)/A21stdlife))</f>
        <v>0</v>
      </c>
      <c r="BJ339" s="237"/>
      <c r="BK339" s="237"/>
      <c r="BL339" s="237"/>
      <c r="BM339" s="237"/>
    </row>
    <row r="340" spans="1:65" s="190" customFormat="1" hidden="1" outlineLevel="2">
      <c r="A340" s="237"/>
      <c r="B340" s="33"/>
      <c r="C340" s="32"/>
      <c r="D340" s="1618"/>
      <c r="E340" s="169">
        <v>3</v>
      </c>
      <c r="F340" s="35"/>
      <c r="G340" s="184"/>
      <c r="H340" s="186"/>
      <c r="I340" s="185"/>
      <c r="J340" s="107">
        <f>IF(A21stdlife="n/a","n/a",IF(J$3&gt;(A21stdlife+$E340),('PTRM input'!$I$163*(1+rvanilla03)^0.5)-SUM($I340:I340),('PTRM input'!$I$163*(1+rvanilla03)^0.5)/A21stdlife))</f>
        <v>0</v>
      </c>
      <c r="K340" s="107">
        <f>IF(A21stdlife="n/a","n/a",IF(K$3&gt;(A21stdlife+$E340),('PTRM input'!$I$163*(1+rvanilla03)^0.5)-SUM($I340:J340),('PTRM input'!$I$163*(1+rvanilla03)^0.5)/A21stdlife))</f>
        <v>0</v>
      </c>
      <c r="L340" s="107">
        <f>IF(A21stdlife="n/a","n/a",IF(L$3&gt;(A21stdlife+$E340),('PTRM input'!$I$163*(1+rvanilla03)^0.5)-SUM($I340:K340),('PTRM input'!$I$163*(1+rvanilla03)^0.5)/A21stdlife))</f>
        <v>0</v>
      </c>
      <c r="M340" s="107">
        <f>IF(A21stdlife="n/a","n/a",IF(M$3&gt;(A21stdlife+$E340),('PTRM input'!$I$163*(1+rvanilla03)^0.5)-SUM($I340:L340),('PTRM input'!$I$163*(1+rvanilla03)^0.5)/A21stdlife))</f>
        <v>0</v>
      </c>
      <c r="N340" s="107">
        <f>IF(A21stdlife="n/a","n/a",IF(N$3&gt;(A21stdlife+$E340),('PTRM input'!$I$163*(1+rvanilla03)^0.5)-SUM($I340:M340),('PTRM input'!$I$163*(1+rvanilla03)^0.5)/A21stdlife))</f>
        <v>0</v>
      </c>
      <c r="O340" s="107">
        <f>IF(A21stdlife="n/a","n/a",IF(O$3&gt;(A21stdlife+$E340),('PTRM input'!$I$163*(1+rvanilla03)^0.5)-SUM($I340:N340),('PTRM input'!$I$163*(1+rvanilla03)^0.5)/A21stdlife))</f>
        <v>0</v>
      </c>
      <c r="P340" s="107">
        <f>IF(A21stdlife="n/a","n/a",IF(P$3&gt;(A21stdlife+$E340),('PTRM input'!$I$163*(1+rvanilla03)^0.5)-SUM($I340:O340),('PTRM input'!$I$163*(1+rvanilla03)^0.5)/A21stdlife))</f>
        <v>0</v>
      </c>
      <c r="Q340" s="107">
        <f>IF(A21stdlife="n/a","n/a",IF(Q$3&gt;(A21stdlife+$E340),('PTRM input'!$I$163*(1+rvanilla03)^0.5)-SUM($I340:P340),('PTRM input'!$I$163*(1+rvanilla03)^0.5)/A21stdlife))</f>
        <v>0</v>
      </c>
      <c r="R340" s="107">
        <f>IF(A21stdlife="n/a","n/a",IF(R$3&gt;(A21stdlife+$E340),('PTRM input'!$I$163*(1+rvanilla03)^0.5)-SUM($I340:Q340),('PTRM input'!$I$163*(1+rvanilla03)^0.5)/A21stdlife))</f>
        <v>0</v>
      </c>
      <c r="S340" s="107">
        <f>IF(A21stdlife="n/a","n/a",IF(S$3&gt;(A21stdlife+$E340),('PTRM input'!$I$163*(1+rvanilla03)^0.5)-SUM($I340:R340),('PTRM input'!$I$163*(1+rvanilla03)^0.5)/A21stdlife))</f>
        <v>0</v>
      </c>
      <c r="T340" s="107">
        <f>IF(A21stdlife="n/a","n/a",IF(T$3&gt;(A21stdlife+$E340),('PTRM input'!$I$163*(1+rvanilla03)^0.5)-SUM($I340:S340),('PTRM input'!$I$163*(1+rvanilla03)^0.5)/A21stdlife))</f>
        <v>0</v>
      </c>
      <c r="U340" s="107">
        <f>IF(A21stdlife="n/a","n/a",IF(U$3&gt;(A21stdlife+$E340),('PTRM input'!$I$163*(1+rvanilla03)^0.5)-SUM($I340:T340),('PTRM input'!$I$163*(1+rvanilla03)^0.5)/A21stdlife))</f>
        <v>0</v>
      </c>
      <c r="V340" s="107">
        <f>IF(A21stdlife="n/a","n/a",IF(V$3&gt;(A21stdlife+$E340),('PTRM input'!$I$163*(1+rvanilla03)^0.5)-SUM($I340:U340),('PTRM input'!$I$163*(1+rvanilla03)^0.5)/A21stdlife))</f>
        <v>0</v>
      </c>
      <c r="W340" s="107">
        <f>IF(A21stdlife="n/a","n/a",IF(W$3&gt;(A21stdlife+$E340),('PTRM input'!$I$163*(1+rvanilla03)^0.5)-SUM($I340:V340),('PTRM input'!$I$163*(1+rvanilla03)^0.5)/A21stdlife))</f>
        <v>0</v>
      </c>
      <c r="X340" s="107">
        <f>IF(A21stdlife="n/a","n/a",IF(X$3&gt;(A21stdlife+$E340),('PTRM input'!$I$163*(1+rvanilla03)^0.5)-SUM($I340:W340),('PTRM input'!$I$163*(1+rvanilla03)^0.5)/A21stdlife))</f>
        <v>0</v>
      </c>
      <c r="Y340" s="107">
        <f>IF(A21stdlife="n/a","n/a",IF(Y$3&gt;(A21stdlife+$E340),('PTRM input'!$I$163*(1+rvanilla03)^0.5)-SUM($I340:X340),('PTRM input'!$I$163*(1+rvanilla03)^0.5)/A21stdlife))</f>
        <v>0</v>
      </c>
      <c r="Z340" s="107">
        <f>IF(A21stdlife="n/a","n/a",IF(Z$3&gt;(A21stdlife+$E340),('PTRM input'!$I$163*(1+rvanilla03)^0.5)-SUM($I340:Y340),('PTRM input'!$I$163*(1+rvanilla03)^0.5)/A21stdlife))</f>
        <v>0</v>
      </c>
      <c r="AA340" s="107">
        <f>IF(A21stdlife="n/a","n/a",IF(AA$3&gt;(A21stdlife+$E340),('PTRM input'!$I$163*(1+rvanilla03)^0.5)-SUM($I340:Z340),('PTRM input'!$I$163*(1+rvanilla03)^0.5)/A21stdlife))</f>
        <v>0</v>
      </c>
      <c r="AB340" s="107">
        <f>IF(A21stdlife="n/a","n/a",IF(AB$3&gt;(A21stdlife+$E340),('PTRM input'!$I$163*(1+rvanilla03)^0.5)-SUM($I340:AA340),('PTRM input'!$I$163*(1+rvanilla03)^0.5)/A21stdlife))</f>
        <v>0</v>
      </c>
      <c r="AC340" s="107">
        <f>IF(A21stdlife="n/a","n/a",IF(AC$3&gt;(A21stdlife+$E340),('PTRM input'!$I$163*(1+rvanilla03)^0.5)-SUM($I340:AB340),('PTRM input'!$I$163*(1+rvanilla03)^0.5)/A21stdlife))</f>
        <v>0</v>
      </c>
      <c r="AD340" s="107">
        <f>IF(A21stdlife="n/a","n/a",IF(AD$3&gt;(A21stdlife+$E340),('PTRM input'!$I$163*(1+rvanilla03)^0.5)-SUM($I340:AC340),('PTRM input'!$I$163*(1+rvanilla03)^0.5)/A21stdlife))</f>
        <v>0</v>
      </c>
      <c r="AE340" s="107">
        <f>IF(A21stdlife="n/a","n/a",IF(AE$3&gt;(A21stdlife+$E340),('PTRM input'!$I$163*(1+rvanilla03)^0.5)-SUM($I340:AD340),('PTRM input'!$I$163*(1+rvanilla03)^0.5)/A21stdlife))</f>
        <v>0</v>
      </c>
      <c r="AF340" s="107">
        <f>IF(A21stdlife="n/a","n/a",IF(AF$3&gt;(A21stdlife+$E340),('PTRM input'!$I$163*(1+rvanilla03)^0.5)-SUM($I340:AE340),('PTRM input'!$I$163*(1+rvanilla03)^0.5)/A21stdlife))</f>
        <v>0</v>
      </c>
      <c r="AG340" s="107">
        <f>IF(A21stdlife="n/a","n/a",IF(AG$3&gt;(A21stdlife+$E340),('PTRM input'!$I$163*(1+rvanilla03)^0.5)-SUM($I340:AF340),('PTRM input'!$I$163*(1+rvanilla03)^0.5)/A21stdlife))</f>
        <v>0</v>
      </c>
      <c r="AH340" s="107">
        <f>IF(A21stdlife="n/a","n/a",IF(AH$3&gt;(A21stdlife+$E340),('PTRM input'!$I$163*(1+rvanilla03)^0.5)-SUM($I340:AG340),('PTRM input'!$I$163*(1+rvanilla03)^0.5)/A21stdlife))</f>
        <v>0</v>
      </c>
      <c r="AI340" s="107">
        <f>IF(A21stdlife="n/a","n/a",IF(AI$3&gt;(A21stdlife+$E340),('PTRM input'!$I$163*(1+rvanilla03)^0.5)-SUM($I340:AH340),('PTRM input'!$I$163*(1+rvanilla03)^0.5)/A21stdlife))</f>
        <v>0</v>
      </c>
      <c r="AJ340" s="107">
        <f>IF(A21stdlife="n/a","n/a",IF(AJ$3&gt;(A21stdlife+$E340),('PTRM input'!$I$163*(1+rvanilla03)^0.5)-SUM($I340:AI340),('PTRM input'!$I$163*(1+rvanilla03)^0.5)/A21stdlife))</f>
        <v>0</v>
      </c>
      <c r="AK340" s="107">
        <f>IF(A21stdlife="n/a","n/a",IF(AK$3&gt;(A21stdlife+$E340),('PTRM input'!$I$163*(1+rvanilla03)^0.5)-SUM($I340:AJ340),('PTRM input'!$I$163*(1+rvanilla03)^0.5)/A21stdlife))</f>
        <v>0</v>
      </c>
      <c r="AL340" s="107">
        <f>IF(A21stdlife="n/a","n/a",IF(AL$3&gt;(A21stdlife+$E340),('PTRM input'!$I$163*(1+rvanilla03)^0.5)-SUM($I340:AK340),('PTRM input'!$I$163*(1+rvanilla03)^0.5)/A21stdlife))</f>
        <v>0</v>
      </c>
      <c r="AM340" s="107">
        <f>IF(A21stdlife="n/a","n/a",IF(AM$3&gt;(A21stdlife+$E340),('PTRM input'!$I$163*(1+rvanilla03)^0.5)-SUM($I340:AL340),('PTRM input'!$I$163*(1+rvanilla03)^0.5)/A21stdlife))</f>
        <v>0</v>
      </c>
      <c r="AN340" s="107">
        <f>IF(A21stdlife="n/a","n/a",IF(AN$3&gt;(A21stdlife+$E340),('PTRM input'!$I$163*(1+rvanilla03)^0.5)-SUM($I340:AM340),('PTRM input'!$I$163*(1+rvanilla03)^0.5)/A21stdlife))</f>
        <v>0</v>
      </c>
      <c r="AO340" s="107">
        <f>IF(A21stdlife="n/a","n/a",IF(AO$3&gt;(A21stdlife+$E340),('PTRM input'!$I$163*(1+rvanilla03)^0.5)-SUM($I340:AN340),('PTRM input'!$I$163*(1+rvanilla03)^0.5)/A21stdlife))</f>
        <v>0</v>
      </c>
      <c r="AP340" s="107">
        <f>IF(A21stdlife="n/a","n/a",IF(AP$3&gt;(A21stdlife+$E340),('PTRM input'!$I$163*(1+rvanilla03)^0.5)-SUM($I340:AO340),('PTRM input'!$I$163*(1+rvanilla03)^0.5)/A21stdlife))</f>
        <v>0</v>
      </c>
      <c r="AQ340" s="107">
        <f>IF(A21stdlife="n/a","n/a",IF(AQ$3&gt;(A21stdlife+$E340),('PTRM input'!$I$163*(1+rvanilla03)^0.5)-SUM($I340:AP340),('PTRM input'!$I$163*(1+rvanilla03)^0.5)/A21stdlife))</f>
        <v>0</v>
      </c>
      <c r="AR340" s="107">
        <f>IF(A21stdlife="n/a","n/a",IF(AR$3&gt;(A21stdlife+$E340),('PTRM input'!$I$163*(1+rvanilla03)^0.5)-SUM($I340:AQ340),('PTRM input'!$I$163*(1+rvanilla03)^0.5)/A21stdlife))</f>
        <v>0</v>
      </c>
      <c r="AS340" s="107">
        <f>IF(A21stdlife="n/a","n/a",IF(AS$3&gt;(A21stdlife+$E340),('PTRM input'!$I$163*(1+rvanilla03)^0.5)-SUM($I340:AR340),('PTRM input'!$I$163*(1+rvanilla03)^0.5)/A21stdlife))</f>
        <v>0</v>
      </c>
      <c r="AT340" s="107">
        <f>IF(A21stdlife="n/a","n/a",IF(AT$3&gt;(A21stdlife+$E340),('PTRM input'!$I$163*(1+rvanilla03)^0.5)-SUM($I340:AS340),('PTRM input'!$I$163*(1+rvanilla03)^0.5)/A21stdlife))</f>
        <v>0</v>
      </c>
      <c r="AU340" s="107">
        <f>IF(A21stdlife="n/a","n/a",IF(AU$3&gt;(A21stdlife+$E340),('PTRM input'!$I$163*(1+rvanilla03)^0.5)-SUM($I340:AT340),('PTRM input'!$I$163*(1+rvanilla03)^0.5)/A21stdlife))</f>
        <v>0</v>
      </c>
      <c r="AV340" s="107">
        <f>IF(A21stdlife="n/a","n/a",IF(AV$3&gt;(A21stdlife+$E340),('PTRM input'!$I$163*(1+rvanilla03)^0.5)-SUM($I340:AU340),('PTRM input'!$I$163*(1+rvanilla03)^0.5)/A21stdlife))</f>
        <v>0</v>
      </c>
      <c r="AW340" s="107">
        <f>IF(A21stdlife="n/a","n/a",IF(AW$3&gt;(A21stdlife+$E340),('PTRM input'!$I$163*(1+rvanilla03)^0.5)-SUM($I340:AV340),('PTRM input'!$I$163*(1+rvanilla03)^0.5)/A21stdlife))</f>
        <v>0</v>
      </c>
      <c r="AX340" s="107">
        <f>IF(A21stdlife="n/a","n/a",IF(AX$3&gt;(A21stdlife+$E340),('PTRM input'!$I$163*(1+rvanilla03)^0.5)-SUM($I340:AW340),('PTRM input'!$I$163*(1+rvanilla03)^0.5)/A21stdlife))</f>
        <v>0</v>
      </c>
      <c r="AY340" s="107">
        <f>IF(A21stdlife="n/a","n/a",IF(AY$3&gt;(A21stdlife+$E340),('PTRM input'!$I$163*(1+rvanilla03)^0.5)-SUM($I340:AX340),('PTRM input'!$I$163*(1+rvanilla03)^0.5)/A21stdlife))</f>
        <v>0</v>
      </c>
      <c r="AZ340" s="107">
        <f>IF(A21stdlife="n/a","n/a",IF(AZ$3&gt;(A21stdlife+$E340),('PTRM input'!$I$163*(1+rvanilla03)^0.5)-SUM($I340:AY340),('PTRM input'!$I$163*(1+rvanilla03)^0.5)/A21stdlife))</f>
        <v>0</v>
      </c>
      <c r="BA340" s="107">
        <f>IF(A21stdlife="n/a","n/a",IF(BA$3&gt;(A21stdlife+$E340),('PTRM input'!$I$163*(1+rvanilla03)^0.5)-SUM($I340:AZ340),('PTRM input'!$I$163*(1+rvanilla03)^0.5)/A21stdlife))</f>
        <v>0</v>
      </c>
      <c r="BB340" s="107">
        <f>IF(A21stdlife="n/a","n/a",IF(BB$3&gt;(A21stdlife+$E340),('PTRM input'!$I$163*(1+rvanilla03)^0.5)-SUM($I340:BA340),('PTRM input'!$I$163*(1+rvanilla03)^0.5)/A21stdlife))</f>
        <v>0</v>
      </c>
      <c r="BC340" s="107">
        <f>IF(A21stdlife="n/a","n/a",IF(BC$3&gt;(A21stdlife+$E340),('PTRM input'!$I$163*(1+rvanilla03)^0.5)-SUM($I340:BB340),('PTRM input'!$I$163*(1+rvanilla03)^0.5)/A21stdlife))</f>
        <v>0</v>
      </c>
      <c r="BD340" s="107">
        <f>IF(A21stdlife="n/a","n/a",IF(BD$3&gt;(A21stdlife+$E340),('PTRM input'!$I$163*(1+rvanilla03)^0.5)-SUM($I340:BC340),('PTRM input'!$I$163*(1+rvanilla03)^0.5)/A21stdlife))</f>
        <v>0</v>
      </c>
      <c r="BE340" s="107">
        <f>IF(A21stdlife="n/a","n/a",IF(BE$3&gt;(A21stdlife+$E340),('PTRM input'!$I$163*(1+rvanilla03)^0.5)-SUM($I340:BD340),('PTRM input'!$I$163*(1+rvanilla03)^0.5)/A21stdlife))</f>
        <v>0</v>
      </c>
      <c r="BF340" s="107">
        <f>IF(A21stdlife="n/a","n/a",IF(BF$3&gt;(A21stdlife+$E340),('PTRM input'!$I$163*(1+rvanilla03)^0.5)-SUM($I340:BE340),('PTRM input'!$I$163*(1+rvanilla03)^0.5)/A21stdlife))</f>
        <v>0</v>
      </c>
      <c r="BG340" s="107">
        <f>IF(A21stdlife="n/a","n/a",IF(BG$3&gt;(A21stdlife+$E340),('PTRM input'!$I$163*(1+rvanilla03)^0.5)-SUM($I340:BF340),('PTRM input'!$I$163*(1+rvanilla03)^0.5)/A21stdlife))</f>
        <v>0</v>
      </c>
      <c r="BH340" s="107">
        <f>IF(A21stdlife="n/a","n/a",IF(BH$3&gt;(A21stdlife+$E340),('PTRM input'!$I$163*(1+rvanilla03)^0.5)-SUM($I340:BG340),('PTRM input'!$I$163*(1+rvanilla03)^0.5)/A21stdlife))</f>
        <v>0</v>
      </c>
      <c r="BI340" s="107">
        <f>IF(A21stdlife="n/a","n/a",IF(BI$3&gt;(A21stdlife+$E340),('PTRM input'!$I$163*(1+rvanilla03)^0.5)-SUM($I340:BH340),('PTRM input'!$I$163*(1+rvanilla03)^0.5)/A21stdlife))</f>
        <v>0</v>
      </c>
      <c r="BJ340" s="237"/>
      <c r="BK340" s="237"/>
      <c r="BL340" s="237"/>
      <c r="BM340" s="237"/>
    </row>
    <row r="341" spans="1:65" s="190" customFormat="1" hidden="1" outlineLevel="2">
      <c r="A341" s="237"/>
      <c r="B341" s="33"/>
      <c r="C341" s="32"/>
      <c r="D341" s="1618"/>
      <c r="E341" s="169">
        <v>4</v>
      </c>
      <c r="F341" s="35"/>
      <c r="G341" s="184"/>
      <c r="H341" s="186"/>
      <c r="I341" s="186"/>
      <c r="J341" s="185"/>
      <c r="K341" s="107">
        <f>IF(A21stdlife="n/a","n/a",IF(K$3&gt;(A21stdlife+$E341),('PTRM input'!$J$163*(1+rvanilla04)^0.5)-SUM($J341:J341),('PTRM input'!$J$163*(1+rvanilla04)^0.5)/A21stdlife))</f>
        <v>0</v>
      </c>
      <c r="L341" s="107">
        <f>IF(A21stdlife="n/a","n/a",IF(L$3&gt;(A21stdlife+$E341),('PTRM input'!$J$163*(1+rvanilla04)^0.5)-SUM($J341:K341),('PTRM input'!$J$163*(1+rvanilla04)^0.5)/A21stdlife))</f>
        <v>0</v>
      </c>
      <c r="M341" s="107">
        <f>IF(A21stdlife="n/a","n/a",IF(M$3&gt;(A21stdlife+$E341),('PTRM input'!$J$163*(1+rvanilla04)^0.5)-SUM($J341:L341),('PTRM input'!$J$163*(1+rvanilla04)^0.5)/A21stdlife))</f>
        <v>0</v>
      </c>
      <c r="N341" s="107">
        <f>IF(A21stdlife="n/a","n/a",IF(N$3&gt;(A21stdlife+$E341),('PTRM input'!$J$163*(1+rvanilla04)^0.5)-SUM($J341:M341),('PTRM input'!$J$163*(1+rvanilla04)^0.5)/A21stdlife))</f>
        <v>0</v>
      </c>
      <c r="O341" s="107">
        <f>IF(A21stdlife="n/a","n/a",IF(O$3&gt;(A21stdlife+$E341),('PTRM input'!$J$163*(1+rvanilla04)^0.5)-SUM($J341:N341),('PTRM input'!$J$163*(1+rvanilla04)^0.5)/A21stdlife))</f>
        <v>0</v>
      </c>
      <c r="P341" s="107">
        <f>IF(A21stdlife="n/a","n/a",IF(P$3&gt;(A21stdlife+$E341),('PTRM input'!$J$163*(1+rvanilla04)^0.5)-SUM($J341:O341),('PTRM input'!$J$163*(1+rvanilla04)^0.5)/A21stdlife))</f>
        <v>0</v>
      </c>
      <c r="Q341" s="107">
        <f>IF(A21stdlife="n/a","n/a",IF(Q$3&gt;(A21stdlife+$E341),('PTRM input'!$J$163*(1+rvanilla04)^0.5)-SUM($J341:P341),('PTRM input'!$J$163*(1+rvanilla04)^0.5)/A21stdlife))</f>
        <v>0</v>
      </c>
      <c r="R341" s="107">
        <f>IF(A21stdlife="n/a","n/a",IF(R$3&gt;(A21stdlife+$E341),('PTRM input'!$J$163*(1+rvanilla04)^0.5)-SUM($J341:Q341),('PTRM input'!$J$163*(1+rvanilla04)^0.5)/A21stdlife))</f>
        <v>0</v>
      </c>
      <c r="S341" s="107">
        <f>IF(A21stdlife="n/a","n/a",IF(S$3&gt;(A21stdlife+$E341),('PTRM input'!$J$163*(1+rvanilla04)^0.5)-SUM($J341:R341),('PTRM input'!$J$163*(1+rvanilla04)^0.5)/A21stdlife))</f>
        <v>0</v>
      </c>
      <c r="T341" s="107">
        <f>IF(A21stdlife="n/a","n/a",IF(T$3&gt;(A21stdlife+$E341),('PTRM input'!$J$163*(1+rvanilla04)^0.5)-SUM($J341:S341),('PTRM input'!$J$163*(1+rvanilla04)^0.5)/A21stdlife))</f>
        <v>0</v>
      </c>
      <c r="U341" s="107">
        <f>IF(A21stdlife="n/a","n/a",IF(U$3&gt;(A21stdlife+$E341),('PTRM input'!$J$163*(1+rvanilla04)^0.5)-SUM($J341:T341),('PTRM input'!$J$163*(1+rvanilla04)^0.5)/A21stdlife))</f>
        <v>0</v>
      </c>
      <c r="V341" s="107">
        <f>IF(A21stdlife="n/a","n/a",IF(V$3&gt;(A21stdlife+$E341),('PTRM input'!$J$163*(1+rvanilla04)^0.5)-SUM($J341:U341),('PTRM input'!$J$163*(1+rvanilla04)^0.5)/A21stdlife))</f>
        <v>0</v>
      </c>
      <c r="W341" s="107">
        <f>IF(A21stdlife="n/a","n/a",IF(W$3&gt;(A21stdlife+$E341),('PTRM input'!$J$163*(1+rvanilla04)^0.5)-SUM($J341:V341),('PTRM input'!$J$163*(1+rvanilla04)^0.5)/A21stdlife))</f>
        <v>0</v>
      </c>
      <c r="X341" s="107">
        <f>IF(A21stdlife="n/a","n/a",IF(X$3&gt;(A21stdlife+$E341),('PTRM input'!$J$163*(1+rvanilla04)^0.5)-SUM($J341:W341),('PTRM input'!$J$163*(1+rvanilla04)^0.5)/A21stdlife))</f>
        <v>0</v>
      </c>
      <c r="Y341" s="107">
        <f>IF(A21stdlife="n/a","n/a",IF(Y$3&gt;(A21stdlife+$E341),('PTRM input'!$J$163*(1+rvanilla04)^0.5)-SUM($J341:X341),('PTRM input'!$J$163*(1+rvanilla04)^0.5)/A21stdlife))</f>
        <v>0</v>
      </c>
      <c r="Z341" s="107">
        <f>IF(A21stdlife="n/a","n/a",IF(Z$3&gt;(A21stdlife+$E341),('PTRM input'!$J$163*(1+rvanilla04)^0.5)-SUM($J341:Y341),('PTRM input'!$J$163*(1+rvanilla04)^0.5)/A21stdlife))</f>
        <v>0</v>
      </c>
      <c r="AA341" s="107">
        <f>IF(A21stdlife="n/a","n/a",IF(AA$3&gt;(A21stdlife+$E341),('PTRM input'!$J$163*(1+rvanilla04)^0.5)-SUM($J341:Z341),('PTRM input'!$J$163*(1+rvanilla04)^0.5)/A21stdlife))</f>
        <v>0</v>
      </c>
      <c r="AB341" s="107">
        <f>IF(A21stdlife="n/a","n/a",IF(AB$3&gt;(A21stdlife+$E341),('PTRM input'!$J$163*(1+rvanilla04)^0.5)-SUM($J341:AA341),('PTRM input'!$J$163*(1+rvanilla04)^0.5)/A21stdlife))</f>
        <v>0</v>
      </c>
      <c r="AC341" s="107">
        <f>IF(A21stdlife="n/a","n/a",IF(AC$3&gt;(A21stdlife+$E341),('PTRM input'!$J$163*(1+rvanilla04)^0.5)-SUM($J341:AB341),('PTRM input'!$J$163*(1+rvanilla04)^0.5)/A21stdlife))</f>
        <v>0</v>
      </c>
      <c r="AD341" s="107">
        <f>IF(A21stdlife="n/a","n/a",IF(AD$3&gt;(A21stdlife+$E341),('PTRM input'!$J$163*(1+rvanilla04)^0.5)-SUM($J341:AC341),('PTRM input'!$J$163*(1+rvanilla04)^0.5)/A21stdlife))</f>
        <v>0</v>
      </c>
      <c r="AE341" s="107">
        <f>IF(A21stdlife="n/a","n/a",IF(AE$3&gt;(A21stdlife+$E341),('PTRM input'!$J$163*(1+rvanilla04)^0.5)-SUM($J341:AD341),('PTRM input'!$J$163*(1+rvanilla04)^0.5)/A21stdlife))</f>
        <v>0</v>
      </c>
      <c r="AF341" s="107">
        <f>IF(A21stdlife="n/a","n/a",IF(AF$3&gt;(A21stdlife+$E341),('PTRM input'!$J$163*(1+rvanilla04)^0.5)-SUM($J341:AE341),('PTRM input'!$J$163*(1+rvanilla04)^0.5)/A21stdlife))</f>
        <v>0</v>
      </c>
      <c r="AG341" s="107">
        <f>IF(A21stdlife="n/a","n/a",IF(AG$3&gt;(A21stdlife+$E341),('PTRM input'!$J$163*(1+rvanilla04)^0.5)-SUM($J341:AF341),('PTRM input'!$J$163*(1+rvanilla04)^0.5)/A21stdlife))</f>
        <v>0</v>
      </c>
      <c r="AH341" s="107">
        <f>IF(A21stdlife="n/a","n/a",IF(AH$3&gt;(A21stdlife+$E341),('PTRM input'!$J$163*(1+rvanilla04)^0.5)-SUM($J341:AG341),('PTRM input'!$J$163*(1+rvanilla04)^0.5)/A21stdlife))</f>
        <v>0</v>
      </c>
      <c r="AI341" s="107">
        <f>IF(A21stdlife="n/a","n/a",IF(AI$3&gt;(A21stdlife+$E341),('PTRM input'!$J$163*(1+rvanilla04)^0.5)-SUM($J341:AH341),('PTRM input'!$J$163*(1+rvanilla04)^0.5)/A21stdlife))</f>
        <v>0</v>
      </c>
      <c r="AJ341" s="107">
        <f>IF(A21stdlife="n/a","n/a",IF(AJ$3&gt;(A21stdlife+$E341),('PTRM input'!$J$163*(1+rvanilla04)^0.5)-SUM($J341:AI341),('PTRM input'!$J$163*(1+rvanilla04)^0.5)/A21stdlife))</f>
        <v>0</v>
      </c>
      <c r="AK341" s="107">
        <f>IF(A21stdlife="n/a","n/a",IF(AK$3&gt;(A21stdlife+$E341),('PTRM input'!$J$163*(1+rvanilla04)^0.5)-SUM($J341:AJ341),('PTRM input'!$J$163*(1+rvanilla04)^0.5)/A21stdlife))</f>
        <v>0</v>
      </c>
      <c r="AL341" s="107">
        <f>IF(A21stdlife="n/a","n/a",IF(AL$3&gt;(A21stdlife+$E341),('PTRM input'!$J$163*(1+rvanilla04)^0.5)-SUM($J341:AK341),('PTRM input'!$J$163*(1+rvanilla04)^0.5)/A21stdlife))</f>
        <v>0</v>
      </c>
      <c r="AM341" s="107">
        <f>IF(A21stdlife="n/a","n/a",IF(AM$3&gt;(A21stdlife+$E341),('PTRM input'!$J$163*(1+rvanilla04)^0.5)-SUM($J341:AL341),('PTRM input'!$J$163*(1+rvanilla04)^0.5)/A21stdlife))</f>
        <v>0</v>
      </c>
      <c r="AN341" s="107">
        <f>IF(A21stdlife="n/a","n/a",IF(AN$3&gt;(A21stdlife+$E341),('PTRM input'!$J$163*(1+rvanilla04)^0.5)-SUM($J341:AM341),('PTRM input'!$J$163*(1+rvanilla04)^0.5)/A21stdlife))</f>
        <v>0</v>
      </c>
      <c r="AO341" s="107">
        <f>IF(A21stdlife="n/a","n/a",IF(AO$3&gt;(A21stdlife+$E341),('PTRM input'!$J$163*(1+rvanilla04)^0.5)-SUM($J341:AN341),('PTRM input'!$J$163*(1+rvanilla04)^0.5)/A21stdlife))</f>
        <v>0</v>
      </c>
      <c r="AP341" s="107">
        <f>IF(A21stdlife="n/a","n/a",IF(AP$3&gt;(A21stdlife+$E341),('PTRM input'!$J$163*(1+rvanilla04)^0.5)-SUM($J341:AO341),('PTRM input'!$J$163*(1+rvanilla04)^0.5)/A21stdlife))</f>
        <v>0</v>
      </c>
      <c r="AQ341" s="107">
        <f>IF(A21stdlife="n/a","n/a",IF(AQ$3&gt;(A21stdlife+$E341),('PTRM input'!$J$163*(1+rvanilla04)^0.5)-SUM($J341:AP341),('PTRM input'!$J$163*(1+rvanilla04)^0.5)/A21stdlife))</f>
        <v>0</v>
      </c>
      <c r="AR341" s="107">
        <f>IF(A21stdlife="n/a","n/a",IF(AR$3&gt;(A21stdlife+$E341),('PTRM input'!$J$163*(1+rvanilla04)^0.5)-SUM($J341:AQ341),('PTRM input'!$J$163*(1+rvanilla04)^0.5)/A21stdlife))</f>
        <v>0</v>
      </c>
      <c r="AS341" s="107">
        <f>IF(A21stdlife="n/a","n/a",IF(AS$3&gt;(A21stdlife+$E341),('PTRM input'!$J$163*(1+rvanilla04)^0.5)-SUM($J341:AR341),('PTRM input'!$J$163*(1+rvanilla04)^0.5)/A21stdlife))</f>
        <v>0</v>
      </c>
      <c r="AT341" s="107">
        <f>IF(A21stdlife="n/a","n/a",IF(AT$3&gt;(A21stdlife+$E341),('PTRM input'!$J$163*(1+rvanilla04)^0.5)-SUM($J341:AS341),('PTRM input'!$J$163*(1+rvanilla04)^0.5)/A21stdlife))</f>
        <v>0</v>
      </c>
      <c r="AU341" s="107">
        <f>IF(A21stdlife="n/a","n/a",IF(AU$3&gt;(A21stdlife+$E341),('PTRM input'!$J$163*(1+rvanilla04)^0.5)-SUM($J341:AT341),('PTRM input'!$J$163*(1+rvanilla04)^0.5)/A21stdlife))</f>
        <v>0</v>
      </c>
      <c r="AV341" s="107">
        <f>IF(A21stdlife="n/a","n/a",IF(AV$3&gt;(A21stdlife+$E341),('PTRM input'!$J$163*(1+rvanilla04)^0.5)-SUM($J341:AU341),('PTRM input'!$J$163*(1+rvanilla04)^0.5)/A21stdlife))</f>
        <v>0</v>
      </c>
      <c r="AW341" s="107">
        <f>IF(A21stdlife="n/a","n/a",IF(AW$3&gt;(A21stdlife+$E341),('PTRM input'!$J$163*(1+rvanilla04)^0.5)-SUM($J341:AV341),('PTRM input'!$J$163*(1+rvanilla04)^0.5)/A21stdlife))</f>
        <v>0</v>
      </c>
      <c r="AX341" s="107">
        <f>IF(A21stdlife="n/a","n/a",IF(AX$3&gt;(A21stdlife+$E341),('PTRM input'!$J$163*(1+rvanilla04)^0.5)-SUM($J341:AW341),('PTRM input'!$J$163*(1+rvanilla04)^0.5)/A21stdlife))</f>
        <v>0</v>
      </c>
      <c r="AY341" s="107">
        <f>IF(A21stdlife="n/a","n/a",IF(AY$3&gt;(A21stdlife+$E341),('PTRM input'!$J$163*(1+rvanilla04)^0.5)-SUM($J341:AX341),('PTRM input'!$J$163*(1+rvanilla04)^0.5)/A21stdlife))</f>
        <v>0</v>
      </c>
      <c r="AZ341" s="107">
        <f>IF(A21stdlife="n/a","n/a",IF(AZ$3&gt;(A21stdlife+$E341),('PTRM input'!$J$163*(1+rvanilla04)^0.5)-SUM($J341:AY341),('PTRM input'!$J$163*(1+rvanilla04)^0.5)/A21stdlife))</f>
        <v>0</v>
      </c>
      <c r="BA341" s="107">
        <f>IF(A21stdlife="n/a","n/a",IF(BA$3&gt;(A21stdlife+$E341),('PTRM input'!$J$163*(1+rvanilla04)^0.5)-SUM($J341:AZ341),('PTRM input'!$J$163*(1+rvanilla04)^0.5)/A21stdlife))</f>
        <v>0</v>
      </c>
      <c r="BB341" s="107">
        <f>IF(A21stdlife="n/a","n/a",IF(BB$3&gt;(A21stdlife+$E341),('PTRM input'!$J$163*(1+rvanilla04)^0.5)-SUM($J341:BA341),('PTRM input'!$J$163*(1+rvanilla04)^0.5)/A21stdlife))</f>
        <v>0</v>
      </c>
      <c r="BC341" s="107">
        <f>IF(A21stdlife="n/a","n/a",IF(BC$3&gt;(A21stdlife+$E341),('PTRM input'!$J$163*(1+rvanilla04)^0.5)-SUM($J341:BB341),('PTRM input'!$J$163*(1+rvanilla04)^0.5)/A21stdlife))</f>
        <v>0</v>
      </c>
      <c r="BD341" s="107">
        <f>IF(A21stdlife="n/a","n/a",IF(BD$3&gt;(A21stdlife+$E341),('PTRM input'!$J$163*(1+rvanilla04)^0.5)-SUM($J341:BC341),('PTRM input'!$J$163*(1+rvanilla04)^0.5)/A21stdlife))</f>
        <v>0</v>
      </c>
      <c r="BE341" s="107">
        <f>IF(A21stdlife="n/a","n/a",IF(BE$3&gt;(A21stdlife+$E341),('PTRM input'!$J$163*(1+rvanilla04)^0.5)-SUM($J341:BD341),('PTRM input'!$J$163*(1+rvanilla04)^0.5)/A21stdlife))</f>
        <v>0</v>
      </c>
      <c r="BF341" s="107">
        <f>IF(A21stdlife="n/a","n/a",IF(BF$3&gt;(A21stdlife+$E341),('PTRM input'!$J$163*(1+rvanilla04)^0.5)-SUM($J341:BE341),('PTRM input'!$J$163*(1+rvanilla04)^0.5)/A21stdlife))</f>
        <v>0</v>
      </c>
      <c r="BG341" s="107">
        <f>IF(A21stdlife="n/a","n/a",IF(BG$3&gt;(A21stdlife+$E341),('PTRM input'!$J$163*(1+rvanilla04)^0.5)-SUM($J341:BF341),('PTRM input'!$J$163*(1+rvanilla04)^0.5)/A21stdlife))</f>
        <v>0</v>
      </c>
      <c r="BH341" s="107">
        <f>IF(A21stdlife="n/a","n/a",IF(BH$3&gt;(A21stdlife+$E341),('PTRM input'!$J$163*(1+rvanilla04)^0.5)-SUM($J341:BG341),('PTRM input'!$J$163*(1+rvanilla04)^0.5)/A21stdlife))</f>
        <v>0</v>
      </c>
      <c r="BI341" s="107">
        <f>IF(A21stdlife="n/a","n/a",IF(BI$3&gt;(A21stdlife+$E341),('PTRM input'!$J$163*(1+rvanilla04)^0.5)-SUM($J341:BH341),('PTRM input'!$J$163*(1+rvanilla04)^0.5)/A21stdlife))</f>
        <v>0</v>
      </c>
      <c r="BJ341" s="237"/>
      <c r="BK341" s="237"/>
      <c r="BL341" s="237"/>
      <c r="BM341" s="237"/>
    </row>
    <row r="342" spans="1:65" s="190" customFormat="1" hidden="1" outlineLevel="2">
      <c r="A342" s="237"/>
      <c r="B342" s="33"/>
      <c r="C342" s="32"/>
      <c r="D342" s="1618"/>
      <c r="E342" s="169">
        <v>5</v>
      </c>
      <c r="F342" s="35"/>
      <c r="G342" s="184"/>
      <c r="H342" s="186"/>
      <c r="I342" s="186"/>
      <c r="J342" s="186"/>
      <c r="K342" s="185"/>
      <c r="L342" s="107">
        <f>IF(A21stdlife="n/a","n/a",IF(L$3&gt;(A21stdlife+$E342),('PTRM input'!$K$163*(1+rvanilla05)^0.5)-SUM($K342:K342),('PTRM input'!$K$163*(1+rvanilla05)^0.5)/A21stdlife))</f>
        <v>0</v>
      </c>
      <c r="M342" s="107">
        <f>IF(A21stdlife="n/a","n/a",IF(M$3&gt;(A21stdlife+$E342),('PTRM input'!$K$163*(1+rvanilla05)^0.5)-SUM($K342:L342),('PTRM input'!$K$163*(1+rvanilla05)^0.5)/A21stdlife))</f>
        <v>0</v>
      </c>
      <c r="N342" s="107">
        <f>IF(A21stdlife="n/a","n/a",IF(N$3&gt;(A21stdlife+$E342),('PTRM input'!$K$163*(1+rvanilla05)^0.5)-SUM($K342:M342),('PTRM input'!$K$163*(1+rvanilla05)^0.5)/A21stdlife))</f>
        <v>0</v>
      </c>
      <c r="O342" s="107">
        <f>IF(A21stdlife="n/a","n/a",IF(O$3&gt;(A21stdlife+$E342),('PTRM input'!$K$163*(1+rvanilla05)^0.5)-SUM($K342:N342),('PTRM input'!$K$163*(1+rvanilla05)^0.5)/A21stdlife))</f>
        <v>0</v>
      </c>
      <c r="P342" s="107">
        <f>IF(A21stdlife="n/a","n/a",IF(P$3&gt;(A21stdlife+$E342),('PTRM input'!$K$163*(1+rvanilla05)^0.5)-SUM($K342:O342),('PTRM input'!$K$163*(1+rvanilla05)^0.5)/A21stdlife))</f>
        <v>0</v>
      </c>
      <c r="Q342" s="107">
        <f>IF(A21stdlife="n/a","n/a",IF(Q$3&gt;(A21stdlife+$E342),('PTRM input'!$K$163*(1+rvanilla05)^0.5)-SUM($K342:P342),('PTRM input'!$K$163*(1+rvanilla05)^0.5)/A21stdlife))</f>
        <v>0</v>
      </c>
      <c r="R342" s="107">
        <f>IF(A21stdlife="n/a","n/a",IF(R$3&gt;(A21stdlife+$E342),('PTRM input'!$K$163*(1+rvanilla05)^0.5)-SUM($K342:Q342),('PTRM input'!$K$163*(1+rvanilla05)^0.5)/A21stdlife))</f>
        <v>0</v>
      </c>
      <c r="S342" s="107">
        <f>IF(A21stdlife="n/a","n/a",IF(S$3&gt;(A21stdlife+$E342),('PTRM input'!$K$163*(1+rvanilla05)^0.5)-SUM($K342:R342),('PTRM input'!$K$163*(1+rvanilla05)^0.5)/A21stdlife))</f>
        <v>0</v>
      </c>
      <c r="T342" s="107">
        <f>IF(A21stdlife="n/a","n/a",IF(T$3&gt;(A21stdlife+$E342),('PTRM input'!$K$163*(1+rvanilla05)^0.5)-SUM($K342:S342),('PTRM input'!$K$163*(1+rvanilla05)^0.5)/A21stdlife))</f>
        <v>0</v>
      </c>
      <c r="U342" s="107">
        <f>IF(A21stdlife="n/a","n/a",IF(U$3&gt;(A21stdlife+$E342),('PTRM input'!$K$163*(1+rvanilla05)^0.5)-SUM($K342:T342),('PTRM input'!$K$163*(1+rvanilla05)^0.5)/A21stdlife))</f>
        <v>0</v>
      </c>
      <c r="V342" s="107">
        <f>IF(A21stdlife="n/a","n/a",IF(V$3&gt;(A21stdlife+$E342),('PTRM input'!$K$163*(1+rvanilla05)^0.5)-SUM($K342:U342),('PTRM input'!$K$163*(1+rvanilla05)^0.5)/A21stdlife))</f>
        <v>0</v>
      </c>
      <c r="W342" s="107">
        <f>IF(A21stdlife="n/a","n/a",IF(W$3&gt;(A21stdlife+$E342),('PTRM input'!$K$163*(1+rvanilla05)^0.5)-SUM($K342:V342),('PTRM input'!$K$163*(1+rvanilla05)^0.5)/A21stdlife))</f>
        <v>0</v>
      </c>
      <c r="X342" s="107">
        <f>IF(A21stdlife="n/a","n/a",IF(X$3&gt;(A21stdlife+$E342),('PTRM input'!$K$163*(1+rvanilla05)^0.5)-SUM($K342:W342),('PTRM input'!$K$163*(1+rvanilla05)^0.5)/A21stdlife))</f>
        <v>0</v>
      </c>
      <c r="Y342" s="107">
        <f>IF(A21stdlife="n/a","n/a",IF(Y$3&gt;(A21stdlife+$E342),('PTRM input'!$K$163*(1+rvanilla05)^0.5)-SUM($K342:X342),('PTRM input'!$K$163*(1+rvanilla05)^0.5)/A21stdlife))</f>
        <v>0</v>
      </c>
      <c r="Z342" s="107">
        <f>IF(A21stdlife="n/a","n/a",IF(Z$3&gt;(A21stdlife+$E342),('PTRM input'!$K$163*(1+rvanilla05)^0.5)-SUM($K342:Y342),('PTRM input'!$K$163*(1+rvanilla05)^0.5)/A21stdlife))</f>
        <v>0</v>
      </c>
      <c r="AA342" s="107">
        <f>IF(A21stdlife="n/a","n/a",IF(AA$3&gt;(A21stdlife+$E342),('PTRM input'!$K$163*(1+rvanilla05)^0.5)-SUM($K342:Z342),('PTRM input'!$K$163*(1+rvanilla05)^0.5)/A21stdlife))</f>
        <v>0</v>
      </c>
      <c r="AB342" s="107">
        <f>IF(A21stdlife="n/a","n/a",IF(AB$3&gt;(A21stdlife+$E342),('PTRM input'!$K$163*(1+rvanilla05)^0.5)-SUM($K342:AA342),('PTRM input'!$K$163*(1+rvanilla05)^0.5)/A21stdlife))</f>
        <v>0</v>
      </c>
      <c r="AC342" s="107">
        <f>IF(A21stdlife="n/a","n/a",IF(AC$3&gt;(A21stdlife+$E342),('PTRM input'!$K$163*(1+rvanilla05)^0.5)-SUM($K342:AB342),('PTRM input'!$K$163*(1+rvanilla05)^0.5)/A21stdlife))</f>
        <v>0</v>
      </c>
      <c r="AD342" s="107">
        <f>IF(A21stdlife="n/a","n/a",IF(AD$3&gt;(A21stdlife+$E342),('PTRM input'!$K$163*(1+rvanilla05)^0.5)-SUM($K342:AC342),('PTRM input'!$K$163*(1+rvanilla05)^0.5)/A21stdlife))</f>
        <v>0</v>
      </c>
      <c r="AE342" s="107">
        <f>IF(A21stdlife="n/a","n/a",IF(AE$3&gt;(A21stdlife+$E342),('PTRM input'!$K$163*(1+rvanilla05)^0.5)-SUM($K342:AD342),('PTRM input'!$K$163*(1+rvanilla05)^0.5)/A21stdlife))</f>
        <v>0</v>
      </c>
      <c r="AF342" s="107">
        <f>IF(A21stdlife="n/a","n/a",IF(AF$3&gt;(A21stdlife+$E342),('PTRM input'!$K$163*(1+rvanilla05)^0.5)-SUM($K342:AE342),('PTRM input'!$K$163*(1+rvanilla05)^0.5)/A21stdlife))</f>
        <v>0</v>
      </c>
      <c r="AG342" s="107">
        <f>IF(A21stdlife="n/a","n/a",IF(AG$3&gt;(A21stdlife+$E342),('PTRM input'!$K$163*(1+rvanilla05)^0.5)-SUM($K342:AF342),('PTRM input'!$K$163*(1+rvanilla05)^0.5)/A21stdlife))</f>
        <v>0</v>
      </c>
      <c r="AH342" s="107">
        <f>IF(A21stdlife="n/a","n/a",IF(AH$3&gt;(A21stdlife+$E342),('PTRM input'!$K$163*(1+rvanilla05)^0.5)-SUM($K342:AG342),('PTRM input'!$K$163*(1+rvanilla05)^0.5)/A21stdlife))</f>
        <v>0</v>
      </c>
      <c r="AI342" s="107">
        <f>IF(A21stdlife="n/a","n/a",IF(AI$3&gt;(A21stdlife+$E342),('PTRM input'!$K$163*(1+rvanilla05)^0.5)-SUM($K342:AH342),('PTRM input'!$K$163*(1+rvanilla05)^0.5)/A21stdlife))</f>
        <v>0</v>
      </c>
      <c r="AJ342" s="107">
        <f>IF(A21stdlife="n/a","n/a",IF(AJ$3&gt;(A21stdlife+$E342),('PTRM input'!$K$163*(1+rvanilla05)^0.5)-SUM($K342:AI342),('PTRM input'!$K$163*(1+rvanilla05)^0.5)/A21stdlife))</f>
        <v>0</v>
      </c>
      <c r="AK342" s="107">
        <f>IF(A21stdlife="n/a","n/a",IF(AK$3&gt;(A21stdlife+$E342),('PTRM input'!$K$163*(1+rvanilla05)^0.5)-SUM($K342:AJ342),('PTRM input'!$K$163*(1+rvanilla05)^0.5)/A21stdlife))</f>
        <v>0</v>
      </c>
      <c r="AL342" s="107">
        <f>IF(A21stdlife="n/a","n/a",IF(AL$3&gt;(A21stdlife+$E342),('PTRM input'!$K$163*(1+rvanilla05)^0.5)-SUM($K342:AK342),('PTRM input'!$K$163*(1+rvanilla05)^0.5)/A21stdlife))</f>
        <v>0</v>
      </c>
      <c r="AM342" s="107">
        <f>IF(A21stdlife="n/a","n/a",IF(AM$3&gt;(A21stdlife+$E342),('PTRM input'!$K$163*(1+rvanilla05)^0.5)-SUM($K342:AL342),('PTRM input'!$K$163*(1+rvanilla05)^0.5)/A21stdlife))</f>
        <v>0</v>
      </c>
      <c r="AN342" s="107">
        <f>IF(A21stdlife="n/a","n/a",IF(AN$3&gt;(A21stdlife+$E342),('PTRM input'!$K$163*(1+rvanilla05)^0.5)-SUM($K342:AM342),('PTRM input'!$K$163*(1+rvanilla05)^0.5)/A21stdlife))</f>
        <v>0</v>
      </c>
      <c r="AO342" s="107">
        <f>IF(A21stdlife="n/a","n/a",IF(AO$3&gt;(A21stdlife+$E342),('PTRM input'!$K$163*(1+rvanilla05)^0.5)-SUM($K342:AN342),('PTRM input'!$K$163*(1+rvanilla05)^0.5)/A21stdlife))</f>
        <v>0</v>
      </c>
      <c r="AP342" s="107">
        <f>IF(A21stdlife="n/a","n/a",IF(AP$3&gt;(A21stdlife+$E342),('PTRM input'!$K$163*(1+rvanilla05)^0.5)-SUM($K342:AO342),('PTRM input'!$K$163*(1+rvanilla05)^0.5)/A21stdlife))</f>
        <v>0</v>
      </c>
      <c r="AQ342" s="107">
        <f>IF(A21stdlife="n/a","n/a",IF(AQ$3&gt;(A21stdlife+$E342),('PTRM input'!$K$163*(1+rvanilla05)^0.5)-SUM($K342:AP342),('PTRM input'!$K$163*(1+rvanilla05)^0.5)/A21stdlife))</f>
        <v>0</v>
      </c>
      <c r="AR342" s="107">
        <f>IF(A21stdlife="n/a","n/a",IF(AR$3&gt;(A21stdlife+$E342),('PTRM input'!$K$163*(1+rvanilla05)^0.5)-SUM($K342:AQ342),('PTRM input'!$K$163*(1+rvanilla05)^0.5)/A21stdlife))</f>
        <v>0</v>
      </c>
      <c r="AS342" s="107">
        <f>IF(A21stdlife="n/a","n/a",IF(AS$3&gt;(A21stdlife+$E342),('PTRM input'!$K$163*(1+rvanilla05)^0.5)-SUM($K342:AR342),('PTRM input'!$K$163*(1+rvanilla05)^0.5)/A21stdlife))</f>
        <v>0</v>
      </c>
      <c r="AT342" s="107">
        <f>IF(A21stdlife="n/a","n/a",IF(AT$3&gt;(A21stdlife+$E342),('PTRM input'!$K$163*(1+rvanilla05)^0.5)-SUM($K342:AS342),('PTRM input'!$K$163*(1+rvanilla05)^0.5)/A21stdlife))</f>
        <v>0</v>
      </c>
      <c r="AU342" s="107">
        <f>IF(A21stdlife="n/a","n/a",IF(AU$3&gt;(A21stdlife+$E342),('PTRM input'!$K$163*(1+rvanilla05)^0.5)-SUM($K342:AT342),('PTRM input'!$K$163*(1+rvanilla05)^0.5)/A21stdlife))</f>
        <v>0</v>
      </c>
      <c r="AV342" s="107">
        <f>IF(A21stdlife="n/a","n/a",IF(AV$3&gt;(A21stdlife+$E342),('PTRM input'!$K$163*(1+rvanilla05)^0.5)-SUM($K342:AU342),('PTRM input'!$K$163*(1+rvanilla05)^0.5)/A21stdlife))</f>
        <v>0</v>
      </c>
      <c r="AW342" s="107">
        <f>IF(A21stdlife="n/a","n/a",IF(AW$3&gt;(A21stdlife+$E342),('PTRM input'!$K$163*(1+rvanilla05)^0.5)-SUM($K342:AV342),('PTRM input'!$K$163*(1+rvanilla05)^0.5)/A21stdlife))</f>
        <v>0</v>
      </c>
      <c r="AX342" s="107">
        <f>IF(A21stdlife="n/a","n/a",IF(AX$3&gt;(A21stdlife+$E342),('PTRM input'!$K$163*(1+rvanilla05)^0.5)-SUM($K342:AW342),('PTRM input'!$K$163*(1+rvanilla05)^0.5)/A21stdlife))</f>
        <v>0</v>
      </c>
      <c r="AY342" s="107">
        <f>IF(A21stdlife="n/a","n/a",IF(AY$3&gt;(A21stdlife+$E342),('PTRM input'!$K$163*(1+rvanilla05)^0.5)-SUM($K342:AX342),('PTRM input'!$K$163*(1+rvanilla05)^0.5)/A21stdlife))</f>
        <v>0</v>
      </c>
      <c r="AZ342" s="107">
        <f>IF(A21stdlife="n/a","n/a",IF(AZ$3&gt;(A21stdlife+$E342),('PTRM input'!$K$163*(1+rvanilla05)^0.5)-SUM($K342:AY342),('PTRM input'!$K$163*(1+rvanilla05)^0.5)/A21stdlife))</f>
        <v>0</v>
      </c>
      <c r="BA342" s="107">
        <f>IF(A21stdlife="n/a","n/a",IF(BA$3&gt;(A21stdlife+$E342),('PTRM input'!$K$163*(1+rvanilla05)^0.5)-SUM($K342:AZ342),('PTRM input'!$K$163*(1+rvanilla05)^0.5)/A21stdlife))</f>
        <v>0</v>
      </c>
      <c r="BB342" s="107">
        <f>IF(A21stdlife="n/a","n/a",IF(BB$3&gt;(A21stdlife+$E342),('PTRM input'!$K$163*(1+rvanilla05)^0.5)-SUM($K342:BA342),('PTRM input'!$K$163*(1+rvanilla05)^0.5)/A21stdlife))</f>
        <v>0</v>
      </c>
      <c r="BC342" s="107">
        <f>IF(A21stdlife="n/a","n/a",IF(BC$3&gt;(A21stdlife+$E342),('PTRM input'!$K$163*(1+rvanilla05)^0.5)-SUM($K342:BB342),('PTRM input'!$K$163*(1+rvanilla05)^0.5)/A21stdlife))</f>
        <v>0</v>
      </c>
      <c r="BD342" s="107">
        <f>IF(A21stdlife="n/a","n/a",IF(BD$3&gt;(A21stdlife+$E342),('PTRM input'!$K$163*(1+rvanilla05)^0.5)-SUM($K342:BC342),('PTRM input'!$K$163*(1+rvanilla05)^0.5)/A21stdlife))</f>
        <v>0</v>
      </c>
      <c r="BE342" s="107">
        <f>IF(A21stdlife="n/a","n/a",IF(BE$3&gt;(A21stdlife+$E342),('PTRM input'!$K$163*(1+rvanilla05)^0.5)-SUM($K342:BD342),('PTRM input'!$K$163*(1+rvanilla05)^0.5)/A21stdlife))</f>
        <v>0</v>
      </c>
      <c r="BF342" s="107">
        <f>IF(A21stdlife="n/a","n/a",IF(BF$3&gt;(A21stdlife+$E342),('PTRM input'!$K$163*(1+rvanilla05)^0.5)-SUM($K342:BE342),('PTRM input'!$K$163*(1+rvanilla05)^0.5)/A21stdlife))</f>
        <v>0</v>
      </c>
      <c r="BG342" s="107">
        <f>IF(A21stdlife="n/a","n/a",IF(BG$3&gt;(A21stdlife+$E342),('PTRM input'!$K$163*(1+rvanilla05)^0.5)-SUM($K342:BF342),('PTRM input'!$K$163*(1+rvanilla05)^0.5)/A21stdlife))</f>
        <v>0</v>
      </c>
      <c r="BH342" s="107">
        <f>IF(A21stdlife="n/a","n/a",IF(BH$3&gt;(A21stdlife+$E342),('PTRM input'!$K$163*(1+rvanilla05)^0.5)-SUM($K342:BG342),('PTRM input'!$K$163*(1+rvanilla05)^0.5)/A21stdlife))</f>
        <v>0</v>
      </c>
      <c r="BI342" s="107">
        <f>IF(A21stdlife="n/a","n/a",IF(BI$3&gt;(A21stdlife+$E342),('PTRM input'!$K$163*(1+rvanilla05)^0.5)-SUM($K342:BH342),('PTRM input'!$K$163*(1+rvanilla05)^0.5)/A21stdlife))</f>
        <v>0</v>
      </c>
      <c r="BJ342" s="237"/>
      <c r="BK342" s="237"/>
      <c r="BL342" s="237"/>
      <c r="BM342" s="237"/>
    </row>
    <row r="343" spans="1:65" s="190" customFormat="1" hidden="1" outlineLevel="2">
      <c r="A343" s="237"/>
      <c r="B343" s="33"/>
      <c r="C343" s="32"/>
      <c r="D343" s="1618"/>
      <c r="E343" s="169">
        <v>6</v>
      </c>
      <c r="F343" s="35"/>
      <c r="G343" s="184"/>
      <c r="H343" s="186"/>
      <c r="I343" s="186"/>
      <c r="J343" s="186"/>
      <c r="K343" s="186"/>
      <c r="L343" s="185"/>
      <c r="M343" s="107">
        <f>IF(A21stdlife="n/a","n/a",IF(M$3&gt;(A21stdlife+$E343),('PTRM input'!$L$163*(1+rvanilla06)^0.5)-SUM($L343:L343),('PTRM input'!$L$163*(1+rvanilla06)^0.5)/A21stdlife))</f>
        <v>0</v>
      </c>
      <c r="N343" s="107">
        <f>IF(A21stdlife="n/a","n/a",IF(N$3&gt;(A21stdlife+$E343),('PTRM input'!$L$163*(1+rvanilla06)^0.5)-SUM($L343:M343),('PTRM input'!$L$163*(1+rvanilla06)^0.5)/A21stdlife))</f>
        <v>0</v>
      </c>
      <c r="O343" s="107">
        <f>IF(A21stdlife="n/a","n/a",IF(O$3&gt;(A21stdlife+$E343),('PTRM input'!$L$163*(1+rvanilla06)^0.5)-SUM($L343:N343),('PTRM input'!$L$163*(1+rvanilla06)^0.5)/A21stdlife))</f>
        <v>0</v>
      </c>
      <c r="P343" s="107">
        <f>IF(A21stdlife="n/a","n/a",IF(P$3&gt;(A21stdlife+$E343),('PTRM input'!$L$163*(1+rvanilla06)^0.5)-SUM($L343:O343),('PTRM input'!$L$163*(1+rvanilla06)^0.5)/A21stdlife))</f>
        <v>0</v>
      </c>
      <c r="Q343" s="107">
        <f>IF(A21stdlife="n/a","n/a",IF(Q$3&gt;(A21stdlife+$E343),('PTRM input'!$L$163*(1+rvanilla06)^0.5)-SUM($L343:P343),('PTRM input'!$L$163*(1+rvanilla06)^0.5)/A21stdlife))</f>
        <v>0</v>
      </c>
      <c r="R343" s="107">
        <f>IF(A21stdlife="n/a","n/a",IF(R$3&gt;(A21stdlife+$E343),('PTRM input'!$L$163*(1+rvanilla06)^0.5)-SUM($L343:Q343),('PTRM input'!$L$163*(1+rvanilla06)^0.5)/A21stdlife))</f>
        <v>0</v>
      </c>
      <c r="S343" s="107">
        <f>IF(A21stdlife="n/a","n/a",IF(S$3&gt;(A21stdlife+$E343),('PTRM input'!$L$163*(1+rvanilla06)^0.5)-SUM($L343:R343),('PTRM input'!$L$163*(1+rvanilla06)^0.5)/A21stdlife))</f>
        <v>0</v>
      </c>
      <c r="T343" s="107">
        <f>IF(A21stdlife="n/a","n/a",IF(T$3&gt;(A21stdlife+$E343),('PTRM input'!$L$163*(1+rvanilla06)^0.5)-SUM($L343:S343),('PTRM input'!$L$163*(1+rvanilla06)^0.5)/A21stdlife))</f>
        <v>0</v>
      </c>
      <c r="U343" s="107">
        <f>IF(A21stdlife="n/a","n/a",IF(U$3&gt;(A21stdlife+$E343),('PTRM input'!$L$163*(1+rvanilla06)^0.5)-SUM($L343:T343),('PTRM input'!$L$163*(1+rvanilla06)^0.5)/A21stdlife))</f>
        <v>0</v>
      </c>
      <c r="V343" s="107">
        <f>IF(A21stdlife="n/a","n/a",IF(V$3&gt;(A21stdlife+$E343),('PTRM input'!$L$163*(1+rvanilla06)^0.5)-SUM($L343:U343),('PTRM input'!$L$163*(1+rvanilla06)^0.5)/A21stdlife))</f>
        <v>0</v>
      </c>
      <c r="W343" s="107">
        <f>IF(A21stdlife="n/a","n/a",IF(W$3&gt;(A21stdlife+$E343),('PTRM input'!$L$163*(1+rvanilla06)^0.5)-SUM($L343:V343),('PTRM input'!$L$163*(1+rvanilla06)^0.5)/A21stdlife))</f>
        <v>0</v>
      </c>
      <c r="X343" s="107">
        <f>IF(A21stdlife="n/a","n/a",IF(X$3&gt;(A21stdlife+$E343),('PTRM input'!$L$163*(1+rvanilla06)^0.5)-SUM($L343:W343),('PTRM input'!$L$163*(1+rvanilla06)^0.5)/A21stdlife))</f>
        <v>0</v>
      </c>
      <c r="Y343" s="107">
        <f>IF(A21stdlife="n/a","n/a",IF(Y$3&gt;(A21stdlife+$E343),('PTRM input'!$L$163*(1+rvanilla06)^0.5)-SUM($L343:X343),('PTRM input'!$L$163*(1+rvanilla06)^0.5)/A21stdlife))</f>
        <v>0</v>
      </c>
      <c r="Z343" s="107">
        <f>IF(A21stdlife="n/a","n/a",IF(Z$3&gt;(A21stdlife+$E343),('PTRM input'!$L$163*(1+rvanilla06)^0.5)-SUM($L343:Y343),('PTRM input'!$L$163*(1+rvanilla06)^0.5)/A21stdlife))</f>
        <v>0</v>
      </c>
      <c r="AA343" s="107">
        <f>IF(A21stdlife="n/a","n/a",IF(AA$3&gt;(A21stdlife+$E343),('PTRM input'!$L$163*(1+rvanilla06)^0.5)-SUM($L343:Z343),('PTRM input'!$L$163*(1+rvanilla06)^0.5)/A21stdlife))</f>
        <v>0</v>
      </c>
      <c r="AB343" s="107">
        <f>IF(A21stdlife="n/a","n/a",IF(AB$3&gt;(A21stdlife+$E343),('PTRM input'!$L$163*(1+rvanilla06)^0.5)-SUM($L343:AA343),('PTRM input'!$L$163*(1+rvanilla06)^0.5)/A21stdlife))</f>
        <v>0</v>
      </c>
      <c r="AC343" s="107">
        <f>IF(A21stdlife="n/a","n/a",IF(AC$3&gt;(A21stdlife+$E343),('PTRM input'!$L$163*(1+rvanilla06)^0.5)-SUM($L343:AB343),('PTRM input'!$L$163*(1+rvanilla06)^0.5)/A21stdlife))</f>
        <v>0</v>
      </c>
      <c r="AD343" s="107">
        <f>IF(A21stdlife="n/a","n/a",IF(AD$3&gt;(A21stdlife+$E343),('PTRM input'!$L$163*(1+rvanilla06)^0.5)-SUM($L343:AC343),('PTRM input'!$L$163*(1+rvanilla06)^0.5)/A21stdlife))</f>
        <v>0</v>
      </c>
      <c r="AE343" s="107">
        <f>IF(A21stdlife="n/a","n/a",IF(AE$3&gt;(A21stdlife+$E343),('PTRM input'!$L$163*(1+rvanilla06)^0.5)-SUM($L343:AD343),('PTRM input'!$L$163*(1+rvanilla06)^0.5)/A21stdlife))</f>
        <v>0</v>
      </c>
      <c r="AF343" s="107">
        <f>IF(A21stdlife="n/a","n/a",IF(AF$3&gt;(A21stdlife+$E343),('PTRM input'!$L$163*(1+rvanilla06)^0.5)-SUM($L343:AE343),('PTRM input'!$L$163*(1+rvanilla06)^0.5)/A21stdlife))</f>
        <v>0</v>
      </c>
      <c r="AG343" s="107">
        <f>IF(A21stdlife="n/a","n/a",IF(AG$3&gt;(A21stdlife+$E343),('PTRM input'!$L$163*(1+rvanilla06)^0.5)-SUM($L343:AF343),('PTRM input'!$L$163*(1+rvanilla06)^0.5)/A21stdlife))</f>
        <v>0</v>
      </c>
      <c r="AH343" s="107">
        <f>IF(A21stdlife="n/a","n/a",IF(AH$3&gt;(A21stdlife+$E343),('PTRM input'!$L$163*(1+rvanilla06)^0.5)-SUM($L343:AG343),('PTRM input'!$L$163*(1+rvanilla06)^0.5)/A21stdlife))</f>
        <v>0</v>
      </c>
      <c r="AI343" s="107">
        <f>IF(A21stdlife="n/a","n/a",IF(AI$3&gt;(A21stdlife+$E343),('PTRM input'!$L$163*(1+rvanilla06)^0.5)-SUM($L343:AH343),('PTRM input'!$L$163*(1+rvanilla06)^0.5)/A21stdlife))</f>
        <v>0</v>
      </c>
      <c r="AJ343" s="107">
        <f>IF(A21stdlife="n/a","n/a",IF(AJ$3&gt;(A21stdlife+$E343),('PTRM input'!$L$163*(1+rvanilla06)^0.5)-SUM($L343:AI343),('PTRM input'!$L$163*(1+rvanilla06)^0.5)/A21stdlife))</f>
        <v>0</v>
      </c>
      <c r="AK343" s="107">
        <f>IF(A21stdlife="n/a","n/a",IF(AK$3&gt;(A21stdlife+$E343),('PTRM input'!$L$163*(1+rvanilla06)^0.5)-SUM($L343:AJ343),('PTRM input'!$L$163*(1+rvanilla06)^0.5)/A21stdlife))</f>
        <v>0</v>
      </c>
      <c r="AL343" s="107">
        <f>IF(A21stdlife="n/a","n/a",IF(AL$3&gt;(A21stdlife+$E343),('PTRM input'!$L$163*(1+rvanilla06)^0.5)-SUM($L343:AK343),('PTRM input'!$L$163*(1+rvanilla06)^0.5)/A21stdlife))</f>
        <v>0</v>
      </c>
      <c r="AM343" s="107">
        <f>IF(A21stdlife="n/a","n/a",IF(AM$3&gt;(A21stdlife+$E343),('PTRM input'!$L$163*(1+rvanilla06)^0.5)-SUM($L343:AL343),('PTRM input'!$L$163*(1+rvanilla06)^0.5)/A21stdlife))</f>
        <v>0</v>
      </c>
      <c r="AN343" s="107">
        <f>IF(A21stdlife="n/a","n/a",IF(AN$3&gt;(A21stdlife+$E343),('PTRM input'!$L$163*(1+rvanilla06)^0.5)-SUM($L343:AM343),('PTRM input'!$L$163*(1+rvanilla06)^0.5)/A21stdlife))</f>
        <v>0</v>
      </c>
      <c r="AO343" s="107">
        <f>IF(A21stdlife="n/a","n/a",IF(AO$3&gt;(A21stdlife+$E343),('PTRM input'!$L$163*(1+rvanilla06)^0.5)-SUM($L343:AN343),('PTRM input'!$L$163*(1+rvanilla06)^0.5)/A21stdlife))</f>
        <v>0</v>
      </c>
      <c r="AP343" s="107">
        <f>IF(A21stdlife="n/a","n/a",IF(AP$3&gt;(A21stdlife+$E343),('PTRM input'!$L$163*(1+rvanilla06)^0.5)-SUM($L343:AO343),('PTRM input'!$L$163*(1+rvanilla06)^0.5)/A21stdlife))</f>
        <v>0</v>
      </c>
      <c r="AQ343" s="107">
        <f>IF(A21stdlife="n/a","n/a",IF(AQ$3&gt;(A21stdlife+$E343),('PTRM input'!$L$163*(1+rvanilla06)^0.5)-SUM($L343:AP343),('PTRM input'!$L$163*(1+rvanilla06)^0.5)/A21stdlife))</f>
        <v>0</v>
      </c>
      <c r="AR343" s="107">
        <f>IF(A21stdlife="n/a","n/a",IF(AR$3&gt;(A21stdlife+$E343),('PTRM input'!$L$163*(1+rvanilla06)^0.5)-SUM($L343:AQ343),('PTRM input'!$L$163*(1+rvanilla06)^0.5)/A21stdlife))</f>
        <v>0</v>
      </c>
      <c r="AS343" s="107">
        <f>IF(A21stdlife="n/a","n/a",IF(AS$3&gt;(A21stdlife+$E343),('PTRM input'!$L$163*(1+rvanilla06)^0.5)-SUM($L343:AR343),('PTRM input'!$L$163*(1+rvanilla06)^0.5)/A21stdlife))</f>
        <v>0</v>
      </c>
      <c r="AT343" s="107">
        <f>IF(A21stdlife="n/a","n/a",IF(AT$3&gt;(A21stdlife+$E343),('PTRM input'!$L$163*(1+rvanilla06)^0.5)-SUM($L343:AS343),('PTRM input'!$L$163*(1+rvanilla06)^0.5)/A21stdlife))</f>
        <v>0</v>
      </c>
      <c r="AU343" s="107">
        <f>IF(A21stdlife="n/a","n/a",IF(AU$3&gt;(A21stdlife+$E343),('PTRM input'!$L$163*(1+rvanilla06)^0.5)-SUM($L343:AT343),('PTRM input'!$L$163*(1+rvanilla06)^0.5)/A21stdlife))</f>
        <v>0</v>
      </c>
      <c r="AV343" s="107">
        <f>IF(A21stdlife="n/a","n/a",IF(AV$3&gt;(A21stdlife+$E343),('PTRM input'!$L$163*(1+rvanilla06)^0.5)-SUM($L343:AU343),('PTRM input'!$L$163*(1+rvanilla06)^0.5)/A21stdlife))</f>
        <v>0</v>
      </c>
      <c r="AW343" s="107">
        <f>IF(A21stdlife="n/a","n/a",IF(AW$3&gt;(A21stdlife+$E343),('PTRM input'!$L$163*(1+rvanilla06)^0.5)-SUM($L343:AV343),('PTRM input'!$L$163*(1+rvanilla06)^0.5)/A21stdlife))</f>
        <v>0</v>
      </c>
      <c r="AX343" s="107">
        <f>IF(A21stdlife="n/a","n/a",IF(AX$3&gt;(A21stdlife+$E343),('PTRM input'!$L$163*(1+rvanilla06)^0.5)-SUM($L343:AW343),('PTRM input'!$L$163*(1+rvanilla06)^0.5)/A21stdlife))</f>
        <v>0</v>
      </c>
      <c r="AY343" s="107">
        <f>IF(A21stdlife="n/a","n/a",IF(AY$3&gt;(A21stdlife+$E343),('PTRM input'!$L$163*(1+rvanilla06)^0.5)-SUM($L343:AX343),('PTRM input'!$L$163*(1+rvanilla06)^0.5)/A21stdlife))</f>
        <v>0</v>
      </c>
      <c r="AZ343" s="107">
        <f>IF(A21stdlife="n/a","n/a",IF(AZ$3&gt;(A21stdlife+$E343),('PTRM input'!$L$163*(1+rvanilla06)^0.5)-SUM($L343:AY343),('PTRM input'!$L$163*(1+rvanilla06)^0.5)/A21stdlife))</f>
        <v>0</v>
      </c>
      <c r="BA343" s="107">
        <f>IF(A21stdlife="n/a","n/a",IF(BA$3&gt;(A21stdlife+$E343),('PTRM input'!$L$163*(1+rvanilla06)^0.5)-SUM($L343:AZ343),('PTRM input'!$L$163*(1+rvanilla06)^0.5)/A21stdlife))</f>
        <v>0</v>
      </c>
      <c r="BB343" s="107">
        <f>IF(A21stdlife="n/a","n/a",IF(BB$3&gt;(A21stdlife+$E343),('PTRM input'!$L$163*(1+rvanilla06)^0.5)-SUM($L343:BA343),('PTRM input'!$L$163*(1+rvanilla06)^0.5)/A21stdlife))</f>
        <v>0</v>
      </c>
      <c r="BC343" s="107">
        <f>IF(A21stdlife="n/a","n/a",IF(BC$3&gt;(A21stdlife+$E343),('PTRM input'!$L$163*(1+rvanilla06)^0.5)-SUM($L343:BB343),('PTRM input'!$L$163*(1+rvanilla06)^0.5)/A21stdlife))</f>
        <v>0</v>
      </c>
      <c r="BD343" s="107">
        <f>IF(A21stdlife="n/a","n/a",IF(BD$3&gt;(A21stdlife+$E343),('PTRM input'!$L$163*(1+rvanilla06)^0.5)-SUM($L343:BC343),('PTRM input'!$L$163*(1+rvanilla06)^0.5)/A21stdlife))</f>
        <v>0</v>
      </c>
      <c r="BE343" s="107">
        <f>IF(A21stdlife="n/a","n/a",IF(BE$3&gt;(A21stdlife+$E343),('PTRM input'!$L$163*(1+rvanilla06)^0.5)-SUM($L343:BD343),('PTRM input'!$L$163*(1+rvanilla06)^0.5)/A21stdlife))</f>
        <v>0</v>
      </c>
      <c r="BF343" s="107">
        <f>IF(A21stdlife="n/a","n/a",IF(BF$3&gt;(A21stdlife+$E343),('PTRM input'!$L$163*(1+rvanilla06)^0.5)-SUM($L343:BE343),('PTRM input'!$L$163*(1+rvanilla06)^0.5)/A21stdlife))</f>
        <v>0</v>
      </c>
      <c r="BG343" s="107">
        <f>IF(A21stdlife="n/a","n/a",IF(BG$3&gt;(A21stdlife+$E343),('PTRM input'!$L$163*(1+rvanilla06)^0.5)-SUM($L343:BF343),('PTRM input'!$L$163*(1+rvanilla06)^0.5)/A21stdlife))</f>
        <v>0</v>
      </c>
      <c r="BH343" s="107">
        <f>IF(A21stdlife="n/a","n/a",IF(BH$3&gt;(A21stdlife+$E343),('PTRM input'!$L$163*(1+rvanilla06)^0.5)-SUM($L343:BG343),('PTRM input'!$L$163*(1+rvanilla06)^0.5)/A21stdlife))</f>
        <v>0</v>
      </c>
      <c r="BI343" s="107">
        <f>IF(A21stdlife="n/a","n/a",IF(BI$3&gt;(A21stdlife+$E343),('PTRM input'!$L$163*(1+rvanilla06)^0.5)-SUM($L343:BH343),('PTRM input'!$L$163*(1+rvanilla06)^0.5)/A21stdlife))</f>
        <v>0</v>
      </c>
      <c r="BJ343" s="237"/>
      <c r="BK343" s="237"/>
      <c r="BL343" s="237"/>
      <c r="BM343" s="237"/>
    </row>
    <row r="344" spans="1:65" s="190" customFormat="1" hidden="1" outlineLevel="2">
      <c r="A344" s="237"/>
      <c r="B344" s="33"/>
      <c r="C344" s="32"/>
      <c r="D344" s="1618"/>
      <c r="E344" s="169">
        <v>7</v>
      </c>
      <c r="F344" s="35"/>
      <c r="G344" s="184"/>
      <c r="H344" s="186"/>
      <c r="I344" s="186"/>
      <c r="J344" s="186"/>
      <c r="K344" s="186"/>
      <c r="L344" s="186"/>
      <c r="M344" s="185"/>
      <c r="N344" s="107">
        <f>IF(A21stdlife="n/a","n/a",IF(N$3&gt;(A21stdlife+$E344),('PTRM input'!$M$163*(1+rvanilla07)^0.5)-SUM($M344:M344),('PTRM input'!$M$163*(1+rvanilla07)^0.5)/A21stdlife))</f>
        <v>0</v>
      </c>
      <c r="O344" s="107">
        <f>IF(A21stdlife="n/a","n/a",IF(O$3&gt;(A21stdlife+$E344),('PTRM input'!$M$163*(1+rvanilla07)^0.5)-SUM($M344:N344),('PTRM input'!$M$163*(1+rvanilla07)^0.5)/A21stdlife))</f>
        <v>0</v>
      </c>
      <c r="P344" s="107">
        <f>IF(A21stdlife="n/a","n/a",IF(P$3&gt;(A21stdlife+$E344),('PTRM input'!$M$163*(1+rvanilla07)^0.5)-SUM($M344:O344),('PTRM input'!$M$163*(1+rvanilla07)^0.5)/A21stdlife))</f>
        <v>0</v>
      </c>
      <c r="Q344" s="107">
        <f>IF(A21stdlife="n/a","n/a",IF(Q$3&gt;(A21stdlife+$E344),('PTRM input'!$M$163*(1+rvanilla07)^0.5)-SUM($M344:P344),('PTRM input'!$M$163*(1+rvanilla07)^0.5)/A21stdlife))</f>
        <v>0</v>
      </c>
      <c r="R344" s="107">
        <f>IF(A21stdlife="n/a","n/a",IF(R$3&gt;(A21stdlife+$E344),('PTRM input'!$M$163*(1+rvanilla07)^0.5)-SUM($M344:Q344),('PTRM input'!$M$163*(1+rvanilla07)^0.5)/A21stdlife))</f>
        <v>0</v>
      </c>
      <c r="S344" s="107">
        <f>IF(A21stdlife="n/a","n/a",IF(S$3&gt;(A21stdlife+$E344),('PTRM input'!$M$163*(1+rvanilla07)^0.5)-SUM($M344:R344),('PTRM input'!$M$163*(1+rvanilla07)^0.5)/A21stdlife))</f>
        <v>0</v>
      </c>
      <c r="T344" s="107">
        <f>IF(A21stdlife="n/a","n/a",IF(T$3&gt;(A21stdlife+$E344),('PTRM input'!$M$163*(1+rvanilla07)^0.5)-SUM($M344:S344),('PTRM input'!$M$163*(1+rvanilla07)^0.5)/A21stdlife))</f>
        <v>0</v>
      </c>
      <c r="U344" s="107">
        <f>IF(A21stdlife="n/a","n/a",IF(U$3&gt;(A21stdlife+$E344),('PTRM input'!$M$163*(1+rvanilla07)^0.5)-SUM($M344:T344),('PTRM input'!$M$163*(1+rvanilla07)^0.5)/A21stdlife))</f>
        <v>0</v>
      </c>
      <c r="V344" s="107">
        <f>IF(A21stdlife="n/a","n/a",IF(V$3&gt;(A21stdlife+$E344),('PTRM input'!$M$163*(1+rvanilla07)^0.5)-SUM($M344:U344),('PTRM input'!$M$163*(1+rvanilla07)^0.5)/A21stdlife))</f>
        <v>0</v>
      </c>
      <c r="W344" s="107">
        <f>IF(A21stdlife="n/a","n/a",IF(W$3&gt;(A21stdlife+$E344),('PTRM input'!$M$163*(1+rvanilla07)^0.5)-SUM($M344:V344),('PTRM input'!$M$163*(1+rvanilla07)^0.5)/A21stdlife))</f>
        <v>0</v>
      </c>
      <c r="X344" s="107">
        <f>IF(A21stdlife="n/a","n/a",IF(X$3&gt;(A21stdlife+$E344),('PTRM input'!$M$163*(1+rvanilla07)^0.5)-SUM($M344:W344),('PTRM input'!$M$163*(1+rvanilla07)^0.5)/A21stdlife))</f>
        <v>0</v>
      </c>
      <c r="Y344" s="107">
        <f>IF(A21stdlife="n/a","n/a",IF(Y$3&gt;(A21stdlife+$E344),('PTRM input'!$M$163*(1+rvanilla07)^0.5)-SUM($M344:X344),('PTRM input'!$M$163*(1+rvanilla07)^0.5)/A21stdlife))</f>
        <v>0</v>
      </c>
      <c r="Z344" s="107">
        <f>IF(A21stdlife="n/a","n/a",IF(Z$3&gt;(A21stdlife+$E344),('PTRM input'!$M$163*(1+rvanilla07)^0.5)-SUM($M344:Y344),('PTRM input'!$M$163*(1+rvanilla07)^0.5)/A21stdlife))</f>
        <v>0</v>
      </c>
      <c r="AA344" s="107">
        <f>IF(A21stdlife="n/a","n/a",IF(AA$3&gt;(A21stdlife+$E344),('PTRM input'!$M$163*(1+rvanilla07)^0.5)-SUM($M344:Z344),('PTRM input'!$M$163*(1+rvanilla07)^0.5)/A21stdlife))</f>
        <v>0</v>
      </c>
      <c r="AB344" s="107">
        <f>IF(A21stdlife="n/a","n/a",IF(AB$3&gt;(A21stdlife+$E344),('PTRM input'!$M$163*(1+rvanilla07)^0.5)-SUM($M344:AA344),('PTRM input'!$M$163*(1+rvanilla07)^0.5)/A21stdlife))</f>
        <v>0</v>
      </c>
      <c r="AC344" s="107">
        <f>IF(A21stdlife="n/a","n/a",IF(AC$3&gt;(A21stdlife+$E344),('PTRM input'!$M$163*(1+rvanilla07)^0.5)-SUM($M344:AB344),('PTRM input'!$M$163*(1+rvanilla07)^0.5)/A21stdlife))</f>
        <v>0</v>
      </c>
      <c r="AD344" s="107">
        <f>IF(A21stdlife="n/a","n/a",IF(AD$3&gt;(A21stdlife+$E344),('PTRM input'!$M$163*(1+rvanilla07)^0.5)-SUM($M344:AC344),('PTRM input'!$M$163*(1+rvanilla07)^0.5)/A21stdlife))</f>
        <v>0</v>
      </c>
      <c r="AE344" s="107">
        <f>IF(A21stdlife="n/a","n/a",IF(AE$3&gt;(A21stdlife+$E344),('PTRM input'!$M$163*(1+rvanilla07)^0.5)-SUM($M344:AD344),('PTRM input'!$M$163*(1+rvanilla07)^0.5)/A21stdlife))</f>
        <v>0</v>
      </c>
      <c r="AF344" s="107">
        <f>IF(A21stdlife="n/a","n/a",IF(AF$3&gt;(A21stdlife+$E344),('PTRM input'!$M$163*(1+rvanilla07)^0.5)-SUM($M344:AE344),('PTRM input'!$M$163*(1+rvanilla07)^0.5)/A21stdlife))</f>
        <v>0</v>
      </c>
      <c r="AG344" s="107">
        <f>IF(A21stdlife="n/a","n/a",IF(AG$3&gt;(A21stdlife+$E344),('PTRM input'!$M$163*(1+rvanilla07)^0.5)-SUM($M344:AF344),('PTRM input'!$M$163*(1+rvanilla07)^0.5)/A21stdlife))</f>
        <v>0</v>
      </c>
      <c r="AH344" s="107">
        <f>IF(A21stdlife="n/a","n/a",IF(AH$3&gt;(A21stdlife+$E344),('PTRM input'!$M$163*(1+rvanilla07)^0.5)-SUM($M344:AG344),('PTRM input'!$M$163*(1+rvanilla07)^0.5)/A21stdlife))</f>
        <v>0</v>
      </c>
      <c r="AI344" s="107">
        <f>IF(A21stdlife="n/a","n/a",IF(AI$3&gt;(A21stdlife+$E344),('PTRM input'!$M$163*(1+rvanilla07)^0.5)-SUM($M344:AH344),('PTRM input'!$M$163*(1+rvanilla07)^0.5)/A21stdlife))</f>
        <v>0</v>
      </c>
      <c r="AJ344" s="107">
        <f>IF(A21stdlife="n/a","n/a",IF(AJ$3&gt;(A21stdlife+$E344),('PTRM input'!$M$163*(1+rvanilla07)^0.5)-SUM($M344:AI344),('PTRM input'!$M$163*(1+rvanilla07)^0.5)/A21stdlife))</f>
        <v>0</v>
      </c>
      <c r="AK344" s="107">
        <f>IF(A21stdlife="n/a","n/a",IF(AK$3&gt;(A21stdlife+$E344),('PTRM input'!$M$163*(1+rvanilla07)^0.5)-SUM($M344:AJ344),('PTRM input'!$M$163*(1+rvanilla07)^0.5)/A21stdlife))</f>
        <v>0</v>
      </c>
      <c r="AL344" s="107">
        <f>IF(A21stdlife="n/a","n/a",IF(AL$3&gt;(A21stdlife+$E344),('PTRM input'!$M$163*(1+rvanilla07)^0.5)-SUM($M344:AK344),('PTRM input'!$M$163*(1+rvanilla07)^0.5)/A21stdlife))</f>
        <v>0</v>
      </c>
      <c r="AM344" s="107">
        <f>IF(A21stdlife="n/a","n/a",IF(AM$3&gt;(A21stdlife+$E344),('PTRM input'!$M$163*(1+rvanilla07)^0.5)-SUM($M344:AL344),('PTRM input'!$M$163*(1+rvanilla07)^0.5)/A21stdlife))</f>
        <v>0</v>
      </c>
      <c r="AN344" s="107">
        <f>IF(A21stdlife="n/a","n/a",IF(AN$3&gt;(A21stdlife+$E344),('PTRM input'!$M$163*(1+rvanilla07)^0.5)-SUM($M344:AM344),('PTRM input'!$M$163*(1+rvanilla07)^0.5)/A21stdlife))</f>
        <v>0</v>
      </c>
      <c r="AO344" s="107">
        <f>IF(A21stdlife="n/a","n/a",IF(AO$3&gt;(A21stdlife+$E344),('PTRM input'!$M$163*(1+rvanilla07)^0.5)-SUM($M344:AN344),('PTRM input'!$M$163*(1+rvanilla07)^0.5)/A21stdlife))</f>
        <v>0</v>
      </c>
      <c r="AP344" s="107">
        <f>IF(A21stdlife="n/a","n/a",IF(AP$3&gt;(A21stdlife+$E344),('PTRM input'!$M$163*(1+rvanilla07)^0.5)-SUM($M344:AO344),('PTRM input'!$M$163*(1+rvanilla07)^0.5)/A21stdlife))</f>
        <v>0</v>
      </c>
      <c r="AQ344" s="107">
        <f>IF(A21stdlife="n/a","n/a",IF(AQ$3&gt;(A21stdlife+$E344),('PTRM input'!$M$163*(1+rvanilla07)^0.5)-SUM($M344:AP344),('PTRM input'!$M$163*(1+rvanilla07)^0.5)/A21stdlife))</f>
        <v>0</v>
      </c>
      <c r="AR344" s="107">
        <f>IF(A21stdlife="n/a","n/a",IF(AR$3&gt;(A21stdlife+$E344),('PTRM input'!$M$163*(1+rvanilla07)^0.5)-SUM($M344:AQ344),('PTRM input'!$M$163*(1+rvanilla07)^0.5)/A21stdlife))</f>
        <v>0</v>
      </c>
      <c r="AS344" s="107">
        <f>IF(A21stdlife="n/a","n/a",IF(AS$3&gt;(A21stdlife+$E344),('PTRM input'!$M$163*(1+rvanilla07)^0.5)-SUM($M344:AR344),('PTRM input'!$M$163*(1+rvanilla07)^0.5)/A21stdlife))</f>
        <v>0</v>
      </c>
      <c r="AT344" s="107">
        <f>IF(A21stdlife="n/a","n/a",IF(AT$3&gt;(A21stdlife+$E344),('PTRM input'!$M$163*(1+rvanilla07)^0.5)-SUM($M344:AS344),('PTRM input'!$M$163*(1+rvanilla07)^0.5)/A21stdlife))</f>
        <v>0</v>
      </c>
      <c r="AU344" s="107">
        <f>IF(A21stdlife="n/a","n/a",IF(AU$3&gt;(A21stdlife+$E344),('PTRM input'!$M$163*(1+rvanilla07)^0.5)-SUM($M344:AT344),('PTRM input'!$M$163*(1+rvanilla07)^0.5)/A21stdlife))</f>
        <v>0</v>
      </c>
      <c r="AV344" s="107">
        <f>IF(A21stdlife="n/a","n/a",IF(AV$3&gt;(A21stdlife+$E344),('PTRM input'!$M$163*(1+rvanilla07)^0.5)-SUM($M344:AU344),('PTRM input'!$M$163*(1+rvanilla07)^0.5)/A21stdlife))</f>
        <v>0</v>
      </c>
      <c r="AW344" s="107">
        <f>IF(A21stdlife="n/a","n/a",IF(AW$3&gt;(A21stdlife+$E344),('PTRM input'!$M$163*(1+rvanilla07)^0.5)-SUM($M344:AV344),('PTRM input'!$M$163*(1+rvanilla07)^0.5)/A21stdlife))</f>
        <v>0</v>
      </c>
      <c r="AX344" s="107">
        <f>IF(A21stdlife="n/a","n/a",IF(AX$3&gt;(A21stdlife+$E344),('PTRM input'!$M$163*(1+rvanilla07)^0.5)-SUM($M344:AW344),('PTRM input'!$M$163*(1+rvanilla07)^0.5)/A21stdlife))</f>
        <v>0</v>
      </c>
      <c r="AY344" s="107">
        <f>IF(A21stdlife="n/a","n/a",IF(AY$3&gt;(A21stdlife+$E344),('PTRM input'!$M$163*(1+rvanilla07)^0.5)-SUM($M344:AX344),('PTRM input'!$M$163*(1+rvanilla07)^0.5)/A21stdlife))</f>
        <v>0</v>
      </c>
      <c r="AZ344" s="107">
        <f>IF(A21stdlife="n/a","n/a",IF(AZ$3&gt;(A21stdlife+$E344),('PTRM input'!$M$163*(1+rvanilla07)^0.5)-SUM($M344:AY344),('PTRM input'!$M$163*(1+rvanilla07)^0.5)/A21stdlife))</f>
        <v>0</v>
      </c>
      <c r="BA344" s="107">
        <f>IF(A21stdlife="n/a","n/a",IF(BA$3&gt;(A21stdlife+$E344),('PTRM input'!$M$163*(1+rvanilla07)^0.5)-SUM($M344:AZ344),('PTRM input'!$M$163*(1+rvanilla07)^0.5)/A21stdlife))</f>
        <v>0</v>
      </c>
      <c r="BB344" s="107">
        <f>IF(A21stdlife="n/a","n/a",IF(BB$3&gt;(A21stdlife+$E344),('PTRM input'!$M$163*(1+rvanilla07)^0.5)-SUM($M344:BA344),('PTRM input'!$M$163*(1+rvanilla07)^0.5)/A21stdlife))</f>
        <v>0</v>
      </c>
      <c r="BC344" s="107">
        <f>IF(A21stdlife="n/a","n/a",IF(BC$3&gt;(A21stdlife+$E344),('PTRM input'!$M$163*(1+rvanilla07)^0.5)-SUM($M344:BB344),('PTRM input'!$M$163*(1+rvanilla07)^0.5)/A21stdlife))</f>
        <v>0</v>
      </c>
      <c r="BD344" s="107">
        <f>IF(A21stdlife="n/a","n/a",IF(BD$3&gt;(A21stdlife+$E344),('PTRM input'!$M$163*(1+rvanilla07)^0.5)-SUM($M344:BC344),('PTRM input'!$M$163*(1+rvanilla07)^0.5)/A21stdlife))</f>
        <v>0</v>
      </c>
      <c r="BE344" s="107">
        <f>IF(A21stdlife="n/a","n/a",IF(BE$3&gt;(A21stdlife+$E344),('PTRM input'!$M$163*(1+rvanilla07)^0.5)-SUM($M344:BD344),('PTRM input'!$M$163*(1+rvanilla07)^0.5)/A21stdlife))</f>
        <v>0</v>
      </c>
      <c r="BF344" s="107">
        <f>IF(A21stdlife="n/a","n/a",IF(BF$3&gt;(A21stdlife+$E344),('PTRM input'!$M$163*(1+rvanilla07)^0.5)-SUM($M344:BE344),('PTRM input'!$M$163*(1+rvanilla07)^0.5)/A21stdlife))</f>
        <v>0</v>
      </c>
      <c r="BG344" s="107">
        <f>IF(A21stdlife="n/a","n/a",IF(BG$3&gt;(A21stdlife+$E344),('PTRM input'!$M$163*(1+rvanilla07)^0.5)-SUM($M344:BF344),('PTRM input'!$M$163*(1+rvanilla07)^0.5)/A21stdlife))</f>
        <v>0</v>
      </c>
      <c r="BH344" s="107">
        <f>IF(A21stdlife="n/a","n/a",IF(BH$3&gt;(A21stdlife+$E344),('PTRM input'!$M$163*(1+rvanilla07)^0.5)-SUM($M344:BG344),('PTRM input'!$M$163*(1+rvanilla07)^0.5)/A21stdlife))</f>
        <v>0</v>
      </c>
      <c r="BI344" s="107">
        <f>IF(A21stdlife="n/a","n/a",IF(BI$3&gt;(A21stdlife+$E344),('PTRM input'!$M$163*(1+rvanilla07)^0.5)-SUM($M344:BH344),('PTRM input'!$M$163*(1+rvanilla07)^0.5)/A21stdlife))</f>
        <v>0</v>
      </c>
      <c r="BJ344" s="237"/>
      <c r="BK344" s="237"/>
      <c r="BL344" s="237"/>
      <c r="BM344" s="237"/>
    </row>
    <row r="345" spans="1:65" s="190" customFormat="1" hidden="1" outlineLevel="2">
      <c r="A345" s="237"/>
      <c r="B345" s="33"/>
      <c r="C345" s="32"/>
      <c r="D345" s="1618"/>
      <c r="E345" s="169">
        <v>8</v>
      </c>
      <c r="F345" s="35"/>
      <c r="G345" s="184"/>
      <c r="H345" s="186"/>
      <c r="I345" s="186"/>
      <c r="J345" s="186"/>
      <c r="K345" s="186"/>
      <c r="L345" s="186"/>
      <c r="M345" s="186"/>
      <c r="N345" s="185"/>
      <c r="O345" s="107">
        <f>IF(A21stdlife="n/a","n/a",IF(O$3&gt;(A21stdlife+$E345),('PTRM input'!$N$163*(1+rvanilla08)^0.5)-SUM($N345:N345),('PTRM input'!$N$163*(1+rvanilla08)^0.5)/A21stdlife))</f>
        <v>0</v>
      </c>
      <c r="P345" s="107">
        <f>IF(A21stdlife="n/a","n/a",IF(P$3&gt;(A21stdlife+$E345),('PTRM input'!$N$163*(1+rvanilla08)^0.5)-SUM($N345:O345),('PTRM input'!$N$163*(1+rvanilla08)^0.5)/A21stdlife))</f>
        <v>0</v>
      </c>
      <c r="Q345" s="107">
        <f>IF(A21stdlife="n/a","n/a",IF(Q$3&gt;(A21stdlife+$E345),('PTRM input'!$N$163*(1+rvanilla08)^0.5)-SUM($N345:P345),('PTRM input'!$N$163*(1+rvanilla08)^0.5)/A21stdlife))</f>
        <v>0</v>
      </c>
      <c r="R345" s="107">
        <f>IF(A21stdlife="n/a","n/a",IF(R$3&gt;(A21stdlife+$E345),('PTRM input'!$N$163*(1+rvanilla08)^0.5)-SUM($N345:Q345),('PTRM input'!$N$163*(1+rvanilla08)^0.5)/A21stdlife))</f>
        <v>0</v>
      </c>
      <c r="S345" s="107">
        <f>IF(A21stdlife="n/a","n/a",IF(S$3&gt;(A21stdlife+$E345),('PTRM input'!$N$163*(1+rvanilla08)^0.5)-SUM($N345:R345),('PTRM input'!$N$163*(1+rvanilla08)^0.5)/A21stdlife))</f>
        <v>0</v>
      </c>
      <c r="T345" s="107">
        <f>IF(A21stdlife="n/a","n/a",IF(T$3&gt;(A21stdlife+$E345),('PTRM input'!$N$163*(1+rvanilla08)^0.5)-SUM($N345:S345),('PTRM input'!$N$163*(1+rvanilla08)^0.5)/A21stdlife))</f>
        <v>0</v>
      </c>
      <c r="U345" s="107">
        <f>IF(A21stdlife="n/a","n/a",IF(U$3&gt;(A21stdlife+$E345),('PTRM input'!$N$163*(1+rvanilla08)^0.5)-SUM($N345:T345),('PTRM input'!$N$163*(1+rvanilla08)^0.5)/A21stdlife))</f>
        <v>0</v>
      </c>
      <c r="V345" s="107">
        <f>IF(A21stdlife="n/a","n/a",IF(V$3&gt;(A21stdlife+$E345),('PTRM input'!$N$163*(1+rvanilla08)^0.5)-SUM($N345:U345),('PTRM input'!$N$163*(1+rvanilla08)^0.5)/A21stdlife))</f>
        <v>0</v>
      </c>
      <c r="W345" s="107">
        <f>IF(A21stdlife="n/a","n/a",IF(W$3&gt;(A21stdlife+$E345),('PTRM input'!$N$163*(1+rvanilla08)^0.5)-SUM($N345:V345),('PTRM input'!$N$163*(1+rvanilla08)^0.5)/A21stdlife))</f>
        <v>0</v>
      </c>
      <c r="X345" s="107">
        <f>IF(A21stdlife="n/a","n/a",IF(X$3&gt;(A21stdlife+$E345),('PTRM input'!$N$163*(1+rvanilla08)^0.5)-SUM($N345:W345),('PTRM input'!$N$163*(1+rvanilla08)^0.5)/A21stdlife))</f>
        <v>0</v>
      </c>
      <c r="Y345" s="107">
        <f>IF(A21stdlife="n/a","n/a",IF(Y$3&gt;(A21stdlife+$E345),('PTRM input'!$N$163*(1+rvanilla08)^0.5)-SUM($N345:X345),('PTRM input'!$N$163*(1+rvanilla08)^0.5)/A21stdlife))</f>
        <v>0</v>
      </c>
      <c r="Z345" s="107">
        <f>IF(A21stdlife="n/a","n/a",IF(Z$3&gt;(A21stdlife+$E345),('PTRM input'!$N$163*(1+rvanilla08)^0.5)-SUM($N345:Y345),('PTRM input'!$N$163*(1+rvanilla08)^0.5)/A21stdlife))</f>
        <v>0</v>
      </c>
      <c r="AA345" s="107">
        <f>IF(A21stdlife="n/a","n/a",IF(AA$3&gt;(A21stdlife+$E345),('PTRM input'!$N$163*(1+rvanilla08)^0.5)-SUM($N345:Z345),('PTRM input'!$N$163*(1+rvanilla08)^0.5)/A21stdlife))</f>
        <v>0</v>
      </c>
      <c r="AB345" s="107">
        <f>IF(A21stdlife="n/a","n/a",IF(AB$3&gt;(A21stdlife+$E345),('PTRM input'!$N$163*(1+rvanilla08)^0.5)-SUM($N345:AA345),('PTRM input'!$N$163*(1+rvanilla08)^0.5)/A21stdlife))</f>
        <v>0</v>
      </c>
      <c r="AC345" s="107">
        <f>IF(A21stdlife="n/a","n/a",IF(AC$3&gt;(A21stdlife+$E345),('PTRM input'!$N$163*(1+rvanilla08)^0.5)-SUM($N345:AB345),('PTRM input'!$N$163*(1+rvanilla08)^0.5)/A21stdlife))</f>
        <v>0</v>
      </c>
      <c r="AD345" s="107">
        <f>IF(A21stdlife="n/a","n/a",IF(AD$3&gt;(A21stdlife+$E345),('PTRM input'!$N$163*(1+rvanilla08)^0.5)-SUM($N345:AC345),('PTRM input'!$N$163*(1+rvanilla08)^0.5)/A21stdlife))</f>
        <v>0</v>
      </c>
      <c r="AE345" s="107">
        <f>IF(A21stdlife="n/a","n/a",IF(AE$3&gt;(A21stdlife+$E345),('PTRM input'!$N$163*(1+rvanilla08)^0.5)-SUM($N345:AD345),('PTRM input'!$N$163*(1+rvanilla08)^0.5)/A21stdlife))</f>
        <v>0</v>
      </c>
      <c r="AF345" s="107">
        <f>IF(A21stdlife="n/a","n/a",IF(AF$3&gt;(A21stdlife+$E345),('PTRM input'!$N$163*(1+rvanilla08)^0.5)-SUM($N345:AE345),('PTRM input'!$N$163*(1+rvanilla08)^0.5)/A21stdlife))</f>
        <v>0</v>
      </c>
      <c r="AG345" s="107">
        <f>IF(A21stdlife="n/a","n/a",IF(AG$3&gt;(A21stdlife+$E345),('PTRM input'!$N$163*(1+rvanilla08)^0.5)-SUM($N345:AF345),('PTRM input'!$N$163*(1+rvanilla08)^0.5)/A21stdlife))</f>
        <v>0</v>
      </c>
      <c r="AH345" s="107">
        <f>IF(A21stdlife="n/a","n/a",IF(AH$3&gt;(A21stdlife+$E345),('PTRM input'!$N$163*(1+rvanilla08)^0.5)-SUM($N345:AG345),('PTRM input'!$N$163*(1+rvanilla08)^0.5)/A21stdlife))</f>
        <v>0</v>
      </c>
      <c r="AI345" s="107">
        <f>IF(A21stdlife="n/a","n/a",IF(AI$3&gt;(A21stdlife+$E345),('PTRM input'!$N$163*(1+rvanilla08)^0.5)-SUM($N345:AH345),('PTRM input'!$N$163*(1+rvanilla08)^0.5)/A21stdlife))</f>
        <v>0</v>
      </c>
      <c r="AJ345" s="107">
        <f>IF(A21stdlife="n/a","n/a",IF(AJ$3&gt;(A21stdlife+$E345),('PTRM input'!$N$163*(1+rvanilla08)^0.5)-SUM($N345:AI345),('PTRM input'!$N$163*(1+rvanilla08)^0.5)/A21stdlife))</f>
        <v>0</v>
      </c>
      <c r="AK345" s="107">
        <f>IF(A21stdlife="n/a","n/a",IF(AK$3&gt;(A21stdlife+$E345),('PTRM input'!$N$163*(1+rvanilla08)^0.5)-SUM($N345:AJ345),('PTRM input'!$N$163*(1+rvanilla08)^0.5)/A21stdlife))</f>
        <v>0</v>
      </c>
      <c r="AL345" s="107">
        <f>IF(A21stdlife="n/a","n/a",IF(AL$3&gt;(A21stdlife+$E345),('PTRM input'!$N$163*(1+rvanilla08)^0.5)-SUM($N345:AK345),('PTRM input'!$N$163*(1+rvanilla08)^0.5)/A21stdlife))</f>
        <v>0</v>
      </c>
      <c r="AM345" s="107">
        <f>IF(A21stdlife="n/a","n/a",IF(AM$3&gt;(A21stdlife+$E345),('PTRM input'!$N$163*(1+rvanilla08)^0.5)-SUM($N345:AL345),('PTRM input'!$N$163*(1+rvanilla08)^0.5)/A21stdlife))</f>
        <v>0</v>
      </c>
      <c r="AN345" s="107">
        <f>IF(A21stdlife="n/a","n/a",IF(AN$3&gt;(A21stdlife+$E345),('PTRM input'!$N$163*(1+rvanilla08)^0.5)-SUM($N345:AM345),('PTRM input'!$N$163*(1+rvanilla08)^0.5)/A21stdlife))</f>
        <v>0</v>
      </c>
      <c r="AO345" s="107">
        <f>IF(A21stdlife="n/a","n/a",IF(AO$3&gt;(A21stdlife+$E345),('PTRM input'!$N$163*(1+rvanilla08)^0.5)-SUM($N345:AN345),('PTRM input'!$N$163*(1+rvanilla08)^0.5)/A21stdlife))</f>
        <v>0</v>
      </c>
      <c r="AP345" s="107">
        <f>IF(A21stdlife="n/a","n/a",IF(AP$3&gt;(A21stdlife+$E345),('PTRM input'!$N$163*(1+rvanilla08)^0.5)-SUM($N345:AO345),('PTRM input'!$N$163*(1+rvanilla08)^0.5)/A21stdlife))</f>
        <v>0</v>
      </c>
      <c r="AQ345" s="107">
        <f>IF(A21stdlife="n/a","n/a",IF(AQ$3&gt;(A21stdlife+$E345),('PTRM input'!$N$163*(1+rvanilla08)^0.5)-SUM($N345:AP345),('PTRM input'!$N$163*(1+rvanilla08)^0.5)/A21stdlife))</f>
        <v>0</v>
      </c>
      <c r="AR345" s="107">
        <f>IF(A21stdlife="n/a","n/a",IF(AR$3&gt;(A21stdlife+$E345),('PTRM input'!$N$163*(1+rvanilla08)^0.5)-SUM($N345:AQ345),('PTRM input'!$N$163*(1+rvanilla08)^0.5)/A21stdlife))</f>
        <v>0</v>
      </c>
      <c r="AS345" s="107">
        <f>IF(A21stdlife="n/a","n/a",IF(AS$3&gt;(A21stdlife+$E345),('PTRM input'!$N$163*(1+rvanilla08)^0.5)-SUM($N345:AR345),('PTRM input'!$N$163*(1+rvanilla08)^0.5)/A21stdlife))</f>
        <v>0</v>
      </c>
      <c r="AT345" s="107">
        <f>IF(A21stdlife="n/a","n/a",IF(AT$3&gt;(A21stdlife+$E345),('PTRM input'!$N$163*(1+rvanilla08)^0.5)-SUM($N345:AS345),('PTRM input'!$N$163*(1+rvanilla08)^0.5)/A21stdlife))</f>
        <v>0</v>
      </c>
      <c r="AU345" s="107">
        <f>IF(A21stdlife="n/a","n/a",IF(AU$3&gt;(A21stdlife+$E345),('PTRM input'!$N$163*(1+rvanilla08)^0.5)-SUM($N345:AT345),('PTRM input'!$N$163*(1+rvanilla08)^0.5)/A21stdlife))</f>
        <v>0</v>
      </c>
      <c r="AV345" s="107">
        <f>IF(A21stdlife="n/a","n/a",IF(AV$3&gt;(A21stdlife+$E345),('PTRM input'!$N$163*(1+rvanilla08)^0.5)-SUM($N345:AU345),('PTRM input'!$N$163*(1+rvanilla08)^0.5)/A21stdlife))</f>
        <v>0</v>
      </c>
      <c r="AW345" s="107">
        <f>IF(A21stdlife="n/a","n/a",IF(AW$3&gt;(A21stdlife+$E345),('PTRM input'!$N$163*(1+rvanilla08)^0.5)-SUM($N345:AV345),('PTRM input'!$N$163*(1+rvanilla08)^0.5)/A21stdlife))</f>
        <v>0</v>
      </c>
      <c r="AX345" s="107">
        <f>IF(A21stdlife="n/a","n/a",IF(AX$3&gt;(A21stdlife+$E345),('PTRM input'!$N$163*(1+rvanilla08)^0.5)-SUM($N345:AW345),('PTRM input'!$N$163*(1+rvanilla08)^0.5)/A21stdlife))</f>
        <v>0</v>
      </c>
      <c r="AY345" s="107">
        <f>IF(A21stdlife="n/a","n/a",IF(AY$3&gt;(A21stdlife+$E345),('PTRM input'!$N$163*(1+rvanilla08)^0.5)-SUM($N345:AX345),('PTRM input'!$N$163*(1+rvanilla08)^0.5)/A21stdlife))</f>
        <v>0</v>
      </c>
      <c r="AZ345" s="107">
        <f>IF(A21stdlife="n/a","n/a",IF(AZ$3&gt;(A21stdlife+$E345),('PTRM input'!$N$163*(1+rvanilla08)^0.5)-SUM($N345:AY345),('PTRM input'!$N$163*(1+rvanilla08)^0.5)/A21stdlife))</f>
        <v>0</v>
      </c>
      <c r="BA345" s="107">
        <f>IF(A21stdlife="n/a","n/a",IF(BA$3&gt;(A21stdlife+$E345),('PTRM input'!$N$163*(1+rvanilla08)^0.5)-SUM($N345:AZ345),('PTRM input'!$N$163*(1+rvanilla08)^0.5)/A21stdlife))</f>
        <v>0</v>
      </c>
      <c r="BB345" s="107">
        <f>IF(A21stdlife="n/a","n/a",IF(BB$3&gt;(A21stdlife+$E345),('PTRM input'!$N$163*(1+rvanilla08)^0.5)-SUM($N345:BA345),('PTRM input'!$N$163*(1+rvanilla08)^0.5)/A21stdlife))</f>
        <v>0</v>
      </c>
      <c r="BC345" s="107">
        <f>IF(A21stdlife="n/a","n/a",IF(BC$3&gt;(A21stdlife+$E345),('PTRM input'!$N$163*(1+rvanilla08)^0.5)-SUM($N345:BB345),('PTRM input'!$N$163*(1+rvanilla08)^0.5)/A21stdlife))</f>
        <v>0</v>
      </c>
      <c r="BD345" s="107">
        <f>IF(A21stdlife="n/a","n/a",IF(BD$3&gt;(A21stdlife+$E345),('PTRM input'!$N$163*(1+rvanilla08)^0.5)-SUM($N345:BC345),('PTRM input'!$N$163*(1+rvanilla08)^0.5)/A21stdlife))</f>
        <v>0</v>
      </c>
      <c r="BE345" s="107">
        <f>IF(A21stdlife="n/a","n/a",IF(BE$3&gt;(A21stdlife+$E345),('PTRM input'!$N$163*(1+rvanilla08)^0.5)-SUM($N345:BD345),('PTRM input'!$N$163*(1+rvanilla08)^0.5)/A21stdlife))</f>
        <v>0</v>
      </c>
      <c r="BF345" s="107">
        <f>IF(A21stdlife="n/a","n/a",IF(BF$3&gt;(A21stdlife+$E345),('PTRM input'!$N$163*(1+rvanilla08)^0.5)-SUM($N345:BE345),('PTRM input'!$N$163*(1+rvanilla08)^0.5)/A21stdlife))</f>
        <v>0</v>
      </c>
      <c r="BG345" s="107">
        <f>IF(A21stdlife="n/a","n/a",IF(BG$3&gt;(A21stdlife+$E345),('PTRM input'!$N$163*(1+rvanilla08)^0.5)-SUM($N345:BF345),('PTRM input'!$N$163*(1+rvanilla08)^0.5)/A21stdlife))</f>
        <v>0</v>
      </c>
      <c r="BH345" s="107">
        <f>IF(A21stdlife="n/a","n/a",IF(BH$3&gt;(A21stdlife+$E345),('PTRM input'!$N$163*(1+rvanilla08)^0.5)-SUM($N345:BG345),('PTRM input'!$N$163*(1+rvanilla08)^0.5)/A21stdlife))</f>
        <v>0</v>
      </c>
      <c r="BI345" s="107">
        <f>IF(A21stdlife="n/a","n/a",IF(BI$3&gt;(A21stdlife+$E345),('PTRM input'!$N$163*(1+rvanilla08)^0.5)-SUM($N345:BH345),('PTRM input'!$N$163*(1+rvanilla08)^0.5)/A21stdlife))</f>
        <v>0</v>
      </c>
      <c r="BJ345" s="237"/>
      <c r="BK345" s="237"/>
      <c r="BL345" s="237"/>
      <c r="BM345" s="237"/>
    </row>
    <row r="346" spans="1:65" s="190" customFormat="1" hidden="1" outlineLevel="2">
      <c r="A346" s="237"/>
      <c r="B346" s="33"/>
      <c r="C346" s="32"/>
      <c r="D346" s="1618"/>
      <c r="E346" s="169">
        <v>9</v>
      </c>
      <c r="F346" s="35"/>
      <c r="G346" s="184"/>
      <c r="H346" s="186"/>
      <c r="I346" s="186"/>
      <c r="J346" s="186"/>
      <c r="K346" s="186"/>
      <c r="L346" s="186"/>
      <c r="M346" s="186"/>
      <c r="N346" s="186"/>
      <c r="O346" s="185"/>
      <c r="P346" s="107">
        <f>IF(A21stdlife="n/a","n/a",IF(P$3&gt;(A21stdlife+$E346),('PTRM input'!$O$163*(1+rvanilla09)^0.5)-SUM($O346:O346),('PTRM input'!$O$163*(1+rvanilla09)^0.5)/A21stdlife))</f>
        <v>0</v>
      </c>
      <c r="Q346" s="107">
        <f>IF(A21stdlife="n/a","n/a",IF(Q$3&gt;(A21stdlife+$E346),('PTRM input'!$O$163*(1+rvanilla09)^0.5)-SUM($O346:P346),('PTRM input'!$O$163*(1+rvanilla09)^0.5)/A21stdlife))</f>
        <v>0</v>
      </c>
      <c r="R346" s="107">
        <f>IF(A21stdlife="n/a","n/a",IF(R$3&gt;(A21stdlife+$E346),('PTRM input'!$O$163*(1+rvanilla09)^0.5)-SUM($O346:Q346),('PTRM input'!$O$163*(1+rvanilla09)^0.5)/A21stdlife))</f>
        <v>0</v>
      </c>
      <c r="S346" s="107">
        <f>IF(A21stdlife="n/a","n/a",IF(S$3&gt;(A21stdlife+$E346),('PTRM input'!$O$163*(1+rvanilla09)^0.5)-SUM($O346:R346),('PTRM input'!$O$163*(1+rvanilla09)^0.5)/A21stdlife))</f>
        <v>0</v>
      </c>
      <c r="T346" s="107">
        <f>IF(A21stdlife="n/a","n/a",IF(T$3&gt;(A21stdlife+$E346),('PTRM input'!$O$163*(1+rvanilla09)^0.5)-SUM($O346:S346),('PTRM input'!$O$163*(1+rvanilla09)^0.5)/A21stdlife))</f>
        <v>0</v>
      </c>
      <c r="U346" s="107">
        <f>IF(A21stdlife="n/a","n/a",IF(U$3&gt;(A21stdlife+$E346),('PTRM input'!$O$163*(1+rvanilla09)^0.5)-SUM($O346:T346),('PTRM input'!$O$163*(1+rvanilla09)^0.5)/A21stdlife))</f>
        <v>0</v>
      </c>
      <c r="V346" s="107">
        <f>IF(A21stdlife="n/a","n/a",IF(V$3&gt;(A21stdlife+$E346),('PTRM input'!$O$163*(1+rvanilla09)^0.5)-SUM($O346:U346),('PTRM input'!$O$163*(1+rvanilla09)^0.5)/A21stdlife))</f>
        <v>0</v>
      </c>
      <c r="W346" s="107">
        <f>IF(A21stdlife="n/a","n/a",IF(W$3&gt;(A21stdlife+$E346),('PTRM input'!$O$163*(1+rvanilla09)^0.5)-SUM($O346:V346),('PTRM input'!$O$163*(1+rvanilla09)^0.5)/A21stdlife))</f>
        <v>0</v>
      </c>
      <c r="X346" s="107">
        <f>IF(A21stdlife="n/a","n/a",IF(X$3&gt;(A21stdlife+$E346),('PTRM input'!$O$163*(1+rvanilla09)^0.5)-SUM($O346:W346),('PTRM input'!$O$163*(1+rvanilla09)^0.5)/A21stdlife))</f>
        <v>0</v>
      </c>
      <c r="Y346" s="107">
        <f>IF(A21stdlife="n/a","n/a",IF(Y$3&gt;(A21stdlife+$E346),('PTRM input'!$O$163*(1+rvanilla09)^0.5)-SUM($O346:X346),('PTRM input'!$O$163*(1+rvanilla09)^0.5)/A21stdlife))</f>
        <v>0</v>
      </c>
      <c r="Z346" s="107">
        <f>IF(A21stdlife="n/a","n/a",IF(Z$3&gt;(A21stdlife+$E346),('PTRM input'!$O$163*(1+rvanilla09)^0.5)-SUM($O346:Y346),('PTRM input'!$O$163*(1+rvanilla09)^0.5)/A21stdlife))</f>
        <v>0</v>
      </c>
      <c r="AA346" s="107">
        <f>IF(A21stdlife="n/a","n/a",IF(AA$3&gt;(A21stdlife+$E346),('PTRM input'!$O$163*(1+rvanilla09)^0.5)-SUM($O346:Z346),('PTRM input'!$O$163*(1+rvanilla09)^0.5)/A21stdlife))</f>
        <v>0</v>
      </c>
      <c r="AB346" s="107">
        <f>IF(A21stdlife="n/a","n/a",IF(AB$3&gt;(A21stdlife+$E346),('PTRM input'!$O$163*(1+rvanilla09)^0.5)-SUM($O346:AA346),('PTRM input'!$O$163*(1+rvanilla09)^0.5)/A21stdlife))</f>
        <v>0</v>
      </c>
      <c r="AC346" s="107">
        <f>IF(A21stdlife="n/a","n/a",IF(AC$3&gt;(A21stdlife+$E346),('PTRM input'!$O$163*(1+rvanilla09)^0.5)-SUM($O346:AB346),('PTRM input'!$O$163*(1+rvanilla09)^0.5)/A21stdlife))</f>
        <v>0</v>
      </c>
      <c r="AD346" s="107">
        <f>IF(A21stdlife="n/a","n/a",IF(AD$3&gt;(A21stdlife+$E346),('PTRM input'!$O$163*(1+rvanilla09)^0.5)-SUM($O346:AC346),('PTRM input'!$O$163*(1+rvanilla09)^0.5)/A21stdlife))</f>
        <v>0</v>
      </c>
      <c r="AE346" s="107">
        <f>IF(A21stdlife="n/a","n/a",IF(AE$3&gt;(A21stdlife+$E346),('PTRM input'!$O$163*(1+rvanilla09)^0.5)-SUM($O346:AD346),('PTRM input'!$O$163*(1+rvanilla09)^0.5)/A21stdlife))</f>
        <v>0</v>
      </c>
      <c r="AF346" s="107">
        <f>IF(A21stdlife="n/a","n/a",IF(AF$3&gt;(A21stdlife+$E346),('PTRM input'!$O$163*(1+rvanilla09)^0.5)-SUM($O346:AE346),('PTRM input'!$O$163*(1+rvanilla09)^0.5)/A21stdlife))</f>
        <v>0</v>
      </c>
      <c r="AG346" s="107">
        <f>IF(A21stdlife="n/a","n/a",IF(AG$3&gt;(A21stdlife+$E346),('PTRM input'!$O$163*(1+rvanilla09)^0.5)-SUM($O346:AF346),('PTRM input'!$O$163*(1+rvanilla09)^0.5)/A21stdlife))</f>
        <v>0</v>
      </c>
      <c r="AH346" s="107">
        <f>IF(A21stdlife="n/a","n/a",IF(AH$3&gt;(A21stdlife+$E346),('PTRM input'!$O$163*(1+rvanilla09)^0.5)-SUM($O346:AG346),('PTRM input'!$O$163*(1+rvanilla09)^0.5)/A21stdlife))</f>
        <v>0</v>
      </c>
      <c r="AI346" s="107">
        <f>IF(A21stdlife="n/a","n/a",IF(AI$3&gt;(A21stdlife+$E346),('PTRM input'!$O$163*(1+rvanilla09)^0.5)-SUM($O346:AH346),('PTRM input'!$O$163*(1+rvanilla09)^0.5)/A21stdlife))</f>
        <v>0</v>
      </c>
      <c r="AJ346" s="107">
        <f>IF(A21stdlife="n/a","n/a",IF(AJ$3&gt;(A21stdlife+$E346),('PTRM input'!$O$163*(1+rvanilla09)^0.5)-SUM($O346:AI346),('PTRM input'!$O$163*(1+rvanilla09)^0.5)/A21stdlife))</f>
        <v>0</v>
      </c>
      <c r="AK346" s="107">
        <f>IF(A21stdlife="n/a","n/a",IF(AK$3&gt;(A21stdlife+$E346),('PTRM input'!$O$163*(1+rvanilla09)^0.5)-SUM($O346:AJ346),('PTRM input'!$O$163*(1+rvanilla09)^0.5)/A21stdlife))</f>
        <v>0</v>
      </c>
      <c r="AL346" s="107">
        <f>IF(A21stdlife="n/a","n/a",IF(AL$3&gt;(A21stdlife+$E346),('PTRM input'!$O$163*(1+rvanilla09)^0.5)-SUM($O346:AK346),('PTRM input'!$O$163*(1+rvanilla09)^0.5)/A21stdlife))</f>
        <v>0</v>
      </c>
      <c r="AM346" s="107">
        <f>IF(A21stdlife="n/a","n/a",IF(AM$3&gt;(A21stdlife+$E346),('PTRM input'!$O$163*(1+rvanilla09)^0.5)-SUM($O346:AL346),('PTRM input'!$O$163*(1+rvanilla09)^0.5)/A21stdlife))</f>
        <v>0</v>
      </c>
      <c r="AN346" s="107">
        <f>IF(A21stdlife="n/a","n/a",IF(AN$3&gt;(A21stdlife+$E346),('PTRM input'!$O$163*(1+rvanilla09)^0.5)-SUM($O346:AM346),('PTRM input'!$O$163*(1+rvanilla09)^0.5)/A21stdlife))</f>
        <v>0</v>
      </c>
      <c r="AO346" s="107">
        <f>IF(A21stdlife="n/a","n/a",IF(AO$3&gt;(A21stdlife+$E346),('PTRM input'!$O$163*(1+rvanilla09)^0.5)-SUM($O346:AN346),('PTRM input'!$O$163*(1+rvanilla09)^0.5)/A21stdlife))</f>
        <v>0</v>
      </c>
      <c r="AP346" s="107">
        <f>IF(A21stdlife="n/a","n/a",IF(AP$3&gt;(A21stdlife+$E346),('PTRM input'!$O$163*(1+rvanilla09)^0.5)-SUM($O346:AO346),('PTRM input'!$O$163*(1+rvanilla09)^0.5)/A21stdlife))</f>
        <v>0</v>
      </c>
      <c r="AQ346" s="107">
        <f>IF(A21stdlife="n/a","n/a",IF(AQ$3&gt;(A21stdlife+$E346),('PTRM input'!$O$163*(1+rvanilla09)^0.5)-SUM($O346:AP346),('PTRM input'!$O$163*(1+rvanilla09)^0.5)/A21stdlife))</f>
        <v>0</v>
      </c>
      <c r="AR346" s="107">
        <f>IF(A21stdlife="n/a","n/a",IF(AR$3&gt;(A21stdlife+$E346),('PTRM input'!$O$163*(1+rvanilla09)^0.5)-SUM($O346:AQ346),('PTRM input'!$O$163*(1+rvanilla09)^0.5)/A21stdlife))</f>
        <v>0</v>
      </c>
      <c r="AS346" s="107">
        <f>IF(A21stdlife="n/a","n/a",IF(AS$3&gt;(A21stdlife+$E346),('PTRM input'!$O$163*(1+rvanilla09)^0.5)-SUM($O346:AR346),('PTRM input'!$O$163*(1+rvanilla09)^0.5)/A21stdlife))</f>
        <v>0</v>
      </c>
      <c r="AT346" s="107">
        <f>IF(A21stdlife="n/a","n/a",IF(AT$3&gt;(A21stdlife+$E346),('PTRM input'!$O$163*(1+rvanilla09)^0.5)-SUM($O346:AS346),('PTRM input'!$O$163*(1+rvanilla09)^0.5)/A21stdlife))</f>
        <v>0</v>
      </c>
      <c r="AU346" s="107">
        <f>IF(A21stdlife="n/a","n/a",IF(AU$3&gt;(A21stdlife+$E346),('PTRM input'!$O$163*(1+rvanilla09)^0.5)-SUM($O346:AT346),('PTRM input'!$O$163*(1+rvanilla09)^0.5)/A21stdlife))</f>
        <v>0</v>
      </c>
      <c r="AV346" s="107">
        <f>IF(A21stdlife="n/a","n/a",IF(AV$3&gt;(A21stdlife+$E346),('PTRM input'!$O$163*(1+rvanilla09)^0.5)-SUM($O346:AU346),('PTRM input'!$O$163*(1+rvanilla09)^0.5)/A21stdlife))</f>
        <v>0</v>
      </c>
      <c r="AW346" s="107">
        <f>IF(A21stdlife="n/a","n/a",IF(AW$3&gt;(A21stdlife+$E346),('PTRM input'!$O$163*(1+rvanilla09)^0.5)-SUM($O346:AV346),('PTRM input'!$O$163*(1+rvanilla09)^0.5)/A21stdlife))</f>
        <v>0</v>
      </c>
      <c r="AX346" s="107">
        <f>IF(A21stdlife="n/a","n/a",IF(AX$3&gt;(A21stdlife+$E346),('PTRM input'!$O$163*(1+rvanilla09)^0.5)-SUM($O346:AW346),('PTRM input'!$O$163*(1+rvanilla09)^0.5)/A21stdlife))</f>
        <v>0</v>
      </c>
      <c r="AY346" s="107">
        <f>IF(A21stdlife="n/a","n/a",IF(AY$3&gt;(A21stdlife+$E346),('PTRM input'!$O$163*(1+rvanilla09)^0.5)-SUM($O346:AX346),('PTRM input'!$O$163*(1+rvanilla09)^0.5)/A21stdlife))</f>
        <v>0</v>
      </c>
      <c r="AZ346" s="107">
        <f>IF(A21stdlife="n/a","n/a",IF(AZ$3&gt;(A21stdlife+$E346),('PTRM input'!$O$163*(1+rvanilla09)^0.5)-SUM($O346:AY346),('PTRM input'!$O$163*(1+rvanilla09)^0.5)/A21stdlife))</f>
        <v>0</v>
      </c>
      <c r="BA346" s="107">
        <f>IF(A21stdlife="n/a","n/a",IF(BA$3&gt;(A21stdlife+$E346),('PTRM input'!$O$163*(1+rvanilla09)^0.5)-SUM($O346:AZ346),('PTRM input'!$O$163*(1+rvanilla09)^0.5)/A21stdlife))</f>
        <v>0</v>
      </c>
      <c r="BB346" s="107">
        <f>IF(A21stdlife="n/a","n/a",IF(BB$3&gt;(A21stdlife+$E346),('PTRM input'!$O$163*(1+rvanilla09)^0.5)-SUM($O346:BA346),('PTRM input'!$O$163*(1+rvanilla09)^0.5)/A21stdlife))</f>
        <v>0</v>
      </c>
      <c r="BC346" s="107">
        <f>IF(A21stdlife="n/a","n/a",IF(BC$3&gt;(A21stdlife+$E346),('PTRM input'!$O$163*(1+rvanilla09)^0.5)-SUM($O346:BB346),('PTRM input'!$O$163*(1+rvanilla09)^0.5)/A21stdlife))</f>
        <v>0</v>
      </c>
      <c r="BD346" s="107">
        <f>IF(A21stdlife="n/a","n/a",IF(BD$3&gt;(A21stdlife+$E346),('PTRM input'!$O$163*(1+rvanilla09)^0.5)-SUM($O346:BC346),('PTRM input'!$O$163*(1+rvanilla09)^0.5)/A21stdlife))</f>
        <v>0</v>
      </c>
      <c r="BE346" s="107">
        <f>IF(A21stdlife="n/a","n/a",IF(BE$3&gt;(A21stdlife+$E346),('PTRM input'!$O$163*(1+rvanilla09)^0.5)-SUM($O346:BD346),('PTRM input'!$O$163*(1+rvanilla09)^0.5)/A21stdlife))</f>
        <v>0</v>
      </c>
      <c r="BF346" s="107">
        <f>IF(A21stdlife="n/a","n/a",IF(BF$3&gt;(A21stdlife+$E346),('PTRM input'!$O$163*(1+rvanilla09)^0.5)-SUM($O346:BE346),('PTRM input'!$O$163*(1+rvanilla09)^0.5)/A21stdlife))</f>
        <v>0</v>
      </c>
      <c r="BG346" s="107">
        <f>IF(A21stdlife="n/a","n/a",IF(BG$3&gt;(A21stdlife+$E346),('PTRM input'!$O$163*(1+rvanilla09)^0.5)-SUM($O346:BF346),('PTRM input'!$O$163*(1+rvanilla09)^0.5)/A21stdlife))</f>
        <v>0</v>
      </c>
      <c r="BH346" s="107">
        <f>IF(A21stdlife="n/a","n/a",IF(BH$3&gt;(A21stdlife+$E346),('PTRM input'!$O$163*(1+rvanilla09)^0.5)-SUM($O346:BG346),('PTRM input'!$O$163*(1+rvanilla09)^0.5)/A21stdlife))</f>
        <v>0</v>
      </c>
      <c r="BI346" s="107">
        <f>IF(A21stdlife="n/a","n/a",IF(BI$3&gt;(A21stdlife+$E346),('PTRM input'!$O$163*(1+rvanilla09)^0.5)-SUM($O346:BH346),('PTRM input'!$O$163*(1+rvanilla09)^0.5)/A21stdlife))</f>
        <v>0</v>
      </c>
      <c r="BJ346" s="237"/>
      <c r="BK346" s="237"/>
      <c r="BL346" s="237"/>
      <c r="BM346" s="237"/>
    </row>
    <row r="347" spans="1:65" s="190" customFormat="1" hidden="1" outlineLevel="2">
      <c r="A347" s="237"/>
      <c r="B347" s="33"/>
      <c r="C347" s="32"/>
      <c r="D347" s="1618"/>
      <c r="E347" s="170">
        <v>10</v>
      </c>
      <c r="F347" s="35"/>
      <c r="G347" s="184"/>
      <c r="H347" s="186"/>
      <c r="I347" s="186"/>
      <c r="J347" s="186"/>
      <c r="K347" s="186"/>
      <c r="L347" s="186"/>
      <c r="M347" s="186"/>
      <c r="N347" s="186"/>
      <c r="O347" s="186"/>
      <c r="P347" s="185"/>
      <c r="Q347" s="107">
        <f>IF(A21stdlife="n/a","n/a",IF(Q$3&gt;(A21stdlife+$E347),('PTRM input'!$P$163*(1+rvanilla10)^0.5)-SUM($P347:P347),('PTRM input'!$P$163*(1+rvanilla10)^0.5)/A21stdlife))</f>
        <v>0</v>
      </c>
      <c r="R347" s="107">
        <f>IF(A21stdlife="n/a","n/a",IF(R$3&gt;(A21stdlife+$E347),('PTRM input'!$P$163*(1+rvanilla10)^0.5)-SUM($P347:Q347),('PTRM input'!$P$163*(1+rvanilla10)^0.5)/A21stdlife))</f>
        <v>0</v>
      </c>
      <c r="S347" s="107">
        <f>IF(A21stdlife="n/a","n/a",IF(S$3&gt;(A21stdlife+$E347),('PTRM input'!$P$163*(1+rvanilla10)^0.5)-SUM($P347:R347),('PTRM input'!$P$163*(1+rvanilla10)^0.5)/A21stdlife))</f>
        <v>0</v>
      </c>
      <c r="T347" s="107">
        <f>IF(A21stdlife="n/a","n/a",IF(T$3&gt;(A21stdlife+$E347),('PTRM input'!$P$163*(1+rvanilla10)^0.5)-SUM($P347:S347),('PTRM input'!$P$163*(1+rvanilla10)^0.5)/A21stdlife))</f>
        <v>0</v>
      </c>
      <c r="U347" s="107">
        <f>IF(A21stdlife="n/a","n/a",IF(U$3&gt;(A21stdlife+$E347),('PTRM input'!$P$163*(1+rvanilla10)^0.5)-SUM($P347:T347),('PTRM input'!$P$163*(1+rvanilla10)^0.5)/A21stdlife))</f>
        <v>0</v>
      </c>
      <c r="V347" s="107">
        <f>IF(A21stdlife="n/a","n/a",IF(V$3&gt;(A21stdlife+$E347),('PTRM input'!$P$163*(1+rvanilla10)^0.5)-SUM($P347:U347),('PTRM input'!$P$163*(1+rvanilla10)^0.5)/A21stdlife))</f>
        <v>0</v>
      </c>
      <c r="W347" s="107">
        <f>IF(A21stdlife="n/a","n/a",IF(W$3&gt;(A21stdlife+$E347),('PTRM input'!$P$163*(1+rvanilla10)^0.5)-SUM($P347:V347),('PTRM input'!$P$163*(1+rvanilla10)^0.5)/A21stdlife))</f>
        <v>0</v>
      </c>
      <c r="X347" s="107">
        <f>IF(A21stdlife="n/a","n/a",IF(X$3&gt;(A21stdlife+$E347),('PTRM input'!$P$163*(1+rvanilla10)^0.5)-SUM($P347:W347),('PTRM input'!$P$163*(1+rvanilla10)^0.5)/A21stdlife))</f>
        <v>0</v>
      </c>
      <c r="Y347" s="107">
        <f>IF(A21stdlife="n/a","n/a",IF(Y$3&gt;(A21stdlife+$E347),('PTRM input'!$P$163*(1+rvanilla10)^0.5)-SUM($P347:X347),('PTRM input'!$P$163*(1+rvanilla10)^0.5)/A21stdlife))</f>
        <v>0</v>
      </c>
      <c r="Z347" s="107">
        <f>IF(A21stdlife="n/a","n/a",IF(Z$3&gt;(A21stdlife+$E347),('PTRM input'!$P$163*(1+rvanilla10)^0.5)-SUM($P347:Y347),('PTRM input'!$P$163*(1+rvanilla10)^0.5)/A21stdlife))</f>
        <v>0</v>
      </c>
      <c r="AA347" s="107">
        <f>IF(A21stdlife="n/a","n/a",IF(AA$3&gt;(A21stdlife+$E347),('PTRM input'!$P$163*(1+rvanilla10)^0.5)-SUM($P347:Z347),('PTRM input'!$P$163*(1+rvanilla10)^0.5)/A21stdlife))</f>
        <v>0</v>
      </c>
      <c r="AB347" s="107">
        <f>IF(A21stdlife="n/a","n/a",IF(AB$3&gt;(A21stdlife+$E347),('PTRM input'!$P$163*(1+rvanilla10)^0.5)-SUM($P347:AA347),('PTRM input'!$P$163*(1+rvanilla10)^0.5)/A21stdlife))</f>
        <v>0</v>
      </c>
      <c r="AC347" s="107">
        <f>IF(A21stdlife="n/a","n/a",IF(AC$3&gt;(A21stdlife+$E347),('PTRM input'!$P$163*(1+rvanilla10)^0.5)-SUM($P347:AB347),('PTRM input'!$P$163*(1+rvanilla10)^0.5)/A21stdlife))</f>
        <v>0</v>
      </c>
      <c r="AD347" s="107">
        <f>IF(A21stdlife="n/a","n/a",IF(AD$3&gt;(A21stdlife+$E347),('PTRM input'!$P$163*(1+rvanilla10)^0.5)-SUM($P347:AC347),('PTRM input'!$P$163*(1+rvanilla10)^0.5)/A21stdlife))</f>
        <v>0</v>
      </c>
      <c r="AE347" s="107">
        <f>IF(A21stdlife="n/a","n/a",IF(AE$3&gt;(A21stdlife+$E347),('PTRM input'!$P$163*(1+rvanilla10)^0.5)-SUM($P347:AD347),('PTRM input'!$P$163*(1+rvanilla10)^0.5)/A21stdlife))</f>
        <v>0</v>
      </c>
      <c r="AF347" s="107">
        <f>IF(A21stdlife="n/a","n/a",IF(AF$3&gt;(A21stdlife+$E347),('PTRM input'!$P$163*(1+rvanilla10)^0.5)-SUM($P347:AE347),('PTRM input'!$P$163*(1+rvanilla10)^0.5)/A21stdlife))</f>
        <v>0</v>
      </c>
      <c r="AG347" s="107">
        <f>IF(A21stdlife="n/a","n/a",IF(AG$3&gt;(A21stdlife+$E347),('PTRM input'!$P$163*(1+rvanilla10)^0.5)-SUM($P347:AF347),('PTRM input'!$P$163*(1+rvanilla10)^0.5)/A21stdlife))</f>
        <v>0</v>
      </c>
      <c r="AH347" s="107">
        <f>IF(A21stdlife="n/a","n/a",IF(AH$3&gt;(A21stdlife+$E347),('PTRM input'!$P$163*(1+rvanilla10)^0.5)-SUM($P347:AG347),('PTRM input'!$P$163*(1+rvanilla10)^0.5)/A21stdlife))</f>
        <v>0</v>
      </c>
      <c r="AI347" s="107">
        <f>IF(A21stdlife="n/a","n/a",IF(AI$3&gt;(A21stdlife+$E347),('PTRM input'!$P$163*(1+rvanilla10)^0.5)-SUM($P347:AH347),('PTRM input'!$P$163*(1+rvanilla10)^0.5)/A21stdlife))</f>
        <v>0</v>
      </c>
      <c r="AJ347" s="107">
        <f>IF(A21stdlife="n/a","n/a",IF(AJ$3&gt;(A21stdlife+$E347),('PTRM input'!$P$163*(1+rvanilla10)^0.5)-SUM($P347:AI347),('PTRM input'!$P$163*(1+rvanilla10)^0.5)/A21stdlife))</f>
        <v>0</v>
      </c>
      <c r="AK347" s="107">
        <f>IF(A21stdlife="n/a","n/a",IF(AK$3&gt;(A21stdlife+$E347),('PTRM input'!$P$163*(1+rvanilla10)^0.5)-SUM($P347:AJ347),('PTRM input'!$P$163*(1+rvanilla10)^0.5)/A21stdlife))</f>
        <v>0</v>
      </c>
      <c r="AL347" s="107">
        <f>IF(A21stdlife="n/a","n/a",IF(AL$3&gt;(A21stdlife+$E347),('PTRM input'!$P$163*(1+rvanilla10)^0.5)-SUM($P347:AK347),('PTRM input'!$P$163*(1+rvanilla10)^0.5)/A21stdlife))</f>
        <v>0</v>
      </c>
      <c r="AM347" s="107">
        <f>IF(A21stdlife="n/a","n/a",IF(AM$3&gt;(A21stdlife+$E347),('PTRM input'!$P$163*(1+rvanilla10)^0.5)-SUM($P347:AL347),('PTRM input'!$P$163*(1+rvanilla10)^0.5)/A21stdlife))</f>
        <v>0</v>
      </c>
      <c r="AN347" s="107">
        <f>IF(A21stdlife="n/a","n/a",IF(AN$3&gt;(A21stdlife+$E347),('PTRM input'!$P$163*(1+rvanilla10)^0.5)-SUM($P347:AM347),('PTRM input'!$P$163*(1+rvanilla10)^0.5)/A21stdlife))</f>
        <v>0</v>
      </c>
      <c r="AO347" s="107">
        <f>IF(A21stdlife="n/a","n/a",IF(AO$3&gt;(A21stdlife+$E347),('PTRM input'!$P$163*(1+rvanilla10)^0.5)-SUM($P347:AN347),('PTRM input'!$P$163*(1+rvanilla10)^0.5)/A21stdlife))</f>
        <v>0</v>
      </c>
      <c r="AP347" s="107">
        <f>IF(A21stdlife="n/a","n/a",IF(AP$3&gt;(A21stdlife+$E347),('PTRM input'!$P$163*(1+rvanilla10)^0.5)-SUM($P347:AO347),('PTRM input'!$P$163*(1+rvanilla10)^0.5)/A21stdlife))</f>
        <v>0</v>
      </c>
      <c r="AQ347" s="107">
        <f>IF(A21stdlife="n/a","n/a",IF(AQ$3&gt;(A21stdlife+$E347),('PTRM input'!$P$163*(1+rvanilla10)^0.5)-SUM($P347:AP347),('PTRM input'!$P$163*(1+rvanilla10)^0.5)/A21stdlife))</f>
        <v>0</v>
      </c>
      <c r="AR347" s="107">
        <f>IF(A21stdlife="n/a","n/a",IF(AR$3&gt;(A21stdlife+$E347),('PTRM input'!$P$163*(1+rvanilla10)^0.5)-SUM($P347:AQ347),('PTRM input'!$P$163*(1+rvanilla10)^0.5)/A21stdlife))</f>
        <v>0</v>
      </c>
      <c r="AS347" s="107">
        <f>IF(A21stdlife="n/a","n/a",IF(AS$3&gt;(A21stdlife+$E347),('PTRM input'!$P$163*(1+rvanilla10)^0.5)-SUM($P347:AR347),('PTRM input'!$P$163*(1+rvanilla10)^0.5)/A21stdlife))</f>
        <v>0</v>
      </c>
      <c r="AT347" s="107">
        <f>IF(A21stdlife="n/a","n/a",IF(AT$3&gt;(A21stdlife+$E347),('PTRM input'!$P$163*(1+rvanilla10)^0.5)-SUM($P347:AS347),('PTRM input'!$P$163*(1+rvanilla10)^0.5)/A21stdlife))</f>
        <v>0</v>
      </c>
      <c r="AU347" s="107">
        <f>IF(A21stdlife="n/a","n/a",IF(AU$3&gt;(A21stdlife+$E347),('PTRM input'!$P$163*(1+rvanilla10)^0.5)-SUM($P347:AT347),('PTRM input'!$P$163*(1+rvanilla10)^0.5)/A21stdlife))</f>
        <v>0</v>
      </c>
      <c r="AV347" s="107">
        <f>IF(A21stdlife="n/a","n/a",IF(AV$3&gt;(A21stdlife+$E347),('PTRM input'!$P$163*(1+rvanilla10)^0.5)-SUM($P347:AU347),('PTRM input'!$P$163*(1+rvanilla10)^0.5)/A21stdlife))</f>
        <v>0</v>
      </c>
      <c r="AW347" s="107">
        <f>IF(A21stdlife="n/a","n/a",IF(AW$3&gt;(A21stdlife+$E347),('PTRM input'!$P$163*(1+rvanilla10)^0.5)-SUM($P347:AV347),('PTRM input'!$P$163*(1+rvanilla10)^0.5)/A21stdlife))</f>
        <v>0</v>
      </c>
      <c r="AX347" s="107">
        <f>IF(A21stdlife="n/a","n/a",IF(AX$3&gt;(A21stdlife+$E347),('PTRM input'!$P$163*(1+rvanilla10)^0.5)-SUM($P347:AW347),('PTRM input'!$P$163*(1+rvanilla10)^0.5)/A21stdlife))</f>
        <v>0</v>
      </c>
      <c r="AY347" s="107">
        <f>IF(A21stdlife="n/a","n/a",IF(AY$3&gt;(A21stdlife+$E347),('PTRM input'!$P$163*(1+rvanilla10)^0.5)-SUM($P347:AX347),('PTRM input'!$P$163*(1+rvanilla10)^0.5)/A21stdlife))</f>
        <v>0</v>
      </c>
      <c r="AZ347" s="107">
        <f>IF(A21stdlife="n/a","n/a",IF(AZ$3&gt;(A21stdlife+$E347),('PTRM input'!$P$163*(1+rvanilla10)^0.5)-SUM($P347:AY347),('PTRM input'!$P$163*(1+rvanilla10)^0.5)/A21stdlife))</f>
        <v>0</v>
      </c>
      <c r="BA347" s="107">
        <f>IF(A21stdlife="n/a","n/a",IF(BA$3&gt;(A21stdlife+$E347),('PTRM input'!$P$163*(1+rvanilla10)^0.5)-SUM($P347:AZ347),('PTRM input'!$P$163*(1+rvanilla10)^0.5)/A21stdlife))</f>
        <v>0</v>
      </c>
      <c r="BB347" s="107">
        <f>IF(A21stdlife="n/a","n/a",IF(BB$3&gt;(A21stdlife+$E347),('PTRM input'!$P$163*(1+rvanilla10)^0.5)-SUM($P347:BA347),('PTRM input'!$P$163*(1+rvanilla10)^0.5)/A21stdlife))</f>
        <v>0</v>
      </c>
      <c r="BC347" s="107">
        <f>IF(A21stdlife="n/a","n/a",IF(BC$3&gt;(A21stdlife+$E347),('PTRM input'!$P$163*(1+rvanilla10)^0.5)-SUM($P347:BB347),('PTRM input'!$P$163*(1+rvanilla10)^0.5)/A21stdlife))</f>
        <v>0</v>
      </c>
      <c r="BD347" s="107">
        <f>IF(A21stdlife="n/a","n/a",IF(BD$3&gt;(A21stdlife+$E347),('PTRM input'!$P$163*(1+rvanilla10)^0.5)-SUM($P347:BC347),('PTRM input'!$P$163*(1+rvanilla10)^0.5)/A21stdlife))</f>
        <v>0</v>
      </c>
      <c r="BE347" s="107">
        <f>IF(A21stdlife="n/a","n/a",IF(BE$3&gt;(A21stdlife+$E347),('PTRM input'!$P$163*(1+rvanilla10)^0.5)-SUM($P347:BD347),('PTRM input'!$P$163*(1+rvanilla10)^0.5)/A21stdlife))</f>
        <v>0</v>
      </c>
      <c r="BF347" s="107">
        <f>IF(A21stdlife="n/a","n/a",IF(BF$3&gt;(A21stdlife+$E347),('PTRM input'!$P$163*(1+rvanilla10)^0.5)-SUM($P347:BE347),('PTRM input'!$P$163*(1+rvanilla10)^0.5)/A21stdlife))</f>
        <v>0</v>
      </c>
      <c r="BG347" s="107">
        <f>IF(A21stdlife="n/a","n/a",IF(BG$3&gt;(A21stdlife+$E347),('PTRM input'!$P$163*(1+rvanilla10)^0.5)-SUM($P347:BF347),('PTRM input'!$P$163*(1+rvanilla10)^0.5)/A21stdlife))</f>
        <v>0</v>
      </c>
      <c r="BH347" s="107">
        <f>IF(A21stdlife="n/a","n/a",IF(BH$3&gt;(A21stdlife+$E347),('PTRM input'!$P$163*(1+rvanilla10)^0.5)-SUM($P347:BG347),('PTRM input'!$P$163*(1+rvanilla10)^0.5)/A21stdlife))</f>
        <v>0</v>
      </c>
      <c r="BI347" s="107">
        <f>IF(A21stdlife="n/a","n/a",IF(BI$3&gt;(A21stdlife+$E347),('PTRM input'!$P$163*(1+rvanilla10)^0.5)-SUM($P347:BH347),('PTRM input'!$P$163*(1+rvanilla10)^0.5)/A21stdlife))</f>
        <v>0</v>
      </c>
      <c r="BJ347" s="237"/>
      <c r="BK347" s="237"/>
      <c r="BL347" s="237"/>
      <c r="BM347" s="237"/>
    </row>
    <row r="348" spans="1:65" s="190" customFormat="1" hidden="1" outlineLevel="1">
      <c r="A348" s="237"/>
      <c r="B348" s="18"/>
      <c r="C348" s="33">
        <f>Asset21</f>
        <v>0</v>
      </c>
      <c r="D348" s="18"/>
      <c r="E348" s="18"/>
      <c r="F348" s="31"/>
      <c r="G348" s="104">
        <f t="shared" ref="G348:AL348" si="77">SUM(G336:G347)</f>
        <v>0</v>
      </c>
      <c r="H348" s="104">
        <f t="shared" si="77"/>
        <v>0</v>
      </c>
      <c r="I348" s="104">
        <f t="shared" si="77"/>
        <v>0</v>
      </c>
      <c r="J348" s="104">
        <f t="shared" si="77"/>
        <v>0</v>
      </c>
      <c r="K348" s="104">
        <f t="shared" si="77"/>
        <v>0</v>
      </c>
      <c r="L348" s="104">
        <f t="shared" si="77"/>
        <v>0</v>
      </c>
      <c r="M348" s="104">
        <f t="shared" si="77"/>
        <v>0</v>
      </c>
      <c r="N348" s="104">
        <f t="shared" si="77"/>
        <v>0</v>
      </c>
      <c r="O348" s="104">
        <f t="shared" si="77"/>
        <v>0</v>
      </c>
      <c r="P348" s="104">
        <f t="shared" si="77"/>
        <v>0</v>
      </c>
      <c r="Q348" s="104">
        <f t="shared" si="77"/>
        <v>0</v>
      </c>
      <c r="R348" s="104">
        <f t="shared" si="77"/>
        <v>0</v>
      </c>
      <c r="S348" s="104">
        <f t="shared" si="77"/>
        <v>0</v>
      </c>
      <c r="T348" s="104">
        <f t="shared" si="77"/>
        <v>0</v>
      </c>
      <c r="U348" s="104">
        <f t="shared" si="77"/>
        <v>0</v>
      </c>
      <c r="V348" s="104">
        <f t="shared" si="77"/>
        <v>0</v>
      </c>
      <c r="W348" s="104">
        <f t="shared" si="77"/>
        <v>0</v>
      </c>
      <c r="X348" s="104">
        <f t="shared" si="77"/>
        <v>0</v>
      </c>
      <c r="Y348" s="104">
        <f t="shared" si="77"/>
        <v>0</v>
      </c>
      <c r="Z348" s="104">
        <f t="shared" si="77"/>
        <v>0</v>
      </c>
      <c r="AA348" s="104">
        <f t="shared" si="77"/>
        <v>0</v>
      </c>
      <c r="AB348" s="104">
        <f t="shared" si="77"/>
        <v>0</v>
      </c>
      <c r="AC348" s="104">
        <f t="shared" si="77"/>
        <v>0</v>
      </c>
      <c r="AD348" s="104">
        <f t="shared" si="77"/>
        <v>0</v>
      </c>
      <c r="AE348" s="104">
        <f t="shared" si="77"/>
        <v>0</v>
      </c>
      <c r="AF348" s="104">
        <f t="shared" si="77"/>
        <v>0</v>
      </c>
      <c r="AG348" s="104">
        <f t="shared" si="77"/>
        <v>0</v>
      </c>
      <c r="AH348" s="104">
        <f t="shared" si="77"/>
        <v>0</v>
      </c>
      <c r="AI348" s="104">
        <f t="shared" si="77"/>
        <v>0</v>
      </c>
      <c r="AJ348" s="104">
        <f t="shared" si="77"/>
        <v>0</v>
      </c>
      <c r="AK348" s="104">
        <f t="shared" si="77"/>
        <v>0</v>
      </c>
      <c r="AL348" s="104">
        <f t="shared" si="77"/>
        <v>0</v>
      </c>
      <c r="AM348" s="104">
        <f t="shared" ref="AM348:BI348" si="78">SUM(AM336:AM347)</f>
        <v>0</v>
      </c>
      <c r="AN348" s="104">
        <f t="shared" si="78"/>
        <v>0</v>
      </c>
      <c r="AO348" s="104">
        <f t="shared" si="78"/>
        <v>0</v>
      </c>
      <c r="AP348" s="104">
        <f t="shared" si="78"/>
        <v>0</v>
      </c>
      <c r="AQ348" s="104">
        <f t="shared" si="78"/>
        <v>0</v>
      </c>
      <c r="AR348" s="104">
        <f t="shared" si="78"/>
        <v>0</v>
      </c>
      <c r="AS348" s="104">
        <f t="shared" si="78"/>
        <v>0</v>
      </c>
      <c r="AT348" s="104">
        <f t="shared" si="78"/>
        <v>0</v>
      </c>
      <c r="AU348" s="104">
        <f t="shared" si="78"/>
        <v>0</v>
      </c>
      <c r="AV348" s="104">
        <f t="shared" si="78"/>
        <v>0</v>
      </c>
      <c r="AW348" s="104">
        <f t="shared" si="78"/>
        <v>0</v>
      </c>
      <c r="AX348" s="104">
        <f t="shared" si="78"/>
        <v>0</v>
      </c>
      <c r="AY348" s="104">
        <f t="shared" si="78"/>
        <v>0</v>
      </c>
      <c r="AZ348" s="104">
        <f t="shared" si="78"/>
        <v>0</v>
      </c>
      <c r="BA348" s="104">
        <f t="shared" si="78"/>
        <v>0</v>
      </c>
      <c r="BB348" s="104">
        <f t="shared" si="78"/>
        <v>0</v>
      </c>
      <c r="BC348" s="104">
        <f t="shared" si="78"/>
        <v>0</v>
      </c>
      <c r="BD348" s="104">
        <f t="shared" si="78"/>
        <v>0</v>
      </c>
      <c r="BE348" s="104">
        <f t="shared" si="78"/>
        <v>0</v>
      </c>
      <c r="BF348" s="104">
        <f t="shared" si="78"/>
        <v>0</v>
      </c>
      <c r="BG348" s="104">
        <f t="shared" si="78"/>
        <v>0</v>
      </c>
      <c r="BH348" s="104">
        <f t="shared" si="78"/>
        <v>0</v>
      </c>
      <c r="BI348" s="104">
        <f t="shared" si="78"/>
        <v>0</v>
      </c>
      <c r="BJ348" s="237"/>
      <c r="BK348" s="237"/>
      <c r="BL348" s="237"/>
      <c r="BM348" s="237"/>
    </row>
    <row r="349" spans="1:65" s="190" customFormat="1" ht="12.75" hidden="1" customHeight="1" outlineLevel="2">
      <c r="A349" s="237"/>
      <c r="B349" s="37">
        <f>C361</f>
        <v>0</v>
      </c>
      <c r="C349" s="38"/>
      <c r="D349" s="39" t="s">
        <v>58</v>
      </c>
      <c r="E349" s="38"/>
      <c r="F349" s="40"/>
      <c r="G349" s="106">
        <f>IF(G$3&gt;A22remlife,A22value-SUM($F349:F349),IF(A22remlife="N/A","n/a",A22value/A22remlife))</f>
        <v>0</v>
      </c>
      <c r="H349" s="106">
        <f>IF(H$3&gt;A22remlife,A22value-SUM($F349:G349),IF(A22remlife="N/A","n/a",A22value/A22remlife))</f>
        <v>0</v>
      </c>
      <c r="I349" s="106">
        <f>IF(I$3&gt;A22remlife,A22value-SUM($F349:H349),IF(A22remlife="N/A","n/a",A22value/A22remlife))</f>
        <v>0</v>
      </c>
      <c r="J349" s="106">
        <f>IF(J$3&gt;A22remlife,A22value-SUM($F349:I349),IF(A22remlife="N/A","n/a",A22value/A22remlife))</f>
        <v>0</v>
      </c>
      <c r="K349" s="106">
        <f>IF(K$3&gt;A22remlife,A22value-SUM($F349:J349),IF(A22remlife="N/A","n/a",A22value/A22remlife))</f>
        <v>0</v>
      </c>
      <c r="L349" s="106">
        <f>IF(L$3&gt;A22remlife,A22value-SUM($F349:K349),IF(A22remlife="N/A","n/a",A22value/A22remlife))</f>
        <v>0</v>
      </c>
      <c r="M349" s="106">
        <f>IF(M$3&gt;A22remlife,A22value-SUM($F349:L349),IF(A22remlife="N/A","n/a",A22value/A22remlife))</f>
        <v>0</v>
      </c>
      <c r="N349" s="106">
        <f>IF(N$3&gt;A22remlife,A22value-SUM($F349:M349),IF(A22remlife="N/A","n/a",A22value/A22remlife))</f>
        <v>0</v>
      </c>
      <c r="O349" s="106">
        <f>IF(O$3&gt;A22remlife,A22value-SUM($F349:N349),IF(A22remlife="N/A","n/a",A22value/A22remlife))</f>
        <v>0</v>
      </c>
      <c r="P349" s="106">
        <f>IF(P$3&gt;A22remlife,A22value-SUM($F349:O349),IF(A22remlife="N/A","n/a",A22value/A22remlife))</f>
        <v>0</v>
      </c>
      <c r="Q349" s="106">
        <f>IF(Q$3&gt;A22remlife,A22value-SUM($F349:P349),IF(A22remlife="N/A","n/a",A22value/A22remlife))</f>
        <v>0</v>
      </c>
      <c r="R349" s="106">
        <f>IF(R$3&gt;A22remlife,A22value-SUM($F349:Q349),IF(A22remlife="N/A","n/a",A22value/A22remlife))</f>
        <v>0</v>
      </c>
      <c r="S349" s="106">
        <f>IF(S$3&gt;A22remlife,A22value-SUM($F349:R349),IF(A22remlife="N/A","n/a",A22value/A22remlife))</f>
        <v>0</v>
      </c>
      <c r="T349" s="106">
        <f>IF(T$3&gt;A22remlife,A22value-SUM($F349:S349),IF(A22remlife="N/A","n/a",A22value/A22remlife))</f>
        <v>0</v>
      </c>
      <c r="U349" s="106">
        <f>IF(U$3&gt;A22remlife,A22value-SUM($F349:T349),IF(A22remlife="N/A","n/a",A22value/A22remlife))</f>
        <v>0</v>
      </c>
      <c r="V349" s="106">
        <f>IF(V$3&gt;A22remlife,A22value-SUM($F349:U349),IF(A22remlife="N/A","n/a",A22value/A22remlife))</f>
        <v>0</v>
      </c>
      <c r="W349" s="106">
        <f>IF(W$3&gt;A22remlife,A22value-SUM($F349:V349),IF(A22remlife="N/A","n/a",A22value/A22remlife))</f>
        <v>0</v>
      </c>
      <c r="X349" s="106">
        <f>IF(X$3&gt;A22remlife,A22value-SUM($F349:W349),IF(A22remlife="N/A","n/a",A22value/A22remlife))</f>
        <v>0</v>
      </c>
      <c r="Y349" s="106">
        <f>IF(Y$3&gt;A22remlife,A22value-SUM($F349:X349),IF(A22remlife="N/A","n/a",A22value/A22remlife))</f>
        <v>0</v>
      </c>
      <c r="Z349" s="106">
        <f>IF(Z$3&gt;A22remlife,A22value-SUM($F349:Y349),IF(A22remlife="N/A","n/a",A22value/A22remlife))</f>
        <v>0</v>
      </c>
      <c r="AA349" s="106">
        <f>IF(AA$3&gt;A22remlife,A22value-SUM($F349:Z349),IF(A22remlife="N/A","n/a",A22value/A22remlife))</f>
        <v>0</v>
      </c>
      <c r="AB349" s="106">
        <f>IF(AB$3&gt;A22remlife,A22value-SUM($F349:AA349),IF(A22remlife="N/A","n/a",A22value/A22remlife))</f>
        <v>0</v>
      </c>
      <c r="AC349" s="106">
        <f>IF(AC$3&gt;A22remlife,A22value-SUM($F349:AB349),IF(A22remlife="N/A","n/a",A22value/A22remlife))</f>
        <v>0</v>
      </c>
      <c r="AD349" s="106">
        <f>IF(AD$3&gt;A22remlife,A22value-SUM($F349:AC349),IF(A22remlife="N/A","n/a",A22value/A22remlife))</f>
        <v>0</v>
      </c>
      <c r="AE349" s="106">
        <f>IF(AE$3&gt;A22remlife,A22value-SUM($F349:AD349),IF(A22remlife="N/A","n/a",A22value/A22remlife))</f>
        <v>0</v>
      </c>
      <c r="AF349" s="106">
        <f>IF(AF$3&gt;A22remlife,A22value-SUM($F349:AE349),IF(A22remlife="N/A","n/a",A22value/A22remlife))</f>
        <v>0</v>
      </c>
      <c r="AG349" s="106">
        <f>IF(AG$3&gt;A22remlife,A22value-SUM($F349:AF349),IF(A22remlife="N/A","n/a",A22value/A22remlife))</f>
        <v>0</v>
      </c>
      <c r="AH349" s="106">
        <f>IF(AH$3&gt;A22remlife,A22value-SUM($F349:AG349),IF(A22remlife="N/A","n/a",A22value/A22remlife))</f>
        <v>0</v>
      </c>
      <c r="AI349" s="106">
        <f>IF(AI$3&gt;A22remlife,A22value-SUM($F349:AH349),IF(A22remlife="N/A","n/a",A22value/A22remlife))</f>
        <v>0</v>
      </c>
      <c r="AJ349" s="106">
        <f>IF(AJ$3&gt;A22remlife,A22value-SUM($F349:AI349),IF(A22remlife="N/A","n/a",A22value/A22remlife))</f>
        <v>0</v>
      </c>
      <c r="AK349" s="106">
        <f>IF(AK$3&gt;A22remlife,A22value-SUM($F349:AJ349),IF(A22remlife="N/A","n/a",A22value/A22remlife))</f>
        <v>0</v>
      </c>
      <c r="AL349" s="106">
        <f>IF(AL$3&gt;A22remlife,A22value-SUM($F349:AK349),IF(A22remlife="N/A","n/a",A22value/A22remlife))</f>
        <v>0</v>
      </c>
      <c r="AM349" s="106">
        <f>IF(AM$3&gt;A22remlife,A22value-SUM($F349:AL349),IF(A22remlife="N/A","n/a",A22value/A22remlife))</f>
        <v>0</v>
      </c>
      <c r="AN349" s="106">
        <f>IF(AN$3&gt;A22remlife,A22value-SUM($F349:AM349),IF(A22remlife="N/A","n/a",A22value/A22remlife))</f>
        <v>0</v>
      </c>
      <c r="AO349" s="106">
        <f>IF(AO$3&gt;A22remlife,A22value-SUM($F349:AN349),IF(A22remlife="N/A","n/a",A22value/A22remlife))</f>
        <v>0</v>
      </c>
      <c r="AP349" s="106">
        <f>IF(AP$3&gt;A22remlife,A22value-SUM($F349:AO349),IF(A22remlife="N/A","n/a",A22value/A22remlife))</f>
        <v>0</v>
      </c>
      <c r="AQ349" s="106">
        <f>IF(AQ$3&gt;A22remlife,A22value-SUM($F349:AP349),IF(A22remlife="N/A","n/a",A22value/A22remlife))</f>
        <v>0</v>
      </c>
      <c r="AR349" s="106">
        <f>IF(AR$3&gt;A22remlife,A22value-SUM($F349:AQ349),IF(A22remlife="N/A","n/a",A22value/A22remlife))</f>
        <v>0</v>
      </c>
      <c r="AS349" s="106">
        <f>IF(AS$3&gt;A22remlife,A22value-SUM($F349:AR349),IF(A22remlife="N/A","n/a",A22value/A22remlife))</f>
        <v>0</v>
      </c>
      <c r="AT349" s="106">
        <f>IF(AT$3&gt;A22remlife,A22value-SUM($F349:AS349),IF(A22remlife="N/A","n/a",A22value/A22remlife))</f>
        <v>0</v>
      </c>
      <c r="AU349" s="106">
        <f>IF(AU$3&gt;A22remlife,A22value-SUM($F349:AT349),IF(A22remlife="N/A","n/a",A22value/A22remlife))</f>
        <v>0</v>
      </c>
      <c r="AV349" s="106">
        <f>IF(AV$3&gt;A22remlife,A22value-SUM($F349:AU349),IF(A22remlife="N/A","n/a",A22value/A22remlife))</f>
        <v>0</v>
      </c>
      <c r="AW349" s="106">
        <f>IF(AW$3&gt;A22remlife,A22value-SUM($F349:AV349),IF(A22remlife="N/A","n/a",A22value/A22remlife))</f>
        <v>0</v>
      </c>
      <c r="AX349" s="106">
        <f>IF(AX$3&gt;A22remlife,A22value-SUM($F349:AW349),IF(A22remlife="N/A","n/a",A22value/A22remlife))</f>
        <v>0</v>
      </c>
      <c r="AY349" s="106">
        <f>IF(AY$3&gt;A22remlife,A22value-SUM($F349:AX349),IF(A22remlife="N/A","n/a",A22value/A22remlife))</f>
        <v>0</v>
      </c>
      <c r="AZ349" s="106">
        <f>IF(AZ$3&gt;A22remlife,A22value-SUM($F349:AY349),IF(A22remlife="N/A","n/a",A22value/A22remlife))</f>
        <v>0</v>
      </c>
      <c r="BA349" s="106">
        <f>IF(BA$3&gt;A22remlife,A22value-SUM($F349:AZ349),IF(A22remlife="N/A","n/a",A22value/A22remlife))</f>
        <v>0</v>
      </c>
      <c r="BB349" s="106">
        <f>IF(BB$3&gt;A22remlife,A22value-SUM($F349:BA349),IF(A22remlife="N/A","n/a",A22value/A22remlife))</f>
        <v>0</v>
      </c>
      <c r="BC349" s="106">
        <f>IF(BC$3&gt;A22remlife,A22value-SUM($F349:BB349),IF(A22remlife="N/A","n/a",A22value/A22remlife))</f>
        <v>0</v>
      </c>
      <c r="BD349" s="106">
        <f>IF(BD$3&gt;A22remlife,A22value-SUM($F349:BC349),IF(A22remlife="N/A","n/a",A22value/A22remlife))</f>
        <v>0</v>
      </c>
      <c r="BE349" s="106">
        <f>IF(BE$3&gt;A22remlife,A22value-SUM($F349:BD349),IF(A22remlife="N/A","n/a",A22value/A22remlife))</f>
        <v>0</v>
      </c>
      <c r="BF349" s="106">
        <f>IF(BF$3&gt;A22remlife,A22value-SUM($F349:BE349),IF(A22remlife="N/A","n/a",A22value/A22remlife))</f>
        <v>0</v>
      </c>
      <c r="BG349" s="106">
        <f>IF(BG$3&gt;A22remlife,A22value-SUM($F349:BF349),IF(A22remlife="N/A","n/a",A22value/A22remlife))</f>
        <v>0</v>
      </c>
      <c r="BH349" s="106">
        <f>IF(BH$3&gt;A22remlife,A22value-SUM($F349:BG349),IF(A22remlife="N/A","n/a",A22value/A22remlife))</f>
        <v>0</v>
      </c>
      <c r="BI349" s="106">
        <f>IF(BI$3&gt;A22remlife,A22value-SUM($F349:BH349),IF(A22remlife="N/A","n/a",A22value/A22remlife))</f>
        <v>0</v>
      </c>
      <c r="BJ349" s="237"/>
      <c r="BK349" s="237"/>
      <c r="BL349" s="237"/>
      <c r="BM349" s="237"/>
    </row>
    <row r="350" spans="1:65" s="190" customFormat="1" ht="12.75" hidden="1" customHeight="1" outlineLevel="2">
      <c r="A350" s="237"/>
      <c r="B350" s="33"/>
      <c r="C350" s="32"/>
      <c r="D350" s="1618" t="s">
        <v>357</v>
      </c>
      <c r="E350" s="169">
        <v>0</v>
      </c>
      <c r="F350" s="35"/>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c r="BJ350" s="237"/>
      <c r="BK350" s="237"/>
      <c r="BL350" s="237"/>
      <c r="BM350" s="237"/>
    </row>
    <row r="351" spans="1:65" s="190" customFormat="1" hidden="1" outlineLevel="2">
      <c r="A351" s="237"/>
      <c r="B351" s="33"/>
      <c r="C351" s="32"/>
      <c r="D351" s="1618"/>
      <c r="E351" s="169">
        <v>1</v>
      </c>
      <c r="F351" s="35"/>
      <c r="G351" s="183"/>
      <c r="H351" s="107">
        <f>IF(A22stdlife="n/a","n/a",IF(H$3&gt;(A22stdlife+$E351),('PTRM input'!$G$164*(1+rvanilla01)^0.5)-SUM($G351:G351),('PTRM input'!$G$164*(1+rvanilla01)^0.5)/A22stdlife))</f>
        <v>0</v>
      </c>
      <c r="I351" s="107">
        <f>IF(A22stdlife="n/a","n/a",IF(I$3&gt;(A22stdlife+$E351),('PTRM input'!$G$164*(1+rvanilla01)^0.5)-SUM($G351:H351),('PTRM input'!$G$164*(1+rvanilla01)^0.5)/A22stdlife))</f>
        <v>0</v>
      </c>
      <c r="J351" s="107">
        <f>IF(A22stdlife="n/a","n/a",IF(J$3&gt;(A22stdlife+$E351),('PTRM input'!$G$164*(1+rvanilla01)^0.5)-SUM($G351:I351),('PTRM input'!$G$164*(1+rvanilla01)^0.5)/A22stdlife))</f>
        <v>0</v>
      </c>
      <c r="K351" s="107">
        <f>IF(A22stdlife="n/a","n/a",IF(K$3&gt;(A22stdlife+$E351),('PTRM input'!$G$164*(1+rvanilla01)^0.5)-SUM($G351:J351),('PTRM input'!$G$164*(1+rvanilla01)^0.5)/A22stdlife))</f>
        <v>0</v>
      </c>
      <c r="L351" s="107">
        <f>IF(A22stdlife="n/a","n/a",IF(L$3&gt;(A22stdlife+$E351),('PTRM input'!$G$164*(1+rvanilla01)^0.5)-SUM($G351:K351),('PTRM input'!$G$164*(1+rvanilla01)^0.5)/A22stdlife))</f>
        <v>0</v>
      </c>
      <c r="M351" s="107">
        <f>IF(A22stdlife="n/a","n/a",IF(M$3&gt;(A22stdlife+$E351),('PTRM input'!$G$164*(1+rvanilla01)^0.5)-SUM($G351:L351),('PTRM input'!$G$164*(1+rvanilla01)^0.5)/A22stdlife))</f>
        <v>0</v>
      </c>
      <c r="N351" s="107">
        <f>IF(A22stdlife="n/a","n/a",IF(N$3&gt;(A22stdlife+$E351),('PTRM input'!$G$164*(1+rvanilla01)^0.5)-SUM($G351:M351),('PTRM input'!$G$164*(1+rvanilla01)^0.5)/A22stdlife))</f>
        <v>0</v>
      </c>
      <c r="O351" s="107">
        <f>IF(A22stdlife="n/a","n/a",IF(O$3&gt;(A22stdlife+$E351),('PTRM input'!$G$164*(1+rvanilla01)^0.5)-SUM($G351:N351),('PTRM input'!$G$164*(1+rvanilla01)^0.5)/A22stdlife))</f>
        <v>0</v>
      </c>
      <c r="P351" s="107">
        <f>IF(A22stdlife="n/a","n/a",IF(P$3&gt;(A22stdlife+$E351),('PTRM input'!$G$164*(1+rvanilla01)^0.5)-SUM($G351:O351),('PTRM input'!$G$164*(1+rvanilla01)^0.5)/A22stdlife))</f>
        <v>0</v>
      </c>
      <c r="Q351" s="107">
        <f>IF(A22stdlife="n/a","n/a",IF(Q$3&gt;(A22stdlife+$E351),('PTRM input'!$G$164*(1+rvanilla01)^0.5)-SUM($G351:P351),('PTRM input'!$G$164*(1+rvanilla01)^0.5)/A22stdlife))</f>
        <v>0</v>
      </c>
      <c r="R351" s="107">
        <f>IF(A22stdlife="n/a","n/a",IF(R$3&gt;(A22stdlife+$E351),('PTRM input'!$G$164*(1+rvanilla01)^0.5)-SUM($G351:Q351),('PTRM input'!$G$164*(1+rvanilla01)^0.5)/A22stdlife))</f>
        <v>0</v>
      </c>
      <c r="S351" s="107">
        <f>IF(A22stdlife="n/a","n/a",IF(S$3&gt;(A22stdlife+$E351),('PTRM input'!$G$164*(1+rvanilla01)^0.5)-SUM($G351:R351),('PTRM input'!$G$164*(1+rvanilla01)^0.5)/A22stdlife))</f>
        <v>0</v>
      </c>
      <c r="T351" s="107">
        <f>IF(A22stdlife="n/a","n/a",IF(T$3&gt;(A22stdlife+$E351),('PTRM input'!$G$164*(1+rvanilla01)^0.5)-SUM($G351:S351),('PTRM input'!$G$164*(1+rvanilla01)^0.5)/A22stdlife))</f>
        <v>0</v>
      </c>
      <c r="U351" s="107">
        <f>IF(A22stdlife="n/a","n/a",IF(U$3&gt;(A22stdlife+$E351),('PTRM input'!$G$164*(1+rvanilla01)^0.5)-SUM($G351:T351),('PTRM input'!$G$164*(1+rvanilla01)^0.5)/A22stdlife))</f>
        <v>0</v>
      </c>
      <c r="V351" s="107">
        <f>IF(A22stdlife="n/a","n/a",IF(V$3&gt;(A22stdlife+$E351),('PTRM input'!$G$164*(1+rvanilla01)^0.5)-SUM($G351:U351),('PTRM input'!$G$164*(1+rvanilla01)^0.5)/A22stdlife))</f>
        <v>0</v>
      </c>
      <c r="W351" s="107">
        <f>IF(A22stdlife="n/a","n/a",IF(W$3&gt;(A22stdlife+$E351),('PTRM input'!$G$164*(1+rvanilla01)^0.5)-SUM($G351:V351),('PTRM input'!$G$164*(1+rvanilla01)^0.5)/A22stdlife))</f>
        <v>0</v>
      </c>
      <c r="X351" s="107">
        <f>IF(A22stdlife="n/a","n/a",IF(X$3&gt;(A22stdlife+$E351),('PTRM input'!$G$164*(1+rvanilla01)^0.5)-SUM($G351:W351),('PTRM input'!$G$164*(1+rvanilla01)^0.5)/A22stdlife))</f>
        <v>0</v>
      </c>
      <c r="Y351" s="107">
        <f>IF(A22stdlife="n/a","n/a",IF(Y$3&gt;(A22stdlife+$E351),('PTRM input'!$G$164*(1+rvanilla01)^0.5)-SUM($G351:X351),('PTRM input'!$G$164*(1+rvanilla01)^0.5)/A22stdlife))</f>
        <v>0</v>
      </c>
      <c r="Z351" s="107">
        <f>IF(A22stdlife="n/a","n/a",IF(Z$3&gt;(A22stdlife+$E351),('PTRM input'!$G$164*(1+rvanilla01)^0.5)-SUM($G351:Y351),('PTRM input'!$G$164*(1+rvanilla01)^0.5)/A22stdlife))</f>
        <v>0</v>
      </c>
      <c r="AA351" s="107">
        <f>IF(A22stdlife="n/a","n/a",IF(AA$3&gt;(A22stdlife+$E351),('PTRM input'!$G$164*(1+rvanilla01)^0.5)-SUM($G351:Z351),('PTRM input'!$G$164*(1+rvanilla01)^0.5)/A22stdlife))</f>
        <v>0</v>
      </c>
      <c r="AB351" s="107">
        <f>IF(A22stdlife="n/a","n/a",IF(AB$3&gt;(A22stdlife+$E351),('PTRM input'!$G$164*(1+rvanilla01)^0.5)-SUM($G351:AA351),('PTRM input'!$G$164*(1+rvanilla01)^0.5)/A22stdlife))</f>
        <v>0</v>
      </c>
      <c r="AC351" s="107">
        <f>IF(A22stdlife="n/a","n/a",IF(AC$3&gt;(A22stdlife+$E351),('PTRM input'!$G$164*(1+rvanilla01)^0.5)-SUM($G351:AB351),('PTRM input'!$G$164*(1+rvanilla01)^0.5)/A22stdlife))</f>
        <v>0</v>
      </c>
      <c r="AD351" s="107">
        <f>IF(A22stdlife="n/a","n/a",IF(AD$3&gt;(A22stdlife+$E351),('PTRM input'!$G$164*(1+rvanilla01)^0.5)-SUM($G351:AC351),('PTRM input'!$G$164*(1+rvanilla01)^0.5)/A22stdlife))</f>
        <v>0</v>
      </c>
      <c r="AE351" s="107">
        <f>IF(A22stdlife="n/a","n/a",IF(AE$3&gt;(A22stdlife+$E351),('PTRM input'!$G$164*(1+rvanilla01)^0.5)-SUM($G351:AD351),('PTRM input'!$G$164*(1+rvanilla01)^0.5)/A22stdlife))</f>
        <v>0</v>
      </c>
      <c r="AF351" s="107">
        <f>IF(A22stdlife="n/a","n/a",IF(AF$3&gt;(A22stdlife+$E351),('PTRM input'!$G$164*(1+rvanilla01)^0.5)-SUM($G351:AE351),('PTRM input'!$G$164*(1+rvanilla01)^0.5)/A22stdlife))</f>
        <v>0</v>
      </c>
      <c r="AG351" s="107">
        <f>IF(A22stdlife="n/a","n/a",IF(AG$3&gt;(A22stdlife+$E351),('PTRM input'!$G$164*(1+rvanilla01)^0.5)-SUM($G351:AF351),('PTRM input'!$G$164*(1+rvanilla01)^0.5)/A22stdlife))</f>
        <v>0</v>
      </c>
      <c r="AH351" s="107">
        <f>IF(A22stdlife="n/a","n/a",IF(AH$3&gt;(A22stdlife+$E351),('PTRM input'!$G$164*(1+rvanilla01)^0.5)-SUM($G351:AG351),('PTRM input'!$G$164*(1+rvanilla01)^0.5)/A22stdlife))</f>
        <v>0</v>
      </c>
      <c r="AI351" s="107">
        <f>IF(A22stdlife="n/a","n/a",IF(AI$3&gt;(A22stdlife+$E351),('PTRM input'!$G$164*(1+rvanilla01)^0.5)-SUM($G351:AH351),('PTRM input'!$G$164*(1+rvanilla01)^0.5)/A22stdlife))</f>
        <v>0</v>
      </c>
      <c r="AJ351" s="107">
        <f>IF(A22stdlife="n/a","n/a",IF(AJ$3&gt;(A22stdlife+$E351),('PTRM input'!$G$164*(1+rvanilla01)^0.5)-SUM($G351:AI351),('PTRM input'!$G$164*(1+rvanilla01)^0.5)/A22stdlife))</f>
        <v>0</v>
      </c>
      <c r="AK351" s="107">
        <f>IF(A22stdlife="n/a","n/a",IF(AK$3&gt;(A22stdlife+$E351),('PTRM input'!$G$164*(1+rvanilla01)^0.5)-SUM($G351:AJ351),('PTRM input'!$G$164*(1+rvanilla01)^0.5)/A22stdlife))</f>
        <v>0</v>
      </c>
      <c r="AL351" s="107">
        <f>IF(A22stdlife="n/a","n/a",IF(AL$3&gt;(A22stdlife+$E351),('PTRM input'!$G$164*(1+rvanilla01)^0.5)-SUM($G351:AK351),('PTRM input'!$G$164*(1+rvanilla01)^0.5)/A22stdlife))</f>
        <v>0</v>
      </c>
      <c r="AM351" s="107">
        <f>IF(A22stdlife="n/a","n/a",IF(AM$3&gt;(A22stdlife+$E351),('PTRM input'!$G$164*(1+rvanilla01)^0.5)-SUM($G351:AL351),('PTRM input'!$G$164*(1+rvanilla01)^0.5)/A22stdlife))</f>
        <v>0</v>
      </c>
      <c r="AN351" s="107">
        <f>IF(A22stdlife="n/a","n/a",IF(AN$3&gt;(A22stdlife+$E351),('PTRM input'!$G$164*(1+rvanilla01)^0.5)-SUM($G351:AM351),('PTRM input'!$G$164*(1+rvanilla01)^0.5)/A22stdlife))</f>
        <v>0</v>
      </c>
      <c r="AO351" s="107">
        <f>IF(A22stdlife="n/a","n/a",IF(AO$3&gt;(A22stdlife+$E351),('PTRM input'!$G$164*(1+rvanilla01)^0.5)-SUM($G351:AN351),('PTRM input'!$G$164*(1+rvanilla01)^0.5)/A22stdlife))</f>
        <v>0</v>
      </c>
      <c r="AP351" s="107">
        <f>IF(A22stdlife="n/a","n/a",IF(AP$3&gt;(A22stdlife+$E351),('PTRM input'!$G$164*(1+rvanilla01)^0.5)-SUM($G351:AO351),('PTRM input'!$G$164*(1+rvanilla01)^0.5)/A22stdlife))</f>
        <v>0</v>
      </c>
      <c r="AQ351" s="107">
        <f>IF(A22stdlife="n/a","n/a",IF(AQ$3&gt;(A22stdlife+$E351),('PTRM input'!$G$164*(1+rvanilla01)^0.5)-SUM($G351:AP351),('PTRM input'!$G$164*(1+rvanilla01)^0.5)/A22stdlife))</f>
        <v>0</v>
      </c>
      <c r="AR351" s="107">
        <f>IF(A22stdlife="n/a","n/a",IF(AR$3&gt;(A22stdlife+$E351),('PTRM input'!$G$164*(1+rvanilla01)^0.5)-SUM($G351:AQ351),('PTRM input'!$G$164*(1+rvanilla01)^0.5)/A22stdlife))</f>
        <v>0</v>
      </c>
      <c r="AS351" s="107">
        <f>IF(A22stdlife="n/a","n/a",IF(AS$3&gt;(A22stdlife+$E351),('PTRM input'!$G$164*(1+rvanilla01)^0.5)-SUM($G351:AR351),('PTRM input'!$G$164*(1+rvanilla01)^0.5)/A22stdlife))</f>
        <v>0</v>
      </c>
      <c r="AT351" s="107">
        <f>IF(A22stdlife="n/a","n/a",IF(AT$3&gt;(A22stdlife+$E351),('PTRM input'!$G$164*(1+rvanilla01)^0.5)-SUM($G351:AS351),('PTRM input'!$G$164*(1+rvanilla01)^0.5)/A22stdlife))</f>
        <v>0</v>
      </c>
      <c r="AU351" s="107">
        <f>IF(A22stdlife="n/a","n/a",IF(AU$3&gt;(A22stdlife+$E351),('PTRM input'!$G$164*(1+rvanilla01)^0.5)-SUM($G351:AT351),('PTRM input'!$G$164*(1+rvanilla01)^0.5)/A22stdlife))</f>
        <v>0</v>
      </c>
      <c r="AV351" s="107">
        <f>IF(A22stdlife="n/a","n/a",IF(AV$3&gt;(A22stdlife+$E351),('PTRM input'!$G$164*(1+rvanilla01)^0.5)-SUM($G351:AU351),('PTRM input'!$G$164*(1+rvanilla01)^0.5)/A22stdlife))</f>
        <v>0</v>
      </c>
      <c r="AW351" s="107">
        <f>IF(A22stdlife="n/a","n/a",IF(AW$3&gt;(A22stdlife+$E351),('PTRM input'!$G$164*(1+rvanilla01)^0.5)-SUM($G351:AV351),('PTRM input'!$G$164*(1+rvanilla01)^0.5)/A22stdlife))</f>
        <v>0</v>
      </c>
      <c r="AX351" s="107">
        <f>IF(A22stdlife="n/a","n/a",IF(AX$3&gt;(A22stdlife+$E351),('PTRM input'!$G$164*(1+rvanilla01)^0.5)-SUM($G351:AW351),('PTRM input'!$G$164*(1+rvanilla01)^0.5)/A22stdlife))</f>
        <v>0</v>
      </c>
      <c r="AY351" s="107">
        <f>IF(A22stdlife="n/a","n/a",IF(AY$3&gt;(A22stdlife+$E351),('PTRM input'!$G$164*(1+rvanilla01)^0.5)-SUM($G351:AX351),('PTRM input'!$G$164*(1+rvanilla01)^0.5)/A22stdlife))</f>
        <v>0</v>
      </c>
      <c r="AZ351" s="107">
        <f>IF(A22stdlife="n/a","n/a",IF(AZ$3&gt;(A22stdlife+$E351),('PTRM input'!$G$164*(1+rvanilla01)^0.5)-SUM($G351:AY351),('PTRM input'!$G$164*(1+rvanilla01)^0.5)/A22stdlife))</f>
        <v>0</v>
      </c>
      <c r="BA351" s="107">
        <f>IF(A22stdlife="n/a","n/a",IF(BA$3&gt;(A22stdlife+$E351),('PTRM input'!$G$164*(1+rvanilla01)^0.5)-SUM($G351:AZ351),('PTRM input'!$G$164*(1+rvanilla01)^0.5)/A22stdlife))</f>
        <v>0</v>
      </c>
      <c r="BB351" s="107">
        <f>IF(A22stdlife="n/a","n/a",IF(BB$3&gt;(A22stdlife+$E351),('PTRM input'!$G$164*(1+rvanilla01)^0.5)-SUM($G351:BA351),('PTRM input'!$G$164*(1+rvanilla01)^0.5)/A22stdlife))</f>
        <v>0</v>
      </c>
      <c r="BC351" s="107">
        <f>IF(A22stdlife="n/a","n/a",IF(BC$3&gt;(A22stdlife+$E351),('PTRM input'!$G$164*(1+rvanilla01)^0.5)-SUM($G351:BB351),('PTRM input'!$G$164*(1+rvanilla01)^0.5)/A22stdlife))</f>
        <v>0</v>
      </c>
      <c r="BD351" s="107">
        <f>IF(A22stdlife="n/a","n/a",IF(BD$3&gt;(A22stdlife+$E351),('PTRM input'!$G$164*(1+rvanilla01)^0.5)-SUM($G351:BC351),('PTRM input'!$G$164*(1+rvanilla01)^0.5)/A22stdlife))</f>
        <v>0</v>
      </c>
      <c r="BE351" s="107">
        <f>IF(A22stdlife="n/a","n/a",IF(BE$3&gt;(A22stdlife+$E351),('PTRM input'!$G$164*(1+rvanilla01)^0.5)-SUM($G351:BD351),('PTRM input'!$G$164*(1+rvanilla01)^0.5)/A22stdlife))</f>
        <v>0</v>
      </c>
      <c r="BF351" s="107">
        <f>IF(A22stdlife="n/a","n/a",IF(BF$3&gt;(A22stdlife+$E351),('PTRM input'!$G$164*(1+rvanilla01)^0.5)-SUM($G351:BE351),('PTRM input'!$G$164*(1+rvanilla01)^0.5)/A22stdlife))</f>
        <v>0</v>
      </c>
      <c r="BG351" s="107">
        <f>IF(A22stdlife="n/a","n/a",IF(BG$3&gt;(A22stdlife+$E351),('PTRM input'!$G$164*(1+rvanilla01)^0.5)-SUM($G351:BF351),('PTRM input'!$G$164*(1+rvanilla01)^0.5)/A22stdlife))</f>
        <v>0</v>
      </c>
      <c r="BH351" s="107">
        <f>IF(A22stdlife="n/a","n/a",IF(BH$3&gt;(A22stdlife+$E351),('PTRM input'!$G$164*(1+rvanilla01)^0.5)-SUM($G351:BG351),('PTRM input'!$G$164*(1+rvanilla01)^0.5)/A22stdlife))</f>
        <v>0</v>
      </c>
      <c r="BI351" s="107">
        <f>IF(A22stdlife="n/a","n/a",IF(BI$3&gt;(A22stdlife+$E351),('PTRM input'!$G$164*(1+rvanilla01)^0.5)-SUM($G351:BH351),('PTRM input'!$G$164*(1+rvanilla01)^0.5)/A22stdlife))</f>
        <v>0</v>
      </c>
      <c r="BJ351" s="237"/>
      <c r="BK351" s="237"/>
      <c r="BL351" s="237"/>
      <c r="BM351" s="237"/>
    </row>
    <row r="352" spans="1:65" s="190" customFormat="1" hidden="1" outlineLevel="2">
      <c r="A352" s="237"/>
      <c r="B352" s="33"/>
      <c r="C352" s="32"/>
      <c r="D352" s="1618"/>
      <c r="E352" s="169">
        <v>2</v>
      </c>
      <c r="F352" s="35"/>
      <c r="G352" s="184"/>
      <c r="H352" s="185"/>
      <c r="I352" s="107">
        <f>IF(A22stdlife="n/a","n/a",IF(I$3&gt;(A22stdlife+$E352),('PTRM input'!$H$164*(1+rvanilla02)^0.5)-SUM($H352:H352),('PTRM input'!$H$164*(1+rvanilla02)^0.5)/A22stdlife))</f>
        <v>0</v>
      </c>
      <c r="J352" s="107">
        <f>IF(A22stdlife="n/a","n/a",IF(J$3&gt;(A22stdlife+$E352),('PTRM input'!$H$164*(1+rvanilla02)^0.5)-SUM($H352:I352),('PTRM input'!$H$164*(1+rvanilla02)^0.5)/A22stdlife))</f>
        <v>0</v>
      </c>
      <c r="K352" s="107">
        <f>IF(A22stdlife="n/a","n/a",IF(K$3&gt;(A22stdlife+$E352),('PTRM input'!$H$164*(1+rvanilla02)^0.5)-SUM($H352:J352),('PTRM input'!$H$164*(1+rvanilla02)^0.5)/A22stdlife))</f>
        <v>0</v>
      </c>
      <c r="L352" s="107">
        <f>IF(A22stdlife="n/a","n/a",IF(L$3&gt;(A22stdlife+$E352),('PTRM input'!$H$164*(1+rvanilla02)^0.5)-SUM($H352:K352),('PTRM input'!$H$164*(1+rvanilla02)^0.5)/A22stdlife))</f>
        <v>0</v>
      </c>
      <c r="M352" s="107">
        <f>IF(A22stdlife="n/a","n/a",IF(M$3&gt;(A22stdlife+$E352),('PTRM input'!$H$164*(1+rvanilla02)^0.5)-SUM($H352:L352),('PTRM input'!$H$164*(1+rvanilla02)^0.5)/A22stdlife))</f>
        <v>0</v>
      </c>
      <c r="N352" s="107">
        <f>IF(A22stdlife="n/a","n/a",IF(N$3&gt;(A22stdlife+$E352),('PTRM input'!$H$164*(1+rvanilla02)^0.5)-SUM($H352:M352),('PTRM input'!$H$164*(1+rvanilla02)^0.5)/A22stdlife))</f>
        <v>0</v>
      </c>
      <c r="O352" s="107">
        <f>IF(A22stdlife="n/a","n/a",IF(O$3&gt;(A22stdlife+$E352),('PTRM input'!$H$164*(1+rvanilla02)^0.5)-SUM($H352:N352),('PTRM input'!$H$164*(1+rvanilla02)^0.5)/A22stdlife))</f>
        <v>0</v>
      </c>
      <c r="P352" s="107">
        <f>IF(A22stdlife="n/a","n/a",IF(P$3&gt;(A22stdlife+$E352),('PTRM input'!$H$164*(1+rvanilla02)^0.5)-SUM($H352:O352),('PTRM input'!$H$164*(1+rvanilla02)^0.5)/A22stdlife))</f>
        <v>0</v>
      </c>
      <c r="Q352" s="107">
        <f>IF(A22stdlife="n/a","n/a",IF(Q$3&gt;(A22stdlife+$E352),('PTRM input'!$H$164*(1+rvanilla02)^0.5)-SUM($H352:P352),('PTRM input'!$H$164*(1+rvanilla02)^0.5)/A22stdlife))</f>
        <v>0</v>
      </c>
      <c r="R352" s="107">
        <f>IF(A22stdlife="n/a","n/a",IF(R$3&gt;(A22stdlife+$E352),('PTRM input'!$H$164*(1+rvanilla02)^0.5)-SUM($H352:Q352),('PTRM input'!$H$164*(1+rvanilla02)^0.5)/A22stdlife))</f>
        <v>0</v>
      </c>
      <c r="S352" s="107">
        <f>IF(A22stdlife="n/a","n/a",IF(S$3&gt;(A22stdlife+$E352),('PTRM input'!$H$164*(1+rvanilla02)^0.5)-SUM($H352:R352),('PTRM input'!$H$164*(1+rvanilla02)^0.5)/A22stdlife))</f>
        <v>0</v>
      </c>
      <c r="T352" s="107">
        <f>IF(A22stdlife="n/a","n/a",IF(T$3&gt;(A22stdlife+$E352),('PTRM input'!$H$164*(1+rvanilla02)^0.5)-SUM($H352:S352),('PTRM input'!$H$164*(1+rvanilla02)^0.5)/A22stdlife))</f>
        <v>0</v>
      </c>
      <c r="U352" s="107">
        <f>IF(A22stdlife="n/a","n/a",IF(U$3&gt;(A22stdlife+$E352),('PTRM input'!$H$164*(1+rvanilla02)^0.5)-SUM($H352:T352),('PTRM input'!$H$164*(1+rvanilla02)^0.5)/A22stdlife))</f>
        <v>0</v>
      </c>
      <c r="V352" s="107">
        <f>IF(A22stdlife="n/a","n/a",IF(V$3&gt;(A22stdlife+$E352),('PTRM input'!$H$164*(1+rvanilla02)^0.5)-SUM($H352:U352),('PTRM input'!$H$164*(1+rvanilla02)^0.5)/A22stdlife))</f>
        <v>0</v>
      </c>
      <c r="W352" s="107">
        <f>IF(A22stdlife="n/a","n/a",IF(W$3&gt;(A22stdlife+$E352),('PTRM input'!$H$164*(1+rvanilla02)^0.5)-SUM($H352:V352),('PTRM input'!$H$164*(1+rvanilla02)^0.5)/A22stdlife))</f>
        <v>0</v>
      </c>
      <c r="X352" s="107">
        <f>IF(A22stdlife="n/a","n/a",IF(X$3&gt;(A22stdlife+$E352),('PTRM input'!$H$164*(1+rvanilla02)^0.5)-SUM($H352:W352),('PTRM input'!$H$164*(1+rvanilla02)^0.5)/A22stdlife))</f>
        <v>0</v>
      </c>
      <c r="Y352" s="107">
        <f>IF(A22stdlife="n/a","n/a",IF(Y$3&gt;(A22stdlife+$E352),('PTRM input'!$H$164*(1+rvanilla02)^0.5)-SUM($H352:X352),('PTRM input'!$H$164*(1+rvanilla02)^0.5)/A22stdlife))</f>
        <v>0</v>
      </c>
      <c r="Z352" s="107">
        <f>IF(A22stdlife="n/a","n/a",IF(Z$3&gt;(A22stdlife+$E352),('PTRM input'!$H$164*(1+rvanilla02)^0.5)-SUM($H352:Y352),('PTRM input'!$H$164*(1+rvanilla02)^0.5)/A22stdlife))</f>
        <v>0</v>
      </c>
      <c r="AA352" s="107">
        <f>IF(A22stdlife="n/a","n/a",IF(AA$3&gt;(A22stdlife+$E352),('PTRM input'!$H$164*(1+rvanilla02)^0.5)-SUM($H352:Z352),('PTRM input'!$H$164*(1+rvanilla02)^0.5)/A22stdlife))</f>
        <v>0</v>
      </c>
      <c r="AB352" s="107">
        <f>IF(A22stdlife="n/a","n/a",IF(AB$3&gt;(A22stdlife+$E352),('PTRM input'!$H$164*(1+rvanilla02)^0.5)-SUM($H352:AA352),('PTRM input'!$H$164*(1+rvanilla02)^0.5)/A22stdlife))</f>
        <v>0</v>
      </c>
      <c r="AC352" s="107">
        <f>IF(A22stdlife="n/a","n/a",IF(AC$3&gt;(A22stdlife+$E352),('PTRM input'!$H$164*(1+rvanilla02)^0.5)-SUM($H352:AB352),('PTRM input'!$H$164*(1+rvanilla02)^0.5)/A22stdlife))</f>
        <v>0</v>
      </c>
      <c r="AD352" s="107">
        <f>IF(A22stdlife="n/a","n/a",IF(AD$3&gt;(A22stdlife+$E352),('PTRM input'!$H$164*(1+rvanilla02)^0.5)-SUM($H352:AC352),('PTRM input'!$H$164*(1+rvanilla02)^0.5)/A22stdlife))</f>
        <v>0</v>
      </c>
      <c r="AE352" s="107">
        <f>IF(A22stdlife="n/a","n/a",IF(AE$3&gt;(A22stdlife+$E352),('PTRM input'!$H$164*(1+rvanilla02)^0.5)-SUM($H352:AD352),('PTRM input'!$H$164*(1+rvanilla02)^0.5)/A22stdlife))</f>
        <v>0</v>
      </c>
      <c r="AF352" s="107">
        <f>IF(A22stdlife="n/a","n/a",IF(AF$3&gt;(A22stdlife+$E352),('PTRM input'!$H$164*(1+rvanilla02)^0.5)-SUM($H352:AE352),('PTRM input'!$H$164*(1+rvanilla02)^0.5)/A22stdlife))</f>
        <v>0</v>
      </c>
      <c r="AG352" s="107">
        <f>IF(A22stdlife="n/a","n/a",IF(AG$3&gt;(A22stdlife+$E352),('PTRM input'!$H$164*(1+rvanilla02)^0.5)-SUM($H352:AF352),('PTRM input'!$H$164*(1+rvanilla02)^0.5)/A22stdlife))</f>
        <v>0</v>
      </c>
      <c r="AH352" s="107">
        <f>IF(A22stdlife="n/a","n/a",IF(AH$3&gt;(A22stdlife+$E352),('PTRM input'!$H$164*(1+rvanilla02)^0.5)-SUM($H352:AG352),('PTRM input'!$H$164*(1+rvanilla02)^0.5)/A22stdlife))</f>
        <v>0</v>
      </c>
      <c r="AI352" s="107">
        <f>IF(A22stdlife="n/a","n/a",IF(AI$3&gt;(A22stdlife+$E352),('PTRM input'!$H$164*(1+rvanilla02)^0.5)-SUM($H352:AH352),('PTRM input'!$H$164*(1+rvanilla02)^0.5)/A22stdlife))</f>
        <v>0</v>
      </c>
      <c r="AJ352" s="107">
        <f>IF(A22stdlife="n/a","n/a",IF(AJ$3&gt;(A22stdlife+$E352),('PTRM input'!$H$164*(1+rvanilla02)^0.5)-SUM($H352:AI352),('PTRM input'!$H$164*(1+rvanilla02)^0.5)/A22stdlife))</f>
        <v>0</v>
      </c>
      <c r="AK352" s="107">
        <f>IF(A22stdlife="n/a","n/a",IF(AK$3&gt;(A22stdlife+$E352),('PTRM input'!$H$164*(1+rvanilla02)^0.5)-SUM($H352:AJ352),('PTRM input'!$H$164*(1+rvanilla02)^0.5)/A22stdlife))</f>
        <v>0</v>
      </c>
      <c r="AL352" s="107">
        <f>IF(A22stdlife="n/a","n/a",IF(AL$3&gt;(A22stdlife+$E352),('PTRM input'!$H$164*(1+rvanilla02)^0.5)-SUM($H352:AK352),('PTRM input'!$H$164*(1+rvanilla02)^0.5)/A22stdlife))</f>
        <v>0</v>
      </c>
      <c r="AM352" s="107">
        <f>IF(A22stdlife="n/a","n/a",IF(AM$3&gt;(A22stdlife+$E352),('PTRM input'!$H$164*(1+rvanilla02)^0.5)-SUM($H352:AL352),('PTRM input'!$H$164*(1+rvanilla02)^0.5)/A22stdlife))</f>
        <v>0</v>
      </c>
      <c r="AN352" s="107">
        <f>IF(A22stdlife="n/a","n/a",IF(AN$3&gt;(A22stdlife+$E352),('PTRM input'!$H$164*(1+rvanilla02)^0.5)-SUM($H352:AM352),('PTRM input'!$H$164*(1+rvanilla02)^0.5)/A22stdlife))</f>
        <v>0</v>
      </c>
      <c r="AO352" s="107">
        <f>IF(A22stdlife="n/a","n/a",IF(AO$3&gt;(A22stdlife+$E352),('PTRM input'!$H$164*(1+rvanilla02)^0.5)-SUM($H352:AN352),('PTRM input'!$H$164*(1+rvanilla02)^0.5)/A22stdlife))</f>
        <v>0</v>
      </c>
      <c r="AP352" s="107">
        <f>IF(A22stdlife="n/a","n/a",IF(AP$3&gt;(A22stdlife+$E352),('PTRM input'!$H$164*(1+rvanilla02)^0.5)-SUM($H352:AO352),('PTRM input'!$H$164*(1+rvanilla02)^0.5)/A22stdlife))</f>
        <v>0</v>
      </c>
      <c r="AQ352" s="107">
        <f>IF(A22stdlife="n/a","n/a",IF(AQ$3&gt;(A22stdlife+$E352),('PTRM input'!$H$164*(1+rvanilla02)^0.5)-SUM($H352:AP352),('PTRM input'!$H$164*(1+rvanilla02)^0.5)/A22stdlife))</f>
        <v>0</v>
      </c>
      <c r="AR352" s="107">
        <f>IF(A22stdlife="n/a","n/a",IF(AR$3&gt;(A22stdlife+$E352),('PTRM input'!$H$164*(1+rvanilla02)^0.5)-SUM($H352:AQ352),('PTRM input'!$H$164*(1+rvanilla02)^0.5)/A22stdlife))</f>
        <v>0</v>
      </c>
      <c r="AS352" s="107">
        <f>IF(A22stdlife="n/a","n/a",IF(AS$3&gt;(A22stdlife+$E352),('PTRM input'!$H$164*(1+rvanilla02)^0.5)-SUM($H352:AR352),('PTRM input'!$H$164*(1+rvanilla02)^0.5)/A22stdlife))</f>
        <v>0</v>
      </c>
      <c r="AT352" s="107">
        <f>IF(A22stdlife="n/a","n/a",IF(AT$3&gt;(A22stdlife+$E352),('PTRM input'!$H$164*(1+rvanilla02)^0.5)-SUM($H352:AS352),('PTRM input'!$H$164*(1+rvanilla02)^0.5)/A22stdlife))</f>
        <v>0</v>
      </c>
      <c r="AU352" s="107">
        <f>IF(A22stdlife="n/a","n/a",IF(AU$3&gt;(A22stdlife+$E352),('PTRM input'!$H$164*(1+rvanilla02)^0.5)-SUM($H352:AT352),('PTRM input'!$H$164*(1+rvanilla02)^0.5)/A22stdlife))</f>
        <v>0</v>
      </c>
      <c r="AV352" s="107">
        <f>IF(A22stdlife="n/a","n/a",IF(AV$3&gt;(A22stdlife+$E352),('PTRM input'!$H$164*(1+rvanilla02)^0.5)-SUM($H352:AU352),('PTRM input'!$H$164*(1+rvanilla02)^0.5)/A22stdlife))</f>
        <v>0</v>
      </c>
      <c r="AW352" s="107">
        <f>IF(A22stdlife="n/a","n/a",IF(AW$3&gt;(A22stdlife+$E352),('PTRM input'!$H$164*(1+rvanilla02)^0.5)-SUM($H352:AV352),('PTRM input'!$H$164*(1+rvanilla02)^0.5)/A22stdlife))</f>
        <v>0</v>
      </c>
      <c r="AX352" s="107">
        <f>IF(A22stdlife="n/a","n/a",IF(AX$3&gt;(A22stdlife+$E352),('PTRM input'!$H$164*(1+rvanilla02)^0.5)-SUM($H352:AW352),('PTRM input'!$H$164*(1+rvanilla02)^0.5)/A22stdlife))</f>
        <v>0</v>
      </c>
      <c r="AY352" s="107">
        <f>IF(A22stdlife="n/a","n/a",IF(AY$3&gt;(A22stdlife+$E352),('PTRM input'!$H$164*(1+rvanilla02)^0.5)-SUM($H352:AX352),('PTRM input'!$H$164*(1+rvanilla02)^0.5)/A22stdlife))</f>
        <v>0</v>
      </c>
      <c r="AZ352" s="107">
        <f>IF(A22stdlife="n/a","n/a",IF(AZ$3&gt;(A22stdlife+$E352),('PTRM input'!$H$164*(1+rvanilla02)^0.5)-SUM($H352:AY352),('PTRM input'!$H$164*(1+rvanilla02)^0.5)/A22stdlife))</f>
        <v>0</v>
      </c>
      <c r="BA352" s="107">
        <f>IF(A22stdlife="n/a","n/a",IF(BA$3&gt;(A22stdlife+$E352),('PTRM input'!$H$164*(1+rvanilla02)^0.5)-SUM($H352:AZ352),('PTRM input'!$H$164*(1+rvanilla02)^0.5)/A22stdlife))</f>
        <v>0</v>
      </c>
      <c r="BB352" s="107">
        <f>IF(A22stdlife="n/a","n/a",IF(BB$3&gt;(A22stdlife+$E352),('PTRM input'!$H$164*(1+rvanilla02)^0.5)-SUM($H352:BA352),('PTRM input'!$H$164*(1+rvanilla02)^0.5)/A22stdlife))</f>
        <v>0</v>
      </c>
      <c r="BC352" s="107">
        <f>IF(A22stdlife="n/a","n/a",IF(BC$3&gt;(A22stdlife+$E352),('PTRM input'!$H$164*(1+rvanilla02)^0.5)-SUM($H352:BB352),('PTRM input'!$H$164*(1+rvanilla02)^0.5)/A22stdlife))</f>
        <v>0</v>
      </c>
      <c r="BD352" s="107">
        <f>IF(A22stdlife="n/a","n/a",IF(BD$3&gt;(A22stdlife+$E352),('PTRM input'!$H$164*(1+rvanilla02)^0.5)-SUM($H352:BC352),('PTRM input'!$H$164*(1+rvanilla02)^0.5)/A22stdlife))</f>
        <v>0</v>
      </c>
      <c r="BE352" s="107">
        <f>IF(A22stdlife="n/a","n/a",IF(BE$3&gt;(A22stdlife+$E352),('PTRM input'!$H$164*(1+rvanilla02)^0.5)-SUM($H352:BD352),('PTRM input'!$H$164*(1+rvanilla02)^0.5)/A22stdlife))</f>
        <v>0</v>
      </c>
      <c r="BF352" s="107">
        <f>IF(A22stdlife="n/a","n/a",IF(BF$3&gt;(A22stdlife+$E352),('PTRM input'!$H$164*(1+rvanilla02)^0.5)-SUM($H352:BE352),('PTRM input'!$H$164*(1+rvanilla02)^0.5)/A22stdlife))</f>
        <v>0</v>
      </c>
      <c r="BG352" s="107">
        <f>IF(A22stdlife="n/a","n/a",IF(BG$3&gt;(A22stdlife+$E352),('PTRM input'!$H$164*(1+rvanilla02)^0.5)-SUM($H352:BF352),('PTRM input'!$H$164*(1+rvanilla02)^0.5)/A22stdlife))</f>
        <v>0</v>
      </c>
      <c r="BH352" s="107">
        <f>IF(A22stdlife="n/a","n/a",IF(BH$3&gt;(A22stdlife+$E352),('PTRM input'!$H$164*(1+rvanilla02)^0.5)-SUM($H352:BG352),('PTRM input'!$H$164*(1+rvanilla02)^0.5)/A22stdlife))</f>
        <v>0</v>
      </c>
      <c r="BI352" s="107">
        <f>IF(A22stdlife="n/a","n/a",IF(BI$3&gt;(A22stdlife+$E352),('PTRM input'!$H$164*(1+rvanilla02)^0.5)-SUM($H352:BH352),('PTRM input'!$H$164*(1+rvanilla02)^0.5)/A22stdlife))</f>
        <v>0</v>
      </c>
      <c r="BJ352" s="237"/>
      <c r="BK352" s="237"/>
      <c r="BL352" s="237"/>
      <c r="BM352" s="237"/>
    </row>
    <row r="353" spans="1:65" s="190" customFormat="1" hidden="1" outlineLevel="2">
      <c r="A353" s="237"/>
      <c r="B353" s="33"/>
      <c r="C353" s="32"/>
      <c r="D353" s="1618"/>
      <c r="E353" s="169">
        <v>3</v>
      </c>
      <c r="F353" s="35"/>
      <c r="G353" s="184"/>
      <c r="H353" s="186"/>
      <c r="I353" s="185"/>
      <c r="J353" s="107">
        <f>IF(A22stdlife="n/a","n/a",IF(J$3&gt;(A22stdlife+$E353),('PTRM input'!$I$164*(1+rvanilla03)^0.5)-SUM($I353:I353),('PTRM input'!$I$164*(1+rvanilla03)^0.5)/A22stdlife))</f>
        <v>0</v>
      </c>
      <c r="K353" s="107">
        <f>IF(A22stdlife="n/a","n/a",IF(K$3&gt;(A22stdlife+$E353),('PTRM input'!$I$164*(1+rvanilla03)^0.5)-SUM($I353:J353),('PTRM input'!$I$164*(1+rvanilla03)^0.5)/A22stdlife))</f>
        <v>0</v>
      </c>
      <c r="L353" s="107">
        <f>IF(A22stdlife="n/a","n/a",IF(L$3&gt;(A22stdlife+$E353),('PTRM input'!$I$164*(1+rvanilla03)^0.5)-SUM($I353:K353),('PTRM input'!$I$164*(1+rvanilla03)^0.5)/A22stdlife))</f>
        <v>0</v>
      </c>
      <c r="M353" s="107">
        <f>IF(A22stdlife="n/a","n/a",IF(M$3&gt;(A22stdlife+$E353),('PTRM input'!$I$164*(1+rvanilla03)^0.5)-SUM($I353:L353),('PTRM input'!$I$164*(1+rvanilla03)^0.5)/A22stdlife))</f>
        <v>0</v>
      </c>
      <c r="N353" s="107">
        <f>IF(A22stdlife="n/a","n/a",IF(N$3&gt;(A22stdlife+$E353),('PTRM input'!$I$164*(1+rvanilla03)^0.5)-SUM($I353:M353),('PTRM input'!$I$164*(1+rvanilla03)^0.5)/A22stdlife))</f>
        <v>0</v>
      </c>
      <c r="O353" s="107">
        <f>IF(A22stdlife="n/a","n/a",IF(O$3&gt;(A22stdlife+$E353),('PTRM input'!$I$164*(1+rvanilla03)^0.5)-SUM($I353:N353),('PTRM input'!$I$164*(1+rvanilla03)^0.5)/A22stdlife))</f>
        <v>0</v>
      </c>
      <c r="P353" s="107">
        <f>IF(A22stdlife="n/a","n/a",IF(P$3&gt;(A22stdlife+$E353),('PTRM input'!$I$164*(1+rvanilla03)^0.5)-SUM($I353:O353),('PTRM input'!$I$164*(1+rvanilla03)^0.5)/A22stdlife))</f>
        <v>0</v>
      </c>
      <c r="Q353" s="107">
        <f>IF(A22stdlife="n/a","n/a",IF(Q$3&gt;(A22stdlife+$E353),('PTRM input'!$I$164*(1+rvanilla03)^0.5)-SUM($I353:P353),('PTRM input'!$I$164*(1+rvanilla03)^0.5)/A22stdlife))</f>
        <v>0</v>
      </c>
      <c r="R353" s="107">
        <f>IF(A22stdlife="n/a","n/a",IF(R$3&gt;(A22stdlife+$E353),('PTRM input'!$I$164*(1+rvanilla03)^0.5)-SUM($I353:Q353),('PTRM input'!$I$164*(1+rvanilla03)^0.5)/A22stdlife))</f>
        <v>0</v>
      </c>
      <c r="S353" s="107">
        <f>IF(A22stdlife="n/a","n/a",IF(S$3&gt;(A22stdlife+$E353),('PTRM input'!$I$164*(1+rvanilla03)^0.5)-SUM($I353:R353),('PTRM input'!$I$164*(1+rvanilla03)^0.5)/A22stdlife))</f>
        <v>0</v>
      </c>
      <c r="T353" s="107">
        <f>IF(A22stdlife="n/a","n/a",IF(T$3&gt;(A22stdlife+$E353),('PTRM input'!$I$164*(1+rvanilla03)^0.5)-SUM($I353:S353),('PTRM input'!$I$164*(1+rvanilla03)^0.5)/A22stdlife))</f>
        <v>0</v>
      </c>
      <c r="U353" s="107">
        <f>IF(A22stdlife="n/a","n/a",IF(U$3&gt;(A22stdlife+$E353),('PTRM input'!$I$164*(1+rvanilla03)^0.5)-SUM($I353:T353),('PTRM input'!$I$164*(1+rvanilla03)^0.5)/A22stdlife))</f>
        <v>0</v>
      </c>
      <c r="V353" s="107">
        <f>IF(A22stdlife="n/a","n/a",IF(V$3&gt;(A22stdlife+$E353),('PTRM input'!$I$164*(1+rvanilla03)^0.5)-SUM($I353:U353),('PTRM input'!$I$164*(1+rvanilla03)^0.5)/A22stdlife))</f>
        <v>0</v>
      </c>
      <c r="W353" s="107">
        <f>IF(A22stdlife="n/a","n/a",IF(W$3&gt;(A22stdlife+$E353),('PTRM input'!$I$164*(1+rvanilla03)^0.5)-SUM($I353:V353),('PTRM input'!$I$164*(1+rvanilla03)^0.5)/A22stdlife))</f>
        <v>0</v>
      </c>
      <c r="X353" s="107">
        <f>IF(A22stdlife="n/a","n/a",IF(X$3&gt;(A22stdlife+$E353),('PTRM input'!$I$164*(1+rvanilla03)^0.5)-SUM($I353:W353),('PTRM input'!$I$164*(1+rvanilla03)^0.5)/A22stdlife))</f>
        <v>0</v>
      </c>
      <c r="Y353" s="107">
        <f>IF(A22stdlife="n/a","n/a",IF(Y$3&gt;(A22stdlife+$E353),('PTRM input'!$I$164*(1+rvanilla03)^0.5)-SUM($I353:X353),('PTRM input'!$I$164*(1+rvanilla03)^0.5)/A22stdlife))</f>
        <v>0</v>
      </c>
      <c r="Z353" s="107">
        <f>IF(A22stdlife="n/a","n/a",IF(Z$3&gt;(A22stdlife+$E353),('PTRM input'!$I$164*(1+rvanilla03)^0.5)-SUM($I353:Y353),('PTRM input'!$I$164*(1+rvanilla03)^0.5)/A22stdlife))</f>
        <v>0</v>
      </c>
      <c r="AA353" s="107">
        <f>IF(A22stdlife="n/a","n/a",IF(AA$3&gt;(A22stdlife+$E353),('PTRM input'!$I$164*(1+rvanilla03)^0.5)-SUM($I353:Z353),('PTRM input'!$I$164*(1+rvanilla03)^0.5)/A22stdlife))</f>
        <v>0</v>
      </c>
      <c r="AB353" s="107">
        <f>IF(A22stdlife="n/a","n/a",IF(AB$3&gt;(A22stdlife+$E353),('PTRM input'!$I$164*(1+rvanilla03)^0.5)-SUM($I353:AA353),('PTRM input'!$I$164*(1+rvanilla03)^0.5)/A22stdlife))</f>
        <v>0</v>
      </c>
      <c r="AC353" s="107">
        <f>IF(A22stdlife="n/a","n/a",IF(AC$3&gt;(A22stdlife+$E353),('PTRM input'!$I$164*(1+rvanilla03)^0.5)-SUM($I353:AB353),('PTRM input'!$I$164*(1+rvanilla03)^0.5)/A22stdlife))</f>
        <v>0</v>
      </c>
      <c r="AD353" s="107">
        <f>IF(A22stdlife="n/a","n/a",IF(AD$3&gt;(A22stdlife+$E353),('PTRM input'!$I$164*(1+rvanilla03)^0.5)-SUM($I353:AC353),('PTRM input'!$I$164*(1+rvanilla03)^0.5)/A22stdlife))</f>
        <v>0</v>
      </c>
      <c r="AE353" s="107">
        <f>IF(A22stdlife="n/a","n/a",IF(AE$3&gt;(A22stdlife+$E353),('PTRM input'!$I$164*(1+rvanilla03)^0.5)-SUM($I353:AD353),('PTRM input'!$I$164*(1+rvanilla03)^0.5)/A22stdlife))</f>
        <v>0</v>
      </c>
      <c r="AF353" s="107">
        <f>IF(A22stdlife="n/a","n/a",IF(AF$3&gt;(A22stdlife+$E353),('PTRM input'!$I$164*(1+rvanilla03)^0.5)-SUM($I353:AE353),('PTRM input'!$I$164*(1+rvanilla03)^0.5)/A22stdlife))</f>
        <v>0</v>
      </c>
      <c r="AG353" s="107">
        <f>IF(A22stdlife="n/a","n/a",IF(AG$3&gt;(A22stdlife+$E353),('PTRM input'!$I$164*(1+rvanilla03)^0.5)-SUM($I353:AF353),('PTRM input'!$I$164*(1+rvanilla03)^0.5)/A22stdlife))</f>
        <v>0</v>
      </c>
      <c r="AH353" s="107">
        <f>IF(A22stdlife="n/a","n/a",IF(AH$3&gt;(A22stdlife+$E353),('PTRM input'!$I$164*(1+rvanilla03)^0.5)-SUM($I353:AG353),('PTRM input'!$I$164*(1+rvanilla03)^0.5)/A22stdlife))</f>
        <v>0</v>
      </c>
      <c r="AI353" s="107">
        <f>IF(A22stdlife="n/a","n/a",IF(AI$3&gt;(A22stdlife+$E353),('PTRM input'!$I$164*(1+rvanilla03)^0.5)-SUM($I353:AH353),('PTRM input'!$I$164*(1+rvanilla03)^0.5)/A22stdlife))</f>
        <v>0</v>
      </c>
      <c r="AJ353" s="107">
        <f>IF(A22stdlife="n/a","n/a",IF(AJ$3&gt;(A22stdlife+$E353),('PTRM input'!$I$164*(1+rvanilla03)^0.5)-SUM($I353:AI353),('PTRM input'!$I$164*(1+rvanilla03)^0.5)/A22stdlife))</f>
        <v>0</v>
      </c>
      <c r="AK353" s="107">
        <f>IF(A22stdlife="n/a","n/a",IF(AK$3&gt;(A22stdlife+$E353),('PTRM input'!$I$164*(1+rvanilla03)^0.5)-SUM($I353:AJ353),('PTRM input'!$I$164*(1+rvanilla03)^0.5)/A22stdlife))</f>
        <v>0</v>
      </c>
      <c r="AL353" s="107">
        <f>IF(A22stdlife="n/a","n/a",IF(AL$3&gt;(A22stdlife+$E353),('PTRM input'!$I$164*(1+rvanilla03)^0.5)-SUM($I353:AK353),('PTRM input'!$I$164*(1+rvanilla03)^0.5)/A22stdlife))</f>
        <v>0</v>
      </c>
      <c r="AM353" s="107">
        <f>IF(A22stdlife="n/a","n/a",IF(AM$3&gt;(A22stdlife+$E353),('PTRM input'!$I$164*(1+rvanilla03)^0.5)-SUM($I353:AL353),('PTRM input'!$I$164*(1+rvanilla03)^0.5)/A22stdlife))</f>
        <v>0</v>
      </c>
      <c r="AN353" s="107">
        <f>IF(A22stdlife="n/a","n/a",IF(AN$3&gt;(A22stdlife+$E353),('PTRM input'!$I$164*(1+rvanilla03)^0.5)-SUM($I353:AM353),('PTRM input'!$I$164*(1+rvanilla03)^0.5)/A22stdlife))</f>
        <v>0</v>
      </c>
      <c r="AO353" s="107">
        <f>IF(A22stdlife="n/a","n/a",IF(AO$3&gt;(A22stdlife+$E353),('PTRM input'!$I$164*(1+rvanilla03)^0.5)-SUM($I353:AN353),('PTRM input'!$I$164*(1+rvanilla03)^0.5)/A22stdlife))</f>
        <v>0</v>
      </c>
      <c r="AP353" s="107">
        <f>IF(A22stdlife="n/a","n/a",IF(AP$3&gt;(A22stdlife+$E353),('PTRM input'!$I$164*(1+rvanilla03)^0.5)-SUM($I353:AO353),('PTRM input'!$I$164*(1+rvanilla03)^0.5)/A22stdlife))</f>
        <v>0</v>
      </c>
      <c r="AQ353" s="107">
        <f>IF(A22stdlife="n/a","n/a",IF(AQ$3&gt;(A22stdlife+$E353),('PTRM input'!$I$164*(1+rvanilla03)^0.5)-SUM($I353:AP353),('PTRM input'!$I$164*(1+rvanilla03)^0.5)/A22stdlife))</f>
        <v>0</v>
      </c>
      <c r="AR353" s="107">
        <f>IF(A22stdlife="n/a","n/a",IF(AR$3&gt;(A22stdlife+$E353),('PTRM input'!$I$164*(1+rvanilla03)^0.5)-SUM($I353:AQ353),('PTRM input'!$I$164*(1+rvanilla03)^0.5)/A22stdlife))</f>
        <v>0</v>
      </c>
      <c r="AS353" s="107">
        <f>IF(A22stdlife="n/a","n/a",IF(AS$3&gt;(A22stdlife+$E353),('PTRM input'!$I$164*(1+rvanilla03)^0.5)-SUM($I353:AR353),('PTRM input'!$I$164*(1+rvanilla03)^0.5)/A22stdlife))</f>
        <v>0</v>
      </c>
      <c r="AT353" s="107">
        <f>IF(A22stdlife="n/a","n/a",IF(AT$3&gt;(A22stdlife+$E353),('PTRM input'!$I$164*(1+rvanilla03)^0.5)-SUM($I353:AS353),('PTRM input'!$I$164*(1+rvanilla03)^0.5)/A22stdlife))</f>
        <v>0</v>
      </c>
      <c r="AU353" s="107">
        <f>IF(A22stdlife="n/a","n/a",IF(AU$3&gt;(A22stdlife+$E353),('PTRM input'!$I$164*(1+rvanilla03)^0.5)-SUM($I353:AT353),('PTRM input'!$I$164*(1+rvanilla03)^0.5)/A22stdlife))</f>
        <v>0</v>
      </c>
      <c r="AV353" s="107">
        <f>IF(A22stdlife="n/a","n/a",IF(AV$3&gt;(A22stdlife+$E353),('PTRM input'!$I$164*(1+rvanilla03)^0.5)-SUM($I353:AU353),('PTRM input'!$I$164*(1+rvanilla03)^0.5)/A22stdlife))</f>
        <v>0</v>
      </c>
      <c r="AW353" s="107">
        <f>IF(A22stdlife="n/a","n/a",IF(AW$3&gt;(A22stdlife+$E353),('PTRM input'!$I$164*(1+rvanilla03)^0.5)-SUM($I353:AV353),('PTRM input'!$I$164*(1+rvanilla03)^0.5)/A22stdlife))</f>
        <v>0</v>
      </c>
      <c r="AX353" s="107">
        <f>IF(A22stdlife="n/a","n/a",IF(AX$3&gt;(A22stdlife+$E353),('PTRM input'!$I$164*(1+rvanilla03)^0.5)-SUM($I353:AW353),('PTRM input'!$I$164*(1+rvanilla03)^0.5)/A22stdlife))</f>
        <v>0</v>
      </c>
      <c r="AY353" s="107">
        <f>IF(A22stdlife="n/a","n/a",IF(AY$3&gt;(A22stdlife+$E353),('PTRM input'!$I$164*(1+rvanilla03)^0.5)-SUM($I353:AX353),('PTRM input'!$I$164*(1+rvanilla03)^0.5)/A22stdlife))</f>
        <v>0</v>
      </c>
      <c r="AZ353" s="107">
        <f>IF(A22stdlife="n/a","n/a",IF(AZ$3&gt;(A22stdlife+$E353),('PTRM input'!$I$164*(1+rvanilla03)^0.5)-SUM($I353:AY353),('PTRM input'!$I$164*(1+rvanilla03)^0.5)/A22stdlife))</f>
        <v>0</v>
      </c>
      <c r="BA353" s="107">
        <f>IF(A22stdlife="n/a","n/a",IF(BA$3&gt;(A22stdlife+$E353),('PTRM input'!$I$164*(1+rvanilla03)^0.5)-SUM($I353:AZ353),('PTRM input'!$I$164*(1+rvanilla03)^0.5)/A22stdlife))</f>
        <v>0</v>
      </c>
      <c r="BB353" s="107">
        <f>IF(A22stdlife="n/a","n/a",IF(BB$3&gt;(A22stdlife+$E353),('PTRM input'!$I$164*(1+rvanilla03)^0.5)-SUM($I353:BA353),('PTRM input'!$I$164*(1+rvanilla03)^0.5)/A22stdlife))</f>
        <v>0</v>
      </c>
      <c r="BC353" s="107">
        <f>IF(A22stdlife="n/a","n/a",IF(BC$3&gt;(A22stdlife+$E353),('PTRM input'!$I$164*(1+rvanilla03)^0.5)-SUM($I353:BB353),('PTRM input'!$I$164*(1+rvanilla03)^0.5)/A22stdlife))</f>
        <v>0</v>
      </c>
      <c r="BD353" s="107">
        <f>IF(A22stdlife="n/a","n/a",IF(BD$3&gt;(A22stdlife+$E353),('PTRM input'!$I$164*(1+rvanilla03)^0.5)-SUM($I353:BC353),('PTRM input'!$I$164*(1+rvanilla03)^0.5)/A22stdlife))</f>
        <v>0</v>
      </c>
      <c r="BE353" s="107">
        <f>IF(A22stdlife="n/a","n/a",IF(BE$3&gt;(A22stdlife+$E353),('PTRM input'!$I$164*(1+rvanilla03)^0.5)-SUM($I353:BD353),('PTRM input'!$I$164*(1+rvanilla03)^0.5)/A22stdlife))</f>
        <v>0</v>
      </c>
      <c r="BF353" s="107">
        <f>IF(A22stdlife="n/a","n/a",IF(BF$3&gt;(A22stdlife+$E353),('PTRM input'!$I$164*(1+rvanilla03)^0.5)-SUM($I353:BE353),('PTRM input'!$I$164*(1+rvanilla03)^0.5)/A22stdlife))</f>
        <v>0</v>
      </c>
      <c r="BG353" s="107">
        <f>IF(A22stdlife="n/a","n/a",IF(BG$3&gt;(A22stdlife+$E353),('PTRM input'!$I$164*(1+rvanilla03)^0.5)-SUM($I353:BF353),('PTRM input'!$I$164*(1+rvanilla03)^0.5)/A22stdlife))</f>
        <v>0</v>
      </c>
      <c r="BH353" s="107">
        <f>IF(A22stdlife="n/a","n/a",IF(BH$3&gt;(A22stdlife+$E353),('PTRM input'!$I$164*(1+rvanilla03)^0.5)-SUM($I353:BG353),('PTRM input'!$I$164*(1+rvanilla03)^0.5)/A22stdlife))</f>
        <v>0</v>
      </c>
      <c r="BI353" s="107">
        <f>IF(A22stdlife="n/a","n/a",IF(BI$3&gt;(A22stdlife+$E353),('PTRM input'!$I$164*(1+rvanilla03)^0.5)-SUM($I353:BH353),('PTRM input'!$I$164*(1+rvanilla03)^0.5)/A22stdlife))</f>
        <v>0</v>
      </c>
      <c r="BJ353" s="237"/>
      <c r="BK353" s="237"/>
      <c r="BL353" s="237"/>
      <c r="BM353" s="237"/>
    </row>
    <row r="354" spans="1:65" s="190" customFormat="1" hidden="1" outlineLevel="2">
      <c r="A354" s="237"/>
      <c r="B354" s="33"/>
      <c r="C354" s="32"/>
      <c r="D354" s="1618"/>
      <c r="E354" s="169">
        <v>4</v>
      </c>
      <c r="F354" s="35"/>
      <c r="G354" s="184"/>
      <c r="H354" s="186"/>
      <c r="I354" s="186"/>
      <c r="J354" s="185"/>
      <c r="K354" s="107">
        <f>IF(A22stdlife="n/a","n/a",IF(K$3&gt;(A22stdlife+$E354),('PTRM input'!$J$164*(1+rvanilla04)^0.5)-SUM($J354:J354),('PTRM input'!$J$164*(1+rvanilla04)^0.5)/A22stdlife))</f>
        <v>0</v>
      </c>
      <c r="L354" s="107">
        <f>IF(A22stdlife="n/a","n/a",IF(L$3&gt;(A22stdlife+$E354),('PTRM input'!$J$164*(1+rvanilla04)^0.5)-SUM($J354:K354),('PTRM input'!$J$164*(1+rvanilla04)^0.5)/A22stdlife))</f>
        <v>0</v>
      </c>
      <c r="M354" s="107">
        <f>IF(A22stdlife="n/a","n/a",IF(M$3&gt;(A22stdlife+$E354),('PTRM input'!$J$164*(1+rvanilla04)^0.5)-SUM($J354:L354),('PTRM input'!$J$164*(1+rvanilla04)^0.5)/A22stdlife))</f>
        <v>0</v>
      </c>
      <c r="N354" s="107">
        <f>IF(A22stdlife="n/a","n/a",IF(N$3&gt;(A22stdlife+$E354),('PTRM input'!$J$164*(1+rvanilla04)^0.5)-SUM($J354:M354),('PTRM input'!$J$164*(1+rvanilla04)^0.5)/A22stdlife))</f>
        <v>0</v>
      </c>
      <c r="O354" s="107">
        <f>IF(A22stdlife="n/a","n/a",IF(O$3&gt;(A22stdlife+$E354),('PTRM input'!$J$164*(1+rvanilla04)^0.5)-SUM($J354:N354),('PTRM input'!$J$164*(1+rvanilla04)^0.5)/A22stdlife))</f>
        <v>0</v>
      </c>
      <c r="P354" s="107">
        <f>IF(A22stdlife="n/a","n/a",IF(P$3&gt;(A22stdlife+$E354),('PTRM input'!$J$164*(1+rvanilla04)^0.5)-SUM($J354:O354),('PTRM input'!$J$164*(1+rvanilla04)^0.5)/A22stdlife))</f>
        <v>0</v>
      </c>
      <c r="Q354" s="107">
        <f>IF(A22stdlife="n/a","n/a",IF(Q$3&gt;(A22stdlife+$E354),('PTRM input'!$J$164*(1+rvanilla04)^0.5)-SUM($J354:P354),('PTRM input'!$J$164*(1+rvanilla04)^0.5)/A22stdlife))</f>
        <v>0</v>
      </c>
      <c r="R354" s="107">
        <f>IF(A22stdlife="n/a","n/a",IF(R$3&gt;(A22stdlife+$E354),('PTRM input'!$J$164*(1+rvanilla04)^0.5)-SUM($J354:Q354),('PTRM input'!$J$164*(1+rvanilla04)^0.5)/A22stdlife))</f>
        <v>0</v>
      </c>
      <c r="S354" s="107">
        <f>IF(A22stdlife="n/a","n/a",IF(S$3&gt;(A22stdlife+$E354),('PTRM input'!$J$164*(1+rvanilla04)^0.5)-SUM($J354:R354),('PTRM input'!$J$164*(1+rvanilla04)^0.5)/A22stdlife))</f>
        <v>0</v>
      </c>
      <c r="T354" s="107">
        <f>IF(A22stdlife="n/a","n/a",IF(T$3&gt;(A22stdlife+$E354),('PTRM input'!$J$164*(1+rvanilla04)^0.5)-SUM($J354:S354),('PTRM input'!$J$164*(1+rvanilla04)^0.5)/A22stdlife))</f>
        <v>0</v>
      </c>
      <c r="U354" s="107">
        <f>IF(A22stdlife="n/a","n/a",IF(U$3&gt;(A22stdlife+$E354),('PTRM input'!$J$164*(1+rvanilla04)^0.5)-SUM($J354:T354),('PTRM input'!$J$164*(1+rvanilla04)^0.5)/A22stdlife))</f>
        <v>0</v>
      </c>
      <c r="V354" s="107">
        <f>IF(A22stdlife="n/a","n/a",IF(V$3&gt;(A22stdlife+$E354),('PTRM input'!$J$164*(1+rvanilla04)^0.5)-SUM($J354:U354),('PTRM input'!$J$164*(1+rvanilla04)^0.5)/A22stdlife))</f>
        <v>0</v>
      </c>
      <c r="W354" s="107">
        <f>IF(A22stdlife="n/a","n/a",IF(W$3&gt;(A22stdlife+$E354),('PTRM input'!$J$164*(1+rvanilla04)^0.5)-SUM($J354:V354),('PTRM input'!$J$164*(1+rvanilla04)^0.5)/A22stdlife))</f>
        <v>0</v>
      </c>
      <c r="X354" s="107">
        <f>IF(A22stdlife="n/a","n/a",IF(X$3&gt;(A22stdlife+$E354),('PTRM input'!$J$164*(1+rvanilla04)^0.5)-SUM($J354:W354),('PTRM input'!$J$164*(1+rvanilla04)^0.5)/A22stdlife))</f>
        <v>0</v>
      </c>
      <c r="Y354" s="107">
        <f>IF(A22stdlife="n/a","n/a",IF(Y$3&gt;(A22stdlife+$E354),('PTRM input'!$J$164*(1+rvanilla04)^0.5)-SUM($J354:X354),('PTRM input'!$J$164*(1+rvanilla04)^0.5)/A22stdlife))</f>
        <v>0</v>
      </c>
      <c r="Z354" s="107">
        <f>IF(A22stdlife="n/a","n/a",IF(Z$3&gt;(A22stdlife+$E354),('PTRM input'!$J$164*(1+rvanilla04)^0.5)-SUM($J354:Y354),('PTRM input'!$J$164*(1+rvanilla04)^0.5)/A22stdlife))</f>
        <v>0</v>
      </c>
      <c r="AA354" s="107">
        <f>IF(A22stdlife="n/a","n/a",IF(AA$3&gt;(A22stdlife+$E354),('PTRM input'!$J$164*(1+rvanilla04)^0.5)-SUM($J354:Z354),('PTRM input'!$J$164*(1+rvanilla04)^0.5)/A22stdlife))</f>
        <v>0</v>
      </c>
      <c r="AB354" s="107">
        <f>IF(A22stdlife="n/a","n/a",IF(AB$3&gt;(A22stdlife+$E354),('PTRM input'!$J$164*(1+rvanilla04)^0.5)-SUM($J354:AA354),('PTRM input'!$J$164*(1+rvanilla04)^0.5)/A22stdlife))</f>
        <v>0</v>
      </c>
      <c r="AC354" s="107">
        <f>IF(A22stdlife="n/a","n/a",IF(AC$3&gt;(A22stdlife+$E354),('PTRM input'!$J$164*(1+rvanilla04)^0.5)-SUM($J354:AB354),('PTRM input'!$J$164*(1+rvanilla04)^0.5)/A22stdlife))</f>
        <v>0</v>
      </c>
      <c r="AD354" s="107">
        <f>IF(A22stdlife="n/a","n/a",IF(AD$3&gt;(A22stdlife+$E354),('PTRM input'!$J$164*(1+rvanilla04)^0.5)-SUM($J354:AC354),('PTRM input'!$J$164*(1+rvanilla04)^0.5)/A22stdlife))</f>
        <v>0</v>
      </c>
      <c r="AE354" s="107">
        <f>IF(A22stdlife="n/a","n/a",IF(AE$3&gt;(A22stdlife+$E354),('PTRM input'!$J$164*(1+rvanilla04)^0.5)-SUM($J354:AD354),('PTRM input'!$J$164*(1+rvanilla04)^0.5)/A22stdlife))</f>
        <v>0</v>
      </c>
      <c r="AF354" s="107">
        <f>IF(A22stdlife="n/a","n/a",IF(AF$3&gt;(A22stdlife+$E354),('PTRM input'!$J$164*(1+rvanilla04)^0.5)-SUM($J354:AE354),('PTRM input'!$J$164*(1+rvanilla04)^0.5)/A22stdlife))</f>
        <v>0</v>
      </c>
      <c r="AG354" s="107">
        <f>IF(A22stdlife="n/a","n/a",IF(AG$3&gt;(A22stdlife+$E354),('PTRM input'!$J$164*(1+rvanilla04)^0.5)-SUM($J354:AF354),('PTRM input'!$J$164*(1+rvanilla04)^0.5)/A22stdlife))</f>
        <v>0</v>
      </c>
      <c r="AH354" s="107">
        <f>IF(A22stdlife="n/a","n/a",IF(AH$3&gt;(A22stdlife+$E354),('PTRM input'!$J$164*(1+rvanilla04)^0.5)-SUM($J354:AG354),('PTRM input'!$J$164*(1+rvanilla04)^0.5)/A22stdlife))</f>
        <v>0</v>
      </c>
      <c r="AI354" s="107">
        <f>IF(A22stdlife="n/a","n/a",IF(AI$3&gt;(A22stdlife+$E354),('PTRM input'!$J$164*(1+rvanilla04)^0.5)-SUM($J354:AH354),('PTRM input'!$J$164*(1+rvanilla04)^0.5)/A22stdlife))</f>
        <v>0</v>
      </c>
      <c r="AJ354" s="107">
        <f>IF(A22stdlife="n/a","n/a",IF(AJ$3&gt;(A22stdlife+$E354),('PTRM input'!$J$164*(1+rvanilla04)^0.5)-SUM($J354:AI354),('PTRM input'!$J$164*(1+rvanilla04)^0.5)/A22stdlife))</f>
        <v>0</v>
      </c>
      <c r="AK354" s="107">
        <f>IF(A22stdlife="n/a","n/a",IF(AK$3&gt;(A22stdlife+$E354),('PTRM input'!$J$164*(1+rvanilla04)^0.5)-SUM($J354:AJ354),('PTRM input'!$J$164*(1+rvanilla04)^0.5)/A22stdlife))</f>
        <v>0</v>
      </c>
      <c r="AL354" s="107">
        <f>IF(A22stdlife="n/a","n/a",IF(AL$3&gt;(A22stdlife+$E354),('PTRM input'!$J$164*(1+rvanilla04)^0.5)-SUM($J354:AK354),('PTRM input'!$J$164*(1+rvanilla04)^0.5)/A22stdlife))</f>
        <v>0</v>
      </c>
      <c r="AM354" s="107">
        <f>IF(A22stdlife="n/a","n/a",IF(AM$3&gt;(A22stdlife+$E354),('PTRM input'!$J$164*(1+rvanilla04)^0.5)-SUM($J354:AL354),('PTRM input'!$J$164*(1+rvanilla04)^0.5)/A22stdlife))</f>
        <v>0</v>
      </c>
      <c r="AN354" s="107">
        <f>IF(A22stdlife="n/a","n/a",IF(AN$3&gt;(A22stdlife+$E354),('PTRM input'!$J$164*(1+rvanilla04)^0.5)-SUM($J354:AM354),('PTRM input'!$J$164*(1+rvanilla04)^0.5)/A22stdlife))</f>
        <v>0</v>
      </c>
      <c r="AO354" s="107">
        <f>IF(A22stdlife="n/a","n/a",IF(AO$3&gt;(A22stdlife+$E354),('PTRM input'!$J$164*(1+rvanilla04)^0.5)-SUM($J354:AN354),('PTRM input'!$J$164*(1+rvanilla04)^0.5)/A22stdlife))</f>
        <v>0</v>
      </c>
      <c r="AP354" s="107">
        <f>IF(A22stdlife="n/a","n/a",IF(AP$3&gt;(A22stdlife+$E354),('PTRM input'!$J$164*(1+rvanilla04)^0.5)-SUM($J354:AO354),('PTRM input'!$J$164*(1+rvanilla04)^0.5)/A22stdlife))</f>
        <v>0</v>
      </c>
      <c r="AQ354" s="107">
        <f>IF(A22stdlife="n/a","n/a",IF(AQ$3&gt;(A22stdlife+$E354),('PTRM input'!$J$164*(1+rvanilla04)^0.5)-SUM($J354:AP354),('PTRM input'!$J$164*(1+rvanilla04)^0.5)/A22stdlife))</f>
        <v>0</v>
      </c>
      <c r="AR354" s="107">
        <f>IF(A22stdlife="n/a","n/a",IF(AR$3&gt;(A22stdlife+$E354),('PTRM input'!$J$164*(1+rvanilla04)^0.5)-SUM($J354:AQ354),('PTRM input'!$J$164*(1+rvanilla04)^0.5)/A22stdlife))</f>
        <v>0</v>
      </c>
      <c r="AS354" s="107">
        <f>IF(A22stdlife="n/a","n/a",IF(AS$3&gt;(A22stdlife+$E354),('PTRM input'!$J$164*(1+rvanilla04)^0.5)-SUM($J354:AR354),('PTRM input'!$J$164*(1+rvanilla04)^0.5)/A22stdlife))</f>
        <v>0</v>
      </c>
      <c r="AT354" s="107">
        <f>IF(A22stdlife="n/a","n/a",IF(AT$3&gt;(A22stdlife+$E354),('PTRM input'!$J$164*(1+rvanilla04)^0.5)-SUM($J354:AS354),('PTRM input'!$J$164*(1+rvanilla04)^0.5)/A22stdlife))</f>
        <v>0</v>
      </c>
      <c r="AU354" s="107">
        <f>IF(A22stdlife="n/a","n/a",IF(AU$3&gt;(A22stdlife+$E354),('PTRM input'!$J$164*(1+rvanilla04)^0.5)-SUM($J354:AT354),('PTRM input'!$J$164*(1+rvanilla04)^0.5)/A22stdlife))</f>
        <v>0</v>
      </c>
      <c r="AV354" s="107">
        <f>IF(A22stdlife="n/a","n/a",IF(AV$3&gt;(A22stdlife+$E354),('PTRM input'!$J$164*(1+rvanilla04)^0.5)-SUM($J354:AU354),('PTRM input'!$J$164*(1+rvanilla04)^0.5)/A22stdlife))</f>
        <v>0</v>
      </c>
      <c r="AW354" s="107">
        <f>IF(A22stdlife="n/a","n/a",IF(AW$3&gt;(A22stdlife+$E354),('PTRM input'!$J$164*(1+rvanilla04)^0.5)-SUM($J354:AV354),('PTRM input'!$J$164*(1+rvanilla04)^0.5)/A22stdlife))</f>
        <v>0</v>
      </c>
      <c r="AX354" s="107">
        <f>IF(A22stdlife="n/a","n/a",IF(AX$3&gt;(A22stdlife+$E354),('PTRM input'!$J$164*(1+rvanilla04)^0.5)-SUM($J354:AW354),('PTRM input'!$J$164*(1+rvanilla04)^0.5)/A22stdlife))</f>
        <v>0</v>
      </c>
      <c r="AY354" s="107">
        <f>IF(A22stdlife="n/a","n/a",IF(AY$3&gt;(A22stdlife+$E354),('PTRM input'!$J$164*(1+rvanilla04)^0.5)-SUM($J354:AX354),('PTRM input'!$J$164*(1+rvanilla04)^0.5)/A22stdlife))</f>
        <v>0</v>
      </c>
      <c r="AZ354" s="107">
        <f>IF(A22stdlife="n/a","n/a",IF(AZ$3&gt;(A22stdlife+$E354),('PTRM input'!$J$164*(1+rvanilla04)^0.5)-SUM($J354:AY354),('PTRM input'!$J$164*(1+rvanilla04)^0.5)/A22stdlife))</f>
        <v>0</v>
      </c>
      <c r="BA354" s="107">
        <f>IF(A22stdlife="n/a","n/a",IF(BA$3&gt;(A22stdlife+$E354),('PTRM input'!$J$164*(1+rvanilla04)^0.5)-SUM($J354:AZ354),('PTRM input'!$J$164*(1+rvanilla04)^0.5)/A22stdlife))</f>
        <v>0</v>
      </c>
      <c r="BB354" s="107">
        <f>IF(A22stdlife="n/a","n/a",IF(BB$3&gt;(A22stdlife+$E354),('PTRM input'!$J$164*(1+rvanilla04)^0.5)-SUM($J354:BA354),('PTRM input'!$J$164*(1+rvanilla04)^0.5)/A22stdlife))</f>
        <v>0</v>
      </c>
      <c r="BC354" s="107">
        <f>IF(A22stdlife="n/a","n/a",IF(BC$3&gt;(A22stdlife+$E354),('PTRM input'!$J$164*(1+rvanilla04)^0.5)-SUM($J354:BB354),('PTRM input'!$J$164*(1+rvanilla04)^0.5)/A22stdlife))</f>
        <v>0</v>
      </c>
      <c r="BD354" s="107">
        <f>IF(A22stdlife="n/a","n/a",IF(BD$3&gt;(A22stdlife+$E354),('PTRM input'!$J$164*(1+rvanilla04)^0.5)-SUM($J354:BC354),('PTRM input'!$J$164*(1+rvanilla04)^0.5)/A22stdlife))</f>
        <v>0</v>
      </c>
      <c r="BE354" s="107">
        <f>IF(A22stdlife="n/a","n/a",IF(BE$3&gt;(A22stdlife+$E354),('PTRM input'!$J$164*(1+rvanilla04)^0.5)-SUM($J354:BD354),('PTRM input'!$J$164*(1+rvanilla04)^0.5)/A22stdlife))</f>
        <v>0</v>
      </c>
      <c r="BF354" s="107">
        <f>IF(A22stdlife="n/a","n/a",IF(BF$3&gt;(A22stdlife+$E354),('PTRM input'!$J$164*(1+rvanilla04)^0.5)-SUM($J354:BE354),('PTRM input'!$J$164*(1+rvanilla04)^0.5)/A22stdlife))</f>
        <v>0</v>
      </c>
      <c r="BG354" s="107">
        <f>IF(A22stdlife="n/a","n/a",IF(BG$3&gt;(A22stdlife+$E354),('PTRM input'!$J$164*(1+rvanilla04)^0.5)-SUM($J354:BF354),('PTRM input'!$J$164*(1+rvanilla04)^0.5)/A22stdlife))</f>
        <v>0</v>
      </c>
      <c r="BH354" s="107">
        <f>IF(A22stdlife="n/a","n/a",IF(BH$3&gt;(A22stdlife+$E354),('PTRM input'!$J$164*(1+rvanilla04)^0.5)-SUM($J354:BG354),('PTRM input'!$J$164*(1+rvanilla04)^0.5)/A22stdlife))</f>
        <v>0</v>
      </c>
      <c r="BI354" s="107">
        <f>IF(A22stdlife="n/a","n/a",IF(BI$3&gt;(A22stdlife+$E354),('PTRM input'!$J$164*(1+rvanilla04)^0.5)-SUM($J354:BH354),('PTRM input'!$J$164*(1+rvanilla04)^0.5)/A22stdlife))</f>
        <v>0</v>
      </c>
      <c r="BJ354" s="237"/>
      <c r="BK354" s="237"/>
      <c r="BL354" s="237"/>
      <c r="BM354" s="237"/>
    </row>
    <row r="355" spans="1:65" s="190" customFormat="1" hidden="1" outlineLevel="2">
      <c r="A355" s="237"/>
      <c r="B355" s="33"/>
      <c r="C355" s="32"/>
      <c r="D355" s="1618"/>
      <c r="E355" s="169">
        <v>5</v>
      </c>
      <c r="F355" s="35"/>
      <c r="G355" s="184"/>
      <c r="H355" s="186"/>
      <c r="I355" s="186"/>
      <c r="J355" s="186"/>
      <c r="K355" s="185"/>
      <c r="L355" s="107">
        <f>IF(A22stdlife="n/a","n/a",IF(L$3&gt;(A22stdlife+$E355),('PTRM input'!$K$164*(1+rvanilla05)^0.5)-SUM($K355:K355),('PTRM input'!$K$164*(1+rvanilla05)^0.5)/A22stdlife))</f>
        <v>0</v>
      </c>
      <c r="M355" s="107">
        <f>IF(A22stdlife="n/a","n/a",IF(M$3&gt;(A22stdlife+$E355),('PTRM input'!$K$164*(1+rvanilla05)^0.5)-SUM($K355:L355),('PTRM input'!$K$164*(1+rvanilla05)^0.5)/A22stdlife))</f>
        <v>0</v>
      </c>
      <c r="N355" s="107">
        <f>IF(A22stdlife="n/a","n/a",IF(N$3&gt;(A22stdlife+$E355),('PTRM input'!$K$164*(1+rvanilla05)^0.5)-SUM($K355:M355),('PTRM input'!$K$164*(1+rvanilla05)^0.5)/A22stdlife))</f>
        <v>0</v>
      </c>
      <c r="O355" s="107">
        <f>IF(A22stdlife="n/a","n/a",IF(O$3&gt;(A22stdlife+$E355),('PTRM input'!$K$164*(1+rvanilla05)^0.5)-SUM($K355:N355),('PTRM input'!$K$164*(1+rvanilla05)^0.5)/A22stdlife))</f>
        <v>0</v>
      </c>
      <c r="P355" s="107">
        <f>IF(A22stdlife="n/a","n/a",IF(P$3&gt;(A22stdlife+$E355),('PTRM input'!$K$164*(1+rvanilla05)^0.5)-SUM($K355:O355),('PTRM input'!$K$164*(1+rvanilla05)^0.5)/A22stdlife))</f>
        <v>0</v>
      </c>
      <c r="Q355" s="107">
        <f>IF(A22stdlife="n/a","n/a",IF(Q$3&gt;(A22stdlife+$E355),('PTRM input'!$K$164*(1+rvanilla05)^0.5)-SUM($K355:P355),('PTRM input'!$K$164*(1+rvanilla05)^0.5)/A22stdlife))</f>
        <v>0</v>
      </c>
      <c r="R355" s="107">
        <f>IF(A22stdlife="n/a","n/a",IF(R$3&gt;(A22stdlife+$E355),('PTRM input'!$K$164*(1+rvanilla05)^0.5)-SUM($K355:Q355),('PTRM input'!$K$164*(1+rvanilla05)^0.5)/A22stdlife))</f>
        <v>0</v>
      </c>
      <c r="S355" s="107">
        <f>IF(A22stdlife="n/a","n/a",IF(S$3&gt;(A22stdlife+$E355),('PTRM input'!$K$164*(1+rvanilla05)^0.5)-SUM($K355:R355),('PTRM input'!$K$164*(1+rvanilla05)^0.5)/A22stdlife))</f>
        <v>0</v>
      </c>
      <c r="T355" s="107">
        <f>IF(A22stdlife="n/a","n/a",IF(T$3&gt;(A22stdlife+$E355),('PTRM input'!$K$164*(1+rvanilla05)^0.5)-SUM($K355:S355),('PTRM input'!$K$164*(1+rvanilla05)^0.5)/A22stdlife))</f>
        <v>0</v>
      </c>
      <c r="U355" s="107">
        <f>IF(A22stdlife="n/a","n/a",IF(U$3&gt;(A22stdlife+$E355),('PTRM input'!$K$164*(1+rvanilla05)^0.5)-SUM($K355:T355),('PTRM input'!$K$164*(1+rvanilla05)^0.5)/A22stdlife))</f>
        <v>0</v>
      </c>
      <c r="V355" s="107">
        <f>IF(A22stdlife="n/a","n/a",IF(V$3&gt;(A22stdlife+$E355),('PTRM input'!$K$164*(1+rvanilla05)^0.5)-SUM($K355:U355),('PTRM input'!$K$164*(1+rvanilla05)^0.5)/A22stdlife))</f>
        <v>0</v>
      </c>
      <c r="W355" s="107">
        <f>IF(A22stdlife="n/a","n/a",IF(W$3&gt;(A22stdlife+$E355),('PTRM input'!$K$164*(1+rvanilla05)^0.5)-SUM($K355:V355),('PTRM input'!$K$164*(1+rvanilla05)^0.5)/A22stdlife))</f>
        <v>0</v>
      </c>
      <c r="X355" s="107">
        <f>IF(A22stdlife="n/a","n/a",IF(X$3&gt;(A22stdlife+$E355),('PTRM input'!$K$164*(1+rvanilla05)^0.5)-SUM($K355:W355),('PTRM input'!$K$164*(1+rvanilla05)^0.5)/A22stdlife))</f>
        <v>0</v>
      </c>
      <c r="Y355" s="107">
        <f>IF(A22stdlife="n/a","n/a",IF(Y$3&gt;(A22stdlife+$E355),('PTRM input'!$K$164*(1+rvanilla05)^0.5)-SUM($K355:X355),('PTRM input'!$K$164*(1+rvanilla05)^0.5)/A22stdlife))</f>
        <v>0</v>
      </c>
      <c r="Z355" s="107">
        <f>IF(A22stdlife="n/a","n/a",IF(Z$3&gt;(A22stdlife+$E355),('PTRM input'!$K$164*(1+rvanilla05)^0.5)-SUM($K355:Y355),('PTRM input'!$K$164*(1+rvanilla05)^0.5)/A22stdlife))</f>
        <v>0</v>
      </c>
      <c r="AA355" s="107">
        <f>IF(A22stdlife="n/a","n/a",IF(AA$3&gt;(A22stdlife+$E355),('PTRM input'!$K$164*(1+rvanilla05)^0.5)-SUM($K355:Z355),('PTRM input'!$K$164*(1+rvanilla05)^0.5)/A22stdlife))</f>
        <v>0</v>
      </c>
      <c r="AB355" s="107">
        <f>IF(A22stdlife="n/a","n/a",IF(AB$3&gt;(A22stdlife+$E355),('PTRM input'!$K$164*(1+rvanilla05)^0.5)-SUM($K355:AA355),('PTRM input'!$K$164*(1+rvanilla05)^0.5)/A22stdlife))</f>
        <v>0</v>
      </c>
      <c r="AC355" s="107">
        <f>IF(A22stdlife="n/a","n/a",IF(AC$3&gt;(A22stdlife+$E355),('PTRM input'!$K$164*(1+rvanilla05)^0.5)-SUM($K355:AB355),('PTRM input'!$K$164*(1+rvanilla05)^0.5)/A22stdlife))</f>
        <v>0</v>
      </c>
      <c r="AD355" s="107">
        <f>IF(A22stdlife="n/a","n/a",IF(AD$3&gt;(A22stdlife+$E355),('PTRM input'!$K$164*(1+rvanilla05)^0.5)-SUM($K355:AC355),('PTRM input'!$K$164*(1+rvanilla05)^0.5)/A22stdlife))</f>
        <v>0</v>
      </c>
      <c r="AE355" s="107">
        <f>IF(A22stdlife="n/a","n/a",IF(AE$3&gt;(A22stdlife+$E355),('PTRM input'!$K$164*(1+rvanilla05)^0.5)-SUM($K355:AD355),('PTRM input'!$K$164*(1+rvanilla05)^0.5)/A22stdlife))</f>
        <v>0</v>
      </c>
      <c r="AF355" s="107">
        <f>IF(A22stdlife="n/a","n/a",IF(AF$3&gt;(A22stdlife+$E355),('PTRM input'!$K$164*(1+rvanilla05)^0.5)-SUM($K355:AE355),('PTRM input'!$K$164*(1+rvanilla05)^0.5)/A22stdlife))</f>
        <v>0</v>
      </c>
      <c r="AG355" s="107">
        <f>IF(A22stdlife="n/a","n/a",IF(AG$3&gt;(A22stdlife+$E355),('PTRM input'!$K$164*(1+rvanilla05)^0.5)-SUM($K355:AF355),('PTRM input'!$K$164*(1+rvanilla05)^0.5)/A22stdlife))</f>
        <v>0</v>
      </c>
      <c r="AH355" s="107">
        <f>IF(A22stdlife="n/a","n/a",IF(AH$3&gt;(A22stdlife+$E355),('PTRM input'!$K$164*(1+rvanilla05)^0.5)-SUM($K355:AG355),('PTRM input'!$K$164*(1+rvanilla05)^0.5)/A22stdlife))</f>
        <v>0</v>
      </c>
      <c r="AI355" s="107">
        <f>IF(A22stdlife="n/a","n/a",IF(AI$3&gt;(A22stdlife+$E355),('PTRM input'!$K$164*(1+rvanilla05)^0.5)-SUM($K355:AH355),('PTRM input'!$K$164*(1+rvanilla05)^0.5)/A22stdlife))</f>
        <v>0</v>
      </c>
      <c r="AJ355" s="107">
        <f>IF(A22stdlife="n/a","n/a",IF(AJ$3&gt;(A22stdlife+$E355),('PTRM input'!$K$164*(1+rvanilla05)^0.5)-SUM($K355:AI355),('PTRM input'!$K$164*(1+rvanilla05)^0.5)/A22stdlife))</f>
        <v>0</v>
      </c>
      <c r="AK355" s="107">
        <f>IF(A22stdlife="n/a","n/a",IF(AK$3&gt;(A22stdlife+$E355),('PTRM input'!$K$164*(1+rvanilla05)^0.5)-SUM($K355:AJ355),('PTRM input'!$K$164*(1+rvanilla05)^0.5)/A22stdlife))</f>
        <v>0</v>
      </c>
      <c r="AL355" s="107">
        <f>IF(A22stdlife="n/a","n/a",IF(AL$3&gt;(A22stdlife+$E355),('PTRM input'!$K$164*(1+rvanilla05)^0.5)-SUM($K355:AK355),('PTRM input'!$K$164*(1+rvanilla05)^0.5)/A22stdlife))</f>
        <v>0</v>
      </c>
      <c r="AM355" s="107">
        <f>IF(A22stdlife="n/a","n/a",IF(AM$3&gt;(A22stdlife+$E355),('PTRM input'!$K$164*(1+rvanilla05)^0.5)-SUM($K355:AL355),('PTRM input'!$K$164*(1+rvanilla05)^0.5)/A22stdlife))</f>
        <v>0</v>
      </c>
      <c r="AN355" s="107">
        <f>IF(A22stdlife="n/a","n/a",IF(AN$3&gt;(A22stdlife+$E355),('PTRM input'!$K$164*(1+rvanilla05)^0.5)-SUM($K355:AM355),('PTRM input'!$K$164*(1+rvanilla05)^0.5)/A22stdlife))</f>
        <v>0</v>
      </c>
      <c r="AO355" s="107">
        <f>IF(A22stdlife="n/a","n/a",IF(AO$3&gt;(A22stdlife+$E355),('PTRM input'!$K$164*(1+rvanilla05)^0.5)-SUM($K355:AN355),('PTRM input'!$K$164*(1+rvanilla05)^0.5)/A22stdlife))</f>
        <v>0</v>
      </c>
      <c r="AP355" s="107">
        <f>IF(A22stdlife="n/a","n/a",IF(AP$3&gt;(A22stdlife+$E355),('PTRM input'!$K$164*(1+rvanilla05)^0.5)-SUM($K355:AO355),('PTRM input'!$K$164*(1+rvanilla05)^0.5)/A22stdlife))</f>
        <v>0</v>
      </c>
      <c r="AQ355" s="107">
        <f>IF(A22stdlife="n/a","n/a",IF(AQ$3&gt;(A22stdlife+$E355),('PTRM input'!$K$164*(1+rvanilla05)^0.5)-SUM($K355:AP355),('PTRM input'!$K$164*(1+rvanilla05)^0.5)/A22stdlife))</f>
        <v>0</v>
      </c>
      <c r="AR355" s="107">
        <f>IF(A22stdlife="n/a","n/a",IF(AR$3&gt;(A22stdlife+$E355),('PTRM input'!$K$164*(1+rvanilla05)^0.5)-SUM($K355:AQ355),('PTRM input'!$K$164*(1+rvanilla05)^0.5)/A22stdlife))</f>
        <v>0</v>
      </c>
      <c r="AS355" s="107">
        <f>IF(A22stdlife="n/a","n/a",IF(AS$3&gt;(A22stdlife+$E355),('PTRM input'!$K$164*(1+rvanilla05)^0.5)-SUM($K355:AR355),('PTRM input'!$K$164*(1+rvanilla05)^0.5)/A22stdlife))</f>
        <v>0</v>
      </c>
      <c r="AT355" s="107">
        <f>IF(A22stdlife="n/a","n/a",IF(AT$3&gt;(A22stdlife+$E355),('PTRM input'!$K$164*(1+rvanilla05)^0.5)-SUM($K355:AS355),('PTRM input'!$K$164*(1+rvanilla05)^0.5)/A22stdlife))</f>
        <v>0</v>
      </c>
      <c r="AU355" s="107">
        <f>IF(A22stdlife="n/a","n/a",IF(AU$3&gt;(A22stdlife+$E355),('PTRM input'!$K$164*(1+rvanilla05)^0.5)-SUM($K355:AT355),('PTRM input'!$K$164*(1+rvanilla05)^0.5)/A22stdlife))</f>
        <v>0</v>
      </c>
      <c r="AV355" s="107">
        <f>IF(A22stdlife="n/a","n/a",IF(AV$3&gt;(A22stdlife+$E355),('PTRM input'!$K$164*(1+rvanilla05)^0.5)-SUM($K355:AU355),('PTRM input'!$K$164*(1+rvanilla05)^0.5)/A22stdlife))</f>
        <v>0</v>
      </c>
      <c r="AW355" s="107">
        <f>IF(A22stdlife="n/a","n/a",IF(AW$3&gt;(A22stdlife+$E355),('PTRM input'!$K$164*(1+rvanilla05)^0.5)-SUM($K355:AV355),('PTRM input'!$K$164*(1+rvanilla05)^0.5)/A22stdlife))</f>
        <v>0</v>
      </c>
      <c r="AX355" s="107">
        <f>IF(A22stdlife="n/a","n/a",IF(AX$3&gt;(A22stdlife+$E355),('PTRM input'!$K$164*(1+rvanilla05)^0.5)-SUM($K355:AW355),('PTRM input'!$K$164*(1+rvanilla05)^0.5)/A22stdlife))</f>
        <v>0</v>
      </c>
      <c r="AY355" s="107">
        <f>IF(A22stdlife="n/a","n/a",IF(AY$3&gt;(A22stdlife+$E355),('PTRM input'!$K$164*(1+rvanilla05)^0.5)-SUM($K355:AX355),('PTRM input'!$K$164*(1+rvanilla05)^0.5)/A22stdlife))</f>
        <v>0</v>
      </c>
      <c r="AZ355" s="107">
        <f>IF(A22stdlife="n/a","n/a",IF(AZ$3&gt;(A22stdlife+$E355),('PTRM input'!$K$164*(1+rvanilla05)^0.5)-SUM($K355:AY355),('PTRM input'!$K$164*(1+rvanilla05)^0.5)/A22stdlife))</f>
        <v>0</v>
      </c>
      <c r="BA355" s="107">
        <f>IF(A22stdlife="n/a","n/a",IF(BA$3&gt;(A22stdlife+$E355),('PTRM input'!$K$164*(1+rvanilla05)^0.5)-SUM($K355:AZ355),('PTRM input'!$K$164*(1+rvanilla05)^0.5)/A22stdlife))</f>
        <v>0</v>
      </c>
      <c r="BB355" s="107">
        <f>IF(A22stdlife="n/a","n/a",IF(BB$3&gt;(A22stdlife+$E355),('PTRM input'!$K$164*(1+rvanilla05)^0.5)-SUM($K355:BA355),('PTRM input'!$K$164*(1+rvanilla05)^0.5)/A22stdlife))</f>
        <v>0</v>
      </c>
      <c r="BC355" s="107">
        <f>IF(A22stdlife="n/a","n/a",IF(BC$3&gt;(A22stdlife+$E355),('PTRM input'!$K$164*(1+rvanilla05)^0.5)-SUM($K355:BB355),('PTRM input'!$K$164*(1+rvanilla05)^0.5)/A22stdlife))</f>
        <v>0</v>
      </c>
      <c r="BD355" s="107">
        <f>IF(A22stdlife="n/a","n/a",IF(BD$3&gt;(A22stdlife+$E355),('PTRM input'!$K$164*(1+rvanilla05)^0.5)-SUM($K355:BC355),('PTRM input'!$K$164*(1+rvanilla05)^0.5)/A22stdlife))</f>
        <v>0</v>
      </c>
      <c r="BE355" s="107">
        <f>IF(A22stdlife="n/a","n/a",IF(BE$3&gt;(A22stdlife+$E355),('PTRM input'!$K$164*(1+rvanilla05)^0.5)-SUM($K355:BD355),('PTRM input'!$K$164*(1+rvanilla05)^0.5)/A22stdlife))</f>
        <v>0</v>
      </c>
      <c r="BF355" s="107">
        <f>IF(A22stdlife="n/a","n/a",IF(BF$3&gt;(A22stdlife+$E355),('PTRM input'!$K$164*(1+rvanilla05)^0.5)-SUM($K355:BE355),('PTRM input'!$K$164*(1+rvanilla05)^0.5)/A22stdlife))</f>
        <v>0</v>
      </c>
      <c r="BG355" s="107">
        <f>IF(A22stdlife="n/a","n/a",IF(BG$3&gt;(A22stdlife+$E355),('PTRM input'!$K$164*(1+rvanilla05)^0.5)-SUM($K355:BF355),('PTRM input'!$K$164*(1+rvanilla05)^0.5)/A22stdlife))</f>
        <v>0</v>
      </c>
      <c r="BH355" s="107">
        <f>IF(A22stdlife="n/a","n/a",IF(BH$3&gt;(A22stdlife+$E355),('PTRM input'!$K$164*(1+rvanilla05)^0.5)-SUM($K355:BG355),('PTRM input'!$K$164*(1+rvanilla05)^0.5)/A22stdlife))</f>
        <v>0</v>
      </c>
      <c r="BI355" s="107">
        <f>IF(A22stdlife="n/a","n/a",IF(BI$3&gt;(A22stdlife+$E355),('PTRM input'!$K$164*(1+rvanilla05)^0.5)-SUM($K355:BH355),('PTRM input'!$K$164*(1+rvanilla05)^0.5)/A22stdlife))</f>
        <v>0</v>
      </c>
      <c r="BJ355" s="237"/>
      <c r="BK355" s="237"/>
      <c r="BL355" s="237"/>
      <c r="BM355" s="237"/>
    </row>
    <row r="356" spans="1:65" s="190" customFormat="1" hidden="1" outlineLevel="2">
      <c r="A356" s="237"/>
      <c r="B356" s="33"/>
      <c r="C356" s="32"/>
      <c r="D356" s="1618"/>
      <c r="E356" s="169">
        <v>6</v>
      </c>
      <c r="F356" s="35"/>
      <c r="G356" s="184"/>
      <c r="H356" s="186"/>
      <c r="I356" s="186"/>
      <c r="J356" s="186"/>
      <c r="K356" s="186"/>
      <c r="L356" s="185"/>
      <c r="M356" s="107">
        <f>IF(A22stdlife="n/a","n/a",IF(M$3&gt;(A22stdlife+$E356),('PTRM input'!$L$164*(1+rvanilla06)^0.5)-SUM($L356:L356),('PTRM input'!$L$164*(1+rvanilla06)^0.5)/A22stdlife))</f>
        <v>0</v>
      </c>
      <c r="N356" s="107">
        <f>IF(A22stdlife="n/a","n/a",IF(N$3&gt;(A22stdlife+$E356),('PTRM input'!$L$164*(1+rvanilla06)^0.5)-SUM($L356:M356),('PTRM input'!$L$164*(1+rvanilla06)^0.5)/A22stdlife))</f>
        <v>0</v>
      </c>
      <c r="O356" s="107">
        <f>IF(A22stdlife="n/a","n/a",IF(O$3&gt;(A22stdlife+$E356),('PTRM input'!$L$164*(1+rvanilla06)^0.5)-SUM($L356:N356),('PTRM input'!$L$164*(1+rvanilla06)^0.5)/A22stdlife))</f>
        <v>0</v>
      </c>
      <c r="P356" s="107">
        <f>IF(A22stdlife="n/a","n/a",IF(P$3&gt;(A22stdlife+$E356),('PTRM input'!$L$164*(1+rvanilla06)^0.5)-SUM($L356:O356),('PTRM input'!$L$164*(1+rvanilla06)^0.5)/A22stdlife))</f>
        <v>0</v>
      </c>
      <c r="Q356" s="107">
        <f>IF(A22stdlife="n/a","n/a",IF(Q$3&gt;(A22stdlife+$E356),('PTRM input'!$L$164*(1+rvanilla06)^0.5)-SUM($L356:P356),('PTRM input'!$L$164*(1+rvanilla06)^0.5)/A22stdlife))</f>
        <v>0</v>
      </c>
      <c r="R356" s="107">
        <f>IF(A22stdlife="n/a","n/a",IF(R$3&gt;(A22stdlife+$E356),('PTRM input'!$L$164*(1+rvanilla06)^0.5)-SUM($L356:Q356),('PTRM input'!$L$164*(1+rvanilla06)^0.5)/A22stdlife))</f>
        <v>0</v>
      </c>
      <c r="S356" s="107">
        <f>IF(A22stdlife="n/a","n/a",IF(S$3&gt;(A22stdlife+$E356),('PTRM input'!$L$164*(1+rvanilla06)^0.5)-SUM($L356:R356),('PTRM input'!$L$164*(1+rvanilla06)^0.5)/A22stdlife))</f>
        <v>0</v>
      </c>
      <c r="T356" s="107">
        <f>IF(A22stdlife="n/a","n/a",IF(T$3&gt;(A22stdlife+$E356),('PTRM input'!$L$164*(1+rvanilla06)^0.5)-SUM($L356:S356),('PTRM input'!$L$164*(1+rvanilla06)^0.5)/A22stdlife))</f>
        <v>0</v>
      </c>
      <c r="U356" s="107">
        <f>IF(A22stdlife="n/a","n/a",IF(U$3&gt;(A22stdlife+$E356),('PTRM input'!$L$164*(1+rvanilla06)^0.5)-SUM($L356:T356),('PTRM input'!$L$164*(1+rvanilla06)^0.5)/A22stdlife))</f>
        <v>0</v>
      </c>
      <c r="V356" s="107">
        <f>IF(A22stdlife="n/a","n/a",IF(V$3&gt;(A22stdlife+$E356),('PTRM input'!$L$164*(1+rvanilla06)^0.5)-SUM($L356:U356),('PTRM input'!$L$164*(1+rvanilla06)^0.5)/A22stdlife))</f>
        <v>0</v>
      </c>
      <c r="W356" s="107">
        <f>IF(A22stdlife="n/a","n/a",IF(W$3&gt;(A22stdlife+$E356),('PTRM input'!$L$164*(1+rvanilla06)^0.5)-SUM($L356:V356),('PTRM input'!$L$164*(1+rvanilla06)^0.5)/A22stdlife))</f>
        <v>0</v>
      </c>
      <c r="X356" s="107">
        <f>IF(A22stdlife="n/a","n/a",IF(X$3&gt;(A22stdlife+$E356),('PTRM input'!$L$164*(1+rvanilla06)^0.5)-SUM($L356:W356),('PTRM input'!$L$164*(1+rvanilla06)^0.5)/A22stdlife))</f>
        <v>0</v>
      </c>
      <c r="Y356" s="107">
        <f>IF(A22stdlife="n/a","n/a",IF(Y$3&gt;(A22stdlife+$E356),('PTRM input'!$L$164*(1+rvanilla06)^0.5)-SUM($L356:X356),('PTRM input'!$L$164*(1+rvanilla06)^0.5)/A22stdlife))</f>
        <v>0</v>
      </c>
      <c r="Z356" s="107">
        <f>IF(A22stdlife="n/a","n/a",IF(Z$3&gt;(A22stdlife+$E356),('PTRM input'!$L$164*(1+rvanilla06)^0.5)-SUM($L356:Y356),('PTRM input'!$L$164*(1+rvanilla06)^0.5)/A22stdlife))</f>
        <v>0</v>
      </c>
      <c r="AA356" s="107">
        <f>IF(A22stdlife="n/a","n/a",IF(AA$3&gt;(A22stdlife+$E356),('PTRM input'!$L$164*(1+rvanilla06)^0.5)-SUM($L356:Z356),('PTRM input'!$L$164*(1+rvanilla06)^0.5)/A22stdlife))</f>
        <v>0</v>
      </c>
      <c r="AB356" s="107">
        <f>IF(A22stdlife="n/a","n/a",IF(AB$3&gt;(A22stdlife+$E356),('PTRM input'!$L$164*(1+rvanilla06)^0.5)-SUM($L356:AA356),('PTRM input'!$L$164*(1+rvanilla06)^0.5)/A22stdlife))</f>
        <v>0</v>
      </c>
      <c r="AC356" s="107">
        <f>IF(A22stdlife="n/a","n/a",IF(AC$3&gt;(A22stdlife+$E356),('PTRM input'!$L$164*(1+rvanilla06)^0.5)-SUM($L356:AB356),('PTRM input'!$L$164*(1+rvanilla06)^0.5)/A22stdlife))</f>
        <v>0</v>
      </c>
      <c r="AD356" s="107">
        <f>IF(A22stdlife="n/a","n/a",IF(AD$3&gt;(A22stdlife+$E356),('PTRM input'!$L$164*(1+rvanilla06)^0.5)-SUM($L356:AC356),('PTRM input'!$L$164*(1+rvanilla06)^0.5)/A22stdlife))</f>
        <v>0</v>
      </c>
      <c r="AE356" s="107">
        <f>IF(A22stdlife="n/a","n/a",IF(AE$3&gt;(A22stdlife+$E356),('PTRM input'!$L$164*(1+rvanilla06)^0.5)-SUM($L356:AD356),('PTRM input'!$L$164*(1+rvanilla06)^0.5)/A22stdlife))</f>
        <v>0</v>
      </c>
      <c r="AF356" s="107">
        <f>IF(A22stdlife="n/a","n/a",IF(AF$3&gt;(A22stdlife+$E356),('PTRM input'!$L$164*(1+rvanilla06)^0.5)-SUM($L356:AE356),('PTRM input'!$L$164*(1+rvanilla06)^0.5)/A22stdlife))</f>
        <v>0</v>
      </c>
      <c r="AG356" s="107">
        <f>IF(A22stdlife="n/a","n/a",IF(AG$3&gt;(A22stdlife+$E356),('PTRM input'!$L$164*(1+rvanilla06)^0.5)-SUM($L356:AF356),('PTRM input'!$L$164*(1+rvanilla06)^0.5)/A22stdlife))</f>
        <v>0</v>
      </c>
      <c r="AH356" s="107">
        <f>IF(A22stdlife="n/a","n/a",IF(AH$3&gt;(A22stdlife+$E356),('PTRM input'!$L$164*(1+rvanilla06)^0.5)-SUM($L356:AG356),('PTRM input'!$L$164*(1+rvanilla06)^0.5)/A22stdlife))</f>
        <v>0</v>
      </c>
      <c r="AI356" s="107">
        <f>IF(A22stdlife="n/a","n/a",IF(AI$3&gt;(A22stdlife+$E356),('PTRM input'!$L$164*(1+rvanilla06)^0.5)-SUM($L356:AH356),('PTRM input'!$L$164*(1+rvanilla06)^0.5)/A22stdlife))</f>
        <v>0</v>
      </c>
      <c r="AJ356" s="107">
        <f>IF(A22stdlife="n/a","n/a",IF(AJ$3&gt;(A22stdlife+$E356),('PTRM input'!$L$164*(1+rvanilla06)^0.5)-SUM($L356:AI356),('PTRM input'!$L$164*(1+rvanilla06)^0.5)/A22stdlife))</f>
        <v>0</v>
      </c>
      <c r="AK356" s="107">
        <f>IF(A22stdlife="n/a","n/a",IF(AK$3&gt;(A22stdlife+$E356),('PTRM input'!$L$164*(1+rvanilla06)^0.5)-SUM($L356:AJ356),('PTRM input'!$L$164*(1+rvanilla06)^0.5)/A22stdlife))</f>
        <v>0</v>
      </c>
      <c r="AL356" s="107">
        <f>IF(A22stdlife="n/a","n/a",IF(AL$3&gt;(A22stdlife+$E356),('PTRM input'!$L$164*(1+rvanilla06)^0.5)-SUM($L356:AK356),('PTRM input'!$L$164*(1+rvanilla06)^0.5)/A22stdlife))</f>
        <v>0</v>
      </c>
      <c r="AM356" s="107">
        <f>IF(A22stdlife="n/a","n/a",IF(AM$3&gt;(A22stdlife+$E356),('PTRM input'!$L$164*(1+rvanilla06)^0.5)-SUM($L356:AL356),('PTRM input'!$L$164*(1+rvanilla06)^0.5)/A22stdlife))</f>
        <v>0</v>
      </c>
      <c r="AN356" s="107">
        <f>IF(A22stdlife="n/a","n/a",IF(AN$3&gt;(A22stdlife+$E356),('PTRM input'!$L$164*(1+rvanilla06)^0.5)-SUM($L356:AM356),('PTRM input'!$L$164*(1+rvanilla06)^0.5)/A22stdlife))</f>
        <v>0</v>
      </c>
      <c r="AO356" s="107">
        <f>IF(A22stdlife="n/a","n/a",IF(AO$3&gt;(A22stdlife+$E356),('PTRM input'!$L$164*(1+rvanilla06)^0.5)-SUM($L356:AN356),('PTRM input'!$L$164*(1+rvanilla06)^0.5)/A22stdlife))</f>
        <v>0</v>
      </c>
      <c r="AP356" s="107">
        <f>IF(A22stdlife="n/a","n/a",IF(AP$3&gt;(A22stdlife+$E356),('PTRM input'!$L$164*(1+rvanilla06)^0.5)-SUM($L356:AO356),('PTRM input'!$L$164*(1+rvanilla06)^0.5)/A22stdlife))</f>
        <v>0</v>
      </c>
      <c r="AQ356" s="107">
        <f>IF(A22stdlife="n/a","n/a",IF(AQ$3&gt;(A22stdlife+$E356),('PTRM input'!$L$164*(1+rvanilla06)^0.5)-SUM($L356:AP356),('PTRM input'!$L$164*(1+rvanilla06)^0.5)/A22stdlife))</f>
        <v>0</v>
      </c>
      <c r="AR356" s="107">
        <f>IF(A22stdlife="n/a","n/a",IF(AR$3&gt;(A22stdlife+$E356),('PTRM input'!$L$164*(1+rvanilla06)^0.5)-SUM($L356:AQ356),('PTRM input'!$L$164*(1+rvanilla06)^0.5)/A22stdlife))</f>
        <v>0</v>
      </c>
      <c r="AS356" s="107">
        <f>IF(A22stdlife="n/a","n/a",IF(AS$3&gt;(A22stdlife+$E356),('PTRM input'!$L$164*(1+rvanilla06)^0.5)-SUM($L356:AR356),('PTRM input'!$L$164*(1+rvanilla06)^0.5)/A22stdlife))</f>
        <v>0</v>
      </c>
      <c r="AT356" s="107">
        <f>IF(A22stdlife="n/a","n/a",IF(AT$3&gt;(A22stdlife+$E356),('PTRM input'!$L$164*(1+rvanilla06)^0.5)-SUM($L356:AS356),('PTRM input'!$L$164*(1+rvanilla06)^0.5)/A22stdlife))</f>
        <v>0</v>
      </c>
      <c r="AU356" s="107">
        <f>IF(A22stdlife="n/a","n/a",IF(AU$3&gt;(A22stdlife+$E356),('PTRM input'!$L$164*(1+rvanilla06)^0.5)-SUM($L356:AT356),('PTRM input'!$L$164*(1+rvanilla06)^0.5)/A22stdlife))</f>
        <v>0</v>
      </c>
      <c r="AV356" s="107">
        <f>IF(A22stdlife="n/a","n/a",IF(AV$3&gt;(A22stdlife+$E356),('PTRM input'!$L$164*(1+rvanilla06)^0.5)-SUM($L356:AU356),('PTRM input'!$L$164*(1+rvanilla06)^0.5)/A22stdlife))</f>
        <v>0</v>
      </c>
      <c r="AW356" s="107">
        <f>IF(A22stdlife="n/a","n/a",IF(AW$3&gt;(A22stdlife+$E356),('PTRM input'!$L$164*(1+rvanilla06)^0.5)-SUM($L356:AV356),('PTRM input'!$L$164*(1+rvanilla06)^0.5)/A22stdlife))</f>
        <v>0</v>
      </c>
      <c r="AX356" s="107">
        <f>IF(A22stdlife="n/a","n/a",IF(AX$3&gt;(A22stdlife+$E356),('PTRM input'!$L$164*(1+rvanilla06)^0.5)-SUM($L356:AW356),('PTRM input'!$L$164*(1+rvanilla06)^0.5)/A22stdlife))</f>
        <v>0</v>
      </c>
      <c r="AY356" s="107">
        <f>IF(A22stdlife="n/a","n/a",IF(AY$3&gt;(A22stdlife+$E356),('PTRM input'!$L$164*(1+rvanilla06)^0.5)-SUM($L356:AX356),('PTRM input'!$L$164*(1+rvanilla06)^0.5)/A22stdlife))</f>
        <v>0</v>
      </c>
      <c r="AZ356" s="107">
        <f>IF(A22stdlife="n/a","n/a",IF(AZ$3&gt;(A22stdlife+$E356),('PTRM input'!$L$164*(1+rvanilla06)^0.5)-SUM($L356:AY356),('PTRM input'!$L$164*(1+rvanilla06)^0.5)/A22stdlife))</f>
        <v>0</v>
      </c>
      <c r="BA356" s="107">
        <f>IF(A22stdlife="n/a","n/a",IF(BA$3&gt;(A22stdlife+$E356),('PTRM input'!$L$164*(1+rvanilla06)^0.5)-SUM($L356:AZ356),('PTRM input'!$L$164*(1+rvanilla06)^0.5)/A22stdlife))</f>
        <v>0</v>
      </c>
      <c r="BB356" s="107">
        <f>IF(A22stdlife="n/a","n/a",IF(BB$3&gt;(A22stdlife+$E356),('PTRM input'!$L$164*(1+rvanilla06)^0.5)-SUM($L356:BA356),('PTRM input'!$L$164*(1+rvanilla06)^0.5)/A22stdlife))</f>
        <v>0</v>
      </c>
      <c r="BC356" s="107">
        <f>IF(A22stdlife="n/a","n/a",IF(BC$3&gt;(A22stdlife+$E356),('PTRM input'!$L$164*(1+rvanilla06)^0.5)-SUM($L356:BB356),('PTRM input'!$L$164*(1+rvanilla06)^0.5)/A22stdlife))</f>
        <v>0</v>
      </c>
      <c r="BD356" s="107">
        <f>IF(A22stdlife="n/a","n/a",IF(BD$3&gt;(A22stdlife+$E356),('PTRM input'!$L$164*(1+rvanilla06)^0.5)-SUM($L356:BC356),('PTRM input'!$L$164*(1+rvanilla06)^0.5)/A22stdlife))</f>
        <v>0</v>
      </c>
      <c r="BE356" s="107">
        <f>IF(A22stdlife="n/a","n/a",IF(BE$3&gt;(A22stdlife+$E356),('PTRM input'!$L$164*(1+rvanilla06)^0.5)-SUM($L356:BD356),('PTRM input'!$L$164*(1+rvanilla06)^0.5)/A22stdlife))</f>
        <v>0</v>
      </c>
      <c r="BF356" s="107">
        <f>IF(A22stdlife="n/a","n/a",IF(BF$3&gt;(A22stdlife+$E356),('PTRM input'!$L$164*(1+rvanilla06)^0.5)-SUM($L356:BE356),('PTRM input'!$L$164*(1+rvanilla06)^0.5)/A22stdlife))</f>
        <v>0</v>
      </c>
      <c r="BG356" s="107">
        <f>IF(A22stdlife="n/a","n/a",IF(BG$3&gt;(A22stdlife+$E356),('PTRM input'!$L$164*(1+rvanilla06)^0.5)-SUM($L356:BF356),('PTRM input'!$L$164*(1+rvanilla06)^0.5)/A22stdlife))</f>
        <v>0</v>
      </c>
      <c r="BH356" s="107">
        <f>IF(A22stdlife="n/a","n/a",IF(BH$3&gt;(A22stdlife+$E356),('PTRM input'!$L$164*(1+rvanilla06)^0.5)-SUM($L356:BG356),('PTRM input'!$L$164*(1+rvanilla06)^0.5)/A22stdlife))</f>
        <v>0</v>
      </c>
      <c r="BI356" s="107">
        <f>IF(A22stdlife="n/a","n/a",IF(BI$3&gt;(A22stdlife+$E356),('PTRM input'!$L$164*(1+rvanilla06)^0.5)-SUM($L356:BH356),('PTRM input'!$L$164*(1+rvanilla06)^0.5)/A22stdlife))</f>
        <v>0</v>
      </c>
      <c r="BJ356" s="237"/>
      <c r="BK356" s="237"/>
      <c r="BL356" s="237"/>
      <c r="BM356" s="237"/>
    </row>
    <row r="357" spans="1:65" s="190" customFormat="1" hidden="1" outlineLevel="2">
      <c r="A357" s="237"/>
      <c r="B357" s="33"/>
      <c r="C357" s="32"/>
      <c r="D357" s="1618"/>
      <c r="E357" s="169">
        <v>7</v>
      </c>
      <c r="F357" s="35"/>
      <c r="G357" s="184"/>
      <c r="H357" s="186"/>
      <c r="I357" s="186"/>
      <c r="J357" s="186"/>
      <c r="K357" s="186"/>
      <c r="L357" s="186"/>
      <c r="M357" s="185"/>
      <c r="N357" s="107">
        <f>IF(A22stdlife="n/a","n/a",IF(N$3&gt;(A22stdlife+$E357),('PTRM input'!$M$164*(1+rvanilla07)^0.5)-SUM($M357:M357),('PTRM input'!$M$164*(1+rvanilla07)^0.5)/A22stdlife))</f>
        <v>0</v>
      </c>
      <c r="O357" s="107">
        <f>IF(A22stdlife="n/a","n/a",IF(O$3&gt;(A22stdlife+$E357),('PTRM input'!$M$164*(1+rvanilla07)^0.5)-SUM($M357:N357),('PTRM input'!$M$164*(1+rvanilla07)^0.5)/A22stdlife))</f>
        <v>0</v>
      </c>
      <c r="P357" s="107">
        <f>IF(A22stdlife="n/a","n/a",IF(P$3&gt;(A22stdlife+$E357),('PTRM input'!$M$164*(1+rvanilla07)^0.5)-SUM($M357:O357),('PTRM input'!$M$164*(1+rvanilla07)^0.5)/A22stdlife))</f>
        <v>0</v>
      </c>
      <c r="Q357" s="107">
        <f>IF(A22stdlife="n/a","n/a",IF(Q$3&gt;(A22stdlife+$E357),('PTRM input'!$M$164*(1+rvanilla07)^0.5)-SUM($M357:P357),('PTRM input'!$M$164*(1+rvanilla07)^0.5)/A22stdlife))</f>
        <v>0</v>
      </c>
      <c r="R357" s="107">
        <f>IF(A22stdlife="n/a","n/a",IF(R$3&gt;(A22stdlife+$E357),('PTRM input'!$M$164*(1+rvanilla07)^0.5)-SUM($M357:Q357),('PTRM input'!$M$164*(1+rvanilla07)^0.5)/A22stdlife))</f>
        <v>0</v>
      </c>
      <c r="S357" s="107">
        <f>IF(A22stdlife="n/a","n/a",IF(S$3&gt;(A22stdlife+$E357),('PTRM input'!$M$164*(1+rvanilla07)^0.5)-SUM($M357:R357),('PTRM input'!$M$164*(1+rvanilla07)^0.5)/A22stdlife))</f>
        <v>0</v>
      </c>
      <c r="T357" s="107">
        <f>IF(A22stdlife="n/a","n/a",IF(T$3&gt;(A22stdlife+$E357),('PTRM input'!$M$164*(1+rvanilla07)^0.5)-SUM($M357:S357),('PTRM input'!$M$164*(1+rvanilla07)^0.5)/A22stdlife))</f>
        <v>0</v>
      </c>
      <c r="U357" s="107">
        <f>IF(A22stdlife="n/a","n/a",IF(U$3&gt;(A22stdlife+$E357),('PTRM input'!$M$164*(1+rvanilla07)^0.5)-SUM($M357:T357),('PTRM input'!$M$164*(1+rvanilla07)^0.5)/A22stdlife))</f>
        <v>0</v>
      </c>
      <c r="V357" s="107">
        <f>IF(A22stdlife="n/a","n/a",IF(V$3&gt;(A22stdlife+$E357),('PTRM input'!$M$164*(1+rvanilla07)^0.5)-SUM($M357:U357),('PTRM input'!$M$164*(1+rvanilla07)^0.5)/A22stdlife))</f>
        <v>0</v>
      </c>
      <c r="W357" s="107">
        <f>IF(A22stdlife="n/a","n/a",IF(W$3&gt;(A22stdlife+$E357),('PTRM input'!$M$164*(1+rvanilla07)^0.5)-SUM($M357:V357),('PTRM input'!$M$164*(1+rvanilla07)^0.5)/A22stdlife))</f>
        <v>0</v>
      </c>
      <c r="X357" s="107">
        <f>IF(A22stdlife="n/a","n/a",IF(X$3&gt;(A22stdlife+$E357),('PTRM input'!$M$164*(1+rvanilla07)^0.5)-SUM($M357:W357),('PTRM input'!$M$164*(1+rvanilla07)^0.5)/A22stdlife))</f>
        <v>0</v>
      </c>
      <c r="Y357" s="107">
        <f>IF(A22stdlife="n/a","n/a",IF(Y$3&gt;(A22stdlife+$E357),('PTRM input'!$M$164*(1+rvanilla07)^0.5)-SUM($M357:X357),('PTRM input'!$M$164*(1+rvanilla07)^0.5)/A22stdlife))</f>
        <v>0</v>
      </c>
      <c r="Z357" s="107">
        <f>IF(A22stdlife="n/a","n/a",IF(Z$3&gt;(A22stdlife+$E357),('PTRM input'!$M$164*(1+rvanilla07)^0.5)-SUM($M357:Y357),('PTRM input'!$M$164*(1+rvanilla07)^0.5)/A22stdlife))</f>
        <v>0</v>
      </c>
      <c r="AA357" s="107">
        <f>IF(A22stdlife="n/a","n/a",IF(AA$3&gt;(A22stdlife+$E357),('PTRM input'!$M$164*(1+rvanilla07)^0.5)-SUM($M357:Z357),('PTRM input'!$M$164*(1+rvanilla07)^0.5)/A22stdlife))</f>
        <v>0</v>
      </c>
      <c r="AB357" s="107">
        <f>IF(A22stdlife="n/a","n/a",IF(AB$3&gt;(A22stdlife+$E357),('PTRM input'!$M$164*(1+rvanilla07)^0.5)-SUM($M357:AA357),('PTRM input'!$M$164*(1+rvanilla07)^0.5)/A22stdlife))</f>
        <v>0</v>
      </c>
      <c r="AC357" s="107">
        <f>IF(A22stdlife="n/a","n/a",IF(AC$3&gt;(A22stdlife+$E357),('PTRM input'!$M$164*(1+rvanilla07)^0.5)-SUM($M357:AB357),('PTRM input'!$M$164*(1+rvanilla07)^0.5)/A22stdlife))</f>
        <v>0</v>
      </c>
      <c r="AD357" s="107">
        <f>IF(A22stdlife="n/a","n/a",IF(AD$3&gt;(A22stdlife+$E357),('PTRM input'!$M$164*(1+rvanilla07)^0.5)-SUM($M357:AC357),('PTRM input'!$M$164*(1+rvanilla07)^0.5)/A22stdlife))</f>
        <v>0</v>
      </c>
      <c r="AE357" s="107">
        <f>IF(A22stdlife="n/a","n/a",IF(AE$3&gt;(A22stdlife+$E357),('PTRM input'!$M$164*(1+rvanilla07)^0.5)-SUM($M357:AD357),('PTRM input'!$M$164*(1+rvanilla07)^0.5)/A22stdlife))</f>
        <v>0</v>
      </c>
      <c r="AF357" s="107">
        <f>IF(A22stdlife="n/a","n/a",IF(AF$3&gt;(A22stdlife+$E357),('PTRM input'!$M$164*(1+rvanilla07)^0.5)-SUM($M357:AE357),('PTRM input'!$M$164*(1+rvanilla07)^0.5)/A22stdlife))</f>
        <v>0</v>
      </c>
      <c r="AG357" s="107">
        <f>IF(A22stdlife="n/a","n/a",IF(AG$3&gt;(A22stdlife+$E357),('PTRM input'!$M$164*(1+rvanilla07)^0.5)-SUM($M357:AF357),('PTRM input'!$M$164*(1+rvanilla07)^0.5)/A22stdlife))</f>
        <v>0</v>
      </c>
      <c r="AH357" s="107">
        <f>IF(A22stdlife="n/a","n/a",IF(AH$3&gt;(A22stdlife+$E357),('PTRM input'!$M$164*(1+rvanilla07)^0.5)-SUM($M357:AG357),('PTRM input'!$M$164*(1+rvanilla07)^0.5)/A22stdlife))</f>
        <v>0</v>
      </c>
      <c r="AI357" s="107">
        <f>IF(A22stdlife="n/a","n/a",IF(AI$3&gt;(A22stdlife+$E357),('PTRM input'!$M$164*(1+rvanilla07)^0.5)-SUM($M357:AH357),('PTRM input'!$M$164*(1+rvanilla07)^0.5)/A22stdlife))</f>
        <v>0</v>
      </c>
      <c r="AJ357" s="107">
        <f>IF(A22stdlife="n/a","n/a",IF(AJ$3&gt;(A22stdlife+$E357),('PTRM input'!$M$164*(1+rvanilla07)^0.5)-SUM($M357:AI357),('PTRM input'!$M$164*(1+rvanilla07)^0.5)/A22stdlife))</f>
        <v>0</v>
      </c>
      <c r="AK357" s="107">
        <f>IF(A22stdlife="n/a","n/a",IF(AK$3&gt;(A22stdlife+$E357),('PTRM input'!$M$164*(1+rvanilla07)^0.5)-SUM($M357:AJ357),('PTRM input'!$M$164*(1+rvanilla07)^0.5)/A22stdlife))</f>
        <v>0</v>
      </c>
      <c r="AL357" s="107">
        <f>IF(A22stdlife="n/a","n/a",IF(AL$3&gt;(A22stdlife+$E357),('PTRM input'!$M$164*(1+rvanilla07)^0.5)-SUM($M357:AK357),('PTRM input'!$M$164*(1+rvanilla07)^0.5)/A22stdlife))</f>
        <v>0</v>
      </c>
      <c r="AM357" s="107">
        <f>IF(A22stdlife="n/a","n/a",IF(AM$3&gt;(A22stdlife+$E357),('PTRM input'!$M$164*(1+rvanilla07)^0.5)-SUM($M357:AL357),('PTRM input'!$M$164*(1+rvanilla07)^0.5)/A22stdlife))</f>
        <v>0</v>
      </c>
      <c r="AN357" s="107">
        <f>IF(A22stdlife="n/a","n/a",IF(AN$3&gt;(A22stdlife+$E357),('PTRM input'!$M$164*(1+rvanilla07)^0.5)-SUM($M357:AM357),('PTRM input'!$M$164*(1+rvanilla07)^0.5)/A22stdlife))</f>
        <v>0</v>
      </c>
      <c r="AO357" s="107">
        <f>IF(A22stdlife="n/a","n/a",IF(AO$3&gt;(A22stdlife+$E357),('PTRM input'!$M$164*(1+rvanilla07)^0.5)-SUM($M357:AN357),('PTRM input'!$M$164*(1+rvanilla07)^0.5)/A22stdlife))</f>
        <v>0</v>
      </c>
      <c r="AP357" s="107">
        <f>IF(A22stdlife="n/a","n/a",IF(AP$3&gt;(A22stdlife+$E357),('PTRM input'!$M$164*(1+rvanilla07)^0.5)-SUM($M357:AO357),('PTRM input'!$M$164*(1+rvanilla07)^0.5)/A22stdlife))</f>
        <v>0</v>
      </c>
      <c r="AQ357" s="107">
        <f>IF(A22stdlife="n/a","n/a",IF(AQ$3&gt;(A22stdlife+$E357),('PTRM input'!$M$164*(1+rvanilla07)^0.5)-SUM($M357:AP357),('PTRM input'!$M$164*(1+rvanilla07)^0.5)/A22stdlife))</f>
        <v>0</v>
      </c>
      <c r="AR357" s="107">
        <f>IF(A22stdlife="n/a","n/a",IF(AR$3&gt;(A22stdlife+$E357),('PTRM input'!$M$164*(1+rvanilla07)^0.5)-SUM($M357:AQ357),('PTRM input'!$M$164*(1+rvanilla07)^0.5)/A22stdlife))</f>
        <v>0</v>
      </c>
      <c r="AS357" s="107">
        <f>IF(A22stdlife="n/a","n/a",IF(AS$3&gt;(A22stdlife+$E357),('PTRM input'!$M$164*(1+rvanilla07)^0.5)-SUM($M357:AR357),('PTRM input'!$M$164*(1+rvanilla07)^0.5)/A22stdlife))</f>
        <v>0</v>
      </c>
      <c r="AT357" s="107">
        <f>IF(A22stdlife="n/a","n/a",IF(AT$3&gt;(A22stdlife+$E357),('PTRM input'!$M$164*(1+rvanilla07)^0.5)-SUM($M357:AS357),('PTRM input'!$M$164*(1+rvanilla07)^0.5)/A22stdlife))</f>
        <v>0</v>
      </c>
      <c r="AU357" s="107">
        <f>IF(A22stdlife="n/a","n/a",IF(AU$3&gt;(A22stdlife+$E357),('PTRM input'!$M$164*(1+rvanilla07)^0.5)-SUM($M357:AT357),('PTRM input'!$M$164*(1+rvanilla07)^0.5)/A22stdlife))</f>
        <v>0</v>
      </c>
      <c r="AV357" s="107">
        <f>IF(A22stdlife="n/a","n/a",IF(AV$3&gt;(A22stdlife+$E357),('PTRM input'!$M$164*(1+rvanilla07)^0.5)-SUM($M357:AU357),('PTRM input'!$M$164*(1+rvanilla07)^0.5)/A22stdlife))</f>
        <v>0</v>
      </c>
      <c r="AW357" s="107">
        <f>IF(A22stdlife="n/a","n/a",IF(AW$3&gt;(A22stdlife+$E357),('PTRM input'!$M$164*(1+rvanilla07)^0.5)-SUM($M357:AV357),('PTRM input'!$M$164*(1+rvanilla07)^0.5)/A22stdlife))</f>
        <v>0</v>
      </c>
      <c r="AX357" s="107">
        <f>IF(A22stdlife="n/a","n/a",IF(AX$3&gt;(A22stdlife+$E357),('PTRM input'!$M$164*(1+rvanilla07)^0.5)-SUM($M357:AW357),('PTRM input'!$M$164*(1+rvanilla07)^0.5)/A22stdlife))</f>
        <v>0</v>
      </c>
      <c r="AY357" s="107">
        <f>IF(A22stdlife="n/a","n/a",IF(AY$3&gt;(A22stdlife+$E357),('PTRM input'!$M$164*(1+rvanilla07)^0.5)-SUM($M357:AX357),('PTRM input'!$M$164*(1+rvanilla07)^0.5)/A22stdlife))</f>
        <v>0</v>
      </c>
      <c r="AZ357" s="107">
        <f>IF(A22stdlife="n/a","n/a",IF(AZ$3&gt;(A22stdlife+$E357),('PTRM input'!$M$164*(1+rvanilla07)^0.5)-SUM($M357:AY357),('PTRM input'!$M$164*(1+rvanilla07)^0.5)/A22stdlife))</f>
        <v>0</v>
      </c>
      <c r="BA357" s="107">
        <f>IF(A22stdlife="n/a","n/a",IF(BA$3&gt;(A22stdlife+$E357),('PTRM input'!$M$164*(1+rvanilla07)^0.5)-SUM($M357:AZ357),('PTRM input'!$M$164*(1+rvanilla07)^0.5)/A22stdlife))</f>
        <v>0</v>
      </c>
      <c r="BB357" s="107">
        <f>IF(A22stdlife="n/a","n/a",IF(BB$3&gt;(A22stdlife+$E357),('PTRM input'!$M$164*(1+rvanilla07)^0.5)-SUM($M357:BA357),('PTRM input'!$M$164*(1+rvanilla07)^0.5)/A22stdlife))</f>
        <v>0</v>
      </c>
      <c r="BC357" s="107">
        <f>IF(A22stdlife="n/a","n/a",IF(BC$3&gt;(A22stdlife+$E357),('PTRM input'!$M$164*(1+rvanilla07)^0.5)-SUM($M357:BB357),('PTRM input'!$M$164*(1+rvanilla07)^0.5)/A22stdlife))</f>
        <v>0</v>
      </c>
      <c r="BD357" s="107">
        <f>IF(A22stdlife="n/a","n/a",IF(BD$3&gt;(A22stdlife+$E357),('PTRM input'!$M$164*(1+rvanilla07)^0.5)-SUM($M357:BC357),('PTRM input'!$M$164*(1+rvanilla07)^0.5)/A22stdlife))</f>
        <v>0</v>
      </c>
      <c r="BE357" s="107">
        <f>IF(A22stdlife="n/a","n/a",IF(BE$3&gt;(A22stdlife+$E357),('PTRM input'!$M$164*(1+rvanilla07)^0.5)-SUM($M357:BD357),('PTRM input'!$M$164*(1+rvanilla07)^0.5)/A22stdlife))</f>
        <v>0</v>
      </c>
      <c r="BF357" s="107">
        <f>IF(A22stdlife="n/a","n/a",IF(BF$3&gt;(A22stdlife+$E357),('PTRM input'!$M$164*(1+rvanilla07)^0.5)-SUM($M357:BE357),('PTRM input'!$M$164*(1+rvanilla07)^0.5)/A22stdlife))</f>
        <v>0</v>
      </c>
      <c r="BG357" s="107">
        <f>IF(A22stdlife="n/a","n/a",IF(BG$3&gt;(A22stdlife+$E357),('PTRM input'!$M$164*(1+rvanilla07)^0.5)-SUM($M357:BF357),('PTRM input'!$M$164*(1+rvanilla07)^0.5)/A22stdlife))</f>
        <v>0</v>
      </c>
      <c r="BH357" s="107">
        <f>IF(A22stdlife="n/a","n/a",IF(BH$3&gt;(A22stdlife+$E357),('PTRM input'!$M$164*(1+rvanilla07)^0.5)-SUM($M357:BG357),('PTRM input'!$M$164*(1+rvanilla07)^0.5)/A22stdlife))</f>
        <v>0</v>
      </c>
      <c r="BI357" s="107">
        <f>IF(A22stdlife="n/a","n/a",IF(BI$3&gt;(A22stdlife+$E357),('PTRM input'!$M$164*(1+rvanilla07)^0.5)-SUM($M357:BH357),('PTRM input'!$M$164*(1+rvanilla07)^0.5)/A22stdlife))</f>
        <v>0</v>
      </c>
      <c r="BJ357" s="237"/>
      <c r="BK357" s="237"/>
      <c r="BL357" s="237"/>
      <c r="BM357" s="237"/>
    </row>
    <row r="358" spans="1:65" s="190" customFormat="1" hidden="1" outlineLevel="2">
      <c r="A358" s="237"/>
      <c r="B358" s="33"/>
      <c r="C358" s="32"/>
      <c r="D358" s="1618"/>
      <c r="E358" s="169">
        <v>8</v>
      </c>
      <c r="F358" s="35"/>
      <c r="G358" s="184"/>
      <c r="H358" s="186"/>
      <c r="I358" s="186"/>
      <c r="J358" s="186"/>
      <c r="K358" s="186"/>
      <c r="L358" s="186"/>
      <c r="M358" s="186"/>
      <c r="N358" s="185"/>
      <c r="O358" s="107">
        <f>IF(A22stdlife="n/a","n/a",IF(O$3&gt;(A22stdlife+$E358),('PTRM input'!$N$164*(1+rvanilla08)^0.5)-SUM($N358:N358),('PTRM input'!$N$164*(1+rvanilla08)^0.5)/A22stdlife))</f>
        <v>0</v>
      </c>
      <c r="P358" s="107">
        <f>IF(A22stdlife="n/a","n/a",IF(P$3&gt;(A22stdlife+$E358),('PTRM input'!$N$164*(1+rvanilla08)^0.5)-SUM($N358:O358),('PTRM input'!$N$164*(1+rvanilla08)^0.5)/A22stdlife))</f>
        <v>0</v>
      </c>
      <c r="Q358" s="107">
        <f>IF(A22stdlife="n/a","n/a",IF(Q$3&gt;(A22stdlife+$E358),('PTRM input'!$N$164*(1+rvanilla08)^0.5)-SUM($N358:P358),('PTRM input'!$N$164*(1+rvanilla08)^0.5)/A22stdlife))</f>
        <v>0</v>
      </c>
      <c r="R358" s="107">
        <f>IF(A22stdlife="n/a","n/a",IF(R$3&gt;(A22stdlife+$E358),('PTRM input'!$N$164*(1+rvanilla08)^0.5)-SUM($N358:Q358),('PTRM input'!$N$164*(1+rvanilla08)^0.5)/A22stdlife))</f>
        <v>0</v>
      </c>
      <c r="S358" s="107">
        <f>IF(A22stdlife="n/a","n/a",IF(S$3&gt;(A22stdlife+$E358),('PTRM input'!$N$164*(1+rvanilla08)^0.5)-SUM($N358:R358),('PTRM input'!$N$164*(1+rvanilla08)^0.5)/A22stdlife))</f>
        <v>0</v>
      </c>
      <c r="T358" s="107">
        <f>IF(A22stdlife="n/a","n/a",IF(T$3&gt;(A22stdlife+$E358),('PTRM input'!$N$164*(1+rvanilla08)^0.5)-SUM($N358:S358),('PTRM input'!$N$164*(1+rvanilla08)^0.5)/A22stdlife))</f>
        <v>0</v>
      </c>
      <c r="U358" s="107">
        <f>IF(A22stdlife="n/a","n/a",IF(U$3&gt;(A22stdlife+$E358),('PTRM input'!$N$164*(1+rvanilla08)^0.5)-SUM($N358:T358),('PTRM input'!$N$164*(1+rvanilla08)^0.5)/A22stdlife))</f>
        <v>0</v>
      </c>
      <c r="V358" s="107">
        <f>IF(A22stdlife="n/a","n/a",IF(V$3&gt;(A22stdlife+$E358),('PTRM input'!$N$164*(1+rvanilla08)^0.5)-SUM($N358:U358),('PTRM input'!$N$164*(1+rvanilla08)^0.5)/A22stdlife))</f>
        <v>0</v>
      </c>
      <c r="W358" s="107">
        <f>IF(A22stdlife="n/a","n/a",IF(W$3&gt;(A22stdlife+$E358),('PTRM input'!$N$164*(1+rvanilla08)^0.5)-SUM($N358:V358),('PTRM input'!$N$164*(1+rvanilla08)^0.5)/A22stdlife))</f>
        <v>0</v>
      </c>
      <c r="X358" s="107">
        <f>IF(A22stdlife="n/a","n/a",IF(X$3&gt;(A22stdlife+$E358),('PTRM input'!$N$164*(1+rvanilla08)^0.5)-SUM($N358:W358),('PTRM input'!$N$164*(1+rvanilla08)^0.5)/A22stdlife))</f>
        <v>0</v>
      </c>
      <c r="Y358" s="107">
        <f>IF(A22stdlife="n/a","n/a",IF(Y$3&gt;(A22stdlife+$E358),('PTRM input'!$N$164*(1+rvanilla08)^0.5)-SUM($N358:X358),('PTRM input'!$N$164*(1+rvanilla08)^0.5)/A22stdlife))</f>
        <v>0</v>
      </c>
      <c r="Z358" s="107">
        <f>IF(A22stdlife="n/a","n/a",IF(Z$3&gt;(A22stdlife+$E358),('PTRM input'!$N$164*(1+rvanilla08)^0.5)-SUM($N358:Y358),('PTRM input'!$N$164*(1+rvanilla08)^0.5)/A22stdlife))</f>
        <v>0</v>
      </c>
      <c r="AA358" s="107">
        <f>IF(A22stdlife="n/a","n/a",IF(AA$3&gt;(A22stdlife+$E358),('PTRM input'!$N$164*(1+rvanilla08)^0.5)-SUM($N358:Z358),('PTRM input'!$N$164*(1+rvanilla08)^0.5)/A22stdlife))</f>
        <v>0</v>
      </c>
      <c r="AB358" s="107">
        <f>IF(A22stdlife="n/a","n/a",IF(AB$3&gt;(A22stdlife+$E358),('PTRM input'!$N$164*(1+rvanilla08)^0.5)-SUM($N358:AA358),('PTRM input'!$N$164*(1+rvanilla08)^0.5)/A22stdlife))</f>
        <v>0</v>
      </c>
      <c r="AC358" s="107">
        <f>IF(A22stdlife="n/a","n/a",IF(AC$3&gt;(A22stdlife+$E358),('PTRM input'!$N$164*(1+rvanilla08)^0.5)-SUM($N358:AB358),('PTRM input'!$N$164*(1+rvanilla08)^0.5)/A22stdlife))</f>
        <v>0</v>
      </c>
      <c r="AD358" s="107">
        <f>IF(A22stdlife="n/a","n/a",IF(AD$3&gt;(A22stdlife+$E358),('PTRM input'!$N$164*(1+rvanilla08)^0.5)-SUM($N358:AC358),('PTRM input'!$N$164*(1+rvanilla08)^0.5)/A22stdlife))</f>
        <v>0</v>
      </c>
      <c r="AE358" s="107">
        <f>IF(A22stdlife="n/a","n/a",IF(AE$3&gt;(A22stdlife+$E358),('PTRM input'!$N$164*(1+rvanilla08)^0.5)-SUM($N358:AD358),('PTRM input'!$N$164*(1+rvanilla08)^0.5)/A22stdlife))</f>
        <v>0</v>
      </c>
      <c r="AF358" s="107">
        <f>IF(A22stdlife="n/a","n/a",IF(AF$3&gt;(A22stdlife+$E358),('PTRM input'!$N$164*(1+rvanilla08)^0.5)-SUM($N358:AE358),('PTRM input'!$N$164*(1+rvanilla08)^0.5)/A22stdlife))</f>
        <v>0</v>
      </c>
      <c r="AG358" s="107">
        <f>IF(A22stdlife="n/a","n/a",IF(AG$3&gt;(A22stdlife+$E358),('PTRM input'!$N$164*(1+rvanilla08)^0.5)-SUM($N358:AF358),('PTRM input'!$N$164*(1+rvanilla08)^0.5)/A22stdlife))</f>
        <v>0</v>
      </c>
      <c r="AH358" s="107">
        <f>IF(A22stdlife="n/a","n/a",IF(AH$3&gt;(A22stdlife+$E358),('PTRM input'!$N$164*(1+rvanilla08)^0.5)-SUM($N358:AG358),('PTRM input'!$N$164*(1+rvanilla08)^0.5)/A22stdlife))</f>
        <v>0</v>
      </c>
      <c r="AI358" s="107">
        <f>IF(A22stdlife="n/a","n/a",IF(AI$3&gt;(A22stdlife+$E358),('PTRM input'!$N$164*(1+rvanilla08)^0.5)-SUM($N358:AH358),('PTRM input'!$N$164*(1+rvanilla08)^0.5)/A22stdlife))</f>
        <v>0</v>
      </c>
      <c r="AJ358" s="107">
        <f>IF(A22stdlife="n/a","n/a",IF(AJ$3&gt;(A22stdlife+$E358),('PTRM input'!$N$164*(1+rvanilla08)^0.5)-SUM($N358:AI358),('PTRM input'!$N$164*(1+rvanilla08)^0.5)/A22stdlife))</f>
        <v>0</v>
      </c>
      <c r="AK358" s="107">
        <f>IF(A22stdlife="n/a","n/a",IF(AK$3&gt;(A22stdlife+$E358),('PTRM input'!$N$164*(1+rvanilla08)^0.5)-SUM($N358:AJ358),('PTRM input'!$N$164*(1+rvanilla08)^0.5)/A22stdlife))</f>
        <v>0</v>
      </c>
      <c r="AL358" s="107">
        <f>IF(A22stdlife="n/a","n/a",IF(AL$3&gt;(A22stdlife+$E358),('PTRM input'!$N$164*(1+rvanilla08)^0.5)-SUM($N358:AK358),('PTRM input'!$N$164*(1+rvanilla08)^0.5)/A22stdlife))</f>
        <v>0</v>
      </c>
      <c r="AM358" s="107">
        <f>IF(A22stdlife="n/a","n/a",IF(AM$3&gt;(A22stdlife+$E358),('PTRM input'!$N$164*(1+rvanilla08)^0.5)-SUM($N358:AL358),('PTRM input'!$N$164*(1+rvanilla08)^0.5)/A22stdlife))</f>
        <v>0</v>
      </c>
      <c r="AN358" s="107">
        <f>IF(A22stdlife="n/a","n/a",IF(AN$3&gt;(A22stdlife+$E358),('PTRM input'!$N$164*(1+rvanilla08)^0.5)-SUM($N358:AM358),('PTRM input'!$N$164*(1+rvanilla08)^0.5)/A22stdlife))</f>
        <v>0</v>
      </c>
      <c r="AO358" s="107">
        <f>IF(A22stdlife="n/a","n/a",IF(AO$3&gt;(A22stdlife+$E358),('PTRM input'!$N$164*(1+rvanilla08)^0.5)-SUM($N358:AN358),('PTRM input'!$N$164*(1+rvanilla08)^0.5)/A22stdlife))</f>
        <v>0</v>
      </c>
      <c r="AP358" s="107">
        <f>IF(A22stdlife="n/a","n/a",IF(AP$3&gt;(A22stdlife+$E358),('PTRM input'!$N$164*(1+rvanilla08)^0.5)-SUM($N358:AO358),('PTRM input'!$N$164*(1+rvanilla08)^0.5)/A22stdlife))</f>
        <v>0</v>
      </c>
      <c r="AQ358" s="107">
        <f>IF(A22stdlife="n/a","n/a",IF(AQ$3&gt;(A22stdlife+$E358),('PTRM input'!$N$164*(1+rvanilla08)^0.5)-SUM($N358:AP358),('PTRM input'!$N$164*(1+rvanilla08)^0.5)/A22stdlife))</f>
        <v>0</v>
      </c>
      <c r="AR358" s="107">
        <f>IF(A22stdlife="n/a","n/a",IF(AR$3&gt;(A22stdlife+$E358),('PTRM input'!$N$164*(1+rvanilla08)^0.5)-SUM($N358:AQ358),('PTRM input'!$N$164*(1+rvanilla08)^0.5)/A22stdlife))</f>
        <v>0</v>
      </c>
      <c r="AS358" s="107">
        <f>IF(A22stdlife="n/a","n/a",IF(AS$3&gt;(A22stdlife+$E358),('PTRM input'!$N$164*(1+rvanilla08)^0.5)-SUM($N358:AR358),('PTRM input'!$N$164*(1+rvanilla08)^0.5)/A22stdlife))</f>
        <v>0</v>
      </c>
      <c r="AT358" s="107">
        <f>IF(A22stdlife="n/a","n/a",IF(AT$3&gt;(A22stdlife+$E358),('PTRM input'!$N$164*(1+rvanilla08)^0.5)-SUM($N358:AS358),('PTRM input'!$N$164*(1+rvanilla08)^0.5)/A22stdlife))</f>
        <v>0</v>
      </c>
      <c r="AU358" s="107">
        <f>IF(A22stdlife="n/a","n/a",IF(AU$3&gt;(A22stdlife+$E358),('PTRM input'!$N$164*(1+rvanilla08)^0.5)-SUM($N358:AT358),('PTRM input'!$N$164*(1+rvanilla08)^0.5)/A22stdlife))</f>
        <v>0</v>
      </c>
      <c r="AV358" s="107">
        <f>IF(A22stdlife="n/a","n/a",IF(AV$3&gt;(A22stdlife+$E358),('PTRM input'!$N$164*(1+rvanilla08)^0.5)-SUM($N358:AU358),('PTRM input'!$N$164*(1+rvanilla08)^0.5)/A22stdlife))</f>
        <v>0</v>
      </c>
      <c r="AW358" s="107">
        <f>IF(A22stdlife="n/a","n/a",IF(AW$3&gt;(A22stdlife+$E358),('PTRM input'!$N$164*(1+rvanilla08)^0.5)-SUM($N358:AV358),('PTRM input'!$N$164*(1+rvanilla08)^0.5)/A22stdlife))</f>
        <v>0</v>
      </c>
      <c r="AX358" s="107">
        <f>IF(A22stdlife="n/a","n/a",IF(AX$3&gt;(A22stdlife+$E358),('PTRM input'!$N$164*(1+rvanilla08)^0.5)-SUM($N358:AW358),('PTRM input'!$N$164*(1+rvanilla08)^0.5)/A22stdlife))</f>
        <v>0</v>
      </c>
      <c r="AY358" s="107">
        <f>IF(A22stdlife="n/a","n/a",IF(AY$3&gt;(A22stdlife+$E358),('PTRM input'!$N$164*(1+rvanilla08)^0.5)-SUM($N358:AX358),('PTRM input'!$N$164*(1+rvanilla08)^0.5)/A22stdlife))</f>
        <v>0</v>
      </c>
      <c r="AZ358" s="107">
        <f>IF(A22stdlife="n/a","n/a",IF(AZ$3&gt;(A22stdlife+$E358),('PTRM input'!$N$164*(1+rvanilla08)^0.5)-SUM($N358:AY358),('PTRM input'!$N$164*(1+rvanilla08)^0.5)/A22stdlife))</f>
        <v>0</v>
      </c>
      <c r="BA358" s="107">
        <f>IF(A22stdlife="n/a","n/a",IF(BA$3&gt;(A22stdlife+$E358),('PTRM input'!$N$164*(1+rvanilla08)^0.5)-SUM($N358:AZ358),('PTRM input'!$N$164*(1+rvanilla08)^0.5)/A22stdlife))</f>
        <v>0</v>
      </c>
      <c r="BB358" s="107">
        <f>IF(A22stdlife="n/a","n/a",IF(BB$3&gt;(A22stdlife+$E358),('PTRM input'!$N$164*(1+rvanilla08)^0.5)-SUM($N358:BA358),('PTRM input'!$N$164*(1+rvanilla08)^0.5)/A22stdlife))</f>
        <v>0</v>
      </c>
      <c r="BC358" s="107">
        <f>IF(A22stdlife="n/a","n/a",IF(BC$3&gt;(A22stdlife+$E358),('PTRM input'!$N$164*(1+rvanilla08)^0.5)-SUM($N358:BB358),('PTRM input'!$N$164*(1+rvanilla08)^0.5)/A22stdlife))</f>
        <v>0</v>
      </c>
      <c r="BD358" s="107">
        <f>IF(A22stdlife="n/a","n/a",IF(BD$3&gt;(A22stdlife+$E358),('PTRM input'!$N$164*(1+rvanilla08)^0.5)-SUM($N358:BC358),('PTRM input'!$N$164*(1+rvanilla08)^0.5)/A22stdlife))</f>
        <v>0</v>
      </c>
      <c r="BE358" s="107">
        <f>IF(A22stdlife="n/a","n/a",IF(BE$3&gt;(A22stdlife+$E358),('PTRM input'!$N$164*(1+rvanilla08)^0.5)-SUM($N358:BD358),('PTRM input'!$N$164*(1+rvanilla08)^0.5)/A22stdlife))</f>
        <v>0</v>
      </c>
      <c r="BF358" s="107">
        <f>IF(A22stdlife="n/a","n/a",IF(BF$3&gt;(A22stdlife+$E358),('PTRM input'!$N$164*(1+rvanilla08)^0.5)-SUM($N358:BE358),('PTRM input'!$N$164*(1+rvanilla08)^0.5)/A22stdlife))</f>
        <v>0</v>
      </c>
      <c r="BG358" s="107">
        <f>IF(A22stdlife="n/a","n/a",IF(BG$3&gt;(A22stdlife+$E358),('PTRM input'!$N$164*(1+rvanilla08)^0.5)-SUM($N358:BF358),('PTRM input'!$N$164*(1+rvanilla08)^0.5)/A22stdlife))</f>
        <v>0</v>
      </c>
      <c r="BH358" s="107">
        <f>IF(A22stdlife="n/a","n/a",IF(BH$3&gt;(A22stdlife+$E358),('PTRM input'!$N$164*(1+rvanilla08)^0.5)-SUM($N358:BG358),('PTRM input'!$N$164*(1+rvanilla08)^0.5)/A22stdlife))</f>
        <v>0</v>
      </c>
      <c r="BI358" s="107">
        <f>IF(A22stdlife="n/a","n/a",IF(BI$3&gt;(A22stdlife+$E358),('PTRM input'!$N$164*(1+rvanilla08)^0.5)-SUM($N358:BH358),('PTRM input'!$N$164*(1+rvanilla08)^0.5)/A22stdlife))</f>
        <v>0</v>
      </c>
      <c r="BJ358" s="237"/>
      <c r="BK358" s="237"/>
      <c r="BL358" s="237"/>
      <c r="BM358" s="237"/>
    </row>
    <row r="359" spans="1:65" s="190" customFormat="1" hidden="1" outlineLevel="2">
      <c r="A359" s="237"/>
      <c r="B359" s="33"/>
      <c r="C359" s="32"/>
      <c r="D359" s="1618"/>
      <c r="E359" s="169">
        <v>9</v>
      </c>
      <c r="F359" s="35"/>
      <c r="G359" s="184"/>
      <c r="H359" s="186"/>
      <c r="I359" s="186"/>
      <c r="J359" s="186"/>
      <c r="K359" s="186"/>
      <c r="L359" s="186"/>
      <c r="M359" s="186"/>
      <c r="N359" s="186"/>
      <c r="O359" s="185"/>
      <c r="P359" s="107">
        <f>IF(A22stdlife="n/a","n/a",IF(P$3&gt;(A22stdlife+$E359),('PTRM input'!$O$164*(1+rvanilla09)^0.5)-SUM($O359:O359),('PTRM input'!$O$164*(1+rvanilla09)^0.5)/A22stdlife))</f>
        <v>0</v>
      </c>
      <c r="Q359" s="107">
        <f>IF(A22stdlife="n/a","n/a",IF(Q$3&gt;(A22stdlife+$E359),('PTRM input'!$O$164*(1+rvanilla09)^0.5)-SUM($O359:P359),('PTRM input'!$O$164*(1+rvanilla09)^0.5)/A22stdlife))</f>
        <v>0</v>
      </c>
      <c r="R359" s="107">
        <f>IF(A22stdlife="n/a","n/a",IF(R$3&gt;(A22stdlife+$E359),('PTRM input'!$O$164*(1+rvanilla09)^0.5)-SUM($O359:Q359),('PTRM input'!$O$164*(1+rvanilla09)^0.5)/A22stdlife))</f>
        <v>0</v>
      </c>
      <c r="S359" s="107">
        <f>IF(A22stdlife="n/a","n/a",IF(S$3&gt;(A22stdlife+$E359),('PTRM input'!$O$164*(1+rvanilla09)^0.5)-SUM($O359:R359),('PTRM input'!$O$164*(1+rvanilla09)^0.5)/A22stdlife))</f>
        <v>0</v>
      </c>
      <c r="T359" s="107">
        <f>IF(A22stdlife="n/a","n/a",IF(T$3&gt;(A22stdlife+$E359),('PTRM input'!$O$164*(1+rvanilla09)^0.5)-SUM($O359:S359),('PTRM input'!$O$164*(1+rvanilla09)^0.5)/A22stdlife))</f>
        <v>0</v>
      </c>
      <c r="U359" s="107">
        <f>IF(A22stdlife="n/a","n/a",IF(U$3&gt;(A22stdlife+$E359),('PTRM input'!$O$164*(1+rvanilla09)^0.5)-SUM($O359:T359),('PTRM input'!$O$164*(1+rvanilla09)^0.5)/A22stdlife))</f>
        <v>0</v>
      </c>
      <c r="V359" s="107">
        <f>IF(A22stdlife="n/a","n/a",IF(V$3&gt;(A22stdlife+$E359),('PTRM input'!$O$164*(1+rvanilla09)^0.5)-SUM($O359:U359),('PTRM input'!$O$164*(1+rvanilla09)^0.5)/A22stdlife))</f>
        <v>0</v>
      </c>
      <c r="W359" s="107">
        <f>IF(A22stdlife="n/a","n/a",IF(W$3&gt;(A22stdlife+$E359),('PTRM input'!$O$164*(1+rvanilla09)^0.5)-SUM($O359:V359),('PTRM input'!$O$164*(1+rvanilla09)^0.5)/A22stdlife))</f>
        <v>0</v>
      </c>
      <c r="X359" s="107">
        <f>IF(A22stdlife="n/a","n/a",IF(X$3&gt;(A22stdlife+$E359),('PTRM input'!$O$164*(1+rvanilla09)^0.5)-SUM($O359:W359),('PTRM input'!$O$164*(1+rvanilla09)^0.5)/A22stdlife))</f>
        <v>0</v>
      </c>
      <c r="Y359" s="107">
        <f>IF(A22stdlife="n/a","n/a",IF(Y$3&gt;(A22stdlife+$E359),('PTRM input'!$O$164*(1+rvanilla09)^0.5)-SUM($O359:X359),('PTRM input'!$O$164*(1+rvanilla09)^0.5)/A22stdlife))</f>
        <v>0</v>
      </c>
      <c r="Z359" s="107">
        <f>IF(A22stdlife="n/a","n/a",IF(Z$3&gt;(A22stdlife+$E359),('PTRM input'!$O$164*(1+rvanilla09)^0.5)-SUM($O359:Y359),('PTRM input'!$O$164*(1+rvanilla09)^0.5)/A22stdlife))</f>
        <v>0</v>
      </c>
      <c r="AA359" s="107">
        <f>IF(A22stdlife="n/a","n/a",IF(AA$3&gt;(A22stdlife+$E359),('PTRM input'!$O$164*(1+rvanilla09)^0.5)-SUM($O359:Z359),('PTRM input'!$O$164*(1+rvanilla09)^0.5)/A22stdlife))</f>
        <v>0</v>
      </c>
      <c r="AB359" s="107">
        <f>IF(A22stdlife="n/a","n/a",IF(AB$3&gt;(A22stdlife+$E359),('PTRM input'!$O$164*(1+rvanilla09)^0.5)-SUM($O359:AA359),('PTRM input'!$O$164*(1+rvanilla09)^0.5)/A22stdlife))</f>
        <v>0</v>
      </c>
      <c r="AC359" s="107">
        <f>IF(A22stdlife="n/a","n/a",IF(AC$3&gt;(A22stdlife+$E359),('PTRM input'!$O$164*(1+rvanilla09)^0.5)-SUM($O359:AB359),('PTRM input'!$O$164*(1+rvanilla09)^0.5)/A22stdlife))</f>
        <v>0</v>
      </c>
      <c r="AD359" s="107">
        <f>IF(A22stdlife="n/a","n/a",IF(AD$3&gt;(A22stdlife+$E359),('PTRM input'!$O$164*(1+rvanilla09)^0.5)-SUM($O359:AC359),('PTRM input'!$O$164*(1+rvanilla09)^0.5)/A22stdlife))</f>
        <v>0</v>
      </c>
      <c r="AE359" s="107">
        <f>IF(A22stdlife="n/a","n/a",IF(AE$3&gt;(A22stdlife+$E359),('PTRM input'!$O$164*(1+rvanilla09)^0.5)-SUM($O359:AD359),('PTRM input'!$O$164*(1+rvanilla09)^0.5)/A22stdlife))</f>
        <v>0</v>
      </c>
      <c r="AF359" s="107">
        <f>IF(A22stdlife="n/a","n/a",IF(AF$3&gt;(A22stdlife+$E359),('PTRM input'!$O$164*(1+rvanilla09)^0.5)-SUM($O359:AE359),('PTRM input'!$O$164*(1+rvanilla09)^0.5)/A22stdlife))</f>
        <v>0</v>
      </c>
      <c r="AG359" s="107">
        <f>IF(A22stdlife="n/a","n/a",IF(AG$3&gt;(A22stdlife+$E359),('PTRM input'!$O$164*(1+rvanilla09)^0.5)-SUM($O359:AF359),('PTRM input'!$O$164*(1+rvanilla09)^0.5)/A22stdlife))</f>
        <v>0</v>
      </c>
      <c r="AH359" s="107">
        <f>IF(A22stdlife="n/a","n/a",IF(AH$3&gt;(A22stdlife+$E359),('PTRM input'!$O$164*(1+rvanilla09)^0.5)-SUM($O359:AG359),('PTRM input'!$O$164*(1+rvanilla09)^0.5)/A22stdlife))</f>
        <v>0</v>
      </c>
      <c r="AI359" s="107">
        <f>IF(A22stdlife="n/a","n/a",IF(AI$3&gt;(A22stdlife+$E359),('PTRM input'!$O$164*(1+rvanilla09)^0.5)-SUM($O359:AH359),('PTRM input'!$O$164*(1+rvanilla09)^0.5)/A22stdlife))</f>
        <v>0</v>
      </c>
      <c r="AJ359" s="107">
        <f>IF(A22stdlife="n/a","n/a",IF(AJ$3&gt;(A22stdlife+$E359),('PTRM input'!$O$164*(1+rvanilla09)^0.5)-SUM($O359:AI359),('PTRM input'!$O$164*(1+rvanilla09)^0.5)/A22stdlife))</f>
        <v>0</v>
      </c>
      <c r="AK359" s="107">
        <f>IF(A22stdlife="n/a","n/a",IF(AK$3&gt;(A22stdlife+$E359),('PTRM input'!$O$164*(1+rvanilla09)^0.5)-SUM($O359:AJ359),('PTRM input'!$O$164*(1+rvanilla09)^0.5)/A22stdlife))</f>
        <v>0</v>
      </c>
      <c r="AL359" s="107">
        <f>IF(A22stdlife="n/a","n/a",IF(AL$3&gt;(A22stdlife+$E359),('PTRM input'!$O$164*(1+rvanilla09)^0.5)-SUM($O359:AK359),('PTRM input'!$O$164*(1+rvanilla09)^0.5)/A22stdlife))</f>
        <v>0</v>
      </c>
      <c r="AM359" s="107">
        <f>IF(A22stdlife="n/a","n/a",IF(AM$3&gt;(A22stdlife+$E359),('PTRM input'!$O$164*(1+rvanilla09)^0.5)-SUM($O359:AL359),('PTRM input'!$O$164*(1+rvanilla09)^0.5)/A22stdlife))</f>
        <v>0</v>
      </c>
      <c r="AN359" s="107">
        <f>IF(A22stdlife="n/a","n/a",IF(AN$3&gt;(A22stdlife+$E359),('PTRM input'!$O$164*(1+rvanilla09)^0.5)-SUM($O359:AM359),('PTRM input'!$O$164*(1+rvanilla09)^0.5)/A22stdlife))</f>
        <v>0</v>
      </c>
      <c r="AO359" s="107">
        <f>IF(A22stdlife="n/a","n/a",IF(AO$3&gt;(A22stdlife+$E359),('PTRM input'!$O$164*(1+rvanilla09)^0.5)-SUM($O359:AN359),('PTRM input'!$O$164*(1+rvanilla09)^0.5)/A22stdlife))</f>
        <v>0</v>
      </c>
      <c r="AP359" s="107">
        <f>IF(A22stdlife="n/a","n/a",IF(AP$3&gt;(A22stdlife+$E359),('PTRM input'!$O$164*(1+rvanilla09)^0.5)-SUM($O359:AO359),('PTRM input'!$O$164*(1+rvanilla09)^0.5)/A22stdlife))</f>
        <v>0</v>
      </c>
      <c r="AQ359" s="107">
        <f>IF(A22stdlife="n/a","n/a",IF(AQ$3&gt;(A22stdlife+$E359),('PTRM input'!$O$164*(1+rvanilla09)^0.5)-SUM($O359:AP359),('PTRM input'!$O$164*(1+rvanilla09)^0.5)/A22stdlife))</f>
        <v>0</v>
      </c>
      <c r="AR359" s="107">
        <f>IF(A22stdlife="n/a","n/a",IF(AR$3&gt;(A22stdlife+$E359),('PTRM input'!$O$164*(1+rvanilla09)^0.5)-SUM($O359:AQ359),('PTRM input'!$O$164*(1+rvanilla09)^0.5)/A22stdlife))</f>
        <v>0</v>
      </c>
      <c r="AS359" s="107">
        <f>IF(A22stdlife="n/a","n/a",IF(AS$3&gt;(A22stdlife+$E359),('PTRM input'!$O$164*(1+rvanilla09)^0.5)-SUM($O359:AR359),('PTRM input'!$O$164*(1+rvanilla09)^0.5)/A22stdlife))</f>
        <v>0</v>
      </c>
      <c r="AT359" s="107">
        <f>IF(A22stdlife="n/a","n/a",IF(AT$3&gt;(A22stdlife+$E359),('PTRM input'!$O$164*(1+rvanilla09)^0.5)-SUM($O359:AS359),('PTRM input'!$O$164*(1+rvanilla09)^0.5)/A22stdlife))</f>
        <v>0</v>
      </c>
      <c r="AU359" s="107">
        <f>IF(A22stdlife="n/a","n/a",IF(AU$3&gt;(A22stdlife+$E359),('PTRM input'!$O$164*(1+rvanilla09)^0.5)-SUM($O359:AT359),('PTRM input'!$O$164*(1+rvanilla09)^0.5)/A22stdlife))</f>
        <v>0</v>
      </c>
      <c r="AV359" s="107">
        <f>IF(A22stdlife="n/a","n/a",IF(AV$3&gt;(A22stdlife+$E359),('PTRM input'!$O$164*(1+rvanilla09)^0.5)-SUM($O359:AU359),('PTRM input'!$O$164*(1+rvanilla09)^0.5)/A22stdlife))</f>
        <v>0</v>
      </c>
      <c r="AW359" s="107">
        <f>IF(A22stdlife="n/a","n/a",IF(AW$3&gt;(A22stdlife+$E359),('PTRM input'!$O$164*(1+rvanilla09)^0.5)-SUM($O359:AV359),('PTRM input'!$O$164*(1+rvanilla09)^0.5)/A22stdlife))</f>
        <v>0</v>
      </c>
      <c r="AX359" s="107">
        <f>IF(A22stdlife="n/a","n/a",IF(AX$3&gt;(A22stdlife+$E359),('PTRM input'!$O$164*(1+rvanilla09)^0.5)-SUM($O359:AW359),('PTRM input'!$O$164*(1+rvanilla09)^0.5)/A22stdlife))</f>
        <v>0</v>
      </c>
      <c r="AY359" s="107">
        <f>IF(A22stdlife="n/a","n/a",IF(AY$3&gt;(A22stdlife+$E359),('PTRM input'!$O$164*(1+rvanilla09)^0.5)-SUM($O359:AX359),('PTRM input'!$O$164*(1+rvanilla09)^0.5)/A22stdlife))</f>
        <v>0</v>
      </c>
      <c r="AZ359" s="107">
        <f>IF(A22stdlife="n/a","n/a",IF(AZ$3&gt;(A22stdlife+$E359),('PTRM input'!$O$164*(1+rvanilla09)^0.5)-SUM($O359:AY359),('PTRM input'!$O$164*(1+rvanilla09)^0.5)/A22stdlife))</f>
        <v>0</v>
      </c>
      <c r="BA359" s="107">
        <f>IF(A22stdlife="n/a","n/a",IF(BA$3&gt;(A22stdlife+$E359),('PTRM input'!$O$164*(1+rvanilla09)^0.5)-SUM($O359:AZ359),('PTRM input'!$O$164*(1+rvanilla09)^0.5)/A22stdlife))</f>
        <v>0</v>
      </c>
      <c r="BB359" s="107">
        <f>IF(A22stdlife="n/a","n/a",IF(BB$3&gt;(A22stdlife+$E359),('PTRM input'!$O$164*(1+rvanilla09)^0.5)-SUM($O359:BA359),('PTRM input'!$O$164*(1+rvanilla09)^0.5)/A22stdlife))</f>
        <v>0</v>
      </c>
      <c r="BC359" s="107">
        <f>IF(A22stdlife="n/a","n/a",IF(BC$3&gt;(A22stdlife+$E359),('PTRM input'!$O$164*(1+rvanilla09)^0.5)-SUM($O359:BB359),('PTRM input'!$O$164*(1+rvanilla09)^0.5)/A22stdlife))</f>
        <v>0</v>
      </c>
      <c r="BD359" s="107">
        <f>IF(A22stdlife="n/a","n/a",IF(BD$3&gt;(A22stdlife+$E359),('PTRM input'!$O$164*(1+rvanilla09)^0.5)-SUM($O359:BC359),('PTRM input'!$O$164*(1+rvanilla09)^0.5)/A22stdlife))</f>
        <v>0</v>
      </c>
      <c r="BE359" s="107">
        <f>IF(A22stdlife="n/a","n/a",IF(BE$3&gt;(A22stdlife+$E359),('PTRM input'!$O$164*(1+rvanilla09)^0.5)-SUM($O359:BD359),('PTRM input'!$O$164*(1+rvanilla09)^0.5)/A22stdlife))</f>
        <v>0</v>
      </c>
      <c r="BF359" s="107">
        <f>IF(A22stdlife="n/a","n/a",IF(BF$3&gt;(A22stdlife+$E359),('PTRM input'!$O$164*(1+rvanilla09)^0.5)-SUM($O359:BE359),('PTRM input'!$O$164*(1+rvanilla09)^0.5)/A22stdlife))</f>
        <v>0</v>
      </c>
      <c r="BG359" s="107">
        <f>IF(A22stdlife="n/a","n/a",IF(BG$3&gt;(A22stdlife+$E359),('PTRM input'!$O$164*(1+rvanilla09)^0.5)-SUM($O359:BF359),('PTRM input'!$O$164*(1+rvanilla09)^0.5)/A22stdlife))</f>
        <v>0</v>
      </c>
      <c r="BH359" s="107">
        <f>IF(A22stdlife="n/a","n/a",IF(BH$3&gt;(A22stdlife+$E359),('PTRM input'!$O$164*(1+rvanilla09)^0.5)-SUM($O359:BG359),('PTRM input'!$O$164*(1+rvanilla09)^0.5)/A22stdlife))</f>
        <v>0</v>
      </c>
      <c r="BI359" s="107">
        <f>IF(A22stdlife="n/a","n/a",IF(BI$3&gt;(A22stdlife+$E359),('PTRM input'!$O$164*(1+rvanilla09)^0.5)-SUM($O359:BH359),('PTRM input'!$O$164*(1+rvanilla09)^0.5)/A22stdlife))</f>
        <v>0</v>
      </c>
      <c r="BJ359" s="237"/>
      <c r="BK359" s="237"/>
      <c r="BL359" s="237"/>
      <c r="BM359" s="237"/>
    </row>
    <row r="360" spans="1:65" s="190" customFormat="1" hidden="1" outlineLevel="2">
      <c r="A360" s="237"/>
      <c r="B360" s="33"/>
      <c r="C360" s="32"/>
      <c r="D360" s="1618"/>
      <c r="E360" s="170">
        <v>10</v>
      </c>
      <c r="F360" s="35"/>
      <c r="G360" s="184"/>
      <c r="H360" s="186"/>
      <c r="I360" s="186"/>
      <c r="J360" s="186"/>
      <c r="K360" s="186"/>
      <c r="L360" s="186"/>
      <c r="M360" s="186"/>
      <c r="N360" s="186"/>
      <c r="O360" s="186"/>
      <c r="P360" s="185"/>
      <c r="Q360" s="107">
        <f>IF(A22stdlife="n/a","n/a",IF(Q$3&gt;(A22stdlife+$E360),('PTRM input'!$P$164*(1+rvanilla10)^0.5)-SUM($P360:P360),('PTRM input'!$P$164*(1+rvanilla10)^0.5)/A22stdlife))</f>
        <v>0</v>
      </c>
      <c r="R360" s="107">
        <f>IF(A22stdlife="n/a","n/a",IF(R$3&gt;(A22stdlife+$E360),('PTRM input'!$P$164*(1+rvanilla10)^0.5)-SUM($P360:Q360),('PTRM input'!$P$164*(1+rvanilla10)^0.5)/A22stdlife))</f>
        <v>0</v>
      </c>
      <c r="S360" s="107">
        <f>IF(A22stdlife="n/a","n/a",IF(S$3&gt;(A22stdlife+$E360),('PTRM input'!$P$164*(1+rvanilla10)^0.5)-SUM($P360:R360),('PTRM input'!$P$164*(1+rvanilla10)^0.5)/A22stdlife))</f>
        <v>0</v>
      </c>
      <c r="T360" s="107">
        <f>IF(A22stdlife="n/a","n/a",IF(T$3&gt;(A22stdlife+$E360),('PTRM input'!$P$164*(1+rvanilla10)^0.5)-SUM($P360:S360),('PTRM input'!$P$164*(1+rvanilla10)^0.5)/A22stdlife))</f>
        <v>0</v>
      </c>
      <c r="U360" s="107">
        <f>IF(A22stdlife="n/a","n/a",IF(U$3&gt;(A22stdlife+$E360),('PTRM input'!$P$164*(1+rvanilla10)^0.5)-SUM($P360:T360),('PTRM input'!$P$164*(1+rvanilla10)^0.5)/A22stdlife))</f>
        <v>0</v>
      </c>
      <c r="V360" s="107">
        <f>IF(A22stdlife="n/a","n/a",IF(V$3&gt;(A22stdlife+$E360),('PTRM input'!$P$164*(1+rvanilla10)^0.5)-SUM($P360:U360),('PTRM input'!$P$164*(1+rvanilla10)^0.5)/A22stdlife))</f>
        <v>0</v>
      </c>
      <c r="W360" s="107">
        <f>IF(A22stdlife="n/a","n/a",IF(W$3&gt;(A22stdlife+$E360),('PTRM input'!$P$164*(1+rvanilla10)^0.5)-SUM($P360:V360),('PTRM input'!$P$164*(1+rvanilla10)^0.5)/A22stdlife))</f>
        <v>0</v>
      </c>
      <c r="X360" s="107">
        <f>IF(A22stdlife="n/a","n/a",IF(X$3&gt;(A22stdlife+$E360),('PTRM input'!$P$164*(1+rvanilla10)^0.5)-SUM($P360:W360),('PTRM input'!$P$164*(1+rvanilla10)^0.5)/A22stdlife))</f>
        <v>0</v>
      </c>
      <c r="Y360" s="107">
        <f>IF(A22stdlife="n/a","n/a",IF(Y$3&gt;(A22stdlife+$E360),('PTRM input'!$P$164*(1+rvanilla10)^0.5)-SUM($P360:X360),('PTRM input'!$P$164*(1+rvanilla10)^0.5)/A22stdlife))</f>
        <v>0</v>
      </c>
      <c r="Z360" s="107">
        <f>IF(A22stdlife="n/a","n/a",IF(Z$3&gt;(A22stdlife+$E360),('PTRM input'!$P$164*(1+rvanilla10)^0.5)-SUM($P360:Y360),('PTRM input'!$P$164*(1+rvanilla10)^0.5)/A22stdlife))</f>
        <v>0</v>
      </c>
      <c r="AA360" s="107">
        <f>IF(A22stdlife="n/a","n/a",IF(AA$3&gt;(A22stdlife+$E360),('PTRM input'!$P$164*(1+rvanilla10)^0.5)-SUM($P360:Z360),('PTRM input'!$P$164*(1+rvanilla10)^0.5)/A22stdlife))</f>
        <v>0</v>
      </c>
      <c r="AB360" s="107">
        <f>IF(A22stdlife="n/a","n/a",IF(AB$3&gt;(A22stdlife+$E360),('PTRM input'!$P$164*(1+rvanilla10)^0.5)-SUM($P360:AA360),('PTRM input'!$P$164*(1+rvanilla10)^0.5)/A22stdlife))</f>
        <v>0</v>
      </c>
      <c r="AC360" s="107">
        <f>IF(A22stdlife="n/a","n/a",IF(AC$3&gt;(A22stdlife+$E360),('PTRM input'!$P$164*(1+rvanilla10)^0.5)-SUM($P360:AB360),('PTRM input'!$P$164*(1+rvanilla10)^0.5)/A22stdlife))</f>
        <v>0</v>
      </c>
      <c r="AD360" s="107">
        <f>IF(A22stdlife="n/a","n/a",IF(AD$3&gt;(A22stdlife+$E360),('PTRM input'!$P$164*(1+rvanilla10)^0.5)-SUM($P360:AC360),('PTRM input'!$P$164*(1+rvanilla10)^0.5)/A22stdlife))</f>
        <v>0</v>
      </c>
      <c r="AE360" s="107">
        <f>IF(A22stdlife="n/a","n/a",IF(AE$3&gt;(A22stdlife+$E360),('PTRM input'!$P$164*(1+rvanilla10)^0.5)-SUM($P360:AD360),('PTRM input'!$P$164*(1+rvanilla10)^0.5)/A22stdlife))</f>
        <v>0</v>
      </c>
      <c r="AF360" s="107">
        <f>IF(A22stdlife="n/a","n/a",IF(AF$3&gt;(A22stdlife+$E360),('PTRM input'!$P$164*(1+rvanilla10)^0.5)-SUM($P360:AE360),('PTRM input'!$P$164*(1+rvanilla10)^0.5)/A22stdlife))</f>
        <v>0</v>
      </c>
      <c r="AG360" s="107">
        <f>IF(A22stdlife="n/a","n/a",IF(AG$3&gt;(A22stdlife+$E360),('PTRM input'!$P$164*(1+rvanilla10)^0.5)-SUM($P360:AF360),('PTRM input'!$P$164*(1+rvanilla10)^0.5)/A22stdlife))</f>
        <v>0</v>
      </c>
      <c r="AH360" s="107">
        <f>IF(A22stdlife="n/a","n/a",IF(AH$3&gt;(A22stdlife+$E360),('PTRM input'!$P$164*(1+rvanilla10)^0.5)-SUM($P360:AG360),('PTRM input'!$P$164*(1+rvanilla10)^0.5)/A22stdlife))</f>
        <v>0</v>
      </c>
      <c r="AI360" s="107">
        <f>IF(A22stdlife="n/a","n/a",IF(AI$3&gt;(A22stdlife+$E360),('PTRM input'!$P$164*(1+rvanilla10)^0.5)-SUM($P360:AH360),('PTRM input'!$P$164*(1+rvanilla10)^0.5)/A22stdlife))</f>
        <v>0</v>
      </c>
      <c r="AJ360" s="107">
        <f>IF(A22stdlife="n/a","n/a",IF(AJ$3&gt;(A22stdlife+$E360),('PTRM input'!$P$164*(1+rvanilla10)^0.5)-SUM($P360:AI360),('PTRM input'!$P$164*(1+rvanilla10)^0.5)/A22stdlife))</f>
        <v>0</v>
      </c>
      <c r="AK360" s="107">
        <f>IF(A22stdlife="n/a","n/a",IF(AK$3&gt;(A22stdlife+$E360),('PTRM input'!$P$164*(1+rvanilla10)^0.5)-SUM($P360:AJ360),('PTRM input'!$P$164*(1+rvanilla10)^0.5)/A22stdlife))</f>
        <v>0</v>
      </c>
      <c r="AL360" s="107">
        <f>IF(A22stdlife="n/a","n/a",IF(AL$3&gt;(A22stdlife+$E360),('PTRM input'!$P$164*(1+rvanilla10)^0.5)-SUM($P360:AK360),('PTRM input'!$P$164*(1+rvanilla10)^0.5)/A22stdlife))</f>
        <v>0</v>
      </c>
      <c r="AM360" s="107">
        <f>IF(A22stdlife="n/a","n/a",IF(AM$3&gt;(A22stdlife+$E360),('PTRM input'!$P$164*(1+rvanilla10)^0.5)-SUM($P360:AL360),('PTRM input'!$P$164*(1+rvanilla10)^0.5)/A22stdlife))</f>
        <v>0</v>
      </c>
      <c r="AN360" s="107">
        <f>IF(A22stdlife="n/a","n/a",IF(AN$3&gt;(A22stdlife+$E360),('PTRM input'!$P$164*(1+rvanilla10)^0.5)-SUM($P360:AM360),('PTRM input'!$P$164*(1+rvanilla10)^0.5)/A22stdlife))</f>
        <v>0</v>
      </c>
      <c r="AO360" s="107">
        <f>IF(A22stdlife="n/a","n/a",IF(AO$3&gt;(A22stdlife+$E360),('PTRM input'!$P$164*(1+rvanilla10)^0.5)-SUM($P360:AN360),('PTRM input'!$P$164*(1+rvanilla10)^0.5)/A22stdlife))</f>
        <v>0</v>
      </c>
      <c r="AP360" s="107">
        <f>IF(A22stdlife="n/a","n/a",IF(AP$3&gt;(A22stdlife+$E360),('PTRM input'!$P$164*(1+rvanilla10)^0.5)-SUM($P360:AO360),('PTRM input'!$P$164*(1+rvanilla10)^0.5)/A22stdlife))</f>
        <v>0</v>
      </c>
      <c r="AQ360" s="107">
        <f>IF(A22stdlife="n/a","n/a",IF(AQ$3&gt;(A22stdlife+$E360),('PTRM input'!$P$164*(1+rvanilla10)^0.5)-SUM($P360:AP360),('PTRM input'!$P$164*(1+rvanilla10)^0.5)/A22stdlife))</f>
        <v>0</v>
      </c>
      <c r="AR360" s="107">
        <f>IF(A22stdlife="n/a","n/a",IF(AR$3&gt;(A22stdlife+$E360),('PTRM input'!$P$164*(1+rvanilla10)^0.5)-SUM($P360:AQ360),('PTRM input'!$P$164*(1+rvanilla10)^0.5)/A22stdlife))</f>
        <v>0</v>
      </c>
      <c r="AS360" s="107">
        <f>IF(A22stdlife="n/a","n/a",IF(AS$3&gt;(A22stdlife+$E360),('PTRM input'!$P$164*(1+rvanilla10)^0.5)-SUM($P360:AR360),('PTRM input'!$P$164*(1+rvanilla10)^0.5)/A22stdlife))</f>
        <v>0</v>
      </c>
      <c r="AT360" s="107">
        <f>IF(A22stdlife="n/a","n/a",IF(AT$3&gt;(A22stdlife+$E360),('PTRM input'!$P$164*(1+rvanilla10)^0.5)-SUM($P360:AS360),('PTRM input'!$P$164*(1+rvanilla10)^0.5)/A22stdlife))</f>
        <v>0</v>
      </c>
      <c r="AU360" s="107">
        <f>IF(A22stdlife="n/a","n/a",IF(AU$3&gt;(A22stdlife+$E360),('PTRM input'!$P$164*(1+rvanilla10)^0.5)-SUM($P360:AT360),('PTRM input'!$P$164*(1+rvanilla10)^0.5)/A22stdlife))</f>
        <v>0</v>
      </c>
      <c r="AV360" s="107">
        <f>IF(A22stdlife="n/a","n/a",IF(AV$3&gt;(A22stdlife+$E360),('PTRM input'!$P$164*(1+rvanilla10)^0.5)-SUM($P360:AU360),('PTRM input'!$P$164*(1+rvanilla10)^0.5)/A22stdlife))</f>
        <v>0</v>
      </c>
      <c r="AW360" s="107">
        <f>IF(A22stdlife="n/a","n/a",IF(AW$3&gt;(A22stdlife+$E360),('PTRM input'!$P$164*(1+rvanilla10)^0.5)-SUM($P360:AV360),('PTRM input'!$P$164*(1+rvanilla10)^0.5)/A22stdlife))</f>
        <v>0</v>
      </c>
      <c r="AX360" s="107">
        <f>IF(A22stdlife="n/a","n/a",IF(AX$3&gt;(A22stdlife+$E360),('PTRM input'!$P$164*(1+rvanilla10)^0.5)-SUM($P360:AW360),('PTRM input'!$P$164*(1+rvanilla10)^0.5)/A22stdlife))</f>
        <v>0</v>
      </c>
      <c r="AY360" s="107">
        <f>IF(A22stdlife="n/a","n/a",IF(AY$3&gt;(A22stdlife+$E360),('PTRM input'!$P$164*(1+rvanilla10)^0.5)-SUM($P360:AX360),('PTRM input'!$P$164*(1+rvanilla10)^0.5)/A22stdlife))</f>
        <v>0</v>
      </c>
      <c r="AZ360" s="107">
        <f>IF(A22stdlife="n/a","n/a",IF(AZ$3&gt;(A22stdlife+$E360),('PTRM input'!$P$164*(1+rvanilla10)^0.5)-SUM($P360:AY360),('PTRM input'!$P$164*(1+rvanilla10)^0.5)/A22stdlife))</f>
        <v>0</v>
      </c>
      <c r="BA360" s="107">
        <f>IF(A22stdlife="n/a","n/a",IF(BA$3&gt;(A22stdlife+$E360),('PTRM input'!$P$164*(1+rvanilla10)^0.5)-SUM($P360:AZ360),('PTRM input'!$P$164*(1+rvanilla10)^0.5)/A22stdlife))</f>
        <v>0</v>
      </c>
      <c r="BB360" s="107">
        <f>IF(A22stdlife="n/a","n/a",IF(BB$3&gt;(A22stdlife+$E360),('PTRM input'!$P$164*(1+rvanilla10)^0.5)-SUM($P360:BA360),('PTRM input'!$P$164*(1+rvanilla10)^0.5)/A22stdlife))</f>
        <v>0</v>
      </c>
      <c r="BC360" s="107">
        <f>IF(A22stdlife="n/a","n/a",IF(BC$3&gt;(A22stdlife+$E360),('PTRM input'!$P$164*(1+rvanilla10)^0.5)-SUM($P360:BB360),('PTRM input'!$P$164*(1+rvanilla10)^0.5)/A22stdlife))</f>
        <v>0</v>
      </c>
      <c r="BD360" s="107">
        <f>IF(A22stdlife="n/a","n/a",IF(BD$3&gt;(A22stdlife+$E360),('PTRM input'!$P$164*(1+rvanilla10)^0.5)-SUM($P360:BC360),('PTRM input'!$P$164*(1+rvanilla10)^0.5)/A22stdlife))</f>
        <v>0</v>
      </c>
      <c r="BE360" s="107">
        <f>IF(A22stdlife="n/a","n/a",IF(BE$3&gt;(A22stdlife+$E360),('PTRM input'!$P$164*(1+rvanilla10)^0.5)-SUM($P360:BD360),('PTRM input'!$P$164*(1+rvanilla10)^0.5)/A22stdlife))</f>
        <v>0</v>
      </c>
      <c r="BF360" s="107">
        <f>IF(A22stdlife="n/a","n/a",IF(BF$3&gt;(A22stdlife+$E360),('PTRM input'!$P$164*(1+rvanilla10)^0.5)-SUM($P360:BE360),('PTRM input'!$P$164*(1+rvanilla10)^0.5)/A22stdlife))</f>
        <v>0</v>
      </c>
      <c r="BG360" s="107">
        <f>IF(A22stdlife="n/a","n/a",IF(BG$3&gt;(A22stdlife+$E360),('PTRM input'!$P$164*(1+rvanilla10)^0.5)-SUM($P360:BF360),('PTRM input'!$P$164*(1+rvanilla10)^0.5)/A22stdlife))</f>
        <v>0</v>
      </c>
      <c r="BH360" s="107">
        <f>IF(A22stdlife="n/a","n/a",IF(BH$3&gt;(A22stdlife+$E360),('PTRM input'!$P$164*(1+rvanilla10)^0.5)-SUM($P360:BG360),('PTRM input'!$P$164*(1+rvanilla10)^0.5)/A22stdlife))</f>
        <v>0</v>
      </c>
      <c r="BI360" s="107">
        <f>IF(A22stdlife="n/a","n/a",IF(BI$3&gt;(A22stdlife+$E360),('PTRM input'!$P$164*(1+rvanilla10)^0.5)-SUM($P360:BH360),('PTRM input'!$P$164*(1+rvanilla10)^0.5)/A22stdlife))</f>
        <v>0</v>
      </c>
      <c r="BJ360" s="237"/>
      <c r="BK360" s="237"/>
      <c r="BL360" s="237"/>
      <c r="BM360" s="237"/>
    </row>
    <row r="361" spans="1:65" s="190" customFormat="1" hidden="1" outlineLevel="1">
      <c r="A361" s="237"/>
      <c r="B361" s="18"/>
      <c r="C361" s="33">
        <f>Asset22</f>
        <v>0</v>
      </c>
      <c r="D361" s="18"/>
      <c r="E361" s="18"/>
      <c r="F361" s="31"/>
      <c r="G361" s="104">
        <f t="shared" ref="G361:AL361" si="79">SUM(G349:G360)</f>
        <v>0</v>
      </c>
      <c r="H361" s="104">
        <f t="shared" si="79"/>
        <v>0</v>
      </c>
      <c r="I361" s="104">
        <f t="shared" si="79"/>
        <v>0</v>
      </c>
      <c r="J361" s="104">
        <f t="shared" si="79"/>
        <v>0</v>
      </c>
      <c r="K361" s="104">
        <f t="shared" si="79"/>
        <v>0</v>
      </c>
      <c r="L361" s="104">
        <f t="shared" si="79"/>
        <v>0</v>
      </c>
      <c r="M361" s="104">
        <f t="shared" si="79"/>
        <v>0</v>
      </c>
      <c r="N361" s="104">
        <f t="shared" si="79"/>
        <v>0</v>
      </c>
      <c r="O361" s="104">
        <f t="shared" si="79"/>
        <v>0</v>
      </c>
      <c r="P361" s="104">
        <f t="shared" si="79"/>
        <v>0</v>
      </c>
      <c r="Q361" s="104">
        <f t="shared" si="79"/>
        <v>0</v>
      </c>
      <c r="R361" s="104">
        <f t="shared" si="79"/>
        <v>0</v>
      </c>
      <c r="S361" s="104">
        <f t="shared" si="79"/>
        <v>0</v>
      </c>
      <c r="T361" s="104">
        <f t="shared" si="79"/>
        <v>0</v>
      </c>
      <c r="U361" s="104">
        <f t="shared" si="79"/>
        <v>0</v>
      </c>
      <c r="V361" s="104">
        <f t="shared" si="79"/>
        <v>0</v>
      </c>
      <c r="W361" s="104">
        <f t="shared" si="79"/>
        <v>0</v>
      </c>
      <c r="X361" s="104">
        <f t="shared" si="79"/>
        <v>0</v>
      </c>
      <c r="Y361" s="104">
        <f t="shared" si="79"/>
        <v>0</v>
      </c>
      <c r="Z361" s="104">
        <f t="shared" si="79"/>
        <v>0</v>
      </c>
      <c r="AA361" s="104">
        <f t="shared" si="79"/>
        <v>0</v>
      </c>
      <c r="AB361" s="104">
        <f t="shared" si="79"/>
        <v>0</v>
      </c>
      <c r="AC361" s="104">
        <f t="shared" si="79"/>
        <v>0</v>
      </c>
      <c r="AD361" s="104">
        <f t="shared" si="79"/>
        <v>0</v>
      </c>
      <c r="AE361" s="104">
        <f t="shared" si="79"/>
        <v>0</v>
      </c>
      <c r="AF361" s="104">
        <f t="shared" si="79"/>
        <v>0</v>
      </c>
      <c r="AG361" s="104">
        <f t="shared" si="79"/>
        <v>0</v>
      </c>
      <c r="AH361" s="104">
        <f t="shared" si="79"/>
        <v>0</v>
      </c>
      <c r="AI361" s="104">
        <f t="shared" si="79"/>
        <v>0</v>
      </c>
      <c r="AJ361" s="104">
        <f t="shared" si="79"/>
        <v>0</v>
      </c>
      <c r="AK361" s="104">
        <f t="shared" si="79"/>
        <v>0</v>
      </c>
      <c r="AL361" s="104">
        <f t="shared" si="79"/>
        <v>0</v>
      </c>
      <c r="AM361" s="104">
        <f t="shared" ref="AM361:BI361" si="80">SUM(AM349:AM360)</f>
        <v>0</v>
      </c>
      <c r="AN361" s="104">
        <f t="shared" si="80"/>
        <v>0</v>
      </c>
      <c r="AO361" s="104">
        <f t="shared" si="80"/>
        <v>0</v>
      </c>
      <c r="AP361" s="104">
        <f t="shared" si="80"/>
        <v>0</v>
      </c>
      <c r="AQ361" s="104">
        <f t="shared" si="80"/>
        <v>0</v>
      </c>
      <c r="AR361" s="104">
        <f t="shared" si="80"/>
        <v>0</v>
      </c>
      <c r="AS361" s="104">
        <f t="shared" si="80"/>
        <v>0</v>
      </c>
      <c r="AT361" s="104">
        <f t="shared" si="80"/>
        <v>0</v>
      </c>
      <c r="AU361" s="104">
        <f t="shared" si="80"/>
        <v>0</v>
      </c>
      <c r="AV361" s="104">
        <f t="shared" si="80"/>
        <v>0</v>
      </c>
      <c r="AW361" s="104">
        <f t="shared" si="80"/>
        <v>0</v>
      </c>
      <c r="AX361" s="104">
        <f t="shared" si="80"/>
        <v>0</v>
      </c>
      <c r="AY361" s="104">
        <f t="shared" si="80"/>
        <v>0</v>
      </c>
      <c r="AZ361" s="104">
        <f t="shared" si="80"/>
        <v>0</v>
      </c>
      <c r="BA361" s="104">
        <f t="shared" si="80"/>
        <v>0</v>
      </c>
      <c r="BB361" s="104">
        <f t="shared" si="80"/>
        <v>0</v>
      </c>
      <c r="BC361" s="104">
        <f t="shared" si="80"/>
        <v>0</v>
      </c>
      <c r="BD361" s="104">
        <f t="shared" si="80"/>
        <v>0</v>
      </c>
      <c r="BE361" s="104">
        <f t="shared" si="80"/>
        <v>0</v>
      </c>
      <c r="BF361" s="104">
        <f t="shared" si="80"/>
        <v>0</v>
      </c>
      <c r="BG361" s="104">
        <f t="shared" si="80"/>
        <v>0</v>
      </c>
      <c r="BH361" s="104">
        <f t="shared" si="80"/>
        <v>0</v>
      </c>
      <c r="BI361" s="104">
        <f t="shared" si="80"/>
        <v>0</v>
      </c>
      <c r="BJ361" s="237"/>
      <c r="BK361" s="237"/>
      <c r="BL361" s="237"/>
      <c r="BM361" s="237"/>
    </row>
    <row r="362" spans="1:65" s="190" customFormat="1" ht="12.75" hidden="1" customHeight="1" outlineLevel="2">
      <c r="A362" s="237"/>
      <c r="B362" s="37">
        <f>C374</f>
        <v>0</v>
      </c>
      <c r="C362" s="38"/>
      <c r="D362" s="39" t="s">
        <v>58</v>
      </c>
      <c r="E362" s="38"/>
      <c r="F362" s="40"/>
      <c r="G362" s="106">
        <f>IF(G$3&gt;A23remlife,A23value-SUM($F362:F362),IF(A23remlife="N/A","n/a",A23value/A23remlife))</f>
        <v>0</v>
      </c>
      <c r="H362" s="106">
        <f>IF(H$3&gt;A23remlife,A23value-SUM($F362:G362),IF(A23remlife="N/A","n/a",A23value/A23remlife))</f>
        <v>0</v>
      </c>
      <c r="I362" s="106">
        <f>IF(I$3&gt;A23remlife,A23value-SUM($F362:H362),IF(A23remlife="N/A","n/a",A23value/A23remlife))</f>
        <v>0</v>
      </c>
      <c r="J362" s="106">
        <f>IF(J$3&gt;A23remlife,A23value-SUM($F362:I362),IF(A23remlife="N/A","n/a",A23value/A23remlife))</f>
        <v>0</v>
      </c>
      <c r="K362" s="106">
        <f>IF(K$3&gt;A23remlife,A23value-SUM($F362:J362),IF(A23remlife="N/A","n/a",A23value/A23remlife))</f>
        <v>0</v>
      </c>
      <c r="L362" s="106">
        <f>IF(L$3&gt;A23remlife,A23value-SUM($F362:K362),IF(A23remlife="N/A","n/a",A23value/A23remlife))</f>
        <v>0</v>
      </c>
      <c r="M362" s="106">
        <f>IF(M$3&gt;A23remlife,A23value-SUM($F362:L362),IF(A23remlife="N/A","n/a",A23value/A23remlife))</f>
        <v>0</v>
      </c>
      <c r="N362" s="106">
        <f>IF(N$3&gt;A23remlife,A23value-SUM($F362:M362),IF(A23remlife="N/A","n/a",A23value/A23remlife))</f>
        <v>0</v>
      </c>
      <c r="O362" s="106">
        <f>IF(O$3&gt;A23remlife,A23value-SUM($F362:N362),IF(A23remlife="N/A","n/a",A23value/A23remlife))</f>
        <v>0</v>
      </c>
      <c r="P362" s="106">
        <f>IF(P$3&gt;A23remlife,A23value-SUM($F362:O362),IF(A23remlife="N/A","n/a",A23value/A23remlife))</f>
        <v>0</v>
      </c>
      <c r="Q362" s="106">
        <f>IF(Q$3&gt;A23remlife,A23value-SUM($F362:P362),IF(A23remlife="N/A","n/a",A23value/A23remlife))</f>
        <v>0</v>
      </c>
      <c r="R362" s="106">
        <f>IF(R$3&gt;A23remlife,A23value-SUM($F362:Q362),IF(A23remlife="N/A","n/a",A23value/A23remlife))</f>
        <v>0</v>
      </c>
      <c r="S362" s="106">
        <f>IF(S$3&gt;A23remlife,A23value-SUM($F362:R362),IF(A23remlife="N/A","n/a",A23value/A23remlife))</f>
        <v>0</v>
      </c>
      <c r="T362" s="106">
        <f>IF(T$3&gt;A23remlife,A23value-SUM($F362:S362),IF(A23remlife="N/A","n/a",A23value/A23remlife))</f>
        <v>0</v>
      </c>
      <c r="U362" s="106">
        <f>IF(U$3&gt;A23remlife,A23value-SUM($F362:T362),IF(A23remlife="N/A","n/a",A23value/A23remlife))</f>
        <v>0</v>
      </c>
      <c r="V362" s="106">
        <f>IF(V$3&gt;A23remlife,A23value-SUM($F362:U362),IF(A23remlife="N/A","n/a",A23value/A23remlife))</f>
        <v>0</v>
      </c>
      <c r="W362" s="106">
        <f>IF(W$3&gt;A23remlife,A23value-SUM($F362:V362),IF(A23remlife="N/A","n/a",A23value/A23remlife))</f>
        <v>0</v>
      </c>
      <c r="X362" s="106">
        <f>IF(X$3&gt;A23remlife,A23value-SUM($F362:W362),IF(A23remlife="N/A","n/a",A23value/A23remlife))</f>
        <v>0</v>
      </c>
      <c r="Y362" s="106">
        <f>IF(Y$3&gt;A23remlife,A23value-SUM($F362:X362),IF(A23remlife="N/A","n/a",A23value/A23remlife))</f>
        <v>0</v>
      </c>
      <c r="Z362" s="106">
        <f>IF(Z$3&gt;A23remlife,A23value-SUM($F362:Y362),IF(A23remlife="N/A","n/a",A23value/A23remlife))</f>
        <v>0</v>
      </c>
      <c r="AA362" s="106">
        <f>IF(AA$3&gt;A23remlife,A23value-SUM($F362:Z362),IF(A23remlife="N/A","n/a",A23value/A23remlife))</f>
        <v>0</v>
      </c>
      <c r="AB362" s="106">
        <f>IF(AB$3&gt;A23remlife,A23value-SUM($F362:AA362),IF(A23remlife="N/A","n/a",A23value/A23remlife))</f>
        <v>0</v>
      </c>
      <c r="AC362" s="106">
        <f>IF(AC$3&gt;A23remlife,A23value-SUM($F362:AB362),IF(A23remlife="N/A","n/a",A23value/A23remlife))</f>
        <v>0</v>
      </c>
      <c r="AD362" s="106">
        <f>IF(AD$3&gt;A23remlife,A23value-SUM($F362:AC362),IF(A23remlife="N/A","n/a",A23value/A23remlife))</f>
        <v>0</v>
      </c>
      <c r="AE362" s="106">
        <f>IF(AE$3&gt;A23remlife,A23value-SUM($F362:AD362),IF(A23remlife="N/A","n/a",A23value/A23remlife))</f>
        <v>0</v>
      </c>
      <c r="AF362" s="106">
        <f>IF(AF$3&gt;A23remlife,A23value-SUM($F362:AE362),IF(A23remlife="N/A","n/a",A23value/A23remlife))</f>
        <v>0</v>
      </c>
      <c r="AG362" s="106">
        <f>IF(AG$3&gt;A23remlife,A23value-SUM($F362:AF362),IF(A23remlife="N/A","n/a",A23value/A23remlife))</f>
        <v>0</v>
      </c>
      <c r="AH362" s="106">
        <f>IF(AH$3&gt;A23remlife,A23value-SUM($F362:AG362),IF(A23remlife="N/A","n/a",A23value/A23remlife))</f>
        <v>0</v>
      </c>
      <c r="AI362" s="106">
        <f>IF(AI$3&gt;A23remlife,A23value-SUM($F362:AH362),IF(A23remlife="N/A","n/a",A23value/A23remlife))</f>
        <v>0</v>
      </c>
      <c r="AJ362" s="106">
        <f>IF(AJ$3&gt;A23remlife,A23value-SUM($F362:AI362),IF(A23remlife="N/A","n/a",A23value/A23remlife))</f>
        <v>0</v>
      </c>
      <c r="AK362" s="106">
        <f>IF(AK$3&gt;A23remlife,A23value-SUM($F362:AJ362),IF(A23remlife="N/A","n/a",A23value/A23remlife))</f>
        <v>0</v>
      </c>
      <c r="AL362" s="106">
        <f>IF(AL$3&gt;A23remlife,A23value-SUM($F362:AK362),IF(A23remlife="N/A","n/a",A23value/A23remlife))</f>
        <v>0</v>
      </c>
      <c r="AM362" s="106">
        <f>IF(AM$3&gt;A23remlife,A23value-SUM($F362:AL362),IF(A23remlife="N/A","n/a",A23value/A23remlife))</f>
        <v>0</v>
      </c>
      <c r="AN362" s="106">
        <f>IF(AN$3&gt;A23remlife,A23value-SUM($F362:AM362),IF(A23remlife="N/A","n/a",A23value/A23remlife))</f>
        <v>0</v>
      </c>
      <c r="AO362" s="106">
        <f>IF(AO$3&gt;A23remlife,A23value-SUM($F362:AN362),IF(A23remlife="N/A","n/a",A23value/A23remlife))</f>
        <v>0</v>
      </c>
      <c r="AP362" s="106">
        <f>IF(AP$3&gt;A23remlife,A23value-SUM($F362:AO362),IF(A23remlife="N/A","n/a",A23value/A23remlife))</f>
        <v>0</v>
      </c>
      <c r="AQ362" s="106">
        <f>IF(AQ$3&gt;A23remlife,A23value-SUM($F362:AP362),IF(A23remlife="N/A","n/a",A23value/A23remlife))</f>
        <v>0</v>
      </c>
      <c r="AR362" s="106">
        <f>IF(AR$3&gt;A23remlife,A23value-SUM($F362:AQ362),IF(A23remlife="N/A","n/a",A23value/A23remlife))</f>
        <v>0</v>
      </c>
      <c r="AS362" s="106">
        <f>IF(AS$3&gt;A23remlife,A23value-SUM($F362:AR362),IF(A23remlife="N/A","n/a",A23value/A23remlife))</f>
        <v>0</v>
      </c>
      <c r="AT362" s="106">
        <f>IF(AT$3&gt;A23remlife,A23value-SUM($F362:AS362),IF(A23remlife="N/A","n/a",A23value/A23remlife))</f>
        <v>0</v>
      </c>
      <c r="AU362" s="106">
        <f>IF(AU$3&gt;A23remlife,A23value-SUM($F362:AT362),IF(A23remlife="N/A","n/a",A23value/A23remlife))</f>
        <v>0</v>
      </c>
      <c r="AV362" s="106">
        <f>IF(AV$3&gt;A23remlife,A23value-SUM($F362:AU362),IF(A23remlife="N/A","n/a",A23value/A23remlife))</f>
        <v>0</v>
      </c>
      <c r="AW362" s="106">
        <f>IF(AW$3&gt;A23remlife,A23value-SUM($F362:AV362),IF(A23remlife="N/A","n/a",A23value/A23remlife))</f>
        <v>0</v>
      </c>
      <c r="AX362" s="106">
        <f>IF(AX$3&gt;A23remlife,A23value-SUM($F362:AW362),IF(A23remlife="N/A","n/a",A23value/A23remlife))</f>
        <v>0</v>
      </c>
      <c r="AY362" s="106">
        <f>IF(AY$3&gt;A23remlife,A23value-SUM($F362:AX362),IF(A23remlife="N/A","n/a",A23value/A23remlife))</f>
        <v>0</v>
      </c>
      <c r="AZ362" s="106">
        <f>IF(AZ$3&gt;A23remlife,A23value-SUM($F362:AY362),IF(A23remlife="N/A","n/a",A23value/A23remlife))</f>
        <v>0</v>
      </c>
      <c r="BA362" s="106">
        <f>IF(BA$3&gt;A23remlife,A23value-SUM($F362:AZ362),IF(A23remlife="N/A","n/a",A23value/A23remlife))</f>
        <v>0</v>
      </c>
      <c r="BB362" s="106">
        <f>IF(BB$3&gt;A23remlife,A23value-SUM($F362:BA362),IF(A23remlife="N/A","n/a",A23value/A23remlife))</f>
        <v>0</v>
      </c>
      <c r="BC362" s="106">
        <f>IF(BC$3&gt;A23remlife,A23value-SUM($F362:BB362),IF(A23remlife="N/A","n/a",A23value/A23remlife))</f>
        <v>0</v>
      </c>
      <c r="BD362" s="106">
        <f>IF(BD$3&gt;A23remlife,A23value-SUM($F362:BC362),IF(A23remlife="N/A","n/a",A23value/A23remlife))</f>
        <v>0</v>
      </c>
      <c r="BE362" s="106">
        <f>IF(BE$3&gt;A23remlife,A23value-SUM($F362:BD362),IF(A23remlife="N/A","n/a",A23value/A23remlife))</f>
        <v>0</v>
      </c>
      <c r="BF362" s="106">
        <f>IF(BF$3&gt;A23remlife,A23value-SUM($F362:BE362),IF(A23remlife="N/A","n/a",A23value/A23remlife))</f>
        <v>0</v>
      </c>
      <c r="BG362" s="106">
        <f>IF(BG$3&gt;A23remlife,A23value-SUM($F362:BF362),IF(A23remlife="N/A","n/a",A23value/A23remlife))</f>
        <v>0</v>
      </c>
      <c r="BH362" s="106">
        <f>IF(BH$3&gt;A23remlife,A23value-SUM($F362:BG362),IF(A23remlife="N/A","n/a",A23value/A23remlife))</f>
        <v>0</v>
      </c>
      <c r="BI362" s="106">
        <f>IF(BI$3&gt;A23remlife,A23value-SUM($F362:BH362),IF(A23remlife="N/A","n/a",A23value/A23remlife))</f>
        <v>0</v>
      </c>
      <c r="BJ362" s="237"/>
      <c r="BK362" s="237"/>
      <c r="BL362" s="237"/>
      <c r="BM362" s="237"/>
    </row>
    <row r="363" spans="1:65" s="190" customFormat="1" ht="12.75" hidden="1" customHeight="1" outlineLevel="2">
      <c r="A363" s="237"/>
      <c r="B363" s="33"/>
      <c r="C363" s="32"/>
      <c r="D363" s="1618" t="s">
        <v>357</v>
      </c>
      <c r="E363" s="169">
        <v>0</v>
      </c>
      <c r="F363" s="35"/>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c r="BJ363" s="237"/>
      <c r="BK363" s="237"/>
      <c r="BL363" s="237"/>
      <c r="BM363" s="237"/>
    </row>
    <row r="364" spans="1:65" s="190" customFormat="1" hidden="1" outlineLevel="2">
      <c r="A364" s="237"/>
      <c r="B364" s="33"/>
      <c r="C364" s="32"/>
      <c r="D364" s="1618"/>
      <c r="E364" s="169">
        <v>1</v>
      </c>
      <c r="F364" s="35"/>
      <c r="G364" s="183"/>
      <c r="H364" s="107">
        <f>IF(A23stdlife="n/a","n/a",IF(H$3&gt;(A23stdlife+$E364),('PTRM input'!$G$165*(1+rvanilla01)^0.5)-SUM($G364:G364),('PTRM input'!$G$165*(1+rvanilla01)^0.5)/A23stdlife))</f>
        <v>0</v>
      </c>
      <c r="I364" s="107">
        <f>IF(A23stdlife="n/a","n/a",IF(I$3&gt;(A23stdlife+$E364),('PTRM input'!$G$165*(1+rvanilla01)^0.5)-SUM($G364:H364),('PTRM input'!$G$165*(1+rvanilla01)^0.5)/A23stdlife))</f>
        <v>0</v>
      </c>
      <c r="J364" s="107">
        <f>IF(A23stdlife="n/a","n/a",IF(J$3&gt;(A23stdlife+$E364),('PTRM input'!$G$165*(1+rvanilla01)^0.5)-SUM($G364:I364),('PTRM input'!$G$165*(1+rvanilla01)^0.5)/A23stdlife))</f>
        <v>0</v>
      </c>
      <c r="K364" s="107">
        <f>IF(A23stdlife="n/a","n/a",IF(K$3&gt;(A23stdlife+$E364),('PTRM input'!$G$165*(1+rvanilla01)^0.5)-SUM($G364:J364),('PTRM input'!$G$165*(1+rvanilla01)^0.5)/A23stdlife))</f>
        <v>0</v>
      </c>
      <c r="L364" s="107">
        <f>IF(A23stdlife="n/a","n/a",IF(L$3&gt;(A23stdlife+$E364),('PTRM input'!$G$165*(1+rvanilla01)^0.5)-SUM($G364:K364),('PTRM input'!$G$165*(1+rvanilla01)^0.5)/A23stdlife))</f>
        <v>0</v>
      </c>
      <c r="M364" s="107">
        <f>IF(A23stdlife="n/a","n/a",IF(M$3&gt;(A23stdlife+$E364),('PTRM input'!$G$165*(1+rvanilla01)^0.5)-SUM($G364:L364),('PTRM input'!$G$165*(1+rvanilla01)^0.5)/A23stdlife))</f>
        <v>0</v>
      </c>
      <c r="N364" s="107">
        <f>IF(A23stdlife="n/a","n/a",IF(N$3&gt;(A23stdlife+$E364),('PTRM input'!$G$165*(1+rvanilla01)^0.5)-SUM($G364:M364),('PTRM input'!$G$165*(1+rvanilla01)^0.5)/A23stdlife))</f>
        <v>0</v>
      </c>
      <c r="O364" s="107">
        <f>IF(A23stdlife="n/a","n/a",IF(O$3&gt;(A23stdlife+$E364),('PTRM input'!$G$165*(1+rvanilla01)^0.5)-SUM($G364:N364),('PTRM input'!$G$165*(1+rvanilla01)^0.5)/A23stdlife))</f>
        <v>0</v>
      </c>
      <c r="P364" s="107">
        <f>IF(A23stdlife="n/a","n/a",IF(P$3&gt;(A23stdlife+$E364),('PTRM input'!$G$165*(1+rvanilla01)^0.5)-SUM($G364:O364),('PTRM input'!$G$165*(1+rvanilla01)^0.5)/A23stdlife))</f>
        <v>0</v>
      </c>
      <c r="Q364" s="107">
        <f>IF(A23stdlife="n/a","n/a",IF(Q$3&gt;(A23stdlife+$E364),('PTRM input'!$G$165*(1+rvanilla01)^0.5)-SUM($G364:P364),('PTRM input'!$G$165*(1+rvanilla01)^0.5)/A23stdlife))</f>
        <v>0</v>
      </c>
      <c r="R364" s="107">
        <f>IF(A23stdlife="n/a","n/a",IF(R$3&gt;(A23stdlife+$E364),('PTRM input'!$G$165*(1+rvanilla01)^0.5)-SUM($G364:Q364),('PTRM input'!$G$165*(1+rvanilla01)^0.5)/A23stdlife))</f>
        <v>0</v>
      </c>
      <c r="S364" s="107">
        <f>IF(A23stdlife="n/a","n/a",IF(S$3&gt;(A23stdlife+$E364),('PTRM input'!$G$165*(1+rvanilla01)^0.5)-SUM($G364:R364),('PTRM input'!$G$165*(1+rvanilla01)^0.5)/A23stdlife))</f>
        <v>0</v>
      </c>
      <c r="T364" s="107">
        <f>IF(A23stdlife="n/a","n/a",IF(T$3&gt;(A23stdlife+$E364),('PTRM input'!$G$165*(1+rvanilla01)^0.5)-SUM($G364:S364),('PTRM input'!$G$165*(1+rvanilla01)^0.5)/A23stdlife))</f>
        <v>0</v>
      </c>
      <c r="U364" s="107">
        <f>IF(A23stdlife="n/a","n/a",IF(U$3&gt;(A23stdlife+$E364),('PTRM input'!$G$165*(1+rvanilla01)^0.5)-SUM($G364:T364),('PTRM input'!$G$165*(1+rvanilla01)^0.5)/A23stdlife))</f>
        <v>0</v>
      </c>
      <c r="V364" s="107">
        <f>IF(A23stdlife="n/a","n/a",IF(V$3&gt;(A23stdlife+$E364),('PTRM input'!$G$165*(1+rvanilla01)^0.5)-SUM($G364:U364),('PTRM input'!$G$165*(1+rvanilla01)^0.5)/A23stdlife))</f>
        <v>0</v>
      </c>
      <c r="W364" s="107">
        <f>IF(A23stdlife="n/a","n/a",IF(W$3&gt;(A23stdlife+$E364),('PTRM input'!$G$165*(1+rvanilla01)^0.5)-SUM($G364:V364),('PTRM input'!$G$165*(1+rvanilla01)^0.5)/A23stdlife))</f>
        <v>0</v>
      </c>
      <c r="X364" s="107">
        <f>IF(A23stdlife="n/a","n/a",IF(X$3&gt;(A23stdlife+$E364),('PTRM input'!$G$165*(1+rvanilla01)^0.5)-SUM($G364:W364),('PTRM input'!$G$165*(1+rvanilla01)^0.5)/A23stdlife))</f>
        <v>0</v>
      </c>
      <c r="Y364" s="107">
        <f>IF(A23stdlife="n/a","n/a",IF(Y$3&gt;(A23stdlife+$E364),('PTRM input'!$G$165*(1+rvanilla01)^0.5)-SUM($G364:X364),('PTRM input'!$G$165*(1+rvanilla01)^0.5)/A23stdlife))</f>
        <v>0</v>
      </c>
      <c r="Z364" s="107">
        <f>IF(A23stdlife="n/a","n/a",IF(Z$3&gt;(A23stdlife+$E364),('PTRM input'!$G$165*(1+rvanilla01)^0.5)-SUM($G364:Y364),('PTRM input'!$G$165*(1+rvanilla01)^0.5)/A23stdlife))</f>
        <v>0</v>
      </c>
      <c r="AA364" s="107">
        <f>IF(A23stdlife="n/a","n/a",IF(AA$3&gt;(A23stdlife+$E364),('PTRM input'!$G$165*(1+rvanilla01)^0.5)-SUM($G364:Z364),('PTRM input'!$G$165*(1+rvanilla01)^0.5)/A23stdlife))</f>
        <v>0</v>
      </c>
      <c r="AB364" s="107">
        <f>IF(A23stdlife="n/a","n/a",IF(AB$3&gt;(A23stdlife+$E364),('PTRM input'!$G$165*(1+rvanilla01)^0.5)-SUM($G364:AA364),('PTRM input'!$G$165*(1+rvanilla01)^0.5)/A23stdlife))</f>
        <v>0</v>
      </c>
      <c r="AC364" s="107">
        <f>IF(A23stdlife="n/a","n/a",IF(AC$3&gt;(A23stdlife+$E364),('PTRM input'!$G$165*(1+rvanilla01)^0.5)-SUM($G364:AB364),('PTRM input'!$G$165*(1+rvanilla01)^0.5)/A23stdlife))</f>
        <v>0</v>
      </c>
      <c r="AD364" s="107">
        <f>IF(A23stdlife="n/a","n/a",IF(AD$3&gt;(A23stdlife+$E364),('PTRM input'!$G$165*(1+rvanilla01)^0.5)-SUM($G364:AC364),('PTRM input'!$G$165*(1+rvanilla01)^0.5)/A23stdlife))</f>
        <v>0</v>
      </c>
      <c r="AE364" s="107">
        <f>IF(A23stdlife="n/a","n/a",IF(AE$3&gt;(A23stdlife+$E364),('PTRM input'!$G$165*(1+rvanilla01)^0.5)-SUM($G364:AD364),('PTRM input'!$G$165*(1+rvanilla01)^0.5)/A23stdlife))</f>
        <v>0</v>
      </c>
      <c r="AF364" s="107">
        <f>IF(A23stdlife="n/a","n/a",IF(AF$3&gt;(A23stdlife+$E364),('PTRM input'!$G$165*(1+rvanilla01)^0.5)-SUM($G364:AE364),('PTRM input'!$G$165*(1+rvanilla01)^0.5)/A23stdlife))</f>
        <v>0</v>
      </c>
      <c r="AG364" s="107">
        <f>IF(A23stdlife="n/a","n/a",IF(AG$3&gt;(A23stdlife+$E364),('PTRM input'!$G$165*(1+rvanilla01)^0.5)-SUM($G364:AF364),('PTRM input'!$G$165*(1+rvanilla01)^0.5)/A23stdlife))</f>
        <v>0</v>
      </c>
      <c r="AH364" s="107">
        <f>IF(A23stdlife="n/a","n/a",IF(AH$3&gt;(A23stdlife+$E364),('PTRM input'!$G$165*(1+rvanilla01)^0.5)-SUM($G364:AG364),('PTRM input'!$G$165*(1+rvanilla01)^0.5)/A23stdlife))</f>
        <v>0</v>
      </c>
      <c r="AI364" s="107">
        <f>IF(A23stdlife="n/a","n/a",IF(AI$3&gt;(A23stdlife+$E364),('PTRM input'!$G$165*(1+rvanilla01)^0.5)-SUM($G364:AH364),('PTRM input'!$G$165*(1+rvanilla01)^0.5)/A23stdlife))</f>
        <v>0</v>
      </c>
      <c r="AJ364" s="107">
        <f>IF(A23stdlife="n/a","n/a",IF(AJ$3&gt;(A23stdlife+$E364),('PTRM input'!$G$165*(1+rvanilla01)^0.5)-SUM($G364:AI364),('PTRM input'!$G$165*(1+rvanilla01)^0.5)/A23stdlife))</f>
        <v>0</v>
      </c>
      <c r="AK364" s="107">
        <f>IF(A23stdlife="n/a","n/a",IF(AK$3&gt;(A23stdlife+$E364),('PTRM input'!$G$165*(1+rvanilla01)^0.5)-SUM($G364:AJ364),('PTRM input'!$G$165*(1+rvanilla01)^0.5)/A23stdlife))</f>
        <v>0</v>
      </c>
      <c r="AL364" s="107">
        <f>IF(A23stdlife="n/a","n/a",IF(AL$3&gt;(A23stdlife+$E364),('PTRM input'!$G$165*(1+rvanilla01)^0.5)-SUM($G364:AK364),('PTRM input'!$G$165*(1+rvanilla01)^0.5)/A23stdlife))</f>
        <v>0</v>
      </c>
      <c r="AM364" s="107">
        <f>IF(A23stdlife="n/a","n/a",IF(AM$3&gt;(A23stdlife+$E364),('PTRM input'!$G$165*(1+rvanilla01)^0.5)-SUM($G364:AL364),('PTRM input'!$G$165*(1+rvanilla01)^0.5)/A23stdlife))</f>
        <v>0</v>
      </c>
      <c r="AN364" s="107">
        <f>IF(A23stdlife="n/a","n/a",IF(AN$3&gt;(A23stdlife+$E364),('PTRM input'!$G$165*(1+rvanilla01)^0.5)-SUM($G364:AM364),('PTRM input'!$G$165*(1+rvanilla01)^0.5)/A23stdlife))</f>
        <v>0</v>
      </c>
      <c r="AO364" s="107">
        <f>IF(A23stdlife="n/a","n/a",IF(AO$3&gt;(A23stdlife+$E364),('PTRM input'!$G$165*(1+rvanilla01)^0.5)-SUM($G364:AN364),('PTRM input'!$G$165*(1+rvanilla01)^0.5)/A23stdlife))</f>
        <v>0</v>
      </c>
      <c r="AP364" s="107">
        <f>IF(A23stdlife="n/a","n/a",IF(AP$3&gt;(A23stdlife+$E364),('PTRM input'!$G$165*(1+rvanilla01)^0.5)-SUM($G364:AO364),('PTRM input'!$G$165*(1+rvanilla01)^0.5)/A23stdlife))</f>
        <v>0</v>
      </c>
      <c r="AQ364" s="107">
        <f>IF(A23stdlife="n/a","n/a",IF(AQ$3&gt;(A23stdlife+$E364),('PTRM input'!$G$165*(1+rvanilla01)^0.5)-SUM($G364:AP364),('PTRM input'!$G$165*(1+rvanilla01)^0.5)/A23stdlife))</f>
        <v>0</v>
      </c>
      <c r="AR364" s="107">
        <f>IF(A23stdlife="n/a","n/a",IF(AR$3&gt;(A23stdlife+$E364),('PTRM input'!$G$165*(1+rvanilla01)^0.5)-SUM($G364:AQ364),('PTRM input'!$G$165*(1+rvanilla01)^0.5)/A23stdlife))</f>
        <v>0</v>
      </c>
      <c r="AS364" s="107">
        <f>IF(A23stdlife="n/a","n/a",IF(AS$3&gt;(A23stdlife+$E364),('PTRM input'!$G$165*(1+rvanilla01)^0.5)-SUM($G364:AR364),('PTRM input'!$G$165*(1+rvanilla01)^0.5)/A23stdlife))</f>
        <v>0</v>
      </c>
      <c r="AT364" s="107">
        <f>IF(A23stdlife="n/a","n/a",IF(AT$3&gt;(A23stdlife+$E364),('PTRM input'!$G$165*(1+rvanilla01)^0.5)-SUM($G364:AS364),('PTRM input'!$G$165*(1+rvanilla01)^0.5)/A23stdlife))</f>
        <v>0</v>
      </c>
      <c r="AU364" s="107">
        <f>IF(A23stdlife="n/a","n/a",IF(AU$3&gt;(A23stdlife+$E364),('PTRM input'!$G$165*(1+rvanilla01)^0.5)-SUM($G364:AT364),('PTRM input'!$G$165*(1+rvanilla01)^0.5)/A23stdlife))</f>
        <v>0</v>
      </c>
      <c r="AV364" s="107">
        <f>IF(A23stdlife="n/a","n/a",IF(AV$3&gt;(A23stdlife+$E364),('PTRM input'!$G$165*(1+rvanilla01)^0.5)-SUM($G364:AU364),('PTRM input'!$G$165*(1+rvanilla01)^0.5)/A23stdlife))</f>
        <v>0</v>
      </c>
      <c r="AW364" s="107">
        <f>IF(A23stdlife="n/a","n/a",IF(AW$3&gt;(A23stdlife+$E364),('PTRM input'!$G$165*(1+rvanilla01)^0.5)-SUM($G364:AV364),('PTRM input'!$G$165*(1+rvanilla01)^0.5)/A23stdlife))</f>
        <v>0</v>
      </c>
      <c r="AX364" s="107">
        <f>IF(A23stdlife="n/a","n/a",IF(AX$3&gt;(A23stdlife+$E364),('PTRM input'!$G$165*(1+rvanilla01)^0.5)-SUM($G364:AW364),('PTRM input'!$G$165*(1+rvanilla01)^0.5)/A23stdlife))</f>
        <v>0</v>
      </c>
      <c r="AY364" s="107">
        <f>IF(A23stdlife="n/a","n/a",IF(AY$3&gt;(A23stdlife+$E364),('PTRM input'!$G$165*(1+rvanilla01)^0.5)-SUM($G364:AX364),('PTRM input'!$G$165*(1+rvanilla01)^0.5)/A23stdlife))</f>
        <v>0</v>
      </c>
      <c r="AZ364" s="107">
        <f>IF(A23stdlife="n/a","n/a",IF(AZ$3&gt;(A23stdlife+$E364),('PTRM input'!$G$165*(1+rvanilla01)^0.5)-SUM($G364:AY364),('PTRM input'!$G$165*(1+rvanilla01)^0.5)/A23stdlife))</f>
        <v>0</v>
      </c>
      <c r="BA364" s="107">
        <f>IF(A23stdlife="n/a","n/a",IF(BA$3&gt;(A23stdlife+$E364),('PTRM input'!$G$165*(1+rvanilla01)^0.5)-SUM($G364:AZ364),('PTRM input'!$G$165*(1+rvanilla01)^0.5)/A23stdlife))</f>
        <v>0</v>
      </c>
      <c r="BB364" s="107">
        <f>IF(A23stdlife="n/a","n/a",IF(BB$3&gt;(A23stdlife+$E364),('PTRM input'!$G$165*(1+rvanilla01)^0.5)-SUM($G364:BA364),('PTRM input'!$G$165*(1+rvanilla01)^0.5)/A23stdlife))</f>
        <v>0</v>
      </c>
      <c r="BC364" s="107">
        <f>IF(A23stdlife="n/a","n/a",IF(BC$3&gt;(A23stdlife+$E364),('PTRM input'!$G$165*(1+rvanilla01)^0.5)-SUM($G364:BB364),('PTRM input'!$G$165*(1+rvanilla01)^0.5)/A23stdlife))</f>
        <v>0</v>
      </c>
      <c r="BD364" s="107">
        <f>IF(A23stdlife="n/a","n/a",IF(BD$3&gt;(A23stdlife+$E364),('PTRM input'!$G$165*(1+rvanilla01)^0.5)-SUM($G364:BC364),('PTRM input'!$G$165*(1+rvanilla01)^0.5)/A23stdlife))</f>
        <v>0</v>
      </c>
      <c r="BE364" s="107">
        <f>IF(A23stdlife="n/a","n/a",IF(BE$3&gt;(A23stdlife+$E364),('PTRM input'!$G$165*(1+rvanilla01)^0.5)-SUM($G364:BD364),('PTRM input'!$G$165*(1+rvanilla01)^0.5)/A23stdlife))</f>
        <v>0</v>
      </c>
      <c r="BF364" s="107">
        <f>IF(A23stdlife="n/a","n/a",IF(BF$3&gt;(A23stdlife+$E364),('PTRM input'!$G$165*(1+rvanilla01)^0.5)-SUM($G364:BE364),('PTRM input'!$G$165*(1+rvanilla01)^0.5)/A23stdlife))</f>
        <v>0</v>
      </c>
      <c r="BG364" s="107">
        <f>IF(A23stdlife="n/a","n/a",IF(BG$3&gt;(A23stdlife+$E364),('PTRM input'!$G$165*(1+rvanilla01)^0.5)-SUM($G364:BF364),('PTRM input'!$G$165*(1+rvanilla01)^0.5)/A23stdlife))</f>
        <v>0</v>
      </c>
      <c r="BH364" s="107">
        <f>IF(A23stdlife="n/a","n/a",IF(BH$3&gt;(A23stdlife+$E364),('PTRM input'!$G$165*(1+rvanilla01)^0.5)-SUM($G364:BG364),('PTRM input'!$G$165*(1+rvanilla01)^0.5)/A23stdlife))</f>
        <v>0</v>
      </c>
      <c r="BI364" s="107">
        <f>IF(A23stdlife="n/a","n/a",IF(BI$3&gt;(A23stdlife+$E364),('PTRM input'!$G$165*(1+rvanilla01)^0.5)-SUM($G364:BH364),('PTRM input'!$G$165*(1+rvanilla01)^0.5)/A23stdlife))</f>
        <v>0</v>
      </c>
      <c r="BJ364" s="237"/>
      <c r="BK364" s="237"/>
      <c r="BL364" s="237"/>
      <c r="BM364" s="237"/>
    </row>
    <row r="365" spans="1:65" s="190" customFormat="1" hidden="1" outlineLevel="2">
      <c r="A365" s="237"/>
      <c r="B365" s="33"/>
      <c r="C365" s="32"/>
      <c r="D365" s="1618"/>
      <c r="E365" s="169">
        <v>2</v>
      </c>
      <c r="F365" s="35"/>
      <c r="G365" s="184"/>
      <c r="H365" s="185"/>
      <c r="I365" s="107">
        <f>IF(A23stdlife="n/a","n/a",IF(I$3&gt;(A23stdlife+$E365),('PTRM input'!$H$165*(1+rvanilla02)^0.5)-SUM($H365:H365),('PTRM input'!$H$165*(1+rvanilla02)^0.5)/A23stdlife))</f>
        <v>0</v>
      </c>
      <c r="J365" s="107">
        <f>IF(A23stdlife="n/a","n/a",IF(J$3&gt;(A23stdlife+$E365),('PTRM input'!$H$165*(1+rvanilla02)^0.5)-SUM($H365:I365),('PTRM input'!$H$165*(1+rvanilla02)^0.5)/A23stdlife))</f>
        <v>0</v>
      </c>
      <c r="K365" s="107">
        <f>IF(A23stdlife="n/a","n/a",IF(K$3&gt;(A23stdlife+$E365),('PTRM input'!$H$165*(1+rvanilla02)^0.5)-SUM($H365:J365),('PTRM input'!$H$165*(1+rvanilla02)^0.5)/A23stdlife))</f>
        <v>0</v>
      </c>
      <c r="L365" s="107">
        <f>IF(A23stdlife="n/a","n/a",IF(L$3&gt;(A23stdlife+$E365),('PTRM input'!$H$165*(1+rvanilla02)^0.5)-SUM($H365:K365),('PTRM input'!$H$165*(1+rvanilla02)^0.5)/A23stdlife))</f>
        <v>0</v>
      </c>
      <c r="M365" s="107">
        <f>IF(A23stdlife="n/a","n/a",IF(M$3&gt;(A23stdlife+$E365),('PTRM input'!$H$165*(1+rvanilla02)^0.5)-SUM($H365:L365),('PTRM input'!$H$165*(1+rvanilla02)^0.5)/A23stdlife))</f>
        <v>0</v>
      </c>
      <c r="N365" s="107">
        <f>IF(A23stdlife="n/a","n/a",IF(N$3&gt;(A23stdlife+$E365),('PTRM input'!$H$165*(1+rvanilla02)^0.5)-SUM($H365:M365),('PTRM input'!$H$165*(1+rvanilla02)^0.5)/A23stdlife))</f>
        <v>0</v>
      </c>
      <c r="O365" s="107">
        <f>IF(A23stdlife="n/a","n/a",IF(O$3&gt;(A23stdlife+$E365),('PTRM input'!$H$165*(1+rvanilla02)^0.5)-SUM($H365:N365),('PTRM input'!$H$165*(1+rvanilla02)^0.5)/A23stdlife))</f>
        <v>0</v>
      </c>
      <c r="P365" s="107">
        <f>IF(A23stdlife="n/a","n/a",IF(P$3&gt;(A23stdlife+$E365),('PTRM input'!$H$165*(1+rvanilla02)^0.5)-SUM($H365:O365),('PTRM input'!$H$165*(1+rvanilla02)^0.5)/A23stdlife))</f>
        <v>0</v>
      </c>
      <c r="Q365" s="107">
        <f>IF(A23stdlife="n/a","n/a",IF(Q$3&gt;(A23stdlife+$E365),('PTRM input'!$H$165*(1+rvanilla02)^0.5)-SUM($H365:P365),('PTRM input'!$H$165*(1+rvanilla02)^0.5)/A23stdlife))</f>
        <v>0</v>
      </c>
      <c r="R365" s="107">
        <f>IF(A23stdlife="n/a","n/a",IF(R$3&gt;(A23stdlife+$E365),('PTRM input'!$H$165*(1+rvanilla02)^0.5)-SUM($H365:Q365),('PTRM input'!$H$165*(1+rvanilla02)^0.5)/A23stdlife))</f>
        <v>0</v>
      </c>
      <c r="S365" s="107">
        <f>IF(A23stdlife="n/a","n/a",IF(S$3&gt;(A23stdlife+$E365),('PTRM input'!$H$165*(1+rvanilla02)^0.5)-SUM($H365:R365),('PTRM input'!$H$165*(1+rvanilla02)^0.5)/A23stdlife))</f>
        <v>0</v>
      </c>
      <c r="T365" s="107">
        <f>IF(A23stdlife="n/a","n/a",IF(T$3&gt;(A23stdlife+$E365),('PTRM input'!$H$165*(1+rvanilla02)^0.5)-SUM($H365:S365),('PTRM input'!$H$165*(1+rvanilla02)^0.5)/A23stdlife))</f>
        <v>0</v>
      </c>
      <c r="U365" s="107">
        <f>IF(A23stdlife="n/a","n/a",IF(U$3&gt;(A23stdlife+$E365),('PTRM input'!$H$165*(1+rvanilla02)^0.5)-SUM($H365:T365),('PTRM input'!$H$165*(1+rvanilla02)^0.5)/A23stdlife))</f>
        <v>0</v>
      </c>
      <c r="V365" s="107">
        <f>IF(A23stdlife="n/a","n/a",IF(V$3&gt;(A23stdlife+$E365),('PTRM input'!$H$165*(1+rvanilla02)^0.5)-SUM($H365:U365),('PTRM input'!$H$165*(1+rvanilla02)^0.5)/A23stdlife))</f>
        <v>0</v>
      </c>
      <c r="W365" s="107">
        <f>IF(A23stdlife="n/a","n/a",IF(W$3&gt;(A23stdlife+$E365),('PTRM input'!$H$165*(1+rvanilla02)^0.5)-SUM($H365:V365),('PTRM input'!$H$165*(1+rvanilla02)^0.5)/A23stdlife))</f>
        <v>0</v>
      </c>
      <c r="X365" s="107">
        <f>IF(A23stdlife="n/a","n/a",IF(X$3&gt;(A23stdlife+$E365),('PTRM input'!$H$165*(1+rvanilla02)^0.5)-SUM($H365:W365),('PTRM input'!$H$165*(1+rvanilla02)^0.5)/A23stdlife))</f>
        <v>0</v>
      </c>
      <c r="Y365" s="107">
        <f>IF(A23stdlife="n/a","n/a",IF(Y$3&gt;(A23stdlife+$E365),('PTRM input'!$H$165*(1+rvanilla02)^0.5)-SUM($H365:X365),('PTRM input'!$H$165*(1+rvanilla02)^0.5)/A23stdlife))</f>
        <v>0</v>
      </c>
      <c r="Z365" s="107">
        <f>IF(A23stdlife="n/a","n/a",IF(Z$3&gt;(A23stdlife+$E365),('PTRM input'!$H$165*(1+rvanilla02)^0.5)-SUM($H365:Y365),('PTRM input'!$H$165*(1+rvanilla02)^0.5)/A23stdlife))</f>
        <v>0</v>
      </c>
      <c r="AA365" s="107">
        <f>IF(A23stdlife="n/a","n/a",IF(AA$3&gt;(A23stdlife+$E365),('PTRM input'!$H$165*(1+rvanilla02)^0.5)-SUM($H365:Z365),('PTRM input'!$H$165*(1+rvanilla02)^0.5)/A23stdlife))</f>
        <v>0</v>
      </c>
      <c r="AB365" s="107">
        <f>IF(A23stdlife="n/a","n/a",IF(AB$3&gt;(A23stdlife+$E365),('PTRM input'!$H$165*(1+rvanilla02)^0.5)-SUM($H365:AA365),('PTRM input'!$H$165*(1+rvanilla02)^0.5)/A23stdlife))</f>
        <v>0</v>
      </c>
      <c r="AC365" s="107">
        <f>IF(A23stdlife="n/a","n/a",IF(AC$3&gt;(A23stdlife+$E365),('PTRM input'!$H$165*(1+rvanilla02)^0.5)-SUM($H365:AB365),('PTRM input'!$H$165*(1+rvanilla02)^0.5)/A23stdlife))</f>
        <v>0</v>
      </c>
      <c r="AD365" s="107">
        <f>IF(A23stdlife="n/a","n/a",IF(AD$3&gt;(A23stdlife+$E365),('PTRM input'!$H$165*(1+rvanilla02)^0.5)-SUM($H365:AC365),('PTRM input'!$H$165*(1+rvanilla02)^0.5)/A23stdlife))</f>
        <v>0</v>
      </c>
      <c r="AE365" s="107">
        <f>IF(A23stdlife="n/a","n/a",IF(AE$3&gt;(A23stdlife+$E365),('PTRM input'!$H$165*(1+rvanilla02)^0.5)-SUM($H365:AD365),('PTRM input'!$H$165*(1+rvanilla02)^0.5)/A23stdlife))</f>
        <v>0</v>
      </c>
      <c r="AF365" s="107">
        <f>IF(A23stdlife="n/a","n/a",IF(AF$3&gt;(A23stdlife+$E365),('PTRM input'!$H$165*(1+rvanilla02)^0.5)-SUM($H365:AE365),('PTRM input'!$H$165*(1+rvanilla02)^0.5)/A23stdlife))</f>
        <v>0</v>
      </c>
      <c r="AG365" s="107">
        <f>IF(A23stdlife="n/a","n/a",IF(AG$3&gt;(A23stdlife+$E365),('PTRM input'!$H$165*(1+rvanilla02)^0.5)-SUM($H365:AF365),('PTRM input'!$H$165*(1+rvanilla02)^0.5)/A23stdlife))</f>
        <v>0</v>
      </c>
      <c r="AH365" s="107">
        <f>IF(A23stdlife="n/a","n/a",IF(AH$3&gt;(A23stdlife+$E365),('PTRM input'!$H$165*(1+rvanilla02)^0.5)-SUM($H365:AG365),('PTRM input'!$H$165*(1+rvanilla02)^0.5)/A23stdlife))</f>
        <v>0</v>
      </c>
      <c r="AI365" s="107">
        <f>IF(A23stdlife="n/a","n/a",IF(AI$3&gt;(A23stdlife+$E365),('PTRM input'!$H$165*(1+rvanilla02)^0.5)-SUM($H365:AH365),('PTRM input'!$H$165*(1+rvanilla02)^0.5)/A23stdlife))</f>
        <v>0</v>
      </c>
      <c r="AJ365" s="107">
        <f>IF(A23stdlife="n/a","n/a",IF(AJ$3&gt;(A23stdlife+$E365),('PTRM input'!$H$165*(1+rvanilla02)^0.5)-SUM($H365:AI365),('PTRM input'!$H$165*(1+rvanilla02)^0.5)/A23stdlife))</f>
        <v>0</v>
      </c>
      <c r="AK365" s="107">
        <f>IF(A23stdlife="n/a","n/a",IF(AK$3&gt;(A23stdlife+$E365),('PTRM input'!$H$165*(1+rvanilla02)^0.5)-SUM($H365:AJ365),('PTRM input'!$H$165*(1+rvanilla02)^0.5)/A23stdlife))</f>
        <v>0</v>
      </c>
      <c r="AL365" s="107">
        <f>IF(A23stdlife="n/a","n/a",IF(AL$3&gt;(A23stdlife+$E365),('PTRM input'!$H$165*(1+rvanilla02)^0.5)-SUM($H365:AK365),('PTRM input'!$H$165*(1+rvanilla02)^0.5)/A23stdlife))</f>
        <v>0</v>
      </c>
      <c r="AM365" s="107">
        <f>IF(A23stdlife="n/a","n/a",IF(AM$3&gt;(A23stdlife+$E365),('PTRM input'!$H$165*(1+rvanilla02)^0.5)-SUM($H365:AL365),('PTRM input'!$H$165*(1+rvanilla02)^0.5)/A23stdlife))</f>
        <v>0</v>
      </c>
      <c r="AN365" s="107">
        <f>IF(A23stdlife="n/a","n/a",IF(AN$3&gt;(A23stdlife+$E365),('PTRM input'!$H$165*(1+rvanilla02)^0.5)-SUM($H365:AM365),('PTRM input'!$H$165*(1+rvanilla02)^0.5)/A23stdlife))</f>
        <v>0</v>
      </c>
      <c r="AO365" s="107">
        <f>IF(A23stdlife="n/a","n/a",IF(AO$3&gt;(A23stdlife+$E365),('PTRM input'!$H$165*(1+rvanilla02)^0.5)-SUM($H365:AN365),('PTRM input'!$H$165*(1+rvanilla02)^0.5)/A23stdlife))</f>
        <v>0</v>
      </c>
      <c r="AP365" s="107">
        <f>IF(A23stdlife="n/a","n/a",IF(AP$3&gt;(A23stdlife+$E365),('PTRM input'!$H$165*(1+rvanilla02)^0.5)-SUM($H365:AO365),('PTRM input'!$H$165*(1+rvanilla02)^0.5)/A23stdlife))</f>
        <v>0</v>
      </c>
      <c r="AQ365" s="107">
        <f>IF(A23stdlife="n/a","n/a",IF(AQ$3&gt;(A23stdlife+$E365),('PTRM input'!$H$165*(1+rvanilla02)^0.5)-SUM($H365:AP365),('PTRM input'!$H$165*(1+rvanilla02)^0.5)/A23stdlife))</f>
        <v>0</v>
      </c>
      <c r="AR365" s="107">
        <f>IF(A23stdlife="n/a","n/a",IF(AR$3&gt;(A23stdlife+$E365),('PTRM input'!$H$165*(1+rvanilla02)^0.5)-SUM($H365:AQ365),('PTRM input'!$H$165*(1+rvanilla02)^0.5)/A23stdlife))</f>
        <v>0</v>
      </c>
      <c r="AS365" s="107">
        <f>IF(A23stdlife="n/a","n/a",IF(AS$3&gt;(A23stdlife+$E365),('PTRM input'!$H$165*(1+rvanilla02)^0.5)-SUM($H365:AR365),('PTRM input'!$H$165*(1+rvanilla02)^0.5)/A23stdlife))</f>
        <v>0</v>
      </c>
      <c r="AT365" s="107">
        <f>IF(A23stdlife="n/a","n/a",IF(AT$3&gt;(A23stdlife+$E365),('PTRM input'!$H$165*(1+rvanilla02)^0.5)-SUM($H365:AS365),('PTRM input'!$H$165*(1+rvanilla02)^0.5)/A23stdlife))</f>
        <v>0</v>
      </c>
      <c r="AU365" s="107">
        <f>IF(A23stdlife="n/a","n/a",IF(AU$3&gt;(A23stdlife+$E365),('PTRM input'!$H$165*(1+rvanilla02)^0.5)-SUM($H365:AT365),('PTRM input'!$H$165*(1+rvanilla02)^0.5)/A23stdlife))</f>
        <v>0</v>
      </c>
      <c r="AV365" s="107">
        <f>IF(A23stdlife="n/a","n/a",IF(AV$3&gt;(A23stdlife+$E365),('PTRM input'!$H$165*(1+rvanilla02)^0.5)-SUM($H365:AU365),('PTRM input'!$H$165*(1+rvanilla02)^0.5)/A23stdlife))</f>
        <v>0</v>
      </c>
      <c r="AW365" s="107">
        <f>IF(A23stdlife="n/a","n/a",IF(AW$3&gt;(A23stdlife+$E365),('PTRM input'!$H$165*(1+rvanilla02)^0.5)-SUM($H365:AV365),('PTRM input'!$H$165*(1+rvanilla02)^0.5)/A23stdlife))</f>
        <v>0</v>
      </c>
      <c r="AX365" s="107">
        <f>IF(A23stdlife="n/a","n/a",IF(AX$3&gt;(A23stdlife+$E365),('PTRM input'!$H$165*(1+rvanilla02)^0.5)-SUM($H365:AW365),('PTRM input'!$H$165*(1+rvanilla02)^0.5)/A23stdlife))</f>
        <v>0</v>
      </c>
      <c r="AY365" s="107">
        <f>IF(A23stdlife="n/a","n/a",IF(AY$3&gt;(A23stdlife+$E365),('PTRM input'!$H$165*(1+rvanilla02)^0.5)-SUM($H365:AX365),('PTRM input'!$H$165*(1+rvanilla02)^0.5)/A23stdlife))</f>
        <v>0</v>
      </c>
      <c r="AZ365" s="107">
        <f>IF(A23stdlife="n/a","n/a",IF(AZ$3&gt;(A23stdlife+$E365),('PTRM input'!$H$165*(1+rvanilla02)^0.5)-SUM($H365:AY365),('PTRM input'!$H$165*(1+rvanilla02)^0.5)/A23stdlife))</f>
        <v>0</v>
      </c>
      <c r="BA365" s="107">
        <f>IF(A23stdlife="n/a","n/a",IF(BA$3&gt;(A23stdlife+$E365),('PTRM input'!$H$165*(1+rvanilla02)^0.5)-SUM($H365:AZ365),('PTRM input'!$H$165*(1+rvanilla02)^0.5)/A23stdlife))</f>
        <v>0</v>
      </c>
      <c r="BB365" s="107">
        <f>IF(A23stdlife="n/a","n/a",IF(BB$3&gt;(A23stdlife+$E365),('PTRM input'!$H$165*(1+rvanilla02)^0.5)-SUM($H365:BA365),('PTRM input'!$H$165*(1+rvanilla02)^0.5)/A23stdlife))</f>
        <v>0</v>
      </c>
      <c r="BC365" s="107">
        <f>IF(A23stdlife="n/a","n/a",IF(BC$3&gt;(A23stdlife+$E365),('PTRM input'!$H$165*(1+rvanilla02)^0.5)-SUM($H365:BB365),('PTRM input'!$H$165*(1+rvanilla02)^0.5)/A23stdlife))</f>
        <v>0</v>
      </c>
      <c r="BD365" s="107">
        <f>IF(A23stdlife="n/a","n/a",IF(BD$3&gt;(A23stdlife+$E365),('PTRM input'!$H$165*(1+rvanilla02)^0.5)-SUM($H365:BC365),('PTRM input'!$H$165*(1+rvanilla02)^0.5)/A23stdlife))</f>
        <v>0</v>
      </c>
      <c r="BE365" s="107">
        <f>IF(A23stdlife="n/a","n/a",IF(BE$3&gt;(A23stdlife+$E365),('PTRM input'!$H$165*(1+rvanilla02)^0.5)-SUM($H365:BD365),('PTRM input'!$H$165*(1+rvanilla02)^0.5)/A23stdlife))</f>
        <v>0</v>
      </c>
      <c r="BF365" s="107">
        <f>IF(A23stdlife="n/a","n/a",IF(BF$3&gt;(A23stdlife+$E365),('PTRM input'!$H$165*(1+rvanilla02)^0.5)-SUM($H365:BE365),('PTRM input'!$H$165*(1+rvanilla02)^0.5)/A23stdlife))</f>
        <v>0</v>
      </c>
      <c r="BG365" s="107">
        <f>IF(A23stdlife="n/a","n/a",IF(BG$3&gt;(A23stdlife+$E365),('PTRM input'!$H$165*(1+rvanilla02)^0.5)-SUM($H365:BF365),('PTRM input'!$H$165*(1+rvanilla02)^0.5)/A23stdlife))</f>
        <v>0</v>
      </c>
      <c r="BH365" s="107">
        <f>IF(A23stdlife="n/a","n/a",IF(BH$3&gt;(A23stdlife+$E365),('PTRM input'!$H$165*(1+rvanilla02)^0.5)-SUM($H365:BG365),('PTRM input'!$H$165*(1+rvanilla02)^0.5)/A23stdlife))</f>
        <v>0</v>
      </c>
      <c r="BI365" s="107">
        <f>IF(A23stdlife="n/a","n/a",IF(BI$3&gt;(A23stdlife+$E365),('PTRM input'!$H$165*(1+rvanilla02)^0.5)-SUM($H365:BH365),('PTRM input'!$H$165*(1+rvanilla02)^0.5)/A23stdlife))</f>
        <v>0</v>
      </c>
      <c r="BJ365" s="237"/>
      <c r="BK365" s="237"/>
      <c r="BL365" s="237"/>
      <c r="BM365" s="237"/>
    </row>
    <row r="366" spans="1:65" s="190" customFormat="1" hidden="1" outlineLevel="2">
      <c r="A366" s="237"/>
      <c r="B366" s="33"/>
      <c r="C366" s="32"/>
      <c r="D366" s="1618"/>
      <c r="E366" s="169">
        <v>3</v>
      </c>
      <c r="F366" s="35"/>
      <c r="G366" s="184"/>
      <c r="H366" s="186"/>
      <c r="I366" s="185"/>
      <c r="J366" s="107">
        <f>IF(A23stdlife="n/a","n/a",IF(J$3&gt;(A23stdlife+$E366),('PTRM input'!$I$165*(1+rvanilla03)^0.5)-SUM($I366:I366),('PTRM input'!$I$165*(1+rvanilla03)^0.5)/A23stdlife))</f>
        <v>0</v>
      </c>
      <c r="K366" s="107">
        <f>IF(A23stdlife="n/a","n/a",IF(K$3&gt;(A23stdlife+$E366),('PTRM input'!$I$165*(1+rvanilla03)^0.5)-SUM($I366:J366),('PTRM input'!$I$165*(1+rvanilla03)^0.5)/A23stdlife))</f>
        <v>0</v>
      </c>
      <c r="L366" s="107">
        <f>IF(A23stdlife="n/a","n/a",IF(L$3&gt;(A23stdlife+$E366),('PTRM input'!$I$165*(1+rvanilla03)^0.5)-SUM($I366:K366),('PTRM input'!$I$165*(1+rvanilla03)^0.5)/A23stdlife))</f>
        <v>0</v>
      </c>
      <c r="M366" s="107">
        <f>IF(A23stdlife="n/a","n/a",IF(M$3&gt;(A23stdlife+$E366),('PTRM input'!$I$165*(1+rvanilla03)^0.5)-SUM($I366:L366),('PTRM input'!$I$165*(1+rvanilla03)^0.5)/A23stdlife))</f>
        <v>0</v>
      </c>
      <c r="N366" s="107">
        <f>IF(A23stdlife="n/a","n/a",IF(N$3&gt;(A23stdlife+$E366),('PTRM input'!$I$165*(1+rvanilla03)^0.5)-SUM($I366:M366),('PTRM input'!$I$165*(1+rvanilla03)^0.5)/A23stdlife))</f>
        <v>0</v>
      </c>
      <c r="O366" s="107">
        <f>IF(A23stdlife="n/a","n/a",IF(O$3&gt;(A23stdlife+$E366),('PTRM input'!$I$165*(1+rvanilla03)^0.5)-SUM($I366:N366),('PTRM input'!$I$165*(1+rvanilla03)^0.5)/A23stdlife))</f>
        <v>0</v>
      </c>
      <c r="P366" s="107">
        <f>IF(A23stdlife="n/a","n/a",IF(P$3&gt;(A23stdlife+$E366),('PTRM input'!$I$165*(1+rvanilla03)^0.5)-SUM($I366:O366),('PTRM input'!$I$165*(1+rvanilla03)^0.5)/A23stdlife))</f>
        <v>0</v>
      </c>
      <c r="Q366" s="107">
        <f>IF(A23stdlife="n/a","n/a",IF(Q$3&gt;(A23stdlife+$E366),('PTRM input'!$I$165*(1+rvanilla03)^0.5)-SUM($I366:P366),('PTRM input'!$I$165*(1+rvanilla03)^0.5)/A23stdlife))</f>
        <v>0</v>
      </c>
      <c r="R366" s="107">
        <f>IF(A23stdlife="n/a","n/a",IF(R$3&gt;(A23stdlife+$E366),('PTRM input'!$I$165*(1+rvanilla03)^0.5)-SUM($I366:Q366),('PTRM input'!$I$165*(1+rvanilla03)^0.5)/A23stdlife))</f>
        <v>0</v>
      </c>
      <c r="S366" s="107">
        <f>IF(A23stdlife="n/a","n/a",IF(S$3&gt;(A23stdlife+$E366),('PTRM input'!$I$165*(1+rvanilla03)^0.5)-SUM($I366:R366),('PTRM input'!$I$165*(1+rvanilla03)^0.5)/A23stdlife))</f>
        <v>0</v>
      </c>
      <c r="T366" s="107">
        <f>IF(A23stdlife="n/a","n/a",IF(T$3&gt;(A23stdlife+$E366),('PTRM input'!$I$165*(1+rvanilla03)^0.5)-SUM($I366:S366),('PTRM input'!$I$165*(1+rvanilla03)^0.5)/A23stdlife))</f>
        <v>0</v>
      </c>
      <c r="U366" s="107">
        <f>IF(A23stdlife="n/a","n/a",IF(U$3&gt;(A23stdlife+$E366),('PTRM input'!$I$165*(1+rvanilla03)^0.5)-SUM($I366:T366),('PTRM input'!$I$165*(1+rvanilla03)^0.5)/A23stdlife))</f>
        <v>0</v>
      </c>
      <c r="V366" s="107">
        <f>IF(A23stdlife="n/a","n/a",IF(V$3&gt;(A23stdlife+$E366),('PTRM input'!$I$165*(1+rvanilla03)^0.5)-SUM($I366:U366),('PTRM input'!$I$165*(1+rvanilla03)^0.5)/A23stdlife))</f>
        <v>0</v>
      </c>
      <c r="W366" s="107">
        <f>IF(A23stdlife="n/a","n/a",IF(W$3&gt;(A23stdlife+$E366),('PTRM input'!$I$165*(1+rvanilla03)^0.5)-SUM($I366:V366),('PTRM input'!$I$165*(1+rvanilla03)^0.5)/A23stdlife))</f>
        <v>0</v>
      </c>
      <c r="X366" s="107">
        <f>IF(A23stdlife="n/a","n/a",IF(X$3&gt;(A23stdlife+$E366),('PTRM input'!$I$165*(1+rvanilla03)^0.5)-SUM($I366:W366),('PTRM input'!$I$165*(1+rvanilla03)^0.5)/A23stdlife))</f>
        <v>0</v>
      </c>
      <c r="Y366" s="107">
        <f>IF(A23stdlife="n/a","n/a",IF(Y$3&gt;(A23stdlife+$E366),('PTRM input'!$I$165*(1+rvanilla03)^0.5)-SUM($I366:X366),('PTRM input'!$I$165*(1+rvanilla03)^0.5)/A23stdlife))</f>
        <v>0</v>
      </c>
      <c r="Z366" s="107">
        <f>IF(A23stdlife="n/a","n/a",IF(Z$3&gt;(A23stdlife+$E366),('PTRM input'!$I$165*(1+rvanilla03)^0.5)-SUM($I366:Y366),('PTRM input'!$I$165*(1+rvanilla03)^0.5)/A23stdlife))</f>
        <v>0</v>
      </c>
      <c r="AA366" s="107">
        <f>IF(A23stdlife="n/a","n/a",IF(AA$3&gt;(A23stdlife+$E366),('PTRM input'!$I$165*(1+rvanilla03)^0.5)-SUM($I366:Z366),('PTRM input'!$I$165*(1+rvanilla03)^0.5)/A23stdlife))</f>
        <v>0</v>
      </c>
      <c r="AB366" s="107">
        <f>IF(A23stdlife="n/a","n/a",IF(AB$3&gt;(A23stdlife+$E366),('PTRM input'!$I$165*(1+rvanilla03)^0.5)-SUM($I366:AA366),('PTRM input'!$I$165*(1+rvanilla03)^0.5)/A23stdlife))</f>
        <v>0</v>
      </c>
      <c r="AC366" s="107">
        <f>IF(A23stdlife="n/a","n/a",IF(AC$3&gt;(A23stdlife+$E366),('PTRM input'!$I$165*(1+rvanilla03)^0.5)-SUM($I366:AB366),('PTRM input'!$I$165*(1+rvanilla03)^0.5)/A23stdlife))</f>
        <v>0</v>
      </c>
      <c r="AD366" s="107">
        <f>IF(A23stdlife="n/a","n/a",IF(AD$3&gt;(A23stdlife+$E366),('PTRM input'!$I$165*(1+rvanilla03)^0.5)-SUM($I366:AC366),('PTRM input'!$I$165*(1+rvanilla03)^0.5)/A23stdlife))</f>
        <v>0</v>
      </c>
      <c r="AE366" s="107">
        <f>IF(A23stdlife="n/a","n/a",IF(AE$3&gt;(A23stdlife+$E366),('PTRM input'!$I$165*(1+rvanilla03)^0.5)-SUM($I366:AD366),('PTRM input'!$I$165*(1+rvanilla03)^0.5)/A23stdlife))</f>
        <v>0</v>
      </c>
      <c r="AF366" s="107">
        <f>IF(A23stdlife="n/a","n/a",IF(AF$3&gt;(A23stdlife+$E366),('PTRM input'!$I$165*(1+rvanilla03)^0.5)-SUM($I366:AE366),('PTRM input'!$I$165*(1+rvanilla03)^0.5)/A23stdlife))</f>
        <v>0</v>
      </c>
      <c r="AG366" s="107">
        <f>IF(A23stdlife="n/a","n/a",IF(AG$3&gt;(A23stdlife+$E366),('PTRM input'!$I$165*(1+rvanilla03)^0.5)-SUM($I366:AF366),('PTRM input'!$I$165*(1+rvanilla03)^0.5)/A23stdlife))</f>
        <v>0</v>
      </c>
      <c r="AH366" s="107">
        <f>IF(A23stdlife="n/a","n/a",IF(AH$3&gt;(A23stdlife+$E366),('PTRM input'!$I$165*(1+rvanilla03)^0.5)-SUM($I366:AG366),('PTRM input'!$I$165*(1+rvanilla03)^0.5)/A23stdlife))</f>
        <v>0</v>
      </c>
      <c r="AI366" s="107">
        <f>IF(A23stdlife="n/a","n/a",IF(AI$3&gt;(A23stdlife+$E366),('PTRM input'!$I$165*(1+rvanilla03)^0.5)-SUM($I366:AH366),('PTRM input'!$I$165*(1+rvanilla03)^0.5)/A23stdlife))</f>
        <v>0</v>
      </c>
      <c r="AJ366" s="107">
        <f>IF(A23stdlife="n/a","n/a",IF(AJ$3&gt;(A23stdlife+$E366),('PTRM input'!$I$165*(1+rvanilla03)^0.5)-SUM($I366:AI366),('PTRM input'!$I$165*(1+rvanilla03)^0.5)/A23stdlife))</f>
        <v>0</v>
      </c>
      <c r="AK366" s="107">
        <f>IF(A23stdlife="n/a","n/a",IF(AK$3&gt;(A23stdlife+$E366),('PTRM input'!$I$165*(1+rvanilla03)^0.5)-SUM($I366:AJ366),('PTRM input'!$I$165*(1+rvanilla03)^0.5)/A23stdlife))</f>
        <v>0</v>
      </c>
      <c r="AL366" s="107">
        <f>IF(A23stdlife="n/a","n/a",IF(AL$3&gt;(A23stdlife+$E366),('PTRM input'!$I$165*(1+rvanilla03)^0.5)-SUM($I366:AK366),('PTRM input'!$I$165*(1+rvanilla03)^0.5)/A23stdlife))</f>
        <v>0</v>
      </c>
      <c r="AM366" s="107">
        <f>IF(A23stdlife="n/a","n/a",IF(AM$3&gt;(A23stdlife+$E366),('PTRM input'!$I$165*(1+rvanilla03)^0.5)-SUM($I366:AL366),('PTRM input'!$I$165*(1+rvanilla03)^0.5)/A23stdlife))</f>
        <v>0</v>
      </c>
      <c r="AN366" s="107">
        <f>IF(A23stdlife="n/a","n/a",IF(AN$3&gt;(A23stdlife+$E366),('PTRM input'!$I$165*(1+rvanilla03)^0.5)-SUM($I366:AM366),('PTRM input'!$I$165*(1+rvanilla03)^0.5)/A23stdlife))</f>
        <v>0</v>
      </c>
      <c r="AO366" s="107">
        <f>IF(A23stdlife="n/a","n/a",IF(AO$3&gt;(A23stdlife+$E366),('PTRM input'!$I$165*(1+rvanilla03)^0.5)-SUM($I366:AN366),('PTRM input'!$I$165*(1+rvanilla03)^0.5)/A23stdlife))</f>
        <v>0</v>
      </c>
      <c r="AP366" s="107">
        <f>IF(A23stdlife="n/a","n/a",IF(AP$3&gt;(A23stdlife+$E366),('PTRM input'!$I$165*(1+rvanilla03)^0.5)-SUM($I366:AO366),('PTRM input'!$I$165*(1+rvanilla03)^0.5)/A23stdlife))</f>
        <v>0</v>
      </c>
      <c r="AQ366" s="107">
        <f>IF(A23stdlife="n/a","n/a",IF(AQ$3&gt;(A23stdlife+$E366),('PTRM input'!$I$165*(1+rvanilla03)^0.5)-SUM($I366:AP366),('PTRM input'!$I$165*(1+rvanilla03)^0.5)/A23stdlife))</f>
        <v>0</v>
      </c>
      <c r="AR366" s="107">
        <f>IF(A23stdlife="n/a","n/a",IF(AR$3&gt;(A23stdlife+$E366),('PTRM input'!$I$165*(1+rvanilla03)^0.5)-SUM($I366:AQ366),('PTRM input'!$I$165*(1+rvanilla03)^0.5)/A23stdlife))</f>
        <v>0</v>
      </c>
      <c r="AS366" s="107">
        <f>IF(A23stdlife="n/a","n/a",IF(AS$3&gt;(A23stdlife+$E366),('PTRM input'!$I$165*(1+rvanilla03)^0.5)-SUM($I366:AR366),('PTRM input'!$I$165*(1+rvanilla03)^0.5)/A23stdlife))</f>
        <v>0</v>
      </c>
      <c r="AT366" s="107">
        <f>IF(A23stdlife="n/a","n/a",IF(AT$3&gt;(A23stdlife+$E366),('PTRM input'!$I$165*(1+rvanilla03)^0.5)-SUM($I366:AS366),('PTRM input'!$I$165*(1+rvanilla03)^0.5)/A23stdlife))</f>
        <v>0</v>
      </c>
      <c r="AU366" s="107">
        <f>IF(A23stdlife="n/a","n/a",IF(AU$3&gt;(A23stdlife+$E366),('PTRM input'!$I$165*(1+rvanilla03)^0.5)-SUM($I366:AT366),('PTRM input'!$I$165*(1+rvanilla03)^0.5)/A23stdlife))</f>
        <v>0</v>
      </c>
      <c r="AV366" s="107">
        <f>IF(A23stdlife="n/a","n/a",IF(AV$3&gt;(A23stdlife+$E366),('PTRM input'!$I$165*(1+rvanilla03)^0.5)-SUM($I366:AU366),('PTRM input'!$I$165*(1+rvanilla03)^0.5)/A23stdlife))</f>
        <v>0</v>
      </c>
      <c r="AW366" s="107">
        <f>IF(A23stdlife="n/a","n/a",IF(AW$3&gt;(A23stdlife+$E366),('PTRM input'!$I$165*(1+rvanilla03)^0.5)-SUM($I366:AV366),('PTRM input'!$I$165*(1+rvanilla03)^0.5)/A23stdlife))</f>
        <v>0</v>
      </c>
      <c r="AX366" s="107">
        <f>IF(A23stdlife="n/a","n/a",IF(AX$3&gt;(A23stdlife+$E366),('PTRM input'!$I$165*(1+rvanilla03)^0.5)-SUM($I366:AW366),('PTRM input'!$I$165*(1+rvanilla03)^0.5)/A23stdlife))</f>
        <v>0</v>
      </c>
      <c r="AY366" s="107">
        <f>IF(A23stdlife="n/a","n/a",IF(AY$3&gt;(A23stdlife+$E366),('PTRM input'!$I$165*(1+rvanilla03)^0.5)-SUM($I366:AX366),('PTRM input'!$I$165*(1+rvanilla03)^0.5)/A23stdlife))</f>
        <v>0</v>
      </c>
      <c r="AZ366" s="107">
        <f>IF(A23stdlife="n/a","n/a",IF(AZ$3&gt;(A23stdlife+$E366),('PTRM input'!$I$165*(1+rvanilla03)^0.5)-SUM($I366:AY366),('PTRM input'!$I$165*(1+rvanilla03)^0.5)/A23stdlife))</f>
        <v>0</v>
      </c>
      <c r="BA366" s="107">
        <f>IF(A23stdlife="n/a","n/a",IF(BA$3&gt;(A23stdlife+$E366),('PTRM input'!$I$165*(1+rvanilla03)^0.5)-SUM($I366:AZ366),('PTRM input'!$I$165*(1+rvanilla03)^0.5)/A23stdlife))</f>
        <v>0</v>
      </c>
      <c r="BB366" s="107">
        <f>IF(A23stdlife="n/a","n/a",IF(BB$3&gt;(A23stdlife+$E366),('PTRM input'!$I$165*(1+rvanilla03)^0.5)-SUM($I366:BA366),('PTRM input'!$I$165*(1+rvanilla03)^0.5)/A23stdlife))</f>
        <v>0</v>
      </c>
      <c r="BC366" s="107">
        <f>IF(A23stdlife="n/a","n/a",IF(BC$3&gt;(A23stdlife+$E366),('PTRM input'!$I$165*(1+rvanilla03)^0.5)-SUM($I366:BB366),('PTRM input'!$I$165*(1+rvanilla03)^0.5)/A23stdlife))</f>
        <v>0</v>
      </c>
      <c r="BD366" s="107">
        <f>IF(A23stdlife="n/a","n/a",IF(BD$3&gt;(A23stdlife+$E366),('PTRM input'!$I$165*(1+rvanilla03)^0.5)-SUM($I366:BC366),('PTRM input'!$I$165*(1+rvanilla03)^0.5)/A23stdlife))</f>
        <v>0</v>
      </c>
      <c r="BE366" s="107">
        <f>IF(A23stdlife="n/a","n/a",IF(BE$3&gt;(A23stdlife+$E366),('PTRM input'!$I$165*(1+rvanilla03)^0.5)-SUM($I366:BD366),('PTRM input'!$I$165*(1+rvanilla03)^0.5)/A23stdlife))</f>
        <v>0</v>
      </c>
      <c r="BF366" s="107">
        <f>IF(A23stdlife="n/a","n/a",IF(BF$3&gt;(A23stdlife+$E366),('PTRM input'!$I$165*(1+rvanilla03)^0.5)-SUM($I366:BE366),('PTRM input'!$I$165*(1+rvanilla03)^0.5)/A23stdlife))</f>
        <v>0</v>
      </c>
      <c r="BG366" s="107">
        <f>IF(A23stdlife="n/a","n/a",IF(BG$3&gt;(A23stdlife+$E366),('PTRM input'!$I$165*(1+rvanilla03)^0.5)-SUM($I366:BF366),('PTRM input'!$I$165*(1+rvanilla03)^0.5)/A23stdlife))</f>
        <v>0</v>
      </c>
      <c r="BH366" s="107">
        <f>IF(A23stdlife="n/a","n/a",IF(BH$3&gt;(A23stdlife+$E366),('PTRM input'!$I$165*(1+rvanilla03)^0.5)-SUM($I366:BG366),('PTRM input'!$I$165*(1+rvanilla03)^0.5)/A23stdlife))</f>
        <v>0</v>
      </c>
      <c r="BI366" s="107">
        <f>IF(A23stdlife="n/a","n/a",IF(BI$3&gt;(A23stdlife+$E366),('PTRM input'!$I$165*(1+rvanilla03)^0.5)-SUM($I366:BH366),('PTRM input'!$I$165*(1+rvanilla03)^0.5)/A23stdlife))</f>
        <v>0</v>
      </c>
      <c r="BJ366" s="237"/>
      <c r="BK366" s="237"/>
      <c r="BL366" s="237"/>
      <c r="BM366" s="237"/>
    </row>
    <row r="367" spans="1:65" s="190" customFormat="1" hidden="1" outlineLevel="2">
      <c r="A367" s="237"/>
      <c r="B367" s="33"/>
      <c r="C367" s="32"/>
      <c r="D367" s="1618"/>
      <c r="E367" s="169">
        <v>4</v>
      </c>
      <c r="F367" s="35"/>
      <c r="G367" s="184"/>
      <c r="H367" s="186"/>
      <c r="I367" s="186"/>
      <c r="J367" s="185"/>
      <c r="K367" s="107">
        <f>IF(A23stdlife="n/a","n/a",IF(K$3&gt;(A23stdlife+$E367),('PTRM input'!$J$165*(1+rvanilla04)^0.5)-SUM($J367:J367),('PTRM input'!$J$165*(1+rvanilla04)^0.5)/A23stdlife))</f>
        <v>0</v>
      </c>
      <c r="L367" s="107">
        <f>IF(A23stdlife="n/a","n/a",IF(L$3&gt;(A23stdlife+$E367),('PTRM input'!$J$165*(1+rvanilla04)^0.5)-SUM($J367:K367),('PTRM input'!$J$165*(1+rvanilla04)^0.5)/A23stdlife))</f>
        <v>0</v>
      </c>
      <c r="M367" s="107">
        <f>IF(A23stdlife="n/a","n/a",IF(M$3&gt;(A23stdlife+$E367),('PTRM input'!$J$165*(1+rvanilla04)^0.5)-SUM($J367:L367),('PTRM input'!$J$165*(1+rvanilla04)^0.5)/A23stdlife))</f>
        <v>0</v>
      </c>
      <c r="N367" s="107">
        <f>IF(A23stdlife="n/a","n/a",IF(N$3&gt;(A23stdlife+$E367),('PTRM input'!$J$165*(1+rvanilla04)^0.5)-SUM($J367:M367),('PTRM input'!$J$165*(1+rvanilla04)^0.5)/A23stdlife))</f>
        <v>0</v>
      </c>
      <c r="O367" s="107">
        <f>IF(A23stdlife="n/a","n/a",IF(O$3&gt;(A23stdlife+$E367),('PTRM input'!$J$165*(1+rvanilla04)^0.5)-SUM($J367:N367),('PTRM input'!$J$165*(1+rvanilla04)^0.5)/A23stdlife))</f>
        <v>0</v>
      </c>
      <c r="P367" s="107">
        <f>IF(A23stdlife="n/a","n/a",IF(P$3&gt;(A23stdlife+$E367),('PTRM input'!$J$165*(1+rvanilla04)^0.5)-SUM($J367:O367),('PTRM input'!$J$165*(1+rvanilla04)^0.5)/A23stdlife))</f>
        <v>0</v>
      </c>
      <c r="Q367" s="107">
        <f>IF(A23stdlife="n/a","n/a",IF(Q$3&gt;(A23stdlife+$E367),('PTRM input'!$J$165*(1+rvanilla04)^0.5)-SUM($J367:P367),('PTRM input'!$J$165*(1+rvanilla04)^0.5)/A23stdlife))</f>
        <v>0</v>
      </c>
      <c r="R367" s="107">
        <f>IF(A23stdlife="n/a","n/a",IF(R$3&gt;(A23stdlife+$E367),('PTRM input'!$J$165*(1+rvanilla04)^0.5)-SUM($J367:Q367),('PTRM input'!$J$165*(1+rvanilla04)^0.5)/A23stdlife))</f>
        <v>0</v>
      </c>
      <c r="S367" s="107">
        <f>IF(A23stdlife="n/a","n/a",IF(S$3&gt;(A23stdlife+$E367),('PTRM input'!$J$165*(1+rvanilla04)^0.5)-SUM($J367:R367),('PTRM input'!$J$165*(1+rvanilla04)^0.5)/A23stdlife))</f>
        <v>0</v>
      </c>
      <c r="T367" s="107">
        <f>IF(A23stdlife="n/a","n/a",IF(T$3&gt;(A23stdlife+$E367),('PTRM input'!$J$165*(1+rvanilla04)^0.5)-SUM($J367:S367),('PTRM input'!$J$165*(1+rvanilla04)^0.5)/A23stdlife))</f>
        <v>0</v>
      </c>
      <c r="U367" s="107">
        <f>IF(A23stdlife="n/a","n/a",IF(U$3&gt;(A23stdlife+$E367),('PTRM input'!$J$165*(1+rvanilla04)^0.5)-SUM($J367:T367),('PTRM input'!$J$165*(1+rvanilla04)^0.5)/A23stdlife))</f>
        <v>0</v>
      </c>
      <c r="V367" s="107">
        <f>IF(A23stdlife="n/a","n/a",IF(V$3&gt;(A23stdlife+$E367),('PTRM input'!$J$165*(1+rvanilla04)^0.5)-SUM($J367:U367),('PTRM input'!$J$165*(1+rvanilla04)^0.5)/A23stdlife))</f>
        <v>0</v>
      </c>
      <c r="W367" s="107">
        <f>IF(A23stdlife="n/a","n/a",IF(W$3&gt;(A23stdlife+$E367),('PTRM input'!$J$165*(1+rvanilla04)^0.5)-SUM($J367:V367),('PTRM input'!$J$165*(1+rvanilla04)^0.5)/A23stdlife))</f>
        <v>0</v>
      </c>
      <c r="X367" s="107">
        <f>IF(A23stdlife="n/a","n/a",IF(X$3&gt;(A23stdlife+$E367),('PTRM input'!$J$165*(1+rvanilla04)^0.5)-SUM($J367:W367),('PTRM input'!$J$165*(1+rvanilla04)^0.5)/A23stdlife))</f>
        <v>0</v>
      </c>
      <c r="Y367" s="107">
        <f>IF(A23stdlife="n/a","n/a",IF(Y$3&gt;(A23stdlife+$E367),('PTRM input'!$J$165*(1+rvanilla04)^0.5)-SUM($J367:X367),('PTRM input'!$J$165*(1+rvanilla04)^0.5)/A23stdlife))</f>
        <v>0</v>
      </c>
      <c r="Z367" s="107">
        <f>IF(A23stdlife="n/a","n/a",IF(Z$3&gt;(A23stdlife+$E367),('PTRM input'!$J$165*(1+rvanilla04)^0.5)-SUM($J367:Y367),('PTRM input'!$J$165*(1+rvanilla04)^0.5)/A23stdlife))</f>
        <v>0</v>
      </c>
      <c r="AA367" s="107">
        <f>IF(A23stdlife="n/a","n/a",IF(AA$3&gt;(A23stdlife+$E367),('PTRM input'!$J$165*(1+rvanilla04)^0.5)-SUM($J367:Z367),('PTRM input'!$J$165*(1+rvanilla04)^0.5)/A23stdlife))</f>
        <v>0</v>
      </c>
      <c r="AB367" s="107">
        <f>IF(A23stdlife="n/a","n/a",IF(AB$3&gt;(A23stdlife+$E367),('PTRM input'!$J$165*(1+rvanilla04)^0.5)-SUM($J367:AA367),('PTRM input'!$J$165*(1+rvanilla04)^0.5)/A23stdlife))</f>
        <v>0</v>
      </c>
      <c r="AC367" s="107">
        <f>IF(A23stdlife="n/a","n/a",IF(AC$3&gt;(A23stdlife+$E367),('PTRM input'!$J$165*(1+rvanilla04)^0.5)-SUM($J367:AB367),('PTRM input'!$J$165*(1+rvanilla04)^0.5)/A23stdlife))</f>
        <v>0</v>
      </c>
      <c r="AD367" s="107">
        <f>IF(A23stdlife="n/a","n/a",IF(AD$3&gt;(A23stdlife+$E367),('PTRM input'!$J$165*(1+rvanilla04)^0.5)-SUM($J367:AC367),('PTRM input'!$J$165*(1+rvanilla04)^0.5)/A23stdlife))</f>
        <v>0</v>
      </c>
      <c r="AE367" s="107">
        <f>IF(A23stdlife="n/a","n/a",IF(AE$3&gt;(A23stdlife+$E367),('PTRM input'!$J$165*(1+rvanilla04)^0.5)-SUM($J367:AD367),('PTRM input'!$J$165*(1+rvanilla04)^0.5)/A23stdlife))</f>
        <v>0</v>
      </c>
      <c r="AF367" s="107">
        <f>IF(A23stdlife="n/a","n/a",IF(AF$3&gt;(A23stdlife+$E367),('PTRM input'!$J$165*(1+rvanilla04)^0.5)-SUM($J367:AE367),('PTRM input'!$J$165*(1+rvanilla04)^0.5)/A23stdlife))</f>
        <v>0</v>
      </c>
      <c r="AG367" s="107">
        <f>IF(A23stdlife="n/a","n/a",IF(AG$3&gt;(A23stdlife+$E367),('PTRM input'!$J$165*(1+rvanilla04)^0.5)-SUM($J367:AF367),('PTRM input'!$J$165*(1+rvanilla04)^0.5)/A23stdlife))</f>
        <v>0</v>
      </c>
      <c r="AH367" s="107">
        <f>IF(A23stdlife="n/a","n/a",IF(AH$3&gt;(A23stdlife+$E367),('PTRM input'!$J$165*(1+rvanilla04)^0.5)-SUM($J367:AG367),('PTRM input'!$J$165*(1+rvanilla04)^0.5)/A23stdlife))</f>
        <v>0</v>
      </c>
      <c r="AI367" s="107">
        <f>IF(A23stdlife="n/a","n/a",IF(AI$3&gt;(A23stdlife+$E367),('PTRM input'!$J$165*(1+rvanilla04)^0.5)-SUM($J367:AH367),('PTRM input'!$J$165*(1+rvanilla04)^0.5)/A23stdlife))</f>
        <v>0</v>
      </c>
      <c r="AJ367" s="107">
        <f>IF(A23stdlife="n/a","n/a",IF(AJ$3&gt;(A23stdlife+$E367),('PTRM input'!$J$165*(1+rvanilla04)^0.5)-SUM($J367:AI367),('PTRM input'!$J$165*(1+rvanilla04)^0.5)/A23stdlife))</f>
        <v>0</v>
      </c>
      <c r="AK367" s="107">
        <f>IF(A23stdlife="n/a","n/a",IF(AK$3&gt;(A23stdlife+$E367),('PTRM input'!$J$165*(1+rvanilla04)^0.5)-SUM($J367:AJ367),('PTRM input'!$J$165*(1+rvanilla04)^0.5)/A23stdlife))</f>
        <v>0</v>
      </c>
      <c r="AL367" s="107">
        <f>IF(A23stdlife="n/a","n/a",IF(AL$3&gt;(A23stdlife+$E367),('PTRM input'!$J$165*(1+rvanilla04)^0.5)-SUM($J367:AK367),('PTRM input'!$J$165*(1+rvanilla04)^0.5)/A23stdlife))</f>
        <v>0</v>
      </c>
      <c r="AM367" s="107">
        <f>IF(A23stdlife="n/a","n/a",IF(AM$3&gt;(A23stdlife+$E367),('PTRM input'!$J$165*(1+rvanilla04)^0.5)-SUM($J367:AL367),('PTRM input'!$J$165*(1+rvanilla04)^0.5)/A23stdlife))</f>
        <v>0</v>
      </c>
      <c r="AN367" s="107">
        <f>IF(A23stdlife="n/a","n/a",IF(AN$3&gt;(A23stdlife+$E367),('PTRM input'!$J$165*(1+rvanilla04)^0.5)-SUM($J367:AM367),('PTRM input'!$J$165*(1+rvanilla04)^0.5)/A23stdlife))</f>
        <v>0</v>
      </c>
      <c r="AO367" s="107">
        <f>IF(A23stdlife="n/a","n/a",IF(AO$3&gt;(A23stdlife+$E367),('PTRM input'!$J$165*(1+rvanilla04)^0.5)-SUM($J367:AN367),('PTRM input'!$J$165*(1+rvanilla04)^0.5)/A23stdlife))</f>
        <v>0</v>
      </c>
      <c r="AP367" s="107">
        <f>IF(A23stdlife="n/a","n/a",IF(AP$3&gt;(A23stdlife+$E367),('PTRM input'!$J$165*(1+rvanilla04)^0.5)-SUM($J367:AO367),('PTRM input'!$J$165*(1+rvanilla04)^0.5)/A23stdlife))</f>
        <v>0</v>
      </c>
      <c r="AQ367" s="107">
        <f>IF(A23stdlife="n/a","n/a",IF(AQ$3&gt;(A23stdlife+$E367),('PTRM input'!$J$165*(1+rvanilla04)^0.5)-SUM($J367:AP367),('PTRM input'!$J$165*(1+rvanilla04)^0.5)/A23stdlife))</f>
        <v>0</v>
      </c>
      <c r="AR367" s="107">
        <f>IF(A23stdlife="n/a","n/a",IF(AR$3&gt;(A23stdlife+$E367),('PTRM input'!$J$165*(1+rvanilla04)^0.5)-SUM($J367:AQ367),('PTRM input'!$J$165*(1+rvanilla04)^0.5)/A23stdlife))</f>
        <v>0</v>
      </c>
      <c r="AS367" s="107">
        <f>IF(A23stdlife="n/a","n/a",IF(AS$3&gt;(A23stdlife+$E367),('PTRM input'!$J$165*(1+rvanilla04)^0.5)-SUM($J367:AR367),('PTRM input'!$J$165*(1+rvanilla04)^0.5)/A23stdlife))</f>
        <v>0</v>
      </c>
      <c r="AT367" s="107">
        <f>IF(A23stdlife="n/a","n/a",IF(AT$3&gt;(A23stdlife+$E367),('PTRM input'!$J$165*(1+rvanilla04)^0.5)-SUM($J367:AS367),('PTRM input'!$J$165*(1+rvanilla04)^0.5)/A23stdlife))</f>
        <v>0</v>
      </c>
      <c r="AU367" s="107">
        <f>IF(A23stdlife="n/a","n/a",IF(AU$3&gt;(A23stdlife+$E367),('PTRM input'!$J$165*(1+rvanilla04)^0.5)-SUM($J367:AT367),('PTRM input'!$J$165*(1+rvanilla04)^0.5)/A23stdlife))</f>
        <v>0</v>
      </c>
      <c r="AV367" s="107">
        <f>IF(A23stdlife="n/a","n/a",IF(AV$3&gt;(A23stdlife+$E367),('PTRM input'!$J$165*(1+rvanilla04)^0.5)-SUM($J367:AU367),('PTRM input'!$J$165*(1+rvanilla04)^0.5)/A23stdlife))</f>
        <v>0</v>
      </c>
      <c r="AW367" s="107">
        <f>IF(A23stdlife="n/a","n/a",IF(AW$3&gt;(A23stdlife+$E367),('PTRM input'!$J$165*(1+rvanilla04)^0.5)-SUM($J367:AV367),('PTRM input'!$J$165*(1+rvanilla04)^0.5)/A23stdlife))</f>
        <v>0</v>
      </c>
      <c r="AX367" s="107">
        <f>IF(A23stdlife="n/a","n/a",IF(AX$3&gt;(A23stdlife+$E367),('PTRM input'!$J$165*(1+rvanilla04)^0.5)-SUM($J367:AW367),('PTRM input'!$J$165*(1+rvanilla04)^0.5)/A23stdlife))</f>
        <v>0</v>
      </c>
      <c r="AY367" s="107">
        <f>IF(A23stdlife="n/a","n/a",IF(AY$3&gt;(A23stdlife+$E367),('PTRM input'!$J$165*(1+rvanilla04)^0.5)-SUM($J367:AX367),('PTRM input'!$J$165*(1+rvanilla04)^0.5)/A23stdlife))</f>
        <v>0</v>
      </c>
      <c r="AZ367" s="107">
        <f>IF(A23stdlife="n/a","n/a",IF(AZ$3&gt;(A23stdlife+$E367),('PTRM input'!$J$165*(1+rvanilla04)^0.5)-SUM($J367:AY367),('PTRM input'!$J$165*(1+rvanilla04)^0.5)/A23stdlife))</f>
        <v>0</v>
      </c>
      <c r="BA367" s="107">
        <f>IF(A23stdlife="n/a","n/a",IF(BA$3&gt;(A23stdlife+$E367),('PTRM input'!$J$165*(1+rvanilla04)^0.5)-SUM($J367:AZ367),('PTRM input'!$J$165*(1+rvanilla04)^0.5)/A23stdlife))</f>
        <v>0</v>
      </c>
      <c r="BB367" s="107">
        <f>IF(A23stdlife="n/a","n/a",IF(BB$3&gt;(A23stdlife+$E367),('PTRM input'!$J$165*(1+rvanilla04)^0.5)-SUM($J367:BA367),('PTRM input'!$J$165*(1+rvanilla04)^0.5)/A23stdlife))</f>
        <v>0</v>
      </c>
      <c r="BC367" s="107">
        <f>IF(A23stdlife="n/a","n/a",IF(BC$3&gt;(A23stdlife+$E367),('PTRM input'!$J$165*(1+rvanilla04)^0.5)-SUM($J367:BB367),('PTRM input'!$J$165*(1+rvanilla04)^0.5)/A23stdlife))</f>
        <v>0</v>
      </c>
      <c r="BD367" s="107">
        <f>IF(A23stdlife="n/a","n/a",IF(BD$3&gt;(A23stdlife+$E367),('PTRM input'!$J$165*(1+rvanilla04)^0.5)-SUM($J367:BC367),('PTRM input'!$J$165*(1+rvanilla04)^0.5)/A23stdlife))</f>
        <v>0</v>
      </c>
      <c r="BE367" s="107">
        <f>IF(A23stdlife="n/a","n/a",IF(BE$3&gt;(A23stdlife+$E367),('PTRM input'!$J$165*(1+rvanilla04)^0.5)-SUM($J367:BD367),('PTRM input'!$J$165*(1+rvanilla04)^0.5)/A23stdlife))</f>
        <v>0</v>
      </c>
      <c r="BF367" s="107">
        <f>IF(A23stdlife="n/a","n/a",IF(BF$3&gt;(A23stdlife+$E367),('PTRM input'!$J$165*(1+rvanilla04)^0.5)-SUM($J367:BE367),('PTRM input'!$J$165*(1+rvanilla04)^0.5)/A23stdlife))</f>
        <v>0</v>
      </c>
      <c r="BG367" s="107">
        <f>IF(A23stdlife="n/a","n/a",IF(BG$3&gt;(A23stdlife+$E367),('PTRM input'!$J$165*(1+rvanilla04)^0.5)-SUM($J367:BF367),('PTRM input'!$J$165*(1+rvanilla04)^0.5)/A23stdlife))</f>
        <v>0</v>
      </c>
      <c r="BH367" s="107">
        <f>IF(A23stdlife="n/a","n/a",IF(BH$3&gt;(A23stdlife+$E367),('PTRM input'!$J$165*(1+rvanilla04)^0.5)-SUM($J367:BG367),('PTRM input'!$J$165*(1+rvanilla04)^0.5)/A23stdlife))</f>
        <v>0</v>
      </c>
      <c r="BI367" s="107">
        <f>IF(A23stdlife="n/a","n/a",IF(BI$3&gt;(A23stdlife+$E367),('PTRM input'!$J$165*(1+rvanilla04)^0.5)-SUM($J367:BH367),('PTRM input'!$J$165*(1+rvanilla04)^0.5)/A23stdlife))</f>
        <v>0</v>
      </c>
      <c r="BJ367" s="237"/>
      <c r="BK367" s="237"/>
      <c r="BL367" s="237"/>
      <c r="BM367" s="237"/>
    </row>
    <row r="368" spans="1:65" s="190" customFormat="1" hidden="1" outlineLevel="2">
      <c r="A368" s="237"/>
      <c r="B368" s="33"/>
      <c r="C368" s="32"/>
      <c r="D368" s="1618"/>
      <c r="E368" s="169">
        <v>5</v>
      </c>
      <c r="F368" s="35"/>
      <c r="G368" s="184"/>
      <c r="H368" s="186"/>
      <c r="I368" s="186"/>
      <c r="J368" s="186"/>
      <c r="K368" s="185"/>
      <c r="L368" s="107">
        <f>IF(A23stdlife="n/a","n/a",IF(L$3&gt;(A23stdlife+$E368),('PTRM input'!$K$165*(1+rvanilla05)^0.5)-SUM($K368:K368),('PTRM input'!$K$165*(1+rvanilla05)^0.5)/A23stdlife))</f>
        <v>0</v>
      </c>
      <c r="M368" s="107">
        <f>IF(A23stdlife="n/a","n/a",IF(M$3&gt;(A23stdlife+$E368),('PTRM input'!$K$165*(1+rvanilla05)^0.5)-SUM($K368:L368),('PTRM input'!$K$165*(1+rvanilla05)^0.5)/A23stdlife))</f>
        <v>0</v>
      </c>
      <c r="N368" s="107">
        <f>IF(A23stdlife="n/a","n/a",IF(N$3&gt;(A23stdlife+$E368),('PTRM input'!$K$165*(1+rvanilla05)^0.5)-SUM($K368:M368),('PTRM input'!$K$165*(1+rvanilla05)^0.5)/A23stdlife))</f>
        <v>0</v>
      </c>
      <c r="O368" s="107">
        <f>IF(A23stdlife="n/a","n/a",IF(O$3&gt;(A23stdlife+$E368),('PTRM input'!$K$165*(1+rvanilla05)^0.5)-SUM($K368:N368),('PTRM input'!$K$165*(1+rvanilla05)^0.5)/A23stdlife))</f>
        <v>0</v>
      </c>
      <c r="P368" s="107">
        <f>IF(A23stdlife="n/a","n/a",IF(P$3&gt;(A23stdlife+$E368),('PTRM input'!$K$165*(1+rvanilla05)^0.5)-SUM($K368:O368),('PTRM input'!$K$165*(1+rvanilla05)^0.5)/A23stdlife))</f>
        <v>0</v>
      </c>
      <c r="Q368" s="107">
        <f>IF(A23stdlife="n/a","n/a",IF(Q$3&gt;(A23stdlife+$E368),('PTRM input'!$K$165*(1+rvanilla05)^0.5)-SUM($K368:P368),('PTRM input'!$K$165*(1+rvanilla05)^0.5)/A23stdlife))</f>
        <v>0</v>
      </c>
      <c r="R368" s="107">
        <f>IF(A23stdlife="n/a","n/a",IF(R$3&gt;(A23stdlife+$E368),('PTRM input'!$K$165*(1+rvanilla05)^0.5)-SUM($K368:Q368),('PTRM input'!$K$165*(1+rvanilla05)^0.5)/A23stdlife))</f>
        <v>0</v>
      </c>
      <c r="S368" s="107">
        <f>IF(A23stdlife="n/a","n/a",IF(S$3&gt;(A23stdlife+$E368),('PTRM input'!$K$165*(1+rvanilla05)^0.5)-SUM($K368:R368),('PTRM input'!$K$165*(1+rvanilla05)^0.5)/A23stdlife))</f>
        <v>0</v>
      </c>
      <c r="T368" s="107">
        <f>IF(A23stdlife="n/a","n/a",IF(T$3&gt;(A23stdlife+$E368),('PTRM input'!$K$165*(1+rvanilla05)^0.5)-SUM($K368:S368),('PTRM input'!$K$165*(1+rvanilla05)^0.5)/A23stdlife))</f>
        <v>0</v>
      </c>
      <c r="U368" s="107">
        <f>IF(A23stdlife="n/a","n/a",IF(U$3&gt;(A23stdlife+$E368),('PTRM input'!$K$165*(1+rvanilla05)^0.5)-SUM($K368:T368),('PTRM input'!$K$165*(1+rvanilla05)^0.5)/A23stdlife))</f>
        <v>0</v>
      </c>
      <c r="V368" s="107">
        <f>IF(A23stdlife="n/a","n/a",IF(V$3&gt;(A23stdlife+$E368),('PTRM input'!$K$165*(1+rvanilla05)^0.5)-SUM($K368:U368),('PTRM input'!$K$165*(1+rvanilla05)^0.5)/A23stdlife))</f>
        <v>0</v>
      </c>
      <c r="W368" s="107">
        <f>IF(A23stdlife="n/a","n/a",IF(W$3&gt;(A23stdlife+$E368),('PTRM input'!$K$165*(1+rvanilla05)^0.5)-SUM($K368:V368),('PTRM input'!$K$165*(1+rvanilla05)^0.5)/A23stdlife))</f>
        <v>0</v>
      </c>
      <c r="X368" s="107">
        <f>IF(A23stdlife="n/a","n/a",IF(X$3&gt;(A23stdlife+$E368),('PTRM input'!$K$165*(1+rvanilla05)^0.5)-SUM($K368:W368),('PTRM input'!$K$165*(1+rvanilla05)^0.5)/A23stdlife))</f>
        <v>0</v>
      </c>
      <c r="Y368" s="107">
        <f>IF(A23stdlife="n/a","n/a",IF(Y$3&gt;(A23stdlife+$E368),('PTRM input'!$K$165*(1+rvanilla05)^0.5)-SUM($K368:X368),('PTRM input'!$K$165*(1+rvanilla05)^0.5)/A23stdlife))</f>
        <v>0</v>
      </c>
      <c r="Z368" s="107">
        <f>IF(A23stdlife="n/a","n/a",IF(Z$3&gt;(A23stdlife+$E368),('PTRM input'!$K$165*(1+rvanilla05)^0.5)-SUM($K368:Y368),('PTRM input'!$K$165*(1+rvanilla05)^0.5)/A23stdlife))</f>
        <v>0</v>
      </c>
      <c r="AA368" s="107">
        <f>IF(A23stdlife="n/a","n/a",IF(AA$3&gt;(A23stdlife+$E368),('PTRM input'!$K$165*(1+rvanilla05)^0.5)-SUM($K368:Z368),('PTRM input'!$K$165*(1+rvanilla05)^0.5)/A23stdlife))</f>
        <v>0</v>
      </c>
      <c r="AB368" s="107">
        <f>IF(A23stdlife="n/a","n/a",IF(AB$3&gt;(A23stdlife+$E368),('PTRM input'!$K$165*(1+rvanilla05)^0.5)-SUM($K368:AA368),('PTRM input'!$K$165*(1+rvanilla05)^0.5)/A23stdlife))</f>
        <v>0</v>
      </c>
      <c r="AC368" s="107">
        <f>IF(A23stdlife="n/a","n/a",IF(AC$3&gt;(A23stdlife+$E368),('PTRM input'!$K$165*(1+rvanilla05)^0.5)-SUM($K368:AB368),('PTRM input'!$K$165*(1+rvanilla05)^0.5)/A23stdlife))</f>
        <v>0</v>
      </c>
      <c r="AD368" s="107">
        <f>IF(A23stdlife="n/a","n/a",IF(AD$3&gt;(A23stdlife+$E368),('PTRM input'!$K$165*(1+rvanilla05)^0.5)-SUM($K368:AC368),('PTRM input'!$K$165*(1+rvanilla05)^0.5)/A23stdlife))</f>
        <v>0</v>
      </c>
      <c r="AE368" s="107">
        <f>IF(A23stdlife="n/a","n/a",IF(AE$3&gt;(A23stdlife+$E368),('PTRM input'!$K$165*(1+rvanilla05)^0.5)-SUM($K368:AD368),('PTRM input'!$K$165*(1+rvanilla05)^0.5)/A23stdlife))</f>
        <v>0</v>
      </c>
      <c r="AF368" s="107">
        <f>IF(A23stdlife="n/a","n/a",IF(AF$3&gt;(A23stdlife+$E368),('PTRM input'!$K$165*(1+rvanilla05)^0.5)-SUM($K368:AE368),('PTRM input'!$K$165*(1+rvanilla05)^0.5)/A23stdlife))</f>
        <v>0</v>
      </c>
      <c r="AG368" s="107">
        <f>IF(A23stdlife="n/a","n/a",IF(AG$3&gt;(A23stdlife+$E368),('PTRM input'!$K$165*(1+rvanilla05)^0.5)-SUM($K368:AF368),('PTRM input'!$K$165*(1+rvanilla05)^0.5)/A23stdlife))</f>
        <v>0</v>
      </c>
      <c r="AH368" s="107">
        <f>IF(A23stdlife="n/a","n/a",IF(AH$3&gt;(A23stdlife+$E368),('PTRM input'!$K$165*(1+rvanilla05)^0.5)-SUM($K368:AG368),('PTRM input'!$K$165*(1+rvanilla05)^0.5)/A23stdlife))</f>
        <v>0</v>
      </c>
      <c r="AI368" s="107">
        <f>IF(A23stdlife="n/a","n/a",IF(AI$3&gt;(A23stdlife+$E368),('PTRM input'!$K$165*(1+rvanilla05)^0.5)-SUM($K368:AH368),('PTRM input'!$K$165*(1+rvanilla05)^0.5)/A23stdlife))</f>
        <v>0</v>
      </c>
      <c r="AJ368" s="107">
        <f>IF(A23stdlife="n/a","n/a",IF(AJ$3&gt;(A23stdlife+$E368),('PTRM input'!$K$165*(1+rvanilla05)^0.5)-SUM($K368:AI368),('PTRM input'!$K$165*(1+rvanilla05)^0.5)/A23stdlife))</f>
        <v>0</v>
      </c>
      <c r="AK368" s="107">
        <f>IF(A23stdlife="n/a","n/a",IF(AK$3&gt;(A23stdlife+$E368),('PTRM input'!$K$165*(1+rvanilla05)^0.5)-SUM($K368:AJ368),('PTRM input'!$K$165*(1+rvanilla05)^0.5)/A23stdlife))</f>
        <v>0</v>
      </c>
      <c r="AL368" s="107">
        <f>IF(A23stdlife="n/a","n/a",IF(AL$3&gt;(A23stdlife+$E368),('PTRM input'!$K$165*(1+rvanilla05)^0.5)-SUM($K368:AK368),('PTRM input'!$K$165*(1+rvanilla05)^0.5)/A23stdlife))</f>
        <v>0</v>
      </c>
      <c r="AM368" s="107">
        <f>IF(A23stdlife="n/a","n/a",IF(AM$3&gt;(A23stdlife+$E368),('PTRM input'!$K$165*(1+rvanilla05)^0.5)-SUM($K368:AL368),('PTRM input'!$K$165*(1+rvanilla05)^0.5)/A23stdlife))</f>
        <v>0</v>
      </c>
      <c r="AN368" s="107">
        <f>IF(A23stdlife="n/a","n/a",IF(AN$3&gt;(A23stdlife+$E368),('PTRM input'!$K$165*(1+rvanilla05)^0.5)-SUM($K368:AM368),('PTRM input'!$K$165*(1+rvanilla05)^0.5)/A23stdlife))</f>
        <v>0</v>
      </c>
      <c r="AO368" s="107">
        <f>IF(A23stdlife="n/a","n/a",IF(AO$3&gt;(A23stdlife+$E368),('PTRM input'!$K$165*(1+rvanilla05)^0.5)-SUM($K368:AN368),('PTRM input'!$K$165*(1+rvanilla05)^0.5)/A23stdlife))</f>
        <v>0</v>
      </c>
      <c r="AP368" s="107">
        <f>IF(A23stdlife="n/a","n/a",IF(AP$3&gt;(A23stdlife+$E368),('PTRM input'!$K$165*(1+rvanilla05)^0.5)-SUM($K368:AO368),('PTRM input'!$K$165*(1+rvanilla05)^0.5)/A23stdlife))</f>
        <v>0</v>
      </c>
      <c r="AQ368" s="107">
        <f>IF(A23stdlife="n/a","n/a",IF(AQ$3&gt;(A23stdlife+$E368),('PTRM input'!$K$165*(1+rvanilla05)^0.5)-SUM($K368:AP368),('PTRM input'!$K$165*(1+rvanilla05)^0.5)/A23stdlife))</f>
        <v>0</v>
      </c>
      <c r="AR368" s="107">
        <f>IF(A23stdlife="n/a","n/a",IF(AR$3&gt;(A23stdlife+$E368),('PTRM input'!$K$165*(1+rvanilla05)^0.5)-SUM($K368:AQ368),('PTRM input'!$K$165*(1+rvanilla05)^0.5)/A23stdlife))</f>
        <v>0</v>
      </c>
      <c r="AS368" s="107">
        <f>IF(A23stdlife="n/a","n/a",IF(AS$3&gt;(A23stdlife+$E368),('PTRM input'!$K$165*(1+rvanilla05)^0.5)-SUM($K368:AR368),('PTRM input'!$K$165*(1+rvanilla05)^0.5)/A23stdlife))</f>
        <v>0</v>
      </c>
      <c r="AT368" s="107">
        <f>IF(A23stdlife="n/a","n/a",IF(AT$3&gt;(A23stdlife+$E368),('PTRM input'!$K$165*(1+rvanilla05)^0.5)-SUM($K368:AS368),('PTRM input'!$K$165*(1+rvanilla05)^0.5)/A23stdlife))</f>
        <v>0</v>
      </c>
      <c r="AU368" s="107">
        <f>IF(A23stdlife="n/a","n/a",IF(AU$3&gt;(A23stdlife+$E368),('PTRM input'!$K$165*(1+rvanilla05)^0.5)-SUM($K368:AT368),('PTRM input'!$K$165*(1+rvanilla05)^0.5)/A23stdlife))</f>
        <v>0</v>
      </c>
      <c r="AV368" s="107">
        <f>IF(A23stdlife="n/a","n/a",IF(AV$3&gt;(A23stdlife+$E368),('PTRM input'!$K$165*(1+rvanilla05)^0.5)-SUM($K368:AU368),('PTRM input'!$K$165*(1+rvanilla05)^0.5)/A23stdlife))</f>
        <v>0</v>
      </c>
      <c r="AW368" s="107">
        <f>IF(A23stdlife="n/a","n/a",IF(AW$3&gt;(A23stdlife+$E368),('PTRM input'!$K$165*(1+rvanilla05)^0.5)-SUM($K368:AV368),('PTRM input'!$K$165*(1+rvanilla05)^0.5)/A23stdlife))</f>
        <v>0</v>
      </c>
      <c r="AX368" s="107">
        <f>IF(A23stdlife="n/a","n/a",IF(AX$3&gt;(A23stdlife+$E368),('PTRM input'!$K$165*(1+rvanilla05)^0.5)-SUM($K368:AW368),('PTRM input'!$K$165*(1+rvanilla05)^0.5)/A23stdlife))</f>
        <v>0</v>
      </c>
      <c r="AY368" s="107">
        <f>IF(A23stdlife="n/a","n/a",IF(AY$3&gt;(A23stdlife+$E368),('PTRM input'!$K$165*(1+rvanilla05)^0.5)-SUM($K368:AX368),('PTRM input'!$K$165*(1+rvanilla05)^0.5)/A23stdlife))</f>
        <v>0</v>
      </c>
      <c r="AZ368" s="107">
        <f>IF(A23stdlife="n/a","n/a",IF(AZ$3&gt;(A23stdlife+$E368),('PTRM input'!$K$165*(1+rvanilla05)^0.5)-SUM($K368:AY368),('PTRM input'!$K$165*(1+rvanilla05)^0.5)/A23stdlife))</f>
        <v>0</v>
      </c>
      <c r="BA368" s="107">
        <f>IF(A23stdlife="n/a","n/a",IF(BA$3&gt;(A23stdlife+$E368),('PTRM input'!$K$165*(1+rvanilla05)^0.5)-SUM($K368:AZ368),('PTRM input'!$K$165*(1+rvanilla05)^0.5)/A23stdlife))</f>
        <v>0</v>
      </c>
      <c r="BB368" s="107">
        <f>IF(A23stdlife="n/a","n/a",IF(BB$3&gt;(A23stdlife+$E368),('PTRM input'!$K$165*(1+rvanilla05)^0.5)-SUM($K368:BA368),('PTRM input'!$K$165*(1+rvanilla05)^0.5)/A23stdlife))</f>
        <v>0</v>
      </c>
      <c r="BC368" s="107">
        <f>IF(A23stdlife="n/a","n/a",IF(BC$3&gt;(A23stdlife+$E368),('PTRM input'!$K$165*(1+rvanilla05)^0.5)-SUM($K368:BB368),('PTRM input'!$K$165*(1+rvanilla05)^0.5)/A23stdlife))</f>
        <v>0</v>
      </c>
      <c r="BD368" s="107">
        <f>IF(A23stdlife="n/a","n/a",IF(BD$3&gt;(A23stdlife+$E368),('PTRM input'!$K$165*(1+rvanilla05)^0.5)-SUM($K368:BC368),('PTRM input'!$K$165*(1+rvanilla05)^0.5)/A23stdlife))</f>
        <v>0</v>
      </c>
      <c r="BE368" s="107">
        <f>IF(A23stdlife="n/a","n/a",IF(BE$3&gt;(A23stdlife+$E368),('PTRM input'!$K$165*(1+rvanilla05)^0.5)-SUM($K368:BD368),('PTRM input'!$K$165*(1+rvanilla05)^0.5)/A23stdlife))</f>
        <v>0</v>
      </c>
      <c r="BF368" s="107">
        <f>IF(A23stdlife="n/a","n/a",IF(BF$3&gt;(A23stdlife+$E368),('PTRM input'!$K$165*(1+rvanilla05)^0.5)-SUM($K368:BE368),('PTRM input'!$K$165*(1+rvanilla05)^0.5)/A23stdlife))</f>
        <v>0</v>
      </c>
      <c r="BG368" s="107">
        <f>IF(A23stdlife="n/a","n/a",IF(BG$3&gt;(A23stdlife+$E368),('PTRM input'!$K$165*(1+rvanilla05)^0.5)-SUM($K368:BF368),('PTRM input'!$K$165*(1+rvanilla05)^0.5)/A23stdlife))</f>
        <v>0</v>
      </c>
      <c r="BH368" s="107">
        <f>IF(A23stdlife="n/a","n/a",IF(BH$3&gt;(A23stdlife+$E368),('PTRM input'!$K$165*(1+rvanilla05)^0.5)-SUM($K368:BG368),('PTRM input'!$K$165*(1+rvanilla05)^0.5)/A23stdlife))</f>
        <v>0</v>
      </c>
      <c r="BI368" s="107">
        <f>IF(A23stdlife="n/a","n/a",IF(BI$3&gt;(A23stdlife+$E368),('PTRM input'!$K$165*(1+rvanilla05)^0.5)-SUM($K368:BH368),('PTRM input'!$K$165*(1+rvanilla05)^0.5)/A23stdlife))</f>
        <v>0</v>
      </c>
      <c r="BJ368" s="237"/>
      <c r="BK368" s="237"/>
      <c r="BL368" s="237"/>
      <c r="BM368" s="237"/>
    </row>
    <row r="369" spans="1:65" s="190" customFormat="1" hidden="1" outlineLevel="2">
      <c r="A369" s="237"/>
      <c r="B369" s="33"/>
      <c r="C369" s="32"/>
      <c r="D369" s="1618"/>
      <c r="E369" s="169">
        <v>6</v>
      </c>
      <c r="F369" s="35"/>
      <c r="G369" s="184"/>
      <c r="H369" s="186"/>
      <c r="I369" s="186"/>
      <c r="J369" s="186"/>
      <c r="K369" s="186"/>
      <c r="L369" s="185"/>
      <c r="M369" s="107">
        <f>IF(A23stdlife="n/a","n/a",IF(M$3&gt;(A23stdlife+$E369),('PTRM input'!$L$165*(1+rvanilla06)^0.5)-SUM($L369:L369),('PTRM input'!$L$165*(1+rvanilla06)^0.5)/A23stdlife))</f>
        <v>0</v>
      </c>
      <c r="N369" s="107">
        <f>IF(A23stdlife="n/a","n/a",IF(N$3&gt;(A23stdlife+$E369),('PTRM input'!$L$165*(1+rvanilla06)^0.5)-SUM($L369:M369),('PTRM input'!$L$165*(1+rvanilla06)^0.5)/A23stdlife))</f>
        <v>0</v>
      </c>
      <c r="O369" s="107">
        <f>IF(A23stdlife="n/a","n/a",IF(O$3&gt;(A23stdlife+$E369),('PTRM input'!$L$165*(1+rvanilla06)^0.5)-SUM($L369:N369),('PTRM input'!$L$165*(1+rvanilla06)^0.5)/A23stdlife))</f>
        <v>0</v>
      </c>
      <c r="P369" s="107">
        <f>IF(A23stdlife="n/a","n/a",IF(P$3&gt;(A23stdlife+$E369),('PTRM input'!$L$165*(1+rvanilla06)^0.5)-SUM($L369:O369),('PTRM input'!$L$165*(1+rvanilla06)^0.5)/A23stdlife))</f>
        <v>0</v>
      </c>
      <c r="Q369" s="107">
        <f>IF(A23stdlife="n/a","n/a",IF(Q$3&gt;(A23stdlife+$E369),('PTRM input'!$L$165*(1+rvanilla06)^0.5)-SUM($L369:P369),('PTRM input'!$L$165*(1+rvanilla06)^0.5)/A23stdlife))</f>
        <v>0</v>
      </c>
      <c r="R369" s="107">
        <f>IF(A23stdlife="n/a","n/a",IF(R$3&gt;(A23stdlife+$E369),('PTRM input'!$L$165*(1+rvanilla06)^0.5)-SUM($L369:Q369),('PTRM input'!$L$165*(1+rvanilla06)^0.5)/A23stdlife))</f>
        <v>0</v>
      </c>
      <c r="S369" s="107">
        <f>IF(A23stdlife="n/a","n/a",IF(S$3&gt;(A23stdlife+$E369),('PTRM input'!$L$165*(1+rvanilla06)^0.5)-SUM($L369:R369),('PTRM input'!$L$165*(1+rvanilla06)^0.5)/A23stdlife))</f>
        <v>0</v>
      </c>
      <c r="T369" s="107">
        <f>IF(A23stdlife="n/a","n/a",IF(T$3&gt;(A23stdlife+$E369),('PTRM input'!$L$165*(1+rvanilla06)^0.5)-SUM($L369:S369),('PTRM input'!$L$165*(1+rvanilla06)^0.5)/A23stdlife))</f>
        <v>0</v>
      </c>
      <c r="U369" s="107">
        <f>IF(A23stdlife="n/a","n/a",IF(U$3&gt;(A23stdlife+$E369),('PTRM input'!$L$165*(1+rvanilla06)^0.5)-SUM($L369:T369),('PTRM input'!$L$165*(1+rvanilla06)^0.5)/A23stdlife))</f>
        <v>0</v>
      </c>
      <c r="V369" s="107">
        <f>IF(A23stdlife="n/a","n/a",IF(V$3&gt;(A23stdlife+$E369),('PTRM input'!$L$165*(1+rvanilla06)^0.5)-SUM($L369:U369),('PTRM input'!$L$165*(1+rvanilla06)^0.5)/A23stdlife))</f>
        <v>0</v>
      </c>
      <c r="W369" s="107">
        <f>IF(A23stdlife="n/a","n/a",IF(W$3&gt;(A23stdlife+$E369),('PTRM input'!$L$165*(1+rvanilla06)^0.5)-SUM($L369:V369),('PTRM input'!$L$165*(1+rvanilla06)^0.5)/A23stdlife))</f>
        <v>0</v>
      </c>
      <c r="X369" s="107">
        <f>IF(A23stdlife="n/a","n/a",IF(X$3&gt;(A23stdlife+$E369),('PTRM input'!$L$165*(1+rvanilla06)^0.5)-SUM($L369:W369),('PTRM input'!$L$165*(1+rvanilla06)^0.5)/A23stdlife))</f>
        <v>0</v>
      </c>
      <c r="Y369" s="107">
        <f>IF(A23stdlife="n/a","n/a",IF(Y$3&gt;(A23stdlife+$E369),('PTRM input'!$L$165*(1+rvanilla06)^0.5)-SUM($L369:X369),('PTRM input'!$L$165*(1+rvanilla06)^0.5)/A23stdlife))</f>
        <v>0</v>
      </c>
      <c r="Z369" s="107">
        <f>IF(A23stdlife="n/a","n/a",IF(Z$3&gt;(A23stdlife+$E369),('PTRM input'!$L$165*(1+rvanilla06)^0.5)-SUM($L369:Y369),('PTRM input'!$L$165*(1+rvanilla06)^0.5)/A23stdlife))</f>
        <v>0</v>
      </c>
      <c r="AA369" s="107">
        <f>IF(A23stdlife="n/a","n/a",IF(AA$3&gt;(A23stdlife+$E369),('PTRM input'!$L$165*(1+rvanilla06)^0.5)-SUM($L369:Z369),('PTRM input'!$L$165*(1+rvanilla06)^0.5)/A23stdlife))</f>
        <v>0</v>
      </c>
      <c r="AB369" s="107">
        <f>IF(A23stdlife="n/a","n/a",IF(AB$3&gt;(A23stdlife+$E369),('PTRM input'!$L$165*(1+rvanilla06)^0.5)-SUM($L369:AA369),('PTRM input'!$L$165*(1+rvanilla06)^0.5)/A23stdlife))</f>
        <v>0</v>
      </c>
      <c r="AC369" s="107">
        <f>IF(A23stdlife="n/a","n/a",IF(AC$3&gt;(A23stdlife+$E369),('PTRM input'!$L$165*(1+rvanilla06)^0.5)-SUM($L369:AB369),('PTRM input'!$L$165*(1+rvanilla06)^0.5)/A23stdlife))</f>
        <v>0</v>
      </c>
      <c r="AD369" s="107">
        <f>IF(A23stdlife="n/a","n/a",IF(AD$3&gt;(A23stdlife+$E369),('PTRM input'!$L$165*(1+rvanilla06)^0.5)-SUM($L369:AC369),('PTRM input'!$L$165*(1+rvanilla06)^0.5)/A23stdlife))</f>
        <v>0</v>
      </c>
      <c r="AE369" s="107">
        <f>IF(A23stdlife="n/a","n/a",IF(AE$3&gt;(A23stdlife+$E369),('PTRM input'!$L$165*(1+rvanilla06)^0.5)-SUM($L369:AD369),('PTRM input'!$L$165*(1+rvanilla06)^0.5)/A23stdlife))</f>
        <v>0</v>
      </c>
      <c r="AF369" s="107">
        <f>IF(A23stdlife="n/a","n/a",IF(AF$3&gt;(A23stdlife+$E369),('PTRM input'!$L$165*(1+rvanilla06)^0.5)-SUM($L369:AE369),('PTRM input'!$L$165*(1+rvanilla06)^0.5)/A23stdlife))</f>
        <v>0</v>
      </c>
      <c r="AG369" s="107">
        <f>IF(A23stdlife="n/a","n/a",IF(AG$3&gt;(A23stdlife+$E369),('PTRM input'!$L$165*(1+rvanilla06)^0.5)-SUM($L369:AF369),('PTRM input'!$L$165*(1+rvanilla06)^0.5)/A23stdlife))</f>
        <v>0</v>
      </c>
      <c r="AH369" s="107">
        <f>IF(A23stdlife="n/a","n/a",IF(AH$3&gt;(A23stdlife+$E369),('PTRM input'!$L$165*(1+rvanilla06)^0.5)-SUM($L369:AG369),('PTRM input'!$L$165*(1+rvanilla06)^0.5)/A23stdlife))</f>
        <v>0</v>
      </c>
      <c r="AI369" s="107">
        <f>IF(A23stdlife="n/a","n/a",IF(AI$3&gt;(A23stdlife+$E369),('PTRM input'!$L$165*(1+rvanilla06)^0.5)-SUM($L369:AH369),('PTRM input'!$L$165*(1+rvanilla06)^0.5)/A23stdlife))</f>
        <v>0</v>
      </c>
      <c r="AJ369" s="107">
        <f>IF(A23stdlife="n/a","n/a",IF(AJ$3&gt;(A23stdlife+$E369),('PTRM input'!$L$165*(1+rvanilla06)^0.5)-SUM($L369:AI369),('PTRM input'!$L$165*(1+rvanilla06)^0.5)/A23stdlife))</f>
        <v>0</v>
      </c>
      <c r="AK369" s="107">
        <f>IF(A23stdlife="n/a","n/a",IF(AK$3&gt;(A23stdlife+$E369),('PTRM input'!$L$165*(1+rvanilla06)^0.5)-SUM($L369:AJ369),('PTRM input'!$L$165*(1+rvanilla06)^0.5)/A23stdlife))</f>
        <v>0</v>
      </c>
      <c r="AL369" s="107">
        <f>IF(A23stdlife="n/a","n/a",IF(AL$3&gt;(A23stdlife+$E369),('PTRM input'!$L$165*(1+rvanilla06)^0.5)-SUM($L369:AK369),('PTRM input'!$L$165*(1+rvanilla06)^0.5)/A23stdlife))</f>
        <v>0</v>
      </c>
      <c r="AM369" s="107">
        <f>IF(A23stdlife="n/a","n/a",IF(AM$3&gt;(A23stdlife+$E369),('PTRM input'!$L$165*(1+rvanilla06)^0.5)-SUM($L369:AL369),('PTRM input'!$L$165*(1+rvanilla06)^0.5)/A23stdlife))</f>
        <v>0</v>
      </c>
      <c r="AN369" s="107">
        <f>IF(A23stdlife="n/a","n/a",IF(AN$3&gt;(A23stdlife+$E369),('PTRM input'!$L$165*(1+rvanilla06)^0.5)-SUM($L369:AM369),('PTRM input'!$L$165*(1+rvanilla06)^0.5)/A23stdlife))</f>
        <v>0</v>
      </c>
      <c r="AO369" s="107">
        <f>IF(A23stdlife="n/a","n/a",IF(AO$3&gt;(A23stdlife+$E369),('PTRM input'!$L$165*(1+rvanilla06)^0.5)-SUM($L369:AN369),('PTRM input'!$L$165*(1+rvanilla06)^0.5)/A23stdlife))</f>
        <v>0</v>
      </c>
      <c r="AP369" s="107">
        <f>IF(A23stdlife="n/a","n/a",IF(AP$3&gt;(A23stdlife+$E369),('PTRM input'!$L$165*(1+rvanilla06)^0.5)-SUM($L369:AO369),('PTRM input'!$L$165*(1+rvanilla06)^0.5)/A23stdlife))</f>
        <v>0</v>
      </c>
      <c r="AQ369" s="107">
        <f>IF(A23stdlife="n/a","n/a",IF(AQ$3&gt;(A23stdlife+$E369),('PTRM input'!$L$165*(1+rvanilla06)^0.5)-SUM($L369:AP369),('PTRM input'!$L$165*(1+rvanilla06)^0.5)/A23stdlife))</f>
        <v>0</v>
      </c>
      <c r="AR369" s="107">
        <f>IF(A23stdlife="n/a","n/a",IF(AR$3&gt;(A23stdlife+$E369),('PTRM input'!$L$165*(1+rvanilla06)^0.5)-SUM($L369:AQ369),('PTRM input'!$L$165*(1+rvanilla06)^0.5)/A23stdlife))</f>
        <v>0</v>
      </c>
      <c r="AS369" s="107">
        <f>IF(A23stdlife="n/a","n/a",IF(AS$3&gt;(A23stdlife+$E369),('PTRM input'!$L$165*(1+rvanilla06)^0.5)-SUM($L369:AR369),('PTRM input'!$L$165*(1+rvanilla06)^0.5)/A23stdlife))</f>
        <v>0</v>
      </c>
      <c r="AT369" s="107">
        <f>IF(A23stdlife="n/a","n/a",IF(AT$3&gt;(A23stdlife+$E369),('PTRM input'!$L$165*(1+rvanilla06)^0.5)-SUM($L369:AS369),('PTRM input'!$L$165*(1+rvanilla06)^0.5)/A23stdlife))</f>
        <v>0</v>
      </c>
      <c r="AU369" s="107">
        <f>IF(A23stdlife="n/a","n/a",IF(AU$3&gt;(A23stdlife+$E369),('PTRM input'!$L$165*(1+rvanilla06)^0.5)-SUM($L369:AT369),('PTRM input'!$L$165*(1+rvanilla06)^0.5)/A23stdlife))</f>
        <v>0</v>
      </c>
      <c r="AV369" s="107">
        <f>IF(A23stdlife="n/a","n/a",IF(AV$3&gt;(A23stdlife+$E369),('PTRM input'!$L$165*(1+rvanilla06)^0.5)-SUM($L369:AU369),('PTRM input'!$L$165*(1+rvanilla06)^0.5)/A23stdlife))</f>
        <v>0</v>
      </c>
      <c r="AW369" s="107">
        <f>IF(A23stdlife="n/a","n/a",IF(AW$3&gt;(A23stdlife+$E369),('PTRM input'!$L$165*(1+rvanilla06)^0.5)-SUM($L369:AV369),('PTRM input'!$L$165*(1+rvanilla06)^0.5)/A23stdlife))</f>
        <v>0</v>
      </c>
      <c r="AX369" s="107">
        <f>IF(A23stdlife="n/a","n/a",IF(AX$3&gt;(A23stdlife+$E369),('PTRM input'!$L$165*(1+rvanilla06)^0.5)-SUM($L369:AW369),('PTRM input'!$L$165*(1+rvanilla06)^0.5)/A23stdlife))</f>
        <v>0</v>
      </c>
      <c r="AY369" s="107">
        <f>IF(A23stdlife="n/a","n/a",IF(AY$3&gt;(A23stdlife+$E369),('PTRM input'!$L$165*(1+rvanilla06)^0.5)-SUM($L369:AX369),('PTRM input'!$L$165*(1+rvanilla06)^0.5)/A23stdlife))</f>
        <v>0</v>
      </c>
      <c r="AZ369" s="107">
        <f>IF(A23stdlife="n/a","n/a",IF(AZ$3&gt;(A23stdlife+$E369),('PTRM input'!$L$165*(1+rvanilla06)^0.5)-SUM($L369:AY369),('PTRM input'!$L$165*(1+rvanilla06)^0.5)/A23stdlife))</f>
        <v>0</v>
      </c>
      <c r="BA369" s="107">
        <f>IF(A23stdlife="n/a","n/a",IF(BA$3&gt;(A23stdlife+$E369),('PTRM input'!$L$165*(1+rvanilla06)^0.5)-SUM($L369:AZ369),('PTRM input'!$L$165*(1+rvanilla06)^0.5)/A23stdlife))</f>
        <v>0</v>
      </c>
      <c r="BB369" s="107">
        <f>IF(A23stdlife="n/a","n/a",IF(BB$3&gt;(A23stdlife+$E369),('PTRM input'!$L$165*(1+rvanilla06)^0.5)-SUM($L369:BA369),('PTRM input'!$L$165*(1+rvanilla06)^0.5)/A23stdlife))</f>
        <v>0</v>
      </c>
      <c r="BC369" s="107">
        <f>IF(A23stdlife="n/a","n/a",IF(BC$3&gt;(A23stdlife+$E369),('PTRM input'!$L$165*(1+rvanilla06)^0.5)-SUM($L369:BB369),('PTRM input'!$L$165*(1+rvanilla06)^0.5)/A23stdlife))</f>
        <v>0</v>
      </c>
      <c r="BD369" s="107">
        <f>IF(A23stdlife="n/a","n/a",IF(BD$3&gt;(A23stdlife+$E369),('PTRM input'!$L$165*(1+rvanilla06)^0.5)-SUM($L369:BC369),('PTRM input'!$L$165*(1+rvanilla06)^0.5)/A23stdlife))</f>
        <v>0</v>
      </c>
      <c r="BE369" s="107">
        <f>IF(A23stdlife="n/a","n/a",IF(BE$3&gt;(A23stdlife+$E369),('PTRM input'!$L$165*(1+rvanilla06)^0.5)-SUM($L369:BD369),('PTRM input'!$L$165*(1+rvanilla06)^0.5)/A23stdlife))</f>
        <v>0</v>
      </c>
      <c r="BF369" s="107">
        <f>IF(A23stdlife="n/a","n/a",IF(BF$3&gt;(A23stdlife+$E369),('PTRM input'!$L$165*(1+rvanilla06)^0.5)-SUM($L369:BE369),('PTRM input'!$L$165*(1+rvanilla06)^0.5)/A23stdlife))</f>
        <v>0</v>
      </c>
      <c r="BG369" s="107">
        <f>IF(A23stdlife="n/a","n/a",IF(BG$3&gt;(A23stdlife+$E369),('PTRM input'!$L$165*(1+rvanilla06)^0.5)-SUM($L369:BF369),('PTRM input'!$L$165*(1+rvanilla06)^0.5)/A23stdlife))</f>
        <v>0</v>
      </c>
      <c r="BH369" s="107">
        <f>IF(A23stdlife="n/a","n/a",IF(BH$3&gt;(A23stdlife+$E369),('PTRM input'!$L$165*(1+rvanilla06)^0.5)-SUM($L369:BG369),('PTRM input'!$L$165*(1+rvanilla06)^0.5)/A23stdlife))</f>
        <v>0</v>
      </c>
      <c r="BI369" s="107">
        <f>IF(A23stdlife="n/a","n/a",IF(BI$3&gt;(A23stdlife+$E369),('PTRM input'!$L$165*(1+rvanilla06)^0.5)-SUM($L369:BH369),('PTRM input'!$L$165*(1+rvanilla06)^0.5)/A23stdlife))</f>
        <v>0</v>
      </c>
      <c r="BJ369" s="237"/>
      <c r="BK369" s="237"/>
      <c r="BL369" s="237"/>
      <c r="BM369" s="237"/>
    </row>
    <row r="370" spans="1:65" s="190" customFormat="1" hidden="1" outlineLevel="2">
      <c r="A370" s="237"/>
      <c r="B370" s="33"/>
      <c r="C370" s="32"/>
      <c r="D370" s="1618"/>
      <c r="E370" s="169">
        <v>7</v>
      </c>
      <c r="F370" s="35"/>
      <c r="G370" s="184"/>
      <c r="H370" s="186"/>
      <c r="I370" s="186"/>
      <c r="J370" s="186"/>
      <c r="K370" s="186"/>
      <c r="L370" s="186"/>
      <c r="M370" s="185"/>
      <c r="N370" s="107">
        <f>IF(A23stdlife="n/a","n/a",IF(N$3&gt;(A23stdlife+$E370),('PTRM input'!$M$165*(1+rvanilla07)^0.5)-SUM($M370:M370),('PTRM input'!$M$165*(1+rvanilla07)^0.5)/A23stdlife))</f>
        <v>0</v>
      </c>
      <c r="O370" s="107">
        <f>IF(A23stdlife="n/a","n/a",IF(O$3&gt;(A23stdlife+$E370),('PTRM input'!$M$165*(1+rvanilla07)^0.5)-SUM($M370:N370),('PTRM input'!$M$165*(1+rvanilla07)^0.5)/A23stdlife))</f>
        <v>0</v>
      </c>
      <c r="P370" s="107">
        <f>IF(A23stdlife="n/a","n/a",IF(P$3&gt;(A23stdlife+$E370),('PTRM input'!$M$165*(1+rvanilla07)^0.5)-SUM($M370:O370),('PTRM input'!$M$165*(1+rvanilla07)^0.5)/A23stdlife))</f>
        <v>0</v>
      </c>
      <c r="Q370" s="107">
        <f>IF(A23stdlife="n/a","n/a",IF(Q$3&gt;(A23stdlife+$E370),('PTRM input'!$M$165*(1+rvanilla07)^0.5)-SUM($M370:P370),('PTRM input'!$M$165*(1+rvanilla07)^0.5)/A23stdlife))</f>
        <v>0</v>
      </c>
      <c r="R370" s="107">
        <f>IF(A23stdlife="n/a","n/a",IF(R$3&gt;(A23stdlife+$E370),('PTRM input'!$M$165*(1+rvanilla07)^0.5)-SUM($M370:Q370),('PTRM input'!$M$165*(1+rvanilla07)^0.5)/A23stdlife))</f>
        <v>0</v>
      </c>
      <c r="S370" s="107">
        <f>IF(A23stdlife="n/a","n/a",IF(S$3&gt;(A23stdlife+$E370),('PTRM input'!$M$165*(1+rvanilla07)^0.5)-SUM($M370:R370),('PTRM input'!$M$165*(1+rvanilla07)^0.5)/A23stdlife))</f>
        <v>0</v>
      </c>
      <c r="T370" s="107">
        <f>IF(A23stdlife="n/a","n/a",IF(T$3&gt;(A23stdlife+$E370),('PTRM input'!$M$165*(1+rvanilla07)^0.5)-SUM($M370:S370),('PTRM input'!$M$165*(1+rvanilla07)^0.5)/A23stdlife))</f>
        <v>0</v>
      </c>
      <c r="U370" s="107">
        <f>IF(A23stdlife="n/a","n/a",IF(U$3&gt;(A23stdlife+$E370),('PTRM input'!$M$165*(1+rvanilla07)^0.5)-SUM($M370:T370),('PTRM input'!$M$165*(1+rvanilla07)^0.5)/A23stdlife))</f>
        <v>0</v>
      </c>
      <c r="V370" s="107">
        <f>IF(A23stdlife="n/a","n/a",IF(V$3&gt;(A23stdlife+$E370),('PTRM input'!$M$165*(1+rvanilla07)^0.5)-SUM($M370:U370),('PTRM input'!$M$165*(1+rvanilla07)^0.5)/A23stdlife))</f>
        <v>0</v>
      </c>
      <c r="W370" s="107">
        <f>IF(A23stdlife="n/a","n/a",IF(W$3&gt;(A23stdlife+$E370),('PTRM input'!$M$165*(1+rvanilla07)^0.5)-SUM($M370:V370),('PTRM input'!$M$165*(1+rvanilla07)^0.5)/A23stdlife))</f>
        <v>0</v>
      </c>
      <c r="X370" s="107">
        <f>IF(A23stdlife="n/a","n/a",IF(X$3&gt;(A23stdlife+$E370),('PTRM input'!$M$165*(1+rvanilla07)^0.5)-SUM($M370:W370),('PTRM input'!$M$165*(1+rvanilla07)^0.5)/A23stdlife))</f>
        <v>0</v>
      </c>
      <c r="Y370" s="107">
        <f>IF(A23stdlife="n/a","n/a",IF(Y$3&gt;(A23stdlife+$E370),('PTRM input'!$M$165*(1+rvanilla07)^0.5)-SUM($M370:X370),('PTRM input'!$M$165*(1+rvanilla07)^0.5)/A23stdlife))</f>
        <v>0</v>
      </c>
      <c r="Z370" s="107">
        <f>IF(A23stdlife="n/a","n/a",IF(Z$3&gt;(A23stdlife+$E370),('PTRM input'!$M$165*(1+rvanilla07)^0.5)-SUM($M370:Y370),('PTRM input'!$M$165*(1+rvanilla07)^0.5)/A23stdlife))</f>
        <v>0</v>
      </c>
      <c r="AA370" s="107">
        <f>IF(A23stdlife="n/a","n/a",IF(AA$3&gt;(A23stdlife+$E370),('PTRM input'!$M$165*(1+rvanilla07)^0.5)-SUM($M370:Z370),('PTRM input'!$M$165*(1+rvanilla07)^0.5)/A23stdlife))</f>
        <v>0</v>
      </c>
      <c r="AB370" s="107">
        <f>IF(A23stdlife="n/a","n/a",IF(AB$3&gt;(A23stdlife+$E370),('PTRM input'!$M$165*(1+rvanilla07)^0.5)-SUM($M370:AA370),('PTRM input'!$M$165*(1+rvanilla07)^0.5)/A23stdlife))</f>
        <v>0</v>
      </c>
      <c r="AC370" s="107">
        <f>IF(A23stdlife="n/a","n/a",IF(AC$3&gt;(A23stdlife+$E370),('PTRM input'!$M$165*(1+rvanilla07)^0.5)-SUM($M370:AB370),('PTRM input'!$M$165*(1+rvanilla07)^0.5)/A23stdlife))</f>
        <v>0</v>
      </c>
      <c r="AD370" s="107">
        <f>IF(A23stdlife="n/a","n/a",IF(AD$3&gt;(A23stdlife+$E370),('PTRM input'!$M$165*(1+rvanilla07)^0.5)-SUM($M370:AC370),('PTRM input'!$M$165*(1+rvanilla07)^0.5)/A23stdlife))</f>
        <v>0</v>
      </c>
      <c r="AE370" s="107">
        <f>IF(A23stdlife="n/a","n/a",IF(AE$3&gt;(A23stdlife+$E370),('PTRM input'!$M$165*(1+rvanilla07)^0.5)-SUM($M370:AD370),('PTRM input'!$M$165*(1+rvanilla07)^0.5)/A23stdlife))</f>
        <v>0</v>
      </c>
      <c r="AF370" s="107">
        <f>IF(A23stdlife="n/a","n/a",IF(AF$3&gt;(A23stdlife+$E370),('PTRM input'!$M$165*(1+rvanilla07)^0.5)-SUM($M370:AE370),('PTRM input'!$M$165*(1+rvanilla07)^0.5)/A23stdlife))</f>
        <v>0</v>
      </c>
      <c r="AG370" s="107">
        <f>IF(A23stdlife="n/a","n/a",IF(AG$3&gt;(A23stdlife+$E370),('PTRM input'!$M$165*(1+rvanilla07)^0.5)-SUM($M370:AF370),('PTRM input'!$M$165*(1+rvanilla07)^0.5)/A23stdlife))</f>
        <v>0</v>
      </c>
      <c r="AH370" s="107">
        <f>IF(A23stdlife="n/a","n/a",IF(AH$3&gt;(A23stdlife+$E370),('PTRM input'!$M$165*(1+rvanilla07)^0.5)-SUM($M370:AG370),('PTRM input'!$M$165*(1+rvanilla07)^0.5)/A23stdlife))</f>
        <v>0</v>
      </c>
      <c r="AI370" s="107">
        <f>IF(A23stdlife="n/a","n/a",IF(AI$3&gt;(A23stdlife+$E370),('PTRM input'!$M$165*(1+rvanilla07)^0.5)-SUM($M370:AH370),('PTRM input'!$M$165*(1+rvanilla07)^0.5)/A23stdlife))</f>
        <v>0</v>
      </c>
      <c r="AJ370" s="107">
        <f>IF(A23stdlife="n/a","n/a",IF(AJ$3&gt;(A23stdlife+$E370),('PTRM input'!$M$165*(1+rvanilla07)^0.5)-SUM($M370:AI370),('PTRM input'!$M$165*(1+rvanilla07)^0.5)/A23stdlife))</f>
        <v>0</v>
      </c>
      <c r="AK370" s="107">
        <f>IF(A23stdlife="n/a","n/a",IF(AK$3&gt;(A23stdlife+$E370),('PTRM input'!$M$165*(1+rvanilla07)^0.5)-SUM($M370:AJ370),('PTRM input'!$M$165*(1+rvanilla07)^0.5)/A23stdlife))</f>
        <v>0</v>
      </c>
      <c r="AL370" s="107">
        <f>IF(A23stdlife="n/a","n/a",IF(AL$3&gt;(A23stdlife+$E370),('PTRM input'!$M$165*(1+rvanilla07)^0.5)-SUM($M370:AK370),('PTRM input'!$M$165*(1+rvanilla07)^0.5)/A23stdlife))</f>
        <v>0</v>
      </c>
      <c r="AM370" s="107">
        <f>IF(A23stdlife="n/a","n/a",IF(AM$3&gt;(A23stdlife+$E370),('PTRM input'!$M$165*(1+rvanilla07)^0.5)-SUM($M370:AL370),('PTRM input'!$M$165*(1+rvanilla07)^0.5)/A23stdlife))</f>
        <v>0</v>
      </c>
      <c r="AN370" s="107">
        <f>IF(A23stdlife="n/a","n/a",IF(AN$3&gt;(A23stdlife+$E370),('PTRM input'!$M$165*(1+rvanilla07)^0.5)-SUM($M370:AM370),('PTRM input'!$M$165*(1+rvanilla07)^0.5)/A23stdlife))</f>
        <v>0</v>
      </c>
      <c r="AO370" s="107">
        <f>IF(A23stdlife="n/a","n/a",IF(AO$3&gt;(A23stdlife+$E370),('PTRM input'!$M$165*(1+rvanilla07)^0.5)-SUM($M370:AN370),('PTRM input'!$M$165*(1+rvanilla07)^0.5)/A23stdlife))</f>
        <v>0</v>
      </c>
      <c r="AP370" s="107">
        <f>IF(A23stdlife="n/a","n/a",IF(AP$3&gt;(A23stdlife+$E370),('PTRM input'!$M$165*(1+rvanilla07)^0.5)-SUM($M370:AO370),('PTRM input'!$M$165*(1+rvanilla07)^0.5)/A23stdlife))</f>
        <v>0</v>
      </c>
      <c r="AQ370" s="107">
        <f>IF(A23stdlife="n/a","n/a",IF(AQ$3&gt;(A23stdlife+$E370),('PTRM input'!$M$165*(1+rvanilla07)^0.5)-SUM($M370:AP370),('PTRM input'!$M$165*(1+rvanilla07)^0.5)/A23stdlife))</f>
        <v>0</v>
      </c>
      <c r="AR370" s="107">
        <f>IF(A23stdlife="n/a","n/a",IF(AR$3&gt;(A23stdlife+$E370),('PTRM input'!$M$165*(1+rvanilla07)^0.5)-SUM($M370:AQ370),('PTRM input'!$M$165*(1+rvanilla07)^0.5)/A23stdlife))</f>
        <v>0</v>
      </c>
      <c r="AS370" s="107">
        <f>IF(A23stdlife="n/a","n/a",IF(AS$3&gt;(A23stdlife+$E370),('PTRM input'!$M$165*(1+rvanilla07)^0.5)-SUM($M370:AR370),('PTRM input'!$M$165*(1+rvanilla07)^0.5)/A23stdlife))</f>
        <v>0</v>
      </c>
      <c r="AT370" s="107">
        <f>IF(A23stdlife="n/a","n/a",IF(AT$3&gt;(A23stdlife+$E370),('PTRM input'!$M$165*(1+rvanilla07)^0.5)-SUM($M370:AS370),('PTRM input'!$M$165*(1+rvanilla07)^0.5)/A23stdlife))</f>
        <v>0</v>
      </c>
      <c r="AU370" s="107">
        <f>IF(A23stdlife="n/a","n/a",IF(AU$3&gt;(A23stdlife+$E370),('PTRM input'!$M$165*(1+rvanilla07)^0.5)-SUM($M370:AT370),('PTRM input'!$M$165*(1+rvanilla07)^0.5)/A23stdlife))</f>
        <v>0</v>
      </c>
      <c r="AV370" s="107">
        <f>IF(A23stdlife="n/a","n/a",IF(AV$3&gt;(A23stdlife+$E370),('PTRM input'!$M$165*(1+rvanilla07)^0.5)-SUM($M370:AU370),('PTRM input'!$M$165*(1+rvanilla07)^0.5)/A23stdlife))</f>
        <v>0</v>
      </c>
      <c r="AW370" s="107">
        <f>IF(A23stdlife="n/a","n/a",IF(AW$3&gt;(A23stdlife+$E370),('PTRM input'!$M$165*(1+rvanilla07)^0.5)-SUM($M370:AV370),('PTRM input'!$M$165*(1+rvanilla07)^0.5)/A23stdlife))</f>
        <v>0</v>
      </c>
      <c r="AX370" s="107">
        <f>IF(A23stdlife="n/a","n/a",IF(AX$3&gt;(A23stdlife+$E370),('PTRM input'!$M$165*(1+rvanilla07)^0.5)-SUM($M370:AW370),('PTRM input'!$M$165*(1+rvanilla07)^0.5)/A23stdlife))</f>
        <v>0</v>
      </c>
      <c r="AY370" s="107">
        <f>IF(A23stdlife="n/a","n/a",IF(AY$3&gt;(A23stdlife+$E370),('PTRM input'!$M$165*(1+rvanilla07)^0.5)-SUM($M370:AX370),('PTRM input'!$M$165*(1+rvanilla07)^0.5)/A23stdlife))</f>
        <v>0</v>
      </c>
      <c r="AZ370" s="107">
        <f>IF(A23stdlife="n/a","n/a",IF(AZ$3&gt;(A23stdlife+$E370),('PTRM input'!$M$165*(1+rvanilla07)^0.5)-SUM($M370:AY370),('PTRM input'!$M$165*(1+rvanilla07)^0.5)/A23stdlife))</f>
        <v>0</v>
      </c>
      <c r="BA370" s="107">
        <f>IF(A23stdlife="n/a","n/a",IF(BA$3&gt;(A23stdlife+$E370),('PTRM input'!$M$165*(1+rvanilla07)^0.5)-SUM($M370:AZ370),('PTRM input'!$M$165*(1+rvanilla07)^0.5)/A23stdlife))</f>
        <v>0</v>
      </c>
      <c r="BB370" s="107">
        <f>IF(A23stdlife="n/a","n/a",IF(BB$3&gt;(A23stdlife+$E370),('PTRM input'!$M$165*(1+rvanilla07)^0.5)-SUM($M370:BA370),('PTRM input'!$M$165*(1+rvanilla07)^0.5)/A23stdlife))</f>
        <v>0</v>
      </c>
      <c r="BC370" s="107">
        <f>IF(A23stdlife="n/a","n/a",IF(BC$3&gt;(A23stdlife+$E370),('PTRM input'!$M$165*(1+rvanilla07)^0.5)-SUM($M370:BB370),('PTRM input'!$M$165*(1+rvanilla07)^0.5)/A23stdlife))</f>
        <v>0</v>
      </c>
      <c r="BD370" s="107">
        <f>IF(A23stdlife="n/a","n/a",IF(BD$3&gt;(A23stdlife+$E370),('PTRM input'!$M$165*(1+rvanilla07)^0.5)-SUM($M370:BC370),('PTRM input'!$M$165*(1+rvanilla07)^0.5)/A23stdlife))</f>
        <v>0</v>
      </c>
      <c r="BE370" s="107">
        <f>IF(A23stdlife="n/a","n/a",IF(BE$3&gt;(A23stdlife+$E370),('PTRM input'!$M$165*(1+rvanilla07)^0.5)-SUM($M370:BD370),('PTRM input'!$M$165*(1+rvanilla07)^0.5)/A23stdlife))</f>
        <v>0</v>
      </c>
      <c r="BF370" s="107">
        <f>IF(A23stdlife="n/a","n/a",IF(BF$3&gt;(A23stdlife+$E370),('PTRM input'!$M$165*(1+rvanilla07)^0.5)-SUM($M370:BE370),('PTRM input'!$M$165*(1+rvanilla07)^0.5)/A23stdlife))</f>
        <v>0</v>
      </c>
      <c r="BG370" s="107">
        <f>IF(A23stdlife="n/a","n/a",IF(BG$3&gt;(A23stdlife+$E370),('PTRM input'!$M$165*(1+rvanilla07)^0.5)-SUM($M370:BF370),('PTRM input'!$M$165*(1+rvanilla07)^0.5)/A23stdlife))</f>
        <v>0</v>
      </c>
      <c r="BH370" s="107">
        <f>IF(A23stdlife="n/a","n/a",IF(BH$3&gt;(A23stdlife+$E370),('PTRM input'!$M$165*(1+rvanilla07)^0.5)-SUM($M370:BG370),('PTRM input'!$M$165*(1+rvanilla07)^0.5)/A23stdlife))</f>
        <v>0</v>
      </c>
      <c r="BI370" s="107">
        <f>IF(A23stdlife="n/a","n/a",IF(BI$3&gt;(A23stdlife+$E370),('PTRM input'!$M$165*(1+rvanilla07)^0.5)-SUM($M370:BH370),('PTRM input'!$M$165*(1+rvanilla07)^0.5)/A23stdlife))</f>
        <v>0</v>
      </c>
      <c r="BJ370" s="237"/>
      <c r="BK370" s="237"/>
      <c r="BL370" s="237"/>
      <c r="BM370" s="237"/>
    </row>
    <row r="371" spans="1:65" s="190" customFormat="1" hidden="1" outlineLevel="2">
      <c r="A371" s="237"/>
      <c r="B371" s="33"/>
      <c r="C371" s="32"/>
      <c r="D371" s="1618"/>
      <c r="E371" s="169">
        <v>8</v>
      </c>
      <c r="F371" s="35"/>
      <c r="G371" s="184"/>
      <c r="H371" s="186"/>
      <c r="I371" s="186"/>
      <c r="J371" s="186"/>
      <c r="K371" s="186"/>
      <c r="L371" s="186"/>
      <c r="M371" s="186"/>
      <c r="N371" s="185"/>
      <c r="O371" s="107">
        <f>IF(A23stdlife="n/a","n/a",IF(O$3&gt;(A23stdlife+$E371),('PTRM input'!$N$165*(1+rvanilla08)^0.5)-SUM($N371:N371),('PTRM input'!$N$165*(1+rvanilla08)^0.5)/A23stdlife))</f>
        <v>0</v>
      </c>
      <c r="P371" s="107">
        <f>IF(A23stdlife="n/a","n/a",IF(P$3&gt;(A23stdlife+$E371),('PTRM input'!$N$165*(1+rvanilla08)^0.5)-SUM($N371:O371),('PTRM input'!$N$165*(1+rvanilla08)^0.5)/A23stdlife))</f>
        <v>0</v>
      </c>
      <c r="Q371" s="107">
        <f>IF(A23stdlife="n/a","n/a",IF(Q$3&gt;(A23stdlife+$E371),('PTRM input'!$N$165*(1+rvanilla08)^0.5)-SUM($N371:P371),('PTRM input'!$N$165*(1+rvanilla08)^0.5)/A23stdlife))</f>
        <v>0</v>
      </c>
      <c r="R371" s="107">
        <f>IF(A23stdlife="n/a","n/a",IF(R$3&gt;(A23stdlife+$E371),('PTRM input'!$N$165*(1+rvanilla08)^0.5)-SUM($N371:Q371),('PTRM input'!$N$165*(1+rvanilla08)^0.5)/A23stdlife))</f>
        <v>0</v>
      </c>
      <c r="S371" s="107">
        <f>IF(A23stdlife="n/a","n/a",IF(S$3&gt;(A23stdlife+$E371),('PTRM input'!$N$165*(1+rvanilla08)^0.5)-SUM($N371:R371),('PTRM input'!$N$165*(1+rvanilla08)^0.5)/A23stdlife))</f>
        <v>0</v>
      </c>
      <c r="T371" s="107">
        <f>IF(A23stdlife="n/a","n/a",IF(T$3&gt;(A23stdlife+$E371),('PTRM input'!$N$165*(1+rvanilla08)^0.5)-SUM($N371:S371),('PTRM input'!$N$165*(1+rvanilla08)^0.5)/A23stdlife))</f>
        <v>0</v>
      </c>
      <c r="U371" s="107">
        <f>IF(A23stdlife="n/a","n/a",IF(U$3&gt;(A23stdlife+$E371),('PTRM input'!$N$165*(1+rvanilla08)^0.5)-SUM($N371:T371),('PTRM input'!$N$165*(1+rvanilla08)^0.5)/A23stdlife))</f>
        <v>0</v>
      </c>
      <c r="V371" s="107">
        <f>IF(A23stdlife="n/a","n/a",IF(V$3&gt;(A23stdlife+$E371),('PTRM input'!$N$165*(1+rvanilla08)^0.5)-SUM($N371:U371),('PTRM input'!$N$165*(1+rvanilla08)^0.5)/A23stdlife))</f>
        <v>0</v>
      </c>
      <c r="W371" s="107">
        <f>IF(A23stdlife="n/a","n/a",IF(W$3&gt;(A23stdlife+$E371),('PTRM input'!$N$165*(1+rvanilla08)^0.5)-SUM($N371:V371),('PTRM input'!$N$165*(1+rvanilla08)^0.5)/A23stdlife))</f>
        <v>0</v>
      </c>
      <c r="X371" s="107">
        <f>IF(A23stdlife="n/a","n/a",IF(X$3&gt;(A23stdlife+$E371),('PTRM input'!$N$165*(1+rvanilla08)^0.5)-SUM($N371:W371),('PTRM input'!$N$165*(1+rvanilla08)^0.5)/A23stdlife))</f>
        <v>0</v>
      </c>
      <c r="Y371" s="107">
        <f>IF(A23stdlife="n/a","n/a",IF(Y$3&gt;(A23stdlife+$E371),('PTRM input'!$N$165*(1+rvanilla08)^0.5)-SUM($N371:X371),('PTRM input'!$N$165*(1+rvanilla08)^0.5)/A23stdlife))</f>
        <v>0</v>
      </c>
      <c r="Z371" s="107">
        <f>IF(A23stdlife="n/a","n/a",IF(Z$3&gt;(A23stdlife+$E371),('PTRM input'!$N$165*(1+rvanilla08)^0.5)-SUM($N371:Y371),('PTRM input'!$N$165*(1+rvanilla08)^0.5)/A23stdlife))</f>
        <v>0</v>
      </c>
      <c r="AA371" s="107">
        <f>IF(A23stdlife="n/a","n/a",IF(AA$3&gt;(A23stdlife+$E371),('PTRM input'!$N$165*(1+rvanilla08)^0.5)-SUM($N371:Z371),('PTRM input'!$N$165*(1+rvanilla08)^0.5)/A23stdlife))</f>
        <v>0</v>
      </c>
      <c r="AB371" s="107">
        <f>IF(A23stdlife="n/a","n/a",IF(AB$3&gt;(A23stdlife+$E371),('PTRM input'!$N$165*(1+rvanilla08)^0.5)-SUM($N371:AA371),('PTRM input'!$N$165*(1+rvanilla08)^0.5)/A23stdlife))</f>
        <v>0</v>
      </c>
      <c r="AC371" s="107">
        <f>IF(A23stdlife="n/a","n/a",IF(AC$3&gt;(A23stdlife+$E371),('PTRM input'!$N$165*(1+rvanilla08)^0.5)-SUM($N371:AB371),('PTRM input'!$N$165*(1+rvanilla08)^0.5)/A23stdlife))</f>
        <v>0</v>
      </c>
      <c r="AD371" s="107">
        <f>IF(A23stdlife="n/a","n/a",IF(AD$3&gt;(A23stdlife+$E371),('PTRM input'!$N$165*(1+rvanilla08)^0.5)-SUM($N371:AC371),('PTRM input'!$N$165*(1+rvanilla08)^0.5)/A23stdlife))</f>
        <v>0</v>
      </c>
      <c r="AE371" s="107">
        <f>IF(A23stdlife="n/a","n/a",IF(AE$3&gt;(A23stdlife+$E371),('PTRM input'!$N$165*(1+rvanilla08)^0.5)-SUM($N371:AD371),('PTRM input'!$N$165*(1+rvanilla08)^0.5)/A23stdlife))</f>
        <v>0</v>
      </c>
      <c r="AF371" s="107">
        <f>IF(A23stdlife="n/a","n/a",IF(AF$3&gt;(A23stdlife+$E371),('PTRM input'!$N$165*(1+rvanilla08)^0.5)-SUM($N371:AE371),('PTRM input'!$N$165*(1+rvanilla08)^0.5)/A23stdlife))</f>
        <v>0</v>
      </c>
      <c r="AG371" s="107">
        <f>IF(A23stdlife="n/a","n/a",IF(AG$3&gt;(A23stdlife+$E371),('PTRM input'!$N$165*(1+rvanilla08)^0.5)-SUM($N371:AF371),('PTRM input'!$N$165*(1+rvanilla08)^0.5)/A23stdlife))</f>
        <v>0</v>
      </c>
      <c r="AH371" s="107">
        <f>IF(A23stdlife="n/a","n/a",IF(AH$3&gt;(A23stdlife+$E371),('PTRM input'!$N$165*(1+rvanilla08)^0.5)-SUM($N371:AG371),('PTRM input'!$N$165*(1+rvanilla08)^0.5)/A23stdlife))</f>
        <v>0</v>
      </c>
      <c r="AI371" s="107">
        <f>IF(A23stdlife="n/a","n/a",IF(AI$3&gt;(A23stdlife+$E371),('PTRM input'!$N$165*(1+rvanilla08)^0.5)-SUM($N371:AH371),('PTRM input'!$N$165*(1+rvanilla08)^0.5)/A23stdlife))</f>
        <v>0</v>
      </c>
      <c r="AJ371" s="107">
        <f>IF(A23stdlife="n/a","n/a",IF(AJ$3&gt;(A23stdlife+$E371),('PTRM input'!$N$165*(1+rvanilla08)^0.5)-SUM($N371:AI371),('PTRM input'!$N$165*(1+rvanilla08)^0.5)/A23stdlife))</f>
        <v>0</v>
      </c>
      <c r="AK371" s="107">
        <f>IF(A23stdlife="n/a","n/a",IF(AK$3&gt;(A23stdlife+$E371),('PTRM input'!$N$165*(1+rvanilla08)^0.5)-SUM($N371:AJ371),('PTRM input'!$N$165*(1+rvanilla08)^0.5)/A23stdlife))</f>
        <v>0</v>
      </c>
      <c r="AL371" s="107">
        <f>IF(A23stdlife="n/a","n/a",IF(AL$3&gt;(A23stdlife+$E371),('PTRM input'!$N$165*(1+rvanilla08)^0.5)-SUM($N371:AK371),('PTRM input'!$N$165*(1+rvanilla08)^0.5)/A23stdlife))</f>
        <v>0</v>
      </c>
      <c r="AM371" s="107">
        <f>IF(A23stdlife="n/a","n/a",IF(AM$3&gt;(A23stdlife+$E371),('PTRM input'!$N$165*(1+rvanilla08)^0.5)-SUM($N371:AL371),('PTRM input'!$N$165*(1+rvanilla08)^0.5)/A23stdlife))</f>
        <v>0</v>
      </c>
      <c r="AN371" s="107">
        <f>IF(A23stdlife="n/a","n/a",IF(AN$3&gt;(A23stdlife+$E371),('PTRM input'!$N$165*(1+rvanilla08)^0.5)-SUM($N371:AM371),('PTRM input'!$N$165*(1+rvanilla08)^0.5)/A23stdlife))</f>
        <v>0</v>
      </c>
      <c r="AO371" s="107">
        <f>IF(A23stdlife="n/a","n/a",IF(AO$3&gt;(A23stdlife+$E371),('PTRM input'!$N$165*(1+rvanilla08)^0.5)-SUM($N371:AN371),('PTRM input'!$N$165*(1+rvanilla08)^0.5)/A23stdlife))</f>
        <v>0</v>
      </c>
      <c r="AP371" s="107">
        <f>IF(A23stdlife="n/a","n/a",IF(AP$3&gt;(A23stdlife+$E371),('PTRM input'!$N$165*(1+rvanilla08)^0.5)-SUM($N371:AO371),('PTRM input'!$N$165*(1+rvanilla08)^0.5)/A23stdlife))</f>
        <v>0</v>
      </c>
      <c r="AQ371" s="107">
        <f>IF(A23stdlife="n/a","n/a",IF(AQ$3&gt;(A23stdlife+$E371),('PTRM input'!$N$165*(1+rvanilla08)^0.5)-SUM($N371:AP371),('PTRM input'!$N$165*(1+rvanilla08)^0.5)/A23stdlife))</f>
        <v>0</v>
      </c>
      <c r="AR371" s="107">
        <f>IF(A23stdlife="n/a","n/a",IF(AR$3&gt;(A23stdlife+$E371),('PTRM input'!$N$165*(1+rvanilla08)^0.5)-SUM($N371:AQ371),('PTRM input'!$N$165*(1+rvanilla08)^0.5)/A23stdlife))</f>
        <v>0</v>
      </c>
      <c r="AS371" s="107">
        <f>IF(A23stdlife="n/a","n/a",IF(AS$3&gt;(A23stdlife+$E371),('PTRM input'!$N$165*(1+rvanilla08)^0.5)-SUM($N371:AR371),('PTRM input'!$N$165*(1+rvanilla08)^0.5)/A23stdlife))</f>
        <v>0</v>
      </c>
      <c r="AT371" s="107">
        <f>IF(A23stdlife="n/a","n/a",IF(AT$3&gt;(A23stdlife+$E371),('PTRM input'!$N$165*(1+rvanilla08)^0.5)-SUM($N371:AS371),('PTRM input'!$N$165*(1+rvanilla08)^0.5)/A23stdlife))</f>
        <v>0</v>
      </c>
      <c r="AU371" s="107">
        <f>IF(A23stdlife="n/a","n/a",IF(AU$3&gt;(A23stdlife+$E371),('PTRM input'!$N$165*(1+rvanilla08)^0.5)-SUM($N371:AT371),('PTRM input'!$N$165*(1+rvanilla08)^0.5)/A23stdlife))</f>
        <v>0</v>
      </c>
      <c r="AV371" s="107">
        <f>IF(A23stdlife="n/a","n/a",IF(AV$3&gt;(A23stdlife+$E371),('PTRM input'!$N$165*(1+rvanilla08)^0.5)-SUM($N371:AU371),('PTRM input'!$N$165*(1+rvanilla08)^0.5)/A23stdlife))</f>
        <v>0</v>
      </c>
      <c r="AW371" s="107">
        <f>IF(A23stdlife="n/a","n/a",IF(AW$3&gt;(A23stdlife+$E371),('PTRM input'!$N$165*(1+rvanilla08)^0.5)-SUM($N371:AV371),('PTRM input'!$N$165*(1+rvanilla08)^0.5)/A23stdlife))</f>
        <v>0</v>
      </c>
      <c r="AX371" s="107">
        <f>IF(A23stdlife="n/a","n/a",IF(AX$3&gt;(A23stdlife+$E371),('PTRM input'!$N$165*(1+rvanilla08)^0.5)-SUM($N371:AW371),('PTRM input'!$N$165*(1+rvanilla08)^0.5)/A23stdlife))</f>
        <v>0</v>
      </c>
      <c r="AY371" s="107">
        <f>IF(A23stdlife="n/a","n/a",IF(AY$3&gt;(A23stdlife+$E371),('PTRM input'!$N$165*(1+rvanilla08)^0.5)-SUM($N371:AX371),('PTRM input'!$N$165*(1+rvanilla08)^0.5)/A23stdlife))</f>
        <v>0</v>
      </c>
      <c r="AZ371" s="107">
        <f>IF(A23stdlife="n/a","n/a",IF(AZ$3&gt;(A23stdlife+$E371),('PTRM input'!$N$165*(1+rvanilla08)^0.5)-SUM($N371:AY371),('PTRM input'!$N$165*(1+rvanilla08)^0.5)/A23stdlife))</f>
        <v>0</v>
      </c>
      <c r="BA371" s="107">
        <f>IF(A23stdlife="n/a","n/a",IF(BA$3&gt;(A23stdlife+$E371),('PTRM input'!$N$165*(1+rvanilla08)^0.5)-SUM($N371:AZ371),('PTRM input'!$N$165*(1+rvanilla08)^0.5)/A23stdlife))</f>
        <v>0</v>
      </c>
      <c r="BB371" s="107">
        <f>IF(A23stdlife="n/a","n/a",IF(BB$3&gt;(A23stdlife+$E371),('PTRM input'!$N$165*(1+rvanilla08)^0.5)-SUM($N371:BA371),('PTRM input'!$N$165*(1+rvanilla08)^0.5)/A23stdlife))</f>
        <v>0</v>
      </c>
      <c r="BC371" s="107">
        <f>IF(A23stdlife="n/a","n/a",IF(BC$3&gt;(A23stdlife+$E371),('PTRM input'!$N$165*(1+rvanilla08)^0.5)-SUM($N371:BB371),('PTRM input'!$N$165*(1+rvanilla08)^0.5)/A23stdlife))</f>
        <v>0</v>
      </c>
      <c r="BD371" s="107">
        <f>IF(A23stdlife="n/a","n/a",IF(BD$3&gt;(A23stdlife+$E371),('PTRM input'!$N$165*(1+rvanilla08)^0.5)-SUM($N371:BC371),('PTRM input'!$N$165*(1+rvanilla08)^0.5)/A23stdlife))</f>
        <v>0</v>
      </c>
      <c r="BE371" s="107">
        <f>IF(A23stdlife="n/a","n/a",IF(BE$3&gt;(A23stdlife+$E371),('PTRM input'!$N$165*(1+rvanilla08)^0.5)-SUM($N371:BD371),('PTRM input'!$N$165*(1+rvanilla08)^0.5)/A23stdlife))</f>
        <v>0</v>
      </c>
      <c r="BF371" s="107">
        <f>IF(A23stdlife="n/a","n/a",IF(BF$3&gt;(A23stdlife+$E371),('PTRM input'!$N$165*(1+rvanilla08)^0.5)-SUM($N371:BE371),('PTRM input'!$N$165*(1+rvanilla08)^0.5)/A23stdlife))</f>
        <v>0</v>
      </c>
      <c r="BG371" s="107">
        <f>IF(A23stdlife="n/a","n/a",IF(BG$3&gt;(A23stdlife+$E371),('PTRM input'!$N$165*(1+rvanilla08)^0.5)-SUM($N371:BF371),('PTRM input'!$N$165*(1+rvanilla08)^0.5)/A23stdlife))</f>
        <v>0</v>
      </c>
      <c r="BH371" s="107">
        <f>IF(A23stdlife="n/a","n/a",IF(BH$3&gt;(A23stdlife+$E371),('PTRM input'!$N$165*(1+rvanilla08)^0.5)-SUM($N371:BG371),('PTRM input'!$N$165*(1+rvanilla08)^0.5)/A23stdlife))</f>
        <v>0</v>
      </c>
      <c r="BI371" s="107">
        <f>IF(A23stdlife="n/a","n/a",IF(BI$3&gt;(A23stdlife+$E371),('PTRM input'!$N$165*(1+rvanilla08)^0.5)-SUM($N371:BH371),('PTRM input'!$N$165*(1+rvanilla08)^0.5)/A23stdlife))</f>
        <v>0</v>
      </c>
      <c r="BJ371" s="237"/>
      <c r="BK371" s="237"/>
      <c r="BL371" s="237"/>
      <c r="BM371" s="237"/>
    </row>
    <row r="372" spans="1:65" s="190" customFormat="1" hidden="1" outlineLevel="2">
      <c r="A372" s="237"/>
      <c r="B372" s="33"/>
      <c r="C372" s="32"/>
      <c r="D372" s="1618"/>
      <c r="E372" s="169">
        <v>9</v>
      </c>
      <c r="F372" s="35"/>
      <c r="G372" s="184"/>
      <c r="H372" s="186"/>
      <c r="I372" s="186"/>
      <c r="J372" s="186"/>
      <c r="K372" s="186"/>
      <c r="L372" s="186"/>
      <c r="M372" s="186"/>
      <c r="N372" s="186"/>
      <c r="O372" s="185"/>
      <c r="P372" s="107">
        <f>IF(A23stdlife="n/a","n/a",IF(P$3&gt;(A23stdlife+$E372),('PTRM input'!$O$165*(1+rvanilla09)^0.5)-SUM($O372:O372),('PTRM input'!$O$165*(1+rvanilla09)^0.5)/A23stdlife))</f>
        <v>0</v>
      </c>
      <c r="Q372" s="107">
        <f>IF(A23stdlife="n/a","n/a",IF(Q$3&gt;(A23stdlife+$E372),('PTRM input'!$O$165*(1+rvanilla09)^0.5)-SUM($O372:P372),('PTRM input'!$O$165*(1+rvanilla09)^0.5)/A23stdlife))</f>
        <v>0</v>
      </c>
      <c r="R372" s="107">
        <f>IF(A23stdlife="n/a","n/a",IF(R$3&gt;(A23stdlife+$E372),('PTRM input'!$O$165*(1+rvanilla09)^0.5)-SUM($O372:Q372),('PTRM input'!$O$165*(1+rvanilla09)^0.5)/A23stdlife))</f>
        <v>0</v>
      </c>
      <c r="S372" s="107">
        <f>IF(A23stdlife="n/a","n/a",IF(S$3&gt;(A23stdlife+$E372),('PTRM input'!$O$165*(1+rvanilla09)^0.5)-SUM($O372:R372),('PTRM input'!$O$165*(1+rvanilla09)^0.5)/A23stdlife))</f>
        <v>0</v>
      </c>
      <c r="T372" s="107">
        <f>IF(A23stdlife="n/a","n/a",IF(T$3&gt;(A23stdlife+$E372),('PTRM input'!$O$165*(1+rvanilla09)^0.5)-SUM($O372:S372),('PTRM input'!$O$165*(1+rvanilla09)^0.5)/A23stdlife))</f>
        <v>0</v>
      </c>
      <c r="U372" s="107">
        <f>IF(A23stdlife="n/a","n/a",IF(U$3&gt;(A23stdlife+$E372),('PTRM input'!$O$165*(1+rvanilla09)^0.5)-SUM($O372:T372),('PTRM input'!$O$165*(1+rvanilla09)^0.5)/A23stdlife))</f>
        <v>0</v>
      </c>
      <c r="V372" s="107">
        <f>IF(A23stdlife="n/a","n/a",IF(V$3&gt;(A23stdlife+$E372),('PTRM input'!$O$165*(1+rvanilla09)^0.5)-SUM($O372:U372),('PTRM input'!$O$165*(1+rvanilla09)^0.5)/A23stdlife))</f>
        <v>0</v>
      </c>
      <c r="W372" s="107">
        <f>IF(A23stdlife="n/a","n/a",IF(W$3&gt;(A23stdlife+$E372),('PTRM input'!$O$165*(1+rvanilla09)^0.5)-SUM($O372:V372),('PTRM input'!$O$165*(1+rvanilla09)^0.5)/A23stdlife))</f>
        <v>0</v>
      </c>
      <c r="X372" s="107">
        <f>IF(A23stdlife="n/a","n/a",IF(X$3&gt;(A23stdlife+$E372),('PTRM input'!$O$165*(1+rvanilla09)^0.5)-SUM($O372:W372),('PTRM input'!$O$165*(1+rvanilla09)^0.5)/A23stdlife))</f>
        <v>0</v>
      </c>
      <c r="Y372" s="107">
        <f>IF(A23stdlife="n/a","n/a",IF(Y$3&gt;(A23stdlife+$E372),('PTRM input'!$O$165*(1+rvanilla09)^0.5)-SUM($O372:X372),('PTRM input'!$O$165*(1+rvanilla09)^0.5)/A23stdlife))</f>
        <v>0</v>
      </c>
      <c r="Z372" s="107">
        <f>IF(A23stdlife="n/a","n/a",IF(Z$3&gt;(A23stdlife+$E372),('PTRM input'!$O$165*(1+rvanilla09)^0.5)-SUM($O372:Y372),('PTRM input'!$O$165*(1+rvanilla09)^0.5)/A23stdlife))</f>
        <v>0</v>
      </c>
      <c r="AA372" s="107">
        <f>IF(A23stdlife="n/a","n/a",IF(AA$3&gt;(A23stdlife+$E372),('PTRM input'!$O$165*(1+rvanilla09)^0.5)-SUM($O372:Z372),('PTRM input'!$O$165*(1+rvanilla09)^0.5)/A23stdlife))</f>
        <v>0</v>
      </c>
      <c r="AB372" s="107">
        <f>IF(A23stdlife="n/a","n/a",IF(AB$3&gt;(A23stdlife+$E372),('PTRM input'!$O$165*(1+rvanilla09)^0.5)-SUM($O372:AA372),('PTRM input'!$O$165*(1+rvanilla09)^0.5)/A23stdlife))</f>
        <v>0</v>
      </c>
      <c r="AC372" s="107">
        <f>IF(A23stdlife="n/a","n/a",IF(AC$3&gt;(A23stdlife+$E372),('PTRM input'!$O$165*(1+rvanilla09)^0.5)-SUM($O372:AB372),('PTRM input'!$O$165*(1+rvanilla09)^0.5)/A23stdlife))</f>
        <v>0</v>
      </c>
      <c r="AD372" s="107">
        <f>IF(A23stdlife="n/a","n/a",IF(AD$3&gt;(A23stdlife+$E372),('PTRM input'!$O$165*(1+rvanilla09)^0.5)-SUM($O372:AC372),('PTRM input'!$O$165*(1+rvanilla09)^0.5)/A23stdlife))</f>
        <v>0</v>
      </c>
      <c r="AE372" s="107">
        <f>IF(A23stdlife="n/a","n/a",IF(AE$3&gt;(A23stdlife+$E372),('PTRM input'!$O$165*(1+rvanilla09)^0.5)-SUM($O372:AD372),('PTRM input'!$O$165*(1+rvanilla09)^0.5)/A23stdlife))</f>
        <v>0</v>
      </c>
      <c r="AF372" s="107">
        <f>IF(A23stdlife="n/a","n/a",IF(AF$3&gt;(A23stdlife+$E372),('PTRM input'!$O$165*(1+rvanilla09)^0.5)-SUM($O372:AE372),('PTRM input'!$O$165*(1+rvanilla09)^0.5)/A23stdlife))</f>
        <v>0</v>
      </c>
      <c r="AG372" s="107">
        <f>IF(A23stdlife="n/a","n/a",IF(AG$3&gt;(A23stdlife+$E372),('PTRM input'!$O$165*(1+rvanilla09)^0.5)-SUM($O372:AF372),('PTRM input'!$O$165*(1+rvanilla09)^0.5)/A23stdlife))</f>
        <v>0</v>
      </c>
      <c r="AH372" s="107">
        <f>IF(A23stdlife="n/a","n/a",IF(AH$3&gt;(A23stdlife+$E372),('PTRM input'!$O$165*(1+rvanilla09)^0.5)-SUM($O372:AG372),('PTRM input'!$O$165*(1+rvanilla09)^0.5)/A23stdlife))</f>
        <v>0</v>
      </c>
      <c r="AI372" s="107">
        <f>IF(A23stdlife="n/a","n/a",IF(AI$3&gt;(A23stdlife+$E372),('PTRM input'!$O$165*(1+rvanilla09)^0.5)-SUM($O372:AH372),('PTRM input'!$O$165*(1+rvanilla09)^0.5)/A23stdlife))</f>
        <v>0</v>
      </c>
      <c r="AJ372" s="107">
        <f>IF(A23stdlife="n/a","n/a",IF(AJ$3&gt;(A23stdlife+$E372),('PTRM input'!$O$165*(1+rvanilla09)^0.5)-SUM($O372:AI372),('PTRM input'!$O$165*(1+rvanilla09)^0.5)/A23stdlife))</f>
        <v>0</v>
      </c>
      <c r="AK372" s="107">
        <f>IF(A23stdlife="n/a","n/a",IF(AK$3&gt;(A23stdlife+$E372),('PTRM input'!$O$165*(1+rvanilla09)^0.5)-SUM($O372:AJ372),('PTRM input'!$O$165*(1+rvanilla09)^0.5)/A23stdlife))</f>
        <v>0</v>
      </c>
      <c r="AL372" s="107">
        <f>IF(A23stdlife="n/a","n/a",IF(AL$3&gt;(A23stdlife+$E372),('PTRM input'!$O$165*(1+rvanilla09)^0.5)-SUM($O372:AK372),('PTRM input'!$O$165*(1+rvanilla09)^0.5)/A23stdlife))</f>
        <v>0</v>
      </c>
      <c r="AM372" s="107">
        <f>IF(A23stdlife="n/a","n/a",IF(AM$3&gt;(A23stdlife+$E372),('PTRM input'!$O$165*(1+rvanilla09)^0.5)-SUM($O372:AL372),('PTRM input'!$O$165*(1+rvanilla09)^0.5)/A23stdlife))</f>
        <v>0</v>
      </c>
      <c r="AN372" s="107">
        <f>IF(A23stdlife="n/a","n/a",IF(AN$3&gt;(A23stdlife+$E372),('PTRM input'!$O$165*(1+rvanilla09)^0.5)-SUM($O372:AM372),('PTRM input'!$O$165*(1+rvanilla09)^0.5)/A23stdlife))</f>
        <v>0</v>
      </c>
      <c r="AO372" s="107">
        <f>IF(A23stdlife="n/a","n/a",IF(AO$3&gt;(A23stdlife+$E372),('PTRM input'!$O$165*(1+rvanilla09)^0.5)-SUM($O372:AN372),('PTRM input'!$O$165*(1+rvanilla09)^0.5)/A23stdlife))</f>
        <v>0</v>
      </c>
      <c r="AP372" s="107">
        <f>IF(A23stdlife="n/a","n/a",IF(AP$3&gt;(A23stdlife+$E372),('PTRM input'!$O$165*(1+rvanilla09)^0.5)-SUM($O372:AO372),('PTRM input'!$O$165*(1+rvanilla09)^0.5)/A23stdlife))</f>
        <v>0</v>
      </c>
      <c r="AQ372" s="107">
        <f>IF(A23stdlife="n/a","n/a",IF(AQ$3&gt;(A23stdlife+$E372),('PTRM input'!$O$165*(1+rvanilla09)^0.5)-SUM($O372:AP372),('PTRM input'!$O$165*(1+rvanilla09)^0.5)/A23stdlife))</f>
        <v>0</v>
      </c>
      <c r="AR372" s="107">
        <f>IF(A23stdlife="n/a","n/a",IF(AR$3&gt;(A23stdlife+$E372),('PTRM input'!$O$165*(1+rvanilla09)^0.5)-SUM($O372:AQ372),('PTRM input'!$O$165*(1+rvanilla09)^0.5)/A23stdlife))</f>
        <v>0</v>
      </c>
      <c r="AS372" s="107">
        <f>IF(A23stdlife="n/a","n/a",IF(AS$3&gt;(A23stdlife+$E372),('PTRM input'!$O$165*(1+rvanilla09)^0.5)-SUM($O372:AR372),('PTRM input'!$O$165*(1+rvanilla09)^0.5)/A23stdlife))</f>
        <v>0</v>
      </c>
      <c r="AT372" s="107">
        <f>IF(A23stdlife="n/a","n/a",IF(AT$3&gt;(A23stdlife+$E372),('PTRM input'!$O$165*(1+rvanilla09)^0.5)-SUM($O372:AS372),('PTRM input'!$O$165*(1+rvanilla09)^0.5)/A23stdlife))</f>
        <v>0</v>
      </c>
      <c r="AU372" s="107">
        <f>IF(A23stdlife="n/a","n/a",IF(AU$3&gt;(A23stdlife+$E372),('PTRM input'!$O$165*(1+rvanilla09)^0.5)-SUM($O372:AT372),('PTRM input'!$O$165*(1+rvanilla09)^0.5)/A23stdlife))</f>
        <v>0</v>
      </c>
      <c r="AV372" s="107">
        <f>IF(A23stdlife="n/a","n/a",IF(AV$3&gt;(A23stdlife+$E372),('PTRM input'!$O$165*(1+rvanilla09)^0.5)-SUM($O372:AU372),('PTRM input'!$O$165*(1+rvanilla09)^0.5)/A23stdlife))</f>
        <v>0</v>
      </c>
      <c r="AW372" s="107">
        <f>IF(A23stdlife="n/a","n/a",IF(AW$3&gt;(A23stdlife+$E372),('PTRM input'!$O$165*(1+rvanilla09)^0.5)-SUM($O372:AV372),('PTRM input'!$O$165*(1+rvanilla09)^0.5)/A23stdlife))</f>
        <v>0</v>
      </c>
      <c r="AX372" s="107">
        <f>IF(A23stdlife="n/a","n/a",IF(AX$3&gt;(A23stdlife+$E372),('PTRM input'!$O$165*(1+rvanilla09)^0.5)-SUM($O372:AW372),('PTRM input'!$O$165*(1+rvanilla09)^0.5)/A23stdlife))</f>
        <v>0</v>
      </c>
      <c r="AY372" s="107">
        <f>IF(A23stdlife="n/a","n/a",IF(AY$3&gt;(A23stdlife+$E372),('PTRM input'!$O$165*(1+rvanilla09)^0.5)-SUM($O372:AX372),('PTRM input'!$O$165*(1+rvanilla09)^0.5)/A23stdlife))</f>
        <v>0</v>
      </c>
      <c r="AZ372" s="107">
        <f>IF(A23stdlife="n/a","n/a",IF(AZ$3&gt;(A23stdlife+$E372),('PTRM input'!$O$165*(1+rvanilla09)^0.5)-SUM($O372:AY372),('PTRM input'!$O$165*(1+rvanilla09)^0.5)/A23stdlife))</f>
        <v>0</v>
      </c>
      <c r="BA372" s="107">
        <f>IF(A23stdlife="n/a","n/a",IF(BA$3&gt;(A23stdlife+$E372),('PTRM input'!$O$165*(1+rvanilla09)^0.5)-SUM($O372:AZ372),('PTRM input'!$O$165*(1+rvanilla09)^0.5)/A23stdlife))</f>
        <v>0</v>
      </c>
      <c r="BB372" s="107">
        <f>IF(A23stdlife="n/a","n/a",IF(BB$3&gt;(A23stdlife+$E372),('PTRM input'!$O$165*(1+rvanilla09)^0.5)-SUM($O372:BA372),('PTRM input'!$O$165*(1+rvanilla09)^0.5)/A23stdlife))</f>
        <v>0</v>
      </c>
      <c r="BC372" s="107">
        <f>IF(A23stdlife="n/a","n/a",IF(BC$3&gt;(A23stdlife+$E372),('PTRM input'!$O$165*(1+rvanilla09)^0.5)-SUM($O372:BB372),('PTRM input'!$O$165*(1+rvanilla09)^0.5)/A23stdlife))</f>
        <v>0</v>
      </c>
      <c r="BD372" s="107">
        <f>IF(A23stdlife="n/a","n/a",IF(BD$3&gt;(A23stdlife+$E372),('PTRM input'!$O$165*(1+rvanilla09)^0.5)-SUM($O372:BC372),('PTRM input'!$O$165*(1+rvanilla09)^0.5)/A23stdlife))</f>
        <v>0</v>
      </c>
      <c r="BE372" s="107">
        <f>IF(A23stdlife="n/a","n/a",IF(BE$3&gt;(A23stdlife+$E372),('PTRM input'!$O$165*(1+rvanilla09)^0.5)-SUM($O372:BD372),('PTRM input'!$O$165*(1+rvanilla09)^0.5)/A23stdlife))</f>
        <v>0</v>
      </c>
      <c r="BF372" s="107">
        <f>IF(A23stdlife="n/a","n/a",IF(BF$3&gt;(A23stdlife+$E372),('PTRM input'!$O$165*(1+rvanilla09)^0.5)-SUM($O372:BE372),('PTRM input'!$O$165*(1+rvanilla09)^0.5)/A23stdlife))</f>
        <v>0</v>
      </c>
      <c r="BG372" s="107">
        <f>IF(A23stdlife="n/a","n/a",IF(BG$3&gt;(A23stdlife+$E372),('PTRM input'!$O$165*(1+rvanilla09)^0.5)-SUM($O372:BF372),('PTRM input'!$O$165*(1+rvanilla09)^0.5)/A23stdlife))</f>
        <v>0</v>
      </c>
      <c r="BH372" s="107">
        <f>IF(A23stdlife="n/a","n/a",IF(BH$3&gt;(A23stdlife+$E372),('PTRM input'!$O$165*(1+rvanilla09)^0.5)-SUM($O372:BG372),('PTRM input'!$O$165*(1+rvanilla09)^0.5)/A23stdlife))</f>
        <v>0</v>
      </c>
      <c r="BI372" s="107">
        <f>IF(A23stdlife="n/a","n/a",IF(BI$3&gt;(A23stdlife+$E372),('PTRM input'!$O$165*(1+rvanilla09)^0.5)-SUM($O372:BH372),('PTRM input'!$O$165*(1+rvanilla09)^0.5)/A23stdlife))</f>
        <v>0</v>
      </c>
      <c r="BJ372" s="237"/>
      <c r="BK372" s="237"/>
      <c r="BL372" s="237"/>
      <c r="BM372" s="237"/>
    </row>
    <row r="373" spans="1:65" s="190" customFormat="1" hidden="1" outlineLevel="2">
      <c r="A373" s="237"/>
      <c r="B373" s="33"/>
      <c r="C373" s="32"/>
      <c r="D373" s="1618"/>
      <c r="E373" s="170">
        <v>10</v>
      </c>
      <c r="F373" s="35"/>
      <c r="G373" s="184"/>
      <c r="H373" s="186"/>
      <c r="I373" s="186"/>
      <c r="J373" s="186"/>
      <c r="K373" s="186"/>
      <c r="L373" s="186"/>
      <c r="M373" s="186"/>
      <c r="N373" s="186"/>
      <c r="O373" s="186"/>
      <c r="P373" s="185"/>
      <c r="Q373" s="107">
        <f>IF(A23stdlife="n/a","n/a",IF(Q$3&gt;(A23stdlife+$E373),('PTRM input'!$P$165*(1+rvanilla10)^0.5)-SUM($P373:P373),('PTRM input'!$P$165*(1+rvanilla10)^0.5)/A23stdlife))</f>
        <v>0</v>
      </c>
      <c r="R373" s="107">
        <f>IF(A23stdlife="n/a","n/a",IF(R$3&gt;(A23stdlife+$E373),('PTRM input'!$P$165*(1+rvanilla10)^0.5)-SUM($P373:Q373),('PTRM input'!$P$165*(1+rvanilla10)^0.5)/A23stdlife))</f>
        <v>0</v>
      </c>
      <c r="S373" s="107">
        <f>IF(A23stdlife="n/a","n/a",IF(S$3&gt;(A23stdlife+$E373),('PTRM input'!$P$165*(1+rvanilla10)^0.5)-SUM($P373:R373),('PTRM input'!$P$165*(1+rvanilla10)^0.5)/A23stdlife))</f>
        <v>0</v>
      </c>
      <c r="T373" s="107">
        <f>IF(A23stdlife="n/a","n/a",IF(T$3&gt;(A23stdlife+$E373),('PTRM input'!$P$165*(1+rvanilla10)^0.5)-SUM($P373:S373),('PTRM input'!$P$165*(1+rvanilla10)^0.5)/A23stdlife))</f>
        <v>0</v>
      </c>
      <c r="U373" s="107">
        <f>IF(A23stdlife="n/a","n/a",IF(U$3&gt;(A23stdlife+$E373),('PTRM input'!$P$165*(1+rvanilla10)^0.5)-SUM($P373:T373),('PTRM input'!$P$165*(1+rvanilla10)^0.5)/A23stdlife))</f>
        <v>0</v>
      </c>
      <c r="V373" s="107">
        <f>IF(A23stdlife="n/a","n/a",IF(V$3&gt;(A23stdlife+$E373),('PTRM input'!$P$165*(1+rvanilla10)^0.5)-SUM($P373:U373),('PTRM input'!$P$165*(1+rvanilla10)^0.5)/A23stdlife))</f>
        <v>0</v>
      </c>
      <c r="W373" s="107">
        <f>IF(A23stdlife="n/a","n/a",IF(W$3&gt;(A23stdlife+$E373),('PTRM input'!$P$165*(1+rvanilla10)^0.5)-SUM($P373:V373),('PTRM input'!$P$165*(1+rvanilla10)^0.5)/A23stdlife))</f>
        <v>0</v>
      </c>
      <c r="X373" s="107">
        <f>IF(A23stdlife="n/a","n/a",IF(X$3&gt;(A23stdlife+$E373),('PTRM input'!$P$165*(1+rvanilla10)^0.5)-SUM($P373:W373),('PTRM input'!$P$165*(1+rvanilla10)^0.5)/A23stdlife))</f>
        <v>0</v>
      </c>
      <c r="Y373" s="107">
        <f>IF(A23stdlife="n/a","n/a",IF(Y$3&gt;(A23stdlife+$E373),('PTRM input'!$P$165*(1+rvanilla10)^0.5)-SUM($P373:X373),('PTRM input'!$P$165*(1+rvanilla10)^0.5)/A23stdlife))</f>
        <v>0</v>
      </c>
      <c r="Z373" s="107">
        <f>IF(A23stdlife="n/a","n/a",IF(Z$3&gt;(A23stdlife+$E373),('PTRM input'!$P$165*(1+rvanilla10)^0.5)-SUM($P373:Y373),('PTRM input'!$P$165*(1+rvanilla10)^0.5)/A23stdlife))</f>
        <v>0</v>
      </c>
      <c r="AA373" s="107">
        <f>IF(A23stdlife="n/a","n/a",IF(AA$3&gt;(A23stdlife+$E373),('PTRM input'!$P$165*(1+rvanilla10)^0.5)-SUM($P373:Z373),('PTRM input'!$P$165*(1+rvanilla10)^0.5)/A23stdlife))</f>
        <v>0</v>
      </c>
      <c r="AB373" s="107">
        <f>IF(A23stdlife="n/a","n/a",IF(AB$3&gt;(A23stdlife+$E373),('PTRM input'!$P$165*(1+rvanilla10)^0.5)-SUM($P373:AA373),('PTRM input'!$P$165*(1+rvanilla10)^0.5)/A23stdlife))</f>
        <v>0</v>
      </c>
      <c r="AC373" s="107">
        <f>IF(A23stdlife="n/a","n/a",IF(AC$3&gt;(A23stdlife+$E373),('PTRM input'!$P$165*(1+rvanilla10)^0.5)-SUM($P373:AB373),('PTRM input'!$P$165*(1+rvanilla10)^0.5)/A23stdlife))</f>
        <v>0</v>
      </c>
      <c r="AD373" s="107">
        <f>IF(A23stdlife="n/a","n/a",IF(AD$3&gt;(A23stdlife+$E373),('PTRM input'!$P$165*(1+rvanilla10)^0.5)-SUM($P373:AC373),('PTRM input'!$P$165*(1+rvanilla10)^0.5)/A23stdlife))</f>
        <v>0</v>
      </c>
      <c r="AE373" s="107">
        <f>IF(A23stdlife="n/a","n/a",IF(AE$3&gt;(A23stdlife+$E373),('PTRM input'!$P$165*(1+rvanilla10)^0.5)-SUM($P373:AD373),('PTRM input'!$P$165*(1+rvanilla10)^0.5)/A23stdlife))</f>
        <v>0</v>
      </c>
      <c r="AF373" s="107">
        <f>IF(A23stdlife="n/a","n/a",IF(AF$3&gt;(A23stdlife+$E373),('PTRM input'!$P$165*(1+rvanilla10)^0.5)-SUM($P373:AE373),('PTRM input'!$P$165*(1+rvanilla10)^0.5)/A23stdlife))</f>
        <v>0</v>
      </c>
      <c r="AG373" s="107">
        <f>IF(A23stdlife="n/a","n/a",IF(AG$3&gt;(A23stdlife+$E373),('PTRM input'!$P$165*(1+rvanilla10)^0.5)-SUM($P373:AF373),('PTRM input'!$P$165*(1+rvanilla10)^0.5)/A23stdlife))</f>
        <v>0</v>
      </c>
      <c r="AH373" s="107">
        <f>IF(A23stdlife="n/a","n/a",IF(AH$3&gt;(A23stdlife+$E373),('PTRM input'!$P$165*(1+rvanilla10)^0.5)-SUM($P373:AG373),('PTRM input'!$P$165*(1+rvanilla10)^0.5)/A23stdlife))</f>
        <v>0</v>
      </c>
      <c r="AI373" s="107">
        <f>IF(A23stdlife="n/a","n/a",IF(AI$3&gt;(A23stdlife+$E373),('PTRM input'!$P$165*(1+rvanilla10)^0.5)-SUM($P373:AH373),('PTRM input'!$P$165*(1+rvanilla10)^0.5)/A23stdlife))</f>
        <v>0</v>
      </c>
      <c r="AJ373" s="107">
        <f>IF(A23stdlife="n/a","n/a",IF(AJ$3&gt;(A23stdlife+$E373),('PTRM input'!$P$165*(1+rvanilla10)^0.5)-SUM($P373:AI373),('PTRM input'!$P$165*(1+rvanilla10)^0.5)/A23stdlife))</f>
        <v>0</v>
      </c>
      <c r="AK373" s="107">
        <f>IF(A23stdlife="n/a","n/a",IF(AK$3&gt;(A23stdlife+$E373),('PTRM input'!$P$165*(1+rvanilla10)^0.5)-SUM($P373:AJ373),('PTRM input'!$P$165*(1+rvanilla10)^0.5)/A23stdlife))</f>
        <v>0</v>
      </c>
      <c r="AL373" s="107">
        <f>IF(A23stdlife="n/a","n/a",IF(AL$3&gt;(A23stdlife+$E373),('PTRM input'!$P$165*(1+rvanilla10)^0.5)-SUM($P373:AK373),('PTRM input'!$P$165*(1+rvanilla10)^0.5)/A23stdlife))</f>
        <v>0</v>
      </c>
      <c r="AM373" s="107">
        <f>IF(A23stdlife="n/a","n/a",IF(AM$3&gt;(A23stdlife+$E373),('PTRM input'!$P$165*(1+rvanilla10)^0.5)-SUM($P373:AL373),('PTRM input'!$P$165*(1+rvanilla10)^0.5)/A23stdlife))</f>
        <v>0</v>
      </c>
      <c r="AN373" s="107">
        <f>IF(A23stdlife="n/a","n/a",IF(AN$3&gt;(A23stdlife+$E373),('PTRM input'!$P$165*(1+rvanilla10)^0.5)-SUM($P373:AM373),('PTRM input'!$P$165*(1+rvanilla10)^0.5)/A23stdlife))</f>
        <v>0</v>
      </c>
      <c r="AO373" s="107">
        <f>IF(A23stdlife="n/a","n/a",IF(AO$3&gt;(A23stdlife+$E373),('PTRM input'!$P$165*(1+rvanilla10)^0.5)-SUM($P373:AN373),('PTRM input'!$P$165*(1+rvanilla10)^0.5)/A23stdlife))</f>
        <v>0</v>
      </c>
      <c r="AP373" s="107">
        <f>IF(A23stdlife="n/a","n/a",IF(AP$3&gt;(A23stdlife+$E373),('PTRM input'!$P$165*(1+rvanilla10)^0.5)-SUM($P373:AO373),('PTRM input'!$P$165*(1+rvanilla10)^0.5)/A23stdlife))</f>
        <v>0</v>
      </c>
      <c r="AQ373" s="107">
        <f>IF(A23stdlife="n/a","n/a",IF(AQ$3&gt;(A23stdlife+$E373),('PTRM input'!$P$165*(1+rvanilla10)^0.5)-SUM($P373:AP373),('PTRM input'!$P$165*(1+rvanilla10)^0.5)/A23stdlife))</f>
        <v>0</v>
      </c>
      <c r="AR373" s="107">
        <f>IF(A23stdlife="n/a","n/a",IF(AR$3&gt;(A23stdlife+$E373),('PTRM input'!$P$165*(1+rvanilla10)^0.5)-SUM($P373:AQ373),('PTRM input'!$P$165*(1+rvanilla10)^0.5)/A23stdlife))</f>
        <v>0</v>
      </c>
      <c r="AS373" s="107">
        <f>IF(A23stdlife="n/a","n/a",IF(AS$3&gt;(A23stdlife+$E373),('PTRM input'!$P$165*(1+rvanilla10)^0.5)-SUM($P373:AR373),('PTRM input'!$P$165*(1+rvanilla10)^0.5)/A23stdlife))</f>
        <v>0</v>
      </c>
      <c r="AT373" s="107">
        <f>IF(A23stdlife="n/a","n/a",IF(AT$3&gt;(A23stdlife+$E373),('PTRM input'!$P$165*(1+rvanilla10)^0.5)-SUM($P373:AS373),('PTRM input'!$P$165*(1+rvanilla10)^0.5)/A23stdlife))</f>
        <v>0</v>
      </c>
      <c r="AU373" s="107">
        <f>IF(A23stdlife="n/a","n/a",IF(AU$3&gt;(A23stdlife+$E373),('PTRM input'!$P$165*(1+rvanilla10)^0.5)-SUM($P373:AT373),('PTRM input'!$P$165*(1+rvanilla10)^0.5)/A23stdlife))</f>
        <v>0</v>
      </c>
      <c r="AV373" s="107">
        <f>IF(A23stdlife="n/a","n/a",IF(AV$3&gt;(A23stdlife+$E373),('PTRM input'!$P$165*(1+rvanilla10)^0.5)-SUM($P373:AU373),('PTRM input'!$P$165*(1+rvanilla10)^0.5)/A23stdlife))</f>
        <v>0</v>
      </c>
      <c r="AW373" s="107">
        <f>IF(A23stdlife="n/a","n/a",IF(AW$3&gt;(A23stdlife+$E373),('PTRM input'!$P$165*(1+rvanilla10)^0.5)-SUM($P373:AV373),('PTRM input'!$P$165*(1+rvanilla10)^0.5)/A23stdlife))</f>
        <v>0</v>
      </c>
      <c r="AX373" s="107">
        <f>IF(A23stdlife="n/a","n/a",IF(AX$3&gt;(A23stdlife+$E373),('PTRM input'!$P$165*(1+rvanilla10)^0.5)-SUM($P373:AW373),('PTRM input'!$P$165*(1+rvanilla10)^0.5)/A23stdlife))</f>
        <v>0</v>
      </c>
      <c r="AY373" s="107">
        <f>IF(A23stdlife="n/a","n/a",IF(AY$3&gt;(A23stdlife+$E373),('PTRM input'!$P$165*(1+rvanilla10)^0.5)-SUM($P373:AX373),('PTRM input'!$P$165*(1+rvanilla10)^0.5)/A23stdlife))</f>
        <v>0</v>
      </c>
      <c r="AZ373" s="107">
        <f>IF(A23stdlife="n/a","n/a",IF(AZ$3&gt;(A23stdlife+$E373),('PTRM input'!$P$165*(1+rvanilla10)^0.5)-SUM($P373:AY373),('PTRM input'!$P$165*(1+rvanilla10)^0.5)/A23stdlife))</f>
        <v>0</v>
      </c>
      <c r="BA373" s="107">
        <f>IF(A23stdlife="n/a","n/a",IF(BA$3&gt;(A23stdlife+$E373),('PTRM input'!$P$165*(1+rvanilla10)^0.5)-SUM($P373:AZ373),('PTRM input'!$P$165*(1+rvanilla10)^0.5)/A23stdlife))</f>
        <v>0</v>
      </c>
      <c r="BB373" s="107">
        <f>IF(A23stdlife="n/a","n/a",IF(BB$3&gt;(A23stdlife+$E373),('PTRM input'!$P$165*(1+rvanilla10)^0.5)-SUM($P373:BA373),('PTRM input'!$P$165*(1+rvanilla10)^0.5)/A23stdlife))</f>
        <v>0</v>
      </c>
      <c r="BC373" s="107">
        <f>IF(A23stdlife="n/a","n/a",IF(BC$3&gt;(A23stdlife+$E373),('PTRM input'!$P$165*(1+rvanilla10)^0.5)-SUM($P373:BB373),('PTRM input'!$P$165*(1+rvanilla10)^0.5)/A23stdlife))</f>
        <v>0</v>
      </c>
      <c r="BD373" s="107">
        <f>IF(A23stdlife="n/a","n/a",IF(BD$3&gt;(A23stdlife+$E373),('PTRM input'!$P$165*(1+rvanilla10)^0.5)-SUM($P373:BC373),('PTRM input'!$P$165*(1+rvanilla10)^0.5)/A23stdlife))</f>
        <v>0</v>
      </c>
      <c r="BE373" s="107">
        <f>IF(A23stdlife="n/a","n/a",IF(BE$3&gt;(A23stdlife+$E373),('PTRM input'!$P$165*(1+rvanilla10)^0.5)-SUM($P373:BD373),('PTRM input'!$P$165*(1+rvanilla10)^0.5)/A23stdlife))</f>
        <v>0</v>
      </c>
      <c r="BF373" s="107">
        <f>IF(A23stdlife="n/a","n/a",IF(BF$3&gt;(A23stdlife+$E373),('PTRM input'!$P$165*(1+rvanilla10)^0.5)-SUM($P373:BE373),('PTRM input'!$P$165*(1+rvanilla10)^0.5)/A23stdlife))</f>
        <v>0</v>
      </c>
      <c r="BG373" s="107">
        <f>IF(A23stdlife="n/a","n/a",IF(BG$3&gt;(A23stdlife+$E373),('PTRM input'!$P$165*(1+rvanilla10)^0.5)-SUM($P373:BF373),('PTRM input'!$P$165*(1+rvanilla10)^0.5)/A23stdlife))</f>
        <v>0</v>
      </c>
      <c r="BH373" s="107">
        <f>IF(A23stdlife="n/a","n/a",IF(BH$3&gt;(A23stdlife+$E373),('PTRM input'!$P$165*(1+rvanilla10)^0.5)-SUM($P373:BG373),('PTRM input'!$P$165*(1+rvanilla10)^0.5)/A23stdlife))</f>
        <v>0</v>
      </c>
      <c r="BI373" s="107">
        <f>IF(A23stdlife="n/a","n/a",IF(BI$3&gt;(A23stdlife+$E373),('PTRM input'!$P$165*(1+rvanilla10)^0.5)-SUM($P373:BH373),('PTRM input'!$P$165*(1+rvanilla10)^0.5)/A23stdlife))</f>
        <v>0</v>
      </c>
      <c r="BJ373" s="237"/>
      <c r="BK373" s="237"/>
      <c r="BL373" s="237"/>
      <c r="BM373" s="237"/>
    </row>
    <row r="374" spans="1:65" s="190" customFormat="1" hidden="1" outlineLevel="1">
      <c r="A374" s="237"/>
      <c r="B374" s="18"/>
      <c r="C374" s="33">
        <f>Asset23</f>
        <v>0</v>
      </c>
      <c r="D374" s="18"/>
      <c r="E374" s="18"/>
      <c r="F374" s="31"/>
      <c r="G374" s="104">
        <f t="shared" ref="G374:AL374" si="81">SUM(G362:G373)</f>
        <v>0</v>
      </c>
      <c r="H374" s="104">
        <f t="shared" si="81"/>
        <v>0</v>
      </c>
      <c r="I374" s="104">
        <f t="shared" si="81"/>
        <v>0</v>
      </c>
      <c r="J374" s="104">
        <f t="shared" si="81"/>
        <v>0</v>
      </c>
      <c r="K374" s="104">
        <f t="shared" si="81"/>
        <v>0</v>
      </c>
      <c r="L374" s="104">
        <f t="shared" si="81"/>
        <v>0</v>
      </c>
      <c r="M374" s="104">
        <f t="shared" si="81"/>
        <v>0</v>
      </c>
      <c r="N374" s="104">
        <f t="shared" si="81"/>
        <v>0</v>
      </c>
      <c r="O374" s="104">
        <f t="shared" si="81"/>
        <v>0</v>
      </c>
      <c r="P374" s="104">
        <f t="shared" si="81"/>
        <v>0</v>
      </c>
      <c r="Q374" s="104">
        <f t="shared" si="81"/>
        <v>0</v>
      </c>
      <c r="R374" s="104">
        <f t="shared" si="81"/>
        <v>0</v>
      </c>
      <c r="S374" s="104">
        <f t="shared" si="81"/>
        <v>0</v>
      </c>
      <c r="T374" s="104">
        <f t="shared" si="81"/>
        <v>0</v>
      </c>
      <c r="U374" s="104">
        <f t="shared" si="81"/>
        <v>0</v>
      </c>
      <c r="V374" s="104">
        <f t="shared" si="81"/>
        <v>0</v>
      </c>
      <c r="W374" s="104">
        <f t="shared" si="81"/>
        <v>0</v>
      </c>
      <c r="X374" s="104">
        <f t="shared" si="81"/>
        <v>0</v>
      </c>
      <c r="Y374" s="104">
        <f t="shared" si="81"/>
        <v>0</v>
      </c>
      <c r="Z374" s="104">
        <f t="shared" si="81"/>
        <v>0</v>
      </c>
      <c r="AA374" s="104">
        <f t="shared" si="81"/>
        <v>0</v>
      </c>
      <c r="AB374" s="104">
        <f t="shared" si="81"/>
        <v>0</v>
      </c>
      <c r="AC374" s="104">
        <f t="shared" si="81"/>
        <v>0</v>
      </c>
      <c r="AD374" s="104">
        <f t="shared" si="81"/>
        <v>0</v>
      </c>
      <c r="AE374" s="104">
        <f t="shared" si="81"/>
        <v>0</v>
      </c>
      <c r="AF374" s="104">
        <f t="shared" si="81"/>
        <v>0</v>
      </c>
      <c r="AG374" s="104">
        <f t="shared" si="81"/>
        <v>0</v>
      </c>
      <c r="AH374" s="104">
        <f t="shared" si="81"/>
        <v>0</v>
      </c>
      <c r="AI374" s="104">
        <f t="shared" si="81"/>
        <v>0</v>
      </c>
      <c r="AJ374" s="104">
        <f t="shared" si="81"/>
        <v>0</v>
      </c>
      <c r="AK374" s="104">
        <f t="shared" si="81"/>
        <v>0</v>
      </c>
      <c r="AL374" s="104">
        <f t="shared" si="81"/>
        <v>0</v>
      </c>
      <c r="AM374" s="104">
        <f t="shared" ref="AM374:BI374" si="82">SUM(AM362:AM373)</f>
        <v>0</v>
      </c>
      <c r="AN374" s="104">
        <f t="shared" si="82"/>
        <v>0</v>
      </c>
      <c r="AO374" s="104">
        <f t="shared" si="82"/>
        <v>0</v>
      </c>
      <c r="AP374" s="104">
        <f t="shared" si="82"/>
        <v>0</v>
      </c>
      <c r="AQ374" s="104">
        <f t="shared" si="82"/>
        <v>0</v>
      </c>
      <c r="AR374" s="104">
        <f t="shared" si="82"/>
        <v>0</v>
      </c>
      <c r="AS374" s="104">
        <f t="shared" si="82"/>
        <v>0</v>
      </c>
      <c r="AT374" s="104">
        <f t="shared" si="82"/>
        <v>0</v>
      </c>
      <c r="AU374" s="104">
        <f t="shared" si="82"/>
        <v>0</v>
      </c>
      <c r="AV374" s="104">
        <f t="shared" si="82"/>
        <v>0</v>
      </c>
      <c r="AW374" s="104">
        <f t="shared" si="82"/>
        <v>0</v>
      </c>
      <c r="AX374" s="104">
        <f t="shared" si="82"/>
        <v>0</v>
      </c>
      <c r="AY374" s="104">
        <f t="shared" si="82"/>
        <v>0</v>
      </c>
      <c r="AZ374" s="104">
        <f t="shared" si="82"/>
        <v>0</v>
      </c>
      <c r="BA374" s="104">
        <f t="shared" si="82"/>
        <v>0</v>
      </c>
      <c r="BB374" s="104">
        <f t="shared" si="82"/>
        <v>0</v>
      </c>
      <c r="BC374" s="104">
        <f t="shared" si="82"/>
        <v>0</v>
      </c>
      <c r="BD374" s="104">
        <f t="shared" si="82"/>
        <v>0</v>
      </c>
      <c r="BE374" s="104">
        <f t="shared" si="82"/>
        <v>0</v>
      </c>
      <c r="BF374" s="104">
        <f t="shared" si="82"/>
        <v>0</v>
      </c>
      <c r="BG374" s="104">
        <f t="shared" si="82"/>
        <v>0</v>
      </c>
      <c r="BH374" s="104">
        <f t="shared" si="82"/>
        <v>0</v>
      </c>
      <c r="BI374" s="104">
        <f t="shared" si="82"/>
        <v>0</v>
      </c>
      <c r="BJ374" s="237"/>
      <c r="BK374" s="237"/>
      <c r="BL374" s="237"/>
      <c r="BM374" s="237"/>
    </row>
    <row r="375" spans="1:65" s="190" customFormat="1" ht="12.75" hidden="1" customHeight="1" outlineLevel="2">
      <c r="A375" s="237"/>
      <c r="B375" s="37">
        <f>C387</f>
        <v>0</v>
      </c>
      <c r="C375" s="38"/>
      <c r="D375" s="39" t="s">
        <v>58</v>
      </c>
      <c r="E375" s="38"/>
      <c r="F375" s="40"/>
      <c r="G375" s="106">
        <f>IF(G$3&gt;A24remlife,A24value-SUM($F375:F375),IF(A24remlife="N/A","n/a",A24value/A24remlife))</f>
        <v>0</v>
      </c>
      <c r="H375" s="106">
        <f>IF(H$3&gt;A24remlife,A24value-SUM($F375:G375),IF(A24remlife="N/A","n/a",A24value/A24remlife))</f>
        <v>0</v>
      </c>
      <c r="I375" s="106">
        <f>IF(I$3&gt;A24remlife,A24value-SUM($F375:H375),IF(A24remlife="N/A","n/a",A24value/A24remlife))</f>
        <v>0</v>
      </c>
      <c r="J375" s="106">
        <f>IF(J$3&gt;A24remlife,A24value-SUM($F375:I375),IF(A24remlife="N/A","n/a",A24value/A24remlife))</f>
        <v>0</v>
      </c>
      <c r="K375" s="106">
        <f>IF(K$3&gt;A24remlife,A24value-SUM($F375:J375),IF(A24remlife="N/A","n/a",A24value/A24remlife))</f>
        <v>0</v>
      </c>
      <c r="L375" s="106">
        <f>IF(L$3&gt;A24remlife,A24value-SUM($F375:K375),IF(A24remlife="N/A","n/a",A24value/A24remlife))</f>
        <v>0</v>
      </c>
      <c r="M375" s="106">
        <f>IF(M$3&gt;A24remlife,A24value-SUM($F375:L375),IF(A24remlife="N/A","n/a",A24value/A24remlife))</f>
        <v>0</v>
      </c>
      <c r="N375" s="106">
        <f>IF(N$3&gt;A24remlife,A24value-SUM($F375:M375),IF(A24remlife="N/A","n/a",A24value/A24remlife))</f>
        <v>0</v>
      </c>
      <c r="O375" s="106">
        <f>IF(O$3&gt;A24remlife,A24value-SUM($F375:N375),IF(A24remlife="N/A","n/a",A24value/A24remlife))</f>
        <v>0</v>
      </c>
      <c r="P375" s="106">
        <f>IF(P$3&gt;A24remlife,A24value-SUM($F375:O375),IF(A24remlife="N/A","n/a",A24value/A24remlife))</f>
        <v>0</v>
      </c>
      <c r="Q375" s="106">
        <f>IF(Q$3&gt;A24remlife,A24value-SUM($F375:P375),IF(A24remlife="N/A","n/a",A24value/A24remlife))</f>
        <v>0</v>
      </c>
      <c r="R375" s="106">
        <f>IF(R$3&gt;A24remlife,A24value-SUM($F375:Q375),IF(A24remlife="N/A","n/a",A24value/A24remlife))</f>
        <v>0</v>
      </c>
      <c r="S375" s="106">
        <f>IF(S$3&gt;A24remlife,A24value-SUM($F375:R375),IF(A24remlife="N/A","n/a",A24value/A24remlife))</f>
        <v>0</v>
      </c>
      <c r="T375" s="106">
        <f>IF(T$3&gt;A24remlife,A24value-SUM($F375:S375),IF(A24remlife="N/A","n/a",A24value/A24remlife))</f>
        <v>0</v>
      </c>
      <c r="U375" s="106">
        <f>IF(U$3&gt;A24remlife,A24value-SUM($F375:T375),IF(A24remlife="N/A","n/a",A24value/A24remlife))</f>
        <v>0</v>
      </c>
      <c r="V375" s="106">
        <f>IF(V$3&gt;A24remlife,A24value-SUM($F375:U375),IF(A24remlife="N/A","n/a",A24value/A24remlife))</f>
        <v>0</v>
      </c>
      <c r="W375" s="106">
        <f>IF(W$3&gt;A24remlife,A24value-SUM($F375:V375),IF(A24remlife="N/A","n/a",A24value/A24remlife))</f>
        <v>0</v>
      </c>
      <c r="X375" s="106">
        <f>IF(X$3&gt;A24remlife,A24value-SUM($F375:W375),IF(A24remlife="N/A","n/a",A24value/A24remlife))</f>
        <v>0</v>
      </c>
      <c r="Y375" s="106">
        <f>IF(Y$3&gt;A24remlife,A24value-SUM($F375:X375),IF(A24remlife="N/A","n/a",A24value/A24remlife))</f>
        <v>0</v>
      </c>
      <c r="Z375" s="106">
        <f>IF(Z$3&gt;A24remlife,A24value-SUM($F375:Y375),IF(A24remlife="N/A","n/a",A24value/A24remlife))</f>
        <v>0</v>
      </c>
      <c r="AA375" s="106">
        <f>IF(AA$3&gt;A24remlife,A24value-SUM($F375:Z375),IF(A24remlife="N/A","n/a",A24value/A24remlife))</f>
        <v>0</v>
      </c>
      <c r="AB375" s="106">
        <f>IF(AB$3&gt;A24remlife,A24value-SUM($F375:AA375),IF(A24remlife="N/A","n/a",A24value/A24remlife))</f>
        <v>0</v>
      </c>
      <c r="AC375" s="106">
        <f>IF(AC$3&gt;A24remlife,A24value-SUM($F375:AB375),IF(A24remlife="N/A","n/a",A24value/A24remlife))</f>
        <v>0</v>
      </c>
      <c r="AD375" s="106">
        <f>IF(AD$3&gt;A24remlife,A24value-SUM($F375:AC375),IF(A24remlife="N/A","n/a",A24value/A24remlife))</f>
        <v>0</v>
      </c>
      <c r="AE375" s="106">
        <f>IF(AE$3&gt;A24remlife,A24value-SUM($F375:AD375),IF(A24remlife="N/A","n/a",A24value/A24remlife))</f>
        <v>0</v>
      </c>
      <c r="AF375" s="106">
        <f>IF(AF$3&gt;A24remlife,A24value-SUM($F375:AE375),IF(A24remlife="N/A","n/a",A24value/A24remlife))</f>
        <v>0</v>
      </c>
      <c r="AG375" s="106">
        <f>IF(AG$3&gt;A24remlife,A24value-SUM($F375:AF375),IF(A24remlife="N/A","n/a",A24value/A24remlife))</f>
        <v>0</v>
      </c>
      <c r="AH375" s="106">
        <f>IF(AH$3&gt;A24remlife,A24value-SUM($F375:AG375),IF(A24remlife="N/A","n/a",A24value/A24remlife))</f>
        <v>0</v>
      </c>
      <c r="AI375" s="106">
        <f>IF(AI$3&gt;A24remlife,A24value-SUM($F375:AH375),IF(A24remlife="N/A","n/a",A24value/A24remlife))</f>
        <v>0</v>
      </c>
      <c r="AJ375" s="106">
        <f>IF(AJ$3&gt;A24remlife,A24value-SUM($F375:AI375),IF(A24remlife="N/A","n/a",A24value/A24remlife))</f>
        <v>0</v>
      </c>
      <c r="AK375" s="106">
        <f>IF(AK$3&gt;A24remlife,A24value-SUM($F375:AJ375),IF(A24remlife="N/A","n/a",A24value/A24remlife))</f>
        <v>0</v>
      </c>
      <c r="AL375" s="106">
        <f>IF(AL$3&gt;A24remlife,A24value-SUM($F375:AK375),IF(A24remlife="N/A","n/a",A24value/A24remlife))</f>
        <v>0</v>
      </c>
      <c r="AM375" s="106">
        <f>IF(AM$3&gt;A24remlife,A24value-SUM($F375:AL375),IF(A24remlife="N/A","n/a",A24value/A24remlife))</f>
        <v>0</v>
      </c>
      <c r="AN375" s="106">
        <f>IF(AN$3&gt;A24remlife,A24value-SUM($F375:AM375),IF(A24remlife="N/A","n/a",A24value/A24remlife))</f>
        <v>0</v>
      </c>
      <c r="AO375" s="106">
        <f>IF(AO$3&gt;A24remlife,A24value-SUM($F375:AN375),IF(A24remlife="N/A","n/a",A24value/A24remlife))</f>
        <v>0</v>
      </c>
      <c r="AP375" s="106">
        <f>IF(AP$3&gt;A24remlife,A24value-SUM($F375:AO375),IF(A24remlife="N/A","n/a",A24value/A24remlife))</f>
        <v>0</v>
      </c>
      <c r="AQ375" s="106">
        <f>IF(AQ$3&gt;A24remlife,A24value-SUM($F375:AP375),IF(A24remlife="N/A","n/a",A24value/A24remlife))</f>
        <v>0</v>
      </c>
      <c r="AR375" s="106">
        <f>IF(AR$3&gt;A24remlife,A24value-SUM($F375:AQ375),IF(A24remlife="N/A","n/a",A24value/A24remlife))</f>
        <v>0</v>
      </c>
      <c r="AS375" s="106">
        <f>IF(AS$3&gt;A24remlife,A24value-SUM($F375:AR375),IF(A24remlife="N/A","n/a",A24value/A24remlife))</f>
        <v>0</v>
      </c>
      <c r="AT375" s="106">
        <f>IF(AT$3&gt;A24remlife,A24value-SUM($F375:AS375),IF(A24remlife="N/A","n/a",A24value/A24remlife))</f>
        <v>0</v>
      </c>
      <c r="AU375" s="106">
        <f>IF(AU$3&gt;A24remlife,A24value-SUM($F375:AT375),IF(A24remlife="N/A","n/a",A24value/A24remlife))</f>
        <v>0</v>
      </c>
      <c r="AV375" s="106">
        <f>IF(AV$3&gt;A24remlife,A24value-SUM($F375:AU375),IF(A24remlife="N/A","n/a",A24value/A24remlife))</f>
        <v>0</v>
      </c>
      <c r="AW375" s="106">
        <f>IF(AW$3&gt;A24remlife,A24value-SUM($F375:AV375),IF(A24remlife="N/A","n/a",A24value/A24remlife))</f>
        <v>0</v>
      </c>
      <c r="AX375" s="106">
        <f>IF(AX$3&gt;A24remlife,A24value-SUM($F375:AW375),IF(A24remlife="N/A","n/a",A24value/A24remlife))</f>
        <v>0</v>
      </c>
      <c r="AY375" s="106">
        <f>IF(AY$3&gt;A24remlife,A24value-SUM($F375:AX375),IF(A24remlife="N/A","n/a",A24value/A24remlife))</f>
        <v>0</v>
      </c>
      <c r="AZ375" s="106">
        <f>IF(AZ$3&gt;A24remlife,A24value-SUM($F375:AY375),IF(A24remlife="N/A","n/a",A24value/A24remlife))</f>
        <v>0</v>
      </c>
      <c r="BA375" s="106">
        <f>IF(BA$3&gt;A24remlife,A24value-SUM($F375:AZ375),IF(A24remlife="N/A","n/a",A24value/A24remlife))</f>
        <v>0</v>
      </c>
      <c r="BB375" s="106">
        <f>IF(BB$3&gt;A24remlife,A24value-SUM($F375:BA375),IF(A24remlife="N/A","n/a",A24value/A24remlife))</f>
        <v>0</v>
      </c>
      <c r="BC375" s="106">
        <f>IF(BC$3&gt;A24remlife,A24value-SUM($F375:BB375),IF(A24remlife="N/A","n/a",A24value/A24remlife))</f>
        <v>0</v>
      </c>
      <c r="BD375" s="106">
        <f>IF(BD$3&gt;A24remlife,A24value-SUM($F375:BC375),IF(A24remlife="N/A","n/a",A24value/A24remlife))</f>
        <v>0</v>
      </c>
      <c r="BE375" s="106">
        <f>IF(BE$3&gt;A24remlife,A24value-SUM($F375:BD375),IF(A24remlife="N/A","n/a",A24value/A24remlife))</f>
        <v>0</v>
      </c>
      <c r="BF375" s="106">
        <f>IF(BF$3&gt;A24remlife,A24value-SUM($F375:BE375),IF(A24remlife="N/A","n/a",A24value/A24remlife))</f>
        <v>0</v>
      </c>
      <c r="BG375" s="106">
        <f>IF(BG$3&gt;A24remlife,A24value-SUM($F375:BF375),IF(A24remlife="N/A","n/a",A24value/A24remlife))</f>
        <v>0</v>
      </c>
      <c r="BH375" s="106">
        <f>IF(BH$3&gt;A24remlife,A24value-SUM($F375:BG375),IF(A24remlife="N/A","n/a",A24value/A24remlife))</f>
        <v>0</v>
      </c>
      <c r="BI375" s="106">
        <f>IF(BI$3&gt;A24remlife,A24value-SUM($F375:BH375),IF(A24remlife="N/A","n/a",A24value/A24remlife))</f>
        <v>0</v>
      </c>
      <c r="BJ375" s="237"/>
      <c r="BK375" s="237"/>
      <c r="BL375" s="237"/>
      <c r="BM375" s="237"/>
    </row>
    <row r="376" spans="1:65" s="190" customFormat="1" ht="12.75" hidden="1" customHeight="1" outlineLevel="2">
      <c r="A376" s="237"/>
      <c r="B376" s="33"/>
      <c r="C376" s="32"/>
      <c r="D376" s="1618" t="s">
        <v>357</v>
      </c>
      <c r="E376" s="169">
        <v>0</v>
      </c>
      <c r="F376" s="35"/>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237"/>
      <c r="BK376" s="237"/>
      <c r="BL376" s="237"/>
      <c r="BM376" s="237"/>
    </row>
    <row r="377" spans="1:65" s="190" customFormat="1" hidden="1" outlineLevel="2">
      <c r="A377" s="237"/>
      <c r="B377" s="33"/>
      <c r="C377" s="32"/>
      <c r="D377" s="1618"/>
      <c r="E377" s="169">
        <v>1</v>
      </c>
      <c r="F377" s="35"/>
      <c r="G377" s="183"/>
      <c r="H377" s="107">
        <f>IF(A24stdlife="n/a","n/a",IF(H$3&gt;(A24stdlife+$E377),('PTRM input'!$G$166*(1+rvanilla01)^0.5)-SUM($G377:G377),('PTRM input'!$G$166*(1+rvanilla01)^0.5)/A24stdlife))</f>
        <v>0</v>
      </c>
      <c r="I377" s="107">
        <f>IF(A24stdlife="n/a","n/a",IF(I$3&gt;(A24stdlife+$E377),('PTRM input'!$G$166*(1+rvanilla01)^0.5)-SUM($G377:H377),('PTRM input'!$G$166*(1+rvanilla01)^0.5)/A24stdlife))</f>
        <v>0</v>
      </c>
      <c r="J377" s="107">
        <f>IF(A24stdlife="n/a","n/a",IF(J$3&gt;(A24stdlife+$E377),('PTRM input'!$G$166*(1+rvanilla01)^0.5)-SUM($G377:I377),('PTRM input'!$G$166*(1+rvanilla01)^0.5)/A24stdlife))</f>
        <v>0</v>
      </c>
      <c r="K377" s="107">
        <f>IF(A24stdlife="n/a","n/a",IF(K$3&gt;(A24stdlife+$E377),('PTRM input'!$G$166*(1+rvanilla01)^0.5)-SUM($G377:J377),('PTRM input'!$G$166*(1+rvanilla01)^0.5)/A24stdlife))</f>
        <v>0</v>
      </c>
      <c r="L377" s="107">
        <f>IF(A24stdlife="n/a","n/a",IF(L$3&gt;(A24stdlife+$E377),('PTRM input'!$G$166*(1+rvanilla01)^0.5)-SUM($G377:K377),('PTRM input'!$G$166*(1+rvanilla01)^0.5)/A24stdlife))</f>
        <v>0</v>
      </c>
      <c r="M377" s="107">
        <f>IF(A24stdlife="n/a","n/a",IF(M$3&gt;(A24stdlife+$E377),('PTRM input'!$G$166*(1+rvanilla01)^0.5)-SUM($G377:L377),('PTRM input'!$G$166*(1+rvanilla01)^0.5)/A24stdlife))</f>
        <v>0</v>
      </c>
      <c r="N377" s="107">
        <f>IF(A24stdlife="n/a","n/a",IF(N$3&gt;(A24stdlife+$E377),('PTRM input'!$G$166*(1+rvanilla01)^0.5)-SUM($G377:M377),('PTRM input'!$G$166*(1+rvanilla01)^0.5)/A24stdlife))</f>
        <v>0</v>
      </c>
      <c r="O377" s="107">
        <f>IF(A24stdlife="n/a","n/a",IF(O$3&gt;(A24stdlife+$E377),('PTRM input'!$G$166*(1+rvanilla01)^0.5)-SUM($G377:N377),('PTRM input'!$G$166*(1+rvanilla01)^0.5)/A24stdlife))</f>
        <v>0</v>
      </c>
      <c r="P377" s="107">
        <f>IF(A24stdlife="n/a","n/a",IF(P$3&gt;(A24stdlife+$E377),('PTRM input'!$G$166*(1+rvanilla01)^0.5)-SUM($G377:O377),('PTRM input'!$G$166*(1+rvanilla01)^0.5)/A24stdlife))</f>
        <v>0</v>
      </c>
      <c r="Q377" s="107">
        <f>IF(A24stdlife="n/a","n/a",IF(Q$3&gt;(A24stdlife+$E377),('PTRM input'!$G$166*(1+rvanilla01)^0.5)-SUM($G377:P377),('PTRM input'!$G$166*(1+rvanilla01)^0.5)/A24stdlife))</f>
        <v>0</v>
      </c>
      <c r="R377" s="107">
        <f>IF(A24stdlife="n/a","n/a",IF(R$3&gt;(A24stdlife+$E377),('PTRM input'!$G$166*(1+rvanilla01)^0.5)-SUM($G377:Q377),('PTRM input'!$G$166*(1+rvanilla01)^0.5)/A24stdlife))</f>
        <v>0</v>
      </c>
      <c r="S377" s="107">
        <f>IF(A24stdlife="n/a","n/a",IF(S$3&gt;(A24stdlife+$E377),('PTRM input'!$G$166*(1+rvanilla01)^0.5)-SUM($G377:R377),('PTRM input'!$G$166*(1+rvanilla01)^0.5)/A24stdlife))</f>
        <v>0</v>
      </c>
      <c r="T377" s="107">
        <f>IF(A24stdlife="n/a","n/a",IF(T$3&gt;(A24stdlife+$E377),('PTRM input'!$G$166*(1+rvanilla01)^0.5)-SUM($G377:S377),('PTRM input'!$G$166*(1+rvanilla01)^0.5)/A24stdlife))</f>
        <v>0</v>
      </c>
      <c r="U377" s="107">
        <f>IF(A24stdlife="n/a","n/a",IF(U$3&gt;(A24stdlife+$E377),('PTRM input'!$G$166*(1+rvanilla01)^0.5)-SUM($G377:T377),('PTRM input'!$G$166*(1+rvanilla01)^0.5)/A24stdlife))</f>
        <v>0</v>
      </c>
      <c r="V377" s="107">
        <f>IF(A24stdlife="n/a","n/a",IF(V$3&gt;(A24stdlife+$E377),('PTRM input'!$G$166*(1+rvanilla01)^0.5)-SUM($G377:U377),('PTRM input'!$G$166*(1+rvanilla01)^0.5)/A24stdlife))</f>
        <v>0</v>
      </c>
      <c r="W377" s="107">
        <f>IF(A24stdlife="n/a","n/a",IF(W$3&gt;(A24stdlife+$E377),('PTRM input'!$G$166*(1+rvanilla01)^0.5)-SUM($G377:V377),('PTRM input'!$G$166*(1+rvanilla01)^0.5)/A24stdlife))</f>
        <v>0</v>
      </c>
      <c r="X377" s="107">
        <f>IF(A24stdlife="n/a","n/a",IF(X$3&gt;(A24stdlife+$E377),('PTRM input'!$G$166*(1+rvanilla01)^0.5)-SUM($G377:W377),('PTRM input'!$G$166*(1+rvanilla01)^0.5)/A24stdlife))</f>
        <v>0</v>
      </c>
      <c r="Y377" s="107">
        <f>IF(A24stdlife="n/a","n/a",IF(Y$3&gt;(A24stdlife+$E377),('PTRM input'!$G$166*(1+rvanilla01)^0.5)-SUM($G377:X377),('PTRM input'!$G$166*(1+rvanilla01)^0.5)/A24stdlife))</f>
        <v>0</v>
      </c>
      <c r="Z377" s="107">
        <f>IF(A24stdlife="n/a","n/a",IF(Z$3&gt;(A24stdlife+$E377),('PTRM input'!$G$166*(1+rvanilla01)^0.5)-SUM($G377:Y377),('PTRM input'!$G$166*(1+rvanilla01)^0.5)/A24stdlife))</f>
        <v>0</v>
      </c>
      <c r="AA377" s="107">
        <f>IF(A24stdlife="n/a","n/a",IF(AA$3&gt;(A24stdlife+$E377),('PTRM input'!$G$166*(1+rvanilla01)^0.5)-SUM($G377:Z377),('PTRM input'!$G$166*(1+rvanilla01)^0.5)/A24stdlife))</f>
        <v>0</v>
      </c>
      <c r="AB377" s="107">
        <f>IF(A24stdlife="n/a","n/a",IF(AB$3&gt;(A24stdlife+$E377),('PTRM input'!$G$166*(1+rvanilla01)^0.5)-SUM($G377:AA377),('PTRM input'!$G$166*(1+rvanilla01)^0.5)/A24stdlife))</f>
        <v>0</v>
      </c>
      <c r="AC377" s="107">
        <f>IF(A24stdlife="n/a","n/a",IF(AC$3&gt;(A24stdlife+$E377),('PTRM input'!$G$166*(1+rvanilla01)^0.5)-SUM($G377:AB377),('PTRM input'!$G$166*(1+rvanilla01)^0.5)/A24stdlife))</f>
        <v>0</v>
      </c>
      <c r="AD377" s="107">
        <f>IF(A24stdlife="n/a","n/a",IF(AD$3&gt;(A24stdlife+$E377),('PTRM input'!$G$166*(1+rvanilla01)^0.5)-SUM($G377:AC377),('PTRM input'!$G$166*(1+rvanilla01)^0.5)/A24stdlife))</f>
        <v>0</v>
      </c>
      <c r="AE377" s="107">
        <f>IF(A24stdlife="n/a","n/a",IF(AE$3&gt;(A24stdlife+$E377),('PTRM input'!$G$166*(1+rvanilla01)^0.5)-SUM($G377:AD377),('PTRM input'!$G$166*(1+rvanilla01)^0.5)/A24stdlife))</f>
        <v>0</v>
      </c>
      <c r="AF377" s="107">
        <f>IF(A24stdlife="n/a","n/a",IF(AF$3&gt;(A24stdlife+$E377),('PTRM input'!$G$166*(1+rvanilla01)^0.5)-SUM($G377:AE377),('PTRM input'!$G$166*(1+rvanilla01)^0.5)/A24stdlife))</f>
        <v>0</v>
      </c>
      <c r="AG377" s="107">
        <f>IF(A24stdlife="n/a","n/a",IF(AG$3&gt;(A24stdlife+$E377),('PTRM input'!$G$166*(1+rvanilla01)^0.5)-SUM($G377:AF377),('PTRM input'!$G$166*(1+rvanilla01)^0.5)/A24stdlife))</f>
        <v>0</v>
      </c>
      <c r="AH377" s="107">
        <f>IF(A24stdlife="n/a","n/a",IF(AH$3&gt;(A24stdlife+$E377),('PTRM input'!$G$166*(1+rvanilla01)^0.5)-SUM($G377:AG377),('PTRM input'!$G$166*(1+rvanilla01)^0.5)/A24stdlife))</f>
        <v>0</v>
      </c>
      <c r="AI377" s="107">
        <f>IF(A24stdlife="n/a","n/a",IF(AI$3&gt;(A24stdlife+$E377),('PTRM input'!$G$166*(1+rvanilla01)^0.5)-SUM($G377:AH377),('PTRM input'!$G$166*(1+rvanilla01)^0.5)/A24stdlife))</f>
        <v>0</v>
      </c>
      <c r="AJ377" s="107">
        <f>IF(A24stdlife="n/a","n/a",IF(AJ$3&gt;(A24stdlife+$E377),('PTRM input'!$G$166*(1+rvanilla01)^0.5)-SUM($G377:AI377),('PTRM input'!$G$166*(1+rvanilla01)^0.5)/A24stdlife))</f>
        <v>0</v>
      </c>
      <c r="AK377" s="107">
        <f>IF(A24stdlife="n/a","n/a",IF(AK$3&gt;(A24stdlife+$E377),('PTRM input'!$G$166*(1+rvanilla01)^0.5)-SUM($G377:AJ377),('PTRM input'!$G$166*(1+rvanilla01)^0.5)/A24stdlife))</f>
        <v>0</v>
      </c>
      <c r="AL377" s="107">
        <f>IF(A24stdlife="n/a","n/a",IF(AL$3&gt;(A24stdlife+$E377),('PTRM input'!$G$166*(1+rvanilla01)^0.5)-SUM($G377:AK377),('PTRM input'!$G$166*(1+rvanilla01)^0.5)/A24stdlife))</f>
        <v>0</v>
      </c>
      <c r="AM377" s="107">
        <f>IF(A24stdlife="n/a","n/a",IF(AM$3&gt;(A24stdlife+$E377),('PTRM input'!$G$166*(1+rvanilla01)^0.5)-SUM($G377:AL377),('PTRM input'!$G$166*(1+rvanilla01)^0.5)/A24stdlife))</f>
        <v>0</v>
      </c>
      <c r="AN377" s="107">
        <f>IF(A24stdlife="n/a","n/a",IF(AN$3&gt;(A24stdlife+$E377),('PTRM input'!$G$166*(1+rvanilla01)^0.5)-SUM($G377:AM377),('PTRM input'!$G$166*(1+rvanilla01)^0.5)/A24stdlife))</f>
        <v>0</v>
      </c>
      <c r="AO377" s="107">
        <f>IF(A24stdlife="n/a","n/a",IF(AO$3&gt;(A24stdlife+$E377),('PTRM input'!$G$166*(1+rvanilla01)^0.5)-SUM($G377:AN377),('PTRM input'!$G$166*(1+rvanilla01)^0.5)/A24stdlife))</f>
        <v>0</v>
      </c>
      <c r="AP377" s="107">
        <f>IF(A24stdlife="n/a","n/a",IF(AP$3&gt;(A24stdlife+$E377),('PTRM input'!$G$166*(1+rvanilla01)^0.5)-SUM($G377:AO377),('PTRM input'!$G$166*(1+rvanilla01)^0.5)/A24stdlife))</f>
        <v>0</v>
      </c>
      <c r="AQ377" s="107">
        <f>IF(A24stdlife="n/a","n/a",IF(AQ$3&gt;(A24stdlife+$E377),('PTRM input'!$G$166*(1+rvanilla01)^0.5)-SUM($G377:AP377),('PTRM input'!$G$166*(1+rvanilla01)^0.5)/A24stdlife))</f>
        <v>0</v>
      </c>
      <c r="AR377" s="107">
        <f>IF(A24stdlife="n/a","n/a",IF(AR$3&gt;(A24stdlife+$E377),('PTRM input'!$G$166*(1+rvanilla01)^0.5)-SUM($G377:AQ377),('PTRM input'!$G$166*(1+rvanilla01)^0.5)/A24stdlife))</f>
        <v>0</v>
      </c>
      <c r="AS377" s="107">
        <f>IF(A24stdlife="n/a","n/a",IF(AS$3&gt;(A24stdlife+$E377),('PTRM input'!$G$166*(1+rvanilla01)^0.5)-SUM($G377:AR377),('PTRM input'!$G$166*(1+rvanilla01)^0.5)/A24stdlife))</f>
        <v>0</v>
      </c>
      <c r="AT377" s="107">
        <f>IF(A24stdlife="n/a","n/a",IF(AT$3&gt;(A24stdlife+$E377),('PTRM input'!$G$166*(1+rvanilla01)^0.5)-SUM($G377:AS377),('PTRM input'!$G$166*(1+rvanilla01)^0.5)/A24stdlife))</f>
        <v>0</v>
      </c>
      <c r="AU377" s="107">
        <f>IF(A24stdlife="n/a","n/a",IF(AU$3&gt;(A24stdlife+$E377),('PTRM input'!$G$166*(1+rvanilla01)^0.5)-SUM($G377:AT377),('PTRM input'!$G$166*(1+rvanilla01)^0.5)/A24stdlife))</f>
        <v>0</v>
      </c>
      <c r="AV377" s="107">
        <f>IF(A24stdlife="n/a","n/a",IF(AV$3&gt;(A24stdlife+$E377),('PTRM input'!$G$166*(1+rvanilla01)^0.5)-SUM($G377:AU377),('PTRM input'!$G$166*(1+rvanilla01)^0.5)/A24stdlife))</f>
        <v>0</v>
      </c>
      <c r="AW377" s="107">
        <f>IF(A24stdlife="n/a","n/a",IF(AW$3&gt;(A24stdlife+$E377),('PTRM input'!$G$166*(1+rvanilla01)^0.5)-SUM($G377:AV377),('PTRM input'!$G$166*(1+rvanilla01)^0.5)/A24stdlife))</f>
        <v>0</v>
      </c>
      <c r="AX377" s="107">
        <f>IF(A24stdlife="n/a","n/a",IF(AX$3&gt;(A24stdlife+$E377),('PTRM input'!$G$166*(1+rvanilla01)^0.5)-SUM($G377:AW377),('PTRM input'!$G$166*(1+rvanilla01)^0.5)/A24stdlife))</f>
        <v>0</v>
      </c>
      <c r="AY377" s="107">
        <f>IF(A24stdlife="n/a","n/a",IF(AY$3&gt;(A24stdlife+$E377),('PTRM input'!$G$166*(1+rvanilla01)^0.5)-SUM($G377:AX377),('PTRM input'!$G$166*(1+rvanilla01)^0.5)/A24stdlife))</f>
        <v>0</v>
      </c>
      <c r="AZ377" s="107">
        <f>IF(A24stdlife="n/a","n/a",IF(AZ$3&gt;(A24stdlife+$E377),('PTRM input'!$G$166*(1+rvanilla01)^0.5)-SUM($G377:AY377),('PTRM input'!$G$166*(1+rvanilla01)^0.5)/A24stdlife))</f>
        <v>0</v>
      </c>
      <c r="BA377" s="107">
        <f>IF(A24stdlife="n/a","n/a",IF(BA$3&gt;(A24stdlife+$E377),('PTRM input'!$G$166*(1+rvanilla01)^0.5)-SUM($G377:AZ377),('PTRM input'!$G$166*(1+rvanilla01)^0.5)/A24stdlife))</f>
        <v>0</v>
      </c>
      <c r="BB377" s="107">
        <f>IF(A24stdlife="n/a","n/a",IF(BB$3&gt;(A24stdlife+$E377),('PTRM input'!$G$166*(1+rvanilla01)^0.5)-SUM($G377:BA377),('PTRM input'!$G$166*(1+rvanilla01)^0.5)/A24stdlife))</f>
        <v>0</v>
      </c>
      <c r="BC377" s="107">
        <f>IF(A24stdlife="n/a","n/a",IF(BC$3&gt;(A24stdlife+$E377),('PTRM input'!$G$166*(1+rvanilla01)^0.5)-SUM($G377:BB377),('PTRM input'!$G$166*(1+rvanilla01)^0.5)/A24stdlife))</f>
        <v>0</v>
      </c>
      <c r="BD377" s="107">
        <f>IF(A24stdlife="n/a","n/a",IF(BD$3&gt;(A24stdlife+$E377),('PTRM input'!$G$166*(1+rvanilla01)^0.5)-SUM($G377:BC377),('PTRM input'!$G$166*(1+rvanilla01)^0.5)/A24stdlife))</f>
        <v>0</v>
      </c>
      <c r="BE377" s="107">
        <f>IF(A24stdlife="n/a","n/a",IF(BE$3&gt;(A24stdlife+$E377),('PTRM input'!$G$166*(1+rvanilla01)^0.5)-SUM($G377:BD377),('PTRM input'!$G$166*(1+rvanilla01)^0.5)/A24stdlife))</f>
        <v>0</v>
      </c>
      <c r="BF377" s="107">
        <f>IF(A24stdlife="n/a","n/a",IF(BF$3&gt;(A24stdlife+$E377),('PTRM input'!$G$166*(1+rvanilla01)^0.5)-SUM($G377:BE377),('PTRM input'!$G$166*(1+rvanilla01)^0.5)/A24stdlife))</f>
        <v>0</v>
      </c>
      <c r="BG377" s="107">
        <f>IF(A24stdlife="n/a","n/a",IF(BG$3&gt;(A24stdlife+$E377),('PTRM input'!$G$166*(1+rvanilla01)^0.5)-SUM($G377:BF377),('PTRM input'!$G$166*(1+rvanilla01)^0.5)/A24stdlife))</f>
        <v>0</v>
      </c>
      <c r="BH377" s="107">
        <f>IF(A24stdlife="n/a","n/a",IF(BH$3&gt;(A24stdlife+$E377),('PTRM input'!$G$166*(1+rvanilla01)^0.5)-SUM($G377:BG377),('PTRM input'!$G$166*(1+rvanilla01)^0.5)/A24stdlife))</f>
        <v>0</v>
      </c>
      <c r="BI377" s="107">
        <f>IF(A24stdlife="n/a","n/a",IF(BI$3&gt;(A24stdlife+$E377),('PTRM input'!$G$166*(1+rvanilla01)^0.5)-SUM($G377:BH377),('PTRM input'!$G$166*(1+rvanilla01)^0.5)/A24stdlife))</f>
        <v>0</v>
      </c>
      <c r="BJ377" s="237"/>
      <c r="BK377" s="237"/>
      <c r="BL377" s="237"/>
      <c r="BM377" s="237"/>
    </row>
    <row r="378" spans="1:65" s="190" customFormat="1" hidden="1" outlineLevel="2">
      <c r="A378" s="237"/>
      <c r="B378" s="33"/>
      <c r="C378" s="32"/>
      <c r="D378" s="1618"/>
      <c r="E378" s="169">
        <v>2</v>
      </c>
      <c r="F378" s="35"/>
      <c r="G378" s="184"/>
      <c r="H378" s="185"/>
      <c r="I378" s="107">
        <f>IF(A24stdlife="n/a","n/a",IF(I$3&gt;(A24stdlife+$E378),('PTRM input'!$H$166*(1+rvanilla02)^0.5)-SUM($H378:H378),('PTRM input'!$H$166*(1+rvanilla02)^0.5)/A24stdlife))</f>
        <v>0</v>
      </c>
      <c r="J378" s="107">
        <f>IF(A24stdlife="n/a","n/a",IF(J$3&gt;(A24stdlife+$E378),('PTRM input'!$H$166*(1+rvanilla02)^0.5)-SUM($H378:I378),('PTRM input'!$H$166*(1+rvanilla02)^0.5)/A24stdlife))</f>
        <v>0</v>
      </c>
      <c r="K378" s="107">
        <f>IF(A24stdlife="n/a","n/a",IF(K$3&gt;(A24stdlife+$E378),('PTRM input'!$H$166*(1+rvanilla02)^0.5)-SUM($H378:J378),('PTRM input'!$H$166*(1+rvanilla02)^0.5)/A24stdlife))</f>
        <v>0</v>
      </c>
      <c r="L378" s="107">
        <f>IF(A24stdlife="n/a","n/a",IF(L$3&gt;(A24stdlife+$E378),('PTRM input'!$H$166*(1+rvanilla02)^0.5)-SUM($H378:K378),('PTRM input'!$H$166*(1+rvanilla02)^0.5)/A24stdlife))</f>
        <v>0</v>
      </c>
      <c r="M378" s="107">
        <f>IF(A24stdlife="n/a","n/a",IF(M$3&gt;(A24stdlife+$E378),('PTRM input'!$H$166*(1+rvanilla02)^0.5)-SUM($H378:L378),('PTRM input'!$H$166*(1+rvanilla02)^0.5)/A24stdlife))</f>
        <v>0</v>
      </c>
      <c r="N378" s="107">
        <f>IF(A24stdlife="n/a","n/a",IF(N$3&gt;(A24stdlife+$E378),('PTRM input'!$H$166*(1+rvanilla02)^0.5)-SUM($H378:M378),('PTRM input'!$H$166*(1+rvanilla02)^0.5)/A24stdlife))</f>
        <v>0</v>
      </c>
      <c r="O378" s="107">
        <f>IF(A24stdlife="n/a","n/a",IF(O$3&gt;(A24stdlife+$E378),('PTRM input'!$H$166*(1+rvanilla02)^0.5)-SUM($H378:N378),('PTRM input'!$H$166*(1+rvanilla02)^0.5)/A24stdlife))</f>
        <v>0</v>
      </c>
      <c r="P378" s="107">
        <f>IF(A24stdlife="n/a","n/a",IF(P$3&gt;(A24stdlife+$E378),('PTRM input'!$H$166*(1+rvanilla02)^0.5)-SUM($H378:O378),('PTRM input'!$H$166*(1+rvanilla02)^0.5)/A24stdlife))</f>
        <v>0</v>
      </c>
      <c r="Q378" s="107">
        <f>IF(A24stdlife="n/a","n/a",IF(Q$3&gt;(A24stdlife+$E378),('PTRM input'!$H$166*(1+rvanilla02)^0.5)-SUM($H378:P378),('PTRM input'!$H$166*(1+rvanilla02)^0.5)/A24stdlife))</f>
        <v>0</v>
      </c>
      <c r="R378" s="107">
        <f>IF(A24stdlife="n/a","n/a",IF(R$3&gt;(A24stdlife+$E378),('PTRM input'!$H$166*(1+rvanilla02)^0.5)-SUM($H378:Q378),('PTRM input'!$H$166*(1+rvanilla02)^0.5)/A24stdlife))</f>
        <v>0</v>
      </c>
      <c r="S378" s="107">
        <f>IF(A24stdlife="n/a","n/a",IF(S$3&gt;(A24stdlife+$E378),('PTRM input'!$H$166*(1+rvanilla02)^0.5)-SUM($H378:R378),('PTRM input'!$H$166*(1+rvanilla02)^0.5)/A24stdlife))</f>
        <v>0</v>
      </c>
      <c r="T378" s="107">
        <f>IF(A24stdlife="n/a","n/a",IF(T$3&gt;(A24stdlife+$E378),('PTRM input'!$H$166*(1+rvanilla02)^0.5)-SUM($H378:S378),('PTRM input'!$H$166*(1+rvanilla02)^0.5)/A24stdlife))</f>
        <v>0</v>
      </c>
      <c r="U378" s="107">
        <f>IF(A24stdlife="n/a","n/a",IF(U$3&gt;(A24stdlife+$E378),('PTRM input'!$H$166*(1+rvanilla02)^0.5)-SUM($H378:T378),('PTRM input'!$H$166*(1+rvanilla02)^0.5)/A24stdlife))</f>
        <v>0</v>
      </c>
      <c r="V378" s="107">
        <f>IF(A24stdlife="n/a","n/a",IF(V$3&gt;(A24stdlife+$E378),('PTRM input'!$H$166*(1+rvanilla02)^0.5)-SUM($H378:U378),('PTRM input'!$H$166*(1+rvanilla02)^0.5)/A24stdlife))</f>
        <v>0</v>
      </c>
      <c r="W378" s="107">
        <f>IF(A24stdlife="n/a","n/a",IF(W$3&gt;(A24stdlife+$E378),('PTRM input'!$H$166*(1+rvanilla02)^0.5)-SUM($H378:V378),('PTRM input'!$H$166*(1+rvanilla02)^0.5)/A24stdlife))</f>
        <v>0</v>
      </c>
      <c r="X378" s="107">
        <f>IF(A24stdlife="n/a","n/a",IF(X$3&gt;(A24stdlife+$E378),('PTRM input'!$H$166*(1+rvanilla02)^0.5)-SUM($H378:W378),('PTRM input'!$H$166*(1+rvanilla02)^0.5)/A24stdlife))</f>
        <v>0</v>
      </c>
      <c r="Y378" s="107">
        <f>IF(A24stdlife="n/a","n/a",IF(Y$3&gt;(A24stdlife+$E378),('PTRM input'!$H$166*(1+rvanilla02)^0.5)-SUM($H378:X378),('PTRM input'!$H$166*(1+rvanilla02)^0.5)/A24stdlife))</f>
        <v>0</v>
      </c>
      <c r="Z378" s="107">
        <f>IF(A24stdlife="n/a","n/a",IF(Z$3&gt;(A24stdlife+$E378),('PTRM input'!$H$166*(1+rvanilla02)^0.5)-SUM($H378:Y378),('PTRM input'!$H$166*(1+rvanilla02)^0.5)/A24stdlife))</f>
        <v>0</v>
      </c>
      <c r="AA378" s="107">
        <f>IF(A24stdlife="n/a","n/a",IF(AA$3&gt;(A24stdlife+$E378),('PTRM input'!$H$166*(1+rvanilla02)^0.5)-SUM($H378:Z378),('PTRM input'!$H$166*(1+rvanilla02)^0.5)/A24stdlife))</f>
        <v>0</v>
      </c>
      <c r="AB378" s="107">
        <f>IF(A24stdlife="n/a","n/a",IF(AB$3&gt;(A24stdlife+$E378),('PTRM input'!$H$166*(1+rvanilla02)^0.5)-SUM($H378:AA378),('PTRM input'!$H$166*(1+rvanilla02)^0.5)/A24stdlife))</f>
        <v>0</v>
      </c>
      <c r="AC378" s="107">
        <f>IF(A24stdlife="n/a","n/a",IF(AC$3&gt;(A24stdlife+$E378),('PTRM input'!$H$166*(1+rvanilla02)^0.5)-SUM($H378:AB378),('PTRM input'!$H$166*(1+rvanilla02)^0.5)/A24stdlife))</f>
        <v>0</v>
      </c>
      <c r="AD378" s="107">
        <f>IF(A24stdlife="n/a","n/a",IF(AD$3&gt;(A24stdlife+$E378),('PTRM input'!$H$166*(1+rvanilla02)^0.5)-SUM($H378:AC378),('PTRM input'!$H$166*(1+rvanilla02)^0.5)/A24stdlife))</f>
        <v>0</v>
      </c>
      <c r="AE378" s="107">
        <f>IF(A24stdlife="n/a","n/a",IF(AE$3&gt;(A24stdlife+$E378),('PTRM input'!$H$166*(1+rvanilla02)^0.5)-SUM($H378:AD378),('PTRM input'!$H$166*(1+rvanilla02)^0.5)/A24stdlife))</f>
        <v>0</v>
      </c>
      <c r="AF378" s="107">
        <f>IF(A24stdlife="n/a","n/a",IF(AF$3&gt;(A24stdlife+$E378),('PTRM input'!$H$166*(1+rvanilla02)^0.5)-SUM($H378:AE378),('PTRM input'!$H$166*(1+rvanilla02)^0.5)/A24stdlife))</f>
        <v>0</v>
      </c>
      <c r="AG378" s="107">
        <f>IF(A24stdlife="n/a","n/a",IF(AG$3&gt;(A24stdlife+$E378),('PTRM input'!$H$166*(1+rvanilla02)^0.5)-SUM($H378:AF378),('PTRM input'!$H$166*(1+rvanilla02)^0.5)/A24stdlife))</f>
        <v>0</v>
      </c>
      <c r="AH378" s="107">
        <f>IF(A24stdlife="n/a","n/a",IF(AH$3&gt;(A24stdlife+$E378),('PTRM input'!$H$166*(1+rvanilla02)^0.5)-SUM($H378:AG378),('PTRM input'!$H$166*(1+rvanilla02)^0.5)/A24stdlife))</f>
        <v>0</v>
      </c>
      <c r="AI378" s="107">
        <f>IF(A24stdlife="n/a","n/a",IF(AI$3&gt;(A24stdlife+$E378),('PTRM input'!$H$166*(1+rvanilla02)^0.5)-SUM($H378:AH378),('PTRM input'!$H$166*(1+rvanilla02)^0.5)/A24stdlife))</f>
        <v>0</v>
      </c>
      <c r="AJ378" s="107">
        <f>IF(A24stdlife="n/a","n/a",IF(AJ$3&gt;(A24stdlife+$E378),('PTRM input'!$H$166*(1+rvanilla02)^0.5)-SUM($H378:AI378),('PTRM input'!$H$166*(1+rvanilla02)^0.5)/A24stdlife))</f>
        <v>0</v>
      </c>
      <c r="AK378" s="107">
        <f>IF(A24stdlife="n/a","n/a",IF(AK$3&gt;(A24stdlife+$E378),('PTRM input'!$H$166*(1+rvanilla02)^0.5)-SUM($H378:AJ378),('PTRM input'!$H$166*(1+rvanilla02)^0.5)/A24stdlife))</f>
        <v>0</v>
      </c>
      <c r="AL378" s="107">
        <f>IF(A24stdlife="n/a","n/a",IF(AL$3&gt;(A24stdlife+$E378),('PTRM input'!$H$166*(1+rvanilla02)^0.5)-SUM($H378:AK378),('PTRM input'!$H$166*(1+rvanilla02)^0.5)/A24stdlife))</f>
        <v>0</v>
      </c>
      <c r="AM378" s="107">
        <f>IF(A24stdlife="n/a","n/a",IF(AM$3&gt;(A24stdlife+$E378),('PTRM input'!$H$166*(1+rvanilla02)^0.5)-SUM($H378:AL378),('PTRM input'!$H$166*(1+rvanilla02)^0.5)/A24stdlife))</f>
        <v>0</v>
      </c>
      <c r="AN378" s="107">
        <f>IF(A24stdlife="n/a","n/a",IF(AN$3&gt;(A24stdlife+$E378),('PTRM input'!$H$166*(1+rvanilla02)^0.5)-SUM($H378:AM378),('PTRM input'!$H$166*(1+rvanilla02)^0.5)/A24stdlife))</f>
        <v>0</v>
      </c>
      <c r="AO378" s="107">
        <f>IF(A24stdlife="n/a","n/a",IF(AO$3&gt;(A24stdlife+$E378),('PTRM input'!$H$166*(1+rvanilla02)^0.5)-SUM($H378:AN378),('PTRM input'!$H$166*(1+rvanilla02)^0.5)/A24stdlife))</f>
        <v>0</v>
      </c>
      <c r="AP378" s="107">
        <f>IF(A24stdlife="n/a","n/a",IF(AP$3&gt;(A24stdlife+$E378),('PTRM input'!$H$166*(1+rvanilla02)^0.5)-SUM($H378:AO378),('PTRM input'!$H$166*(1+rvanilla02)^0.5)/A24stdlife))</f>
        <v>0</v>
      </c>
      <c r="AQ378" s="107">
        <f>IF(A24stdlife="n/a","n/a",IF(AQ$3&gt;(A24stdlife+$E378),('PTRM input'!$H$166*(1+rvanilla02)^0.5)-SUM($H378:AP378),('PTRM input'!$H$166*(1+rvanilla02)^0.5)/A24stdlife))</f>
        <v>0</v>
      </c>
      <c r="AR378" s="107">
        <f>IF(A24stdlife="n/a","n/a",IF(AR$3&gt;(A24stdlife+$E378),('PTRM input'!$H$166*(1+rvanilla02)^0.5)-SUM($H378:AQ378),('PTRM input'!$H$166*(1+rvanilla02)^0.5)/A24stdlife))</f>
        <v>0</v>
      </c>
      <c r="AS378" s="107">
        <f>IF(A24stdlife="n/a","n/a",IF(AS$3&gt;(A24stdlife+$E378),('PTRM input'!$H$166*(1+rvanilla02)^0.5)-SUM($H378:AR378),('PTRM input'!$H$166*(1+rvanilla02)^0.5)/A24stdlife))</f>
        <v>0</v>
      </c>
      <c r="AT378" s="107">
        <f>IF(A24stdlife="n/a","n/a",IF(AT$3&gt;(A24stdlife+$E378),('PTRM input'!$H$166*(1+rvanilla02)^0.5)-SUM($H378:AS378),('PTRM input'!$H$166*(1+rvanilla02)^0.5)/A24stdlife))</f>
        <v>0</v>
      </c>
      <c r="AU378" s="107">
        <f>IF(A24stdlife="n/a","n/a",IF(AU$3&gt;(A24stdlife+$E378),('PTRM input'!$H$166*(1+rvanilla02)^0.5)-SUM($H378:AT378),('PTRM input'!$H$166*(1+rvanilla02)^0.5)/A24stdlife))</f>
        <v>0</v>
      </c>
      <c r="AV378" s="107">
        <f>IF(A24stdlife="n/a","n/a",IF(AV$3&gt;(A24stdlife+$E378),('PTRM input'!$H$166*(1+rvanilla02)^0.5)-SUM($H378:AU378),('PTRM input'!$H$166*(1+rvanilla02)^0.5)/A24stdlife))</f>
        <v>0</v>
      </c>
      <c r="AW378" s="107">
        <f>IF(A24stdlife="n/a","n/a",IF(AW$3&gt;(A24stdlife+$E378),('PTRM input'!$H$166*(1+rvanilla02)^0.5)-SUM($H378:AV378),('PTRM input'!$H$166*(1+rvanilla02)^0.5)/A24stdlife))</f>
        <v>0</v>
      </c>
      <c r="AX378" s="107">
        <f>IF(A24stdlife="n/a","n/a",IF(AX$3&gt;(A24stdlife+$E378),('PTRM input'!$H$166*(1+rvanilla02)^0.5)-SUM($H378:AW378),('PTRM input'!$H$166*(1+rvanilla02)^0.5)/A24stdlife))</f>
        <v>0</v>
      </c>
      <c r="AY378" s="107">
        <f>IF(A24stdlife="n/a","n/a",IF(AY$3&gt;(A24stdlife+$E378),('PTRM input'!$H$166*(1+rvanilla02)^0.5)-SUM($H378:AX378),('PTRM input'!$H$166*(1+rvanilla02)^0.5)/A24stdlife))</f>
        <v>0</v>
      </c>
      <c r="AZ378" s="107">
        <f>IF(A24stdlife="n/a","n/a",IF(AZ$3&gt;(A24stdlife+$E378),('PTRM input'!$H$166*(1+rvanilla02)^0.5)-SUM($H378:AY378),('PTRM input'!$H$166*(1+rvanilla02)^0.5)/A24stdlife))</f>
        <v>0</v>
      </c>
      <c r="BA378" s="107">
        <f>IF(A24stdlife="n/a","n/a",IF(BA$3&gt;(A24stdlife+$E378),('PTRM input'!$H$166*(1+rvanilla02)^0.5)-SUM($H378:AZ378),('PTRM input'!$H$166*(1+rvanilla02)^0.5)/A24stdlife))</f>
        <v>0</v>
      </c>
      <c r="BB378" s="107">
        <f>IF(A24stdlife="n/a","n/a",IF(BB$3&gt;(A24stdlife+$E378),('PTRM input'!$H$166*(1+rvanilla02)^0.5)-SUM($H378:BA378),('PTRM input'!$H$166*(1+rvanilla02)^0.5)/A24stdlife))</f>
        <v>0</v>
      </c>
      <c r="BC378" s="107">
        <f>IF(A24stdlife="n/a","n/a",IF(BC$3&gt;(A24stdlife+$E378),('PTRM input'!$H$166*(1+rvanilla02)^0.5)-SUM($H378:BB378),('PTRM input'!$H$166*(1+rvanilla02)^0.5)/A24stdlife))</f>
        <v>0</v>
      </c>
      <c r="BD378" s="107">
        <f>IF(A24stdlife="n/a","n/a",IF(BD$3&gt;(A24stdlife+$E378),('PTRM input'!$H$166*(1+rvanilla02)^0.5)-SUM($H378:BC378),('PTRM input'!$H$166*(1+rvanilla02)^0.5)/A24stdlife))</f>
        <v>0</v>
      </c>
      <c r="BE378" s="107">
        <f>IF(A24stdlife="n/a","n/a",IF(BE$3&gt;(A24stdlife+$E378),('PTRM input'!$H$166*(1+rvanilla02)^0.5)-SUM($H378:BD378),('PTRM input'!$H$166*(1+rvanilla02)^0.5)/A24stdlife))</f>
        <v>0</v>
      </c>
      <c r="BF378" s="107">
        <f>IF(A24stdlife="n/a","n/a",IF(BF$3&gt;(A24stdlife+$E378),('PTRM input'!$H$166*(1+rvanilla02)^0.5)-SUM($H378:BE378),('PTRM input'!$H$166*(1+rvanilla02)^0.5)/A24stdlife))</f>
        <v>0</v>
      </c>
      <c r="BG378" s="107">
        <f>IF(A24stdlife="n/a","n/a",IF(BG$3&gt;(A24stdlife+$E378),('PTRM input'!$H$166*(1+rvanilla02)^0.5)-SUM($H378:BF378),('PTRM input'!$H$166*(1+rvanilla02)^0.5)/A24stdlife))</f>
        <v>0</v>
      </c>
      <c r="BH378" s="107">
        <f>IF(A24stdlife="n/a","n/a",IF(BH$3&gt;(A24stdlife+$E378),('PTRM input'!$H$166*(1+rvanilla02)^0.5)-SUM($H378:BG378),('PTRM input'!$H$166*(1+rvanilla02)^0.5)/A24stdlife))</f>
        <v>0</v>
      </c>
      <c r="BI378" s="107">
        <f>IF(A24stdlife="n/a","n/a",IF(BI$3&gt;(A24stdlife+$E378),('PTRM input'!$H$166*(1+rvanilla02)^0.5)-SUM($H378:BH378),('PTRM input'!$H$166*(1+rvanilla02)^0.5)/A24stdlife))</f>
        <v>0</v>
      </c>
      <c r="BJ378" s="237"/>
      <c r="BK378" s="237"/>
      <c r="BL378" s="237"/>
      <c r="BM378" s="237"/>
    </row>
    <row r="379" spans="1:65" s="190" customFormat="1" hidden="1" outlineLevel="2">
      <c r="A379" s="237"/>
      <c r="B379" s="33"/>
      <c r="C379" s="32"/>
      <c r="D379" s="1618"/>
      <c r="E379" s="169">
        <v>3</v>
      </c>
      <c r="F379" s="35"/>
      <c r="G379" s="184"/>
      <c r="H379" s="186"/>
      <c r="I379" s="185"/>
      <c r="J379" s="107">
        <f>IF(A24stdlife="n/a","n/a",IF(J$3&gt;(A24stdlife+$E379),('PTRM input'!$I$166*(1+rvanilla03)^0.5)-SUM($I379:I379),('PTRM input'!$I$166*(1+rvanilla03)^0.5)/A24stdlife))</f>
        <v>0</v>
      </c>
      <c r="K379" s="107">
        <f>IF(A24stdlife="n/a","n/a",IF(K$3&gt;(A24stdlife+$E379),('PTRM input'!$I$166*(1+rvanilla03)^0.5)-SUM($I379:J379),('PTRM input'!$I$166*(1+rvanilla03)^0.5)/A24stdlife))</f>
        <v>0</v>
      </c>
      <c r="L379" s="107">
        <f>IF(A24stdlife="n/a","n/a",IF(L$3&gt;(A24stdlife+$E379),('PTRM input'!$I$166*(1+rvanilla03)^0.5)-SUM($I379:K379),('PTRM input'!$I$166*(1+rvanilla03)^0.5)/A24stdlife))</f>
        <v>0</v>
      </c>
      <c r="M379" s="107">
        <f>IF(A24stdlife="n/a","n/a",IF(M$3&gt;(A24stdlife+$E379),('PTRM input'!$I$166*(1+rvanilla03)^0.5)-SUM($I379:L379),('PTRM input'!$I$166*(1+rvanilla03)^0.5)/A24stdlife))</f>
        <v>0</v>
      </c>
      <c r="N379" s="107">
        <f>IF(A24stdlife="n/a","n/a",IF(N$3&gt;(A24stdlife+$E379),('PTRM input'!$I$166*(1+rvanilla03)^0.5)-SUM($I379:M379),('PTRM input'!$I$166*(1+rvanilla03)^0.5)/A24stdlife))</f>
        <v>0</v>
      </c>
      <c r="O379" s="107">
        <f>IF(A24stdlife="n/a","n/a",IF(O$3&gt;(A24stdlife+$E379),('PTRM input'!$I$166*(1+rvanilla03)^0.5)-SUM($I379:N379),('PTRM input'!$I$166*(1+rvanilla03)^0.5)/A24stdlife))</f>
        <v>0</v>
      </c>
      <c r="P379" s="107">
        <f>IF(A24stdlife="n/a","n/a",IF(P$3&gt;(A24stdlife+$E379),('PTRM input'!$I$166*(1+rvanilla03)^0.5)-SUM($I379:O379),('PTRM input'!$I$166*(1+rvanilla03)^0.5)/A24stdlife))</f>
        <v>0</v>
      </c>
      <c r="Q379" s="107">
        <f>IF(A24stdlife="n/a","n/a",IF(Q$3&gt;(A24stdlife+$E379),('PTRM input'!$I$166*(1+rvanilla03)^0.5)-SUM($I379:P379),('PTRM input'!$I$166*(1+rvanilla03)^0.5)/A24stdlife))</f>
        <v>0</v>
      </c>
      <c r="R379" s="107">
        <f>IF(A24stdlife="n/a","n/a",IF(R$3&gt;(A24stdlife+$E379),('PTRM input'!$I$166*(1+rvanilla03)^0.5)-SUM($I379:Q379),('PTRM input'!$I$166*(1+rvanilla03)^0.5)/A24stdlife))</f>
        <v>0</v>
      </c>
      <c r="S379" s="107">
        <f>IF(A24stdlife="n/a","n/a",IF(S$3&gt;(A24stdlife+$E379),('PTRM input'!$I$166*(1+rvanilla03)^0.5)-SUM($I379:R379),('PTRM input'!$I$166*(1+rvanilla03)^0.5)/A24stdlife))</f>
        <v>0</v>
      </c>
      <c r="T379" s="107">
        <f>IF(A24stdlife="n/a","n/a",IF(T$3&gt;(A24stdlife+$E379),('PTRM input'!$I$166*(1+rvanilla03)^0.5)-SUM($I379:S379),('PTRM input'!$I$166*(1+rvanilla03)^0.5)/A24stdlife))</f>
        <v>0</v>
      </c>
      <c r="U379" s="107">
        <f>IF(A24stdlife="n/a","n/a",IF(U$3&gt;(A24stdlife+$E379),('PTRM input'!$I$166*(1+rvanilla03)^0.5)-SUM($I379:T379),('PTRM input'!$I$166*(1+rvanilla03)^0.5)/A24stdlife))</f>
        <v>0</v>
      </c>
      <c r="V379" s="107">
        <f>IF(A24stdlife="n/a","n/a",IF(V$3&gt;(A24stdlife+$E379),('PTRM input'!$I$166*(1+rvanilla03)^0.5)-SUM($I379:U379),('PTRM input'!$I$166*(1+rvanilla03)^0.5)/A24stdlife))</f>
        <v>0</v>
      </c>
      <c r="W379" s="107">
        <f>IF(A24stdlife="n/a","n/a",IF(W$3&gt;(A24stdlife+$E379),('PTRM input'!$I$166*(1+rvanilla03)^0.5)-SUM($I379:V379),('PTRM input'!$I$166*(1+rvanilla03)^0.5)/A24stdlife))</f>
        <v>0</v>
      </c>
      <c r="X379" s="107">
        <f>IF(A24stdlife="n/a","n/a",IF(X$3&gt;(A24stdlife+$E379),('PTRM input'!$I$166*(1+rvanilla03)^0.5)-SUM($I379:W379),('PTRM input'!$I$166*(1+rvanilla03)^0.5)/A24stdlife))</f>
        <v>0</v>
      </c>
      <c r="Y379" s="107">
        <f>IF(A24stdlife="n/a","n/a",IF(Y$3&gt;(A24stdlife+$E379),('PTRM input'!$I$166*(1+rvanilla03)^0.5)-SUM($I379:X379),('PTRM input'!$I$166*(1+rvanilla03)^0.5)/A24stdlife))</f>
        <v>0</v>
      </c>
      <c r="Z379" s="107">
        <f>IF(A24stdlife="n/a","n/a",IF(Z$3&gt;(A24stdlife+$E379),('PTRM input'!$I$166*(1+rvanilla03)^0.5)-SUM($I379:Y379),('PTRM input'!$I$166*(1+rvanilla03)^0.5)/A24stdlife))</f>
        <v>0</v>
      </c>
      <c r="AA379" s="107">
        <f>IF(A24stdlife="n/a","n/a",IF(AA$3&gt;(A24stdlife+$E379),('PTRM input'!$I$166*(1+rvanilla03)^0.5)-SUM($I379:Z379),('PTRM input'!$I$166*(1+rvanilla03)^0.5)/A24stdlife))</f>
        <v>0</v>
      </c>
      <c r="AB379" s="107">
        <f>IF(A24stdlife="n/a","n/a",IF(AB$3&gt;(A24stdlife+$E379),('PTRM input'!$I$166*(1+rvanilla03)^0.5)-SUM($I379:AA379),('PTRM input'!$I$166*(1+rvanilla03)^0.5)/A24stdlife))</f>
        <v>0</v>
      </c>
      <c r="AC379" s="107">
        <f>IF(A24stdlife="n/a","n/a",IF(AC$3&gt;(A24stdlife+$E379),('PTRM input'!$I$166*(1+rvanilla03)^0.5)-SUM($I379:AB379),('PTRM input'!$I$166*(1+rvanilla03)^0.5)/A24stdlife))</f>
        <v>0</v>
      </c>
      <c r="AD379" s="107">
        <f>IF(A24stdlife="n/a","n/a",IF(AD$3&gt;(A24stdlife+$E379),('PTRM input'!$I$166*(1+rvanilla03)^0.5)-SUM($I379:AC379),('PTRM input'!$I$166*(1+rvanilla03)^0.5)/A24stdlife))</f>
        <v>0</v>
      </c>
      <c r="AE379" s="107">
        <f>IF(A24stdlife="n/a","n/a",IF(AE$3&gt;(A24stdlife+$E379),('PTRM input'!$I$166*(1+rvanilla03)^0.5)-SUM($I379:AD379),('PTRM input'!$I$166*(1+rvanilla03)^0.5)/A24stdlife))</f>
        <v>0</v>
      </c>
      <c r="AF379" s="107">
        <f>IF(A24stdlife="n/a","n/a",IF(AF$3&gt;(A24stdlife+$E379),('PTRM input'!$I$166*(1+rvanilla03)^0.5)-SUM($I379:AE379),('PTRM input'!$I$166*(1+rvanilla03)^0.5)/A24stdlife))</f>
        <v>0</v>
      </c>
      <c r="AG379" s="107">
        <f>IF(A24stdlife="n/a","n/a",IF(AG$3&gt;(A24stdlife+$E379),('PTRM input'!$I$166*(1+rvanilla03)^0.5)-SUM($I379:AF379),('PTRM input'!$I$166*(1+rvanilla03)^0.5)/A24stdlife))</f>
        <v>0</v>
      </c>
      <c r="AH379" s="107">
        <f>IF(A24stdlife="n/a","n/a",IF(AH$3&gt;(A24stdlife+$E379),('PTRM input'!$I$166*(1+rvanilla03)^0.5)-SUM($I379:AG379),('PTRM input'!$I$166*(1+rvanilla03)^0.5)/A24stdlife))</f>
        <v>0</v>
      </c>
      <c r="AI379" s="107">
        <f>IF(A24stdlife="n/a","n/a",IF(AI$3&gt;(A24stdlife+$E379),('PTRM input'!$I$166*(1+rvanilla03)^0.5)-SUM($I379:AH379),('PTRM input'!$I$166*(1+rvanilla03)^0.5)/A24stdlife))</f>
        <v>0</v>
      </c>
      <c r="AJ379" s="107">
        <f>IF(A24stdlife="n/a","n/a",IF(AJ$3&gt;(A24stdlife+$E379),('PTRM input'!$I$166*(1+rvanilla03)^0.5)-SUM($I379:AI379),('PTRM input'!$I$166*(1+rvanilla03)^0.5)/A24stdlife))</f>
        <v>0</v>
      </c>
      <c r="AK379" s="107">
        <f>IF(A24stdlife="n/a","n/a",IF(AK$3&gt;(A24stdlife+$E379),('PTRM input'!$I$166*(1+rvanilla03)^0.5)-SUM($I379:AJ379),('PTRM input'!$I$166*(1+rvanilla03)^0.5)/A24stdlife))</f>
        <v>0</v>
      </c>
      <c r="AL379" s="107">
        <f>IF(A24stdlife="n/a","n/a",IF(AL$3&gt;(A24stdlife+$E379),('PTRM input'!$I$166*(1+rvanilla03)^0.5)-SUM($I379:AK379),('PTRM input'!$I$166*(1+rvanilla03)^0.5)/A24stdlife))</f>
        <v>0</v>
      </c>
      <c r="AM379" s="107">
        <f>IF(A24stdlife="n/a","n/a",IF(AM$3&gt;(A24stdlife+$E379),('PTRM input'!$I$166*(1+rvanilla03)^0.5)-SUM($I379:AL379),('PTRM input'!$I$166*(1+rvanilla03)^0.5)/A24stdlife))</f>
        <v>0</v>
      </c>
      <c r="AN379" s="107">
        <f>IF(A24stdlife="n/a","n/a",IF(AN$3&gt;(A24stdlife+$E379),('PTRM input'!$I$166*(1+rvanilla03)^0.5)-SUM($I379:AM379),('PTRM input'!$I$166*(1+rvanilla03)^0.5)/A24stdlife))</f>
        <v>0</v>
      </c>
      <c r="AO379" s="107">
        <f>IF(A24stdlife="n/a","n/a",IF(AO$3&gt;(A24stdlife+$E379),('PTRM input'!$I$166*(1+rvanilla03)^0.5)-SUM($I379:AN379),('PTRM input'!$I$166*(1+rvanilla03)^0.5)/A24stdlife))</f>
        <v>0</v>
      </c>
      <c r="AP379" s="107">
        <f>IF(A24stdlife="n/a","n/a",IF(AP$3&gt;(A24stdlife+$E379),('PTRM input'!$I$166*(1+rvanilla03)^0.5)-SUM($I379:AO379),('PTRM input'!$I$166*(1+rvanilla03)^0.5)/A24stdlife))</f>
        <v>0</v>
      </c>
      <c r="AQ379" s="107">
        <f>IF(A24stdlife="n/a","n/a",IF(AQ$3&gt;(A24stdlife+$E379),('PTRM input'!$I$166*(1+rvanilla03)^0.5)-SUM($I379:AP379),('PTRM input'!$I$166*(1+rvanilla03)^0.5)/A24stdlife))</f>
        <v>0</v>
      </c>
      <c r="AR379" s="107">
        <f>IF(A24stdlife="n/a","n/a",IF(AR$3&gt;(A24stdlife+$E379),('PTRM input'!$I$166*(1+rvanilla03)^0.5)-SUM($I379:AQ379),('PTRM input'!$I$166*(1+rvanilla03)^0.5)/A24stdlife))</f>
        <v>0</v>
      </c>
      <c r="AS379" s="107">
        <f>IF(A24stdlife="n/a","n/a",IF(AS$3&gt;(A24stdlife+$E379),('PTRM input'!$I$166*(1+rvanilla03)^0.5)-SUM($I379:AR379),('PTRM input'!$I$166*(1+rvanilla03)^0.5)/A24stdlife))</f>
        <v>0</v>
      </c>
      <c r="AT379" s="107">
        <f>IF(A24stdlife="n/a","n/a",IF(AT$3&gt;(A24stdlife+$E379),('PTRM input'!$I$166*(1+rvanilla03)^0.5)-SUM($I379:AS379),('PTRM input'!$I$166*(1+rvanilla03)^0.5)/A24stdlife))</f>
        <v>0</v>
      </c>
      <c r="AU379" s="107">
        <f>IF(A24stdlife="n/a","n/a",IF(AU$3&gt;(A24stdlife+$E379),('PTRM input'!$I$166*(1+rvanilla03)^0.5)-SUM($I379:AT379),('PTRM input'!$I$166*(1+rvanilla03)^0.5)/A24stdlife))</f>
        <v>0</v>
      </c>
      <c r="AV379" s="107">
        <f>IF(A24stdlife="n/a","n/a",IF(AV$3&gt;(A24stdlife+$E379),('PTRM input'!$I$166*(1+rvanilla03)^0.5)-SUM($I379:AU379),('PTRM input'!$I$166*(1+rvanilla03)^0.5)/A24stdlife))</f>
        <v>0</v>
      </c>
      <c r="AW379" s="107">
        <f>IF(A24stdlife="n/a","n/a",IF(AW$3&gt;(A24stdlife+$E379),('PTRM input'!$I$166*(1+rvanilla03)^0.5)-SUM($I379:AV379),('PTRM input'!$I$166*(1+rvanilla03)^0.5)/A24stdlife))</f>
        <v>0</v>
      </c>
      <c r="AX379" s="107">
        <f>IF(A24stdlife="n/a","n/a",IF(AX$3&gt;(A24stdlife+$E379),('PTRM input'!$I$166*(1+rvanilla03)^0.5)-SUM($I379:AW379),('PTRM input'!$I$166*(1+rvanilla03)^0.5)/A24stdlife))</f>
        <v>0</v>
      </c>
      <c r="AY379" s="107">
        <f>IF(A24stdlife="n/a","n/a",IF(AY$3&gt;(A24stdlife+$E379),('PTRM input'!$I$166*(1+rvanilla03)^0.5)-SUM($I379:AX379),('PTRM input'!$I$166*(1+rvanilla03)^0.5)/A24stdlife))</f>
        <v>0</v>
      </c>
      <c r="AZ379" s="107">
        <f>IF(A24stdlife="n/a","n/a",IF(AZ$3&gt;(A24stdlife+$E379),('PTRM input'!$I$166*(1+rvanilla03)^0.5)-SUM($I379:AY379),('PTRM input'!$I$166*(1+rvanilla03)^0.5)/A24stdlife))</f>
        <v>0</v>
      </c>
      <c r="BA379" s="107">
        <f>IF(A24stdlife="n/a","n/a",IF(BA$3&gt;(A24stdlife+$E379),('PTRM input'!$I$166*(1+rvanilla03)^0.5)-SUM($I379:AZ379),('PTRM input'!$I$166*(1+rvanilla03)^0.5)/A24stdlife))</f>
        <v>0</v>
      </c>
      <c r="BB379" s="107">
        <f>IF(A24stdlife="n/a","n/a",IF(BB$3&gt;(A24stdlife+$E379),('PTRM input'!$I$166*(1+rvanilla03)^0.5)-SUM($I379:BA379),('PTRM input'!$I$166*(1+rvanilla03)^0.5)/A24stdlife))</f>
        <v>0</v>
      </c>
      <c r="BC379" s="107">
        <f>IF(A24stdlife="n/a","n/a",IF(BC$3&gt;(A24stdlife+$E379),('PTRM input'!$I$166*(1+rvanilla03)^0.5)-SUM($I379:BB379),('PTRM input'!$I$166*(1+rvanilla03)^0.5)/A24stdlife))</f>
        <v>0</v>
      </c>
      <c r="BD379" s="107">
        <f>IF(A24stdlife="n/a","n/a",IF(BD$3&gt;(A24stdlife+$E379),('PTRM input'!$I$166*(1+rvanilla03)^0.5)-SUM($I379:BC379),('PTRM input'!$I$166*(1+rvanilla03)^0.5)/A24stdlife))</f>
        <v>0</v>
      </c>
      <c r="BE379" s="107">
        <f>IF(A24stdlife="n/a","n/a",IF(BE$3&gt;(A24stdlife+$E379),('PTRM input'!$I$166*(1+rvanilla03)^0.5)-SUM($I379:BD379),('PTRM input'!$I$166*(1+rvanilla03)^0.5)/A24stdlife))</f>
        <v>0</v>
      </c>
      <c r="BF379" s="107">
        <f>IF(A24stdlife="n/a","n/a",IF(BF$3&gt;(A24stdlife+$E379),('PTRM input'!$I$166*(1+rvanilla03)^0.5)-SUM($I379:BE379),('PTRM input'!$I$166*(1+rvanilla03)^0.5)/A24stdlife))</f>
        <v>0</v>
      </c>
      <c r="BG379" s="107">
        <f>IF(A24stdlife="n/a","n/a",IF(BG$3&gt;(A24stdlife+$E379),('PTRM input'!$I$166*(1+rvanilla03)^0.5)-SUM($I379:BF379),('PTRM input'!$I$166*(1+rvanilla03)^0.5)/A24stdlife))</f>
        <v>0</v>
      </c>
      <c r="BH379" s="107">
        <f>IF(A24stdlife="n/a","n/a",IF(BH$3&gt;(A24stdlife+$E379),('PTRM input'!$I$166*(1+rvanilla03)^0.5)-SUM($I379:BG379),('PTRM input'!$I$166*(1+rvanilla03)^0.5)/A24stdlife))</f>
        <v>0</v>
      </c>
      <c r="BI379" s="107">
        <f>IF(A24stdlife="n/a","n/a",IF(BI$3&gt;(A24stdlife+$E379),('PTRM input'!$I$166*(1+rvanilla03)^0.5)-SUM($I379:BH379),('PTRM input'!$I$166*(1+rvanilla03)^0.5)/A24stdlife))</f>
        <v>0</v>
      </c>
      <c r="BJ379" s="237"/>
      <c r="BK379" s="237"/>
      <c r="BL379" s="237"/>
      <c r="BM379" s="237"/>
    </row>
    <row r="380" spans="1:65" s="190" customFormat="1" hidden="1" outlineLevel="2">
      <c r="A380" s="237"/>
      <c r="B380" s="33"/>
      <c r="C380" s="32"/>
      <c r="D380" s="1618"/>
      <c r="E380" s="169">
        <v>4</v>
      </c>
      <c r="F380" s="35"/>
      <c r="G380" s="184"/>
      <c r="H380" s="186"/>
      <c r="I380" s="186"/>
      <c r="J380" s="185"/>
      <c r="K380" s="107">
        <f>IF(A24stdlife="n/a","n/a",IF(K$3&gt;(A24stdlife+$E380),('PTRM input'!$J$166*(1+rvanilla04)^0.5)-SUM($J380:J380),('PTRM input'!$J$166*(1+rvanilla04)^0.5)/A24stdlife))</f>
        <v>0</v>
      </c>
      <c r="L380" s="107">
        <f>IF(A24stdlife="n/a","n/a",IF(L$3&gt;(A24stdlife+$E380),('PTRM input'!$J$166*(1+rvanilla04)^0.5)-SUM($J380:K380),('PTRM input'!$J$166*(1+rvanilla04)^0.5)/A24stdlife))</f>
        <v>0</v>
      </c>
      <c r="M380" s="107">
        <f>IF(A24stdlife="n/a","n/a",IF(M$3&gt;(A24stdlife+$E380),('PTRM input'!$J$166*(1+rvanilla04)^0.5)-SUM($J380:L380),('PTRM input'!$J$166*(1+rvanilla04)^0.5)/A24stdlife))</f>
        <v>0</v>
      </c>
      <c r="N380" s="107">
        <f>IF(A24stdlife="n/a","n/a",IF(N$3&gt;(A24stdlife+$E380),('PTRM input'!$J$166*(1+rvanilla04)^0.5)-SUM($J380:M380),('PTRM input'!$J$166*(1+rvanilla04)^0.5)/A24stdlife))</f>
        <v>0</v>
      </c>
      <c r="O380" s="107">
        <f>IF(A24stdlife="n/a","n/a",IF(O$3&gt;(A24stdlife+$E380),('PTRM input'!$J$166*(1+rvanilla04)^0.5)-SUM($J380:N380),('PTRM input'!$J$166*(1+rvanilla04)^0.5)/A24stdlife))</f>
        <v>0</v>
      </c>
      <c r="P380" s="107">
        <f>IF(A24stdlife="n/a","n/a",IF(P$3&gt;(A24stdlife+$E380),('PTRM input'!$J$166*(1+rvanilla04)^0.5)-SUM($J380:O380),('PTRM input'!$J$166*(1+rvanilla04)^0.5)/A24stdlife))</f>
        <v>0</v>
      </c>
      <c r="Q380" s="107">
        <f>IF(A24stdlife="n/a","n/a",IF(Q$3&gt;(A24stdlife+$E380),('PTRM input'!$J$166*(1+rvanilla04)^0.5)-SUM($J380:P380),('PTRM input'!$J$166*(1+rvanilla04)^0.5)/A24stdlife))</f>
        <v>0</v>
      </c>
      <c r="R380" s="107">
        <f>IF(A24stdlife="n/a","n/a",IF(R$3&gt;(A24stdlife+$E380),('PTRM input'!$J$166*(1+rvanilla04)^0.5)-SUM($J380:Q380),('PTRM input'!$J$166*(1+rvanilla04)^0.5)/A24stdlife))</f>
        <v>0</v>
      </c>
      <c r="S380" s="107">
        <f>IF(A24stdlife="n/a","n/a",IF(S$3&gt;(A24stdlife+$E380),('PTRM input'!$J$166*(1+rvanilla04)^0.5)-SUM($J380:R380),('PTRM input'!$J$166*(1+rvanilla04)^0.5)/A24stdlife))</f>
        <v>0</v>
      </c>
      <c r="T380" s="107">
        <f>IF(A24stdlife="n/a","n/a",IF(T$3&gt;(A24stdlife+$E380),('PTRM input'!$J$166*(1+rvanilla04)^0.5)-SUM($J380:S380),('PTRM input'!$J$166*(1+rvanilla04)^0.5)/A24stdlife))</f>
        <v>0</v>
      </c>
      <c r="U380" s="107">
        <f>IF(A24stdlife="n/a","n/a",IF(U$3&gt;(A24stdlife+$E380),('PTRM input'!$J$166*(1+rvanilla04)^0.5)-SUM($J380:T380),('PTRM input'!$J$166*(1+rvanilla04)^0.5)/A24stdlife))</f>
        <v>0</v>
      </c>
      <c r="V380" s="107">
        <f>IF(A24stdlife="n/a","n/a",IF(V$3&gt;(A24stdlife+$E380),('PTRM input'!$J$166*(1+rvanilla04)^0.5)-SUM($J380:U380),('PTRM input'!$J$166*(1+rvanilla04)^0.5)/A24stdlife))</f>
        <v>0</v>
      </c>
      <c r="W380" s="107">
        <f>IF(A24stdlife="n/a","n/a",IF(W$3&gt;(A24stdlife+$E380),('PTRM input'!$J$166*(1+rvanilla04)^0.5)-SUM($J380:V380),('PTRM input'!$J$166*(1+rvanilla04)^0.5)/A24stdlife))</f>
        <v>0</v>
      </c>
      <c r="X380" s="107">
        <f>IF(A24stdlife="n/a","n/a",IF(X$3&gt;(A24stdlife+$E380),('PTRM input'!$J$166*(1+rvanilla04)^0.5)-SUM($J380:W380),('PTRM input'!$J$166*(1+rvanilla04)^0.5)/A24stdlife))</f>
        <v>0</v>
      </c>
      <c r="Y380" s="107">
        <f>IF(A24stdlife="n/a","n/a",IF(Y$3&gt;(A24stdlife+$E380),('PTRM input'!$J$166*(1+rvanilla04)^0.5)-SUM($J380:X380),('PTRM input'!$J$166*(1+rvanilla04)^0.5)/A24stdlife))</f>
        <v>0</v>
      </c>
      <c r="Z380" s="107">
        <f>IF(A24stdlife="n/a","n/a",IF(Z$3&gt;(A24stdlife+$E380),('PTRM input'!$J$166*(1+rvanilla04)^0.5)-SUM($J380:Y380),('PTRM input'!$J$166*(1+rvanilla04)^0.5)/A24stdlife))</f>
        <v>0</v>
      </c>
      <c r="AA380" s="107">
        <f>IF(A24stdlife="n/a","n/a",IF(AA$3&gt;(A24stdlife+$E380),('PTRM input'!$J$166*(1+rvanilla04)^0.5)-SUM($J380:Z380),('PTRM input'!$J$166*(1+rvanilla04)^0.5)/A24stdlife))</f>
        <v>0</v>
      </c>
      <c r="AB380" s="107">
        <f>IF(A24stdlife="n/a","n/a",IF(AB$3&gt;(A24stdlife+$E380),('PTRM input'!$J$166*(1+rvanilla04)^0.5)-SUM($J380:AA380),('PTRM input'!$J$166*(1+rvanilla04)^0.5)/A24stdlife))</f>
        <v>0</v>
      </c>
      <c r="AC380" s="107">
        <f>IF(A24stdlife="n/a","n/a",IF(AC$3&gt;(A24stdlife+$E380),('PTRM input'!$J$166*(1+rvanilla04)^0.5)-SUM($J380:AB380),('PTRM input'!$J$166*(1+rvanilla04)^0.5)/A24stdlife))</f>
        <v>0</v>
      </c>
      <c r="AD380" s="107">
        <f>IF(A24stdlife="n/a","n/a",IF(AD$3&gt;(A24stdlife+$E380),('PTRM input'!$J$166*(1+rvanilla04)^0.5)-SUM($J380:AC380),('PTRM input'!$J$166*(1+rvanilla04)^0.5)/A24stdlife))</f>
        <v>0</v>
      </c>
      <c r="AE380" s="107">
        <f>IF(A24stdlife="n/a","n/a",IF(AE$3&gt;(A24stdlife+$E380),('PTRM input'!$J$166*(1+rvanilla04)^0.5)-SUM($J380:AD380),('PTRM input'!$J$166*(1+rvanilla04)^0.5)/A24stdlife))</f>
        <v>0</v>
      </c>
      <c r="AF380" s="107">
        <f>IF(A24stdlife="n/a","n/a",IF(AF$3&gt;(A24stdlife+$E380),('PTRM input'!$J$166*(1+rvanilla04)^0.5)-SUM($J380:AE380),('PTRM input'!$J$166*(1+rvanilla04)^0.5)/A24stdlife))</f>
        <v>0</v>
      </c>
      <c r="AG380" s="107">
        <f>IF(A24stdlife="n/a","n/a",IF(AG$3&gt;(A24stdlife+$E380),('PTRM input'!$J$166*(1+rvanilla04)^0.5)-SUM($J380:AF380),('PTRM input'!$J$166*(1+rvanilla04)^0.5)/A24stdlife))</f>
        <v>0</v>
      </c>
      <c r="AH380" s="107">
        <f>IF(A24stdlife="n/a","n/a",IF(AH$3&gt;(A24stdlife+$E380),('PTRM input'!$J$166*(1+rvanilla04)^0.5)-SUM($J380:AG380),('PTRM input'!$J$166*(1+rvanilla04)^0.5)/A24stdlife))</f>
        <v>0</v>
      </c>
      <c r="AI380" s="107">
        <f>IF(A24stdlife="n/a","n/a",IF(AI$3&gt;(A24stdlife+$E380),('PTRM input'!$J$166*(1+rvanilla04)^0.5)-SUM($J380:AH380),('PTRM input'!$J$166*(1+rvanilla04)^0.5)/A24stdlife))</f>
        <v>0</v>
      </c>
      <c r="AJ380" s="107">
        <f>IF(A24stdlife="n/a","n/a",IF(AJ$3&gt;(A24stdlife+$E380),('PTRM input'!$J$166*(1+rvanilla04)^0.5)-SUM($J380:AI380),('PTRM input'!$J$166*(1+rvanilla04)^0.5)/A24stdlife))</f>
        <v>0</v>
      </c>
      <c r="AK380" s="107">
        <f>IF(A24stdlife="n/a","n/a",IF(AK$3&gt;(A24stdlife+$E380),('PTRM input'!$J$166*(1+rvanilla04)^0.5)-SUM($J380:AJ380),('PTRM input'!$J$166*(1+rvanilla04)^0.5)/A24stdlife))</f>
        <v>0</v>
      </c>
      <c r="AL380" s="107">
        <f>IF(A24stdlife="n/a","n/a",IF(AL$3&gt;(A24stdlife+$E380),('PTRM input'!$J$166*(1+rvanilla04)^0.5)-SUM($J380:AK380),('PTRM input'!$J$166*(1+rvanilla04)^0.5)/A24stdlife))</f>
        <v>0</v>
      </c>
      <c r="AM380" s="107">
        <f>IF(A24stdlife="n/a","n/a",IF(AM$3&gt;(A24stdlife+$E380),('PTRM input'!$J$166*(1+rvanilla04)^0.5)-SUM($J380:AL380),('PTRM input'!$J$166*(1+rvanilla04)^0.5)/A24stdlife))</f>
        <v>0</v>
      </c>
      <c r="AN380" s="107">
        <f>IF(A24stdlife="n/a","n/a",IF(AN$3&gt;(A24stdlife+$E380),('PTRM input'!$J$166*(1+rvanilla04)^0.5)-SUM($J380:AM380),('PTRM input'!$J$166*(1+rvanilla04)^0.5)/A24stdlife))</f>
        <v>0</v>
      </c>
      <c r="AO380" s="107">
        <f>IF(A24stdlife="n/a","n/a",IF(AO$3&gt;(A24stdlife+$E380),('PTRM input'!$J$166*(1+rvanilla04)^0.5)-SUM($J380:AN380),('PTRM input'!$J$166*(1+rvanilla04)^0.5)/A24stdlife))</f>
        <v>0</v>
      </c>
      <c r="AP380" s="107">
        <f>IF(A24stdlife="n/a","n/a",IF(AP$3&gt;(A24stdlife+$E380),('PTRM input'!$J$166*(1+rvanilla04)^0.5)-SUM($J380:AO380),('PTRM input'!$J$166*(1+rvanilla04)^0.5)/A24stdlife))</f>
        <v>0</v>
      </c>
      <c r="AQ380" s="107">
        <f>IF(A24stdlife="n/a","n/a",IF(AQ$3&gt;(A24stdlife+$E380),('PTRM input'!$J$166*(1+rvanilla04)^0.5)-SUM($J380:AP380),('PTRM input'!$J$166*(1+rvanilla04)^0.5)/A24stdlife))</f>
        <v>0</v>
      </c>
      <c r="AR380" s="107">
        <f>IF(A24stdlife="n/a","n/a",IF(AR$3&gt;(A24stdlife+$E380),('PTRM input'!$J$166*(1+rvanilla04)^0.5)-SUM($J380:AQ380),('PTRM input'!$J$166*(1+rvanilla04)^0.5)/A24stdlife))</f>
        <v>0</v>
      </c>
      <c r="AS380" s="107">
        <f>IF(A24stdlife="n/a","n/a",IF(AS$3&gt;(A24stdlife+$E380),('PTRM input'!$J$166*(1+rvanilla04)^0.5)-SUM($J380:AR380),('PTRM input'!$J$166*(1+rvanilla04)^0.5)/A24stdlife))</f>
        <v>0</v>
      </c>
      <c r="AT380" s="107">
        <f>IF(A24stdlife="n/a","n/a",IF(AT$3&gt;(A24stdlife+$E380),('PTRM input'!$J$166*(1+rvanilla04)^0.5)-SUM($J380:AS380),('PTRM input'!$J$166*(1+rvanilla04)^0.5)/A24stdlife))</f>
        <v>0</v>
      </c>
      <c r="AU380" s="107">
        <f>IF(A24stdlife="n/a","n/a",IF(AU$3&gt;(A24stdlife+$E380),('PTRM input'!$J$166*(1+rvanilla04)^0.5)-SUM($J380:AT380),('PTRM input'!$J$166*(1+rvanilla04)^0.5)/A24stdlife))</f>
        <v>0</v>
      </c>
      <c r="AV380" s="107">
        <f>IF(A24stdlife="n/a","n/a",IF(AV$3&gt;(A24stdlife+$E380),('PTRM input'!$J$166*(1+rvanilla04)^0.5)-SUM($J380:AU380),('PTRM input'!$J$166*(1+rvanilla04)^0.5)/A24stdlife))</f>
        <v>0</v>
      </c>
      <c r="AW380" s="107">
        <f>IF(A24stdlife="n/a","n/a",IF(AW$3&gt;(A24stdlife+$E380),('PTRM input'!$J$166*(1+rvanilla04)^0.5)-SUM($J380:AV380),('PTRM input'!$J$166*(1+rvanilla04)^0.5)/A24stdlife))</f>
        <v>0</v>
      </c>
      <c r="AX380" s="107">
        <f>IF(A24stdlife="n/a","n/a",IF(AX$3&gt;(A24stdlife+$E380),('PTRM input'!$J$166*(1+rvanilla04)^0.5)-SUM($J380:AW380),('PTRM input'!$J$166*(1+rvanilla04)^0.5)/A24stdlife))</f>
        <v>0</v>
      </c>
      <c r="AY380" s="107">
        <f>IF(A24stdlife="n/a","n/a",IF(AY$3&gt;(A24stdlife+$E380),('PTRM input'!$J$166*(1+rvanilla04)^0.5)-SUM($J380:AX380),('PTRM input'!$J$166*(1+rvanilla04)^0.5)/A24stdlife))</f>
        <v>0</v>
      </c>
      <c r="AZ380" s="107">
        <f>IF(A24stdlife="n/a","n/a",IF(AZ$3&gt;(A24stdlife+$E380),('PTRM input'!$J$166*(1+rvanilla04)^0.5)-SUM($J380:AY380),('PTRM input'!$J$166*(1+rvanilla04)^0.5)/A24stdlife))</f>
        <v>0</v>
      </c>
      <c r="BA380" s="107">
        <f>IF(A24stdlife="n/a","n/a",IF(BA$3&gt;(A24stdlife+$E380),('PTRM input'!$J$166*(1+rvanilla04)^0.5)-SUM($J380:AZ380),('PTRM input'!$J$166*(1+rvanilla04)^0.5)/A24stdlife))</f>
        <v>0</v>
      </c>
      <c r="BB380" s="107">
        <f>IF(A24stdlife="n/a","n/a",IF(BB$3&gt;(A24stdlife+$E380),('PTRM input'!$J$166*(1+rvanilla04)^0.5)-SUM($J380:BA380),('PTRM input'!$J$166*(1+rvanilla04)^0.5)/A24stdlife))</f>
        <v>0</v>
      </c>
      <c r="BC380" s="107">
        <f>IF(A24stdlife="n/a","n/a",IF(BC$3&gt;(A24stdlife+$E380),('PTRM input'!$J$166*(1+rvanilla04)^0.5)-SUM($J380:BB380),('PTRM input'!$J$166*(1+rvanilla04)^0.5)/A24stdlife))</f>
        <v>0</v>
      </c>
      <c r="BD380" s="107">
        <f>IF(A24stdlife="n/a","n/a",IF(BD$3&gt;(A24stdlife+$E380),('PTRM input'!$J$166*(1+rvanilla04)^0.5)-SUM($J380:BC380),('PTRM input'!$J$166*(1+rvanilla04)^0.5)/A24stdlife))</f>
        <v>0</v>
      </c>
      <c r="BE380" s="107">
        <f>IF(A24stdlife="n/a","n/a",IF(BE$3&gt;(A24stdlife+$E380),('PTRM input'!$J$166*(1+rvanilla04)^0.5)-SUM($J380:BD380),('PTRM input'!$J$166*(1+rvanilla04)^0.5)/A24stdlife))</f>
        <v>0</v>
      </c>
      <c r="BF380" s="107">
        <f>IF(A24stdlife="n/a","n/a",IF(BF$3&gt;(A24stdlife+$E380),('PTRM input'!$J$166*(1+rvanilla04)^0.5)-SUM($J380:BE380),('PTRM input'!$J$166*(1+rvanilla04)^0.5)/A24stdlife))</f>
        <v>0</v>
      </c>
      <c r="BG380" s="107">
        <f>IF(A24stdlife="n/a","n/a",IF(BG$3&gt;(A24stdlife+$E380),('PTRM input'!$J$166*(1+rvanilla04)^0.5)-SUM($J380:BF380),('PTRM input'!$J$166*(1+rvanilla04)^0.5)/A24stdlife))</f>
        <v>0</v>
      </c>
      <c r="BH380" s="107">
        <f>IF(A24stdlife="n/a","n/a",IF(BH$3&gt;(A24stdlife+$E380),('PTRM input'!$J$166*(1+rvanilla04)^0.5)-SUM($J380:BG380),('PTRM input'!$J$166*(1+rvanilla04)^0.5)/A24stdlife))</f>
        <v>0</v>
      </c>
      <c r="BI380" s="107">
        <f>IF(A24stdlife="n/a","n/a",IF(BI$3&gt;(A24stdlife+$E380),('PTRM input'!$J$166*(1+rvanilla04)^0.5)-SUM($J380:BH380),('PTRM input'!$J$166*(1+rvanilla04)^0.5)/A24stdlife))</f>
        <v>0</v>
      </c>
      <c r="BJ380" s="237"/>
      <c r="BK380" s="237"/>
      <c r="BL380" s="237"/>
      <c r="BM380" s="237"/>
    </row>
    <row r="381" spans="1:65" s="190" customFormat="1" hidden="1" outlineLevel="2">
      <c r="A381" s="237"/>
      <c r="B381" s="33"/>
      <c r="C381" s="32"/>
      <c r="D381" s="1618"/>
      <c r="E381" s="169">
        <v>5</v>
      </c>
      <c r="F381" s="35"/>
      <c r="G381" s="184"/>
      <c r="H381" s="186"/>
      <c r="I381" s="186"/>
      <c r="J381" s="186"/>
      <c r="K381" s="185"/>
      <c r="L381" s="107">
        <f>IF(A24stdlife="n/a","n/a",IF(L$3&gt;(A24stdlife+$E381),('PTRM input'!$K$166*(1+rvanilla05)^0.5)-SUM($K381:K381),('PTRM input'!$K$166*(1+rvanilla05)^0.5)/A24stdlife))</f>
        <v>0</v>
      </c>
      <c r="M381" s="107">
        <f>IF(A24stdlife="n/a","n/a",IF(M$3&gt;(A24stdlife+$E381),('PTRM input'!$K$166*(1+rvanilla05)^0.5)-SUM($K381:L381),('PTRM input'!$K$166*(1+rvanilla05)^0.5)/A24stdlife))</f>
        <v>0</v>
      </c>
      <c r="N381" s="107">
        <f>IF(A24stdlife="n/a","n/a",IF(N$3&gt;(A24stdlife+$E381),('PTRM input'!$K$166*(1+rvanilla05)^0.5)-SUM($K381:M381),('PTRM input'!$K$166*(1+rvanilla05)^0.5)/A24stdlife))</f>
        <v>0</v>
      </c>
      <c r="O381" s="107">
        <f>IF(A24stdlife="n/a","n/a",IF(O$3&gt;(A24stdlife+$E381),('PTRM input'!$K$166*(1+rvanilla05)^0.5)-SUM($K381:N381),('PTRM input'!$K$166*(1+rvanilla05)^0.5)/A24stdlife))</f>
        <v>0</v>
      </c>
      <c r="P381" s="107">
        <f>IF(A24stdlife="n/a","n/a",IF(P$3&gt;(A24stdlife+$E381),('PTRM input'!$K$166*(1+rvanilla05)^0.5)-SUM($K381:O381),('PTRM input'!$K$166*(1+rvanilla05)^0.5)/A24stdlife))</f>
        <v>0</v>
      </c>
      <c r="Q381" s="107">
        <f>IF(A24stdlife="n/a","n/a",IF(Q$3&gt;(A24stdlife+$E381),('PTRM input'!$K$166*(1+rvanilla05)^0.5)-SUM($K381:P381),('PTRM input'!$K$166*(1+rvanilla05)^0.5)/A24stdlife))</f>
        <v>0</v>
      </c>
      <c r="R381" s="107">
        <f>IF(A24stdlife="n/a","n/a",IF(R$3&gt;(A24stdlife+$E381),('PTRM input'!$K$166*(1+rvanilla05)^0.5)-SUM($K381:Q381),('PTRM input'!$K$166*(1+rvanilla05)^0.5)/A24stdlife))</f>
        <v>0</v>
      </c>
      <c r="S381" s="107">
        <f>IF(A24stdlife="n/a","n/a",IF(S$3&gt;(A24stdlife+$E381),('PTRM input'!$K$166*(1+rvanilla05)^0.5)-SUM($K381:R381),('PTRM input'!$K$166*(1+rvanilla05)^0.5)/A24stdlife))</f>
        <v>0</v>
      </c>
      <c r="T381" s="107">
        <f>IF(A24stdlife="n/a","n/a",IF(T$3&gt;(A24stdlife+$E381),('PTRM input'!$K$166*(1+rvanilla05)^0.5)-SUM($K381:S381),('PTRM input'!$K$166*(1+rvanilla05)^0.5)/A24stdlife))</f>
        <v>0</v>
      </c>
      <c r="U381" s="107">
        <f>IF(A24stdlife="n/a","n/a",IF(U$3&gt;(A24stdlife+$E381),('PTRM input'!$K$166*(1+rvanilla05)^0.5)-SUM($K381:T381),('PTRM input'!$K$166*(1+rvanilla05)^0.5)/A24stdlife))</f>
        <v>0</v>
      </c>
      <c r="V381" s="107">
        <f>IF(A24stdlife="n/a","n/a",IF(V$3&gt;(A24stdlife+$E381),('PTRM input'!$K$166*(1+rvanilla05)^0.5)-SUM($K381:U381),('PTRM input'!$K$166*(1+rvanilla05)^0.5)/A24stdlife))</f>
        <v>0</v>
      </c>
      <c r="W381" s="107">
        <f>IF(A24stdlife="n/a","n/a",IF(W$3&gt;(A24stdlife+$E381),('PTRM input'!$K$166*(1+rvanilla05)^0.5)-SUM($K381:V381),('PTRM input'!$K$166*(1+rvanilla05)^0.5)/A24stdlife))</f>
        <v>0</v>
      </c>
      <c r="X381" s="107">
        <f>IF(A24stdlife="n/a","n/a",IF(X$3&gt;(A24stdlife+$E381),('PTRM input'!$K$166*(1+rvanilla05)^0.5)-SUM($K381:W381),('PTRM input'!$K$166*(1+rvanilla05)^0.5)/A24stdlife))</f>
        <v>0</v>
      </c>
      <c r="Y381" s="107">
        <f>IF(A24stdlife="n/a","n/a",IF(Y$3&gt;(A24stdlife+$E381),('PTRM input'!$K$166*(1+rvanilla05)^0.5)-SUM($K381:X381),('PTRM input'!$K$166*(1+rvanilla05)^0.5)/A24stdlife))</f>
        <v>0</v>
      </c>
      <c r="Z381" s="107">
        <f>IF(A24stdlife="n/a","n/a",IF(Z$3&gt;(A24stdlife+$E381),('PTRM input'!$K$166*(1+rvanilla05)^0.5)-SUM($K381:Y381),('PTRM input'!$K$166*(1+rvanilla05)^0.5)/A24stdlife))</f>
        <v>0</v>
      </c>
      <c r="AA381" s="107">
        <f>IF(A24stdlife="n/a","n/a",IF(AA$3&gt;(A24stdlife+$E381),('PTRM input'!$K$166*(1+rvanilla05)^0.5)-SUM($K381:Z381),('PTRM input'!$K$166*(1+rvanilla05)^0.5)/A24stdlife))</f>
        <v>0</v>
      </c>
      <c r="AB381" s="107">
        <f>IF(A24stdlife="n/a","n/a",IF(AB$3&gt;(A24stdlife+$E381),('PTRM input'!$K$166*(1+rvanilla05)^0.5)-SUM($K381:AA381),('PTRM input'!$K$166*(1+rvanilla05)^0.5)/A24stdlife))</f>
        <v>0</v>
      </c>
      <c r="AC381" s="107">
        <f>IF(A24stdlife="n/a","n/a",IF(AC$3&gt;(A24stdlife+$E381),('PTRM input'!$K$166*(1+rvanilla05)^0.5)-SUM($K381:AB381),('PTRM input'!$K$166*(1+rvanilla05)^0.5)/A24stdlife))</f>
        <v>0</v>
      </c>
      <c r="AD381" s="107">
        <f>IF(A24stdlife="n/a","n/a",IF(AD$3&gt;(A24stdlife+$E381),('PTRM input'!$K$166*(1+rvanilla05)^0.5)-SUM($K381:AC381),('PTRM input'!$K$166*(1+rvanilla05)^0.5)/A24stdlife))</f>
        <v>0</v>
      </c>
      <c r="AE381" s="107">
        <f>IF(A24stdlife="n/a","n/a",IF(AE$3&gt;(A24stdlife+$E381),('PTRM input'!$K$166*(1+rvanilla05)^0.5)-SUM($K381:AD381),('PTRM input'!$K$166*(1+rvanilla05)^0.5)/A24stdlife))</f>
        <v>0</v>
      </c>
      <c r="AF381" s="107">
        <f>IF(A24stdlife="n/a","n/a",IF(AF$3&gt;(A24stdlife+$E381),('PTRM input'!$K$166*(1+rvanilla05)^0.5)-SUM($K381:AE381),('PTRM input'!$K$166*(1+rvanilla05)^0.5)/A24stdlife))</f>
        <v>0</v>
      </c>
      <c r="AG381" s="107">
        <f>IF(A24stdlife="n/a","n/a",IF(AG$3&gt;(A24stdlife+$E381),('PTRM input'!$K$166*(1+rvanilla05)^0.5)-SUM($K381:AF381),('PTRM input'!$K$166*(1+rvanilla05)^0.5)/A24stdlife))</f>
        <v>0</v>
      </c>
      <c r="AH381" s="107">
        <f>IF(A24stdlife="n/a","n/a",IF(AH$3&gt;(A24stdlife+$E381),('PTRM input'!$K$166*(1+rvanilla05)^0.5)-SUM($K381:AG381),('PTRM input'!$K$166*(1+rvanilla05)^0.5)/A24stdlife))</f>
        <v>0</v>
      </c>
      <c r="AI381" s="107">
        <f>IF(A24stdlife="n/a","n/a",IF(AI$3&gt;(A24stdlife+$E381),('PTRM input'!$K$166*(1+rvanilla05)^0.5)-SUM($K381:AH381),('PTRM input'!$K$166*(1+rvanilla05)^0.5)/A24stdlife))</f>
        <v>0</v>
      </c>
      <c r="AJ381" s="107">
        <f>IF(A24stdlife="n/a","n/a",IF(AJ$3&gt;(A24stdlife+$E381),('PTRM input'!$K$166*(1+rvanilla05)^0.5)-SUM($K381:AI381),('PTRM input'!$K$166*(1+rvanilla05)^0.5)/A24stdlife))</f>
        <v>0</v>
      </c>
      <c r="AK381" s="107">
        <f>IF(A24stdlife="n/a","n/a",IF(AK$3&gt;(A24stdlife+$E381),('PTRM input'!$K$166*(1+rvanilla05)^0.5)-SUM($K381:AJ381),('PTRM input'!$K$166*(1+rvanilla05)^0.5)/A24stdlife))</f>
        <v>0</v>
      </c>
      <c r="AL381" s="107">
        <f>IF(A24stdlife="n/a","n/a",IF(AL$3&gt;(A24stdlife+$E381),('PTRM input'!$K$166*(1+rvanilla05)^0.5)-SUM($K381:AK381),('PTRM input'!$K$166*(1+rvanilla05)^0.5)/A24stdlife))</f>
        <v>0</v>
      </c>
      <c r="AM381" s="107">
        <f>IF(A24stdlife="n/a","n/a",IF(AM$3&gt;(A24stdlife+$E381),('PTRM input'!$K$166*(1+rvanilla05)^0.5)-SUM($K381:AL381),('PTRM input'!$K$166*(1+rvanilla05)^0.5)/A24stdlife))</f>
        <v>0</v>
      </c>
      <c r="AN381" s="107">
        <f>IF(A24stdlife="n/a","n/a",IF(AN$3&gt;(A24stdlife+$E381),('PTRM input'!$K$166*(1+rvanilla05)^0.5)-SUM($K381:AM381),('PTRM input'!$K$166*(1+rvanilla05)^0.5)/A24stdlife))</f>
        <v>0</v>
      </c>
      <c r="AO381" s="107">
        <f>IF(A24stdlife="n/a","n/a",IF(AO$3&gt;(A24stdlife+$E381),('PTRM input'!$K$166*(1+rvanilla05)^0.5)-SUM($K381:AN381),('PTRM input'!$K$166*(1+rvanilla05)^0.5)/A24stdlife))</f>
        <v>0</v>
      </c>
      <c r="AP381" s="107">
        <f>IF(A24stdlife="n/a","n/a",IF(AP$3&gt;(A24stdlife+$E381),('PTRM input'!$K$166*(1+rvanilla05)^0.5)-SUM($K381:AO381),('PTRM input'!$K$166*(1+rvanilla05)^0.5)/A24stdlife))</f>
        <v>0</v>
      </c>
      <c r="AQ381" s="107">
        <f>IF(A24stdlife="n/a","n/a",IF(AQ$3&gt;(A24stdlife+$E381),('PTRM input'!$K$166*(1+rvanilla05)^0.5)-SUM($K381:AP381),('PTRM input'!$K$166*(1+rvanilla05)^0.5)/A24stdlife))</f>
        <v>0</v>
      </c>
      <c r="AR381" s="107">
        <f>IF(A24stdlife="n/a","n/a",IF(AR$3&gt;(A24stdlife+$E381),('PTRM input'!$K$166*(1+rvanilla05)^0.5)-SUM($K381:AQ381),('PTRM input'!$K$166*(1+rvanilla05)^0.5)/A24stdlife))</f>
        <v>0</v>
      </c>
      <c r="AS381" s="107">
        <f>IF(A24stdlife="n/a","n/a",IF(AS$3&gt;(A24stdlife+$E381),('PTRM input'!$K$166*(1+rvanilla05)^0.5)-SUM($K381:AR381),('PTRM input'!$K$166*(1+rvanilla05)^0.5)/A24stdlife))</f>
        <v>0</v>
      </c>
      <c r="AT381" s="107">
        <f>IF(A24stdlife="n/a","n/a",IF(AT$3&gt;(A24stdlife+$E381),('PTRM input'!$K$166*(1+rvanilla05)^0.5)-SUM($K381:AS381),('PTRM input'!$K$166*(1+rvanilla05)^0.5)/A24stdlife))</f>
        <v>0</v>
      </c>
      <c r="AU381" s="107">
        <f>IF(A24stdlife="n/a","n/a",IF(AU$3&gt;(A24stdlife+$E381),('PTRM input'!$K$166*(1+rvanilla05)^0.5)-SUM($K381:AT381),('PTRM input'!$K$166*(1+rvanilla05)^0.5)/A24stdlife))</f>
        <v>0</v>
      </c>
      <c r="AV381" s="107">
        <f>IF(A24stdlife="n/a","n/a",IF(AV$3&gt;(A24stdlife+$E381),('PTRM input'!$K$166*(1+rvanilla05)^0.5)-SUM($K381:AU381),('PTRM input'!$K$166*(1+rvanilla05)^0.5)/A24stdlife))</f>
        <v>0</v>
      </c>
      <c r="AW381" s="107">
        <f>IF(A24stdlife="n/a","n/a",IF(AW$3&gt;(A24stdlife+$E381),('PTRM input'!$K$166*(1+rvanilla05)^0.5)-SUM($K381:AV381),('PTRM input'!$K$166*(1+rvanilla05)^0.5)/A24stdlife))</f>
        <v>0</v>
      </c>
      <c r="AX381" s="107">
        <f>IF(A24stdlife="n/a","n/a",IF(AX$3&gt;(A24stdlife+$E381),('PTRM input'!$K$166*(1+rvanilla05)^0.5)-SUM($K381:AW381),('PTRM input'!$K$166*(1+rvanilla05)^0.5)/A24stdlife))</f>
        <v>0</v>
      </c>
      <c r="AY381" s="107">
        <f>IF(A24stdlife="n/a","n/a",IF(AY$3&gt;(A24stdlife+$E381),('PTRM input'!$K$166*(1+rvanilla05)^0.5)-SUM($K381:AX381),('PTRM input'!$K$166*(1+rvanilla05)^0.5)/A24stdlife))</f>
        <v>0</v>
      </c>
      <c r="AZ381" s="107">
        <f>IF(A24stdlife="n/a","n/a",IF(AZ$3&gt;(A24stdlife+$E381),('PTRM input'!$K$166*(1+rvanilla05)^0.5)-SUM($K381:AY381),('PTRM input'!$K$166*(1+rvanilla05)^0.5)/A24stdlife))</f>
        <v>0</v>
      </c>
      <c r="BA381" s="107">
        <f>IF(A24stdlife="n/a","n/a",IF(BA$3&gt;(A24stdlife+$E381),('PTRM input'!$K$166*(1+rvanilla05)^0.5)-SUM($K381:AZ381),('PTRM input'!$K$166*(1+rvanilla05)^0.5)/A24stdlife))</f>
        <v>0</v>
      </c>
      <c r="BB381" s="107">
        <f>IF(A24stdlife="n/a","n/a",IF(BB$3&gt;(A24stdlife+$E381),('PTRM input'!$K$166*(1+rvanilla05)^0.5)-SUM($K381:BA381),('PTRM input'!$K$166*(1+rvanilla05)^0.5)/A24stdlife))</f>
        <v>0</v>
      </c>
      <c r="BC381" s="107">
        <f>IF(A24stdlife="n/a","n/a",IF(BC$3&gt;(A24stdlife+$E381),('PTRM input'!$K$166*(1+rvanilla05)^0.5)-SUM($K381:BB381),('PTRM input'!$K$166*(1+rvanilla05)^0.5)/A24stdlife))</f>
        <v>0</v>
      </c>
      <c r="BD381" s="107">
        <f>IF(A24stdlife="n/a","n/a",IF(BD$3&gt;(A24stdlife+$E381),('PTRM input'!$K$166*(1+rvanilla05)^0.5)-SUM($K381:BC381),('PTRM input'!$K$166*(1+rvanilla05)^0.5)/A24stdlife))</f>
        <v>0</v>
      </c>
      <c r="BE381" s="107">
        <f>IF(A24stdlife="n/a","n/a",IF(BE$3&gt;(A24stdlife+$E381),('PTRM input'!$K$166*(1+rvanilla05)^0.5)-SUM($K381:BD381),('PTRM input'!$K$166*(1+rvanilla05)^0.5)/A24stdlife))</f>
        <v>0</v>
      </c>
      <c r="BF381" s="107">
        <f>IF(A24stdlife="n/a","n/a",IF(BF$3&gt;(A24stdlife+$E381),('PTRM input'!$K$166*(1+rvanilla05)^0.5)-SUM($K381:BE381),('PTRM input'!$K$166*(1+rvanilla05)^0.5)/A24stdlife))</f>
        <v>0</v>
      </c>
      <c r="BG381" s="107">
        <f>IF(A24stdlife="n/a","n/a",IF(BG$3&gt;(A24stdlife+$E381),('PTRM input'!$K$166*(1+rvanilla05)^0.5)-SUM($K381:BF381),('PTRM input'!$K$166*(1+rvanilla05)^0.5)/A24stdlife))</f>
        <v>0</v>
      </c>
      <c r="BH381" s="107">
        <f>IF(A24stdlife="n/a","n/a",IF(BH$3&gt;(A24stdlife+$E381),('PTRM input'!$K$166*(1+rvanilla05)^0.5)-SUM($K381:BG381),('PTRM input'!$K$166*(1+rvanilla05)^0.5)/A24stdlife))</f>
        <v>0</v>
      </c>
      <c r="BI381" s="107">
        <f>IF(A24stdlife="n/a","n/a",IF(BI$3&gt;(A24stdlife+$E381),('PTRM input'!$K$166*(1+rvanilla05)^0.5)-SUM($K381:BH381),('PTRM input'!$K$166*(1+rvanilla05)^0.5)/A24stdlife))</f>
        <v>0</v>
      </c>
      <c r="BJ381" s="237"/>
      <c r="BK381" s="237"/>
      <c r="BL381" s="237"/>
      <c r="BM381" s="237"/>
    </row>
    <row r="382" spans="1:65" s="190" customFormat="1" hidden="1" outlineLevel="2">
      <c r="A382" s="237"/>
      <c r="B382" s="33"/>
      <c r="C382" s="32"/>
      <c r="D382" s="1618"/>
      <c r="E382" s="169">
        <v>6</v>
      </c>
      <c r="F382" s="35"/>
      <c r="G382" s="184"/>
      <c r="H382" s="186"/>
      <c r="I382" s="186"/>
      <c r="J382" s="186"/>
      <c r="K382" s="186"/>
      <c r="L382" s="185"/>
      <c r="M382" s="107">
        <f>IF(A24stdlife="n/a","n/a",IF(M$3&gt;(A24stdlife+$E382),('PTRM input'!$L$166*(1+rvanilla06)^0.5)-SUM($L382:L382),('PTRM input'!$L$166*(1+rvanilla06)^0.5)/A24stdlife))</f>
        <v>0</v>
      </c>
      <c r="N382" s="107">
        <f>IF(A24stdlife="n/a","n/a",IF(N$3&gt;(A24stdlife+$E382),('PTRM input'!$L$166*(1+rvanilla06)^0.5)-SUM($L382:M382),('PTRM input'!$L$166*(1+rvanilla06)^0.5)/A24stdlife))</f>
        <v>0</v>
      </c>
      <c r="O382" s="107">
        <f>IF(A24stdlife="n/a","n/a",IF(O$3&gt;(A24stdlife+$E382),('PTRM input'!$L$166*(1+rvanilla06)^0.5)-SUM($L382:N382),('PTRM input'!$L$166*(1+rvanilla06)^0.5)/A24stdlife))</f>
        <v>0</v>
      </c>
      <c r="P382" s="107">
        <f>IF(A24stdlife="n/a","n/a",IF(P$3&gt;(A24stdlife+$E382),('PTRM input'!$L$166*(1+rvanilla06)^0.5)-SUM($L382:O382),('PTRM input'!$L$166*(1+rvanilla06)^0.5)/A24stdlife))</f>
        <v>0</v>
      </c>
      <c r="Q382" s="107">
        <f>IF(A24stdlife="n/a","n/a",IF(Q$3&gt;(A24stdlife+$E382),('PTRM input'!$L$166*(1+rvanilla06)^0.5)-SUM($L382:P382),('PTRM input'!$L$166*(1+rvanilla06)^0.5)/A24stdlife))</f>
        <v>0</v>
      </c>
      <c r="R382" s="107">
        <f>IF(A24stdlife="n/a","n/a",IF(R$3&gt;(A24stdlife+$E382),('PTRM input'!$L$166*(1+rvanilla06)^0.5)-SUM($L382:Q382),('PTRM input'!$L$166*(1+rvanilla06)^0.5)/A24stdlife))</f>
        <v>0</v>
      </c>
      <c r="S382" s="107">
        <f>IF(A24stdlife="n/a","n/a",IF(S$3&gt;(A24stdlife+$E382),('PTRM input'!$L$166*(1+rvanilla06)^0.5)-SUM($L382:R382),('PTRM input'!$L$166*(1+rvanilla06)^0.5)/A24stdlife))</f>
        <v>0</v>
      </c>
      <c r="T382" s="107">
        <f>IF(A24stdlife="n/a","n/a",IF(T$3&gt;(A24stdlife+$E382),('PTRM input'!$L$166*(1+rvanilla06)^0.5)-SUM($L382:S382),('PTRM input'!$L$166*(1+rvanilla06)^0.5)/A24stdlife))</f>
        <v>0</v>
      </c>
      <c r="U382" s="107">
        <f>IF(A24stdlife="n/a","n/a",IF(U$3&gt;(A24stdlife+$E382),('PTRM input'!$L$166*(1+rvanilla06)^0.5)-SUM($L382:T382),('PTRM input'!$L$166*(1+rvanilla06)^0.5)/A24stdlife))</f>
        <v>0</v>
      </c>
      <c r="V382" s="107">
        <f>IF(A24stdlife="n/a","n/a",IF(V$3&gt;(A24stdlife+$E382),('PTRM input'!$L$166*(1+rvanilla06)^0.5)-SUM($L382:U382),('PTRM input'!$L$166*(1+rvanilla06)^0.5)/A24stdlife))</f>
        <v>0</v>
      </c>
      <c r="W382" s="107">
        <f>IF(A24stdlife="n/a","n/a",IF(W$3&gt;(A24stdlife+$E382),('PTRM input'!$L$166*(1+rvanilla06)^0.5)-SUM($L382:V382),('PTRM input'!$L$166*(1+rvanilla06)^0.5)/A24stdlife))</f>
        <v>0</v>
      </c>
      <c r="X382" s="107">
        <f>IF(A24stdlife="n/a","n/a",IF(X$3&gt;(A24stdlife+$E382),('PTRM input'!$L$166*(1+rvanilla06)^0.5)-SUM($L382:W382),('PTRM input'!$L$166*(1+rvanilla06)^0.5)/A24stdlife))</f>
        <v>0</v>
      </c>
      <c r="Y382" s="107">
        <f>IF(A24stdlife="n/a","n/a",IF(Y$3&gt;(A24stdlife+$E382),('PTRM input'!$L$166*(1+rvanilla06)^0.5)-SUM($L382:X382),('PTRM input'!$L$166*(1+rvanilla06)^0.5)/A24stdlife))</f>
        <v>0</v>
      </c>
      <c r="Z382" s="107">
        <f>IF(A24stdlife="n/a","n/a",IF(Z$3&gt;(A24stdlife+$E382),('PTRM input'!$L$166*(1+rvanilla06)^0.5)-SUM($L382:Y382),('PTRM input'!$L$166*(1+rvanilla06)^0.5)/A24stdlife))</f>
        <v>0</v>
      </c>
      <c r="AA382" s="107">
        <f>IF(A24stdlife="n/a","n/a",IF(AA$3&gt;(A24stdlife+$E382),('PTRM input'!$L$166*(1+rvanilla06)^0.5)-SUM($L382:Z382),('PTRM input'!$L$166*(1+rvanilla06)^0.5)/A24stdlife))</f>
        <v>0</v>
      </c>
      <c r="AB382" s="107">
        <f>IF(A24stdlife="n/a","n/a",IF(AB$3&gt;(A24stdlife+$E382),('PTRM input'!$L$166*(1+rvanilla06)^0.5)-SUM($L382:AA382),('PTRM input'!$L$166*(1+rvanilla06)^0.5)/A24stdlife))</f>
        <v>0</v>
      </c>
      <c r="AC382" s="107">
        <f>IF(A24stdlife="n/a","n/a",IF(AC$3&gt;(A24stdlife+$E382),('PTRM input'!$L$166*(1+rvanilla06)^0.5)-SUM($L382:AB382),('PTRM input'!$L$166*(1+rvanilla06)^0.5)/A24stdlife))</f>
        <v>0</v>
      </c>
      <c r="AD382" s="107">
        <f>IF(A24stdlife="n/a","n/a",IF(AD$3&gt;(A24stdlife+$E382),('PTRM input'!$L$166*(1+rvanilla06)^0.5)-SUM($L382:AC382),('PTRM input'!$L$166*(1+rvanilla06)^0.5)/A24stdlife))</f>
        <v>0</v>
      </c>
      <c r="AE382" s="107">
        <f>IF(A24stdlife="n/a","n/a",IF(AE$3&gt;(A24stdlife+$E382),('PTRM input'!$L$166*(1+rvanilla06)^0.5)-SUM($L382:AD382),('PTRM input'!$L$166*(1+rvanilla06)^0.5)/A24stdlife))</f>
        <v>0</v>
      </c>
      <c r="AF382" s="107">
        <f>IF(A24stdlife="n/a","n/a",IF(AF$3&gt;(A24stdlife+$E382),('PTRM input'!$L$166*(1+rvanilla06)^0.5)-SUM($L382:AE382),('PTRM input'!$L$166*(1+rvanilla06)^0.5)/A24stdlife))</f>
        <v>0</v>
      </c>
      <c r="AG382" s="107">
        <f>IF(A24stdlife="n/a","n/a",IF(AG$3&gt;(A24stdlife+$E382),('PTRM input'!$L$166*(1+rvanilla06)^0.5)-SUM($L382:AF382),('PTRM input'!$L$166*(1+rvanilla06)^0.5)/A24stdlife))</f>
        <v>0</v>
      </c>
      <c r="AH382" s="107">
        <f>IF(A24stdlife="n/a","n/a",IF(AH$3&gt;(A24stdlife+$E382),('PTRM input'!$L$166*(1+rvanilla06)^0.5)-SUM($L382:AG382),('PTRM input'!$L$166*(1+rvanilla06)^0.5)/A24stdlife))</f>
        <v>0</v>
      </c>
      <c r="AI382" s="107">
        <f>IF(A24stdlife="n/a","n/a",IF(AI$3&gt;(A24stdlife+$E382),('PTRM input'!$L$166*(1+rvanilla06)^0.5)-SUM($L382:AH382),('PTRM input'!$L$166*(1+rvanilla06)^0.5)/A24stdlife))</f>
        <v>0</v>
      </c>
      <c r="AJ382" s="107">
        <f>IF(A24stdlife="n/a","n/a",IF(AJ$3&gt;(A24stdlife+$E382),('PTRM input'!$L$166*(1+rvanilla06)^0.5)-SUM($L382:AI382),('PTRM input'!$L$166*(1+rvanilla06)^0.5)/A24stdlife))</f>
        <v>0</v>
      </c>
      <c r="AK382" s="107">
        <f>IF(A24stdlife="n/a","n/a",IF(AK$3&gt;(A24stdlife+$E382),('PTRM input'!$L$166*(1+rvanilla06)^0.5)-SUM($L382:AJ382),('PTRM input'!$L$166*(1+rvanilla06)^0.5)/A24stdlife))</f>
        <v>0</v>
      </c>
      <c r="AL382" s="107">
        <f>IF(A24stdlife="n/a","n/a",IF(AL$3&gt;(A24stdlife+$E382),('PTRM input'!$L$166*(1+rvanilla06)^0.5)-SUM($L382:AK382),('PTRM input'!$L$166*(1+rvanilla06)^0.5)/A24stdlife))</f>
        <v>0</v>
      </c>
      <c r="AM382" s="107">
        <f>IF(A24stdlife="n/a","n/a",IF(AM$3&gt;(A24stdlife+$E382),('PTRM input'!$L$166*(1+rvanilla06)^0.5)-SUM($L382:AL382),('PTRM input'!$L$166*(1+rvanilla06)^0.5)/A24stdlife))</f>
        <v>0</v>
      </c>
      <c r="AN382" s="107">
        <f>IF(A24stdlife="n/a","n/a",IF(AN$3&gt;(A24stdlife+$E382),('PTRM input'!$L$166*(1+rvanilla06)^0.5)-SUM($L382:AM382),('PTRM input'!$L$166*(1+rvanilla06)^0.5)/A24stdlife))</f>
        <v>0</v>
      </c>
      <c r="AO382" s="107">
        <f>IF(A24stdlife="n/a","n/a",IF(AO$3&gt;(A24stdlife+$E382),('PTRM input'!$L$166*(1+rvanilla06)^0.5)-SUM($L382:AN382),('PTRM input'!$L$166*(1+rvanilla06)^0.5)/A24stdlife))</f>
        <v>0</v>
      </c>
      <c r="AP382" s="107">
        <f>IF(A24stdlife="n/a","n/a",IF(AP$3&gt;(A24stdlife+$E382),('PTRM input'!$L$166*(1+rvanilla06)^0.5)-SUM($L382:AO382),('PTRM input'!$L$166*(1+rvanilla06)^0.5)/A24stdlife))</f>
        <v>0</v>
      </c>
      <c r="AQ382" s="107">
        <f>IF(A24stdlife="n/a","n/a",IF(AQ$3&gt;(A24stdlife+$E382),('PTRM input'!$L$166*(1+rvanilla06)^0.5)-SUM($L382:AP382),('PTRM input'!$L$166*(1+rvanilla06)^0.5)/A24stdlife))</f>
        <v>0</v>
      </c>
      <c r="AR382" s="107">
        <f>IF(A24stdlife="n/a","n/a",IF(AR$3&gt;(A24stdlife+$E382),('PTRM input'!$L$166*(1+rvanilla06)^0.5)-SUM($L382:AQ382),('PTRM input'!$L$166*(1+rvanilla06)^0.5)/A24stdlife))</f>
        <v>0</v>
      </c>
      <c r="AS382" s="107">
        <f>IF(A24stdlife="n/a","n/a",IF(AS$3&gt;(A24stdlife+$E382),('PTRM input'!$L$166*(1+rvanilla06)^0.5)-SUM($L382:AR382),('PTRM input'!$L$166*(1+rvanilla06)^0.5)/A24stdlife))</f>
        <v>0</v>
      </c>
      <c r="AT382" s="107">
        <f>IF(A24stdlife="n/a","n/a",IF(AT$3&gt;(A24stdlife+$E382),('PTRM input'!$L$166*(1+rvanilla06)^0.5)-SUM($L382:AS382),('PTRM input'!$L$166*(1+rvanilla06)^0.5)/A24stdlife))</f>
        <v>0</v>
      </c>
      <c r="AU382" s="107">
        <f>IF(A24stdlife="n/a","n/a",IF(AU$3&gt;(A24stdlife+$E382),('PTRM input'!$L$166*(1+rvanilla06)^0.5)-SUM($L382:AT382),('PTRM input'!$L$166*(1+rvanilla06)^0.5)/A24stdlife))</f>
        <v>0</v>
      </c>
      <c r="AV382" s="107">
        <f>IF(A24stdlife="n/a","n/a",IF(AV$3&gt;(A24stdlife+$E382),('PTRM input'!$L$166*(1+rvanilla06)^0.5)-SUM($L382:AU382),('PTRM input'!$L$166*(1+rvanilla06)^0.5)/A24stdlife))</f>
        <v>0</v>
      </c>
      <c r="AW382" s="107">
        <f>IF(A24stdlife="n/a","n/a",IF(AW$3&gt;(A24stdlife+$E382),('PTRM input'!$L$166*(1+rvanilla06)^0.5)-SUM($L382:AV382),('PTRM input'!$L$166*(1+rvanilla06)^0.5)/A24stdlife))</f>
        <v>0</v>
      </c>
      <c r="AX382" s="107">
        <f>IF(A24stdlife="n/a","n/a",IF(AX$3&gt;(A24stdlife+$E382),('PTRM input'!$L$166*(1+rvanilla06)^0.5)-SUM($L382:AW382),('PTRM input'!$L$166*(1+rvanilla06)^0.5)/A24stdlife))</f>
        <v>0</v>
      </c>
      <c r="AY382" s="107">
        <f>IF(A24stdlife="n/a","n/a",IF(AY$3&gt;(A24stdlife+$E382),('PTRM input'!$L$166*(1+rvanilla06)^0.5)-SUM($L382:AX382),('PTRM input'!$L$166*(1+rvanilla06)^0.5)/A24stdlife))</f>
        <v>0</v>
      </c>
      <c r="AZ382" s="107">
        <f>IF(A24stdlife="n/a","n/a",IF(AZ$3&gt;(A24stdlife+$E382),('PTRM input'!$L$166*(1+rvanilla06)^0.5)-SUM($L382:AY382),('PTRM input'!$L$166*(1+rvanilla06)^0.5)/A24stdlife))</f>
        <v>0</v>
      </c>
      <c r="BA382" s="107">
        <f>IF(A24stdlife="n/a","n/a",IF(BA$3&gt;(A24stdlife+$E382),('PTRM input'!$L$166*(1+rvanilla06)^0.5)-SUM($L382:AZ382),('PTRM input'!$L$166*(1+rvanilla06)^0.5)/A24stdlife))</f>
        <v>0</v>
      </c>
      <c r="BB382" s="107">
        <f>IF(A24stdlife="n/a","n/a",IF(BB$3&gt;(A24stdlife+$E382),('PTRM input'!$L$166*(1+rvanilla06)^0.5)-SUM($L382:BA382),('PTRM input'!$L$166*(1+rvanilla06)^0.5)/A24stdlife))</f>
        <v>0</v>
      </c>
      <c r="BC382" s="107">
        <f>IF(A24stdlife="n/a","n/a",IF(BC$3&gt;(A24stdlife+$E382),('PTRM input'!$L$166*(1+rvanilla06)^0.5)-SUM($L382:BB382),('PTRM input'!$L$166*(1+rvanilla06)^0.5)/A24stdlife))</f>
        <v>0</v>
      </c>
      <c r="BD382" s="107">
        <f>IF(A24stdlife="n/a","n/a",IF(BD$3&gt;(A24stdlife+$E382),('PTRM input'!$L$166*(1+rvanilla06)^0.5)-SUM($L382:BC382),('PTRM input'!$L$166*(1+rvanilla06)^0.5)/A24stdlife))</f>
        <v>0</v>
      </c>
      <c r="BE382" s="107">
        <f>IF(A24stdlife="n/a","n/a",IF(BE$3&gt;(A24stdlife+$E382),('PTRM input'!$L$166*(1+rvanilla06)^0.5)-SUM($L382:BD382),('PTRM input'!$L$166*(1+rvanilla06)^0.5)/A24stdlife))</f>
        <v>0</v>
      </c>
      <c r="BF382" s="107">
        <f>IF(A24stdlife="n/a","n/a",IF(BF$3&gt;(A24stdlife+$E382),('PTRM input'!$L$166*(1+rvanilla06)^0.5)-SUM($L382:BE382),('PTRM input'!$L$166*(1+rvanilla06)^0.5)/A24stdlife))</f>
        <v>0</v>
      </c>
      <c r="BG382" s="107">
        <f>IF(A24stdlife="n/a","n/a",IF(BG$3&gt;(A24stdlife+$E382),('PTRM input'!$L$166*(1+rvanilla06)^0.5)-SUM($L382:BF382),('PTRM input'!$L$166*(1+rvanilla06)^0.5)/A24stdlife))</f>
        <v>0</v>
      </c>
      <c r="BH382" s="107">
        <f>IF(A24stdlife="n/a","n/a",IF(BH$3&gt;(A24stdlife+$E382),('PTRM input'!$L$166*(1+rvanilla06)^0.5)-SUM($L382:BG382),('PTRM input'!$L$166*(1+rvanilla06)^0.5)/A24stdlife))</f>
        <v>0</v>
      </c>
      <c r="BI382" s="107">
        <f>IF(A24stdlife="n/a","n/a",IF(BI$3&gt;(A24stdlife+$E382),('PTRM input'!$L$166*(1+rvanilla06)^0.5)-SUM($L382:BH382),('PTRM input'!$L$166*(1+rvanilla06)^0.5)/A24stdlife))</f>
        <v>0</v>
      </c>
      <c r="BJ382" s="237"/>
      <c r="BK382" s="237"/>
      <c r="BL382" s="237"/>
      <c r="BM382" s="237"/>
    </row>
    <row r="383" spans="1:65" s="190" customFormat="1" hidden="1" outlineLevel="2">
      <c r="A383" s="237"/>
      <c r="B383" s="33"/>
      <c r="C383" s="32"/>
      <c r="D383" s="1618"/>
      <c r="E383" s="169">
        <v>7</v>
      </c>
      <c r="F383" s="35"/>
      <c r="G383" s="184"/>
      <c r="H383" s="186"/>
      <c r="I383" s="186"/>
      <c r="J383" s="186"/>
      <c r="K383" s="186"/>
      <c r="L383" s="186"/>
      <c r="M383" s="185"/>
      <c r="N383" s="107">
        <f>IF(A24stdlife="n/a","n/a",IF(N$3&gt;(A24stdlife+$E383),('PTRM input'!$M$166*(1+rvanilla07)^0.5)-SUM($M383:M383),('PTRM input'!$M$166*(1+rvanilla07)^0.5)/A24stdlife))</f>
        <v>0</v>
      </c>
      <c r="O383" s="107">
        <f>IF(A24stdlife="n/a","n/a",IF(O$3&gt;(A24stdlife+$E383),('PTRM input'!$M$166*(1+rvanilla07)^0.5)-SUM($M383:N383),('PTRM input'!$M$166*(1+rvanilla07)^0.5)/A24stdlife))</f>
        <v>0</v>
      </c>
      <c r="P383" s="107">
        <f>IF(A24stdlife="n/a","n/a",IF(P$3&gt;(A24stdlife+$E383),('PTRM input'!$M$166*(1+rvanilla07)^0.5)-SUM($M383:O383),('PTRM input'!$M$166*(1+rvanilla07)^0.5)/A24stdlife))</f>
        <v>0</v>
      </c>
      <c r="Q383" s="107">
        <f>IF(A24stdlife="n/a","n/a",IF(Q$3&gt;(A24stdlife+$E383),('PTRM input'!$M$166*(1+rvanilla07)^0.5)-SUM($M383:P383),('PTRM input'!$M$166*(1+rvanilla07)^0.5)/A24stdlife))</f>
        <v>0</v>
      </c>
      <c r="R383" s="107">
        <f>IF(A24stdlife="n/a","n/a",IF(R$3&gt;(A24stdlife+$E383),('PTRM input'!$M$166*(1+rvanilla07)^0.5)-SUM($M383:Q383),('PTRM input'!$M$166*(1+rvanilla07)^0.5)/A24stdlife))</f>
        <v>0</v>
      </c>
      <c r="S383" s="107">
        <f>IF(A24stdlife="n/a","n/a",IF(S$3&gt;(A24stdlife+$E383),('PTRM input'!$M$166*(1+rvanilla07)^0.5)-SUM($M383:R383),('PTRM input'!$M$166*(1+rvanilla07)^0.5)/A24stdlife))</f>
        <v>0</v>
      </c>
      <c r="T383" s="107">
        <f>IF(A24stdlife="n/a","n/a",IF(T$3&gt;(A24stdlife+$E383),('PTRM input'!$M$166*(1+rvanilla07)^0.5)-SUM($M383:S383),('PTRM input'!$M$166*(1+rvanilla07)^0.5)/A24stdlife))</f>
        <v>0</v>
      </c>
      <c r="U383" s="107">
        <f>IF(A24stdlife="n/a","n/a",IF(U$3&gt;(A24stdlife+$E383),('PTRM input'!$M$166*(1+rvanilla07)^0.5)-SUM($M383:T383),('PTRM input'!$M$166*(1+rvanilla07)^0.5)/A24stdlife))</f>
        <v>0</v>
      </c>
      <c r="V383" s="107">
        <f>IF(A24stdlife="n/a","n/a",IF(V$3&gt;(A24stdlife+$E383),('PTRM input'!$M$166*(1+rvanilla07)^0.5)-SUM($M383:U383),('PTRM input'!$M$166*(1+rvanilla07)^0.5)/A24stdlife))</f>
        <v>0</v>
      </c>
      <c r="W383" s="107">
        <f>IF(A24stdlife="n/a","n/a",IF(W$3&gt;(A24stdlife+$E383),('PTRM input'!$M$166*(1+rvanilla07)^0.5)-SUM($M383:V383),('PTRM input'!$M$166*(1+rvanilla07)^0.5)/A24stdlife))</f>
        <v>0</v>
      </c>
      <c r="X383" s="107">
        <f>IF(A24stdlife="n/a","n/a",IF(X$3&gt;(A24stdlife+$E383),('PTRM input'!$M$166*(1+rvanilla07)^0.5)-SUM($M383:W383),('PTRM input'!$M$166*(1+rvanilla07)^0.5)/A24stdlife))</f>
        <v>0</v>
      </c>
      <c r="Y383" s="107">
        <f>IF(A24stdlife="n/a","n/a",IF(Y$3&gt;(A24stdlife+$E383),('PTRM input'!$M$166*(1+rvanilla07)^0.5)-SUM($M383:X383),('PTRM input'!$M$166*(1+rvanilla07)^0.5)/A24stdlife))</f>
        <v>0</v>
      </c>
      <c r="Z383" s="107">
        <f>IF(A24stdlife="n/a","n/a",IF(Z$3&gt;(A24stdlife+$E383),('PTRM input'!$M$166*(1+rvanilla07)^0.5)-SUM($M383:Y383),('PTRM input'!$M$166*(1+rvanilla07)^0.5)/A24stdlife))</f>
        <v>0</v>
      </c>
      <c r="AA383" s="107">
        <f>IF(A24stdlife="n/a","n/a",IF(AA$3&gt;(A24stdlife+$E383),('PTRM input'!$M$166*(1+rvanilla07)^0.5)-SUM($M383:Z383),('PTRM input'!$M$166*(1+rvanilla07)^0.5)/A24stdlife))</f>
        <v>0</v>
      </c>
      <c r="AB383" s="107">
        <f>IF(A24stdlife="n/a","n/a",IF(AB$3&gt;(A24stdlife+$E383),('PTRM input'!$M$166*(1+rvanilla07)^0.5)-SUM($M383:AA383),('PTRM input'!$M$166*(1+rvanilla07)^0.5)/A24stdlife))</f>
        <v>0</v>
      </c>
      <c r="AC383" s="107">
        <f>IF(A24stdlife="n/a","n/a",IF(AC$3&gt;(A24stdlife+$E383),('PTRM input'!$M$166*(1+rvanilla07)^0.5)-SUM($M383:AB383),('PTRM input'!$M$166*(1+rvanilla07)^0.5)/A24stdlife))</f>
        <v>0</v>
      </c>
      <c r="AD383" s="107">
        <f>IF(A24stdlife="n/a","n/a",IF(AD$3&gt;(A24stdlife+$E383),('PTRM input'!$M$166*(1+rvanilla07)^0.5)-SUM($M383:AC383),('PTRM input'!$M$166*(1+rvanilla07)^0.5)/A24stdlife))</f>
        <v>0</v>
      </c>
      <c r="AE383" s="107">
        <f>IF(A24stdlife="n/a","n/a",IF(AE$3&gt;(A24stdlife+$E383),('PTRM input'!$M$166*(1+rvanilla07)^0.5)-SUM($M383:AD383),('PTRM input'!$M$166*(1+rvanilla07)^0.5)/A24stdlife))</f>
        <v>0</v>
      </c>
      <c r="AF383" s="107">
        <f>IF(A24stdlife="n/a","n/a",IF(AF$3&gt;(A24stdlife+$E383),('PTRM input'!$M$166*(1+rvanilla07)^0.5)-SUM($M383:AE383),('PTRM input'!$M$166*(1+rvanilla07)^0.5)/A24stdlife))</f>
        <v>0</v>
      </c>
      <c r="AG383" s="107">
        <f>IF(A24stdlife="n/a","n/a",IF(AG$3&gt;(A24stdlife+$E383),('PTRM input'!$M$166*(1+rvanilla07)^0.5)-SUM($M383:AF383),('PTRM input'!$M$166*(1+rvanilla07)^0.5)/A24stdlife))</f>
        <v>0</v>
      </c>
      <c r="AH383" s="107">
        <f>IF(A24stdlife="n/a","n/a",IF(AH$3&gt;(A24stdlife+$E383),('PTRM input'!$M$166*(1+rvanilla07)^0.5)-SUM($M383:AG383),('PTRM input'!$M$166*(1+rvanilla07)^0.5)/A24stdlife))</f>
        <v>0</v>
      </c>
      <c r="AI383" s="107">
        <f>IF(A24stdlife="n/a","n/a",IF(AI$3&gt;(A24stdlife+$E383),('PTRM input'!$M$166*(1+rvanilla07)^0.5)-SUM($M383:AH383),('PTRM input'!$M$166*(1+rvanilla07)^0.5)/A24stdlife))</f>
        <v>0</v>
      </c>
      <c r="AJ383" s="107">
        <f>IF(A24stdlife="n/a","n/a",IF(AJ$3&gt;(A24stdlife+$E383),('PTRM input'!$M$166*(1+rvanilla07)^0.5)-SUM($M383:AI383),('PTRM input'!$M$166*(1+rvanilla07)^0.5)/A24stdlife))</f>
        <v>0</v>
      </c>
      <c r="AK383" s="107">
        <f>IF(A24stdlife="n/a","n/a",IF(AK$3&gt;(A24stdlife+$E383),('PTRM input'!$M$166*(1+rvanilla07)^0.5)-SUM($M383:AJ383),('PTRM input'!$M$166*(1+rvanilla07)^0.5)/A24stdlife))</f>
        <v>0</v>
      </c>
      <c r="AL383" s="107">
        <f>IF(A24stdlife="n/a","n/a",IF(AL$3&gt;(A24stdlife+$E383),('PTRM input'!$M$166*(1+rvanilla07)^0.5)-SUM($M383:AK383),('PTRM input'!$M$166*(1+rvanilla07)^0.5)/A24stdlife))</f>
        <v>0</v>
      </c>
      <c r="AM383" s="107">
        <f>IF(A24stdlife="n/a","n/a",IF(AM$3&gt;(A24stdlife+$E383),('PTRM input'!$M$166*(1+rvanilla07)^0.5)-SUM($M383:AL383),('PTRM input'!$M$166*(1+rvanilla07)^0.5)/A24stdlife))</f>
        <v>0</v>
      </c>
      <c r="AN383" s="107">
        <f>IF(A24stdlife="n/a","n/a",IF(AN$3&gt;(A24stdlife+$E383),('PTRM input'!$M$166*(1+rvanilla07)^0.5)-SUM($M383:AM383),('PTRM input'!$M$166*(1+rvanilla07)^0.5)/A24stdlife))</f>
        <v>0</v>
      </c>
      <c r="AO383" s="107">
        <f>IF(A24stdlife="n/a","n/a",IF(AO$3&gt;(A24stdlife+$E383),('PTRM input'!$M$166*(1+rvanilla07)^0.5)-SUM($M383:AN383),('PTRM input'!$M$166*(1+rvanilla07)^0.5)/A24stdlife))</f>
        <v>0</v>
      </c>
      <c r="AP383" s="107">
        <f>IF(A24stdlife="n/a","n/a",IF(AP$3&gt;(A24stdlife+$E383),('PTRM input'!$M$166*(1+rvanilla07)^0.5)-SUM($M383:AO383),('PTRM input'!$M$166*(1+rvanilla07)^0.5)/A24stdlife))</f>
        <v>0</v>
      </c>
      <c r="AQ383" s="107">
        <f>IF(A24stdlife="n/a","n/a",IF(AQ$3&gt;(A24stdlife+$E383),('PTRM input'!$M$166*(1+rvanilla07)^0.5)-SUM($M383:AP383),('PTRM input'!$M$166*(1+rvanilla07)^0.5)/A24stdlife))</f>
        <v>0</v>
      </c>
      <c r="AR383" s="107">
        <f>IF(A24stdlife="n/a","n/a",IF(AR$3&gt;(A24stdlife+$E383),('PTRM input'!$M$166*(1+rvanilla07)^0.5)-SUM($M383:AQ383),('PTRM input'!$M$166*(1+rvanilla07)^0.5)/A24stdlife))</f>
        <v>0</v>
      </c>
      <c r="AS383" s="107">
        <f>IF(A24stdlife="n/a","n/a",IF(AS$3&gt;(A24stdlife+$E383),('PTRM input'!$M$166*(1+rvanilla07)^0.5)-SUM($M383:AR383),('PTRM input'!$M$166*(1+rvanilla07)^0.5)/A24stdlife))</f>
        <v>0</v>
      </c>
      <c r="AT383" s="107">
        <f>IF(A24stdlife="n/a","n/a",IF(AT$3&gt;(A24stdlife+$E383),('PTRM input'!$M$166*(1+rvanilla07)^0.5)-SUM($M383:AS383),('PTRM input'!$M$166*(1+rvanilla07)^0.5)/A24stdlife))</f>
        <v>0</v>
      </c>
      <c r="AU383" s="107">
        <f>IF(A24stdlife="n/a","n/a",IF(AU$3&gt;(A24stdlife+$E383),('PTRM input'!$M$166*(1+rvanilla07)^0.5)-SUM($M383:AT383),('PTRM input'!$M$166*(1+rvanilla07)^0.5)/A24stdlife))</f>
        <v>0</v>
      </c>
      <c r="AV383" s="107">
        <f>IF(A24stdlife="n/a","n/a",IF(AV$3&gt;(A24stdlife+$E383),('PTRM input'!$M$166*(1+rvanilla07)^0.5)-SUM($M383:AU383),('PTRM input'!$M$166*(1+rvanilla07)^0.5)/A24stdlife))</f>
        <v>0</v>
      </c>
      <c r="AW383" s="107">
        <f>IF(A24stdlife="n/a","n/a",IF(AW$3&gt;(A24stdlife+$E383),('PTRM input'!$M$166*(1+rvanilla07)^0.5)-SUM($M383:AV383),('PTRM input'!$M$166*(1+rvanilla07)^0.5)/A24stdlife))</f>
        <v>0</v>
      </c>
      <c r="AX383" s="107">
        <f>IF(A24stdlife="n/a","n/a",IF(AX$3&gt;(A24stdlife+$E383),('PTRM input'!$M$166*(1+rvanilla07)^0.5)-SUM($M383:AW383),('PTRM input'!$M$166*(1+rvanilla07)^0.5)/A24stdlife))</f>
        <v>0</v>
      </c>
      <c r="AY383" s="107">
        <f>IF(A24stdlife="n/a","n/a",IF(AY$3&gt;(A24stdlife+$E383),('PTRM input'!$M$166*(1+rvanilla07)^0.5)-SUM($M383:AX383),('PTRM input'!$M$166*(1+rvanilla07)^0.5)/A24stdlife))</f>
        <v>0</v>
      </c>
      <c r="AZ383" s="107">
        <f>IF(A24stdlife="n/a","n/a",IF(AZ$3&gt;(A24stdlife+$E383),('PTRM input'!$M$166*(1+rvanilla07)^0.5)-SUM($M383:AY383),('PTRM input'!$M$166*(1+rvanilla07)^0.5)/A24stdlife))</f>
        <v>0</v>
      </c>
      <c r="BA383" s="107">
        <f>IF(A24stdlife="n/a","n/a",IF(BA$3&gt;(A24stdlife+$E383),('PTRM input'!$M$166*(1+rvanilla07)^0.5)-SUM($M383:AZ383),('PTRM input'!$M$166*(1+rvanilla07)^0.5)/A24stdlife))</f>
        <v>0</v>
      </c>
      <c r="BB383" s="107">
        <f>IF(A24stdlife="n/a","n/a",IF(BB$3&gt;(A24stdlife+$E383),('PTRM input'!$M$166*(1+rvanilla07)^0.5)-SUM($M383:BA383),('PTRM input'!$M$166*(1+rvanilla07)^0.5)/A24stdlife))</f>
        <v>0</v>
      </c>
      <c r="BC383" s="107">
        <f>IF(A24stdlife="n/a","n/a",IF(BC$3&gt;(A24stdlife+$E383),('PTRM input'!$M$166*(1+rvanilla07)^0.5)-SUM($M383:BB383),('PTRM input'!$M$166*(1+rvanilla07)^0.5)/A24stdlife))</f>
        <v>0</v>
      </c>
      <c r="BD383" s="107">
        <f>IF(A24stdlife="n/a","n/a",IF(BD$3&gt;(A24stdlife+$E383),('PTRM input'!$M$166*(1+rvanilla07)^0.5)-SUM($M383:BC383),('PTRM input'!$M$166*(1+rvanilla07)^0.5)/A24stdlife))</f>
        <v>0</v>
      </c>
      <c r="BE383" s="107">
        <f>IF(A24stdlife="n/a","n/a",IF(BE$3&gt;(A24stdlife+$E383),('PTRM input'!$M$166*(1+rvanilla07)^0.5)-SUM($M383:BD383),('PTRM input'!$M$166*(1+rvanilla07)^0.5)/A24stdlife))</f>
        <v>0</v>
      </c>
      <c r="BF383" s="107">
        <f>IF(A24stdlife="n/a","n/a",IF(BF$3&gt;(A24stdlife+$E383),('PTRM input'!$M$166*(1+rvanilla07)^0.5)-SUM($M383:BE383),('PTRM input'!$M$166*(1+rvanilla07)^0.5)/A24stdlife))</f>
        <v>0</v>
      </c>
      <c r="BG383" s="107">
        <f>IF(A24stdlife="n/a","n/a",IF(BG$3&gt;(A24stdlife+$E383),('PTRM input'!$M$166*(1+rvanilla07)^0.5)-SUM($M383:BF383),('PTRM input'!$M$166*(1+rvanilla07)^0.5)/A24stdlife))</f>
        <v>0</v>
      </c>
      <c r="BH383" s="107">
        <f>IF(A24stdlife="n/a","n/a",IF(BH$3&gt;(A24stdlife+$E383),('PTRM input'!$M$166*(1+rvanilla07)^0.5)-SUM($M383:BG383),('PTRM input'!$M$166*(1+rvanilla07)^0.5)/A24stdlife))</f>
        <v>0</v>
      </c>
      <c r="BI383" s="107">
        <f>IF(A24stdlife="n/a","n/a",IF(BI$3&gt;(A24stdlife+$E383),('PTRM input'!$M$166*(1+rvanilla07)^0.5)-SUM($M383:BH383),('PTRM input'!$M$166*(1+rvanilla07)^0.5)/A24stdlife))</f>
        <v>0</v>
      </c>
      <c r="BJ383" s="237"/>
      <c r="BK383" s="237"/>
      <c r="BL383" s="237"/>
      <c r="BM383" s="237"/>
    </row>
    <row r="384" spans="1:65" s="190" customFormat="1" hidden="1" outlineLevel="2">
      <c r="A384" s="237"/>
      <c r="B384" s="33"/>
      <c r="C384" s="32"/>
      <c r="D384" s="1618"/>
      <c r="E384" s="169">
        <v>8</v>
      </c>
      <c r="F384" s="35"/>
      <c r="G384" s="184"/>
      <c r="H384" s="186"/>
      <c r="I384" s="186"/>
      <c r="J384" s="186"/>
      <c r="K384" s="186"/>
      <c r="L384" s="186"/>
      <c r="M384" s="186"/>
      <c r="N384" s="185"/>
      <c r="O384" s="107">
        <f>IF(A24stdlife="n/a","n/a",IF(O$3&gt;(A24stdlife+$E384),('PTRM input'!$N$166*(1+rvanilla08)^0.5)-SUM($N384:N384),('PTRM input'!$N$166*(1+rvanilla08)^0.5)/A24stdlife))</f>
        <v>0</v>
      </c>
      <c r="P384" s="107">
        <f>IF(A24stdlife="n/a","n/a",IF(P$3&gt;(A24stdlife+$E384),('PTRM input'!$N$166*(1+rvanilla08)^0.5)-SUM($N384:O384),('PTRM input'!$N$166*(1+rvanilla08)^0.5)/A24stdlife))</f>
        <v>0</v>
      </c>
      <c r="Q384" s="107">
        <f>IF(A24stdlife="n/a","n/a",IF(Q$3&gt;(A24stdlife+$E384),('PTRM input'!$N$166*(1+rvanilla08)^0.5)-SUM($N384:P384),('PTRM input'!$N$166*(1+rvanilla08)^0.5)/A24stdlife))</f>
        <v>0</v>
      </c>
      <c r="R384" s="107">
        <f>IF(A24stdlife="n/a","n/a",IF(R$3&gt;(A24stdlife+$E384),('PTRM input'!$N$166*(1+rvanilla08)^0.5)-SUM($N384:Q384),('PTRM input'!$N$166*(1+rvanilla08)^0.5)/A24stdlife))</f>
        <v>0</v>
      </c>
      <c r="S384" s="107">
        <f>IF(A24stdlife="n/a","n/a",IF(S$3&gt;(A24stdlife+$E384),('PTRM input'!$N$166*(1+rvanilla08)^0.5)-SUM($N384:R384),('PTRM input'!$N$166*(1+rvanilla08)^0.5)/A24stdlife))</f>
        <v>0</v>
      </c>
      <c r="T384" s="107">
        <f>IF(A24stdlife="n/a","n/a",IF(T$3&gt;(A24stdlife+$E384),('PTRM input'!$N$166*(1+rvanilla08)^0.5)-SUM($N384:S384),('PTRM input'!$N$166*(1+rvanilla08)^0.5)/A24stdlife))</f>
        <v>0</v>
      </c>
      <c r="U384" s="107">
        <f>IF(A24stdlife="n/a","n/a",IF(U$3&gt;(A24stdlife+$E384),('PTRM input'!$N$166*(1+rvanilla08)^0.5)-SUM($N384:T384),('PTRM input'!$N$166*(1+rvanilla08)^0.5)/A24stdlife))</f>
        <v>0</v>
      </c>
      <c r="V384" s="107">
        <f>IF(A24stdlife="n/a","n/a",IF(V$3&gt;(A24stdlife+$E384),('PTRM input'!$N$166*(1+rvanilla08)^0.5)-SUM($N384:U384),('PTRM input'!$N$166*(1+rvanilla08)^0.5)/A24stdlife))</f>
        <v>0</v>
      </c>
      <c r="W384" s="107">
        <f>IF(A24stdlife="n/a","n/a",IF(W$3&gt;(A24stdlife+$E384),('PTRM input'!$N$166*(1+rvanilla08)^0.5)-SUM($N384:V384),('PTRM input'!$N$166*(1+rvanilla08)^0.5)/A24stdlife))</f>
        <v>0</v>
      </c>
      <c r="X384" s="107">
        <f>IF(A24stdlife="n/a","n/a",IF(X$3&gt;(A24stdlife+$E384),('PTRM input'!$N$166*(1+rvanilla08)^0.5)-SUM($N384:W384),('PTRM input'!$N$166*(1+rvanilla08)^0.5)/A24stdlife))</f>
        <v>0</v>
      </c>
      <c r="Y384" s="107">
        <f>IF(A24stdlife="n/a","n/a",IF(Y$3&gt;(A24stdlife+$E384),('PTRM input'!$N$166*(1+rvanilla08)^0.5)-SUM($N384:X384),('PTRM input'!$N$166*(1+rvanilla08)^0.5)/A24stdlife))</f>
        <v>0</v>
      </c>
      <c r="Z384" s="107">
        <f>IF(A24stdlife="n/a","n/a",IF(Z$3&gt;(A24stdlife+$E384),('PTRM input'!$N$166*(1+rvanilla08)^0.5)-SUM($N384:Y384),('PTRM input'!$N$166*(1+rvanilla08)^0.5)/A24stdlife))</f>
        <v>0</v>
      </c>
      <c r="AA384" s="107">
        <f>IF(A24stdlife="n/a","n/a",IF(AA$3&gt;(A24stdlife+$E384),('PTRM input'!$N$166*(1+rvanilla08)^0.5)-SUM($N384:Z384),('PTRM input'!$N$166*(1+rvanilla08)^0.5)/A24stdlife))</f>
        <v>0</v>
      </c>
      <c r="AB384" s="107">
        <f>IF(A24stdlife="n/a","n/a",IF(AB$3&gt;(A24stdlife+$E384),('PTRM input'!$N$166*(1+rvanilla08)^0.5)-SUM($N384:AA384),('PTRM input'!$N$166*(1+rvanilla08)^0.5)/A24stdlife))</f>
        <v>0</v>
      </c>
      <c r="AC384" s="107">
        <f>IF(A24stdlife="n/a","n/a",IF(AC$3&gt;(A24stdlife+$E384),('PTRM input'!$N$166*(1+rvanilla08)^0.5)-SUM($N384:AB384),('PTRM input'!$N$166*(1+rvanilla08)^0.5)/A24stdlife))</f>
        <v>0</v>
      </c>
      <c r="AD384" s="107">
        <f>IF(A24stdlife="n/a","n/a",IF(AD$3&gt;(A24stdlife+$E384),('PTRM input'!$N$166*(1+rvanilla08)^0.5)-SUM($N384:AC384),('PTRM input'!$N$166*(1+rvanilla08)^0.5)/A24stdlife))</f>
        <v>0</v>
      </c>
      <c r="AE384" s="107">
        <f>IF(A24stdlife="n/a","n/a",IF(AE$3&gt;(A24stdlife+$E384),('PTRM input'!$N$166*(1+rvanilla08)^0.5)-SUM($N384:AD384),('PTRM input'!$N$166*(1+rvanilla08)^0.5)/A24stdlife))</f>
        <v>0</v>
      </c>
      <c r="AF384" s="107">
        <f>IF(A24stdlife="n/a","n/a",IF(AF$3&gt;(A24stdlife+$E384),('PTRM input'!$N$166*(1+rvanilla08)^0.5)-SUM($N384:AE384),('PTRM input'!$N$166*(1+rvanilla08)^0.5)/A24stdlife))</f>
        <v>0</v>
      </c>
      <c r="AG384" s="107">
        <f>IF(A24stdlife="n/a","n/a",IF(AG$3&gt;(A24stdlife+$E384),('PTRM input'!$N$166*(1+rvanilla08)^0.5)-SUM($N384:AF384),('PTRM input'!$N$166*(1+rvanilla08)^0.5)/A24stdlife))</f>
        <v>0</v>
      </c>
      <c r="AH384" s="107">
        <f>IF(A24stdlife="n/a","n/a",IF(AH$3&gt;(A24stdlife+$E384),('PTRM input'!$N$166*(1+rvanilla08)^0.5)-SUM($N384:AG384),('PTRM input'!$N$166*(1+rvanilla08)^0.5)/A24stdlife))</f>
        <v>0</v>
      </c>
      <c r="AI384" s="107">
        <f>IF(A24stdlife="n/a","n/a",IF(AI$3&gt;(A24stdlife+$E384),('PTRM input'!$N$166*(1+rvanilla08)^0.5)-SUM($N384:AH384),('PTRM input'!$N$166*(1+rvanilla08)^0.5)/A24stdlife))</f>
        <v>0</v>
      </c>
      <c r="AJ384" s="107">
        <f>IF(A24stdlife="n/a","n/a",IF(AJ$3&gt;(A24stdlife+$E384),('PTRM input'!$N$166*(1+rvanilla08)^0.5)-SUM($N384:AI384),('PTRM input'!$N$166*(1+rvanilla08)^0.5)/A24stdlife))</f>
        <v>0</v>
      </c>
      <c r="AK384" s="107">
        <f>IF(A24stdlife="n/a","n/a",IF(AK$3&gt;(A24stdlife+$E384),('PTRM input'!$N$166*(1+rvanilla08)^0.5)-SUM($N384:AJ384),('PTRM input'!$N$166*(1+rvanilla08)^0.5)/A24stdlife))</f>
        <v>0</v>
      </c>
      <c r="AL384" s="107">
        <f>IF(A24stdlife="n/a","n/a",IF(AL$3&gt;(A24stdlife+$E384),('PTRM input'!$N$166*(1+rvanilla08)^0.5)-SUM($N384:AK384),('PTRM input'!$N$166*(1+rvanilla08)^0.5)/A24stdlife))</f>
        <v>0</v>
      </c>
      <c r="AM384" s="107">
        <f>IF(A24stdlife="n/a","n/a",IF(AM$3&gt;(A24stdlife+$E384),('PTRM input'!$N$166*(1+rvanilla08)^0.5)-SUM($N384:AL384),('PTRM input'!$N$166*(1+rvanilla08)^0.5)/A24stdlife))</f>
        <v>0</v>
      </c>
      <c r="AN384" s="107">
        <f>IF(A24stdlife="n/a","n/a",IF(AN$3&gt;(A24stdlife+$E384),('PTRM input'!$N$166*(1+rvanilla08)^0.5)-SUM($N384:AM384),('PTRM input'!$N$166*(1+rvanilla08)^0.5)/A24stdlife))</f>
        <v>0</v>
      </c>
      <c r="AO384" s="107">
        <f>IF(A24stdlife="n/a","n/a",IF(AO$3&gt;(A24stdlife+$E384),('PTRM input'!$N$166*(1+rvanilla08)^0.5)-SUM($N384:AN384),('PTRM input'!$N$166*(1+rvanilla08)^0.5)/A24stdlife))</f>
        <v>0</v>
      </c>
      <c r="AP384" s="107">
        <f>IF(A24stdlife="n/a","n/a",IF(AP$3&gt;(A24stdlife+$E384),('PTRM input'!$N$166*(1+rvanilla08)^0.5)-SUM($N384:AO384),('PTRM input'!$N$166*(1+rvanilla08)^0.5)/A24stdlife))</f>
        <v>0</v>
      </c>
      <c r="AQ384" s="107">
        <f>IF(A24stdlife="n/a","n/a",IF(AQ$3&gt;(A24stdlife+$E384),('PTRM input'!$N$166*(1+rvanilla08)^0.5)-SUM($N384:AP384),('PTRM input'!$N$166*(1+rvanilla08)^0.5)/A24stdlife))</f>
        <v>0</v>
      </c>
      <c r="AR384" s="107">
        <f>IF(A24stdlife="n/a","n/a",IF(AR$3&gt;(A24stdlife+$E384),('PTRM input'!$N$166*(1+rvanilla08)^0.5)-SUM($N384:AQ384),('PTRM input'!$N$166*(1+rvanilla08)^0.5)/A24stdlife))</f>
        <v>0</v>
      </c>
      <c r="AS384" s="107">
        <f>IF(A24stdlife="n/a","n/a",IF(AS$3&gt;(A24stdlife+$E384),('PTRM input'!$N$166*(1+rvanilla08)^0.5)-SUM($N384:AR384),('PTRM input'!$N$166*(1+rvanilla08)^0.5)/A24stdlife))</f>
        <v>0</v>
      </c>
      <c r="AT384" s="107">
        <f>IF(A24stdlife="n/a","n/a",IF(AT$3&gt;(A24stdlife+$E384),('PTRM input'!$N$166*(1+rvanilla08)^0.5)-SUM($N384:AS384),('PTRM input'!$N$166*(1+rvanilla08)^0.5)/A24stdlife))</f>
        <v>0</v>
      </c>
      <c r="AU384" s="107">
        <f>IF(A24stdlife="n/a","n/a",IF(AU$3&gt;(A24stdlife+$E384),('PTRM input'!$N$166*(1+rvanilla08)^0.5)-SUM($N384:AT384),('PTRM input'!$N$166*(1+rvanilla08)^0.5)/A24stdlife))</f>
        <v>0</v>
      </c>
      <c r="AV384" s="107">
        <f>IF(A24stdlife="n/a","n/a",IF(AV$3&gt;(A24stdlife+$E384),('PTRM input'!$N$166*(1+rvanilla08)^0.5)-SUM($N384:AU384),('PTRM input'!$N$166*(1+rvanilla08)^0.5)/A24stdlife))</f>
        <v>0</v>
      </c>
      <c r="AW384" s="107">
        <f>IF(A24stdlife="n/a","n/a",IF(AW$3&gt;(A24stdlife+$E384),('PTRM input'!$N$166*(1+rvanilla08)^0.5)-SUM($N384:AV384),('PTRM input'!$N$166*(1+rvanilla08)^0.5)/A24stdlife))</f>
        <v>0</v>
      </c>
      <c r="AX384" s="107">
        <f>IF(A24stdlife="n/a","n/a",IF(AX$3&gt;(A24stdlife+$E384),('PTRM input'!$N$166*(1+rvanilla08)^0.5)-SUM($N384:AW384),('PTRM input'!$N$166*(1+rvanilla08)^0.5)/A24stdlife))</f>
        <v>0</v>
      </c>
      <c r="AY384" s="107">
        <f>IF(A24stdlife="n/a","n/a",IF(AY$3&gt;(A24stdlife+$E384),('PTRM input'!$N$166*(1+rvanilla08)^0.5)-SUM($N384:AX384),('PTRM input'!$N$166*(1+rvanilla08)^0.5)/A24stdlife))</f>
        <v>0</v>
      </c>
      <c r="AZ384" s="107">
        <f>IF(A24stdlife="n/a","n/a",IF(AZ$3&gt;(A24stdlife+$E384),('PTRM input'!$N$166*(1+rvanilla08)^0.5)-SUM($N384:AY384),('PTRM input'!$N$166*(1+rvanilla08)^0.5)/A24stdlife))</f>
        <v>0</v>
      </c>
      <c r="BA384" s="107">
        <f>IF(A24stdlife="n/a","n/a",IF(BA$3&gt;(A24stdlife+$E384),('PTRM input'!$N$166*(1+rvanilla08)^0.5)-SUM($N384:AZ384),('PTRM input'!$N$166*(1+rvanilla08)^0.5)/A24stdlife))</f>
        <v>0</v>
      </c>
      <c r="BB384" s="107">
        <f>IF(A24stdlife="n/a","n/a",IF(BB$3&gt;(A24stdlife+$E384),('PTRM input'!$N$166*(1+rvanilla08)^0.5)-SUM($N384:BA384),('PTRM input'!$N$166*(1+rvanilla08)^0.5)/A24stdlife))</f>
        <v>0</v>
      </c>
      <c r="BC384" s="107">
        <f>IF(A24stdlife="n/a","n/a",IF(BC$3&gt;(A24stdlife+$E384),('PTRM input'!$N$166*(1+rvanilla08)^0.5)-SUM($N384:BB384),('PTRM input'!$N$166*(1+rvanilla08)^0.5)/A24stdlife))</f>
        <v>0</v>
      </c>
      <c r="BD384" s="107">
        <f>IF(A24stdlife="n/a","n/a",IF(BD$3&gt;(A24stdlife+$E384),('PTRM input'!$N$166*(1+rvanilla08)^0.5)-SUM($N384:BC384),('PTRM input'!$N$166*(1+rvanilla08)^0.5)/A24stdlife))</f>
        <v>0</v>
      </c>
      <c r="BE384" s="107">
        <f>IF(A24stdlife="n/a","n/a",IF(BE$3&gt;(A24stdlife+$E384),('PTRM input'!$N$166*(1+rvanilla08)^0.5)-SUM($N384:BD384),('PTRM input'!$N$166*(1+rvanilla08)^0.5)/A24stdlife))</f>
        <v>0</v>
      </c>
      <c r="BF384" s="107">
        <f>IF(A24stdlife="n/a","n/a",IF(BF$3&gt;(A24stdlife+$E384),('PTRM input'!$N$166*(1+rvanilla08)^0.5)-SUM($N384:BE384),('PTRM input'!$N$166*(1+rvanilla08)^0.5)/A24stdlife))</f>
        <v>0</v>
      </c>
      <c r="BG384" s="107">
        <f>IF(A24stdlife="n/a","n/a",IF(BG$3&gt;(A24stdlife+$E384),('PTRM input'!$N$166*(1+rvanilla08)^0.5)-SUM($N384:BF384),('PTRM input'!$N$166*(1+rvanilla08)^0.5)/A24stdlife))</f>
        <v>0</v>
      </c>
      <c r="BH384" s="107">
        <f>IF(A24stdlife="n/a","n/a",IF(BH$3&gt;(A24stdlife+$E384),('PTRM input'!$N$166*(1+rvanilla08)^0.5)-SUM($N384:BG384),('PTRM input'!$N$166*(1+rvanilla08)^0.5)/A24stdlife))</f>
        <v>0</v>
      </c>
      <c r="BI384" s="107">
        <f>IF(A24stdlife="n/a","n/a",IF(BI$3&gt;(A24stdlife+$E384),('PTRM input'!$N$166*(1+rvanilla08)^0.5)-SUM($N384:BH384),('PTRM input'!$N$166*(1+rvanilla08)^0.5)/A24stdlife))</f>
        <v>0</v>
      </c>
      <c r="BJ384" s="237"/>
      <c r="BK384" s="237"/>
      <c r="BL384" s="237"/>
      <c r="BM384" s="237"/>
    </row>
    <row r="385" spans="1:65" s="190" customFormat="1" hidden="1" outlineLevel="2">
      <c r="A385" s="237"/>
      <c r="B385" s="33"/>
      <c r="C385" s="32"/>
      <c r="D385" s="1618"/>
      <c r="E385" s="169">
        <v>9</v>
      </c>
      <c r="F385" s="35"/>
      <c r="G385" s="184"/>
      <c r="H385" s="186"/>
      <c r="I385" s="186"/>
      <c r="J385" s="186"/>
      <c r="K385" s="186"/>
      <c r="L385" s="186"/>
      <c r="M385" s="186"/>
      <c r="N385" s="186"/>
      <c r="O385" s="185"/>
      <c r="P385" s="107">
        <f>IF(A24stdlife="n/a","n/a",IF(P$3&gt;(A24stdlife+$E385),('PTRM input'!$O$166*(1+rvanilla09)^0.5)-SUM($O385:O385),('PTRM input'!$O$166*(1+rvanilla09)^0.5)/A24stdlife))</f>
        <v>0</v>
      </c>
      <c r="Q385" s="107">
        <f>IF(A24stdlife="n/a","n/a",IF(Q$3&gt;(A24stdlife+$E385),('PTRM input'!$O$166*(1+rvanilla09)^0.5)-SUM($O385:P385),('PTRM input'!$O$166*(1+rvanilla09)^0.5)/A24stdlife))</f>
        <v>0</v>
      </c>
      <c r="R385" s="107">
        <f>IF(A24stdlife="n/a","n/a",IF(R$3&gt;(A24stdlife+$E385),('PTRM input'!$O$166*(1+rvanilla09)^0.5)-SUM($O385:Q385),('PTRM input'!$O$166*(1+rvanilla09)^0.5)/A24stdlife))</f>
        <v>0</v>
      </c>
      <c r="S385" s="107">
        <f>IF(A24stdlife="n/a","n/a",IF(S$3&gt;(A24stdlife+$E385),('PTRM input'!$O$166*(1+rvanilla09)^0.5)-SUM($O385:R385),('PTRM input'!$O$166*(1+rvanilla09)^0.5)/A24stdlife))</f>
        <v>0</v>
      </c>
      <c r="T385" s="107">
        <f>IF(A24stdlife="n/a","n/a",IF(T$3&gt;(A24stdlife+$E385),('PTRM input'!$O$166*(1+rvanilla09)^0.5)-SUM($O385:S385),('PTRM input'!$O$166*(1+rvanilla09)^0.5)/A24stdlife))</f>
        <v>0</v>
      </c>
      <c r="U385" s="107">
        <f>IF(A24stdlife="n/a","n/a",IF(U$3&gt;(A24stdlife+$E385),('PTRM input'!$O$166*(1+rvanilla09)^0.5)-SUM($O385:T385),('PTRM input'!$O$166*(1+rvanilla09)^0.5)/A24stdlife))</f>
        <v>0</v>
      </c>
      <c r="V385" s="107">
        <f>IF(A24stdlife="n/a","n/a",IF(V$3&gt;(A24stdlife+$E385),('PTRM input'!$O$166*(1+rvanilla09)^0.5)-SUM($O385:U385),('PTRM input'!$O$166*(1+rvanilla09)^0.5)/A24stdlife))</f>
        <v>0</v>
      </c>
      <c r="W385" s="107">
        <f>IF(A24stdlife="n/a","n/a",IF(W$3&gt;(A24stdlife+$E385),('PTRM input'!$O$166*(1+rvanilla09)^0.5)-SUM($O385:V385),('PTRM input'!$O$166*(1+rvanilla09)^0.5)/A24stdlife))</f>
        <v>0</v>
      </c>
      <c r="X385" s="107">
        <f>IF(A24stdlife="n/a","n/a",IF(X$3&gt;(A24stdlife+$E385),('PTRM input'!$O$166*(1+rvanilla09)^0.5)-SUM($O385:W385),('PTRM input'!$O$166*(1+rvanilla09)^0.5)/A24stdlife))</f>
        <v>0</v>
      </c>
      <c r="Y385" s="107">
        <f>IF(A24stdlife="n/a","n/a",IF(Y$3&gt;(A24stdlife+$E385),('PTRM input'!$O$166*(1+rvanilla09)^0.5)-SUM($O385:X385),('PTRM input'!$O$166*(1+rvanilla09)^0.5)/A24stdlife))</f>
        <v>0</v>
      </c>
      <c r="Z385" s="107">
        <f>IF(A24stdlife="n/a","n/a",IF(Z$3&gt;(A24stdlife+$E385),('PTRM input'!$O$166*(1+rvanilla09)^0.5)-SUM($O385:Y385),('PTRM input'!$O$166*(1+rvanilla09)^0.5)/A24stdlife))</f>
        <v>0</v>
      </c>
      <c r="AA385" s="107">
        <f>IF(A24stdlife="n/a","n/a",IF(AA$3&gt;(A24stdlife+$E385),('PTRM input'!$O$166*(1+rvanilla09)^0.5)-SUM($O385:Z385),('PTRM input'!$O$166*(1+rvanilla09)^0.5)/A24stdlife))</f>
        <v>0</v>
      </c>
      <c r="AB385" s="107">
        <f>IF(A24stdlife="n/a","n/a",IF(AB$3&gt;(A24stdlife+$E385),('PTRM input'!$O$166*(1+rvanilla09)^0.5)-SUM($O385:AA385),('PTRM input'!$O$166*(1+rvanilla09)^0.5)/A24stdlife))</f>
        <v>0</v>
      </c>
      <c r="AC385" s="107">
        <f>IF(A24stdlife="n/a","n/a",IF(AC$3&gt;(A24stdlife+$E385),('PTRM input'!$O$166*(1+rvanilla09)^0.5)-SUM($O385:AB385),('PTRM input'!$O$166*(1+rvanilla09)^0.5)/A24stdlife))</f>
        <v>0</v>
      </c>
      <c r="AD385" s="107">
        <f>IF(A24stdlife="n/a","n/a",IF(AD$3&gt;(A24stdlife+$E385),('PTRM input'!$O$166*(1+rvanilla09)^0.5)-SUM($O385:AC385),('PTRM input'!$O$166*(1+rvanilla09)^0.5)/A24stdlife))</f>
        <v>0</v>
      </c>
      <c r="AE385" s="107">
        <f>IF(A24stdlife="n/a","n/a",IF(AE$3&gt;(A24stdlife+$E385),('PTRM input'!$O$166*(1+rvanilla09)^0.5)-SUM($O385:AD385),('PTRM input'!$O$166*(1+rvanilla09)^0.5)/A24stdlife))</f>
        <v>0</v>
      </c>
      <c r="AF385" s="107">
        <f>IF(A24stdlife="n/a","n/a",IF(AF$3&gt;(A24stdlife+$E385),('PTRM input'!$O$166*(1+rvanilla09)^0.5)-SUM($O385:AE385),('PTRM input'!$O$166*(1+rvanilla09)^0.5)/A24stdlife))</f>
        <v>0</v>
      </c>
      <c r="AG385" s="107">
        <f>IF(A24stdlife="n/a","n/a",IF(AG$3&gt;(A24stdlife+$E385),('PTRM input'!$O$166*(1+rvanilla09)^0.5)-SUM($O385:AF385),('PTRM input'!$O$166*(1+rvanilla09)^0.5)/A24stdlife))</f>
        <v>0</v>
      </c>
      <c r="AH385" s="107">
        <f>IF(A24stdlife="n/a","n/a",IF(AH$3&gt;(A24stdlife+$E385),('PTRM input'!$O$166*(1+rvanilla09)^0.5)-SUM($O385:AG385),('PTRM input'!$O$166*(1+rvanilla09)^0.5)/A24stdlife))</f>
        <v>0</v>
      </c>
      <c r="AI385" s="107">
        <f>IF(A24stdlife="n/a","n/a",IF(AI$3&gt;(A24stdlife+$E385),('PTRM input'!$O$166*(1+rvanilla09)^0.5)-SUM($O385:AH385),('PTRM input'!$O$166*(1+rvanilla09)^0.5)/A24stdlife))</f>
        <v>0</v>
      </c>
      <c r="AJ385" s="107">
        <f>IF(A24stdlife="n/a","n/a",IF(AJ$3&gt;(A24stdlife+$E385),('PTRM input'!$O$166*(1+rvanilla09)^0.5)-SUM($O385:AI385),('PTRM input'!$O$166*(1+rvanilla09)^0.5)/A24stdlife))</f>
        <v>0</v>
      </c>
      <c r="AK385" s="107">
        <f>IF(A24stdlife="n/a","n/a",IF(AK$3&gt;(A24stdlife+$E385),('PTRM input'!$O$166*(1+rvanilla09)^0.5)-SUM($O385:AJ385),('PTRM input'!$O$166*(1+rvanilla09)^0.5)/A24stdlife))</f>
        <v>0</v>
      </c>
      <c r="AL385" s="107">
        <f>IF(A24stdlife="n/a","n/a",IF(AL$3&gt;(A24stdlife+$E385),('PTRM input'!$O$166*(1+rvanilla09)^0.5)-SUM($O385:AK385),('PTRM input'!$O$166*(1+rvanilla09)^0.5)/A24stdlife))</f>
        <v>0</v>
      </c>
      <c r="AM385" s="107">
        <f>IF(A24stdlife="n/a","n/a",IF(AM$3&gt;(A24stdlife+$E385),('PTRM input'!$O$166*(1+rvanilla09)^0.5)-SUM($O385:AL385),('PTRM input'!$O$166*(1+rvanilla09)^0.5)/A24stdlife))</f>
        <v>0</v>
      </c>
      <c r="AN385" s="107">
        <f>IF(A24stdlife="n/a","n/a",IF(AN$3&gt;(A24stdlife+$E385),('PTRM input'!$O$166*(1+rvanilla09)^0.5)-SUM($O385:AM385),('PTRM input'!$O$166*(1+rvanilla09)^0.5)/A24stdlife))</f>
        <v>0</v>
      </c>
      <c r="AO385" s="107">
        <f>IF(A24stdlife="n/a","n/a",IF(AO$3&gt;(A24stdlife+$E385),('PTRM input'!$O$166*(1+rvanilla09)^0.5)-SUM($O385:AN385),('PTRM input'!$O$166*(1+rvanilla09)^0.5)/A24stdlife))</f>
        <v>0</v>
      </c>
      <c r="AP385" s="107">
        <f>IF(A24stdlife="n/a","n/a",IF(AP$3&gt;(A24stdlife+$E385),('PTRM input'!$O$166*(1+rvanilla09)^0.5)-SUM($O385:AO385),('PTRM input'!$O$166*(1+rvanilla09)^0.5)/A24stdlife))</f>
        <v>0</v>
      </c>
      <c r="AQ385" s="107">
        <f>IF(A24stdlife="n/a","n/a",IF(AQ$3&gt;(A24stdlife+$E385),('PTRM input'!$O$166*(1+rvanilla09)^0.5)-SUM($O385:AP385),('PTRM input'!$O$166*(1+rvanilla09)^0.5)/A24stdlife))</f>
        <v>0</v>
      </c>
      <c r="AR385" s="107">
        <f>IF(A24stdlife="n/a","n/a",IF(AR$3&gt;(A24stdlife+$E385),('PTRM input'!$O$166*(1+rvanilla09)^0.5)-SUM($O385:AQ385),('PTRM input'!$O$166*(1+rvanilla09)^0.5)/A24stdlife))</f>
        <v>0</v>
      </c>
      <c r="AS385" s="107">
        <f>IF(A24stdlife="n/a","n/a",IF(AS$3&gt;(A24stdlife+$E385),('PTRM input'!$O$166*(1+rvanilla09)^0.5)-SUM($O385:AR385),('PTRM input'!$O$166*(1+rvanilla09)^0.5)/A24stdlife))</f>
        <v>0</v>
      </c>
      <c r="AT385" s="107">
        <f>IF(A24stdlife="n/a","n/a",IF(AT$3&gt;(A24stdlife+$E385),('PTRM input'!$O$166*(1+rvanilla09)^0.5)-SUM($O385:AS385),('PTRM input'!$O$166*(1+rvanilla09)^0.5)/A24stdlife))</f>
        <v>0</v>
      </c>
      <c r="AU385" s="107">
        <f>IF(A24stdlife="n/a","n/a",IF(AU$3&gt;(A24stdlife+$E385),('PTRM input'!$O$166*(1+rvanilla09)^0.5)-SUM($O385:AT385),('PTRM input'!$O$166*(1+rvanilla09)^0.5)/A24stdlife))</f>
        <v>0</v>
      </c>
      <c r="AV385" s="107">
        <f>IF(A24stdlife="n/a","n/a",IF(AV$3&gt;(A24stdlife+$E385),('PTRM input'!$O$166*(1+rvanilla09)^0.5)-SUM($O385:AU385),('PTRM input'!$O$166*(1+rvanilla09)^0.5)/A24stdlife))</f>
        <v>0</v>
      </c>
      <c r="AW385" s="107">
        <f>IF(A24stdlife="n/a","n/a",IF(AW$3&gt;(A24stdlife+$E385),('PTRM input'!$O$166*(1+rvanilla09)^0.5)-SUM($O385:AV385),('PTRM input'!$O$166*(1+rvanilla09)^0.5)/A24stdlife))</f>
        <v>0</v>
      </c>
      <c r="AX385" s="107">
        <f>IF(A24stdlife="n/a","n/a",IF(AX$3&gt;(A24stdlife+$E385),('PTRM input'!$O$166*(1+rvanilla09)^0.5)-SUM($O385:AW385),('PTRM input'!$O$166*(1+rvanilla09)^0.5)/A24stdlife))</f>
        <v>0</v>
      </c>
      <c r="AY385" s="107">
        <f>IF(A24stdlife="n/a","n/a",IF(AY$3&gt;(A24stdlife+$E385),('PTRM input'!$O$166*(1+rvanilla09)^0.5)-SUM($O385:AX385),('PTRM input'!$O$166*(1+rvanilla09)^0.5)/A24stdlife))</f>
        <v>0</v>
      </c>
      <c r="AZ385" s="107">
        <f>IF(A24stdlife="n/a","n/a",IF(AZ$3&gt;(A24stdlife+$E385),('PTRM input'!$O$166*(1+rvanilla09)^0.5)-SUM($O385:AY385),('PTRM input'!$O$166*(1+rvanilla09)^0.5)/A24stdlife))</f>
        <v>0</v>
      </c>
      <c r="BA385" s="107">
        <f>IF(A24stdlife="n/a","n/a",IF(BA$3&gt;(A24stdlife+$E385),('PTRM input'!$O$166*(1+rvanilla09)^0.5)-SUM($O385:AZ385),('PTRM input'!$O$166*(1+rvanilla09)^0.5)/A24stdlife))</f>
        <v>0</v>
      </c>
      <c r="BB385" s="107">
        <f>IF(A24stdlife="n/a","n/a",IF(BB$3&gt;(A24stdlife+$E385),('PTRM input'!$O$166*(1+rvanilla09)^0.5)-SUM($O385:BA385),('PTRM input'!$O$166*(1+rvanilla09)^0.5)/A24stdlife))</f>
        <v>0</v>
      </c>
      <c r="BC385" s="107">
        <f>IF(A24stdlife="n/a","n/a",IF(BC$3&gt;(A24stdlife+$E385),('PTRM input'!$O$166*(1+rvanilla09)^0.5)-SUM($O385:BB385),('PTRM input'!$O$166*(1+rvanilla09)^0.5)/A24stdlife))</f>
        <v>0</v>
      </c>
      <c r="BD385" s="107">
        <f>IF(A24stdlife="n/a","n/a",IF(BD$3&gt;(A24stdlife+$E385),('PTRM input'!$O$166*(1+rvanilla09)^0.5)-SUM($O385:BC385),('PTRM input'!$O$166*(1+rvanilla09)^0.5)/A24stdlife))</f>
        <v>0</v>
      </c>
      <c r="BE385" s="107">
        <f>IF(A24stdlife="n/a","n/a",IF(BE$3&gt;(A24stdlife+$E385),('PTRM input'!$O$166*(1+rvanilla09)^0.5)-SUM($O385:BD385),('PTRM input'!$O$166*(1+rvanilla09)^0.5)/A24stdlife))</f>
        <v>0</v>
      </c>
      <c r="BF385" s="107">
        <f>IF(A24stdlife="n/a","n/a",IF(BF$3&gt;(A24stdlife+$E385),('PTRM input'!$O$166*(1+rvanilla09)^0.5)-SUM($O385:BE385),('PTRM input'!$O$166*(1+rvanilla09)^0.5)/A24stdlife))</f>
        <v>0</v>
      </c>
      <c r="BG385" s="107">
        <f>IF(A24stdlife="n/a","n/a",IF(BG$3&gt;(A24stdlife+$E385),('PTRM input'!$O$166*(1+rvanilla09)^0.5)-SUM($O385:BF385),('PTRM input'!$O$166*(1+rvanilla09)^0.5)/A24stdlife))</f>
        <v>0</v>
      </c>
      <c r="BH385" s="107">
        <f>IF(A24stdlife="n/a","n/a",IF(BH$3&gt;(A24stdlife+$E385),('PTRM input'!$O$166*(1+rvanilla09)^0.5)-SUM($O385:BG385),('PTRM input'!$O$166*(1+rvanilla09)^0.5)/A24stdlife))</f>
        <v>0</v>
      </c>
      <c r="BI385" s="107">
        <f>IF(A24stdlife="n/a","n/a",IF(BI$3&gt;(A24stdlife+$E385),('PTRM input'!$O$166*(1+rvanilla09)^0.5)-SUM($O385:BH385),('PTRM input'!$O$166*(1+rvanilla09)^0.5)/A24stdlife))</f>
        <v>0</v>
      </c>
      <c r="BJ385" s="237"/>
      <c r="BK385" s="237"/>
      <c r="BL385" s="237"/>
      <c r="BM385" s="237"/>
    </row>
    <row r="386" spans="1:65" s="190" customFormat="1" hidden="1" outlineLevel="2">
      <c r="A386" s="237"/>
      <c r="B386" s="33"/>
      <c r="C386" s="32"/>
      <c r="D386" s="1618"/>
      <c r="E386" s="170">
        <v>10</v>
      </c>
      <c r="F386" s="35"/>
      <c r="G386" s="184"/>
      <c r="H386" s="186"/>
      <c r="I386" s="186"/>
      <c r="J386" s="186"/>
      <c r="K386" s="186"/>
      <c r="L386" s="186"/>
      <c r="M386" s="186"/>
      <c r="N386" s="186"/>
      <c r="O386" s="186"/>
      <c r="P386" s="185"/>
      <c r="Q386" s="107">
        <f>IF(A24stdlife="n/a","n/a",IF(Q$3&gt;(A24stdlife+$E386),('PTRM input'!$P$166*(1+rvanilla10)^0.5)-SUM($P386:P386),('PTRM input'!$P$166*(1+rvanilla10)^0.5)/A24stdlife))</f>
        <v>0</v>
      </c>
      <c r="R386" s="107">
        <f>IF(A24stdlife="n/a","n/a",IF(R$3&gt;(A24stdlife+$E386),('PTRM input'!$P$166*(1+rvanilla10)^0.5)-SUM($P386:Q386),('PTRM input'!$P$166*(1+rvanilla10)^0.5)/A24stdlife))</f>
        <v>0</v>
      </c>
      <c r="S386" s="107">
        <f>IF(A24stdlife="n/a","n/a",IF(S$3&gt;(A24stdlife+$E386),('PTRM input'!$P$166*(1+rvanilla10)^0.5)-SUM($P386:R386),('PTRM input'!$P$166*(1+rvanilla10)^0.5)/A24stdlife))</f>
        <v>0</v>
      </c>
      <c r="T386" s="107">
        <f>IF(A24stdlife="n/a","n/a",IF(T$3&gt;(A24stdlife+$E386),('PTRM input'!$P$166*(1+rvanilla10)^0.5)-SUM($P386:S386),('PTRM input'!$P$166*(1+rvanilla10)^0.5)/A24stdlife))</f>
        <v>0</v>
      </c>
      <c r="U386" s="107">
        <f>IF(A24stdlife="n/a","n/a",IF(U$3&gt;(A24stdlife+$E386),('PTRM input'!$P$166*(1+rvanilla10)^0.5)-SUM($P386:T386),('PTRM input'!$P$166*(1+rvanilla10)^0.5)/A24stdlife))</f>
        <v>0</v>
      </c>
      <c r="V386" s="107">
        <f>IF(A24stdlife="n/a","n/a",IF(V$3&gt;(A24stdlife+$E386),('PTRM input'!$P$166*(1+rvanilla10)^0.5)-SUM($P386:U386),('PTRM input'!$P$166*(1+rvanilla10)^0.5)/A24stdlife))</f>
        <v>0</v>
      </c>
      <c r="W386" s="107">
        <f>IF(A24stdlife="n/a","n/a",IF(W$3&gt;(A24stdlife+$E386),('PTRM input'!$P$166*(1+rvanilla10)^0.5)-SUM($P386:V386),('PTRM input'!$P$166*(1+rvanilla10)^0.5)/A24stdlife))</f>
        <v>0</v>
      </c>
      <c r="X386" s="107">
        <f>IF(A24stdlife="n/a","n/a",IF(X$3&gt;(A24stdlife+$E386),('PTRM input'!$P$166*(1+rvanilla10)^0.5)-SUM($P386:W386),('PTRM input'!$P$166*(1+rvanilla10)^0.5)/A24stdlife))</f>
        <v>0</v>
      </c>
      <c r="Y386" s="107">
        <f>IF(A24stdlife="n/a","n/a",IF(Y$3&gt;(A24stdlife+$E386),('PTRM input'!$P$166*(1+rvanilla10)^0.5)-SUM($P386:X386),('PTRM input'!$P$166*(1+rvanilla10)^0.5)/A24stdlife))</f>
        <v>0</v>
      </c>
      <c r="Z386" s="107">
        <f>IF(A24stdlife="n/a","n/a",IF(Z$3&gt;(A24stdlife+$E386),('PTRM input'!$P$166*(1+rvanilla10)^0.5)-SUM($P386:Y386),('PTRM input'!$P$166*(1+rvanilla10)^0.5)/A24stdlife))</f>
        <v>0</v>
      </c>
      <c r="AA386" s="107">
        <f>IF(A24stdlife="n/a","n/a",IF(AA$3&gt;(A24stdlife+$E386),('PTRM input'!$P$166*(1+rvanilla10)^0.5)-SUM($P386:Z386),('PTRM input'!$P$166*(1+rvanilla10)^0.5)/A24stdlife))</f>
        <v>0</v>
      </c>
      <c r="AB386" s="107">
        <f>IF(A24stdlife="n/a","n/a",IF(AB$3&gt;(A24stdlife+$E386),('PTRM input'!$P$166*(1+rvanilla10)^0.5)-SUM($P386:AA386),('PTRM input'!$P$166*(1+rvanilla10)^0.5)/A24stdlife))</f>
        <v>0</v>
      </c>
      <c r="AC386" s="107">
        <f>IF(A24stdlife="n/a","n/a",IF(AC$3&gt;(A24stdlife+$E386),('PTRM input'!$P$166*(1+rvanilla10)^0.5)-SUM($P386:AB386),('PTRM input'!$P$166*(1+rvanilla10)^0.5)/A24stdlife))</f>
        <v>0</v>
      </c>
      <c r="AD386" s="107">
        <f>IF(A24stdlife="n/a","n/a",IF(AD$3&gt;(A24stdlife+$E386),('PTRM input'!$P$166*(1+rvanilla10)^0.5)-SUM($P386:AC386),('PTRM input'!$P$166*(1+rvanilla10)^0.5)/A24stdlife))</f>
        <v>0</v>
      </c>
      <c r="AE386" s="107">
        <f>IF(A24stdlife="n/a","n/a",IF(AE$3&gt;(A24stdlife+$E386),('PTRM input'!$P$166*(1+rvanilla10)^0.5)-SUM($P386:AD386),('PTRM input'!$P$166*(1+rvanilla10)^0.5)/A24stdlife))</f>
        <v>0</v>
      </c>
      <c r="AF386" s="107">
        <f>IF(A24stdlife="n/a","n/a",IF(AF$3&gt;(A24stdlife+$E386),('PTRM input'!$P$166*(1+rvanilla10)^0.5)-SUM($P386:AE386),('PTRM input'!$P$166*(1+rvanilla10)^0.5)/A24stdlife))</f>
        <v>0</v>
      </c>
      <c r="AG386" s="107">
        <f>IF(A24stdlife="n/a","n/a",IF(AG$3&gt;(A24stdlife+$E386),('PTRM input'!$P$166*(1+rvanilla10)^0.5)-SUM($P386:AF386),('PTRM input'!$P$166*(1+rvanilla10)^0.5)/A24stdlife))</f>
        <v>0</v>
      </c>
      <c r="AH386" s="107">
        <f>IF(A24stdlife="n/a","n/a",IF(AH$3&gt;(A24stdlife+$E386),('PTRM input'!$P$166*(1+rvanilla10)^0.5)-SUM($P386:AG386),('PTRM input'!$P$166*(1+rvanilla10)^0.5)/A24stdlife))</f>
        <v>0</v>
      </c>
      <c r="AI386" s="107">
        <f>IF(A24stdlife="n/a","n/a",IF(AI$3&gt;(A24stdlife+$E386),('PTRM input'!$P$166*(1+rvanilla10)^0.5)-SUM($P386:AH386),('PTRM input'!$P$166*(1+rvanilla10)^0.5)/A24stdlife))</f>
        <v>0</v>
      </c>
      <c r="AJ386" s="107">
        <f>IF(A24stdlife="n/a","n/a",IF(AJ$3&gt;(A24stdlife+$E386),('PTRM input'!$P$166*(1+rvanilla10)^0.5)-SUM($P386:AI386),('PTRM input'!$P$166*(1+rvanilla10)^0.5)/A24stdlife))</f>
        <v>0</v>
      </c>
      <c r="AK386" s="107">
        <f>IF(A24stdlife="n/a","n/a",IF(AK$3&gt;(A24stdlife+$E386),('PTRM input'!$P$166*(1+rvanilla10)^0.5)-SUM($P386:AJ386),('PTRM input'!$P$166*(1+rvanilla10)^0.5)/A24stdlife))</f>
        <v>0</v>
      </c>
      <c r="AL386" s="107">
        <f>IF(A24stdlife="n/a","n/a",IF(AL$3&gt;(A24stdlife+$E386),('PTRM input'!$P$166*(1+rvanilla10)^0.5)-SUM($P386:AK386),('PTRM input'!$P$166*(1+rvanilla10)^0.5)/A24stdlife))</f>
        <v>0</v>
      </c>
      <c r="AM386" s="107">
        <f>IF(A24stdlife="n/a","n/a",IF(AM$3&gt;(A24stdlife+$E386),('PTRM input'!$P$166*(1+rvanilla10)^0.5)-SUM($P386:AL386),('PTRM input'!$P$166*(1+rvanilla10)^0.5)/A24stdlife))</f>
        <v>0</v>
      </c>
      <c r="AN386" s="107">
        <f>IF(A24stdlife="n/a","n/a",IF(AN$3&gt;(A24stdlife+$E386),('PTRM input'!$P$166*(1+rvanilla10)^0.5)-SUM($P386:AM386),('PTRM input'!$P$166*(1+rvanilla10)^0.5)/A24stdlife))</f>
        <v>0</v>
      </c>
      <c r="AO386" s="107">
        <f>IF(A24stdlife="n/a","n/a",IF(AO$3&gt;(A24stdlife+$E386),('PTRM input'!$P$166*(1+rvanilla10)^0.5)-SUM($P386:AN386),('PTRM input'!$P$166*(1+rvanilla10)^0.5)/A24stdlife))</f>
        <v>0</v>
      </c>
      <c r="AP386" s="107">
        <f>IF(A24stdlife="n/a","n/a",IF(AP$3&gt;(A24stdlife+$E386),('PTRM input'!$P$166*(1+rvanilla10)^0.5)-SUM($P386:AO386),('PTRM input'!$P$166*(1+rvanilla10)^0.5)/A24stdlife))</f>
        <v>0</v>
      </c>
      <c r="AQ386" s="107">
        <f>IF(A24stdlife="n/a","n/a",IF(AQ$3&gt;(A24stdlife+$E386),('PTRM input'!$P$166*(1+rvanilla10)^0.5)-SUM($P386:AP386),('PTRM input'!$P$166*(1+rvanilla10)^0.5)/A24stdlife))</f>
        <v>0</v>
      </c>
      <c r="AR386" s="107">
        <f>IF(A24stdlife="n/a","n/a",IF(AR$3&gt;(A24stdlife+$E386),('PTRM input'!$P$166*(1+rvanilla10)^0.5)-SUM($P386:AQ386),('PTRM input'!$P$166*(1+rvanilla10)^0.5)/A24stdlife))</f>
        <v>0</v>
      </c>
      <c r="AS386" s="107">
        <f>IF(A24stdlife="n/a","n/a",IF(AS$3&gt;(A24stdlife+$E386),('PTRM input'!$P$166*(1+rvanilla10)^0.5)-SUM($P386:AR386),('PTRM input'!$P$166*(1+rvanilla10)^0.5)/A24stdlife))</f>
        <v>0</v>
      </c>
      <c r="AT386" s="107">
        <f>IF(A24stdlife="n/a","n/a",IF(AT$3&gt;(A24stdlife+$E386),('PTRM input'!$P$166*(1+rvanilla10)^0.5)-SUM($P386:AS386),('PTRM input'!$P$166*(1+rvanilla10)^0.5)/A24stdlife))</f>
        <v>0</v>
      </c>
      <c r="AU386" s="107">
        <f>IF(A24stdlife="n/a","n/a",IF(AU$3&gt;(A24stdlife+$E386),('PTRM input'!$P$166*(1+rvanilla10)^0.5)-SUM($P386:AT386),('PTRM input'!$P$166*(1+rvanilla10)^0.5)/A24stdlife))</f>
        <v>0</v>
      </c>
      <c r="AV386" s="107">
        <f>IF(A24stdlife="n/a","n/a",IF(AV$3&gt;(A24stdlife+$E386),('PTRM input'!$P$166*(1+rvanilla10)^0.5)-SUM($P386:AU386),('PTRM input'!$P$166*(1+rvanilla10)^0.5)/A24stdlife))</f>
        <v>0</v>
      </c>
      <c r="AW386" s="107">
        <f>IF(A24stdlife="n/a","n/a",IF(AW$3&gt;(A24stdlife+$E386),('PTRM input'!$P$166*(1+rvanilla10)^0.5)-SUM($P386:AV386),('PTRM input'!$P$166*(1+rvanilla10)^0.5)/A24stdlife))</f>
        <v>0</v>
      </c>
      <c r="AX386" s="107">
        <f>IF(A24stdlife="n/a","n/a",IF(AX$3&gt;(A24stdlife+$E386),('PTRM input'!$P$166*(1+rvanilla10)^0.5)-SUM($P386:AW386),('PTRM input'!$P$166*(1+rvanilla10)^0.5)/A24stdlife))</f>
        <v>0</v>
      </c>
      <c r="AY386" s="107">
        <f>IF(A24stdlife="n/a","n/a",IF(AY$3&gt;(A24stdlife+$E386),('PTRM input'!$P$166*(1+rvanilla10)^0.5)-SUM($P386:AX386),('PTRM input'!$P$166*(1+rvanilla10)^0.5)/A24stdlife))</f>
        <v>0</v>
      </c>
      <c r="AZ386" s="107">
        <f>IF(A24stdlife="n/a","n/a",IF(AZ$3&gt;(A24stdlife+$E386),('PTRM input'!$P$166*(1+rvanilla10)^0.5)-SUM($P386:AY386),('PTRM input'!$P$166*(1+rvanilla10)^0.5)/A24stdlife))</f>
        <v>0</v>
      </c>
      <c r="BA386" s="107">
        <f>IF(A24stdlife="n/a","n/a",IF(BA$3&gt;(A24stdlife+$E386),('PTRM input'!$P$166*(1+rvanilla10)^0.5)-SUM($P386:AZ386),('PTRM input'!$P$166*(1+rvanilla10)^0.5)/A24stdlife))</f>
        <v>0</v>
      </c>
      <c r="BB386" s="107">
        <f>IF(A24stdlife="n/a","n/a",IF(BB$3&gt;(A24stdlife+$E386),('PTRM input'!$P$166*(1+rvanilla10)^0.5)-SUM($P386:BA386),('PTRM input'!$P$166*(1+rvanilla10)^0.5)/A24stdlife))</f>
        <v>0</v>
      </c>
      <c r="BC386" s="107">
        <f>IF(A24stdlife="n/a","n/a",IF(BC$3&gt;(A24stdlife+$E386),('PTRM input'!$P$166*(1+rvanilla10)^0.5)-SUM($P386:BB386),('PTRM input'!$P$166*(1+rvanilla10)^0.5)/A24stdlife))</f>
        <v>0</v>
      </c>
      <c r="BD386" s="107">
        <f>IF(A24stdlife="n/a","n/a",IF(BD$3&gt;(A24stdlife+$E386),('PTRM input'!$P$166*(1+rvanilla10)^0.5)-SUM($P386:BC386),('PTRM input'!$P$166*(1+rvanilla10)^0.5)/A24stdlife))</f>
        <v>0</v>
      </c>
      <c r="BE386" s="107">
        <f>IF(A24stdlife="n/a","n/a",IF(BE$3&gt;(A24stdlife+$E386),('PTRM input'!$P$166*(1+rvanilla10)^0.5)-SUM($P386:BD386),('PTRM input'!$P$166*(1+rvanilla10)^0.5)/A24stdlife))</f>
        <v>0</v>
      </c>
      <c r="BF386" s="107">
        <f>IF(A24stdlife="n/a","n/a",IF(BF$3&gt;(A24stdlife+$E386),('PTRM input'!$P$166*(1+rvanilla10)^0.5)-SUM($P386:BE386),('PTRM input'!$P$166*(1+rvanilla10)^0.5)/A24stdlife))</f>
        <v>0</v>
      </c>
      <c r="BG386" s="107">
        <f>IF(A24stdlife="n/a","n/a",IF(BG$3&gt;(A24stdlife+$E386),('PTRM input'!$P$166*(1+rvanilla10)^0.5)-SUM($P386:BF386),('PTRM input'!$P$166*(1+rvanilla10)^0.5)/A24stdlife))</f>
        <v>0</v>
      </c>
      <c r="BH386" s="107">
        <f>IF(A24stdlife="n/a","n/a",IF(BH$3&gt;(A24stdlife+$E386),('PTRM input'!$P$166*(1+rvanilla10)^0.5)-SUM($P386:BG386),('PTRM input'!$P$166*(1+rvanilla10)^0.5)/A24stdlife))</f>
        <v>0</v>
      </c>
      <c r="BI386" s="107">
        <f>IF(A24stdlife="n/a","n/a",IF(BI$3&gt;(A24stdlife+$E386),('PTRM input'!$P$166*(1+rvanilla10)^0.5)-SUM($P386:BH386),('PTRM input'!$P$166*(1+rvanilla10)^0.5)/A24stdlife))</f>
        <v>0</v>
      </c>
      <c r="BJ386" s="237"/>
      <c r="BK386" s="237"/>
      <c r="BL386" s="237"/>
      <c r="BM386" s="237"/>
    </row>
    <row r="387" spans="1:65" s="190" customFormat="1" hidden="1" outlineLevel="1">
      <c r="A387" s="237"/>
      <c r="B387" s="18"/>
      <c r="C387" s="33">
        <f>Asset24</f>
        <v>0</v>
      </c>
      <c r="D387" s="18"/>
      <c r="E387" s="18"/>
      <c r="F387" s="31"/>
      <c r="G387" s="104">
        <f t="shared" ref="G387:AL387" si="83">SUM(G375:G386)</f>
        <v>0</v>
      </c>
      <c r="H387" s="104">
        <f t="shared" si="83"/>
        <v>0</v>
      </c>
      <c r="I387" s="104">
        <f t="shared" si="83"/>
        <v>0</v>
      </c>
      <c r="J387" s="104">
        <f t="shared" si="83"/>
        <v>0</v>
      </c>
      <c r="K387" s="104">
        <f t="shared" si="83"/>
        <v>0</v>
      </c>
      <c r="L387" s="104">
        <f t="shared" si="83"/>
        <v>0</v>
      </c>
      <c r="M387" s="104">
        <f t="shared" si="83"/>
        <v>0</v>
      </c>
      <c r="N387" s="104">
        <f t="shared" si="83"/>
        <v>0</v>
      </c>
      <c r="O387" s="104">
        <f t="shared" si="83"/>
        <v>0</v>
      </c>
      <c r="P387" s="104">
        <f t="shared" si="83"/>
        <v>0</v>
      </c>
      <c r="Q387" s="104">
        <f t="shared" si="83"/>
        <v>0</v>
      </c>
      <c r="R387" s="104">
        <f t="shared" si="83"/>
        <v>0</v>
      </c>
      <c r="S387" s="104">
        <f t="shared" si="83"/>
        <v>0</v>
      </c>
      <c r="T387" s="104">
        <f t="shared" si="83"/>
        <v>0</v>
      </c>
      <c r="U387" s="104">
        <f t="shared" si="83"/>
        <v>0</v>
      </c>
      <c r="V387" s="104">
        <f t="shared" si="83"/>
        <v>0</v>
      </c>
      <c r="W387" s="104">
        <f t="shared" si="83"/>
        <v>0</v>
      </c>
      <c r="X387" s="104">
        <f t="shared" si="83"/>
        <v>0</v>
      </c>
      <c r="Y387" s="104">
        <f t="shared" si="83"/>
        <v>0</v>
      </c>
      <c r="Z387" s="104">
        <f t="shared" si="83"/>
        <v>0</v>
      </c>
      <c r="AA387" s="104">
        <f t="shared" si="83"/>
        <v>0</v>
      </c>
      <c r="AB387" s="104">
        <f t="shared" si="83"/>
        <v>0</v>
      </c>
      <c r="AC387" s="104">
        <f t="shared" si="83"/>
        <v>0</v>
      </c>
      <c r="AD387" s="104">
        <f t="shared" si="83"/>
        <v>0</v>
      </c>
      <c r="AE387" s="104">
        <f t="shared" si="83"/>
        <v>0</v>
      </c>
      <c r="AF387" s="104">
        <f t="shared" si="83"/>
        <v>0</v>
      </c>
      <c r="AG387" s="104">
        <f t="shared" si="83"/>
        <v>0</v>
      </c>
      <c r="AH387" s="104">
        <f t="shared" si="83"/>
        <v>0</v>
      </c>
      <c r="AI387" s="104">
        <f t="shared" si="83"/>
        <v>0</v>
      </c>
      <c r="AJ387" s="104">
        <f t="shared" si="83"/>
        <v>0</v>
      </c>
      <c r="AK387" s="104">
        <f t="shared" si="83"/>
        <v>0</v>
      </c>
      <c r="AL387" s="104">
        <f t="shared" si="83"/>
        <v>0</v>
      </c>
      <c r="AM387" s="104">
        <f t="shared" ref="AM387:BI387" si="84">SUM(AM375:AM386)</f>
        <v>0</v>
      </c>
      <c r="AN387" s="104">
        <f t="shared" si="84"/>
        <v>0</v>
      </c>
      <c r="AO387" s="104">
        <f t="shared" si="84"/>
        <v>0</v>
      </c>
      <c r="AP387" s="104">
        <f t="shared" si="84"/>
        <v>0</v>
      </c>
      <c r="AQ387" s="104">
        <f t="shared" si="84"/>
        <v>0</v>
      </c>
      <c r="AR387" s="104">
        <f t="shared" si="84"/>
        <v>0</v>
      </c>
      <c r="AS387" s="104">
        <f t="shared" si="84"/>
        <v>0</v>
      </c>
      <c r="AT387" s="104">
        <f t="shared" si="84"/>
        <v>0</v>
      </c>
      <c r="AU387" s="104">
        <f t="shared" si="84"/>
        <v>0</v>
      </c>
      <c r="AV387" s="104">
        <f t="shared" si="84"/>
        <v>0</v>
      </c>
      <c r="AW387" s="104">
        <f t="shared" si="84"/>
        <v>0</v>
      </c>
      <c r="AX387" s="104">
        <f t="shared" si="84"/>
        <v>0</v>
      </c>
      <c r="AY387" s="104">
        <f t="shared" si="84"/>
        <v>0</v>
      </c>
      <c r="AZ387" s="104">
        <f t="shared" si="84"/>
        <v>0</v>
      </c>
      <c r="BA387" s="104">
        <f t="shared" si="84"/>
        <v>0</v>
      </c>
      <c r="BB387" s="104">
        <f t="shared" si="84"/>
        <v>0</v>
      </c>
      <c r="BC387" s="104">
        <f t="shared" si="84"/>
        <v>0</v>
      </c>
      <c r="BD387" s="104">
        <f t="shared" si="84"/>
        <v>0</v>
      </c>
      <c r="BE387" s="104">
        <f t="shared" si="84"/>
        <v>0</v>
      </c>
      <c r="BF387" s="104">
        <f t="shared" si="84"/>
        <v>0</v>
      </c>
      <c r="BG387" s="104">
        <f t="shared" si="84"/>
        <v>0</v>
      </c>
      <c r="BH387" s="104">
        <f t="shared" si="84"/>
        <v>0</v>
      </c>
      <c r="BI387" s="104">
        <f t="shared" si="84"/>
        <v>0</v>
      </c>
      <c r="BJ387" s="237"/>
      <c r="BK387" s="237"/>
      <c r="BL387" s="237"/>
      <c r="BM387" s="237"/>
    </row>
    <row r="388" spans="1:65" s="190" customFormat="1" ht="12.75" hidden="1" customHeight="1" outlineLevel="2">
      <c r="A388" s="237"/>
      <c r="B388" s="37">
        <f>C400</f>
        <v>0</v>
      </c>
      <c r="C388" s="38"/>
      <c r="D388" s="39" t="s">
        <v>58</v>
      </c>
      <c r="E388" s="38"/>
      <c r="F388" s="40"/>
      <c r="G388" s="106">
        <f>IF(G$3&gt;A25remlife,A25value-SUM($F388:F388),IF(A25remlife="N/A","n/a",A25value/A25remlife))</f>
        <v>0</v>
      </c>
      <c r="H388" s="106">
        <f>IF(H$3&gt;A25remlife,A25value-SUM($F388:G388),IF(A25remlife="N/A","n/a",A25value/A25remlife))</f>
        <v>0</v>
      </c>
      <c r="I388" s="106">
        <f>IF(I$3&gt;A25remlife,A25value-SUM($F388:H388),IF(A25remlife="N/A","n/a",A25value/A25remlife))</f>
        <v>0</v>
      </c>
      <c r="J388" s="106">
        <f>IF(J$3&gt;A25remlife,A25value-SUM($F388:I388),IF(A25remlife="N/A","n/a",A25value/A25remlife))</f>
        <v>0</v>
      </c>
      <c r="K388" s="106">
        <f>IF(K$3&gt;A25remlife,A25value-SUM($F388:J388),IF(A25remlife="N/A","n/a",A25value/A25remlife))</f>
        <v>0</v>
      </c>
      <c r="L388" s="106">
        <f>IF(L$3&gt;A25remlife,A25value-SUM($F388:K388),IF(A25remlife="N/A","n/a",A25value/A25remlife))</f>
        <v>0</v>
      </c>
      <c r="M388" s="106">
        <f>IF(M$3&gt;A25remlife,A25value-SUM($F388:L388),IF(A25remlife="N/A","n/a",A25value/A25remlife))</f>
        <v>0</v>
      </c>
      <c r="N388" s="106">
        <f>IF(N$3&gt;A25remlife,A25value-SUM($F388:M388),IF(A25remlife="N/A","n/a",A25value/A25remlife))</f>
        <v>0</v>
      </c>
      <c r="O388" s="106">
        <f>IF(O$3&gt;A25remlife,A25value-SUM($F388:N388),IF(A25remlife="N/A","n/a",A25value/A25remlife))</f>
        <v>0</v>
      </c>
      <c r="P388" s="106">
        <f>IF(P$3&gt;A25remlife,A25value-SUM($F388:O388),IF(A25remlife="N/A","n/a",A25value/A25remlife))</f>
        <v>0</v>
      </c>
      <c r="Q388" s="106">
        <f>IF(Q$3&gt;A25remlife,A25value-SUM($F388:P388),IF(A25remlife="N/A","n/a",A25value/A25remlife))</f>
        <v>0</v>
      </c>
      <c r="R388" s="106">
        <f>IF(R$3&gt;A25remlife,A25value-SUM($F388:Q388),IF(A25remlife="N/A","n/a",A25value/A25remlife))</f>
        <v>0</v>
      </c>
      <c r="S388" s="106">
        <f>IF(S$3&gt;A25remlife,A25value-SUM($F388:R388),IF(A25remlife="N/A","n/a",A25value/A25remlife))</f>
        <v>0</v>
      </c>
      <c r="T388" s="106">
        <f>IF(T$3&gt;A25remlife,A25value-SUM($F388:S388),IF(A25remlife="N/A","n/a",A25value/A25remlife))</f>
        <v>0</v>
      </c>
      <c r="U388" s="106">
        <f>IF(U$3&gt;A25remlife,A25value-SUM($F388:T388),IF(A25remlife="N/A","n/a",A25value/A25remlife))</f>
        <v>0</v>
      </c>
      <c r="V388" s="106">
        <f>IF(V$3&gt;A25remlife,A25value-SUM($F388:U388),IF(A25remlife="N/A","n/a",A25value/A25remlife))</f>
        <v>0</v>
      </c>
      <c r="W388" s="106">
        <f>IF(W$3&gt;A25remlife,A25value-SUM($F388:V388),IF(A25remlife="N/A","n/a",A25value/A25remlife))</f>
        <v>0</v>
      </c>
      <c r="X388" s="106">
        <f>IF(X$3&gt;A25remlife,A25value-SUM($F388:W388),IF(A25remlife="N/A","n/a",A25value/A25remlife))</f>
        <v>0</v>
      </c>
      <c r="Y388" s="106">
        <f>IF(Y$3&gt;A25remlife,A25value-SUM($F388:X388),IF(A25remlife="N/A","n/a",A25value/A25remlife))</f>
        <v>0</v>
      </c>
      <c r="Z388" s="106">
        <f>IF(Z$3&gt;A25remlife,A25value-SUM($F388:Y388),IF(A25remlife="N/A","n/a",A25value/A25remlife))</f>
        <v>0</v>
      </c>
      <c r="AA388" s="106">
        <f>IF(AA$3&gt;A25remlife,A25value-SUM($F388:Z388),IF(A25remlife="N/A","n/a",A25value/A25remlife))</f>
        <v>0</v>
      </c>
      <c r="AB388" s="106">
        <f>IF(AB$3&gt;A25remlife,A25value-SUM($F388:AA388),IF(A25remlife="N/A","n/a",A25value/A25remlife))</f>
        <v>0</v>
      </c>
      <c r="AC388" s="106">
        <f>IF(AC$3&gt;A25remlife,A25value-SUM($F388:AB388),IF(A25remlife="N/A","n/a",A25value/A25remlife))</f>
        <v>0</v>
      </c>
      <c r="AD388" s="106">
        <f>IF(AD$3&gt;A25remlife,A25value-SUM($F388:AC388),IF(A25remlife="N/A","n/a",A25value/A25remlife))</f>
        <v>0</v>
      </c>
      <c r="AE388" s="106">
        <f>IF(AE$3&gt;A25remlife,A25value-SUM($F388:AD388),IF(A25remlife="N/A","n/a",A25value/A25remlife))</f>
        <v>0</v>
      </c>
      <c r="AF388" s="106">
        <f>IF(AF$3&gt;A25remlife,A25value-SUM($F388:AE388),IF(A25remlife="N/A","n/a",A25value/A25remlife))</f>
        <v>0</v>
      </c>
      <c r="AG388" s="106">
        <f>IF(AG$3&gt;A25remlife,A25value-SUM($F388:AF388),IF(A25remlife="N/A","n/a",A25value/A25remlife))</f>
        <v>0</v>
      </c>
      <c r="AH388" s="106">
        <f>IF(AH$3&gt;A25remlife,A25value-SUM($F388:AG388),IF(A25remlife="N/A","n/a",A25value/A25remlife))</f>
        <v>0</v>
      </c>
      <c r="AI388" s="106">
        <f>IF(AI$3&gt;A25remlife,A25value-SUM($F388:AH388),IF(A25remlife="N/A","n/a",A25value/A25remlife))</f>
        <v>0</v>
      </c>
      <c r="AJ388" s="106">
        <f>IF(AJ$3&gt;A25remlife,A25value-SUM($F388:AI388),IF(A25remlife="N/A","n/a",A25value/A25remlife))</f>
        <v>0</v>
      </c>
      <c r="AK388" s="106">
        <f>IF(AK$3&gt;A25remlife,A25value-SUM($F388:AJ388),IF(A25remlife="N/A","n/a",A25value/A25remlife))</f>
        <v>0</v>
      </c>
      <c r="AL388" s="106">
        <f>IF(AL$3&gt;A25remlife,A25value-SUM($F388:AK388),IF(A25remlife="N/A","n/a",A25value/A25remlife))</f>
        <v>0</v>
      </c>
      <c r="AM388" s="106">
        <f>IF(AM$3&gt;A25remlife,A25value-SUM($F388:AL388),IF(A25remlife="N/A","n/a",A25value/A25remlife))</f>
        <v>0</v>
      </c>
      <c r="AN388" s="106">
        <f>IF(AN$3&gt;A25remlife,A25value-SUM($F388:AM388),IF(A25remlife="N/A","n/a",A25value/A25remlife))</f>
        <v>0</v>
      </c>
      <c r="AO388" s="106">
        <f>IF(AO$3&gt;A25remlife,A25value-SUM($F388:AN388),IF(A25remlife="N/A","n/a",A25value/A25remlife))</f>
        <v>0</v>
      </c>
      <c r="AP388" s="106">
        <f>IF(AP$3&gt;A25remlife,A25value-SUM($F388:AO388),IF(A25remlife="N/A","n/a",A25value/A25remlife))</f>
        <v>0</v>
      </c>
      <c r="AQ388" s="106">
        <f>IF(AQ$3&gt;A25remlife,A25value-SUM($F388:AP388),IF(A25remlife="N/A","n/a",A25value/A25remlife))</f>
        <v>0</v>
      </c>
      <c r="AR388" s="106">
        <f>IF(AR$3&gt;A25remlife,A25value-SUM($F388:AQ388),IF(A25remlife="N/A","n/a",A25value/A25remlife))</f>
        <v>0</v>
      </c>
      <c r="AS388" s="106">
        <f>IF(AS$3&gt;A25remlife,A25value-SUM($F388:AR388),IF(A25remlife="N/A","n/a",A25value/A25remlife))</f>
        <v>0</v>
      </c>
      <c r="AT388" s="106">
        <f>IF(AT$3&gt;A25remlife,A25value-SUM($F388:AS388),IF(A25remlife="N/A","n/a",A25value/A25remlife))</f>
        <v>0</v>
      </c>
      <c r="AU388" s="106">
        <f>IF(AU$3&gt;A25remlife,A25value-SUM($F388:AT388),IF(A25remlife="N/A","n/a",A25value/A25remlife))</f>
        <v>0</v>
      </c>
      <c r="AV388" s="106">
        <f>IF(AV$3&gt;A25remlife,A25value-SUM($F388:AU388),IF(A25remlife="N/A","n/a",A25value/A25remlife))</f>
        <v>0</v>
      </c>
      <c r="AW388" s="106">
        <f>IF(AW$3&gt;A25remlife,A25value-SUM($F388:AV388),IF(A25remlife="N/A","n/a",A25value/A25remlife))</f>
        <v>0</v>
      </c>
      <c r="AX388" s="106">
        <f>IF(AX$3&gt;A25remlife,A25value-SUM($F388:AW388),IF(A25remlife="N/A","n/a",A25value/A25remlife))</f>
        <v>0</v>
      </c>
      <c r="AY388" s="106">
        <f>IF(AY$3&gt;A25remlife,A25value-SUM($F388:AX388),IF(A25remlife="N/A","n/a",A25value/A25remlife))</f>
        <v>0</v>
      </c>
      <c r="AZ388" s="106">
        <f>IF(AZ$3&gt;A25remlife,A25value-SUM($F388:AY388),IF(A25remlife="N/A","n/a",A25value/A25remlife))</f>
        <v>0</v>
      </c>
      <c r="BA388" s="106">
        <f>IF(BA$3&gt;A25remlife,A25value-SUM($F388:AZ388),IF(A25remlife="N/A","n/a",A25value/A25remlife))</f>
        <v>0</v>
      </c>
      <c r="BB388" s="106">
        <f>IF(BB$3&gt;A25remlife,A25value-SUM($F388:BA388),IF(A25remlife="N/A","n/a",A25value/A25remlife))</f>
        <v>0</v>
      </c>
      <c r="BC388" s="106">
        <f>IF(BC$3&gt;A25remlife,A25value-SUM($F388:BB388),IF(A25remlife="N/A","n/a",A25value/A25remlife))</f>
        <v>0</v>
      </c>
      <c r="BD388" s="106">
        <f>IF(BD$3&gt;A25remlife,A25value-SUM($F388:BC388),IF(A25remlife="N/A","n/a",A25value/A25remlife))</f>
        <v>0</v>
      </c>
      <c r="BE388" s="106">
        <f>IF(BE$3&gt;A25remlife,A25value-SUM($F388:BD388),IF(A25remlife="N/A","n/a",A25value/A25remlife))</f>
        <v>0</v>
      </c>
      <c r="BF388" s="106">
        <f>IF(BF$3&gt;A25remlife,A25value-SUM($F388:BE388),IF(A25remlife="N/A","n/a",A25value/A25remlife))</f>
        <v>0</v>
      </c>
      <c r="BG388" s="106">
        <f>IF(BG$3&gt;A25remlife,A25value-SUM($F388:BF388),IF(A25remlife="N/A","n/a",A25value/A25remlife))</f>
        <v>0</v>
      </c>
      <c r="BH388" s="106">
        <f>IF(BH$3&gt;A25remlife,A25value-SUM($F388:BG388),IF(A25remlife="N/A","n/a",A25value/A25remlife))</f>
        <v>0</v>
      </c>
      <c r="BI388" s="106">
        <f>IF(BI$3&gt;A25remlife,A25value-SUM($F388:BH388),IF(A25remlife="N/A","n/a",A25value/A25remlife))</f>
        <v>0</v>
      </c>
      <c r="BJ388" s="237"/>
      <c r="BK388" s="237"/>
      <c r="BL388" s="237"/>
      <c r="BM388" s="237"/>
    </row>
    <row r="389" spans="1:65" s="190" customFormat="1" ht="12.75" hidden="1" customHeight="1" outlineLevel="2">
      <c r="A389" s="237"/>
      <c r="B389" s="33"/>
      <c r="C389" s="32"/>
      <c r="D389" s="1618" t="s">
        <v>357</v>
      </c>
      <c r="E389" s="169">
        <v>0</v>
      </c>
      <c r="F389" s="35"/>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c r="BJ389" s="237"/>
      <c r="BK389" s="237"/>
      <c r="BL389" s="237"/>
      <c r="BM389" s="237"/>
    </row>
    <row r="390" spans="1:65" s="190" customFormat="1" hidden="1" outlineLevel="2">
      <c r="A390" s="237"/>
      <c r="B390" s="33"/>
      <c r="C390" s="32"/>
      <c r="D390" s="1618"/>
      <c r="E390" s="169">
        <v>1</v>
      </c>
      <c r="F390" s="35"/>
      <c r="G390" s="183"/>
      <c r="H390" s="107">
        <f>IF(A25stdlife="n/a","n/a",IF(H$3&gt;(A25stdlife+$E390),('PTRM input'!$G$167*(1+rvanilla01)^0.5)-SUM($G390:G390),('PTRM input'!$G$167*(1+rvanilla01)^0.5)/A25stdlife))</f>
        <v>0</v>
      </c>
      <c r="I390" s="107">
        <f>IF(A25stdlife="n/a","n/a",IF(I$3&gt;(A25stdlife+$E390),('PTRM input'!$G$167*(1+rvanilla01)^0.5)-SUM($G390:H390),('PTRM input'!$G$167*(1+rvanilla01)^0.5)/A25stdlife))</f>
        <v>0</v>
      </c>
      <c r="J390" s="107">
        <f>IF(A25stdlife="n/a","n/a",IF(J$3&gt;(A25stdlife+$E390),('PTRM input'!$G$167*(1+rvanilla01)^0.5)-SUM($G390:I390),('PTRM input'!$G$167*(1+rvanilla01)^0.5)/A25stdlife))</f>
        <v>0</v>
      </c>
      <c r="K390" s="107">
        <f>IF(A25stdlife="n/a","n/a",IF(K$3&gt;(A25stdlife+$E390),('PTRM input'!$G$167*(1+rvanilla01)^0.5)-SUM($G390:J390),('PTRM input'!$G$167*(1+rvanilla01)^0.5)/A25stdlife))</f>
        <v>0</v>
      </c>
      <c r="L390" s="107">
        <f>IF(A25stdlife="n/a","n/a",IF(L$3&gt;(A25stdlife+$E390),('PTRM input'!$G$167*(1+rvanilla01)^0.5)-SUM($G390:K390),('PTRM input'!$G$167*(1+rvanilla01)^0.5)/A25stdlife))</f>
        <v>0</v>
      </c>
      <c r="M390" s="107">
        <f>IF(A25stdlife="n/a","n/a",IF(M$3&gt;(A25stdlife+$E390),('PTRM input'!$G$167*(1+rvanilla01)^0.5)-SUM($G390:L390),('PTRM input'!$G$167*(1+rvanilla01)^0.5)/A25stdlife))</f>
        <v>0</v>
      </c>
      <c r="N390" s="107">
        <f>IF(A25stdlife="n/a","n/a",IF(N$3&gt;(A25stdlife+$E390),('PTRM input'!$G$167*(1+rvanilla01)^0.5)-SUM($G390:M390),('PTRM input'!$G$167*(1+rvanilla01)^0.5)/A25stdlife))</f>
        <v>0</v>
      </c>
      <c r="O390" s="107">
        <f>IF(A25stdlife="n/a","n/a",IF(O$3&gt;(A25stdlife+$E390),('PTRM input'!$G$167*(1+rvanilla01)^0.5)-SUM($G390:N390),('PTRM input'!$G$167*(1+rvanilla01)^0.5)/A25stdlife))</f>
        <v>0</v>
      </c>
      <c r="P390" s="107">
        <f>IF(A25stdlife="n/a","n/a",IF(P$3&gt;(A25stdlife+$E390),('PTRM input'!$G$167*(1+rvanilla01)^0.5)-SUM($G390:O390),('PTRM input'!$G$167*(1+rvanilla01)^0.5)/A25stdlife))</f>
        <v>0</v>
      </c>
      <c r="Q390" s="107">
        <f>IF(A25stdlife="n/a","n/a",IF(Q$3&gt;(A25stdlife+$E390),('PTRM input'!$G$167*(1+rvanilla01)^0.5)-SUM($G390:P390),('PTRM input'!$G$167*(1+rvanilla01)^0.5)/A25stdlife))</f>
        <v>0</v>
      </c>
      <c r="R390" s="107">
        <f>IF(A25stdlife="n/a","n/a",IF(R$3&gt;(A25stdlife+$E390),('PTRM input'!$G$167*(1+rvanilla01)^0.5)-SUM($G390:Q390),('PTRM input'!$G$167*(1+rvanilla01)^0.5)/A25stdlife))</f>
        <v>0</v>
      </c>
      <c r="S390" s="107">
        <f>IF(A25stdlife="n/a","n/a",IF(S$3&gt;(A25stdlife+$E390),('PTRM input'!$G$167*(1+rvanilla01)^0.5)-SUM($G390:R390),('PTRM input'!$G$167*(1+rvanilla01)^0.5)/A25stdlife))</f>
        <v>0</v>
      </c>
      <c r="T390" s="107">
        <f>IF(A25stdlife="n/a","n/a",IF(T$3&gt;(A25stdlife+$E390),('PTRM input'!$G$167*(1+rvanilla01)^0.5)-SUM($G390:S390),('PTRM input'!$G$167*(1+rvanilla01)^0.5)/A25stdlife))</f>
        <v>0</v>
      </c>
      <c r="U390" s="107">
        <f>IF(A25stdlife="n/a","n/a",IF(U$3&gt;(A25stdlife+$E390),('PTRM input'!$G$167*(1+rvanilla01)^0.5)-SUM($G390:T390),('PTRM input'!$G$167*(1+rvanilla01)^0.5)/A25stdlife))</f>
        <v>0</v>
      </c>
      <c r="V390" s="107">
        <f>IF(A25stdlife="n/a","n/a",IF(V$3&gt;(A25stdlife+$E390),('PTRM input'!$G$167*(1+rvanilla01)^0.5)-SUM($G390:U390),('PTRM input'!$G$167*(1+rvanilla01)^0.5)/A25stdlife))</f>
        <v>0</v>
      </c>
      <c r="W390" s="107">
        <f>IF(A25stdlife="n/a","n/a",IF(W$3&gt;(A25stdlife+$E390),('PTRM input'!$G$167*(1+rvanilla01)^0.5)-SUM($G390:V390),('PTRM input'!$G$167*(1+rvanilla01)^0.5)/A25stdlife))</f>
        <v>0</v>
      </c>
      <c r="X390" s="107">
        <f>IF(A25stdlife="n/a","n/a",IF(X$3&gt;(A25stdlife+$E390),('PTRM input'!$G$167*(1+rvanilla01)^0.5)-SUM($G390:W390),('PTRM input'!$G$167*(1+rvanilla01)^0.5)/A25stdlife))</f>
        <v>0</v>
      </c>
      <c r="Y390" s="107">
        <f>IF(A25stdlife="n/a","n/a",IF(Y$3&gt;(A25stdlife+$E390),('PTRM input'!$G$167*(1+rvanilla01)^0.5)-SUM($G390:X390),('PTRM input'!$G$167*(1+rvanilla01)^0.5)/A25stdlife))</f>
        <v>0</v>
      </c>
      <c r="Z390" s="107">
        <f>IF(A25stdlife="n/a","n/a",IF(Z$3&gt;(A25stdlife+$E390),('PTRM input'!$G$167*(1+rvanilla01)^0.5)-SUM($G390:Y390),('PTRM input'!$G$167*(1+rvanilla01)^0.5)/A25stdlife))</f>
        <v>0</v>
      </c>
      <c r="AA390" s="107">
        <f>IF(A25stdlife="n/a","n/a",IF(AA$3&gt;(A25stdlife+$E390),('PTRM input'!$G$167*(1+rvanilla01)^0.5)-SUM($G390:Z390),('PTRM input'!$G$167*(1+rvanilla01)^0.5)/A25stdlife))</f>
        <v>0</v>
      </c>
      <c r="AB390" s="107">
        <f>IF(A25stdlife="n/a","n/a",IF(AB$3&gt;(A25stdlife+$E390),('PTRM input'!$G$167*(1+rvanilla01)^0.5)-SUM($G390:AA390),('PTRM input'!$G$167*(1+rvanilla01)^0.5)/A25stdlife))</f>
        <v>0</v>
      </c>
      <c r="AC390" s="107">
        <f>IF(A25stdlife="n/a","n/a",IF(AC$3&gt;(A25stdlife+$E390),('PTRM input'!$G$167*(1+rvanilla01)^0.5)-SUM($G390:AB390),('PTRM input'!$G$167*(1+rvanilla01)^0.5)/A25stdlife))</f>
        <v>0</v>
      </c>
      <c r="AD390" s="107">
        <f>IF(A25stdlife="n/a","n/a",IF(AD$3&gt;(A25stdlife+$E390),('PTRM input'!$G$167*(1+rvanilla01)^0.5)-SUM($G390:AC390),('PTRM input'!$G$167*(1+rvanilla01)^0.5)/A25stdlife))</f>
        <v>0</v>
      </c>
      <c r="AE390" s="107">
        <f>IF(A25stdlife="n/a","n/a",IF(AE$3&gt;(A25stdlife+$E390),('PTRM input'!$G$167*(1+rvanilla01)^0.5)-SUM($G390:AD390),('PTRM input'!$G$167*(1+rvanilla01)^0.5)/A25stdlife))</f>
        <v>0</v>
      </c>
      <c r="AF390" s="107">
        <f>IF(A25stdlife="n/a","n/a",IF(AF$3&gt;(A25stdlife+$E390),('PTRM input'!$G$167*(1+rvanilla01)^0.5)-SUM($G390:AE390),('PTRM input'!$G$167*(1+rvanilla01)^0.5)/A25stdlife))</f>
        <v>0</v>
      </c>
      <c r="AG390" s="107">
        <f>IF(A25stdlife="n/a","n/a",IF(AG$3&gt;(A25stdlife+$E390),('PTRM input'!$G$167*(1+rvanilla01)^0.5)-SUM($G390:AF390),('PTRM input'!$G$167*(1+rvanilla01)^0.5)/A25stdlife))</f>
        <v>0</v>
      </c>
      <c r="AH390" s="107">
        <f>IF(A25stdlife="n/a","n/a",IF(AH$3&gt;(A25stdlife+$E390),('PTRM input'!$G$167*(1+rvanilla01)^0.5)-SUM($G390:AG390),('PTRM input'!$G$167*(1+rvanilla01)^0.5)/A25stdlife))</f>
        <v>0</v>
      </c>
      <c r="AI390" s="107">
        <f>IF(A25stdlife="n/a","n/a",IF(AI$3&gt;(A25stdlife+$E390),('PTRM input'!$G$167*(1+rvanilla01)^0.5)-SUM($G390:AH390),('PTRM input'!$G$167*(1+rvanilla01)^0.5)/A25stdlife))</f>
        <v>0</v>
      </c>
      <c r="AJ390" s="107">
        <f>IF(A25stdlife="n/a","n/a",IF(AJ$3&gt;(A25stdlife+$E390),('PTRM input'!$G$167*(1+rvanilla01)^0.5)-SUM($G390:AI390),('PTRM input'!$G$167*(1+rvanilla01)^0.5)/A25stdlife))</f>
        <v>0</v>
      </c>
      <c r="AK390" s="107">
        <f>IF(A25stdlife="n/a","n/a",IF(AK$3&gt;(A25stdlife+$E390),('PTRM input'!$G$167*(1+rvanilla01)^0.5)-SUM($G390:AJ390),('PTRM input'!$G$167*(1+rvanilla01)^0.5)/A25stdlife))</f>
        <v>0</v>
      </c>
      <c r="AL390" s="107">
        <f>IF(A25stdlife="n/a","n/a",IF(AL$3&gt;(A25stdlife+$E390),('PTRM input'!$G$167*(1+rvanilla01)^0.5)-SUM($G390:AK390),('PTRM input'!$G$167*(1+rvanilla01)^0.5)/A25stdlife))</f>
        <v>0</v>
      </c>
      <c r="AM390" s="107">
        <f>IF(A25stdlife="n/a","n/a",IF(AM$3&gt;(A25stdlife+$E390),('PTRM input'!$G$167*(1+rvanilla01)^0.5)-SUM($G390:AL390),('PTRM input'!$G$167*(1+rvanilla01)^0.5)/A25stdlife))</f>
        <v>0</v>
      </c>
      <c r="AN390" s="107">
        <f>IF(A25stdlife="n/a","n/a",IF(AN$3&gt;(A25stdlife+$E390),('PTRM input'!$G$167*(1+rvanilla01)^0.5)-SUM($G390:AM390),('PTRM input'!$G$167*(1+rvanilla01)^0.5)/A25stdlife))</f>
        <v>0</v>
      </c>
      <c r="AO390" s="107">
        <f>IF(A25stdlife="n/a","n/a",IF(AO$3&gt;(A25stdlife+$E390),('PTRM input'!$G$167*(1+rvanilla01)^0.5)-SUM($G390:AN390),('PTRM input'!$G$167*(1+rvanilla01)^0.5)/A25stdlife))</f>
        <v>0</v>
      </c>
      <c r="AP390" s="107">
        <f>IF(A25stdlife="n/a","n/a",IF(AP$3&gt;(A25stdlife+$E390),('PTRM input'!$G$167*(1+rvanilla01)^0.5)-SUM($G390:AO390),('PTRM input'!$G$167*(1+rvanilla01)^0.5)/A25stdlife))</f>
        <v>0</v>
      </c>
      <c r="AQ390" s="107">
        <f>IF(A25stdlife="n/a","n/a",IF(AQ$3&gt;(A25stdlife+$E390),('PTRM input'!$G$167*(1+rvanilla01)^0.5)-SUM($G390:AP390),('PTRM input'!$G$167*(1+rvanilla01)^0.5)/A25stdlife))</f>
        <v>0</v>
      </c>
      <c r="AR390" s="107">
        <f>IF(A25stdlife="n/a","n/a",IF(AR$3&gt;(A25stdlife+$E390),('PTRM input'!$G$167*(1+rvanilla01)^0.5)-SUM($G390:AQ390),('PTRM input'!$G$167*(1+rvanilla01)^0.5)/A25stdlife))</f>
        <v>0</v>
      </c>
      <c r="AS390" s="107">
        <f>IF(A25stdlife="n/a","n/a",IF(AS$3&gt;(A25stdlife+$E390),('PTRM input'!$G$167*(1+rvanilla01)^0.5)-SUM($G390:AR390),('PTRM input'!$G$167*(1+rvanilla01)^0.5)/A25stdlife))</f>
        <v>0</v>
      </c>
      <c r="AT390" s="107">
        <f>IF(A25stdlife="n/a","n/a",IF(AT$3&gt;(A25stdlife+$E390),('PTRM input'!$G$167*(1+rvanilla01)^0.5)-SUM($G390:AS390),('PTRM input'!$G$167*(1+rvanilla01)^0.5)/A25stdlife))</f>
        <v>0</v>
      </c>
      <c r="AU390" s="107">
        <f>IF(A25stdlife="n/a","n/a",IF(AU$3&gt;(A25stdlife+$E390),('PTRM input'!$G$167*(1+rvanilla01)^0.5)-SUM($G390:AT390),('PTRM input'!$G$167*(1+rvanilla01)^0.5)/A25stdlife))</f>
        <v>0</v>
      </c>
      <c r="AV390" s="107">
        <f>IF(A25stdlife="n/a","n/a",IF(AV$3&gt;(A25stdlife+$E390),('PTRM input'!$G$167*(1+rvanilla01)^0.5)-SUM($G390:AU390),('PTRM input'!$G$167*(1+rvanilla01)^0.5)/A25stdlife))</f>
        <v>0</v>
      </c>
      <c r="AW390" s="107">
        <f>IF(A25stdlife="n/a","n/a",IF(AW$3&gt;(A25stdlife+$E390),('PTRM input'!$G$167*(1+rvanilla01)^0.5)-SUM($G390:AV390),('PTRM input'!$G$167*(1+rvanilla01)^0.5)/A25stdlife))</f>
        <v>0</v>
      </c>
      <c r="AX390" s="107">
        <f>IF(A25stdlife="n/a","n/a",IF(AX$3&gt;(A25stdlife+$E390),('PTRM input'!$G$167*(1+rvanilla01)^0.5)-SUM($G390:AW390),('PTRM input'!$G$167*(1+rvanilla01)^0.5)/A25stdlife))</f>
        <v>0</v>
      </c>
      <c r="AY390" s="107">
        <f>IF(A25stdlife="n/a","n/a",IF(AY$3&gt;(A25stdlife+$E390),('PTRM input'!$G$167*(1+rvanilla01)^0.5)-SUM($G390:AX390),('PTRM input'!$G$167*(1+rvanilla01)^0.5)/A25stdlife))</f>
        <v>0</v>
      </c>
      <c r="AZ390" s="107">
        <f>IF(A25stdlife="n/a","n/a",IF(AZ$3&gt;(A25stdlife+$E390),('PTRM input'!$G$167*(1+rvanilla01)^0.5)-SUM($G390:AY390),('PTRM input'!$G$167*(1+rvanilla01)^0.5)/A25stdlife))</f>
        <v>0</v>
      </c>
      <c r="BA390" s="107">
        <f>IF(A25stdlife="n/a","n/a",IF(BA$3&gt;(A25stdlife+$E390),('PTRM input'!$G$167*(1+rvanilla01)^0.5)-SUM($G390:AZ390),('PTRM input'!$G$167*(1+rvanilla01)^0.5)/A25stdlife))</f>
        <v>0</v>
      </c>
      <c r="BB390" s="107">
        <f>IF(A25stdlife="n/a","n/a",IF(BB$3&gt;(A25stdlife+$E390),('PTRM input'!$G$167*(1+rvanilla01)^0.5)-SUM($G390:BA390),('PTRM input'!$G$167*(1+rvanilla01)^0.5)/A25stdlife))</f>
        <v>0</v>
      </c>
      <c r="BC390" s="107">
        <f>IF(A25stdlife="n/a","n/a",IF(BC$3&gt;(A25stdlife+$E390),('PTRM input'!$G$167*(1+rvanilla01)^0.5)-SUM($G390:BB390),('PTRM input'!$G$167*(1+rvanilla01)^0.5)/A25stdlife))</f>
        <v>0</v>
      </c>
      <c r="BD390" s="107">
        <f>IF(A25stdlife="n/a","n/a",IF(BD$3&gt;(A25stdlife+$E390),('PTRM input'!$G$167*(1+rvanilla01)^0.5)-SUM($G390:BC390),('PTRM input'!$G$167*(1+rvanilla01)^0.5)/A25stdlife))</f>
        <v>0</v>
      </c>
      <c r="BE390" s="107">
        <f>IF(A25stdlife="n/a","n/a",IF(BE$3&gt;(A25stdlife+$E390),('PTRM input'!$G$167*(1+rvanilla01)^0.5)-SUM($G390:BD390),('PTRM input'!$G$167*(1+rvanilla01)^0.5)/A25stdlife))</f>
        <v>0</v>
      </c>
      <c r="BF390" s="107">
        <f>IF(A25stdlife="n/a","n/a",IF(BF$3&gt;(A25stdlife+$E390),('PTRM input'!$G$167*(1+rvanilla01)^0.5)-SUM($G390:BE390),('PTRM input'!$G$167*(1+rvanilla01)^0.5)/A25stdlife))</f>
        <v>0</v>
      </c>
      <c r="BG390" s="107">
        <f>IF(A25stdlife="n/a","n/a",IF(BG$3&gt;(A25stdlife+$E390),('PTRM input'!$G$167*(1+rvanilla01)^0.5)-SUM($G390:BF390),('PTRM input'!$G$167*(1+rvanilla01)^0.5)/A25stdlife))</f>
        <v>0</v>
      </c>
      <c r="BH390" s="107">
        <f>IF(A25stdlife="n/a","n/a",IF(BH$3&gt;(A25stdlife+$E390),('PTRM input'!$G$167*(1+rvanilla01)^0.5)-SUM($G390:BG390),('PTRM input'!$G$167*(1+rvanilla01)^0.5)/A25stdlife))</f>
        <v>0</v>
      </c>
      <c r="BI390" s="107">
        <f>IF(A25stdlife="n/a","n/a",IF(BI$3&gt;(A25stdlife+$E390),('PTRM input'!$G$167*(1+rvanilla01)^0.5)-SUM($G390:BH390),('PTRM input'!$G$167*(1+rvanilla01)^0.5)/A25stdlife))</f>
        <v>0</v>
      </c>
      <c r="BJ390" s="237"/>
      <c r="BK390" s="237"/>
      <c r="BL390" s="237"/>
      <c r="BM390" s="237"/>
    </row>
    <row r="391" spans="1:65" s="190" customFormat="1" hidden="1" outlineLevel="2">
      <c r="A391" s="237"/>
      <c r="B391" s="33"/>
      <c r="C391" s="32"/>
      <c r="D391" s="1618"/>
      <c r="E391" s="169">
        <v>2</v>
      </c>
      <c r="F391" s="35"/>
      <c r="G391" s="184"/>
      <c r="H391" s="185"/>
      <c r="I391" s="107">
        <f>IF(A25stdlife="n/a","n/a",IF(I$3&gt;(A25stdlife+$E391),('PTRM input'!$H$167*(1+rvanilla02)^0.5)-SUM($H391:H391),('PTRM input'!$H$167*(1+rvanilla02)^0.5)/A25stdlife))</f>
        <v>0</v>
      </c>
      <c r="J391" s="107">
        <f>IF(A25stdlife="n/a","n/a",IF(J$3&gt;(A25stdlife+$E391),('PTRM input'!$H$167*(1+rvanilla02)^0.5)-SUM($H391:I391),('PTRM input'!$H$167*(1+rvanilla02)^0.5)/A25stdlife))</f>
        <v>0</v>
      </c>
      <c r="K391" s="107">
        <f>IF(A25stdlife="n/a","n/a",IF(K$3&gt;(A25stdlife+$E391),('PTRM input'!$H$167*(1+rvanilla02)^0.5)-SUM($H391:J391),('PTRM input'!$H$167*(1+rvanilla02)^0.5)/A25stdlife))</f>
        <v>0</v>
      </c>
      <c r="L391" s="107">
        <f>IF(A25stdlife="n/a","n/a",IF(L$3&gt;(A25stdlife+$E391),('PTRM input'!$H$167*(1+rvanilla02)^0.5)-SUM($H391:K391),('PTRM input'!$H$167*(1+rvanilla02)^0.5)/A25stdlife))</f>
        <v>0</v>
      </c>
      <c r="M391" s="107">
        <f>IF(A25stdlife="n/a","n/a",IF(M$3&gt;(A25stdlife+$E391),('PTRM input'!$H$167*(1+rvanilla02)^0.5)-SUM($H391:L391),('PTRM input'!$H$167*(1+rvanilla02)^0.5)/A25stdlife))</f>
        <v>0</v>
      </c>
      <c r="N391" s="107">
        <f>IF(A25stdlife="n/a","n/a",IF(N$3&gt;(A25stdlife+$E391),('PTRM input'!$H$167*(1+rvanilla02)^0.5)-SUM($H391:M391),('PTRM input'!$H$167*(1+rvanilla02)^0.5)/A25stdlife))</f>
        <v>0</v>
      </c>
      <c r="O391" s="107">
        <f>IF(A25stdlife="n/a","n/a",IF(O$3&gt;(A25stdlife+$E391),('PTRM input'!$H$167*(1+rvanilla02)^0.5)-SUM($H391:N391),('PTRM input'!$H$167*(1+rvanilla02)^0.5)/A25stdlife))</f>
        <v>0</v>
      </c>
      <c r="P391" s="107">
        <f>IF(A25stdlife="n/a","n/a",IF(P$3&gt;(A25stdlife+$E391),('PTRM input'!$H$167*(1+rvanilla02)^0.5)-SUM($H391:O391),('PTRM input'!$H$167*(1+rvanilla02)^0.5)/A25stdlife))</f>
        <v>0</v>
      </c>
      <c r="Q391" s="107">
        <f>IF(A25stdlife="n/a","n/a",IF(Q$3&gt;(A25stdlife+$E391),('PTRM input'!$H$167*(1+rvanilla02)^0.5)-SUM($H391:P391),('PTRM input'!$H$167*(1+rvanilla02)^0.5)/A25stdlife))</f>
        <v>0</v>
      </c>
      <c r="R391" s="107">
        <f>IF(A25stdlife="n/a","n/a",IF(R$3&gt;(A25stdlife+$E391),('PTRM input'!$H$167*(1+rvanilla02)^0.5)-SUM($H391:Q391),('PTRM input'!$H$167*(1+rvanilla02)^0.5)/A25stdlife))</f>
        <v>0</v>
      </c>
      <c r="S391" s="107">
        <f>IF(A25stdlife="n/a","n/a",IF(S$3&gt;(A25stdlife+$E391),('PTRM input'!$H$167*(1+rvanilla02)^0.5)-SUM($H391:R391),('PTRM input'!$H$167*(1+rvanilla02)^0.5)/A25stdlife))</f>
        <v>0</v>
      </c>
      <c r="T391" s="107">
        <f>IF(A25stdlife="n/a","n/a",IF(T$3&gt;(A25stdlife+$E391),('PTRM input'!$H$167*(1+rvanilla02)^0.5)-SUM($H391:S391),('PTRM input'!$H$167*(1+rvanilla02)^0.5)/A25stdlife))</f>
        <v>0</v>
      </c>
      <c r="U391" s="107">
        <f>IF(A25stdlife="n/a","n/a",IF(U$3&gt;(A25stdlife+$E391),('PTRM input'!$H$167*(1+rvanilla02)^0.5)-SUM($H391:T391),('PTRM input'!$H$167*(1+rvanilla02)^0.5)/A25stdlife))</f>
        <v>0</v>
      </c>
      <c r="V391" s="107">
        <f>IF(A25stdlife="n/a","n/a",IF(V$3&gt;(A25stdlife+$E391),('PTRM input'!$H$167*(1+rvanilla02)^0.5)-SUM($H391:U391),('PTRM input'!$H$167*(1+rvanilla02)^0.5)/A25stdlife))</f>
        <v>0</v>
      </c>
      <c r="W391" s="107">
        <f>IF(A25stdlife="n/a","n/a",IF(W$3&gt;(A25stdlife+$E391),('PTRM input'!$H$167*(1+rvanilla02)^0.5)-SUM($H391:V391),('PTRM input'!$H$167*(1+rvanilla02)^0.5)/A25stdlife))</f>
        <v>0</v>
      </c>
      <c r="X391" s="107">
        <f>IF(A25stdlife="n/a","n/a",IF(X$3&gt;(A25stdlife+$E391),('PTRM input'!$H$167*(1+rvanilla02)^0.5)-SUM($H391:W391),('PTRM input'!$H$167*(1+rvanilla02)^0.5)/A25stdlife))</f>
        <v>0</v>
      </c>
      <c r="Y391" s="107">
        <f>IF(A25stdlife="n/a","n/a",IF(Y$3&gt;(A25stdlife+$E391),('PTRM input'!$H$167*(1+rvanilla02)^0.5)-SUM($H391:X391),('PTRM input'!$H$167*(1+rvanilla02)^0.5)/A25stdlife))</f>
        <v>0</v>
      </c>
      <c r="Z391" s="107">
        <f>IF(A25stdlife="n/a","n/a",IF(Z$3&gt;(A25stdlife+$E391),('PTRM input'!$H$167*(1+rvanilla02)^0.5)-SUM($H391:Y391),('PTRM input'!$H$167*(1+rvanilla02)^0.5)/A25stdlife))</f>
        <v>0</v>
      </c>
      <c r="AA391" s="107">
        <f>IF(A25stdlife="n/a","n/a",IF(AA$3&gt;(A25stdlife+$E391),('PTRM input'!$H$167*(1+rvanilla02)^0.5)-SUM($H391:Z391),('PTRM input'!$H$167*(1+rvanilla02)^0.5)/A25stdlife))</f>
        <v>0</v>
      </c>
      <c r="AB391" s="107">
        <f>IF(A25stdlife="n/a","n/a",IF(AB$3&gt;(A25stdlife+$E391),('PTRM input'!$H$167*(1+rvanilla02)^0.5)-SUM($H391:AA391),('PTRM input'!$H$167*(1+rvanilla02)^0.5)/A25stdlife))</f>
        <v>0</v>
      </c>
      <c r="AC391" s="107">
        <f>IF(A25stdlife="n/a","n/a",IF(AC$3&gt;(A25stdlife+$E391),('PTRM input'!$H$167*(1+rvanilla02)^0.5)-SUM($H391:AB391),('PTRM input'!$H$167*(1+rvanilla02)^0.5)/A25stdlife))</f>
        <v>0</v>
      </c>
      <c r="AD391" s="107">
        <f>IF(A25stdlife="n/a","n/a",IF(AD$3&gt;(A25stdlife+$E391),('PTRM input'!$H$167*(1+rvanilla02)^0.5)-SUM($H391:AC391),('PTRM input'!$H$167*(1+rvanilla02)^0.5)/A25stdlife))</f>
        <v>0</v>
      </c>
      <c r="AE391" s="107">
        <f>IF(A25stdlife="n/a","n/a",IF(AE$3&gt;(A25stdlife+$E391),('PTRM input'!$H$167*(1+rvanilla02)^0.5)-SUM($H391:AD391),('PTRM input'!$H$167*(1+rvanilla02)^0.5)/A25stdlife))</f>
        <v>0</v>
      </c>
      <c r="AF391" s="107">
        <f>IF(A25stdlife="n/a","n/a",IF(AF$3&gt;(A25stdlife+$E391),('PTRM input'!$H$167*(1+rvanilla02)^0.5)-SUM($H391:AE391),('PTRM input'!$H$167*(1+rvanilla02)^0.5)/A25stdlife))</f>
        <v>0</v>
      </c>
      <c r="AG391" s="107">
        <f>IF(A25stdlife="n/a","n/a",IF(AG$3&gt;(A25stdlife+$E391),('PTRM input'!$H$167*(1+rvanilla02)^0.5)-SUM($H391:AF391),('PTRM input'!$H$167*(1+rvanilla02)^0.5)/A25stdlife))</f>
        <v>0</v>
      </c>
      <c r="AH391" s="107">
        <f>IF(A25stdlife="n/a","n/a",IF(AH$3&gt;(A25stdlife+$E391),('PTRM input'!$H$167*(1+rvanilla02)^0.5)-SUM($H391:AG391),('PTRM input'!$H$167*(1+rvanilla02)^0.5)/A25stdlife))</f>
        <v>0</v>
      </c>
      <c r="AI391" s="107">
        <f>IF(A25stdlife="n/a","n/a",IF(AI$3&gt;(A25stdlife+$E391),('PTRM input'!$H$167*(1+rvanilla02)^0.5)-SUM($H391:AH391),('PTRM input'!$H$167*(1+rvanilla02)^0.5)/A25stdlife))</f>
        <v>0</v>
      </c>
      <c r="AJ391" s="107">
        <f>IF(A25stdlife="n/a","n/a",IF(AJ$3&gt;(A25stdlife+$E391),('PTRM input'!$H$167*(1+rvanilla02)^0.5)-SUM($H391:AI391),('PTRM input'!$H$167*(1+rvanilla02)^0.5)/A25stdlife))</f>
        <v>0</v>
      </c>
      <c r="AK391" s="107">
        <f>IF(A25stdlife="n/a","n/a",IF(AK$3&gt;(A25stdlife+$E391),('PTRM input'!$H$167*(1+rvanilla02)^0.5)-SUM($H391:AJ391),('PTRM input'!$H$167*(1+rvanilla02)^0.5)/A25stdlife))</f>
        <v>0</v>
      </c>
      <c r="AL391" s="107">
        <f>IF(A25stdlife="n/a","n/a",IF(AL$3&gt;(A25stdlife+$E391),('PTRM input'!$H$167*(1+rvanilla02)^0.5)-SUM($H391:AK391),('PTRM input'!$H$167*(1+rvanilla02)^0.5)/A25stdlife))</f>
        <v>0</v>
      </c>
      <c r="AM391" s="107">
        <f>IF(A25stdlife="n/a","n/a",IF(AM$3&gt;(A25stdlife+$E391),('PTRM input'!$H$167*(1+rvanilla02)^0.5)-SUM($H391:AL391),('PTRM input'!$H$167*(1+rvanilla02)^0.5)/A25stdlife))</f>
        <v>0</v>
      </c>
      <c r="AN391" s="107">
        <f>IF(A25stdlife="n/a","n/a",IF(AN$3&gt;(A25stdlife+$E391),('PTRM input'!$H$167*(1+rvanilla02)^0.5)-SUM($H391:AM391),('PTRM input'!$H$167*(1+rvanilla02)^0.5)/A25stdlife))</f>
        <v>0</v>
      </c>
      <c r="AO391" s="107">
        <f>IF(A25stdlife="n/a","n/a",IF(AO$3&gt;(A25stdlife+$E391),('PTRM input'!$H$167*(1+rvanilla02)^0.5)-SUM($H391:AN391),('PTRM input'!$H$167*(1+rvanilla02)^0.5)/A25stdlife))</f>
        <v>0</v>
      </c>
      <c r="AP391" s="107">
        <f>IF(A25stdlife="n/a","n/a",IF(AP$3&gt;(A25stdlife+$E391),('PTRM input'!$H$167*(1+rvanilla02)^0.5)-SUM($H391:AO391),('PTRM input'!$H$167*(1+rvanilla02)^0.5)/A25stdlife))</f>
        <v>0</v>
      </c>
      <c r="AQ391" s="107">
        <f>IF(A25stdlife="n/a","n/a",IF(AQ$3&gt;(A25stdlife+$E391),('PTRM input'!$H$167*(1+rvanilla02)^0.5)-SUM($H391:AP391),('PTRM input'!$H$167*(1+rvanilla02)^0.5)/A25stdlife))</f>
        <v>0</v>
      </c>
      <c r="AR391" s="107">
        <f>IF(A25stdlife="n/a","n/a",IF(AR$3&gt;(A25stdlife+$E391),('PTRM input'!$H$167*(1+rvanilla02)^0.5)-SUM($H391:AQ391),('PTRM input'!$H$167*(1+rvanilla02)^0.5)/A25stdlife))</f>
        <v>0</v>
      </c>
      <c r="AS391" s="107">
        <f>IF(A25stdlife="n/a","n/a",IF(AS$3&gt;(A25stdlife+$E391),('PTRM input'!$H$167*(1+rvanilla02)^0.5)-SUM($H391:AR391),('PTRM input'!$H$167*(1+rvanilla02)^0.5)/A25stdlife))</f>
        <v>0</v>
      </c>
      <c r="AT391" s="107">
        <f>IF(A25stdlife="n/a","n/a",IF(AT$3&gt;(A25stdlife+$E391),('PTRM input'!$H$167*(1+rvanilla02)^0.5)-SUM($H391:AS391),('PTRM input'!$H$167*(1+rvanilla02)^0.5)/A25stdlife))</f>
        <v>0</v>
      </c>
      <c r="AU391" s="107">
        <f>IF(A25stdlife="n/a","n/a",IF(AU$3&gt;(A25stdlife+$E391),('PTRM input'!$H$167*(1+rvanilla02)^0.5)-SUM($H391:AT391),('PTRM input'!$H$167*(1+rvanilla02)^0.5)/A25stdlife))</f>
        <v>0</v>
      </c>
      <c r="AV391" s="107">
        <f>IF(A25stdlife="n/a","n/a",IF(AV$3&gt;(A25stdlife+$E391),('PTRM input'!$H$167*(1+rvanilla02)^0.5)-SUM($H391:AU391),('PTRM input'!$H$167*(1+rvanilla02)^0.5)/A25stdlife))</f>
        <v>0</v>
      </c>
      <c r="AW391" s="107">
        <f>IF(A25stdlife="n/a","n/a",IF(AW$3&gt;(A25stdlife+$E391),('PTRM input'!$H$167*(1+rvanilla02)^0.5)-SUM($H391:AV391),('PTRM input'!$H$167*(1+rvanilla02)^0.5)/A25stdlife))</f>
        <v>0</v>
      </c>
      <c r="AX391" s="107">
        <f>IF(A25stdlife="n/a","n/a",IF(AX$3&gt;(A25stdlife+$E391),('PTRM input'!$H$167*(1+rvanilla02)^0.5)-SUM($H391:AW391),('PTRM input'!$H$167*(1+rvanilla02)^0.5)/A25stdlife))</f>
        <v>0</v>
      </c>
      <c r="AY391" s="107">
        <f>IF(A25stdlife="n/a","n/a",IF(AY$3&gt;(A25stdlife+$E391),('PTRM input'!$H$167*(1+rvanilla02)^0.5)-SUM($H391:AX391),('PTRM input'!$H$167*(1+rvanilla02)^0.5)/A25stdlife))</f>
        <v>0</v>
      </c>
      <c r="AZ391" s="107">
        <f>IF(A25stdlife="n/a","n/a",IF(AZ$3&gt;(A25stdlife+$E391),('PTRM input'!$H$167*(1+rvanilla02)^0.5)-SUM($H391:AY391),('PTRM input'!$H$167*(1+rvanilla02)^0.5)/A25stdlife))</f>
        <v>0</v>
      </c>
      <c r="BA391" s="107">
        <f>IF(A25stdlife="n/a","n/a",IF(BA$3&gt;(A25stdlife+$E391),('PTRM input'!$H$167*(1+rvanilla02)^0.5)-SUM($H391:AZ391),('PTRM input'!$H$167*(1+rvanilla02)^0.5)/A25stdlife))</f>
        <v>0</v>
      </c>
      <c r="BB391" s="107">
        <f>IF(A25stdlife="n/a","n/a",IF(BB$3&gt;(A25stdlife+$E391),('PTRM input'!$H$167*(1+rvanilla02)^0.5)-SUM($H391:BA391),('PTRM input'!$H$167*(1+rvanilla02)^0.5)/A25stdlife))</f>
        <v>0</v>
      </c>
      <c r="BC391" s="107">
        <f>IF(A25stdlife="n/a","n/a",IF(BC$3&gt;(A25stdlife+$E391),('PTRM input'!$H$167*(1+rvanilla02)^0.5)-SUM($H391:BB391),('PTRM input'!$H$167*(1+rvanilla02)^0.5)/A25stdlife))</f>
        <v>0</v>
      </c>
      <c r="BD391" s="107">
        <f>IF(A25stdlife="n/a","n/a",IF(BD$3&gt;(A25stdlife+$E391),('PTRM input'!$H$167*(1+rvanilla02)^0.5)-SUM($H391:BC391),('PTRM input'!$H$167*(1+rvanilla02)^0.5)/A25stdlife))</f>
        <v>0</v>
      </c>
      <c r="BE391" s="107">
        <f>IF(A25stdlife="n/a","n/a",IF(BE$3&gt;(A25stdlife+$E391),('PTRM input'!$H$167*(1+rvanilla02)^0.5)-SUM($H391:BD391),('PTRM input'!$H$167*(1+rvanilla02)^0.5)/A25stdlife))</f>
        <v>0</v>
      </c>
      <c r="BF391" s="107">
        <f>IF(A25stdlife="n/a","n/a",IF(BF$3&gt;(A25stdlife+$E391),('PTRM input'!$H$167*(1+rvanilla02)^0.5)-SUM($H391:BE391),('PTRM input'!$H$167*(1+rvanilla02)^0.5)/A25stdlife))</f>
        <v>0</v>
      </c>
      <c r="BG391" s="107">
        <f>IF(A25stdlife="n/a","n/a",IF(BG$3&gt;(A25stdlife+$E391),('PTRM input'!$H$167*(1+rvanilla02)^0.5)-SUM($H391:BF391),('PTRM input'!$H$167*(1+rvanilla02)^0.5)/A25stdlife))</f>
        <v>0</v>
      </c>
      <c r="BH391" s="107">
        <f>IF(A25stdlife="n/a","n/a",IF(BH$3&gt;(A25stdlife+$E391),('PTRM input'!$H$167*(1+rvanilla02)^0.5)-SUM($H391:BG391),('PTRM input'!$H$167*(1+rvanilla02)^0.5)/A25stdlife))</f>
        <v>0</v>
      </c>
      <c r="BI391" s="107">
        <f>IF(A25stdlife="n/a","n/a",IF(BI$3&gt;(A25stdlife+$E391),('PTRM input'!$H$167*(1+rvanilla02)^0.5)-SUM($H391:BH391),('PTRM input'!$H$167*(1+rvanilla02)^0.5)/A25stdlife))</f>
        <v>0</v>
      </c>
      <c r="BJ391" s="237"/>
      <c r="BK391" s="237"/>
      <c r="BL391" s="237"/>
      <c r="BM391" s="237"/>
    </row>
    <row r="392" spans="1:65" s="190" customFormat="1" hidden="1" outlineLevel="2">
      <c r="A392" s="237"/>
      <c r="B392" s="33"/>
      <c r="C392" s="32"/>
      <c r="D392" s="1618"/>
      <c r="E392" s="169">
        <v>3</v>
      </c>
      <c r="F392" s="35"/>
      <c r="G392" s="184"/>
      <c r="H392" s="186"/>
      <c r="I392" s="185"/>
      <c r="J392" s="107">
        <f>IF(A25stdlife="n/a","n/a",IF(J$3&gt;(A25stdlife+$E392),('PTRM input'!$I$167*(1+rvanilla03)^0.5)-SUM($I392:I392),('PTRM input'!$I$167*(1+rvanilla03)^0.5)/A25stdlife))</f>
        <v>0</v>
      </c>
      <c r="K392" s="107">
        <f>IF(A25stdlife="n/a","n/a",IF(K$3&gt;(A25stdlife+$E392),('PTRM input'!$I$167*(1+rvanilla03)^0.5)-SUM($I392:J392),('PTRM input'!$I$167*(1+rvanilla03)^0.5)/A25stdlife))</f>
        <v>0</v>
      </c>
      <c r="L392" s="107">
        <f>IF(A25stdlife="n/a","n/a",IF(L$3&gt;(A25stdlife+$E392),('PTRM input'!$I$167*(1+rvanilla03)^0.5)-SUM($I392:K392),('PTRM input'!$I$167*(1+rvanilla03)^0.5)/A25stdlife))</f>
        <v>0</v>
      </c>
      <c r="M392" s="107">
        <f>IF(A25stdlife="n/a","n/a",IF(M$3&gt;(A25stdlife+$E392),('PTRM input'!$I$167*(1+rvanilla03)^0.5)-SUM($I392:L392),('PTRM input'!$I$167*(1+rvanilla03)^0.5)/A25stdlife))</f>
        <v>0</v>
      </c>
      <c r="N392" s="107">
        <f>IF(A25stdlife="n/a","n/a",IF(N$3&gt;(A25stdlife+$E392),('PTRM input'!$I$167*(1+rvanilla03)^0.5)-SUM($I392:M392),('PTRM input'!$I$167*(1+rvanilla03)^0.5)/A25stdlife))</f>
        <v>0</v>
      </c>
      <c r="O392" s="107">
        <f>IF(A25stdlife="n/a","n/a",IF(O$3&gt;(A25stdlife+$E392),('PTRM input'!$I$167*(1+rvanilla03)^0.5)-SUM($I392:N392),('PTRM input'!$I$167*(1+rvanilla03)^0.5)/A25stdlife))</f>
        <v>0</v>
      </c>
      <c r="P392" s="107">
        <f>IF(A25stdlife="n/a","n/a",IF(P$3&gt;(A25stdlife+$E392),('PTRM input'!$I$167*(1+rvanilla03)^0.5)-SUM($I392:O392),('PTRM input'!$I$167*(1+rvanilla03)^0.5)/A25stdlife))</f>
        <v>0</v>
      </c>
      <c r="Q392" s="107">
        <f>IF(A25stdlife="n/a","n/a",IF(Q$3&gt;(A25stdlife+$E392),('PTRM input'!$I$167*(1+rvanilla03)^0.5)-SUM($I392:P392),('PTRM input'!$I$167*(1+rvanilla03)^0.5)/A25stdlife))</f>
        <v>0</v>
      </c>
      <c r="R392" s="107">
        <f>IF(A25stdlife="n/a","n/a",IF(R$3&gt;(A25stdlife+$E392),('PTRM input'!$I$167*(1+rvanilla03)^0.5)-SUM($I392:Q392),('PTRM input'!$I$167*(1+rvanilla03)^0.5)/A25stdlife))</f>
        <v>0</v>
      </c>
      <c r="S392" s="107">
        <f>IF(A25stdlife="n/a","n/a",IF(S$3&gt;(A25stdlife+$E392),('PTRM input'!$I$167*(1+rvanilla03)^0.5)-SUM($I392:R392),('PTRM input'!$I$167*(1+rvanilla03)^0.5)/A25stdlife))</f>
        <v>0</v>
      </c>
      <c r="T392" s="107">
        <f>IF(A25stdlife="n/a","n/a",IF(T$3&gt;(A25stdlife+$E392),('PTRM input'!$I$167*(1+rvanilla03)^0.5)-SUM($I392:S392),('PTRM input'!$I$167*(1+rvanilla03)^0.5)/A25stdlife))</f>
        <v>0</v>
      </c>
      <c r="U392" s="107">
        <f>IF(A25stdlife="n/a","n/a",IF(U$3&gt;(A25stdlife+$E392),('PTRM input'!$I$167*(1+rvanilla03)^0.5)-SUM($I392:T392),('PTRM input'!$I$167*(1+rvanilla03)^0.5)/A25stdlife))</f>
        <v>0</v>
      </c>
      <c r="V392" s="107">
        <f>IF(A25stdlife="n/a","n/a",IF(V$3&gt;(A25stdlife+$E392),('PTRM input'!$I$167*(1+rvanilla03)^0.5)-SUM($I392:U392),('PTRM input'!$I$167*(1+rvanilla03)^0.5)/A25stdlife))</f>
        <v>0</v>
      </c>
      <c r="W392" s="107">
        <f>IF(A25stdlife="n/a","n/a",IF(W$3&gt;(A25stdlife+$E392),('PTRM input'!$I$167*(1+rvanilla03)^0.5)-SUM($I392:V392),('PTRM input'!$I$167*(1+rvanilla03)^0.5)/A25stdlife))</f>
        <v>0</v>
      </c>
      <c r="X392" s="107">
        <f>IF(A25stdlife="n/a","n/a",IF(X$3&gt;(A25stdlife+$E392),('PTRM input'!$I$167*(1+rvanilla03)^0.5)-SUM($I392:W392),('PTRM input'!$I$167*(1+rvanilla03)^0.5)/A25stdlife))</f>
        <v>0</v>
      </c>
      <c r="Y392" s="107">
        <f>IF(A25stdlife="n/a","n/a",IF(Y$3&gt;(A25stdlife+$E392),('PTRM input'!$I$167*(1+rvanilla03)^0.5)-SUM($I392:X392),('PTRM input'!$I$167*(1+rvanilla03)^0.5)/A25stdlife))</f>
        <v>0</v>
      </c>
      <c r="Z392" s="107">
        <f>IF(A25stdlife="n/a","n/a",IF(Z$3&gt;(A25stdlife+$E392),('PTRM input'!$I$167*(1+rvanilla03)^0.5)-SUM($I392:Y392),('PTRM input'!$I$167*(1+rvanilla03)^0.5)/A25stdlife))</f>
        <v>0</v>
      </c>
      <c r="AA392" s="107">
        <f>IF(A25stdlife="n/a","n/a",IF(AA$3&gt;(A25stdlife+$E392),('PTRM input'!$I$167*(1+rvanilla03)^0.5)-SUM($I392:Z392),('PTRM input'!$I$167*(1+rvanilla03)^0.5)/A25stdlife))</f>
        <v>0</v>
      </c>
      <c r="AB392" s="107">
        <f>IF(A25stdlife="n/a","n/a",IF(AB$3&gt;(A25stdlife+$E392),('PTRM input'!$I$167*(1+rvanilla03)^0.5)-SUM($I392:AA392),('PTRM input'!$I$167*(1+rvanilla03)^0.5)/A25stdlife))</f>
        <v>0</v>
      </c>
      <c r="AC392" s="107">
        <f>IF(A25stdlife="n/a","n/a",IF(AC$3&gt;(A25stdlife+$E392),('PTRM input'!$I$167*(1+rvanilla03)^0.5)-SUM($I392:AB392),('PTRM input'!$I$167*(1+rvanilla03)^0.5)/A25stdlife))</f>
        <v>0</v>
      </c>
      <c r="AD392" s="107">
        <f>IF(A25stdlife="n/a","n/a",IF(AD$3&gt;(A25stdlife+$E392),('PTRM input'!$I$167*(1+rvanilla03)^0.5)-SUM($I392:AC392),('PTRM input'!$I$167*(1+rvanilla03)^0.5)/A25stdlife))</f>
        <v>0</v>
      </c>
      <c r="AE392" s="107">
        <f>IF(A25stdlife="n/a","n/a",IF(AE$3&gt;(A25stdlife+$E392),('PTRM input'!$I$167*(1+rvanilla03)^0.5)-SUM($I392:AD392),('PTRM input'!$I$167*(1+rvanilla03)^0.5)/A25stdlife))</f>
        <v>0</v>
      </c>
      <c r="AF392" s="107">
        <f>IF(A25stdlife="n/a","n/a",IF(AF$3&gt;(A25stdlife+$E392),('PTRM input'!$I$167*(1+rvanilla03)^0.5)-SUM($I392:AE392),('PTRM input'!$I$167*(1+rvanilla03)^0.5)/A25stdlife))</f>
        <v>0</v>
      </c>
      <c r="AG392" s="107">
        <f>IF(A25stdlife="n/a","n/a",IF(AG$3&gt;(A25stdlife+$E392),('PTRM input'!$I$167*(1+rvanilla03)^0.5)-SUM($I392:AF392),('PTRM input'!$I$167*(1+rvanilla03)^0.5)/A25stdlife))</f>
        <v>0</v>
      </c>
      <c r="AH392" s="107">
        <f>IF(A25stdlife="n/a","n/a",IF(AH$3&gt;(A25stdlife+$E392),('PTRM input'!$I$167*(1+rvanilla03)^0.5)-SUM($I392:AG392),('PTRM input'!$I$167*(1+rvanilla03)^0.5)/A25stdlife))</f>
        <v>0</v>
      </c>
      <c r="AI392" s="107">
        <f>IF(A25stdlife="n/a","n/a",IF(AI$3&gt;(A25stdlife+$E392),('PTRM input'!$I$167*(1+rvanilla03)^0.5)-SUM($I392:AH392),('PTRM input'!$I$167*(1+rvanilla03)^0.5)/A25stdlife))</f>
        <v>0</v>
      </c>
      <c r="AJ392" s="107">
        <f>IF(A25stdlife="n/a","n/a",IF(AJ$3&gt;(A25stdlife+$E392),('PTRM input'!$I$167*(1+rvanilla03)^0.5)-SUM($I392:AI392),('PTRM input'!$I$167*(1+rvanilla03)^0.5)/A25stdlife))</f>
        <v>0</v>
      </c>
      <c r="AK392" s="107">
        <f>IF(A25stdlife="n/a","n/a",IF(AK$3&gt;(A25stdlife+$E392),('PTRM input'!$I$167*(1+rvanilla03)^0.5)-SUM($I392:AJ392),('PTRM input'!$I$167*(1+rvanilla03)^0.5)/A25stdlife))</f>
        <v>0</v>
      </c>
      <c r="AL392" s="107">
        <f>IF(A25stdlife="n/a","n/a",IF(AL$3&gt;(A25stdlife+$E392),('PTRM input'!$I$167*(1+rvanilla03)^0.5)-SUM($I392:AK392),('PTRM input'!$I$167*(1+rvanilla03)^0.5)/A25stdlife))</f>
        <v>0</v>
      </c>
      <c r="AM392" s="107">
        <f>IF(A25stdlife="n/a","n/a",IF(AM$3&gt;(A25stdlife+$E392),('PTRM input'!$I$167*(1+rvanilla03)^0.5)-SUM($I392:AL392),('PTRM input'!$I$167*(1+rvanilla03)^0.5)/A25stdlife))</f>
        <v>0</v>
      </c>
      <c r="AN392" s="107">
        <f>IF(A25stdlife="n/a","n/a",IF(AN$3&gt;(A25stdlife+$E392),('PTRM input'!$I$167*(1+rvanilla03)^0.5)-SUM($I392:AM392),('PTRM input'!$I$167*(1+rvanilla03)^0.5)/A25stdlife))</f>
        <v>0</v>
      </c>
      <c r="AO392" s="107">
        <f>IF(A25stdlife="n/a","n/a",IF(AO$3&gt;(A25stdlife+$E392),('PTRM input'!$I$167*(1+rvanilla03)^0.5)-SUM($I392:AN392),('PTRM input'!$I$167*(1+rvanilla03)^0.5)/A25stdlife))</f>
        <v>0</v>
      </c>
      <c r="AP392" s="107">
        <f>IF(A25stdlife="n/a","n/a",IF(AP$3&gt;(A25stdlife+$E392),('PTRM input'!$I$167*(1+rvanilla03)^0.5)-SUM($I392:AO392),('PTRM input'!$I$167*(1+rvanilla03)^0.5)/A25stdlife))</f>
        <v>0</v>
      </c>
      <c r="AQ392" s="107">
        <f>IF(A25stdlife="n/a","n/a",IF(AQ$3&gt;(A25stdlife+$E392),('PTRM input'!$I$167*(1+rvanilla03)^0.5)-SUM($I392:AP392),('PTRM input'!$I$167*(1+rvanilla03)^0.5)/A25stdlife))</f>
        <v>0</v>
      </c>
      <c r="AR392" s="107">
        <f>IF(A25stdlife="n/a","n/a",IF(AR$3&gt;(A25stdlife+$E392),('PTRM input'!$I$167*(1+rvanilla03)^0.5)-SUM($I392:AQ392),('PTRM input'!$I$167*(1+rvanilla03)^0.5)/A25stdlife))</f>
        <v>0</v>
      </c>
      <c r="AS392" s="107">
        <f>IF(A25stdlife="n/a","n/a",IF(AS$3&gt;(A25stdlife+$E392),('PTRM input'!$I$167*(1+rvanilla03)^0.5)-SUM($I392:AR392),('PTRM input'!$I$167*(1+rvanilla03)^0.5)/A25stdlife))</f>
        <v>0</v>
      </c>
      <c r="AT392" s="107">
        <f>IF(A25stdlife="n/a","n/a",IF(AT$3&gt;(A25stdlife+$E392),('PTRM input'!$I$167*(1+rvanilla03)^0.5)-SUM($I392:AS392),('PTRM input'!$I$167*(1+rvanilla03)^0.5)/A25stdlife))</f>
        <v>0</v>
      </c>
      <c r="AU392" s="107">
        <f>IF(A25stdlife="n/a","n/a",IF(AU$3&gt;(A25stdlife+$E392),('PTRM input'!$I$167*(1+rvanilla03)^0.5)-SUM($I392:AT392),('PTRM input'!$I$167*(1+rvanilla03)^0.5)/A25stdlife))</f>
        <v>0</v>
      </c>
      <c r="AV392" s="107">
        <f>IF(A25stdlife="n/a","n/a",IF(AV$3&gt;(A25stdlife+$E392),('PTRM input'!$I$167*(1+rvanilla03)^0.5)-SUM($I392:AU392),('PTRM input'!$I$167*(1+rvanilla03)^0.5)/A25stdlife))</f>
        <v>0</v>
      </c>
      <c r="AW392" s="107">
        <f>IF(A25stdlife="n/a","n/a",IF(AW$3&gt;(A25stdlife+$E392),('PTRM input'!$I$167*(1+rvanilla03)^0.5)-SUM($I392:AV392),('PTRM input'!$I$167*(1+rvanilla03)^0.5)/A25stdlife))</f>
        <v>0</v>
      </c>
      <c r="AX392" s="107">
        <f>IF(A25stdlife="n/a","n/a",IF(AX$3&gt;(A25stdlife+$E392),('PTRM input'!$I$167*(1+rvanilla03)^0.5)-SUM($I392:AW392),('PTRM input'!$I$167*(1+rvanilla03)^0.5)/A25stdlife))</f>
        <v>0</v>
      </c>
      <c r="AY392" s="107">
        <f>IF(A25stdlife="n/a","n/a",IF(AY$3&gt;(A25stdlife+$E392),('PTRM input'!$I$167*(1+rvanilla03)^0.5)-SUM($I392:AX392),('PTRM input'!$I$167*(1+rvanilla03)^0.5)/A25stdlife))</f>
        <v>0</v>
      </c>
      <c r="AZ392" s="107">
        <f>IF(A25stdlife="n/a","n/a",IF(AZ$3&gt;(A25stdlife+$E392),('PTRM input'!$I$167*(1+rvanilla03)^0.5)-SUM($I392:AY392),('PTRM input'!$I$167*(1+rvanilla03)^0.5)/A25stdlife))</f>
        <v>0</v>
      </c>
      <c r="BA392" s="107">
        <f>IF(A25stdlife="n/a","n/a",IF(BA$3&gt;(A25stdlife+$E392),('PTRM input'!$I$167*(1+rvanilla03)^0.5)-SUM($I392:AZ392),('PTRM input'!$I$167*(1+rvanilla03)^0.5)/A25stdlife))</f>
        <v>0</v>
      </c>
      <c r="BB392" s="107">
        <f>IF(A25stdlife="n/a","n/a",IF(BB$3&gt;(A25stdlife+$E392),('PTRM input'!$I$167*(1+rvanilla03)^0.5)-SUM($I392:BA392),('PTRM input'!$I$167*(1+rvanilla03)^0.5)/A25stdlife))</f>
        <v>0</v>
      </c>
      <c r="BC392" s="107">
        <f>IF(A25stdlife="n/a","n/a",IF(BC$3&gt;(A25stdlife+$E392),('PTRM input'!$I$167*(1+rvanilla03)^0.5)-SUM($I392:BB392),('PTRM input'!$I$167*(1+rvanilla03)^0.5)/A25stdlife))</f>
        <v>0</v>
      </c>
      <c r="BD392" s="107">
        <f>IF(A25stdlife="n/a","n/a",IF(BD$3&gt;(A25stdlife+$E392),('PTRM input'!$I$167*(1+rvanilla03)^0.5)-SUM($I392:BC392),('PTRM input'!$I$167*(1+rvanilla03)^0.5)/A25stdlife))</f>
        <v>0</v>
      </c>
      <c r="BE392" s="107">
        <f>IF(A25stdlife="n/a","n/a",IF(BE$3&gt;(A25stdlife+$E392),('PTRM input'!$I$167*(1+rvanilla03)^0.5)-SUM($I392:BD392),('PTRM input'!$I$167*(1+rvanilla03)^0.5)/A25stdlife))</f>
        <v>0</v>
      </c>
      <c r="BF392" s="107">
        <f>IF(A25stdlife="n/a","n/a",IF(BF$3&gt;(A25stdlife+$E392),('PTRM input'!$I$167*(1+rvanilla03)^0.5)-SUM($I392:BE392),('PTRM input'!$I$167*(1+rvanilla03)^0.5)/A25stdlife))</f>
        <v>0</v>
      </c>
      <c r="BG392" s="107">
        <f>IF(A25stdlife="n/a","n/a",IF(BG$3&gt;(A25stdlife+$E392),('PTRM input'!$I$167*(1+rvanilla03)^0.5)-SUM($I392:BF392),('PTRM input'!$I$167*(1+rvanilla03)^0.5)/A25stdlife))</f>
        <v>0</v>
      </c>
      <c r="BH392" s="107">
        <f>IF(A25stdlife="n/a","n/a",IF(BH$3&gt;(A25stdlife+$E392),('PTRM input'!$I$167*(1+rvanilla03)^0.5)-SUM($I392:BG392),('PTRM input'!$I$167*(1+rvanilla03)^0.5)/A25stdlife))</f>
        <v>0</v>
      </c>
      <c r="BI392" s="107">
        <f>IF(A25stdlife="n/a","n/a",IF(BI$3&gt;(A25stdlife+$E392),('PTRM input'!$I$167*(1+rvanilla03)^0.5)-SUM($I392:BH392),('PTRM input'!$I$167*(1+rvanilla03)^0.5)/A25stdlife))</f>
        <v>0</v>
      </c>
      <c r="BJ392" s="237"/>
      <c r="BK392" s="237"/>
      <c r="BL392" s="237"/>
      <c r="BM392" s="237"/>
    </row>
    <row r="393" spans="1:65" s="190" customFormat="1" hidden="1" outlineLevel="2">
      <c r="A393" s="237"/>
      <c r="B393" s="33"/>
      <c r="C393" s="32"/>
      <c r="D393" s="1618"/>
      <c r="E393" s="169">
        <v>4</v>
      </c>
      <c r="F393" s="35"/>
      <c r="G393" s="184"/>
      <c r="H393" s="186"/>
      <c r="I393" s="186"/>
      <c r="J393" s="185"/>
      <c r="K393" s="107">
        <f>IF(A25stdlife="n/a","n/a",IF(K$3&gt;(A25stdlife+$E393),('PTRM input'!$J$167*(1+rvanilla04)^0.5)-SUM($J393:J393),('PTRM input'!$J$167*(1+rvanilla04)^0.5)/A25stdlife))</f>
        <v>0</v>
      </c>
      <c r="L393" s="107">
        <f>IF(A25stdlife="n/a","n/a",IF(L$3&gt;(A25stdlife+$E393),('PTRM input'!$J$167*(1+rvanilla04)^0.5)-SUM($J393:K393),('PTRM input'!$J$167*(1+rvanilla04)^0.5)/A25stdlife))</f>
        <v>0</v>
      </c>
      <c r="M393" s="107">
        <f>IF(A25stdlife="n/a","n/a",IF(M$3&gt;(A25stdlife+$E393),('PTRM input'!$J$167*(1+rvanilla04)^0.5)-SUM($J393:L393),('PTRM input'!$J$167*(1+rvanilla04)^0.5)/A25stdlife))</f>
        <v>0</v>
      </c>
      <c r="N393" s="107">
        <f>IF(A25stdlife="n/a","n/a",IF(N$3&gt;(A25stdlife+$E393),('PTRM input'!$J$167*(1+rvanilla04)^0.5)-SUM($J393:M393),('PTRM input'!$J$167*(1+rvanilla04)^0.5)/A25stdlife))</f>
        <v>0</v>
      </c>
      <c r="O393" s="107">
        <f>IF(A25stdlife="n/a","n/a",IF(O$3&gt;(A25stdlife+$E393),('PTRM input'!$J$167*(1+rvanilla04)^0.5)-SUM($J393:N393),('PTRM input'!$J$167*(1+rvanilla04)^0.5)/A25stdlife))</f>
        <v>0</v>
      </c>
      <c r="P393" s="107">
        <f>IF(A25stdlife="n/a","n/a",IF(P$3&gt;(A25stdlife+$E393),('PTRM input'!$J$167*(1+rvanilla04)^0.5)-SUM($J393:O393),('PTRM input'!$J$167*(1+rvanilla04)^0.5)/A25stdlife))</f>
        <v>0</v>
      </c>
      <c r="Q393" s="107">
        <f>IF(A25stdlife="n/a","n/a",IF(Q$3&gt;(A25stdlife+$E393),('PTRM input'!$J$167*(1+rvanilla04)^0.5)-SUM($J393:P393),('PTRM input'!$J$167*(1+rvanilla04)^0.5)/A25stdlife))</f>
        <v>0</v>
      </c>
      <c r="R393" s="107">
        <f>IF(A25stdlife="n/a","n/a",IF(R$3&gt;(A25stdlife+$E393),('PTRM input'!$J$167*(1+rvanilla04)^0.5)-SUM($J393:Q393),('PTRM input'!$J$167*(1+rvanilla04)^0.5)/A25stdlife))</f>
        <v>0</v>
      </c>
      <c r="S393" s="107">
        <f>IF(A25stdlife="n/a","n/a",IF(S$3&gt;(A25stdlife+$E393),('PTRM input'!$J$167*(1+rvanilla04)^0.5)-SUM($J393:R393),('PTRM input'!$J$167*(1+rvanilla04)^0.5)/A25stdlife))</f>
        <v>0</v>
      </c>
      <c r="T393" s="107">
        <f>IF(A25stdlife="n/a","n/a",IF(T$3&gt;(A25stdlife+$E393),('PTRM input'!$J$167*(1+rvanilla04)^0.5)-SUM($J393:S393),('PTRM input'!$J$167*(1+rvanilla04)^0.5)/A25stdlife))</f>
        <v>0</v>
      </c>
      <c r="U393" s="107">
        <f>IF(A25stdlife="n/a","n/a",IF(U$3&gt;(A25stdlife+$E393),('PTRM input'!$J$167*(1+rvanilla04)^0.5)-SUM($J393:T393),('PTRM input'!$J$167*(1+rvanilla04)^0.5)/A25stdlife))</f>
        <v>0</v>
      </c>
      <c r="V393" s="107">
        <f>IF(A25stdlife="n/a","n/a",IF(V$3&gt;(A25stdlife+$E393),('PTRM input'!$J$167*(1+rvanilla04)^0.5)-SUM($J393:U393),('PTRM input'!$J$167*(1+rvanilla04)^0.5)/A25stdlife))</f>
        <v>0</v>
      </c>
      <c r="W393" s="107">
        <f>IF(A25stdlife="n/a","n/a",IF(W$3&gt;(A25stdlife+$E393),('PTRM input'!$J$167*(1+rvanilla04)^0.5)-SUM($J393:V393),('PTRM input'!$J$167*(1+rvanilla04)^0.5)/A25stdlife))</f>
        <v>0</v>
      </c>
      <c r="X393" s="107">
        <f>IF(A25stdlife="n/a","n/a",IF(X$3&gt;(A25stdlife+$E393),('PTRM input'!$J$167*(1+rvanilla04)^0.5)-SUM($J393:W393),('PTRM input'!$J$167*(1+rvanilla04)^0.5)/A25stdlife))</f>
        <v>0</v>
      </c>
      <c r="Y393" s="107">
        <f>IF(A25stdlife="n/a","n/a",IF(Y$3&gt;(A25stdlife+$E393),('PTRM input'!$J$167*(1+rvanilla04)^0.5)-SUM($J393:X393),('PTRM input'!$J$167*(1+rvanilla04)^0.5)/A25stdlife))</f>
        <v>0</v>
      </c>
      <c r="Z393" s="107">
        <f>IF(A25stdlife="n/a","n/a",IF(Z$3&gt;(A25stdlife+$E393),('PTRM input'!$J$167*(1+rvanilla04)^0.5)-SUM($J393:Y393),('PTRM input'!$J$167*(1+rvanilla04)^0.5)/A25stdlife))</f>
        <v>0</v>
      </c>
      <c r="AA393" s="107">
        <f>IF(A25stdlife="n/a","n/a",IF(AA$3&gt;(A25stdlife+$E393),('PTRM input'!$J$167*(1+rvanilla04)^0.5)-SUM($J393:Z393),('PTRM input'!$J$167*(1+rvanilla04)^0.5)/A25stdlife))</f>
        <v>0</v>
      </c>
      <c r="AB393" s="107">
        <f>IF(A25stdlife="n/a","n/a",IF(AB$3&gt;(A25stdlife+$E393),('PTRM input'!$J$167*(1+rvanilla04)^0.5)-SUM($J393:AA393),('PTRM input'!$J$167*(1+rvanilla04)^0.5)/A25stdlife))</f>
        <v>0</v>
      </c>
      <c r="AC393" s="107">
        <f>IF(A25stdlife="n/a","n/a",IF(AC$3&gt;(A25stdlife+$E393),('PTRM input'!$J$167*(1+rvanilla04)^0.5)-SUM($J393:AB393),('PTRM input'!$J$167*(1+rvanilla04)^0.5)/A25stdlife))</f>
        <v>0</v>
      </c>
      <c r="AD393" s="107">
        <f>IF(A25stdlife="n/a","n/a",IF(AD$3&gt;(A25stdlife+$E393),('PTRM input'!$J$167*(1+rvanilla04)^0.5)-SUM($J393:AC393),('PTRM input'!$J$167*(1+rvanilla04)^0.5)/A25stdlife))</f>
        <v>0</v>
      </c>
      <c r="AE393" s="107">
        <f>IF(A25stdlife="n/a","n/a",IF(AE$3&gt;(A25stdlife+$E393),('PTRM input'!$J$167*(1+rvanilla04)^0.5)-SUM($J393:AD393),('PTRM input'!$J$167*(1+rvanilla04)^0.5)/A25stdlife))</f>
        <v>0</v>
      </c>
      <c r="AF393" s="107">
        <f>IF(A25stdlife="n/a","n/a",IF(AF$3&gt;(A25stdlife+$E393),('PTRM input'!$J$167*(1+rvanilla04)^0.5)-SUM($J393:AE393),('PTRM input'!$J$167*(1+rvanilla04)^0.5)/A25stdlife))</f>
        <v>0</v>
      </c>
      <c r="AG393" s="107">
        <f>IF(A25stdlife="n/a","n/a",IF(AG$3&gt;(A25stdlife+$E393),('PTRM input'!$J$167*(1+rvanilla04)^0.5)-SUM($J393:AF393),('PTRM input'!$J$167*(1+rvanilla04)^0.5)/A25stdlife))</f>
        <v>0</v>
      </c>
      <c r="AH393" s="107">
        <f>IF(A25stdlife="n/a","n/a",IF(AH$3&gt;(A25stdlife+$E393),('PTRM input'!$J$167*(1+rvanilla04)^0.5)-SUM($J393:AG393),('PTRM input'!$J$167*(1+rvanilla04)^0.5)/A25stdlife))</f>
        <v>0</v>
      </c>
      <c r="AI393" s="107">
        <f>IF(A25stdlife="n/a","n/a",IF(AI$3&gt;(A25stdlife+$E393),('PTRM input'!$J$167*(1+rvanilla04)^0.5)-SUM($J393:AH393),('PTRM input'!$J$167*(1+rvanilla04)^0.5)/A25stdlife))</f>
        <v>0</v>
      </c>
      <c r="AJ393" s="107">
        <f>IF(A25stdlife="n/a","n/a",IF(AJ$3&gt;(A25stdlife+$E393),('PTRM input'!$J$167*(1+rvanilla04)^0.5)-SUM($J393:AI393),('PTRM input'!$J$167*(1+rvanilla04)^0.5)/A25stdlife))</f>
        <v>0</v>
      </c>
      <c r="AK393" s="107">
        <f>IF(A25stdlife="n/a","n/a",IF(AK$3&gt;(A25stdlife+$E393),('PTRM input'!$J$167*(1+rvanilla04)^0.5)-SUM($J393:AJ393),('PTRM input'!$J$167*(1+rvanilla04)^0.5)/A25stdlife))</f>
        <v>0</v>
      </c>
      <c r="AL393" s="107">
        <f>IF(A25stdlife="n/a","n/a",IF(AL$3&gt;(A25stdlife+$E393),('PTRM input'!$J$167*(1+rvanilla04)^0.5)-SUM($J393:AK393),('PTRM input'!$J$167*(1+rvanilla04)^0.5)/A25stdlife))</f>
        <v>0</v>
      </c>
      <c r="AM393" s="107">
        <f>IF(A25stdlife="n/a","n/a",IF(AM$3&gt;(A25stdlife+$E393),('PTRM input'!$J$167*(1+rvanilla04)^0.5)-SUM($J393:AL393),('PTRM input'!$J$167*(1+rvanilla04)^0.5)/A25stdlife))</f>
        <v>0</v>
      </c>
      <c r="AN393" s="107">
        <f>IF(A25stdlife="n/a","n/a",IF(AN$3&gt;(A25stdlife+$E393),('PTRM input'!$J$167*(1+rvanilla04)^0.5)-SUM($J393:AM393),('PTRM input'!$J$167*(1+rvanilla04)^0.5)/A25stdlife))</f>
        <v>0</v>
      </c>
      <c r="AO393" s="107">
        <f>IF(A25stdlife="n/a","n/a",IF(AO$3&gt;(A25stdlife+$E393),('PTRM input'!$J$167*(1+rvanilla04)^0.5)-SUM($J393:AN393),('PTRM input'!$J$167*(1+rvanilla04)^0.5)/A25stdlife))</f>
        <v>0</v>
      </c>
      <c r="AP393" s="107">
        <f>IF(A25stdlife="n/a","n/a",IF(AP$3&gt;(A25stdlife+$E393),('PTRM input'!$J$167*(1+rvanilla04)^0.5)-SUM($J393:AO393),('PTRM input'!$J$167*(1+rvanilla04)^0.5)/A25stdlife))</f>
        <v>0</v>
      </c>
      <c r="AQ393" s="107">
        <f>IF(A25stdlife="n/a","n/a",IF(AQ$3&gt;(A25stdlife+$E393),('PTRM input'!$J$167*(1+rvanilla04)^0.5)-SUM($J393:AP393),('PTRM input'!$J$167*(1+rvanilla04)^0.5)/A25stdlife))</f>
        <v>0</v>
      </c>
      <c r="AR393" s="107">
        <f>IF(A25stdlife="n/a","n/a",IF(AR$3&gt;(A25stdlife+$E393),('PTRM input'!$J$167*(1+rvanilla04)^0.5)-SUM($J393:AQ393),('PTRM input'!$J$167*(1+rvanilla04)^0.5)/A25stdlife))</f>
        <v>0</v>
      </c>
      <c r="AS393" s="107">
        <f>IF(A25stdlife="n/a","n/a",IF(AS$3&gt;(A25stdlife+$E393),('PTRM input'!$J$167*(1+rvanilla04)^0.5)-SUM($J393:AR393),('PTRM input'!$J$167*(1+rvanilla04)^0.5)/A25stdlife))</f>
        <v>0</v>
      </c>
      <c r="AT393" s="107">
        <f>IF(A25stdlife="n/a","n/a",IF(AT$3&gt;(A25stdlife+$E393),('PTRM input'!$J$167*(1+rvanilla04)^0.5)-SUM($J393:AS393),('PTRM input'!$J$167*(1+rvanilla04)^0.5)/A25stdlife))</f>
        <v>0</v>
      </c>
      <c r="AU393" s="107">
        <f>IF(A25stdlife="n/a","n/a",IF(AU$3&gt;(A25stdlife+$E393),('PTRM input'!$J$167*(1+rvanilla04)^0.5)-SUM($J393:AT393),('PTRM input'!$J$167*(1+rvanilla04)^0.5)/A25stdlife))</f>
        <v>0</v>
      </c>
      <c r="AV393" s="107">
        <f>IF(A25stdlife="n/a","n/a",IF(AV$3&gt;(A25stdlife+$E393),('PTRM input'!$J$167*(1+rvanilla04)^0.5)-SUM($J393:AU393),('PTRM input'!$J$167*(1+rvanilla04)^0.5)/A25stdlife))</f>
        <v>0</v>
      </c>
      <c r="AW393" s="107">
        <f>IF(A25stdlife="n/a","n/a",IF(AW$3&gt;(A25stdlife+$E393),('PTRM input'!$J$167*(1+rvanilla04)^0.5)-SUM($J393:AV393),('PTRM input'!$J$167*(1+rvanilla04)^0.5)/A25stdlife))</f>
        <v>0</v>
      </c>
      <c r="AX393" s="107">
        <f>IF(A25stdlife="n/a","n/a",IF(AX$3&gt;(A25stdlife+$E393),('PTRM input'!$J$167*(1+rvanilla04)^0.5)-SUM($J393:AW393),('PTRM input'!$J$167*(1+rvanilla04)^0.5)/A25stdlife))</f>
        <v>0</v>
      </c>
      <c r="AY393" s="107">
        <f>IF(A25stdlife="n/a","n/a",IF(AY$3&gt;(A25stdlife+$E393),('PTRM input'!$J$167*(1+rvanilla04)^0.5)-SUM($J393:AX393),('PTRM input'!$J$167*(1+rvanilla04)^0.5)/A25stdlife))</f>
        <v>0</v>
      </c>
      <c r="AZ393" s="107">
        <f>IF(A25stdlife="n/a","n/a",IF(AZ$3&gt;(A25stdlife+$E393),('PTRM input'!$J$167*(1+rvanilla04)^0.5)-SUM($J393:AY393),('PTRM input'!$J$167*(1+rvanilla04)^0.5)/A25stdlife))</f>
        <v>0</v>
      </c>
      <c r="BA393" s="107">
        <f>IF(A25stdlife="n/a","n/a",IF(BA$3&gt;(A25stdlife+$E393),('PTRM input'!$J$167*(1+rvanilla04)^0.5)-SUM($J393:AZ393),('PTRM input'!$J$167*(1+rvanilla04)^0.5)/A25stdlife))</f>
        <v>0</v>
      </c>
      <c r="BB393" s="107">
        <f>IF(A25stdlife="n/a","n/a",IF(BB$3&gt;(A25stdlife+$E393),('PTRM input'!$J$167*(1+rvanilla04)^0.5)-SUM($J393:BA393),('PTRM input'!$J$167*(1+rvanilla04)^0.5)/A25stdlife))</f>
        <v>0</v>
      </c>
      <c r="BC393" s="107">
        <f>IF(A25stdlife="n/a","n/a",IF(BC$3&gt;(A25stdlife+$E393),('PTRM input'!$J$167*(1+rvanilla04)^0.5)-SUM($J393:BB393),('PTRM input'!$J$167*(1+rvanilla04)^0.5)/A25stdlife))</f>
        <v>0</v>
      </c>
      <c r="BD393" s="107">
        <f>IF(A25stdlife="n/a","n/a",IF(BD$3&gt;(A25stdlife+$E393),('PTRM input'!$J$167*(1+rvanilla04)^0.5)-SUM($J393:BC393),('PTRM input'!$J$167*(1+rvanilla04)^0.5)/A25stdlife))</f>
        <v>0</v>
      </c>
      <c r="BE393" s="107">
        <f>IF(A25stdlife="n/a","n/a",IF(BE$3&gt;(A25stdlife+$E393),('PTRM input'!$J$167*(1+rvanilla04)^0.5)-SUM($J393:BD393),('PTRM input'!$J$167*(1+rvanilla04)^0.5)/A25stdlife))</f>
        <v>0</v>
      </c>
      <c r="BF393" s="107">
        <f>IF(A25stdlife="n/a","n/a",IF(BF$3&gt;(A25stdlife+$E393),('PTRM input'!$J$167*(1+rvanilla04)^0.5)-SUM($J393:BE393),('PTRM input'!$J$167*(1+rvanilla04)^0.5)/A25stdlife))</f>
        <v>0</v>
      </c>
      <c r="BG393" s="107">
        <f>IF(A25stdlife="n/a","n/a",IF(BG$3&gt;(A25stdlife+$E393),('PTRM input'!$J$167*(1+rvanilla04)^0.5)-SUM($J393:BF393),('PTRM input'!$J$167*(1+rvanilla04)^0.5)/A25stdlife))</f>
        <v>0</v>
      </c>
      <c r="BH393" s="107">
        <f>IF(A25stdlife="n/a","n/a",IF(BH$3&gt;(A25stdlife+$E393),('PTRM input'!$J$167*(1+rvanilla04)^0.5)-SUM($J393:BG393),('PTRM input'!$J$167*(1+rvanilla04)^0.5)/A25stdlife))</f>
        <v>0</v>
      </c>
      <c r="BI393" s="107">
        <f>IF(A25stdlife="n/a","n/a",IF(BI$3&gt;(A25stdlife+$E393),('PTRM input'!$J$167*(1+rvanilla04)^0.5)-SUM($J393:BH393),('PTRM input'!$J$167*(1+rvanilla04)^0.5)/A25stdlife))</f>
        <v>0</v>
      </c>
      <c r="BJ393" s="237"/>
      <c r="BK393" s="237"/>
      <c r="BL393" s="237"/>
      <c r="BM393" s="237"/>
    </row>
    <row r="394" spans="1:65" s="190" customFormat="1" hidden="1" outlineLevel="2">
      <c r="A394" s="237"/>
      <c r="B394" s="33"/>
      <c r="C394" s="32"/>
      <c r="D394" s="1618"/>
      <c r="E394" s="169">
        <v>5</v>
      </c>
      <c r="F394" s="35"/>
      <c r="G394" s="184"/>
      <c r="H394" s="186"/>
      <c r="I394" s="186"/>
      <c r="J394" s="186"/>
      <c r="K394" s="185"/>
      <c r="L394" s="107">
        <f>IF(A25stdlife="n/a","n/a",IF(L$3&gt;(A25stdlife+$E394),('PTRM input'!$K$167*(1+rvanilla05)^0.5)-SUM($K394:K394),('PTRM input'!$K$167*(1+rvanilla05)^0.5)/A25stdlife))</f>
        <v>0</v>
      </c>
      <c r="M394" s="107">
        <f>IF(A25stdlife="n/a","n/a",IF(M$3&gt;(A25stdlife+$E394),('PTRM input'!$K$167*(1+rvanilla05)^0.5)-SUM($K394:L394),('PTRM input'!$K$167*(1+rvanilla05)^0.5)/A25stdlife))</f>
        <v>0</v>
      </c>
      <c r="N394" s="107">
        <f>IF(A25stdlife="n/a","n/a",IF(N$3&gt;(A25stdlife+$E394),('PTRM input'!$K$167*(1+rvanilla05)^0.5)-SUM($K394:M394),('PTRM input'!$K$167*(1+rvanilla05)^0.5)/A25stdlife))</f>
        <v>0</v>
      </c>
      <c r="O394" s="107">
        <f>IF(A25stdlife="n/a","n/a",IF(O$3&gt;(A25stdlife+$E394),('PTRM input'!$K$167*(1+rvanilla05)^0.5)-SUM($K394:N394),('PTRM input'!$K$167*(1+rvanilla05)^0.5)/A25stdlife))</f>
        <v>0</v>
      </c>
      <c r="P394" s="107">
        <f>IF(A25stdlife="n/a","n/a",IF(P$3&gt;(A25stdlife+$E394),('PTRM input'!$K$167*(1+rvanilla05)^0.5)-SUM($K394:O394),('PTRM input'!$K$167*(1+rvanilla05)^0.5)/A25stdlife))</f>
        <v>0</v>
      </c>
      <c r="Q394" s="107">
        <f>IF(A25stdlife="n/a","n/a",IF(Q$3&gt;(A25stdlife+$E394),('PTRM input'!$K$167*(1+rvanilla05)^0.5)-SUM($K394:P394),('PTRM input'!$K$167*(1+rvanilla05)^0.5)/A25stdlife))</f>
        <v>0</v>
      </c>
      <c r="R394" s="107">
        <f>IF(A25stdlife="n/a","n/a",IF(R$3&gt;(A25stdlife+$E394),('PTRM input'!$K$167*(1+rvanilla05)^0.5)-SUM($K394:Q394),('PTRM input'!$K$167*(1+rvanilla05)^0.5)/A25stdlife))</f>
        <v>0</v>
      </c>
      <c r="S394" s="107">
        <f>IF(A25stdlife="n/a","n/a",IF(S$3&gt;(A25stdlife+$E394),('PTRM input'!$K$167*(1+rvanilla05)^0.5)-SUM($K394:R394),('PTRM input'!$K$167*(1+rvanilla05)^0.5)/A25stdlife))</f>
        <v>0</v>
      </c>
      <c r="T394" s="107">
        <f>IF(A25stdlife="n/a","n/a",IF(T$3&gt;(A25stdlife+$E394),('PTRM input'!$K$167*(1+rvanilla05)^0.5)-SUM($K394:S394),('PTRM input'!$K$167*(1+rvanilla05)^0.5)/A25stdlife))</f>
        <v>0</v>
      </c>
      <c r="U394" s="107">
        <f>IF(A25stdlife="n/a","n/a",IF(U$3&gt;(A25stdlife+$E394),('PTRM input'!$K$167*(1+rvanilla05)^0.5)-SUM($K394:T394),('PTRM input'!$K$167*(1+rvanilla05)^0.5)/A25stdlife))</f>
        <v>0</v>
      </c>
      <c r="V394" s="107">
        <f>IF(A25stdlife="n/a","n/a",IF(V$3&gt;(A25stdlife+$E394),('PTRM input'!$K$167*(1+rvanilla05)^0.5)-SUM($K394:U394),('PTRM input'!$K$167*(1+rvanilla05)^0.5)/A25stdlife))</f>
        <v>0</v>
      </c>
      <c r="W394" s="107">
        <f>IF(A25stdlife="n/a","n/a",IF(W$3&gt;(A25stdlife+$E394),('PTRM input'!$K$167*(1+rvanilla05)^0.5)-SUM($K394:V394),('PTRM input'!$K$167*(1+rvanilla05)^0.5)/A25stdlife))</f>
        <v>0</v>
      </c>
      <c r="X394" s="107">
        <f>IF(A25stdlife="n/a","n/a",IF(X$3&gt;(A25stdlife+$E394),('PTRM input'!$K$167*(1+rvanilla05)^0.5)-SUM($K394:W394),('PTRM input'!$K$167*(1+rvanilla05)^0.5)/A25stdlife))</f>
        <v>0</v>
      </c>
      <c r="Y394" s="107">
        <f>IF(A25stdlife="n/a","n/a",IF(Y$3&gt;(A25stdlife+$E394),('PTRM input'!$K$167*(1+rvanilla05)^0.5)-SUM($K394:X394),('PTRM input'!$K$167*(1+rvanilla05)^0.5)/A25stdlife))</f>
        <v>0</v>
      </c>
      <c r="Z394" s="107">
        <f>IF(A25stdlife="n/a","n/a",IF(Z$3&gt;(A25stdlife+$E394),('PTRM input'!$K$167*(1+rvanilla05)^0.5)-SUM($K394:Y394),('PTRM input'!$K$167*(1+rvanilla05)^0.5)/A25stdlife))</f>
        <v>0</v>
      </c>
      <c r="AA394" s="107">
        <f>IF(A25stdlife="n/a","n/a",IF(AA$3&gt;(A25stdlife+$E394),('PTRM input'!$K$167*(1+rvanilla05)^0.5)-SUM($K394:Z394),('PTRM input'!$K$167*(1+rvanilla05)^0.5)/A25stdlife))</f>
        <v>0</v>
      </c>
      <c r="AB394" s="107">
        <f>IF(A25stdlife="n/a","n/a",IF(AB$3&gt;(A25stdlife+$E394),('PTRM input'!$K$167*(1+rvanilla05)^0.5)-SUM($K394:AA394),('PTRM input'!$K$167*(1+rvanilla05)^0.5)/A25stdlife))</f>
        <v>0</v>
      </c>
      <c r="AC394" s="107">
        <f>IF(A25stdlife="n/a","n/a",IF(AC$3&gt;(A25stdlife+$E394),('PTRM input'!$K$167*(1+rvanilla05)^0.5)-SUM($K394:AB394),('PTRM input'!$K$167*(1+rvanilla05)^0.5)/A25stdlife))</f>
        <v>0</v>
      </c>
      <c r="AD394" s="107">
        <f>IF(A25stdlife="n/a","n/a",IF(AD$3&gt;(A25stdlife+$E394),('PTRM input'!$K$167*(1+rvanilla05)^0.5)-SUM($K394:AC394),('PTRM input'!$K$167*(1+rvanilla05)^0.5)/A25stdlife))</f>
        <v>0</v>
      </c>
      <c r="AE394" s="107">
        <f>IF(A25stdlife="n/a","n/a",IF(AE$3&gt;(A25stdlife+$E394),('PTRM input'!$K$167*(1+rvanilla05)^0.5)-SUM($K394:AD394),('PTRM input'!$K$167*(1+rvanilla05)^0.5)/A25stdlife))</f>
        <v>0</v>
      </c>
      <c r="AF394" s="107">
        <f>IF(A25stdlife="n/a","n/a",IF(AF$3&gt;(A25stdlife+$E394),('PTRM input'!$K$167*(1+rvanilla05)^0.5)-SUM($K394:AE394),('PTRM input'!$K$167*(1+rvanilla05)^0.5)/A25stdlife))</f>
        <v>0</v>
      </c>
      <c r="AG394" s="107">
        <f>IF(A25stdlife="n/a","n/a",IF(AG$3&gt;(A25stdlife+$E394),('PTRM input'!$K$167*(1+rvanilla05)^0.5)-SUM($K394:AF394),('PTRM input'!$K$167*(1+rvanilla05)^0.5)/A25stdlife))</f>
        <v>0</v>
      </c>
      <c r="AH394" s="107">
        <f>IF(A25stdlife="n/a","n/a",IF(AH$3&gt;(A25stdlife+$E394),('PTRM input'!$K$167*(1+rvanilla05)^0.5)-SUM($K394:AG394),('PTRM input'!$K$167*(1+rvanilla05)^0.5)/A25stdlife))</f>
        <v>0</v>
      </c>
      <c r="AI394" s="107">
        <f>IF(A25stdlife="n/a","n/a",IF(AI$3&gt;(A25stdlife+$E394),('PTRM input'!$K$167*(1+rvanilla05)^0.5)-SUM($K394:AH394),('PTRM input'!$K$167*(1+rvanilla05)^0.5)/A25stdlife))</f>
        <v>0</v>
      </c>
      <c r="AJ394" s="107">
        <f>IF(A25stdlife="n/a","n/a",IF(AJ$3&gt;(A25stdlife+$E394),('PTRM input'!$K$167*(1+rvanilla05)^0.5)-SUM($K394:AI394),('PTRM input'!$K$167*(1+rvanilla05)^0.5)/A25stdlife))</f>
        <v>0</v>
      </c>
      <c r="AK394" s="107">
        <f>IF(A25stdlife="n/a","n/a",IF(AK$3&gt;(A25stdlife+$E394),('PTRM input'!$K$167*(1+rvanilla05)^0.5)-SUM($K394:AJ394),('PTRM input'!$K$167*(1+rvanilla05)^0.5)/A25stdlife))</f>
        <v>0</v>
      </c>
      <c r="AL394" s="107">
        <f>IF(A25stdlife="n/a","n/a",IF(AL$3&gt;(A25stdlife+$E394),('PTRM input'!$K$167*(1+rvanilla05)^0.5)-SUM($K394:AK394),('PTRM input'!$K$167*(1+rvanilla05)^0.5)/A25stdlife))</f>
        <v>0</v>
      </c>
      <c r="AM394" s="107">
        <f>IF(A25stdlife="n/a","n/a",IF(AM$3&gt;(A25stdlife+$E394),('PTRM input'!$K$167*(1+rvanilla05)^0.5)-SUM($K394:AL394),('PTRM input'!$K$167*(1+rvanilla05)^0.5)/A25stdlife))</f>
        <v>0</v>
      </c>
      <c r="AN394" s="107">
        <f>IF(A25stdlife="n/a","n/a",IF(AN$3&gt;(A25stdlife+$E394),('PTRM input'!$K$167*(1+rvanilla05)^0.5)-SUM($K394:AM394),('PTRM input'!$K$167*(1+rvanilla05)^0.5)/A25stdlife))</f>
        <v>0</v>
      </c>
      <c r="AO394" s="107">
        <f>IF(A25stdlife="n/a","n/a",IF(AO$3&gt;(A25stdlife+$E394),('PTRM input'!$K$167*(1+rvanilla05)^0.5)-SUM($K394:AN394),('PTRM input'!$K$167*(1+rvanilla05)^0.5)/A25stdlife))</f>
        <v>0</v>
      </c>
      <c r="AP394" s="107">
        <f>IF(A25stdlife="n/a","n/a",IF(AP$3&gt;(A25stdlife+$E394),('PTRM input'!$K$167*(1+rvanilla05)^0.5)-SUM($K394:AO394),('PTRM input'!$K$167*(1+rvanilla05)^0.5)/A25stdlife))</f>
        <v>0</v>
      </c>
      <c r="AQ394" s="107">
        <f>IF(A25stdlife="n/a","n/a",IF(AQ$3&gt;(A25stdlife+$E394),('PTRM input'!$K$167*(1+rvanilla05)^0.5)-SUM($K394:AP394),('PTRM input'!$K$167*(1+rvanilla05)^0.5)/A25stdlife))</f>
        <v>0</v>
      </c>
      <c r="AR394" s="107">
        <f>IF(A25stdlife="n/a","n/a",IF(AR$3&gt;(A25stdlife+$E394),('PTRM input'!$K$167*(1+rvanilla05)^0.5)-SUM($K394:AQ394),('PTRM input'!$K$167*(1+rvanilla05)^0.5)/A25stdlife))</f>
        <v>0</v>
      </c>
      <c r="AS394" s="107">
        <f>IF(A25stdlife="n/a","n/a",IF(AS$3&gt;(A25stdlife+$E394),('PTRM input'!$K$167*(1+rvanilla05)^0.5)-SUM($K394:AR394),('PTRM input'!$K$167*(1+rvanilla05)^0.5)/A25stdlife))</f>
        <v>0</v>
      </c>
      <c r="AT394" s="107">
        <f>IF(A25stdlife="n/a","n/a",IF(AT$3&gt;(A25stdlife+$E394),('PTRM input'!$K$167*(1+rvanilla05)^0.5)-SUM($K394:AS394),('PTRM input'!$K$167*(1+rvanilla05)^0.5)/A25stdlife))</f>
        <v>0</v>
      </c>
      <c r="AU394" s="107">
        <f>IF(A25stdlife="n/a","n/a",IF(AU$3&gt;(A25stdlife+$E394),('PTRM input'!$K$167*(1+rvanilla05)^0.5)-SUM($K394:AT394),('PTRM input'!$K$167*(1+rvanilla05)^0.5)/A25stdlife))</f>
        <v>0</v>
      </c>
      <c r="AV394" s="107">
        <f>IF(A25stdlife="n/a","n/a",IF(AV$3&gt;(A25stdlife+$E394),('PTRM input'!$K$167*(1+rvanilla05)^0.5)-SUM($K394:AU394),('PTRM input'!$K$167*(1+rvanilla05)^0.5)/A25stdlife))</f>
        <v>0</v>
      </c>
      <c r="AW394" s="107">
        <f>IF(A25stdlife="n/a","n/a",IF(AW$3&gt;(A25stdlife+$E394),('PTRM input'!$K$167*(1+rvanilla05)^0.5)-SUM($K394:AV394),('PTRM input'!$K$167*(1+rvanilla05)^0.5)/A25stdlife))</f>
        <v>0</v>
      </c>
      <c r="AX394" s="107">
        <f>IF(A25stdlife="n/a","n/a",IF(AX$3&gt;(A25stdlife+$E394),('PTRM input'!$K$167*(1+rvanilla05)^0.5)-SUM($K394:AW394),('PTRM input'!$K$167*(1+rvanilla05)^0.5)/A25stdlife))</f>
        <v>0</v>
      </c>
      <c r="AY394" s="107">
        <f>IF(A25stdlife="n/a","n/a",IF(AY$3&gt;(A25stdlife+$E394),('PTRM input'!$K$167*(1+rvanilla05)^0.5)-SUM($K394:AX394),('PTRM input'!$K$167*(1+rvanilla05)^0.5)/A25stdlife))</f>
        <v>0</v>
      </c>
      <c r="AZ394" s="107">
        <f>IF(A25stdlife="n/a","n/a",IF(AZ$3&gt;(A25stdlife+$E394),('PTRM input'!$K$167*(1+rvanilla05)^0.5)-SUM($K394:AY394),('PTRM input'!$K$167*(1+rvanilla05)^0.5)/A25stdlife))</f>
        <v>0</v>
      </c>
      <c r="BA394" s="107">
        <f>IF(A25stdlife="n/a","n/a",IF(BA$3&gt;(A25stdlife+$E394),('PTRM input'!$K$167*(1+rvanilla05)^0.5)-SUM($K394:AZ394),('PTRM input'!$K$167*(1+rvanilla05)^0.5)/A25stdlife))</f>
        <v>0</v>
      </c>
      <c r="BB394" s="107">
        <f>IF(A25stdlife="n/a","n/a",IF(BB$3&gt;(A25stdlife+$E394),('PTRM input'!$K$167*(1+rvanilla05)^0.5)-SUM($K394:BA394),('PTRM input'!$K$167*(1+rvanilla05)^0.5)/A25stdlife))</f>
        <v>0</v>
      </c>
      <c r="BC394" s="107">
        <f>IF(A25stdlife="n/a","n/a",IF(BC$3&gt;(A25stdlife+$E394),('PTRM input'!$K$167*(1+rvanilla05)^0.5)-SUM($K394:BB394),('PTRM input'!$K$167*(1+rvanilla05)^0.5)/A25stdlife))</f>
        <v>0</v>
      </c>
      <c r="BD394" s="107">
        <f>IF(A25stdlife="n/a","n/a",IF(BD$3&gt;(A25stdlife+$E394),('PTRM input'!$K$167*(1+rvanilla05)^0.5)-SUM($K394:BC394),('PTRM input'!$K$167*(1+rvanilla05)^0.5)/A25stdlife))</f>
        <v>0</v>
      </c>
      <c r="BE394" s="107">
        <f>IF(A25stdlife="n/a","n/a",IF(BE$3&gt;(A25stdlife+$E394),('PTRM input'!$K$167*(1+rvanilla05)^0.5)-SUM($K394:BD394),('PTRM input'!$K$167*(1+rvanilla05)^0.5)/A25stdlife))</f>
        <v>0</v>
      </c>
      <c r="BF394" s="107">
        <f>IF(A25stdlife="n/a","n/a",IF(BF$3&gt;(A25stdlife+$E394),('PTRM input'!$K$167*(1+rvanilla05)^0.5)-SUM($K394:BE394),('PTRM input'!$K$167*(1+rvanilla05)^0.5)/A25stdlife))</f>
        <v>0</v>
      </c>
      <c r="BG394" s="107">
        <f>IF(A25stdlife="n/a","n/a",IF(BG$3&gt;(A25stdlife+$E394),('PTRM input'!$K$167*(1+rvanilla05)^0.5)-SUM($K394:BF394),('PTRM input'!$K$167*(1+rvanilla05)^0.5)/A25stdlife))</f>
        <v>0</v>
      </c>
      <c r="BH394" s="107">
        <f>IF(A25stdlife="n/a","n/a",IF(BH$3&gt;(A25stdlife+$E394),('PTRM input'!$K$167*(1+rvanilla05)^0.5)-SUM($K394:BG394),('PTRM input'!$K$167*(1+rvanilla05)^0.5)/A25stdlife))</f>
        <v>0</v>
      </c>
      <c r="BI394" s="107">
        <f>IF(A25stdlife="n/a","n/a",IF(BI$3&gt;(A25stdlife+$E394),('PTRM input'!$K$167*(1+rvanilla05)^0.5)-SUM($K394:BH394),('PTRM input'!$K$167*(1+rvanilla05)^0.5)/A25stdlife))</f>
        <v>0</v>
      </c>
      <c r="BJ394" s="237"/>
      <c r="BK394" s="237"/>
      <c r="BL394" s="237"/>
      <c r="BM394" s="237"/>
    </row>
    <row r="395" spans="1:65" s="190" customFormat="1" hidden="1" outlineLevel="2">
      <c r="A395" s="237"/>
      <c r="B395" s="33"/>
      <c r="C395" s="32"/>
      <c r="D395" s="1618"/>
      <c r="E395" s="169">
        <v>6</v>
      </c>
      <c r="F395" s="35"/>
      <c r="G395" s="184"/>
      <c r="H395" s="186"/>
      <c r="I395" s="186"/>
      <c r="J395" s="186"/>
      <c r="K395" s="186"/>
      <c r="L395" s="185"/>
      <c r="M395" s="107">
        <f>IF(A25stdlife="n/a","n/a",IF(M$3&gt;(A25stdlife+$E395),('PTRM input'!$L$167*(1+rvanilla06)^0.5)-SUM($L395:L395),('PTRM input'!$L$167*(1+rvanilla06)^0.5)/A25stdlife))</f>
        <v>0</v>
      </c>
      <c r="N395" s="107">
        <f>IF(A25stdlife="n/a","n/a",IF(N$3&gt;(A25stdlife+$E395),('PTRM input'!$L$167*(1+rvanilla06)^0.5)-SUM($L395:M395),('PTRM input'!$L$167*(1+rvanilla06)^0.5)/A25stdlife))</f>
        <v>0</v>
      </c>
      <c r="O395" s="107">
        <f>IF(A25stdlife="n/a","n/a",IF(O$3&gt;(A25stdlife+$E395),('PTRM input'!$L$167*(1+rvanilla06)^0.5)-SUM($L395:N395),('PTRM input'!$L$167*(1+rvanilla06)^0.5)/A25stdlife))</f>
        <v>0</v>
      </c>
      <c r="P395" s="107">
        <f>IF(A25stdlife="n/a","n/a",IF(P$3&gt;(A25stdlife+$E395),('PTRM input'!$L$167*(1+rvanilla06)^0.5)-SUM($L395:O395),('PTRM input'!$L$167*(1+rvanilla06)^0.5)/A25stdlife))</f>
        <v>0</v>
      </c>
      <c r="Q395" s="107">
        <f>IF(A25stdlife="n/a","n/a",IF(Q$3&gt;(A25stdlife+$E395),('PTRM input'!$L$167*(1+rvanilla06)^0.5)-SUM($L395:P395),('PTRM input'!$L$167*(1+rvanilla06)^0.5)/A25stdlife))</f>
        <v>0</v>
      </c>
      <c r="R395" s="107">
        <f>IF(A25stdlife="n/a","n/a",IF(R$3&gt;(A25stdlife+$E395),('PTRM input'!$L$167*(1+rvanilla06)^0.5)-SUM($L395:Q395),('PTRM input'!$L$167*(1+rvanilla06)^0.5)/A25stdlife))</f>
        <v>0</v>
      </c>
      <c r="S395" s="107">
        <f>IF(A25stdlife="n/a","n/a",IF(S$3&gt;(A25stdlife+$E395),('PTRM input'!$L$167*(1+rvanilla06)^0.5)-SUM($L395:R395),('PTRM input'!$L$167*(1+rvanilla06)^0.5)/A25stdlife))</f>
        <v>0</v>
      </c>
      <c r="T395" s="107">
        <f>IF(A25stdlife="n/a","n/a",IF(T$3&gt;(A25stdlife+$E395),('PTRM input'!$L$167*(1+rvanilla06)^0.5)-SUM($L395:S395),('PTRM input'!$L$167*(1+rvanilla06)^0.5)/A25stdlife))</f>
        <v>0</v>
      </c>
      <c r="U395" s="107">
        <f>IF(A25stdlife="n/a","n/a",IF(U$3&gt;(A25stdlife+$E395),('PTRM input'!$L$167*(1+rvanilla06)^0.5)-SUM($L395:T395),('PTRM input'!$L$167*(1+rvanilla06)^0.5)/A25stdlife))</f>
        <v>0</v>
      </c>
      <c r="V395" s="107">
        <f>IF(A25stdlife="n/a","n/a",IF(V$3&gt;(A25stdlife+$E395),('PTRM input'!$L$167*(1+rvanilla06)^0.5)-SUM($L395:U395),('PTRM input'!$L$167*(1+rvanilla06)^0.5)/A25stdlife))</f>
        <v>0</v>
      </c>
      <c r="W395" s="107">
        <f>IF(A25stdlife="n/a","n/a",IF(W$3&gt;(A25stdlife+$E395),('PTRM input'!$L$167*(1+rvanilla06)^0.5)-SUM($L395:V395),('PTRM input'!$L$167*(1+rvanilla06)^0.5)/A25stdlife))</f>
        <v>0</v>
      </c>
      <c r="X395" s="107">
        <f>IF(A25stdlife="n/a","n/a",IF(X$3&gt;(A25stdlife+$E395),('PTRM input'!$L$167*(1+rvanilla06)^0.5)-SUM($L395:W395),('PTRM input'!$L$167*(1+rvanilla06)^0.5)/A25stdlife))</f>
        <v>0</v>
      </c>
      <c r="Y395" s="107">
        <f>IF(A25stdlife="n/a","n/a",IF(Y$3&gt;(A25stdlife+$E395),('PTRM input'!$L$167*(1+rvanilla06)^0.5)-SUM($L395:X395),('PTRM input'!$L$167*(1+rvanilla06)^0.5)/A25stdlife))</f>
        <v>0</v>
      </c>
      <c r="Z395" s="107">
        <f>IF(A25stdlife="n/a","n/a",IF(Z$3&gt;(A25stdlife+$E395),('PTRM input'!$L$167*(1+rvanilla06)^0.5)-SUM($L395:Y395),('PTRM input'!$L$167*(1+rvanilla06)^0.5)/A25stdlife))</f>
        <v>0</v>
      </c>
      <c r="AA395" s="107">
        <f>IF(A25stdlife="n/a","n/a",IF(AA$3&gt;(A25stdlife+$E395),('PTRM input'!$L$167*(1+rvanilla06)^0.5)-SUM($L395:Z395),('PTRM input'!$L$167*(1+rvanilla06)^0.5)/A25stdlife))</f>
        <v>0</v>
      </c>
      <c r="AB395" s="107">
        <f>IF(A25stdlife="n/a","n/a",IF(AB$3&gt;(A25stdlife+$E395),('PTRM input'!$L$167*(1+rvanilla06)^0.5)-SUM($L395:AA395),('PTRM input'!$L$167*(1+rvanilla06)^0.5)/A25stdlife))</f>
        <v>0</v>
      </c>
      <c r="AC395" s="107">
        <f>IF(A25stdlife="n/a","n/a",IF(AC$3&gt;(A25stdlife+$E395),('PTRM input'!$L$167*(1+rvanilla06)^0.5)-SUM($L395:AB395),('PTRM input'!$L$167*(1+rvanilla06)^0.5)/A25stdlife))</f>
        <v>0</v>
      </c>
      <c r="AD395" s="107">
        <f>IF(A25stdlife="n/a","n/a",IF(AD$3&gt;(A25stdlife+$E395),('PTRM input'!$L$167*(1+rvanilla06)^0.5)-SUM($L395:AC395),('PTRM input'!$L$167*(1+rvanilla06)^0.5)/A25stdlife))</f>
        <v>0</v>
      </c>
      <c r="AE395" s="107">
        <f>IF(A25stdlife="n/a","n/a",IF(AE$3&gt;(A25stdlife+$E395),('PTRM input'!$L$167*(1+rvanilla06)^0.5)-SUM($L395:AD395),('PTRM input'!$L$167*(1+rvanilla06)^0.5)/A25stdlife))</f>
        <v>0</v>
      </c>
      <c r="AF395" s="107">
        <f>IF(A25stdlife="n/a","n/a",IF(AF$3&gt;(A25stdlife+$E395),('PTRM input'!$L$167*(1+rvanilla06)^0.5)-SUM($L395:AE395),('PTRM input'!$L$167*(1+rvanilla06)^0.5)/A25stdlife))</f>
        <v>0</v>
      </c>
      <c r="AG395" s="107">
        <f>IF(A25stdlife="n/a","n/a",IF(AG$3&gt;(A25stdlife+$E395),('PTRM input'!$L$167*(1+rvanilla06)^0.5)-SUM($L395:AF395),('PTRM input'!$L$167*(1+rvanilla06)^0.5)/A25stdlife))</f>
        <v>0</v>
      </c>
      <c r="AH395" s="107">
        <f>IF(A25stdlife="n/a","n/a",IF(AH$3&gt;(A25stdlife+$E395),('PTRM input'!$L$167*(1+rvanilla06)^0.5)-SUM($L395:AG395),('PTRM input'!$L$167*(1+rvanilla06)^0.5)/A25stdlife))</f>
        <v>0</v>
      </c>
      <c r="AI395" s="107">
        <f>IF(A25stdlife="n/a","n/a",IF(AI$3&gt;(A25stdlife+$E395),('PTRM input'!$L$167*(1+rvanilla06)^0.5)-SUM($L395:AH395),('PTRM input'!$L$167*(1+rvanilla06)^0.5)/A25stdlife))</f>
        <v>0</v>
      </c>
      <c r="AJ395" s="107">
        <f>IF(A25stdlife="n/a","n/a",IF(AJ$3&gt;(A25stdlife+$E395),('PTRM input'!$L$167*(1+rvanilla06)^0.5)-SUM($L395:AI395),('PTRM input'!$L$167*(1+rvanilla06)^0.5)/A25stdlife))</f>
        <v>0</v>
      </c>
      <c r="AK395" s="107">
        <f>IF(A25stdlife="n/a","n/a",IF(AK$3&gt;(A25stdlife+$E395),('PTRM input'!$L$167*(1+rvanilla06)^0.5)-SUM($L395:AJ395),('PTRM input'!$L$167*(1+rvanilla06)^0.5)/A25stdlife))</f>
        <v>0</v>
      </c>
      <c r="AL395" s="107">
        <f>IF(A25stdlife="n/a","n/a",IF(AL$3&gt;(A25stdlife+$E395),('PTRM input'!$L$167*(1+rvanilla06)^0.5)-SUM($L395:AK395),('PTRM input'!$L$167*(1+rvanilla06)^0.5)/A25stdlife))</f>
        <v>0</v>
      </c>
      <c r="AM395" s="107">
        <f>IF(A25stdlife="n/a","n/a",IF(AM$3&gt;(A25stdlife+$E395),('PTRM input'!$L$167*(1+rvanilla06)^0.5)-SUM($L395:AL395),('PTRM input'!$L$167*(1+rvanilla06)^0.5)/A25stdlife))</f>
        <v>0</v>
      </c>
      <c r="AN395" s="107">
        <f>IF(A25stdlife="n/a","n/a",IF(AN$3&gt;(A25stdlife+$E395),('PTRM input'!$L$167*(1+rvanilla06)^0.5)-SUM($L395:AM395),('PTRM input'!$L$167*(1+rvanilla06)^0.5)/A25stdlife))</f>
        <v>0</v>
      </c>
      <c r="AO395" s="107">
        <f>IF(A25stdlife="n/a","n/a",IF(AO$3&gt;(A25stdlife+$E395),('PTRM input'!$L$167*(1+rvanilla06)^0.5)-SUM($L395:AN395),('PTRM input'!$L$167*(1+rvanilla06)^0.5)/A25stdlife))</f>
        <v>0</v>
      </c>
      <c r="AP395" s="107">
        <f>IF(A25stdlife="n/a","n/a",IF(AP$3&gt;(A25stdlife+$E395),('PTRM input'!$L$167*(1+rvanilla06)^0.5)-SUM($L395:AO395),('PTRM input'!$L$167*(1+rvanilla06)^0.5)/A25stdlife))</f>
        <v>0</v>
      </c>
      <c r="AQ395" s="107">
        <f>IF(A25stdlife="n/a","n/a",IF(AQ$3&gt;(A25stdlife+$E395),('PTRM input'!$L$167*(1+rvanilla06)^0.5)-SUM($L395:AP395),('PTRM input'!$L$167*(1+rvanilla06)^0.5)/A25stdlife))</f>
        <v>0</v>
      </c>
      <c r="AR395" s="107">
        <f>IF(A25stdlife="n/a","n/a",IF(AR$3&gt;(A25stdlife+$E395),('PTRM input'!$L$167*(1+rvanilla06)^0.5)-SUM($L395:AQ395),('PTRM input'!$L$167*(1+rvanilla06)^0.5)/A25stdlife))</f>
        <v>0</v>
      </c>
      <c r="AS395" s="107">
        <f>IF(A25stdlife="n/a","n/a",IF(AS$3&gt;(A25stdlife+$E395),('PTRM input'!$L$167*(1+rvanilla06)^0.5)-SUM($L395:AR395),('PTRM input'!$L$167*(1+rvanilla06)^0.5)/A25stdlife))</f>
        <v>0</v>
      </c>
      <c r="AT395" s="107">
        <f>IF(A25stdlife="n/a","n/a",IF(AT$3&gt;(A25stdlife+$E395),('PTRM input'!$L$167*(1+rvanilla06)^0.5)-SUM($L395:AS395),('PTRM input'!$L$167*(1+rvanilla06)^0.5)/A25stdlife))</f>
        <v>0</v>
      </c>
      <c r="AU395" s="107">
        <f>IF(A25stdlife="n/a","n/a",IF(AU$3&gt;(A25stdlife+$E395),('PTRM input'!$L$167*(1+rvanilla06)^0.5)-SUM($L395:AT395),('PTRM input'!$L$167*(1+rvanilla06)^0.5)/A25stdlife))</f>
        <v>0</v>
      </c>
      <c r="AV395" s="107">
        <f>IF(A25stdlife="n/a","n/a",IF(AV$3&gt;(A25stdlife+$E395),('PTRM input'!$L$167*(1+rvanilla06)^0.5)-SUM($L395:AU395),('PTRM input'!$L$167*(1+rvanilla06)^0.5)/A25stdlife))</f>
        <v>0</v>
      </c>
      <c r="AW395" s="107">
        <f>IF(A25stdlife="n/a","n/a",IF(AW$3&gt;(A25stdlife+$E395),('PTRM input'!$L$167*(1+rvanilla06)^0.5)-SUM($L395:AV395),('PTRM input'!$L$167*(1+rvanilla06)^0.5)/A25stdlife))</f>
        <v>0</v>
      </c>
      <c r="AX395" s="107">
        <f>IF(A25stdlife="n/a","n/a",IF(AX$3&gt;(A25stdlife+$E395),('PTRM input'!$L$167*(1+rvanilla06)^0.5)-SUM($L395:AW395),('PTRM input'!$L$167*(1+rvanilla06)^0.5)/A25stdlife))</f>
        <v>0</v>
      </c>
      <c r="AY395" s="107">
        <f>IF(A25stdlife="n/a","n/a",IF(AY$3&gt;(A25stdlife+$E395),('PTRM input'!$L$167*(1+rvanilla06)^0.5)-SUM($L395:AX395),('PTRM input'!$L$167*(1+rvanilla06)^0.5)/A25stdlife))</f>
        <v>0</v>
      </c>
      <c r="AZ395" s="107">
        <f>IF(A25stdlife="n/a","n/a",IF(AZ$3&gt;(A25stdlife+$E395),('PTRM input'!$L$167*(1+rvanilla06)^0.5)-SUM($L395:AY395),('PTRM input'!$L$167*(1+rvanilla06)^0.5)/A25stdlife))</f>
        <v>0</v>
      </c>
      <c r="BA395" s="107">
        <f>IF(A25stdlife="n/a","n/a",IF(BA$3&gt;(A25stdlife+$E395),('PTRM input'!$L$167*(1+rvanilla06)^0.5)-SUM($L395:AZ395),('PTRM input'!$L$167*(1+rvanilla06)^0.5)/A25stdlife))</f>
        <v>0</v>
      </c>
      <c r="BB395" s="107">
        <f>IF(A25stdlife="n/a","n/a",IF(BB$3&gt;(A25stdlife+$E395),('PTRM input'!$L$167*(1+rvanilla06)^0.5)-SUM($L395:BA395),('PTRM input'!$L$167*(1+rvanilla06)^0.5)/A25stdlife))</f>
        <v>0</v>
      </c>
      <c r="BC395" s="107">
        <f>IF(A25stdlife="n/a","n/a",IF(BC$3&gt;(A25stdlife+$E395),('PTRM input'!$L$167*(1+rvanilla06)^0.5)-SUM($L395:BB395),('PTRM input'!$L$167*(1+rvanilla06)^0.5)/A25stdlife))</f>
        <v>0</v>
      </c>
      <c r="BD395" s="107">
        <f>IF(A25stdlife="n/a","n/a",IF(BD$3&gt;(A25stdlife+$E395),('PTRM input'!$L$167*(1+rvanilla06)^0.5)-SUM($L395:BC395),('PTRM input'!$L$167*(1+rvanilla06)^0.5)/A25stdlife))</f>
        <v>0</v>
      </c>
      <c r="BE395" s="107">
        <f>IF(A25stdlife="n/a","n/a",IF(BE$3&gt;(A25stdlife+$E395),('PTRM input'!$L$167*(1+rvanilla06)^0.5)-SUM($L395:BD395),('PTRM input'!$L$167*(1+rvanilla06)^0.5)/A25stdlife))</f>
        <v>0</v>
      </c>
      <c r="BF395" s="107">
        <f>IF(A25stdlife="n/a","n/a",IF(BF$3&gt;(A25stdlife+$E395),('PTRM input'!$L$167*(1+rvanilla06)^0.5)-SUM($L395:BE395),('PTRM input'!$L$167*(1+rvanilla06)^0.5)/A25stdlife))</f>
        <v>0</v>
      </c>
      <c r="BG395" s="107">
        <f>IF(A25stdlife="n/a","n/a",IF(BG$3&gt;(A25stdlife+$E395),('PTRM input'!$L$167*(1+rvanilla06)^0.5)-SUM($L395:BF395),('PTRM input'!$L$167*(1+rvanilla06)^0.5)/A25stdlife))</f>
        <v>0</v>
      </c>
      <c r="BH395" s="107">
        <f>IF(A25stdlife="n/a","n/a",IF(BH$3&gt;(A25stdlife+$E395),('PTRM input'!$L$167*(1+rvanilla06)^0.5)-SUM($L395:BG395),('PTRM input'!$L$167*(1+rvanilla06)^0.5)/A25stdlife))</f>
        <v>0</v>
      </c>
      <c r="BI395" s="107">
        <f>IF(A25stdlife="n/a","n/a",IF(BI$3&gt;(A25stdlife+$E395),('PTRM input'!$L$167*(1+rvanilla06)^0.5)-SUM($L395:BH395),('PTRM input'!$L$167*(1+rvanilla06)^0.5)/A25stdlife))</f>
        <v>0</v>
      </c>
      <c r="BJ395" s="237"/>
      <c r="BK395" s="237"/>
      <c r="BL395" s="237"/>
      <c r="BM395" s="237"/>
    </row>
    <row r="396" spans="1:65" s="190" customFormat="1" hidden="1" outlineLevel="2">
      <c r="A396" s="237"/>
      <c r="B396" s="33"/>
      <c r="C396" s="32"/>
      <c r="D396" s="1618"/>
      <c r="E396" s="169">
        <v>7</v>
      </c>
      <c r="F396" s="35"/>
      <c r="G396" s="184"/>
      <c r="H396" s="186"/>
      <c r="I396" s="186"/>
      <c r="J396" s="186"/>
      <c r="K396" s="186"/>
      <c r="L396" s="186"/>
      <c r="M396" s="185"/>
      <c r="N396" s="107">
        <f>IF(A25stdlife="n/a","n/a",IF(N$3&gt;(A25stdlife+$E396),('PTRM input'!$M$167*(1+rvanilla07)^0.5)-SUM($M396:M396),('PTRM input'!$M$167*(1+rvanilla07)^0.5)/A25stdlife))</f>
        <v>0</v>
      </c>
      <c r="O396" s="107">
        <f>IF(A25stdlife="n/a","n/a",IF(O$3&gt;(A25stdlife+$E396),('PTRM input'!$M$167*(1+rvanilla07)^0.5)-SUM($M396:N396),('PTRM input'!$M$167*(1+rvanilla07)^0.5)/A25stdlife))</f>
        <v>0</v>
      </c>
      <c r="P396" s="107">
        <f>IF(A25stdlife="n/a","n/a",IF(P$3&gt;(A25stdlife+$E396),('PTRM input'!$M$167*(1+rvanilla07)^0.5)-SUM($M396:O396),('PTRM input'!$M$167*(1+rvanilla07)^0.5)/A25stdlife))</f>
        <v>0</v>
      </c>
      <c r="Q396" s="107">
        <f>IF(A25stdlife="n/a","n/a",IF(Q$3&gt;(A25stdlife+$E396),('PTRM input'!$M$167*(1+rvanilla07)^0.5)-SUM($M396:P396),('PTRM input'!$M$167*(1+rvanilla07)^0.5)/A25stdlife))</f>
        <v>0</v>
      </c>
      <c r="R396" s="107">
        <f>IF(A25stdlife="n/a","n/a",IF(R$3&gt;(A25stdlife+$E396),('PTRM input'!$M$167*(1+rvanilla07)^0.5)-SUM($M396:Q396),('PTRM input'!$M$167*(1+rvanilla07)^0.5)/A25stdlife))</f>
        <v>0</v>
      </c>
      <c r="S396" s="107">
        <f>IF(A25stdlife="n/a","n/a",IF(S$3&gt;(A25stdlife+$E396),('PTRM input'!$M$167*(1+rvanilla07)^0.5)-SUM($M396:R396),('PTRM input'!$M$167*(1+rvanilla07)^0.5)/A25stdlife))</f>
        <v>0</v>
      </c>
      <c r="T396" s="107">
        <f>IF(A25stdlife="n/a","n/a",IF(T$3&gt;(A25stdlife+$E396),('PTRM input'!$M$167*(1+rvanilla07)^0.5)-SUM($M396:S396),('PTRM input'!$M$167*(1+rvanilla07)^0.5)/A25stdlife))</f>
        <v>0</v>
      </c>
      <c r="U396" s="107">
        <f>IF(A25stdlife="n/a","n/a",IF(U$3&gt;(A25stdlife+$E396),('PTRM input'!$M$167*(1+rvanilla07)^0.5)-SUM($M396:T396),('PTRM input'!$M$167*(1+rvanilla07)^0.5)/A25stdlife))</f>
        <v>0</v>
      </c>
      <c r="V396" s="107">
        <f>IF(A25stdlife="n/a","n/a",IF(V$3&gt;(A25stdlife+$E396),('PTRM input'!$M$167*(1+rvanilla07)^0.5)-SUM($M396:U396),('PTRM input'!$M$167*(1+rvanilla07)^0.5)/A25stdlife))</f>
        <v>0</v>
      </c>
      <c r="W396" s="107">
        <f>IF(A25stdlife="n/a","n/a",IF(W$3&gt;(A25stdlife+$E396),('PTRM input'!$M$167*(1+rvanilla07)^0.5)-SUM($M396:V396),('PTRM input'!$M$167*(1+rvanilla07)^0.5)/A25stdlife))</f>
        <v>0</v>
      </c>
      <c r="X396" s="107">
        <f>IF(A25stdlife="n/a","n/a",IF(X$3&gt;(A25stdlife+$E396),('PTRM input'!$M$167*(1+rvanilla07)^0.5)-SUM($M396:W396),('PTRM input'!$M$167*(1+rvanilla07)^0.5)/A25stdlife))</f>
        <v>0</v>
      </c>
      <c r="Y396" s="107">
        <f>IF(A25stdlife="n/a","n/a",IF(Y$3&gt;(A25stdlife+$E396),('PTRM input'!$M$167*(1+rvanilla07)^0.5)-SUM($M396:X396),('PTRM input'!$M$167*(1+rvanilla07)^0.5)/A25stdlife))</f>
        <v>0</v>
      </c>
      <c r="Z396" s="107">
        <f>IF(A25stdlife="n/a","n/a",IF(Z$3&gt;(A25stdlife+$E396),('PTRM input'!$M$167*(1+rvanilla07)^0.5)-SUM($M396:Y396),('PTRM input'!$M$167*(1+rvanilla07)^0.5)/A25stdlife))</f>
        <v>0</v>
      </c>
      <c r="AA396" s="107">
        <f>IF(A25stdlife="n/a","n/a",IF(AA$3&gt;(A25stdlife+$E396),('PTRM input'!$M$167*(1+rvanilla07)^0.5)-SUM($M396:Z396),('PTRM input'!$M$167*(1+rvanilla07)^0.5)/A25stdlife))</f>
        <v>0</v>
      </c>
      <c r="AB396" s="107">
        <f>IF(A25stdlife="n/a","n/a",IF(AB$3&gt;(A25stdlife+$E396),('PTRM input'!$M$167*(1+rvanilla07)^0.5)-SUM($M396:AA396),('PTRM input'!$M$167*(1+rvanilla07)^0.5)/A25stdlife))</f>
        <v>0</v>
      </c>
      <c r="AC396" s="107">
        <f>IF(A25stdlife="n/a","n/a",IF(AC$3&gt;(A25stdlife+$E396),('PTRM input'!$M$167*(1+rvanilla07)^0.5)-SUM($M396:AB396),('PTRM input'!$M$167*(1+rvanilla07)^0.5)/A25stdlife))</f>
        <v>0</v>
      </c>
      <c r="AD396" s="107">
        <f>IF(A25stdlife="n/a","n/a",IF(AD$3&gt;(A25stdlife+$E396),('PTRM input'!$M$167*(1+rvanilla07)^0.5)-SUM($M396:AC396),('PTRM input'!$M$167*(1+rvanilla07)^0.5)/A25stdlife))</f>
        <v>0</v>
      </c>
      <c r="AE396" s="107">
        <f>IF(A25stdlife="n/a","n/a",IF(AE$3&gt;(A25stdlife+$E396),('PTRM input'!$M$167*(1+rvanilla07)^0.5)-SUM($M396:AD396),('PTRM input'!$M$167*(1+rvanilla07)^0.5)/A25stdlife))</f>
        <v>0</v>
      </c>
      <c r="AF396" s="107">
        <f>IF(A25stdlife="n/a","n/a",IF(AF$3&gt;(A25stdlife+$E396),('PTRM input'!$M$167*(1+rvanilla07)^0.5)-SUM($M396:AE396),('PTRM input'!$M$167*(1+rvanilla07)^0.5)/A25stdlife))</f>
        <v>0</v>
      </c>
      <c r="AG396" s="107">
        <f>IF(A25stdlife="n/a","n/a",IF(AG$3&gt;(A25stdlife+$E396),('PTRM input'!$M$167*(1+rvanilla07)^0.5)-SUM($M396:AF396),('PTRM input'!$M$167*(1+rvanilla07)^0.5)/A25stdlife))</f>
        <v>0</v>
      </c>
      <c r="AH396" s="107">
        <f>IF(A25stdlife="n/a","n/a",IF(AH$3&gt;(A25stdlife+$E396),('PTRM input'!$M$167*(1+rvanilla07)^0.5)-SUM($M396:AG396),('PTRM input'!$M$167*(1+rvanilla07)^0.5)/A25stdlife))</f>
        <v>0</v>
      </c>
      <c r="AI396" s="107">
        <f>IF(A25stdlife="n/a","n/a",IF(AI$3&gt;(A25stdlife+$E396),('PTRM input'!$M$167*(1+rvanilla07)^0.5)-SUM($M396:AH396),('PTRM input'!$M$167*(1+rvanilla07)^0.5)/A25stdlife))</f>
        <v>0</v>
      </c>
      <c r="AJ396" s="107">
        <f>IF(A25stdlife="n/a","n/a",IF(AJ$3&gt;(A25stdlife+$E396),('PTRM input'!$M$167*(1+rvanilla07)^0.5)-SUM($M396:AI396),('PTRM input'!$M$167*(1+rvanilla07)^0.5)/A25stdlife))</f>
        <v>0</v>
      </c>
      <c r="AK396" s="107">
        <f>IF(A25stdlife="n/a","n/a",IF(AK$3&gt;(A25stdlife+$E396),('PTRM input'!$M$167*(1+rvanilla07)^0.5)-SUM($M396:AJ396),('PTRM input'!$M$167*(1+rvanilla07)^0.5)/A25stdlife))</f>
        <v>0</v>
      </c>
      <c r="AL396" s="107">
        <f>IF(A25stdlife="n/a","n/a",IF(AL$3&gt;(A25stdlife+$E396),('PTRM input'!$M$167*(1+rvanilla07)^0.5)-SUM($M396:AK396),('PTRM input'!$M$167*(1+rvanilla07)^0.5)/A25stdlife))</f>
        <v>0</v>
      </c>
      <c r="AM396" s="107">
        <f>IF(A25stdlife="n/a","n/a",IF(AM$3&gt;(A25stdlife+$E396),('PTRM input'!$M$167*(1+rvanilla07)^0.5)-SUM($M396:AL396),('PTRM input'!$M$167*(1+rvanilla07)^0.5)/A25stdlife))</f>
        <v>0</v>
      </c>
      <c r="AN396" s="107">
        <f>IF(A25stdlife="n/a","n/a",IF(AN$3&gt;(A25stdlife+$E396),('PTRM input'!$M$167*(1+rvanilla07)^0.5)-SUM($M396:AM396),('PTRM input'!$M$167*(1+rvanilla07)^0.5)/A25stdlife))</f>
        <v>0</v>
      </c>
      <c r="AO396" s="107">
        <f>IF(A25stdlife="n/a","n/a",IF(AO$3&gt;(A25stdlife+$E396),('PTRM input'!$M$167*(1+rvanilla07)^0.5)-SUM($M396:AN396),('PTRM input'!$M$167*(1+rvanilla07)^0.5)/A25stdlife))</f>
        <v>0</v>
      </c>
      <c r="AP396" s="107">
        <f>IF(A25stdlife="n/a","n/a",IF(AP$3&gt;(A25stdlife+$E396),('PTRM input'!$M$167*(1+rvanilla07)^0.5)-SUM($M396:AO396),('PTRM input'!$M$167*(1+rvanilla07)^0.5)/A25stdlife))</f>
        <v>0</v>
      </c>
      <c r="AQ396" s="107">
        <f>IF(A25stdlife="n/a","n/a",IF(AQ$3&gt;(A25stdlife+$E396),('PTRM input'!$M$167*(1+rvanilla07)^0.5)-SUM($M396:AP396),('PTRM input'!$M$167*(1+rvanilla07)^0.5)/A25stdlife))</f>
        <v>0</v>
      </c>
      <c r="AR396" s="107">
        <f>IF(A25stdlife="n/a","n/a",IF(AR$3&gt;(A25stdlife+$E396),('PTRM input'!$M$167*(1+rvanilla07)^0.5)-SUM($M396:AQ396),('PTRM input'!$M$167*(1+rvanilla07)^0.5)/A25stdlife))</f>
        <v>0</v>
      </c>
      <c r="AS396" s="107">
        <f>IF(A25stdlife="n/a","n/a",IF(AS$3&gt;(A25stdlife+$E396),('PTRM input'!$M$167*(1+rvanilla07)^0.5)-SUM($M396:AR396),('PTRM input'!$M$167*(1+rvanilla07)^0.5)/A25stdlife))</f>
        <v>0</v>
      </c>
      <c r="AT396" s="107">
        <f>IF(A25stdlife="n/a","n/a",IF(AT$3&gt;(A25stdlife+$E396),('PTRM input'!$M$167*(1+rvanilla07)^0.5)-SUM($M396:AS396),('PTRM input'!$M$167*(1+rvanilla07)^0.5)/A25stdlife))</f>
        <v>0</v>
      </c>
      <c r="AU396" s="107">
        <f>IF(A25stdlife="n/a","n/a",IF(AU$3&gt;(A25stdlife+$E396),('PTRM input'!$M$167*(1+rvanilla07)^0.5)-SUM($M396:AT396),('PTRM input'!$M$167*(1+rvanilla07)^0.5)/A25stdlife))</f>
        <v>0</v>
      </c>
      <c r="AV396" s="107">
        <f>IF(A25stdlife="n/a","n/a",IF(AV$3&gt;(A25stdlife+$E396),('PTRM input'!$M$167*(1+rvanilla07)^0.5)-SUM($M396:AU396),('PTRM input'!$M$167*(1+rvanilla07)^0.5)/A25stdlife))</f>
        <v>0</v>
      </c>
      <c r="AW396" s="107">
        <f>IF(A25stdlife="n/a","n/a",IF(AW$3&gt;(A25stdlife+$E396),('PTRM input'!$M$167*(1+rvanilla07)^0.5)-SUM($M396:AV396),('PTRM input'!$M$167*(1+rvanilla07)^0.5)/A25stdlife))</f>
        <v>0</v>
      </c>
      <c r="AX396" s="107">
        <f>IF(A25stdlife="n/a","n/a",IF(AX$3&gt;(A25stdlife+$E396),('PTRM input'!$M$167*(1+rvanilla07)^0.5)-SUM($M396:AW396),('PTRM input'!$M$167*(1+rvanilla07)^0.5)/A25stdlife))</f>
        <v>0</v>
      </c>
      <c r="AY396" s="107">
        <f>IF(A25stdlife="n/a","n/a",IF(AY$3&gt;(A25stdlife+$E396),('PTRM input'!$M$167*(1+rvanilla07)^0.5)-SUM($M396:AX396),('PTRM input'!$M$167*(1+rvanilla07)^0.5)/A25stdlife))</f>
        <v>0</v>
      </c>
      <c r="AZ396" s="107">
        <f>IF(A25stdlife="n/a","n/a",IF(AZ$3&gt;(A25stdlife+$E396),('PTRM input'!$M$167*(1+rvanilla07)^0.5)-SUM($M396:AY396),('PTRM input'!$M$167*(1+rvanilla07)^0.5)/A25stdlife))</f>
        <v>0</v>
      </c>
      <c r="BA396" s="107">
        <f>IF(A25stdlife="n/a","n/a",IF(BA$3&gt;(A25stdlife+$E396),('PTRM input'!$M$167*(1+rvanilla07)^0.5)-SUM($M396:AZ396),('PTRM input'!$M$167*(1+rvanilla07)^0.5)/A25stdlife))</f>
        <v>0</v>
      </c>
      <c r="BB396" s="107">
        <f>IF(A25stdlife="n/a","n/a",IF(BB$3&gt;(A25stdlife+$E396),('PTRM input'!$M$167*(1+rvanilla07)^0.5)-SUM($M396:BA396),('PTRM input'!$M$167*(1+rvanilla07)^0.5)/A25stdlife))</f>
        <v>0</v>
      </c>
      <c r="BC396" s="107">
        <f>IF(A25stdlife="n/a","n/a",IF(BC$3&gt;(A25stdlife+$E396),('PTRM input'!$M$167*(1+rvanilla07)^0.5)-SUM($M396:BB396),('PTRM input'!$M$167*(1+rvanilla07)^0.5)/A25stdlife))</f>
        <v>0</v>
      </c>
      <c r="BD396" s="107">
        <f>IF(A25stdlife="n/a","n/a",IF(BD$3&gt;(A25stdlife+$E396),('PTRM input'!$M$167*(1+rvanilla07)^0.5)-SUM($M396:BC396),('PTRM input'!$M$167*(1+rvanilla07)^0.5)/A25stdlife))</f>
        <v>0</v>
      </c>
      <c r="BE396" s="107">
        <f>IF(A25stdlife="n/a","n/a",IF(BE$3&gt;(A25stdlife+$E396),('PTRM input'!$M$167*(1+rvanilla07)^0.5)-SUM($M396:BD396),('PTRM input'!$M$167*(1+rvanilla07)^0.5)/A25stdlife))</f>
        <v>0</v>
      </c>
      <c r="BF396" s="107">
        <f>IF(A25stdlife="n/a","n/a",IF(BF$3&gt;(A25stdlife+$E396),('PTRM input'!$M$167*(1+rvanilla07)^0.5)-SUM($M396:BE396),('PTRM input'!$M$167*(1+rvanilla07)^0.5)/A25stdlife))</f>
        <v>0</v>
      </c>
      <c r="BG396" s="107">
        <f>IF(A25stdlife="n/a","n/a",IF(BG$3&gt;(A25stdlife+$E396),('PTRM input'!$M$167*(1+rvanilla07)^0.5)-SUM($M396:BF396),('PTRM input'!$M$167*(1+rvanilla07)^0.5)/A25stdlife))</f>
        <v>0</v>
      </c>
      <c r="BH396" s="107">
        <f>IF(A25stdlife="n/a","n/a",IF(BH$3&gt;(A25stdlife+$E396),('PTRM input'!$M$167*(1+rvanilla07)^0.5)-SUM($M396:BG396),('PTRM input'!$M$167*(1+rvanilla07)^0.5)/A25stdlife))</f>
        <v>0</v>
      </c>
      <c r="BI396" s="107">
        <f>IF(A25stdlife="n/a","n/a",IF(BI$3&gt;(A25stdlife+$E396),('PTRM input'!$M$167*(1+rvanilla07)^0.5)-SUM($M396:BH396),('PTRM input'!$M$167*(1+rvanilla07)^0.5)/A25stdlife))</f>
        <v>0</v>
      </c>
      <c r="BJ396" s="237"/>
      <c r="BK396" s="237"/>
      <c r="BL396" s="237"/>
      <c r="BM396" s="237"/>
    </row>
    <row r="397" spans="1:65" s="190" customFormat="1" hidden="1" outlineLevel="2">
      <c r="A397" s="237"/>
      <c r="B397" s="33"/>
      <c r="C397" s="32"/>
      <c r="D397" s="1618"/>
      <c r="E397" s="169">
        <v>8</v>
      </c>
      <c r="F397" s="35"/>
      <c r="G397" s="184"/>
      <c r="H397" s="186"/>
      <c r="I397" s="186"/>
      <c r="J397" s="186"/>
      <c r="K397" s="186"/>
      <c r="L397" s="186"/>
      <c r="M397" s="186"/>
      <c r="N397" s="185"/>
      <c r="O397" s="107">
        <f>IF(A25stdlife="n/a","n/a",IF(O$3&gt;(A25stdlife+$E397),('PTRM input'!$N$167*(1+rvanilla08)^0.5)-SUM($N397:N397),('PTRM input'!$N$167*(1+rvanilla08)^0.5)/A25stdlife))</f>
        <v>0</v>
      </c>
      <c r="P397" s="107">
        <f>IF(A25stdlife="n/a","n/a",IF(P$3&gt;(A25stdlife+$E397),('PTRM input'!$N$167*(1+rvanilla08)^0.5)-SUM($N397:O397),('PTRM input'!$N$167*(1+rvanilla08)^0.5)/A25stdlife))</f>
        <v>0</v>
      </c>
      <c r="Q397" s="107">
        <f>IF(A25stdlife="n/a","n/a",IF(Q$3&gt;(A25stdlife+$E397),('PTRM input'!$N$167*(1+rvanilla08)^0.5)-SUM($N397:P397),('PTRM input'!$N$167*(1+rvanilla08)^0.5)/A25stdlife))</f>
        <v>0</v>
      </c>
      <c r="R397" s="107">
        <f>IF(A25stdlife="n/a","n/a",IF(R$3&gt;(A25stdlife+$E397),('PTRM input'!$N$167*(1+rvanilla08)^0.5)-SUM($N397:Q397),('PTRM input'!$N$167*(1+rvanilla08)^0.5)/A25stdlife))</f>
        <v>0</v>
      </c>
      <c r="S397" s="107">
        <f>IF(A25stdlife="n/a","n/a",IF(S$3&gt;(A25stdlife+$E397),('PTRM input'!$N$167*(1+rvanilla08)^0.5)-SUM($N397:R397),('PTRM input'!$N$167*(1+rvanilla08)^0.5)/A25stdlife))</f>
        <v>0</v>
      </c>
      <c r="T397" s="107">
        <f>IF(A25stdlife="n/a","n/a",IF(T$3&gt;(A25stdlife+$E397),('PTRM input'!$N$167*(1+rvanilla08)^0.5)-SUM($N397:S397),('PTRM input'!$N$167*(1+rvanilla08)^0.5)/A25stdlife))</f>
        <v>0</v>
      </c>
      <c r="U397" s="107">
        <f>IF(A25stdlife="n/a","n/a",IF(U$3&gt;(A25stdlife+$E397),('PTRM input'!$N$167*(1+rvanilla08)^0.5)-SUM($N397:T397),('PTRM input'!$N$167*(1+rvanilla08)^0.5)/A25stdlife))</f>
        <v>0</v>
      </c>
      <c r="V397" s="107">
        <f>IF(A25stdlife="n/a","n/a",IF(V$3&gt;(A25stdlife+$E397),('PTRM input'!$N$167*(1+rvanilla08)^0.5)-SUM($N397:U397),('PTRM input'!$N$167*(1+rvanilla08)^0.5)/A25stdlife))</f>
        <v>0</v>
      </c>
      <c r="W397" s="107">
        <f>IF(A25stdlife="n/a","n/a",IF(W$3&gt;(A25stdlife+$E397),('PTRM input'!$N$167*(1+rvanilla08)^0.5)-SUM($N397:V397),('PTRM input'!$N$167*(1+rvanilla08)^0.5)/A25stdlife))</f>
        <v>0</v>
      </c>
      <c r="X397" s="107">
        <f>IF(A25stdlife="n/a","n/a",IF(X$3&gt;(A25stdlife+$E397),('PTRM input'!$N$167*(1+rvanilla08)^0.5)-SUM($N397:W397),('PTRM input'!$N$167*(1+rvanilla08)^0.5)/A25stdlife))</f>
        <v>0</v>
      </c>
      <c r="Y397" s="107">
        <f>IF(A25stdlife="n/a","n/a",IF(Y$3&gt;(A25stdlife+$E397),('PTRM input'!$N$167*(1+rvanilla08)^0.5)-SUM($N397:X397),('PTRM input'!$N$167*(1+rvanilla08)^0.5)/A25stdlife))</f>
        <v>0</v>
      </c>
      <c r="Z397" s="107">
        <f>IF(A25stdlife="n/a","n/a",IF(Z$3&gt;(A25stdlife+$E397),('PTRM input'!$N$167*(1+rvanilla08)^0.5)-SUM($N397:Y397),('PTRM input'!$N$167*(1+rvanilla08)^0.5)/A25stdlife))</f>
        <v>0</v>
      </c>
      <c r="AA397" s="107">
        <f>IF(A25stdlife="n/a","n/a",IF(AA$3&gt;(A25stdlife+$E397),('PTRM input'!$N$167*(1+rvanilla08)^0.5)-SUM($N397:Z397),('PTRM input'!$N$167*(1+rvanilla08)^0.5)/A25stdlife))</f>
        <v>0</v>
      </c>
      <c r="AB397" s="107">
        <f>IF(A25stdlife="n/a","n/a",IF(AB$3&gt;(A25stdlife+$E397),('PTRM input'!$N$167*(1+rvanilla08)^0.5)-SUM($N397:AA397),('PTRM input'!$N$167*(1+rvanilla08)^0.5)/A25stdlife))</f>
        <v>0</v>
      </c>
      <c r="AC397" s="107">
        <f>IF(A25stdlife="n/a","n/a",IF(AC$3&gt;(A25stdlife+$E397),('PTRM input'!$N$167*(1+rvanilla08)^0.5)-SUM($N397:AB397),('PTRM input'!$N$167*(1+rvanilla08)^0.5)/A25stdlife))</f>
        <v>0</v>
      </c>
      <c r="AD397" s="107">
        <f>IF(A25stdlife="n/a","n/a",IF(AD$3&gt;(A25stdlife+$E397),('PTRM input'!$N$167*(1+rvanilla08)^0.5)-SUM($N397:AC397),('PTRM input'!$N$167*(1+rvanilla08)^0.5)/A25stdlife))</f>
        <v>0</v>
      </c>
      <c r="AE397" s="107">
        <f>IF(A25stdlife="n/a","n/a",IF(AE$3&gt;(A25stdlife+$E397),('PTRM input'!$N$167*(1+rvanilla08)^0.5)-SUM($N397:AD397),('PTRM input'!$N$167*(1+rvanilla08)^0.5)/A25stdlife))</f>
        <v>0</v>
      </c>
      <c r="AF397" s="107">
        <f>IF(A25stdlife="n/a","n/a",IF(AF$3&gt;(A25stdlife+$E397),('PTRM input'!$N$167*(1+rvanilla08)^0.5)-SUM($N397:AE397),('PTRM input'!$N$167*(1+rvanilla08)^0.5)/A25stdlife))</f>
        <v>0</v>
      </c>
      <c r="AG397" s="107">
        <f>IF(A25stdlife="n/a","n/a",IF(AG$3&gt;(A25stdlife+$E397),('PTRM input'!$N$167*(1+rvanilla08)^0.5)-SUM($N397:AF397),('PTRM input'!$N$167*(1+rvanilla08)^0.5)/A25stdlife))</f>
        <v>0</v>
      </c>
      <c r="AH397" s="107">
        <f>IF(A25stdlife="n/a","n/a",IF(AH$3&gt;(A25stdlife+$E397),('PTRM input'!$N$167*(1+rvanilla08)^0.5)-SUM($N397:AG397),('PTRM input'!$N$167*(1+rvanilla08)^0.5)/A25stdlife))</f>
        <v>0</v>
      </c>
      <c r="AI397" s="107">
        <f>IF(A25stdlife="n/a","n/a",IF(AI$3&gt;(A25stdlife+$E397),('PTRM input'!$N$167*(1+rvanilla08)^0.5)-SUM($N397:AH397),('PTRM input'!$N$167*(1+rvanilla08)^0.5)/A25stdlife))</f>
        <v>0</v>
      </c>
      <c r="AJ397" s="107">
        <f>IF(A25stdlife="n/a","n/a",IF(AJ$3&gt;(A25stdlife+$E397),('PTRM input'!$N$167*(1+rvanilla08)^0.5)-SUM($N397:AI397),('PTRM input'!$N$167*(1+rvanilla08)^0.5)/A25stdlife))</f>
        <v>0</v>
      </c>
      <c r="AK397" s="107">
        <f>IF(A25stdlife="n/a","n/a",IF(AK$3&gt;(A25stdlife+$E397),('PTRM input'!$N$167*(1+rvanilla08)^0.5)-SUM($N397:AJ397),('PTRM input'!$N$167*(1+rvanilla08)^0.5)/A25stdlife))</f>
        <v>0</v>
      </c>
      <c r="AL397" s="107">
        <f>IF(A25stdlife="n/a","n/a",IF(AL$3&gt;(A25stdlife+$E397),('PTRM input'!$N$167*(1+rvanilla08)^0.5)-SUM($N397:AK397),('PTRM input'!$N$167*(1+rvanilla08)^0.5)/A25stdlife))</f>
        <v>0</v>
      </c>
      <c r="AM397" s="107">
        <f>IF(A25stdlife="n/a","n/a",IF(AM$3&gt;(A25stdlife+$E397),('PTRM input'!$N$167*(1+rvanilla08)^0.5)-SUM($N397:AL397),('PTRM input'!$N$167*(1+rvanilla08)^0.5)/A25stdlife))</f>
        <v>0</v>
      </c>
      <c r="AN397" s="107">
        <f>IF(A25stdlife="n/a","n/a",IF(AN$3&gt;(A25stdlife+$E397),('PTRM input'!$N$167*(1+rvanilla08)^0.5)-SUM($N397:AM397),('PTRM input'!$N$167*(1+rvanilla08)^0.5)/A25stdlife))</f>
        <v>0</v>
      </c>
      <c r="AO397" s="107">
        <f>IF(A25stdlife="n/a","n/a",IF(AO$3&gt;(A25stdlife+$E397),('PTRM input'!$N$167*(1+rvanilla08)^0.5)-SUM($N397:AN397),('PTRM input'!$N$167*(1+rvanilla08)^0.5)/A25stdlife))</f>
        <v>0</v>
      </c>
      <c r="AP397" s="107">
        <f>IF(A25stdlife="n/a","n/a",IF(AP$3&gt;(A25stdlife+$E397),('PTRM input'!$N$167*(1+rvanilla08)^0.5)-SUM($N397:AO397),('PTRM input'!$N$167*(1+rvanilla08)^0.5)/A25stdlife))</f>
        <v>0</v>
      </c>
      <c r="AQ397" s="107">
        <f>IF(A25stdlife="n/a","n/a",IF(AQ$3&gt;(A25stdlife+$E397),('PTRM input'!$N$167*(1+rvanilla08)^0.5)-SUM($N397:AP397),('PTRM input'!$N$167*(1+rvanilla08)^0.5)/A25stdlife))</f>
        <v>0</v>
      </c>
      <c r="AR397" s="107">
        <f>IF(A25stdlife="n/a","n/a",IF(AR$3&gt;(A25stdlife+$E397),('PTRM input'!$N$167*(1+rvanilla08)^0.5)-SUM($N397:AQ397),('PTRM input'!$N$167*(1+rvanilla08)^0.5)/A25stdlife))</f>
        <v>0</v>
      </c>
      <c r="AS397" s="107">
        <f>IF(A25stdlife="n/a","n/a",IF(AS$3&gt;(A25stdlife+$E397),('PTRM input'!$N$167*(1+rvanilla08)^0.5)-SUM($N397:AR397),('PTRM input'!$N$167*(1+rvanilla08)^0.5)/A25stdlife))</f>
        <v>0</v>
      </c>
      <c r="AT397" s="107">
        <f>IF(A25stdlife="n/a","n/a",IF(AT$3&gt;(A25stdlife+$E397),('PTRM input'!$N$167*(1+rvanilla08)^0.5)-SUM($N397:AS397),('PTRM input'!$N$167*(1+rvanilla08)^0.5)/A25stdlife))</f>
        <v>0</v>
      </c>
      <c r="AU397" s="107">
        <f>IF(A25stdlife="n/a","n/a",IF(AU$3&gt;(A25stdlife+$E397),('PTRM input'!$N$167*(1+rvanilla08)^0.5)-SUM($N397:AT397),('PTRM input'!$N$167*(1+rvanilla08)^0.5)/A25stdlife))</f>
        <v>0</v>
      </c>
      <c r="AV397" s="107">
        <f>IF(A25stdlife="n/a","n/a",IF(AV$3&gt;(A25stdlife+$E397),('PTRM input'!$N$167*(1+rvanilla08)^0.5)-SUM($N397:AU397),('PTRM input'!$N$167*(1+rvanilla08)^0.5)/A25stdlife))</f>
        <v>0</v>
      </c>
      <c r="AW397" s="107">
        <f>IF(A25stdlife="n/a","n/a",IF(AW$3&gt;(A25stdlife+$E397),('PTRM input'!$N$167*(1+rvanilla08)^0.5)-SUM($N397:AV397),('PTRM input'!$N$167*(1+rvanilla08)^0.5)/A25stdlife))</f>
        <v>0</v>
      </c>
      <c r="AX397" s="107">
        <f>IF(A25stdlife="n/a","n/a",IF(AX$3&gt;(A25stdlife+$E397),('PTRM input'!$N$167*(1+rvanilla08)^0.5)-SUM($N397:AW397),('PTRM input'!$N$167*(1+rvanilla08)^0.5)/A25stdlife))</f>
        <v>0</v>
      </c>
      <c r="AY397" s="107">
        <f>IF(A25stdlife="n/a","n/a",IF(AY$3&gt;(A25stdlife+$E397),('PTRM input'!$N$167*(1+rvanilla08)^0.5)-SUM($N397:AX397),('PTRM input'!$N$167*(1+rvanilla08)^0.5)/A25stdlife))</f>
        <v>0</v>
      </c>
      <c r="AZ397" s="107">
        <f>IF(A25stdlife="n/a","n/a",IF(AZ$3&gt;(A25stdlife+$E397),('PTRM input'!$N$167*(1+rvanilla08)^0.5)-SUM($N397:AY397),('PTRM input'!$N$167*(1+rvanilla08)^0.5)/A25stdlife))</f>
        <v>0</v>
      </c>
      <c r="BA397" s="107">
        <f>IF(A25stdlife="n/a","n/a",IF(BA$3&gt;(A25stdlife+$E397),('PTRM input'!$N$167*(1+rvanilla08)^0.5)-SUM($N397:AZ397),('PTRM input'!$N$167*(1+rvanilla08)^0.5)/A25stdlife))</f>
        <v>0</v>
      </c>
      <c r="BB397" s="107">
        <f>IF(A25stdlife="n/a","n/a",IF(BB$3&gt;(A25stdlife+$E397),('PTRM input'!$N$167*(1+rvanilla08)^0.5)-SUM($N397:BA397),('PTRM input'!$N$167*(1+rvanilla08)^0.5)/A25stdlife))</f>
        <v>0</v>
      </c>
      <c r="BC397" s="107">
        <f>IF(A25stdlife="n/a","n/a",IF(BC$3&gt;(A25stdlife+$E397),('PTRM input'!$N$167*(1+rvanilla08)^0.5)-SUM($N397:BB397),('PTRM input'!$N$167*(1+rvanilla08)^0.5)/A25stdlife))</f>
        <v>0</v>
      </c>
      <c r="BD397" s="107">
        <f>IF(A25stdlife="n/a","n/a",IF(BD$3&gt;(A25stdlife+$E397),('PTRM input'!$N$167*(1+rvanilla08)^0.5)-SUM($N397:BC397),('PTRM input'!$N$167*(1+rvanilla08)^0.5)/A25stdlife))</f>
        <v>0</v>
      </c>
      <c r="BE397" s="107">
        <f>IF(A25stdlife="n/a","n/a",IF(BE$3&gt;(A25stdlife+$E397),('PTRM input'!$N$167*(1+rvanilla08)^0.5)-SUM($N397:BD397),('PTRM input'!$N$167*(1+rvanilla08)^0.5)/A25stdlife))</f>
        <v>0</v>
      </c>
      <c r="BF397" s="107">
        <f>IF(A25stdlife="n/a","n/a",IF(BF$3&gt;(A25stdlife+$E397),('PTRM input'!$N$167*(1+rvanilla08)^0.5)-SUM($N397:BE397),('PTRM input'!$N$167*(1+rvanilla08)^0.5)/A25stdlife))</f>
        <v>0</v>
      </c>
      <c r="BG397" s="107">
        <f>IF(A25stdlife="n/a","n/a",IF(BG$3&gt;(A25stdlife+$E397),('PTRM input'!$N$167*(1+rvanilla08)^0.5)-SUM($N397:BF397),('PTRM input'!$N$167*(1+rvanilla08)^0.5)/A25stdlife))</f>
        <v>0</v>
      </c>
      <c r="BH397" s="107">
        <f>IF(A25stdlife="n/a","n/a",IF(BH$3&gt;(A25stdlife+$E397),('PTRM input'!$N$167*(1+rvanilla08)^0.5)-SUM($N397:BG397),('PTRM input'!$N$167*(1+rvanilla08)^0.5)/A25stdlife))</f>
        <v>0</v>
      </c>
      <c r="BI397" s="107">
        <f>IF(A25stdlife="n/a","n/a",IF(BI$3&gt;(A25stdlife+$E397),('PTRM input'!$N$167*(1+rvanilla08)^0.5)-SUM($N397:BH397),('PTRM input'!$N$167*(1+rvanilla08)^0.5)/A25stdlife))</f>
        <v>0</v>
      </c>
      <c r="BJ397" s="237"/>
      <c r="BK397" s="237"/>
      <c r="BL397" s="237"/>
      <c r="BM397" s="237"/>
    </row>
    <row r="398" spans="1:65" s="190" customFormat="1" hidden="1" outlineLevel="2">
      <c r="A398" s="237"/>
      <c r="B398" s="33"/>
      <c r="C398" s="32"/>
      <c r="D398" s="1618"/>
      <c r="E398" s="169">
        <v>9</v>
      </c>
      <c r="F398" s="35"/>
      <c r="G398" s="184"/>
      <c r="H398" s="186"/>
      <c r="I398" s="186"/>
      <c r="J398" s="186"/>
      <c r="K398" s="186"/>
      <c r="L398" s="186"/>
      <c r="M398" s="186"/>
      <c r="N398" s="186"/>
      <c r="O398" s="185"/>
      <c r="P398" s="107">
        <f>IF(A25stdlife="n/a","n/a",IF(P$3&gt;(A25stdlife+$E398),('PTRM input'!$O$167*(1+rvanilla09)^0.5)-SUM($O398:O398),('PTRM input'!$O$167*(1+rvanilla09)^0.5)/A25stdlife))</f>
        <v>0</v>
      </c>
      <c r="Q398" s="107">
        <f>IF(A25stdlife="n/a","n/a",IF(Q$3&gt;(A25stdlife+$E398),('PTRM input'!$O$167*(1+rvanilla09)^0.5)-SUM($O398:P398),('PTRM input'!$O$167*(1+rvanilla09)^0.5)/A25stdlife))</f>
        <v>0</v>
      </c>
      <c r="R398" s="107">
        <f>IF(A25stdlife="n/a","n/a",IF(R$3&gt;(A25stdlife+$E398),('PTRM input'!$O$167*(1+rvanilla09)^0.5)-SUM($O398:Q398),('PTRM input'!$O$167*(1+rvanilla09)^0.5)/A25stdlife))</f>
        <v>0</v>
      </c>
      <c r="S398" s="107">
        <f>IF(A25stdlife="n/a","n/a",IF(S$3&gt;(A25stdlife+$E398),('PTRM input'!$O$167*(1+rvanilla09)^0.5)-SUM($O398:R398),('PTRM input'!$O$167*(1+rvanilla09)^0.5)/A25stdlife))</f>
        <v>0</v>
      </c>
      <c r="T398" s="107">
        <f>IF(A25stdlife="n/a","n/a",IF(T$3&gt;(A25stdlife+$E398),('PTRM input'!$O$167*(1+rvanilla09)^0.5)-SUM($O398:S398),('PTRM input'!$O$167*(1+rvanilla09)^0.5)/A25stdlife))</f>
        <v>0</v>
      </c>
      <c r="U398" s="107">
        <f>IF(A25stdlife="n/a","n/a",IF(U$3&gt;(A25stdlife+$E398),('PTRM input'!$O$167*(1+rvanilla09)^0.5)-SUM($O398:T398),('PTRM input'!$O$167*(1+rvanilla09)^0.5)/A25stdlife))</f>
        <v>0</v>
      </c>
      <c r="V398" s="107">
        <f>IF(A25stdlife="n/a","n/a",IF(V$3&gt;(A25stdlife+$E398),('PTRM input'!$O$167*(1+rvanilla09)^0.5)-SUM($O398:U398),('PTRM input'!$O$167*(1+rvanilla09)^0.5)/A25stdlife))</f>
        <v>0</v>
      </c>
      <c r="W398" s="107">
        <f>IF(A25stdlife="n/a","n/a",IF(W$3&gt;(A25stdlife+$E398),('PTRM input'!$O$167*(1+rvanilla09)^0.5)-SUM($O398:V398),('PTRM input'!$O$167*(1+rvanilla09)^0.5)/A25stdlife))</f>
        <v>0</v>
      </c>
      <c r="X398" s="107">
        <f>IF(A25stdlife="n/a","n/a",IF(X$3&gt;(A25stdlife+$E398),('PTRM input'!$O$167*(1+rvanilla09)^0.5)-SUM($O398:W398),('PTRM input'!$O$167*(1+rvanilla09)^0.5)/A25stdlife))</f>
        <v>0</v>
      </c>
      <c r="Y398" s="107">
        <f>IF(A25stdlife="n/a","n/a",IF(Y$3&gt;(A25stdlife+$E398),('PTRM input'!$O$167*(1+rvanilla09)^0.5)-SUM($O398:X398),('PTRM input'!$O$167*(1+rvanilla09)^0.5)/A25stdlife))</f>
        <v>0</v>
      </c>
      <c r="Z398" s="107">
        <f>IF(A25stdlife="n/a","n/a",IF(Z$3&gt;(A25stdlife+$E398),('PTRM input'!$O$167*(1+rvanilla09)^0.5)-SUM($O398:Y398),('PTRM input'!$O$167*(1+rvanilla09)^0.5)/A25stdlife))</f>
        <v>0</v>
      </c>
      <c r="AA398" s="107">
        <f>IF(A25stdlife="n/a","n/a",IF(AA$3&gt;(A25stdlife+$E398),('PTRM input'!$O$167*(1+rvanilla09)^0.5)-SUM($O398:Z398),('PTRM input'!$O$167*(1+rvanilla09)^0.5)/A25stdlife))</f>
        <v>0</v>
      </c>
      <c r="AB398" s="107">
        <f>IF(A25stdlife="n/a","n/a",IF(AB$3&gt;(A25stdlife+$E398),('PTRM input'!$O$167*(1+rvanilla09)^0.5)-SUM($O398:AA398),('PTRM input'!$O$167*(1+rvanilla09)^0.5)/A25stdlife))</f>
        <v>0</v>
      </c>
      <c r="AC398" s="107">
        <f>IF(A25stdlife="n/a","n/a",IF(AC$3&gt;(A25stdlife+$E398),('PTRM input'!$O$167*(1+rvanilla09)^0.5)-SUM($O398:AB398),('PTRM input'!$O$167*(1+rvanilla09)^0.5)/A25stdlife))</f>
        <v>0</v>
      </c>
      <c r="AD398" s="107">
        <f>IF(A25stdlife="n/a","n/a",IF(AD$3&gt;(A25stdlife+$E398),('PTRM input'!$O$167*(1+rvanilla09)^0.5)-SUM($O398:AC398),('PTRM input'!$O$167*(1+rvanilla09)^0.5)/A25stdlife))</f>
        <v>0</v>
      </c>
      <c r="AE398" s="107">
        <f>IF(A25stdlife="n/a","n/a",IF(AE$3&gt;(A25stdlife+$E398),('PTRM input'!$O$167*(1+rvanilla09)^0.5)-SUM($O398:AD398),('PTRM input'!$O$167*(1+rvanilla09)^0.5)/A25stdlife))</f>
        <v>0</v>
      </c>
      <c r="AF398" s="107">
        <f>IF(A25stdlife="n/a","n/a",IF(AF$3&gt;(A25stdlife+$E398),('PTRM input'!$O$167*(1+rvanilla09)^0.5)-SUM($O398:AE398),('PTRM input'!$O$167*(1+rvanilla09)^0.5)/A25stdlife))</f>
        <v>0</v>
      </c>
      <c r="AG398" s="107">
        <f>IF(A25stdlife="n/a","n/a",IF(AG$3&gt;(A25stdlife+$E398),('PTRM input'!$O$167*(1+rvanilla09)^0.5)-SUM($O398:AF398),('PTRM input'!$O$167*(1+rvanilla09)^0.5)/A25stdlife))</f>
        <v>0</v>
      </c>
      <c r="AH398" s="107">
        <f>IF(A25stdlife="n/a","n/a",IF(AH$3&gt;(A25stdlife+$E398),('PTRM input'!$O$167*(1+rvanilla09)^0.5)-SUM($O398:AG398),('PTRM input'!$O$167*(1+rvanilla09)^0.5)/A25stdlife))</f>
        <v>0</v>
      </c>
      <c r="AI398" s="107">
        <f>IF(A25stdlife="n/a","n/a",IF(AI$3&gt;(A25stdlife+$E398),('PTRM input'!$O$167*(1+rvanilla09)^0.5)-SUM($O398:AH398),('PTRM input'!$O$167*(1+rvanilla09)^0.5)/A25stdlife))</f>
        <v>0</v>
      </c>
      <c r="AJ398" s="107">
        <f>IF(A25stdlife="n/a","n/a",IF(AJ$3&gt;(A25stdlife+$E398),('PTRM input'!$O$167*(1+rvanilla09)^0.5)-SUM($O398:AI398),('PTRM input'!$O$167*(1+rvanilla09)^0.5)/A25stdlife))</f>
        <v>0</v>
      </c>
      <c r="AK398" s="107">
        <f>IF(A25stdlife="n/a","n/a",IF(AK$3&gt;(A25stdlife+$E398),('PTRM input'!$O$167*(1+rvanilla09)^0.5)-SUM($O398:AJ398),('PTRM input'!$O$167*(1+rvanilla09)^0.5)/A25stdlife))</f>
        <v>0</v>
      </c>
      <c r="AL398" s="107">
        <f>IF(A25stdlife="n/a","n/a",IF(AL$3&gt;(A25stdlife+$E398),('PTRM input'!$O$167*(1+rvanilla09)^0.5)-SUM($O398:AK398),('PTRM input'!$O$167*(1+rvanilla09)^0.5)/A25stdlife))</f>
        <v>0</v>
      </c>
      <c r="AM398" s="107">
        <f>IF(A25stdlife="n/a","n/a",IF(AM$3&gt;(A25stdlife+$E398),('PTRM input'!$O$167*(1+rvanilla09)^0.5)-SUM($O398:AL398),('PTRM input'!$O$167*(1+rvanilla09)^0.5)/A25stdlife))</f>
        <v>0</v>
      </c>
      <c r="AN398" s="107">
        <f>IF(A25stdlife="n/a","n/a",IF(AN$3&gt;(A25stdlife+$E398),('PTRM input'!$O$167*(1+rvanilla09)^0.5)-SUM($O398:AM398),('PTRM input'!$O$167*(1+rvanilla09)^0.5)/A25stdlife))</f>
        <v>0</v>
      </c>
      <c r="AO398" s="107">
        <f>IF(A25stdlife="n/a","n/a",IF(AO$3&gt;(A25stdlife+$E398),('PTRM input'!$O$167*(1+rvanilla09)^0.5)-SUM($O398:AN398),('PTRM input'!$O$167*(1+rvanilla09)^0.5)/A25stdlife))</f>
        <v>0</v>
      </c>
      <c r="AP398" s="107">
        <f>IF(A25stdlife="n/a","n/a",IF(AP$3&gt;(A25stdlife+$E398),('PTRM input'!$O$167*(1+rvanilla09)^0.5)-SUM($O398:AO398),('PTRM input'!$O$167*(1+rvanilla09)^0.5)/A25stdlife))</f>
        <v>0</v>
      </c>
      <c r="AQ398" s="107">
        <f>IF(A25stdlife="n/a","n/a",IF(AQ$3&gt;(A25stdlife+$E398),('PTRM input'!$O$167*(1+rvanilla09)^0.5)-SUM($O398:AP398),('PTRM input'!$O$167*(1+rvanilla09)^0.5)/A25stdlife))</f>
        <v>0</v>
      </c>
      <c r="AR398" s="107">
        <f>IF(A25stdlife="n/a","n/a",IF(AR$3&gt;(A25stdlife+$E398),('PTRM input'!$O$167*(1+rvanilla09)^0.5)-SUM($O398:AQ398),('PTRM input'!$O$167*(1+rvanilla09)^0.5)/A25stdlife))</f>
        <v>0</v>
      </c>
      <c r="AS398" s="107">
        <f>IF(A25stdlife="n/a","n/a",IF(AS$3&gt;(A25stdlife+$E398),('PTRM input'!$O$167*(1+rvanilla09)^0.5)-SUM($O398:AR398),('PTRM input'!$O$167*(1+rvanilla09)^0.5)/A25stdlife))</f>
        <v>0</v>
      </c>
      <c r="AT398" s="107">
        <f>IF(A25stdlife="n/a","n/a",IF(AT$3&gt;(A25stdlife+$E398),('PTRM input'!$O$167*(1+rvanilla09)^0.5)-SUM($O398:AS398),('PTRM input'!$O$167*(1+rvanilla09)^0.5)/A25stdlife))</f>
        <v>0</v>
      </c>
      <c r="AU398" s="107">
        <f>IF(A25stdlife="n/a","n/a",IF(AU$3&gt;(A25stdlife+$E398),('PTRM input'!$O$167*(1+rvanilla09)^0.5)-SUM($O398:AT398),('PTRM input'!$O$167*(1+rvanilla09)^0.5)/A25stdlife))</f>
        <v>0</v>
      </c>
      <c r="AV398" s="107">
        <f>IF(A25stdlife="n/a","n/a",IF(AV$3&gt;(A25stdlife+$E398),('PTRM input'!$O$167*(1+rvanilla09)^0.5)-SUM($O398:AU398),('PTRM input'!$O$167*(1+rvanilla09)^0.5)/A25stdlife))</f>
        <v>0</v>
      </c>
      <c r="AW398" s="107">
        <f>IF(A25stdlife="n/a","n/a",IF(AW$3&gt;(A25stdlife+$E398),('PTRM input'!$O$167*(1+rvanilla09)^0.5)-SUM($O398:AV398),('PTRM input'!$O$167*(1+rvanilla09)^0.5)/A25stdlife))</f>
        <v>0</v>
      </c>
      <c r="AX398" s="107">
        <f>IF(A25stdlife="n/a","n/a",IF(AX$3&gt;(A25stdlife+$E398),('PTRM input'!$O$167*(1+rvanilla09)^0.5)-SUM($O398:AW398),('PTRM input'!$O$167*(1+rvanilla09)^0.5)/A25stdlife))</f>
        <v>0</v>
      </c>
      <c r="AY398" s="107">
        <f>IF(A25stdlife="n/a","n/a",IF(AY$3&gt;(A25stdlife+$E398),('PTRM input'!$O$167*(1+rvanilla09)^0.5)-SUM($O398:AX398),('PTRM input'!$O$167*(1+rvanilla09)^0.5)/A25stdlife))</f>
        <v>0</v>
      </c>
      <c r="AZ398" s="107">
        <f>IF(A25stdlife="n/a","n/a",IF(AZ$3&gt;(A25stdlife+$E398),('PTRM input'!$O$167*(1+rvanilla09)^0.5)-SUM($O398:AY398),('PTRM input'!$O$167*(1+rvanilla09)^0.5)/A25stdlife))</f>
        <v>0</v>
      </c>
      <c r="BA398" s="107">
        <f>IF(A25stdlife="n/a","n/a",IF(BA$3&gt;(A25stdlife+$E398),('PTRM input'!$O$167*(1+rvanilla09)^0.5)-SUM($O398:AZ398),('PTRM input'!$O$167*(1+rvanilla09)^0.5)/A25stdlife))</f>
        <v>0</v>
      </c>
      <c r="BB398" s="107">
        <f>IF(A25stdlife="n/a","n/a",IF(BB$3&gt;(A25stdlife+$E398),('PTRM input'!$O$167*(1+rvanilla09)^0.5)-SUM($O398:BA398),('PTRM input'!$O$167*(1+rvanilla09)^0.5)/A25stdlife))</f>
        <v>0</v>
      </c>
      <c r="BC398" s="107">
        <f>IF(A25stdlife="n/a","n/a",IF(BC$3&gt;(A25stdlife+$E398),('PTRM input'!$O$167*(1+rvanilla09)^0.5)-SUM($O398:BB398),('PTRM input'!$O$167*(1+rvanilla09)^0.5)/A25stdlife))</f>
        <v>0</v>
      </c>
      <c r="BD398" s="107">
        <f>IF(A25stdlife="n/a","n/a",IF(BD$3&gt;(A25stdlife+$E398),('PTRM input'!$O$167*(1+rvanilla09)^0.5)-SUM($O398:BC398),('PTRM input'!$O$167*(1+rvanilla09)^0.5)/A25stdlife))</f>
        <v>0</v>
      </c>
      <c r="BE398" s="107">
        <f>IF(A25stdlife="n/a","n/a",IF(BE$3&gt;(A25stdlife+$E398),('PTRM input'!$O$167*(1+rvanilla09)^0.5)-SUM($O398:BD398),('PTRM input'!$O$167*(1+rvanilla09)^0.5)/A25stdlife))</f>
        <v>0</v>
      </c>
      <c r="BF398" s="107">
        <f>IF(A25stdlife="n/a","n/a",IF(BF$3&gt;(A25stdlife+$E398),('PTRM input'!$O$167*(1+rvanilla09)^0.5)-SUM($O398:BE398),('PTRM input'!$O$167*(1+rvanilla09)^0.5)/A25stdlife))</f>
        <v>0</v>
      </c>
      <c r="BG398" s="107">
        <f>IF(A25stdlife="n/a","n/a",IF(BG$3&gt;(A25stdlife+$E398),('PTRM input'!$O$167*(1+rvanilla09)^0.5)-SUM($O398:BF398),('PTRM input'!$O$167*(1+rvanilla09)^0.5)/A25stdlife))</f>
        <v>0</v>
      </c>
      <c r="BH398" s="107">
        <f>IF(A25stdlife="n/a","n/a",IF(BH$3&gt;(A25stdlife+$E398),('PTRM input'!$O$167*(1+rvanilla09)^0.5)-SUM($O398:BG398),('PTRM input'!$O$167*(1+rvanilla09)^0.5)/A25stdlife))</f>
        <v>0</v>
      </c>
      <c r="BI398" s="107">
        <f>IF(A25stdlife="n/a","n/a",IF(BI$3&gt;(A25stdlife+$E398),('PTRM input'!$O$167*(1+rvanilla09)^0.5)-SUM($O398:BH398),('PTRM input'!$O$167*(1+rvanilla09)^0.5)/A25stdlife))</f>
        <v>0</v>
      </c>
      <c r="BJ398" s="237"/>
      <c r="BK398" s="237"/>
      <c r="BL398" s="237"/>
      <c r="BM398" s="237"/>
    </row>
    <row r="399" spans="1:65" s="190" customFormat="1" hidden="1" outlineLevel="2">
      <c r="A399" s="237"/>
      <c r="B399" s="33"/>
      <c r="C399" s="32"/>
      <c r="D399" s="1618"/>
      <c r="E399" s="170">
        <v>10</v>
      </c>
      <c r="F399" s="35"/>
      <c r="G399" s="184"/>
      <c r="H399" s="186"/>
      <c r="I399" s="186"/>
      <c r="J399" s="186"/>
      <c r="K399" s="186"/>
      <c r="L399" s="186"/>
      <c r="M399" s="186"/>
      <c r="N399" s="186"/>
      <c r="O399" s="186"/>
      <c r="P399" s="185"/>
      <c r="Q399" s="107">
        <f>IF(A25stdlife="n/a","n/a",IF(Q$3&gt;(A25stdlife+$E399),('PTRM input'!$P$167*(1+rvanilla10)^0.5)-SUM($P399:P399),('PTRM input'!$P$167*(1+rvanilla10)^0.5)/A25stdlife))</f>
        <v>0</v>
      </c>
      <c r="R399" s="107">
        <f>IF(A25stdlife="n/a","n/a",IF(R$3&gt;(A25stdlife+$E399),('PTRM input'!$P$167*(1+rvanilla10)^0.5)-SUM($P399:Q399),('PTRM input'!$P$167*(1+rvanilla10)^0.5)/A25stdlife))</f>
        <v>0</v>
      </c>
      <c r="S399" s="107">
        <f>IF(A25stdlife="n/a","n/a",IF(S$3&gt;(A25stdlife+$E399),('PTRM input'!$P$167*(1+rvanilla10)^0.5)-SUM($P399:R399),('PTRM input'!$P$167*(1+rvanilla10)^0.5)/A25stdlife))</f>
        <v>0</v>
      </c>
      <c r="T399" s="107">
        <f>IF(A25stdlife="n/a","n/a",IF(T$3&gt;(A25stdlife+$E399),('PTRM input'!$P$167*(1+rvanilla10)^0.5)-SUM($P399:S399),('PTRM input'!$P$167*(1+rvanilla10)^0.5)/A25stdlife))</f>
        <v>0</v>
      </c>
      <c r="U399" s="107">
        <f>IF(A25stdlife="n/a","n/a",IF(U$3&gt;(A25stdlife+$E399),('PTRM input'!$P$167*(1+rvanilla10)^0.5)-SUM($P399:T399),('PTRM input'!$P$167*(1+rvanilla10)^0.5)/A25stdlife))</f>
        <v>0</v>
      </c>
      <c r="V399" s="107">
        <f>IF(A25stdlife="n/a","n/a",IF(V$3&gt;(A25stdlife+$E399),('PTRM input'!$P$167*(1+rvanilla10)^0.5)-SUM($P399:U399),('PTRM input'!$P$167*(1+rvanilla10)^0.5)/A25stdlife))</f>
        <v>0</v>
      </c>
      <c r="W399" s="107">
        <f>IF(A25stdlife="n/a","n/a",IF(W$3&gt;(A25stdlife+$E399),('PTRM input'!$P$167*(1+rvanilla10)^0.5)-SUM($P399:V399),('PTRM input'!$P$167*(1+rvanilla10)^0.5)/A25stdlife))</f>
        <v>0</v>
      </c>
      <c r="X399" s="107">
        <f>IF(A25stdlife="n/a","n/a",IF(X$3&gt;(A25stdlife+$E399),('PTRM input'!$P$167*(1+rvanilla10)^0.5)-SUM($P399:W399),('PTRM input'!$P$167*(1+rvanilla10)^0.5)/A25stdlife))</f>
        <v>0</v>
      </c>
      <c r="Y399" s="107">
        <f>IF(A25stdlife="n/a","n/a",IF(Y$3&gt;(A25stdlife+$E399),('PTRM input'!$P$167*(1+rvanilla10)^0.5)-SUM($P399:X399),('PTRM input'!$P$167*(1+rvanilla10)^0.5)/A25stdlife))</f>
        <v>0</v>
      </c>
      <c r="Z399" s="107">
        <f>IF(A25stdlife="n/a","n/a",IF(Z$3&gt;(A25stdlife+$E399),('PTRM input'!$P$167*(1+rvanilla10)^0.5)-SUM($P399:Y399),('PTRM input'!$P$167*(1+rvanilla10)^0.5)/A25stdlife))</f>
        <v>0</v>
      </c>
      <c r="AA399" s="107">
        <f>IF(A25stdlife="n/a","n/a",IF(AA$3&gt;(A25stdlife+$E399),('PTRM input'!$P$167*(1+rvanilla10)^0.5)-SUM($P399:Z399),('PTRM input'!$P$167*(1+rvanilla10)^0.5)/A25stdlife))</f>
        <v>0</v>
      </c>
      <c r="AB399" s="107">
        <f>IF(A25stdlife="n/a","n/a",IF(AB$3&gt;(A25stdlife+$E399),('PTRM input'!$P$167*(1+rvanilla10)^0.5)-SUM($P399:AA399),('PTRM input'!$P$167*(1+rvanilla10)^0.5)/A25stdlife))</f>
        <v>0</v>
      </c>
      <c r="AC399" s="107">
        <f>IF(A25stdlife="n/a","n/a",IF(AC$3&gt;(A25stdlife+$E399),('PTRM input'!$P$167*(1+rvanilla10)^0.5)-SUM($P399:AB399),('PTRM input'!$P$167*(1+rvanilla10)^0.5)/A25stdlife))</f>
        <v>0</v>
      </c>
      <c r="AD399" s="107">
        <f>IF(A25stdlife="n/a","n/a",IF(AD$3&gt;(A25stdlife+$E399),('PTRM input'!$P$167*(1+rvanilla10)^0.5)-SUM($P399:AC399),('PTRM input'!$P$167*(1+rvanilla10)^0.5)/A25stdlife))</f>
        <v>0</v>
      </c>
      <c r="AE399" s="107">
        <f>IF(A25stdlife="n/a","n/a",IF(AE$3&gt;(A25stdlife+$E399),('PTRM input'!$P$167*(1+rvanilla10)^0.5)-SUM($P399:AD399),('PTRM input'!$P$167*(1+rvanilla10)^0.5)/A25stdlife))</f>
        <v>0</v>
      </c>
      <c r="AF399" s="107">
        <f>IF(A25stdlife="n/a","n/a",IF(AF$3&gt;(A25stdlife+$E399),('PTRM input'!$P$167*(1+rvanilla10)^0.5)-SUM($P399:AE399),('PTRM input'!$P$167*(1+rvanilla10)^0.5)/A25stdlife))</f>
        <v>0</v>
      </c>
      <c r="AG399" s="107">
        <f>IF(A25stdlife="n/a","n/a",IF(AG$3&gt;(A25stdlife+$E399),('PTRM input'!$P$167*(1+rvanilla10)^0.5)-SUM($P399:AF399),('PTRM input'!$P$167*(1+rvanilla10)^0.5)/A25stdlife))</f>
        <v>0</v>
      </c>
      <c r="AH399" s="107">
        <f>IF(A25stdlife="n/a","n/a",IF(AH$3&gt;(A25stdlife+$E399),('PTRM input'!$P$167*(1+rvanilla10)^0.5)-SUM($P399:AG399),('PTRM input'!$P$167*(1+rvanilla10)^0.5)/A25stdlife))</f>
        <v>0</v>
      </c>
      <c r="AI399" s="107">
        <f>IF(A25stdlife="n/a","n/a",IF(AI$3&gt;(A25stdlife+$E399),('PTRM input'!$P$167*(1+rvanilla10)^0.5)-SUM($P399:AH399),('PTRM input'!$P$167*(1+rvanilla10)^0.5)/A25stdlife))</f>
        <v>0</v>
      </c>
      <c r="AJ399" s="107">
        <f>IF(A25stdlife="n/a","n/a",IF(AJ$3&gt;(A25stdlife+$E399),('PTRM input'!$P$167*(1+rvanilla10)^0.5)-SUM($P399:AI399),('PTRM input'!$P$167*(1+rvanilla10)^0.5)/A25stdlife))</f>
        <v>0</v>
      </c>
      <c r="AK399" s="107">
        <f>IF(A25stdlife="n/a","n/a",IF(AK$3&gt;(A25stdlife+$E399),('PTRM input'!$P$167*(1+rvanilla10)^0.5)-SUM($P399:AJ399),('PTRM input'!$P$167*(1+rvanilla10)^0.5)/A25stdlife))</f>
        <v>0</v>
      </c>
      <c r="AL399" s="107">
        <f>IF(A25stdlife="n/a","n/a",IF(AL$3&gt;(A25stdlife+$E399),('PTRM input'!$P$167*(1+rvanilla10)^0.5)-SUM($P399:AK399),('PTRM input'!$P$167*(1+rvanilla10)^0.5)/A25stdlife))</f>
        <v>0</v>
      </c>
      <c r="AM399" s="107">
        <f>IF(A25stdlife="n/a","n/a",IF(AM$3&gt;(A25stdlife+$E399),('PTRM input'!$P$167*(1+rvanilla10)^0.5)-SUM($P399:AL399),('PTRM input'!$P$167*(1+rvanilla10)^0.5)/A25stdlife))</f>
        <v>0</v>
      </c>
      <c r="AN399" s="107">
        <f>IF(A25stdlife="n/a","n/a",IF(AN$3&gt;(A25stdlife+$E399),('PTRM input'!$P$167*(1+rvanilla10)^0.5)-SUM($P399:AM399),('PTRM input'!$P$167*(1+rvanilla10)^0.5)/A25stdlife))</f>
        <v>0</v>
      </c>
      <c r="AO399" s="107">
        <f>IF(A25stdlife="n/a","n/a",IF(AO$3&gt;(A25stdlife+$E399),('PTRM input'!$P$167*(1+rvanilla10)^0.5)-SUM($P399:AN399),('PTRM input'!$P$167*(1+rvanilla10)^0.5)/A25stdlife))</f>
        <v>0</v>
      </c>
      <c r="AP399" s="107">
        <f>IF(A25stdlife="n/a","n/a",IF(AP$3&gt;(A25stdlife+$E399),('PTRM input'!$P$167*(1+rvanilla10)^0.5)-SUM($P399:AO399),('PTRM input'!$P$167*(1+rvanilla10)^0.5)/A25stdlife))</f>
        <v>0</v>
      </c>
      <c r="AQ399" s="107">
        <f>IF(A25stdlife="n/a","n/a",IF(AQ$3&gt;(A25stdlife+$E399),('PTRM input'!$P$167*(1+rvanilla10)^0.5)-SUM($P399:AP399),('PTRM input'!$P$167*(1+rvanilla10)^0.5)/A25stdlife))</f>
        <v>0</v>
      </c>
      <c r="AR399" s="107">
        <f>IF(A25stdlife="n/a","n/a",IF(AR$3&gt;(A25stdlife+$E399),('PTRM input'!$P$167*(1+rvanilla10)^0.5)-SUM($P399:AQ399),('PTRM input'!$P$167*(1+rvanilla10)^0.5)/A25stdlife))</f>
        <v>0</v>
      </c>
      <c r="AS399" s="107">
        <f>IF(A25stdlife="n/a","n/a",IF(AS$3&gt;(A25stdlife+$E399),('PTRM input'!$P$167*(1+rvanilla10)^0.5)-SUM($P399:AR399),('PTRM input'!$P$167*(1+rvanilla10)^0.5)/A25stdlife))</f>
        <v>0</v>
      </c>
      <c r="AT399" s="107">
        <f>IF(A25stdlife="n/a","n/a",IF(AT$3&gt;(A25stdlife+$E399),('PTRM input'!$P$167*(1+rvanilla10)^0.5)-SUM($P399:AS399),('PTRM input'!$P$167*(1+rvanilla10)^0.5)/A25stdlife))</f>
        <v>0</v>
      </c>
      <c r="AU399" s="107">
        <f>IF(A25stdlife="n/a","n/a",IF(AU$3&gt;(A25stdlife+$E399),('PTRM input'!$P$167*(1+rvanilla10)^0.5)-SUM($P399:AT399),('PTRM input'!$P$167*(1+rvanilla10)^0.5)/A25stdlife))</f>
        <v>0</v>
      </c>
      <c r="AV399" s="107">
        <f>IF(A25stdlife="n/a","n/a",IF(AV$3&gt;(A25stdlife+$E399),('PTRM input'!$P$167*(1+rvanilla10)^0.5)-SUM($P399:AU399),('PTRM input'!$P$167*(1+rvanilla10)^0.5)/A25stdlife))</f>
        <v>0</v>
      </c>
      <c r="AW399" s="107">
        <f>IF(A25stdlife="n/a","n/a",IF(AW$3&gt;(A25stdlife+$E399),('PTRM input'!$P$167*(1+rvanilla10)^0.5)-SUM($P399:AV399),('PTRM input'!$P$167*(1+rvanilla10)^0.5)/A25stdlife))</f>
        <v>0</v>
      </c>
      <c r="AX399" s="107">
        <f>IF(A25stdlife="n/a","n/a",IF(AX$3&gt;(A25stdlife+$E399),('PTRM input'!$P$167*(1+rvanilla10)^0.5)-SUM($P399:AW399),('PTRM input'!$P$167*(1+rvanilla10)^0.5)/A25stdlife))</f>
        <v>0</v>
      </c>
      <c r="AY399" s="107">
        <f>IF(A25stdlife="n/a","n/a",IF(AY$3&gt;(A25stdlife+$E399),('PTRM input'!$P$167*(1+rvanilla10)^0.5)-SUM($P399:AX399),('PTRM input'!$P$167*(1+rvanilla10)^0.5)/A25stdlife))</f>
        <v>0</v>
      </c>
      <c r="AZ399" s="107">
        <f>IF(A25stdlife="n/a","n/a",IF(AZ$3&gt;(A25stdlife+$E399),('PTRM input'!$P$167*(1+rvanilla10)^0.5)-SUM($P399:AY399),('PTRM input'!$P$167*(1+rvanilla10)^0.5)/A25stdlife))</f>
        <v>0</v>
      </c>
      <c r="BA399" s="107">
        <f>IF(A25stdlife="n/a","n/a",IF(BA$3&gt;(A25stdlife+$E399),('PTRM input'!$P$167*(1+rvanilla10)^0.5)-SUM($P399:AZ399),('PTRM input'!$P$167*(1+rvanilla10)^0.5)/A25stdlife))</f>
        <v>0</v>
      </c>
      <c r="BB399" s="107">
        <f>IF(A25stdlife="n/a","n/a",IF(BB$3&gt;(A25stdlife+$E399),('PTRM input'!$P$167*(1+rvanilla10)^0.5)-SUM($P399:BA399),('PTRM input'!$P$167*(1+rvanilla10)^0.5)/A25stdlife))</f>
        <v>0</v>
      </c>
      <c r="BC399" s="107">
        <f>IF(A25stdlife="n/a","n/a",IF(BC$3&gt;(A25stdlife+$E399),('PTRM input'!$P$167*(1+rvanilla10)^0.5)-SUM($P399:BB399),('PTRM input'!$P$167*(1+rvanilla10)^0.5)/A25stdlife))</f>
        <v>0</v>
      </c>
      <c r="BD399" s="107">
        <f>IF(A25stdlife="n/a","n/a",IF(BD$3&gt;(A25stdlife+$E399),('PTRM input'!$P$167*(1+rvanilla10)^0.5)-SUM($P399:BC399),('PTRM input'!$P$167*(1+rvanilla10)^0.5)/A25stdlife))</f>
        <v>0</v>
      </c>
      <c r="BE399" s="107">
        <f>IF(A25stdlife="n/a","n/a",IF(BE$3&gt;(A25stdlife+$E399),('PTRM input'!$P$167*(1+rvanilla10)^0.5)-SUM($P399:BD399),('PTRM input'!$P$167*(1+rvanilla10)^0.5)/A25stdlife))</f>
        <v>0</v>
      </c>
      <c r="BF399" s="107">
        <f>IF(A25stdlife="n/a","n/a",IF(BF$3&gt;(A25stdlife+$E399),('PTRM input'!$P$167*(1+rvanilla10)^0.5)-SUM($P399:BE399),('PTRM input'!$P$167*(1+rvanilla10)^0.5)/A25stdlife))</f>
        <v>0</v>
      </c>
      <c r="BG399" s="107">
        <f>IF(A25stdlife="n/a","n/a",IF(BG$3&gt;(A25stdlife+$E399),('PTRM input'!$P$167*(1+rvanilla10)^0.5)-SUM($P399:BF399),('PTRM input'!$P$167*(1+rvanilla10)^0.5)/A25stdlife))</f>
        <v>0</v>
      </c>
      <c r="BH399" s="107">
        <f>IF(A25stdlife="n/a","n/a",IF(BH$3&gt;(A25stdlife+$E399),('PTRM input'!$P$167*(1+rvanilla10)^0.5)-SUM($P399:BG399),('PTRM input'!$P$167*(1+rvanilla10)^0.5)/A25stdlife))</f>
        <v>0</v>
      </c>
      <c r="BI399" s="107">
        <f>IF(A25stdlife="n/a","n/a",IF(BI$3&gt;(A25stdlife+$E399),('PTRM input'!$P$167*(1+rvanilla10)^0.5)-SUM($P399:BH399),('PTRM input'!$P$167*(1+rvanilla10)^0.5)/A25stdlife))</f>
        <v>0</v>
      </c>
      <c r="BJ399" s="237"/>
      <c r="BK399" s="237"/>
      <c r="BL399" s="237"/>
      <c r="BM399" s="237"/>
    </row>
    <row r="400" spans="1:65" s="190" customFormat="1" hidden="1" outlineLevel="1">
      <c r="A400" s="237"/>
      <c r="B400" s="18"/>
      <c r="C400" s="33">
        <f>Asset25</f>
        <v>0</v>
      </c>
      <c r="D400" s="18"/>
      <c r="E400" s="18"/>
      <c r="F400" s="31"/>
      <c r="G400" s="104">
        <f t="shared" ref="G400:AL400" si="85">SUM(G388:G399)</f>
        <v>0</v>
      </c>
      <c r="H400" s="104">
        <f t="shared" si="85"/>
        <v>0</v>
      </c>
      <c r="I400" s="104">
        <f t="shared" si="85"/>
        <v>0</v>
      </c>
      <c r="J400" s="104">
        <f t="shared" si="85"/>
        <v>0</v>
      </c>
      <c r="K400" s="104">
        <f t="shared" si="85"/>
        <v>0</v>
      </c>
      <c r="L400" s="104">
        <f t="shared" si="85"/>
        <v>0</v>
      </c>
      <c r="M400" s="104">
        <f t="shared" si="85"/>
        <v>0</v>
      </c>
      <c r="N400" s="104">
        <f t="shared" si="85"/>
        <v>0</v>
      </c>
      <c r="O400" s="104">
        <f t="shared" si="85"/>
        <v>0</v>
      </c>
      <c r="P400" s="104">
        <f t="shared" si="85"/>
        <v>0</v>
      </c>
      <c r="Q400" s="104">
        <f t="shared" si="85"/>
        <v>0</v>
      </c>
      <c r="R400" s="104">
        <f t="shared" si="85"/>
        <v>0</v>
      </c>
      <c r="S400" s="104">
        <f t="shared" si="85"/>
        <v>0</v>
      </c>
      <c r="T400" s="104">
        <f t="shared" si="85"/>
        <v>0</v>
      </c>
      <c r="U400" s="104">
        <f t="shared" si="85"/>
        <v>0</v>
      </c>
      <c r="V400" s="104">
        <f t="shared" si="85"/>
        <v>0</v>
      </c>
      <c r="W400" s="104">
        <f t="shared" si="85"/>
        <v>0</v>
      </c>
      <c r="X400" s="104">
        <f t="shared" si="85"/>
        <v>0</v>
      </c>
      <c r="Y400" s="104">
        <f t="shared" si="85"/>
        <v>0</v>
      </c>
      <c r="Z400" s="104">
        <f t="shared" si="85"/>
        <v>0</v>
      </c>
      <c r="AA400" s="104">
        <f t="shared" si="85"/>
        <v>0</v>
      </c>
      <c r="AB400" s="104">
        <f t="shared" si="85"/>
        <v>0</v>
      </c>
      <c r="AC400" s="104">
        <f t="shared" si="85"/>
        <v>0</v>
      </c>
      <c r="AD400" s="104">
        <f t="shared" si="85"/>
        <v>0</v>
      </c>
      <c r="AE400" s="104">
        <f t="shared" si="85"/>
        <v>0</v>
      </c>
      <c r="AF400" s="104">
        <f t="shared" si="85"/>
        <v>0</v>
      </c>
      <c r="AG400" s="104">
        <f t="shared" si="85"/>
        <v>0</v>
      </c>
      <c r="AH400" s="104">
        <f t="shared" si="85"/>
        <v>0</v>
      </c>
      <c r="AI400" s="104">
        <f t="shared" si="85"/>
        <v>0</v>
      </c>
      <c r="AJ400" s="104">
        <f t="shared" si="85"/>
        <v>0</v>
      </c>
      <c r="AK400" s="104">
        <f t="shared" si="85"/>
        <v>0</v>
      </c>
      <c r="AL400" s="104">
        <f t="shared" si="85"/>
        <v>0</v>
      </c>
      <c r="AM400" s="104">
        <f t="shared" ref="AM400:BI400" si="86">SUM(AM388:AM399)</f>
        <v>0</v>
      </c>
      <c r="AN400" s="104">
        <f t="shared" si="86"/>
        <v>0</v>
      </c>
      <c r="AO400" s="104">
        <f t="shared" si="86"/>
        <v>0</v>
      </c>
      <c r="AP400" s="104">
        <f t="shared" si="86"/>
        <v>0</v>
      </c>
      <c r="AQ400" s="104">
        <f t="shared" si="86"/>
        <v>0</v>
      </c>
      <c r="AR400" s="104">
        <f t="shared" si="86"/>
        <v>0</v>
      </c>
      <c r="AS400" s="104">
        <f t="shared" si="86"/>
        <v>0</v>
      </c>
      <c r="AT400" s="104">
        <f t="shared" si="86"/>
        <v>0</v>
      </c>
      <c r="AU400" s="104">
        <f t="shared" si="86"/>
        <v>0</v>
      </c>
      <c r="AV400" s="104">
        <f t="shared" si="86"/>
        <v>0</v>
      </c>
      <c r="AW400" s="104">
        <f t="shared" si="86"/>
        <v>0</v>
      </c>
      <c r="AX400" s="104">
        <f t="shared" si="86"/>
        <v>0</v>
      </c>
      <c r="AY400" s="104">
        <f t="shared" si="86"/>
        <v>0</v>
      </c>
      <c r="AZ400" s="104">
        <f t="shared" si="86"/>
        <v>0</v>
      </c>
      <c r="BA400" s="104">
        <f t="shared" si="86"/>
        <v>0</v>
      </c>
      <c r="BB400" s="104">
        <f t="shared" si="86"/>
        <v>0</v>
      </c>
      <c r="BC400" s="104">
        <f t="shared" si="86"/>
        <v>0</v>
      </c>
      <c r="BD400" s="104">
        <f t="shared" si="86"/>
        <v>0</v>
      </c>
      <c r="BE400" s="104">
        <f t="shared" si="86"/>
        <v>0</v>
      </c>
      <c r="BF400" s="104">
        <f t="shared" si="86"/>
        <v>0</v>
      </c>
      <c r="BG400" s="104">
        <f t="shared" si="86"/>
        <v>0</v>
      </c>
      <c r="BH400" s="104">
        <f t="shared" si="86"/>
        <v>0</v>
      </c>
      <c r="BI400" s="104">
        <f t="shared" si="86"/>
        <v>0</v>
      </c>
      <c r="BJ400" s="237"/>
      <c r="BK400" s="237"/>
      <c r="BL400" s="237"/>
      <c r="BM400" s="237"/>
    </row>
    <row r="401" spans="1:65" s="190" customFormat="1" ht="12.75" hidden="1" customHeight="1" outlineLevel="2">
      <c r="A401" s="237"/>
      <c r="B401" s="37">
        <f>C413</f>
        <v>0</v>
      </c>
      <c r="C401" s="38"/>
      <c r="D401" s="39" t="s">
        <v>58</v>
      </c>
      <c r="E401" s="38"/>
      <c r="F401" s="40"/>
      <c r="G401" s="106">
        <f>IF(G$3&gt;A26remlife,A26value-SUM($F401:F401),IF(A26remlife="N/A","n/a",A26value/A26remlife))</f>
        <v>0</v>
      </c>
      <c r="H401" s="106">
        <f>IF(H$3&gt;A26remlife,A26value-SUM($F401:G401),IF(A26remlife="N/A","n/a",A26value/A26remlife))</f>
        <v>0</v>
      </c>
      <c r="I401" s="106">
        <f>IF(I$3&gt;A26remlife,A26value-SUM($F401:H401),IF(A26remlife="N/A","n/a",A26value/A26remlife))</f>
        <v>0</v>
      </c>
      <c r="J401" s="106">
        <f>IF(J$3&gt;A26remlife,A26value-SUM($F401:I401),IF(A26remlife="N/A","n/a",A26value/A26remlife))</f>
        <v>0</v>
      </c>
      <c r="K401" s="106">
        <f>IF(K$3&gt;A26remlife,A26value-SUM($F401:J401),IF(A26remlife="N/A","n/a",A26value/A26remlife))</f>
        <v>0</v>
      </c>
      <c r="L401" s="106">
        <f>IF(L$3&gt;A26remlife,A26value-SUM($F401:K401),IF(A26remlife="N/A","n/a",A26value/A26remlife))</f>
        <v>0</v>
      </c>
      <c r="M401" s="106">
        <f>IF(M$3&gt;A26remlife,A26value-SUM($F401:L401),IF(A26remlife="N/A","n/a",A26value/A26remlife))</f>
        <v>0</v>
      </c>
      <c r="N401" s="106">
        <f>IF(N$3&gt;A26remlife,A26value-SUM($F401:M401),IF(A26remlife="N/A","n/a",A26value/A26remlife))</f>
        <v>0</v>
      </c>
      <c r="O401" s="106">
        <f>IF(O$3&gt;A26remlife,A26value-SUM($F401:N401),IF(A26remlife="N/A","n/a",A26value/A26remlife))</f>
        <v>0</v>
      </c>
      <c r="P401" s="106">
        <f>IF(P$3&gt;A26remlife,A26value-SUM($F401:O401),IF(A26remlife="N/A","n/a",A26value/A26remlife))</f>
        <v>0</v>
      </c>
      <c r="Q401" s="106">
        <f>IF(Q$3&gt;A26remlife,A26value-SUM($F401:P401),IF(A26remlife="N/A","n/a",A26value/A26remlife))</f>
        <v>0</v>
      </c>
      <c r="R401" s="106">
        <f>IF(R$3&gt;A26remlife,A26value-SUM($F401:Q401),IF(A26remlife="N/A","n/a",A26value/A26remlife))</f>
        <v>0</v>
      </c>
      <c r="S401" s="106">
        <f>IF(S$3&gt;A26remlife,A26value-SUM($F401:R401),IF(A26remlife="N/A","n/a",A26value/A26remlife))</f>
        <v>0</v>
      </c>
      <c r="T401" s="106">
        <f>IF(T$3&gt;A26remlife,A26value-SUM($F401:S401),IF(A26remlife="N/A","n/a",A26value/A26remlife))</f>
        <v>0</v>
      </c>
      <c r="U401" s="106">
        <f>IF(U$3&gt;A26remlife,A26value-SUM($F401:T401),IF(A26remlife="N/A","n/a",A26value/A26remlife))</f>
        <v>0</v>
      </c>
      <c r="V401" s="106">
        <f>IF(V$3&gt;A26remlife,A26value-SUM($F401:U401),IF(A26remlife="N/A","n/a",A26value/A26remlife))</f>
        <v>0</v>
      </c>
      <c r="W401" s="106">
        <f>IF(W$3&gt;A26remlife,A26value-SUM($F401:V401),IF(A26remlife="N/A","n/a",A26value/A26remlife))</f>
        <v>0</v>
      </c>
      <c r="X401" s="106">
        <f>IF(X$3&gt;A26remlife,A26value-SUM($F401:W401),IF(A26remlife="N/A","n/a",A26value/A26remlife))</f>
        <v>0</v>
      </c>
      <c r="Y401" s="106">
        <f>IF(Y$3&gt;A26remlife,A26value-SUM($F401:X401),IF(A26remlife="N/A","n/a",A26value/A26remlife))</f>
        <v>0</v>
      </c>
      <c r="Z401" s="106">
        <f>IF(Z$3&gt;A26remlife,A26value-SUM($F401:Y401),IF(A26remlife="N/A","n/a",A26value/A26remlife))</f>
        <v>0</v>
      </c>
      <c r="AA401" s="106">
        <f>IF(AA$3&gt;A26remlife,A26value-SUM($F401:Z401),IF(A26remlife="N/A","n/a",A26value/A26remlife))</f>
        <v>0</v>
      </c>
      <c r="AB401" s="106">
        <f>IF(AB$3&gt;A26remlife,A26value-SUM($F401:AA401),IF(A26remlife="N/A","n/a",A26value/A26remlife))</f>
        <v>0</v>
      </c>
      <c r="AC401" s="106">
        <f>IF(AC$3&gt;A26remlife,A26value-SUM($F401:AB401),IF(A26remlife="N/A","n/a",A26value/A26remlife))</f>
        <v>0</v>
      </c>
      <c r="AD401" s="106">
        <f>IF(AD$3&gt;A26remlife,A26value-SUM($F401:AC401),IF(A26remlife="N/A","n/a",A26value/A26remlife))</f>
        <v>0</v>
      </c>
      <c r="AE401" s="106">
        <f>IF(AE$3&gt;A26remlife,A26value-SUM($F401:AD401),IF(A26remlife="N/A","n/a",A26value/A26remlife))</f>
        <v>0</v>
      </c>
      <c r="AF401" s="106">
        <f>IF(AF$3&gt;A26remlife,A26value-SUM($F401:AE401),IF(A26remlife="N/A","n/a",A26value/A26remlife))</f>
        <v>0</v>
      </c>
      <c r="AG401" s="106">
        <f>IF(AG$3&gt;A26remlife,A26value-SUM($F401:AF401),IF(A26remlife="N/A","n/a",A26value/A26remlife))</f>
        <v>0</v>
      </c>
      <c r="AH401" s="106">
        <f>IF(AH$3&gt;A26remlife,A26value-SUM($F401:AG401),IF(A26remlife="N/A","n/a",A26value/A26remlife))</f>
        <v>0</v>
      </c>
      <c r="AI401" s="106">
        <f>IF(AI$3&gt;A26remlife,A26value-SUM($F401:AH401),IF(A26remlife="N/A","n/a",A26value/A26remlife))</f>
        <v>0</v>
      </c>
      <c r="AJ401" s="106">
        <f>IF(AJ$3&gt;A26remlife,A26value-SUM($F401:AI401),IF(A26remlife="N/A","n/a",A26value/A26remlife))</f>
        <v>0</v>
      </c>
      <c r="AK401" s="106">
        <f>IF(AK$3&gt;A26remlife,A26value-SUM($F401:AJ401),IF(A26remlife="N/A","n/a",A26value/A26remlife))</f>
        <v>0</v>
      </c>
      <c r="AL401" s="106">
        <f>IF(AL$3&gt;A26remlife,A26value-SUM($F401:AK401),IF(A26remlife="N/A","n/a",A26value/A26remlife))</f>
        <v>0</v>
      </c>
      <c r="AM401" s="106">
        <f>IF(AM$3&gt;A26remlife,A26value-SUM($F401:AL401),IF(A26remlife="N/A","n/a",A26value/A26remlife))</f>
        <v>0</v>
      </c>
      <c r="AN401" s="106">
        <f>IF(AN$3&gt;A26remlife,A26value-SUM($F401:AM401),IF(A26remlife="N/A","n/a",A26value/A26remlife))</f>
        <v>0</v>
      </c>
      <c r="AO401" s="106">
        <f>IF(AO$3&gt;A26remlife,A26value-SUM($F401:AN401),IF(A26remlife="N/A","n/a",A26value/A26remlife))</f>
        <v>0</v>
      </c>
      <c r="AP401" s="106">
        <f>IF(AP$3&gt;A26remlife,A26value-SUM($F401:AO401),IF(A26remlife="N/A","n/a",A26value/A26remlife))</f>
        <v>0</v>
      </c>
      <c r="AQ401" s="106">
        <f>IF(AQ$3&gt;A26remlife,A26value-SUM($F401:AP401),IF(A26remlife="N/A","n/a",A26value/A26remlife))</f>
        <v>0</v>
      </c>
      <c r="AR401" s="106">
        <f>IF(AR$3&gt;A26remlife,A26value-SUM($F401:AQ401),IF(A26remlife="N/A","n/a",A26value/A26remlife))</f>
        <v>0</v>
      </c>
      <c r="AS401" s="106">
        <f>IF(AS$3&gt;A26remlife,A26value-SUM($F401:AR401),IF(A26remlife="N/A","n/a",A26value/A26remlife))</f>
        <v>0</v>
      </c>
      <c r="AT401" s="106">
        <f>IF(AT$3&gt;A26remlife,A26value-SUM($F401:AS401),IF(A26remlife="N/A","n/a",A26value/A26remlife))</f>
        <v>0</v>
      </c>
      <c r="AU401" s="106">
        <f>IF(AU$3&gt;A26remlife,A26value-SUM($F401:AT401),IF(A26remlife="N/A","n/a",A26value/A26remlife))</f>
        <v>0</v>
      </c>
      <c r="AV401" s="106">
        <f>IF(AV$3&gt;A26remlife,A26value-SUM($F401:AU401),IF(A26remlife="N/A","n/a",A26value/A26remlife))</f>
        <v>0</v>
      </c>
      <c r="AW401" s="106">
        <f>IF(AW$3&gt;A26remlife,A26value-SUM($F401:AV401),IF(A26remlife="N/A","n/a",A26value/A26remlife))</f>
        <v>0</v>
      </c>
      <c r="AX401" s="106">
        <f>IF(AX$3&gt;A26remlife,A26value-SUM($F401:AW401),IF(A26remlife="N/A","n/a",A26value/A26remlife))</f>
        <v>0</v>
      </c>
      <c r="AY401" s="106">
        <f>IF(AY$3&gt;A26remlife,A26value-SUM($F401:AX401),IF(A26remlife="N/A","n/a",A26value/A26remlife))</f>
        <v>0</v>
      </c>
      <c r="AZ401" s="106">
        <f>IF(AZ$3&gt;A26remlife,A26value-SUM($F401:AY401),IF(A26remlife="N/A","n/a",A26value/A26remlife))</f>
        <v>0</v>
      </c>
      <c r="BA401" s="106">
        <f>IF(BA$3&gt;A26remlife,A26value-SUM($F401:AZ401),IF(A26remlife="N/A","n/a",A26value/A26remlife))</f>
        <v>0</v>
      </c>
      <c r="BB401" s="106">
        <f>IF(BB$3&gt;A26remlife,A26value-SUM($F401:BA401),IF(A26remlife="N/A","n/a",A26value/A26remlife))</f>
        <v>0</v>
      </c>
      <c r="BC401" s="106">
        <f>IF(BC$3&gt;A26remlife,A26value-SUM($F401:BB401),IF(A26remlife="N/A","n/a",A26value/A26remlife))</f>
        <v>0</v>
      </c>
      <c r="BD401" s="106">
        <f>IF(BD$3&gt;A26remlife,A26value-SUM($F401:BC401),IF(A26remlife="N/A","n/a",A26value/A26remlife))</f>
        <v>0</v>
      </c>
      <c r="BE401" s="106">
        <f>IF(BE$3&gt;A26remlife,A26value-SUM($F401:BD401),IF(A26remlife="N/A","n/a",A26value/A26remlife))</f>
        <v>0</v>
      </c>
      <c r="BF401" s="106">
        <f>IF(BF$3&gt;A26remlife,A26value-SUM($F401:BE401),IF(A26remlife="N/A","n/a",A26value/A26remlife))</f>
        <v>0</v>
      </c>
      <c r="BG401" s="106">
        <f>IF(BG$3&gt;A26remlife,A26value-SUM($F401:BF401),IF(A26remlife="N/A","n/a",A26value/A26remlife))</f>
        <v>0</v>
      </c>
      <c r="BH401" s="106">
        <f>IF(BH$3&gt;A26remlife,A26value-SUM($F401:BG401),IF(A26remlife="N/A","n/a",A26value/A26remlife))</f>
        <v>0</v>
      </c>
      <c r="BI401" s="106">
        <f>IF(BI$3&gt;A26remlife,A26value-SUM($F401:BH401),IF(A26remlife="N/A","n/a",A26value/A26remlife))</f>
        <v>0</v>
      </c>
      <c r="BJ401" s="237"/>
      <c r="BK401" s="237"/>
      <c r="BL401" s="237"/>
      <c r="BM401" s="237"/>
    </row>
    <row r="402" spans="1:65" s="190" customFormat="1" ht="12.75" hidden="1" customHeight="1" outlineLevel="2">
      <c r="A402" s="237"/>
      <c r="B402" s="33"/>
      <c r="C402" s="32"/>
      <c r="D402" s="1618" t="s">
        <v>357</v>
      </c>
      <c r="E402" s="169">
        <v>0</v>
      </c>
      <c r="F402" s="35"/>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237"/>
      <c r="BK402" s="237"/>
      <c r="BL402" s="237"/>
      <c r="BM402" s="237"/>
    </row>
    <row r="403" spans="1:65" s="190" customFormat="1" hidden="1" outlineLevel="2">
      <c r="A403" s="237"/>
      <c r="B403" s="33"/>
      <c r="C403" s="32"/>
      <c r="D403" s="1618"/>
      <c r="E403" s="169">
        <v>1</v>
      </c>
      <c r="F403" s="35"/>
      <c r="G403" s="183"/>
      <c r="H403" s="107">
        <f>IF(A26stdlife="n/a","n/a",IF(H$3&gt;(A26stdlife+$E403),('PTRM input'!$G$168*(1+rvanilla01)^0.5)-SUM($G403:G403),('PTRM input'!$G$168*(1+rvanilla01)^0.5)/A26stdlife))</f>
        <v>0</v>
      </c>
      <c r="I403" s="107">
        <f>IF(A26stdlife="n/a","n/a",IF(I$3&gt;(A26stdlife+$E403),('PTRM input'!$G$168*(1+rvanilla01)^0.5)-SUM($G403:H403),('PTRM input'!$G$168*(1+rvanilla01)^0.5)/A26stdlife))</f>
        <v>0</v>
      </c>
      <c r="J403" s="107">
        <f>IF(A26stdlife="n/a","n/a",IF(J$3&gt;(A26stdlife+$E403),('PTRM input'!$G$168*(1+rvanilla01)^0.5)-SUM($G403:I403),('PTRM input'!$G$168*(1+rvanilla01)^0.5)/A26stdlife))</f>
        <v>0</v>
      </c>
      <c r="K403" s="107">
        <f>IF(A26stdlife="n/a","n/a",IF(K$3&gt;(A26stdlife+$E403),('PTRM input'!$G$168*(1+rvanilla01)^0.5)-SUM($G403:J403),('PTRM input'!$G$168*(1+rvanilla01)^0.5)/A26stdlife))</f>
        <v>0</v>
      </c>
      <c r="L403" s="107">
        <f>IF(A26stdlife="n/a","n/a",IF(L$3&gt;(A26stdlife+$E403),('PTRM input'!$G$168*(1+rvanilla01)^0.5)-SUM($G403:K403),('PTRM input'!$G$168*(1+rvanilla01)^0.5)/A26stdlife))</f>
        <v>0</v>
      </c>
      <c r="M403" s="107">
        <f>IF(A26stdlife="n/a","n/a",IF(M$3&gt;(A26stdlife+$E403),('PTRM input'!$G$168*(1+rvanilla01)^0.5)-SUM($G403:L403),('PTRM input'!$G$168*(1+rvanilla01)^0.5)/A26stdlife))</f>
        <v>0</v>
      </c>
      <c r="N403" s="107">
        <f>IF(A26stdlife="n/a","n/a",IF(N$3&gt;(A26stdlife+$E403),('PTRM input'!$G$168*(1+rvanilla01)^0.5)-SUM($G403:M403),('PTRM input'!$G$168*(1+rvanilla01)^0.5)/A26stdlife))</f>
        <v>0</v>
      </c>
      <c r="O403" s="107">
        <f>IF(A26stdlife="n/a","n/a",IF(O$3&gt;(A26stdlife+$E403),('PTRM input'!$G$168*(1+rvanilla01)^0.5)-SUM($G403:N403),('PTRM input'!$G$168*(1+rvanilla01)^0.5)/A26stdlife))</f>
        <v>0</v>
      </c>
      <c r="P403" s="107">
        <f>IF(A26stdlife="n/a","n/a",IF(P$3&gt;(A26stdlife+$E403),('PTRM input'!$G$168*(1+rvanilla01)^0.5)-SUM($G403:O403),('PTRM input'!$G$168*(1+rvanilla01)^0.5)/A26stdlife))</f>
        <v>0</v>
      </c>
      <c r="Q403" s="107">
        <f>IF(A26stdlife="n/a","n/a",IF(Q$3&gt;(A26stdlife+$E403),('PTRM input'!$G$168*(1+rvanilla01)^0.5)-SUM($G403:P403),('PTRM input'!$G$168*(1+rvanilla01)^0.5)/A26stdlife))</f>
        <v>0</v>
      </c>
      <c r="R403" s="107">
        <f>IF(A26stdlife="n/a","n/a",IF(R$3&gt;(A26stdlife+$E403),('PTRM input'!$G$168*(1+rvanilla01)^0.5)-SUM($G403:Q403),('PTRM input'!$G$168*(1+rvanilla01)^0.5)/A26stdlife))</f>
        <v>0</v>
      </c>
      <c r="S403" s="107">
        <f>IF(A26stdlife="n/a","n/a",IF(S$3&gt;(A26stdlife+$E403),('PTRM input'!$G$168*(1+rvanilla01)^0.5)-SUM($G403:R403),('PTRM input'!$G$168*(1+rvanilla01)^0.5)/A26stdlife))</f>
        <v>0</v>
      </c>
      <c r="T403" s="107">
        <f>IF(A26stdlife="n/a","n/a",IF(T$3&gt;(A26stdlife+$E403),('PTRM input'!$G$168*(1+rvanilla01)^0.5)-SUM($G403:S403),('PTRM input'!$G$168*(1+rvanilla01)^0.5)/A26stdlife))</f>
        <v>0</v>
      </c>
      <c r="U403" s="107">
        <f>IF(A26stdlife="n/a","n/a",IF(U$3&gt;(A26stdlife+$E403),('PTRM input'!$G$168*(1+rvanilla01)^0.5)-SUM($G403:T403),('PTRM input'!$G$168*(1+rvanilla01)^0.5)/A26stdlife))</f>
        <v>0</v>
      </c>
      <c r="V403" s="107">
        <f>IF(A26stdlife="n/a","n/a",IF(V$3&gt;(A26stdlife+$E403),('PTRM input'!$G$168*(1+rvanilla01)^0.5)-SUM($G403:U403),('PTRM input'!$G$168*(1+rvanilla01)^0.5)/A26stdlife))</f>
        <v>0</v>
      </c>
      <c r="W403" s="107">
        <f>IF(A26stdlife="n/a","n/a",IF(W$3&gt;(A26stdlife+$E403),('PTRM input'!$G$168*(1+rvanilla01)^0.5)-SUM($G403:V403),('PTRM input'!$G$168*(1+rvanilla01)^0.5)/A26stdlife))</f>
        <v>0</v>
      </c>
      <c r="X403" s="107">
        <f>IF(A26stdlife="n/a","n/a",IF(X$3&gt;(A26stdlife+$E403),('PTRM input'!$G$168*(1+rvanilla01)^0.5)-SUM($G403:W403),('PTRM input'!$G$168*(1+rvanilla01)^0.5)/A26stdlife))</f>
        <v>0</v>
      </c>
      <c r="Y403" s="107">
        <f>IF(A26stdlife="n/a","n/a",IF(Y$3&gt;(A26stdlife+$E403),('PTRM input'!$G$168*(1+rvanilla01)^0.5)-SUM($G403:X403),('PTRM input'!$G$168*(1+rvanilla01)^0.5)/A26stdlife))</f>
        <v>0</v>
      </c>
      <c r="Z403" s="107">
        <f>IF(A26stdlife="n/a","n/a",IF(Z$3&gt;(A26stdlife+$E403),('PTRM input'!$G$168*(1+rvanilla01)^0.5)-SUM($G403:Y403),('PTRM input'!$G$168*(1+rvanilla01)^0.5)/A26stdlife))</f>
        <v>0</v>
      </c>
      <c r="AA403" s="107">
        <f>IF(A26stdlife="n/a","n/a",IF(AA$3&gt;(A26stdlife+$E403),('PTRM input'!$G$168*(1+rvanilla01)^0.5)-SUM($G403:Z403),('PTRM input'!$G$168*(1+rvanilla01)^0.5)/A26stdlife))</f>
        <v>0</v>
      </c>
      <c r="AB403" s="107">
        <f>IF(A26stdlife="n/a","n/a",IF(AB$3&gt;(A26stdlife+$E403),('PTRM input'!$G$168*(1+rvanilla01)^0.5)-SUM($G403:AA403),('PTRM input'!$G$168*(1+rvanilla01)^0.5)/A26stdlife))</f>
        <v>0</v>
      </c>
      <c r="AC403" s="107">
        <f>IF(A26stdlife="n/a","n/a",IF(AC$3&gt;(A26stdlife+$E403),('PTRM input'!$G$168*(1+rvanilla01)^0.5)-SUM($G403:AB403),('PTRM input'!$G$168*(1+rvanilla01)^0.5)/A26stdlife))</f>
        <v>0</v>
      </c>
      <c r="AD403" s="107">
        <f>IF(A26stdlife="n/a","n/a",IF(AD$3&gt;(A26stdlife+$E403),('PTRM input'!$G$168*(1+rvanilla01)^0.5)-SUM($G403:AC403),('PTRM input'!$G$168*(1+rvanilla01)^0.5)/A26stdlife))</f>
        <v>0</v>
      </c>
      <c r="AE403" s="107">
        <f>IF(A26stdlife="n/a","n/a",IF(AE$3&gt;(A26stdlife+$E403),('PTRM input'!$G$168*(1+rvanilla01)^0.5)-SUM($G403:AD403),('PTRM input'!$G$168*(1+rvanilla01)^0.5)/A26stdlife))</f>
        <v>0</v>
      </c>
      <c r="AF403" s="107">
        <f>IF(A26stdlife="n/a","n/a",IF(AF$3&gt;(A26stdlife+$E403),('PTRM input'!$G$168*(1+rvanilla01)^0.5)-SUM($G403:AE403),('PTRM input'!$G$168*(1+rvanilla01)^0.5)/A26stdlife))</f>
        <v>0</v>
      </c>
      <c r="AG403" s="107">
        <f>IF(A26stdlife="n/a","n/a",IF(AG$3&gt;(A26stdlife+$E403),('PTRM input'!$G$168*(1+rvanilla01)^0.5)-SUM($G403:AF403),('PTRM input'!$G$168*(1+rvanilla01)^0.5)/A26stdlife))</f>
        <v>0</v>
      </c>
      <c r="AH403" s="107">
        <f>IF(A26stdlife="n/a","n/a",IF(AH$3&gt;(A26stdlife+$E403),('PTRM input'!$G$168*(1+rvanilla01)^0.5)-SUM($G403:AG403),('PTRM input'!$G$168*(1+rvanilla01)^0.5)/A26stdlife))</f>
        <v>0</v>
      </c>
      <c r="AI403" s="107">
        <f>IF(A26stdlife="n/a","n/a",IF(AI$3&gt;(A26stdlife+$E403),('PTRM input'!$G$168*(1+rvanilla01)^0.5)-SUM($G403:AH403),('PTRM input'!$G$168*(1+rvanilla01)^0.5)/A26stdlife))</f>
        <v>0</v>
      </c>
      <c r="AJ403" s="107">
        <f>IF(A26stdlife="n/a","n/a",IF(AJ$3&gt;(A26stdlife+$E403),('PTRM input'!$G$168*(1+rvanilla01)^0.5)-SUM($G403:AI403),('PTRM input'!$G$168*(1+rvanilla01)^0.5)/A26stdlife))</f>
        <v>0</v>
      </c>
      <c r="AK403" s="107">
        <f>IF(A26stdlife="n/a","n/a",IF(AK$3&gt;(A26stdlife+$E403),('PTRM input'!$G$168*(1+rvanilla01)^0.5)-SUM($G403:AJ403),('PTRM input'!$G$168*(1+rvanilla01)^0.5)/A26stdlife))</f>
        <v>0</v>
      </c>
      <c r="AL403" s="107">
        <f>IF(A26stdlife="n/a","n/a",IF(AL$3&gt;(A26stdlife+$E403),('PTRM input'!$G$168*(1+rvanilla01)^0.5)-SUM($G403:AK403),('PTRM input'!$G$168*(1+rvanilla01)^0.5)/A26stdlife))</f>
        <v>0</v>
      </c>
      <c r="AM403" s="107">
        <f>IF(A26stdlife="n/a","n/a",IF(AM$3&gt;(A26stdlife+$E403),('PTRM input'!$G$168*(1+rvanilla01)^0.5)-SUM($G403:AL403),('PTRM input'!$G$168*(1+rvanilla01)^0.5)/A26stdlife))</f>
        <v>0</v>
      </c>
      <c r="AN403" s="107">
        <f>IF(A26stdlife="n/a","n/a",IF(AN$3&gt;(A26stdlife+$E403),('PTRM input'!$G$168*(1+rvanilla01)^0.5)-SUM($G403:AM403),('PTRM input'!$G$168*(1+rvanilla01)^0.5)/A26stdlife))</f>
        <v>0</v>
      </c>
      <c r="AO403" s="107">
        <f>IF(A26stdlife="n/a","n/a",IF(AO$3&gt;(A26stdlife+$E403),('PTRM input'!$G$168*(1+rvanilla01)^0.5)-SUM($G403:AN403),('PTRM input'!$G$168*(1+rvanilla01)^0.5)/A26stdlife))</f>
        <v>0</v>
      </c>
      <c r="AP403" s="107">
        <f>IF(A26stdlife="n/a","n/a",IF(AP$3&gt;(A26stdlife+$E403),('PTRM input'!$G$168*(1+rvanilla01)^0.5)-SUM($G403:AO403),('PTRM input'!$G$168*(1+rvanilla01)^0.5)/A26stdlife))</f>
        <v>0</v>
      </c>
      <c r="AQ403" s="107">
        <f>IF(A26stdlife="n/a","n/a",IF(AQ$3&gt;(A26stdlife+$E403),('PTRM input'!$G$168*(1+rvanilla01)^0.5)-SUM($G403:AP403),('PTRM input'!$G$168*(1+rvanilla01)^0.5)/A26stdlife))</f>
        <v>0</v>
      </c>
      <c r="AR403" s="107">
        <f>IF(A26stdlife="n/a","n/a",IF(AR$3&gt;(A26stdlife+$E403),('PTRM input'!$G$168*(1+rvanilla01)^0.5)-SUM($G403:AQ403),('PTRM input'!$G$168*(1+rvanilla01)^0.5)/A26stdlife))</f>
        <v>0</v>
      </c>
      <c r="AS403" s="107">
        <f>IF(A26stdlife="n/a","n/a",IF(AS$3&gt;(A26stdlife+$E403),('PTRM input'!$G$168*(1+rvanilla01)^0.5)-SUM($G403:AR403),('PTRM input'!$G$168*(1+rvanilla01)^0.5)/A26stdlife))</f>
        <v>0</v>
      </c>
      <c r="AT403" s="107">
        <f>IF(A26stdlife="n/a","n/a",IF(AT$3&gt;(A26stdlife+$E403),('PTRM input'!$G$168*(1+rvanilla01)^0.5)-SUM($G403:AS403),('PTRM input'!$G$168*(1+rvanilla01)^0.5)/A26stdlife))</f>
        <v>0</v>
      </c>
      <c r="AU403" s="107">
        <f>IF(A26stdlife="n/a","n/a",IF(AU$3&gt;(A26stdlife+$E403),('PTRM input'!$G$168*(1+rvanilla01)^0.5)-SUM($G403:AT403),('PTRM input'!$G$168*(1+rvanilla01)^0.5)/A26stdlife))</f>
        <v>0</v>
      </c>
      <c r="AV403" s="107">
        <f>IF(A26stdlife="n/a","n/a",IF(AV$3&gt;(A26stdlife+$E403),('PTRM input'!$G$168*(1+rvanilla01)^0.5)-SUM($G403:AU403),('PTRM input'!$G$168*(1+rvanilla01)^0.5)/A26stdlife))</f>
        <v>0</v>
      </c>
      <c r="AW403" s="107">
        <f>IF(A26stdlife="n/a","n/a",IF(AW$3&gt;(A26stdlife+$E403),('PTRM input'!$G$168*(1+rvanilla01)^0.5)-SUM($G403:AV403),('PTRM input'!$G$168*(1+rvanilla01)^0.5)/A26stdlife))</f>
        <v>0</v>
      </c>
      <c r="AX403" s="107">
        <f>IF(A26stdlife="n/a","n/a",IF(AX$3&gt;(A26stdlife+$E403),('PTRM input'!$G$168*(1+rvanilla01)^0.5)-SUM($G403:AW403),('PTRM input'!$G$168*(1+rvanilla01)^0.5)/A26stdlife))</f>
        <v>0</v>
      </c>
      <c r="AY403" s="107">
        <f>IF(A26stdlife="n/a","n/a",IF(AY$3&gt;(A26stdlife+$E403),('PTRM input'!$G$168*(1+rvanilla01)^0.5)-SUM($G403:AX403),('PTRM input'!$G$168*(1+rvanilla01)^0.5)/A26stdlife))</f>
        <v>0</v>
      </c>
      <c r="AZ403" s="107">
        <f>IF(A26stdlife="n/a","n/a",IF(AZ$3&gt;(A26stdlife+$E403),('PTRM input'!$G$168*(1+rvanilla01)^0.5)-SUM($G403:AY403),('PTRM input'!$G$168*(1+rvanilla01)^0.5)/A26stdlife))</f>
        <v>0</v>
      </c>
      <c r="BA403" s="107">
        <f>IF(A26stdlife="n/a","n/a",IF(BA$3&gt;(A26stdlife+$E403),('PTRM input'!$G$168*(1+rvanilla01)^0.5)-SUM($G403:AZ403),('PTRM input'!$G$168*(1+rvanilla01)^0.5)/A26stdlife))</f>
        <v>0</v>
      </c>
      <c r="BB403" s="107">
        <f>IF(A26stdlife="n/a","n/a",IF(BB$3&gt;(A26stdlife+$E403),('PTRM input'!$G$168*(1+rvanilla01)^0.5)-SUM($G403:BA403),('PTRM input'!$G$168*(1+rvanilla01)^0.5)/A26stdlife))</f>
        <v>0</v>
      </c>
      <c r="BC403" s="107">
        <f>IF(A26stdlife="n/a","n/a",IF(BC$3&gt;(A26stdlife+$E403),('PTRM input'!$G$168*(1+rvanilla01)^0.5)-SUM($G403:BB403),('PTRM input'!$G$168*(1+rvanilla01)^0.5)/A26stdlife))</f>
        <v>0</v>
      </c>
      <c r="BD403" s="107">
        <f>IF(A26stdlife="n/a","n/a",IF(BD$3&gt;(A26stdlife+$E403),('PTRM input'!$G$168*(1+rvanilla01)^0.5)-SUM($G403:BC403),('PTRM input'!$G$168*(1+rvanilla01)^0.5)/A26stdlife))</f>
        <v>0</v>
      </c>
      <c r="BE403" s="107">
        <f>IF(A26stdlife="n/a","n/a",IF(BE$3&gt;(A26stdlife+$E403),('PTRM input'!$G$168*(1+rvanilla01)^0.5)-SUM($G403:BD403),('PTRM input'!$G$168*(1+rvanilla01)^0.5)/A26stdlife))</f>
        <v>0</v>
      </c>
      <c r="BF403" s="107">
        <f>IF(A26stdlife="n/a","n/a",IF(BF$3&gt;(A26stdlife+$E403),('PTRM input'!$G$168*(1+rvanilla01)^0.5)-SUM($G403:BE403),('PTRM input'!$G$168*(1+rvanilla01)^0.5)/A26stdlife))</f>
        <v>0</v>
      </c>
      <c r="BG403" s="107">
        <f>IF(A26stdlife="n/a","n/a",IF(BG$3&gt;(A26stdlife+$E403),('PTRM input'!$G$168*(1+rvanilla01)^0.5)-SUM($G403:BF403),('PTRM input'!$G$168*(1+rvanilla01)^0.5)/A26stdlife))</f>
        <v>0</v>
      </c>
      <c r="BH403" s="107">
        <f>IF(A26stdlife="n/a","n/a",IF(BH$3&gt;(A26stdlife+$E403),('PTRM input'!$G$168*(1+rvanilla01)^0.5)-SUM($G403:BG403),('PTRM input'!$G$168*(1+rvanilla01)^0.5)/A26stdlife))</f>
        <v>0</v>
      </c>
      <c r="BI403" s="107">
        <f>IF(A26stdlife="n/a","n/a",IF(BI$3&gt;(A26stdlife+$E403),('PTRM input'!$G$168*(1+rvanilla01)^0.5)-SUM($G403:BH403),('PTRM input'!$G$168*(1+rvanilla01)^0.5)/A26stdlife))</f>
        <v>0</v>
      </c>
      <c r="BJ403" s="237"/>
      <c r="BK403" s="237"/>
      <c r="BL403" s="237"/>
      <c r="BM403" s="237"/>
    </row>
    <row r="404" spans="1:65" s="190" customFormat="1" hidden="1" outlineLevel="2">
      <c r="A404" s="237"/>
      <c r="B404" s="33"/>
      <c r="C404" s="32"/>
      <c r="D404" s="1618"/>
      <c r="E404" s="169">
        <v>2</v>
      </c>
      <c r="F404" s="35"/>
      <c r="G404" s="184"/>
      <c r="H404" s="185"/>
      <c r="I404" s="107">
        <f>IF(A26stdlife="n/a","n/a",IF(I$3&gt;(A26stdlife+$E404),('PTRM input'!$H$168*(1+rvanilla02)^0.5)-SUM($H404:H404),('PTRM input'!$H$168*(1+rvanilla02)^0.5)/A26stdlife))</f>
        <v>0</v>
      </c>
      <c r="J404" s="107">
        <f>IF(A26stdlife="n/a","n/a",IF(J$3&gt;(A26stdlife+$E404),('PTRM input'!$H$168*(1+rvanilla02)^0.5)-SUM($H404:I404),('PTRM input'!$H$168*(1+rvanilla02)^0.5)/A26stdlife))</f>
        <v>0</v>
      </c>
      <c r="K404" s="107">
        <f>IF(A26stdlife="n/a","n/a",IF(K$3&gt;(A26stdlife+$E404),('PTRM input'!$H$168*(1+rvanilla02)^0.5)-SUM($H404:J404),('PTRM input'!$H$168*(1+rvanilla02)^0.5)/A26stdlife))</f>
        <v>0</v>
      </c>
      <c r="L404" s="107">
        <f>IF(A26stdlife="n/a","n/a",IF(L$3&gt;(A26stdlife+$E404),('PTRM input'!$H$168*(1+rvanilla02)^0.5)-SUM($H404:K404),('PTRM input'!$H$168*(1+rvanilla02)^0.5)/A26stdlife))</f>
        <v>0</v>
      </c>
      <c r="M404" s="107">
        <f>IF(A26stdlife="n/a","n/a",IF(M$3&gt;(A26stdlife+$E404),('PTRM input'!$H$168*(1+rvanilla02)^0.5)-SUM($H404:L404),('PTRM input'!$H$168*(1+rvanilla02)^0.5)/A26stdlife))</f>
        <v>0</v>
      </c>
      <c r="N404" s="107">
        <f>IF(A26stdlife="n/a","n/a",IF(N$3&gt;(A26stdlife+$E404),('PTRM input'!$H$168*(1+rvanilla02)^0.5)-SUM($H404:M404),('PTRM input'!$H$168*(1+rvanilla02)^0.5)/A26stdlife))</f>
        <v>0</v>
      </c>
      <c r="O404" s="107">
        <f>IF(A26stdlife="n/a","n/a",IF(O$3&gt;(A26stdlife+$E404),('PTRM input'!$H$168*(1+rvanilla02)^0.5)-SUM($H404:N404),('PTRM input'!$H$168*(1+rvanilla02)^0.5)/A26stdlife))</f>
        <v>0</v>
      </c>
      <c r="P404" s="107">
        <f>IF(A26stdlife="n/a","n/a",IF(P$3&gt;(A26stdlife+$E404),('PTRM input'!$H$168*(1+rvanilla02)^0.5)-SUM($H404:O404),('PTRM input'!$H$168*(1+rvanilla02)^0.5)/A26stdlife))</f>
        <v>0</v>
      </c>
      <c r="Q404" s="107">
        <f>IF(A26stdlife="n/a","n/a",IF(Q$3&gt;(A26stdlife+$E404),('PTRM input'!$H$168*(1+rvanilla02)^0.5)-SUM($H404:P404),('PTRM input'!$H$168*(1+rvanilla02)^0.5)/A26stdlife))</f>
        <v>0</v>
      </c>
      <c r="R404" s="107">
        <f>IF(A26stdlife="n/a","n/a",IF(R$3&gt;(A26stdlife+$E404),('PTRM input'!$H$168*(1+rvanilla02)^0.5)-SUM($H404:Q404),('PTRM input'!$H$168*(1+rvanilla02)^0.5)/A26stdlife))</f>
        <v>0</v>
      </c>
      <c r="S404" s="107">
        <f>IF(A26stdlife="n/a","n/a",IF(S$3&gt;(A26stdlife+$E404),('PTRM input'!$H$168*(1+rvanilla02)^0.5)-SUM($H404:R404),('PTRM input'!$H$168*(1+rvanilla02)^0.5)/A26stdlife))</f>
        <v>0</v>
      </c>
      <c r="T404" s="107">
        <f>IF(A26stdlife="n/a","n/a",IF(T$3&gt;(A26stdlife+$E404),('PTRM input'!$H$168*(1+rvanilla02)^0.5)-SUM($H404:S404),('PTRM input'!$H$168*(1+rvanilla02)^0.5)/A26stdlife))</f>
        <v>0</v>
      </c>
      <c r="U404" s="107">
        <f>IF(A26stdlife="n/a","n/a",IF(U$3&gt;(A26stdlife+$E404),('PTRM input'!$H$168*(1+rvanilla02)^0.5)-SUM($H404:T404),('PTRM input'!$H$168*(1+rvanilla02)^0.5)/A26stdlife))</f>
        <v>0</v>
      </c>
      <c r="V404" s="107">
        <f>IF(A26stdlife="n/a","n/a",IF(V$3&gt;(A26stdlife+$E404),('PTRM input'!$H$168*(1+rvanilla02)^0.5)-SUM($H404:U404),('PTRM input'!$H$168*(1+rvanilla02)^0.5)/A26stdlife))</f>
        <v>0</v>
      </c>
      <c r="W404" s="107">
        <f>IF(A26stdlife="n/a","n/a",IF(W$3&gt;(A26stdlife+$E404),('PTRM input'!$H$168*(1+rvanilla02)^0.5)-SUM($H404:V404),('PTRM input'!$H$168*(1+rvanilla02)^0.5)/A26stdlife))</f>
        <v>0</v>
      </c>
      <c r="X404" s="107">
        <f>IF(A26stdlife="n/a","n/a",IF(X$3&gt;(A26stdlife+$E404),('PTRM input'!$H$168*(1+rvanilla02)^0.5)-SUM($H404:W404),('PTRM input'!$H$168*(1+rvanilla02)^0.5)/A26stdlife))</f>
        <v>0</v>
      </c>
      <c r="Y404" s="107">
        <f>IF(A26stdlife="n/a","n/a",IF(Y$3&gt;(A26stdlife+$E404),('PTRM input'!$H$168*(1+rvanilla02)^0.5)-SUM($H404:X404),('PTRM input'!$H$168*(1+rvanilla02)^0.5)/A26stdlife))</f>
        <v>0</v>
      </c>
      <c r="Z404" s="107">
        <f>IF(A26stdlife="n/a","n/a",IF(Z$3&gt;(A26stdlife+$E404),('PTRM input'!$H$168*(1+rvanilla02)^0.5)-SUM($H404:Y404),('PTRM input'!$H$168*(1+rvanilla02)^0.5)/A26stdlife))</f>
        <v>0</v>
      </c>
      <c r="AA404" s="107">
        <f>IF(A26stdlife="n/a","n/a",IF(AA$3&gt;(A26stdlife+$E404),('PTRM input'!$H$168*(1+rvanilla02)^0.5)-SUM($H404:Z404),('PTRM input'!$H$168*(1+rvanilla02)^0.5)/A26stdlife))</f>
        <v>0</v>
      </c>
      <c r="AB404" s="107">
        <f>IF(A26stdlife="n/a","n/a",IF(AB$3&gt;(A26stdlife+$E404),('PTRM input'!$H$168*(1+rvanilla02)^0.5)-SUM($H404:AA404),('PTRM input'!$H$168*(1+rvanilla02)^0.5)/A26stdlife))</f>
        <v>0</v>
      </c>
      <c r="AC404" s="107">
        <f>IF(A26stdlife="n/a","n/a",IF(AC$3&gt;(A26stdlife+$E404),('PTRM input'!$H$168*(1+rvanilla02)^0.5)-SUM($H404:AB404),('PTRM input'!$H$168*(1+rvanilla02)^0.5)/A26stdlife))</f>
        <v>0</v>
      </c>
      <c r="AD404" s="107">
        <f>IF(A26stdlife="n/a","n/a",IF(AD$3&gt;(A26stdlife+$E404),('PTRM input'!$H$168*(1+rvanilla02)^0.5)-SUM($H404:AC404),('PTRM input'!$H$168*(1+rvanilla02)^0.5)/A26stdlife))</f>
        <v>0</v>
      </c>
      <c r="AE404" s="107">
        <f>IF(A26stdlife="n/a","n/a",IF(AE$3&gt;(A26stdlife+$E404),('PTRM input'!$H$168*(1+rvanilla02)^0.5)-SUM($H404:AD404),('PTRM input'!$H$168*(1+rvanilla02)^0.5)/A26stdlife))</f>
        <v>0</v>
      </c>
      <c r="AF404" s="107">
        <f>IF(A26stdlife="n/a","n/a",IF(AF$3&gt;(A26stdlife+$E404),('PTRM input'!$H$168*(1+rvanilla02)^0.5)-SUM($H404:AE404),('PTRM input'!$H$168*(1+rvanilla02)^0.5)/A26stdlife))</f>
        <v>0</v>
      </c>
      <c r="AG404" s="107">
        <f>IF(A26stdlife="n/a","n/a",IF(AG$3&gt;(A26stdlife+$E404),('PTRM input'!$H$168*(1+rvanilla02)^0.5)-SUM($H404:AF404),('PTRM input'!$H$168*(1+rvanilla02)^0.5)/A26stdlife))</f>
        <v>0</v>
      </c>
      <c r="AH404" s="107">
        <f>IF(A26stdlife="n/a","n/a",IF(AH$3&gt;(A26stdlife+$E404),('PTRM input'!$H$168*(1+rvanilla02)^0.5)-SUM($H404:AG404),('PTRM input'!$H$168*(1+rvanilla02)^0.5)/A26stdlife))</f>
        <v>0</v>
      </c>
      <c r="AI404" s="107">
        <f>IF(A26stdlife="n/a","n/a",IF(AI$3&gt;(A26stdlife+$E404),('PTRM input'!$H$168*(1+rvanilla02)^0.5)-SUM($H404:AH404),('PTRM input'!$H$168*(1+rvanilla02)^0.5)/A26stdlife))</f>
        <v>0</v>
      </c>
      <c r="AJ404" s="107">
        <f>IF(A26stdlife="n/a","n/a",IF(AJ$3&gt;(A26stdlife+$E404),('PTRM input'!$H$168*(1+rvanilla02)^0.5)-SUM($H404:AI404),('PTRM input'!$H$168*(1+rvanilla02)^0.5)/A26stdlife))</f>
        <v>0</v>
      </c>
      <c r="AK404" s="107">
        <f>IF(A26stdlife="n/a","n/a",IF(AK$3&gt;(A26stdlife+$E404),('PTRM input'!$H$168*(1+rvanilla02)^0.5)-SUM($H404:AJ404),('PTRM input'!$H$168*(1+rvanilla02)^0.5)/A26stdlife))</f>
        <v>0</v>
      </c>
      <c r="AL404" s="107">
        <f>IF(A26stdlife="n/a","n/a",IF(AL$3&gt;(A26stdlife+$E404),('PTRM input'!$H$168*(1+rvanilla02)^0.5)-SUM($H404:AK404),('PTRM input'!$H$168*(1+rvanilla02)^0.5)/A26stdlife))</f>
        <v>0</v>
      </c>
      <c r="AM404" s="107">
        <f>IF(A26stdlife="n/a","n/a",IF(AM$3&gt;(A26stdlife+$E404),('PTRM input'!$H$168*(1+rvanilla02)^0.5)-SUM($H404:AL404),('PTRM input'!$H$168*(1+rvanilla02)^0.5)/A26stdlife))</f>
        <v>0</v>
      </c>
      <c r="AN404" s="107">
        <f>IF(A26stdlife="n/a","n/a",IF(AN$3&gt;(A26stdlife+$E404),('PTRM input'!$H$168*(1+rvanilla02)^0.5)-SUM($H404:AM404),('PTRM input'!$H$168*(1+rvanilla02)^0.5)/A26stdlife))</f>
        <v>0</v>
      </c>
      <c r="AO404" s="107">
        <f>IF(A26stdlife="n/a","n/a",IF(AO$3&gt;(A26stdlife+$E404),('PTRM input'!$H$168*(1+rvanilla02)^0.5)-SUM($H404:AN404),('PTRM input'!$H$168*(1+rvanilla02)^0.5)/A26stdlife))</f>
        <v>0</v>
      </c>
      <c r="AP404" s="107">
        <f>IF(A26stdlife="n/a","n/a",IF(AP$3&gt;(A26stdlife+$E404),('PTRM input'!$H$168*(1+rvanilla02)^0.5)-SUM($H404:AO404),('PTRM input'!$H$168*(1+rvanilla02)^0.5)/A26stdlife))</f>
        <v>0</v>
      </c>
      <c r="AQ404" s="107">
        <f>IF(A26stdlife="n/a","n/a",IF(AQ$3&gt;(A26stdlife+$E404),('PTRM input'!$H$168*(1+rvanilla02)^0.5)-SUM($H404:AP404),('PTRM input'!$H$168*(1+rvanilla02)^0.5)/A26stdlife))</f>
        <v>0</v>
      </c>
      <c r="AR404" s="107">
        <f>IF(A26stdlife="n/a","n/a",IF(AR$3&gt;(A26stdlife+$E404),('PTRM input'!$H$168*(1+rvanilla02)^0.5)-SUM($H404:AQ404),('PTRM input'!$H$168*(1+rvanilla02)^0.5)/A26stdlife))</f>
        <v>0</v>
      </c>
      <c r="AS404" s="107">
        <f>IF(A26stdlife="n/a","n/a",IF(AS$3&gt;(A26stdlife+$E404),('PTRM input'!$H$168*(1+rvanilla02)^0.5)-SUM($H404:AR404),('PTRM input'!$H$168*(1+rvanilla02)^0.5)/A26stdlife))</f>
        <v>0</v>
      </c>
      <c r="AT404" s="107">
        <f>IF(A26stdlife="n/a","n/a",IF(AT$3&gt;(A26stdlife+$E404),('PTRM input'!$H$168*(1+rvanilla02)^0.5)-SUM($H404:AS404),('PTRM input'!$H$168*(1+rvanilla02)^0.5)/A26stdlife))</f>
        <v>0</v>
      </c>
      <c r="AU404" s="107">
        <f>IF(A26stdlife="n/a","n/a",IF(AU$3&gt;(A26stdlife+$E404),('PTRM input'!$H$168*(1+rvanilla02)^0.5)-SUM($H404:AT404),('PTRM input'!$H$168*(1+rvanilla02)^0.5)/A26stdlife))</f>
        <v>0</v>
      </c>
      <c r="AV404" s="107">
        <f>IF(A26stdlife="n/a","n/a",IF(AV$3&gt;(A26stdlife+$E404),('PTRM input'!$H$168*(1+rvanilla02)^0.5)-SUM($H404:AU404),('PTRM input'!$H$168*(1+rvanilla02)^0.5)/A26stdlife))</f>
        <v>0</v>
      </c>
      <c r="AW404" s="107">
        <f>IF(A26stdlife="n/a","n/a",IF(AW$3&gt;(A26stdlife+$E404),('PTRM input'!$H$168*(1+rvanilla02)^0.5)-SUM($H404:AV404),('PTRM input'!$H$168*(1+rvanilla02)^0.5)/A26stdlife))</f>
        <v>0</v>
      </c>
      <c r="AX404" s="107">
        <f>IF(A26stdlife="n/a","n/a",IF(AX$3&gt;(A26stdlife+$E404),('PTRM input'!$H$168*(1+rvanilla02)^0.5)-SUM($H404:AW404),('PTRM input'!$H$168*(1+rvanilla02)^0.5)/A26stdlife))</f>
        <v>0</v>
      </c>
      <c r="AY404" s="107">
        <f>IF(A26stdlife="n/a","n/a",IF(AY$3&gt;(A26stdlife+$E404),('PTRM input'!$H$168*(1+rvanilla02)^0.5)-SUM($H404:AX404),('PTRM input'!$H$168*(1+rvanilla02)^0.5)/A26stdlife))</f>
        <v>0</v>
      </c>
      <c r="AZ404" s="107">
        <f>IF(A26stdlife="n/a","n/a",IF(AZ$3&gt;(A26stdlife+$E404),('PTRM input'!$H$168*(1+rvanilla02)^0.5)-SUM($H404:AY404),('PTRM input'!$H$168*(1+rvanilla02)^0.5)/A26stdlife))</f>
        <v>0</v>
      </c>
      <c r="BA404" s="107">
        <f>IF(A26stdlife="n/a","n/a",IF(BA$3&gt;(A26stdlife+$E404),('PTRM input'!$H$168*(1+rvanilla02)^0.5)-SUM($H404:AZ404),('PTRM input'!$H$168*(1+rvanilla02)^0.5)/A26stdlife))</f>
        <v>0</v>
      </c>
      <c r="BB404" s="107">
        <f>IF(A26stdlife="n/a","n/a",IF(BB$3&gt;(A26stdlife+$E404),('PTRM input'!$H$168*(1+rvanilla02)^0.5)-SUM($H404:BA404),('PTRM input'!$H$168*(1+rvanilla02)^0.5)/A26stdlife))</f>
        <v>0</v>
      </c>
      <c r="BC404" s="107">
        <f>IF(A26stdlife="n/a","n/a",IF(BC$3&gt;(A26stdlife+$E404),('PTRM input'!$H$168*(1+rvanilla02)^0.5)-SUM($H404:BB404),('PTRM input'!$H$168*(1+rvanilla02)^0.5)/A26stdlife))</f>
        <v>0</v>
      </c>
      <c r="BD404" s="107">
        <f>IF(A26stdlife="n/a","n/a",IF(BD$3&gt;(A26stdlife+$E404),('PTRM input'!$H$168*(1+rvanilla02)^0.5)-SUM($H404:BC404),('PTRM input'!$H$168*(1+rvanilla02)^0.5)/A26stdlife))</f>
        <v>0</v>
      </c>
      <c r="BE404" s="107">
        <f>IF(A26stdlife="n/a","n/a",IF(BE$3&gt;(A26stdlife+$E404),('PTRM input'!$H$168*(1+rvanilla02)^0.5)-SUM($H404:BD404),('PTRM input'!$H$168*(1+rvanilla02)^0.5)/A26stdlife))</f>
        <v>0</v>
      </c>
      <c r="BF404" s="107">
        <f>IF(A26stdlife="n/a","n/a",IF(BF$3&gt;(A26stdlife+$E404),('PTRM input'!$H$168*(1+rvanilla02)^0.5)-SUM($H404:BE404),('PTRM input'!$H$168*(1+rvanilla02)^0.5)/A26stdlife))</f>
        <v>0</v>
      </c>
      <c r="BG404" s="107">
        <f>IF(A26stdlife="n/a","n/a",IF(BG$3&gt;(A26stdlife+$E404),('PTRM input'!$H$168*(1+rvanilla02)^0.5)-SUM($H404:BF404),('PTRM input'!$H$168*(1+rvanilla02)^0.5)/A26stdlife))</f>
        <v>0</v>
      </c>
      <c r="BH404" s="107">
        <f>IF(A26stdlife="n/a","n/a",IF(BH$3&gt;(A26stdlife+$E404),('PTRM input'!$H$168*(1+rvanilla02)^0.5)-SUM($H404:BG404),('PTRM input'!$H$168*(1+rvanilla02)^0.5)/A26stdlife))</f>
        <v>0</v>
      </c>
      <c r="BI404" s="107">
        <f>IF(A26stdlife="n/a","n/a",IF(BI$3&gt;(A26stdlife+$E404),('PTRM input'!$H$168*(1+rvanilla02)^0.5)-SUM($H404:BH404),('PTRM input'!$H$168*(1+rvanilla02)^0.5)/A26stdlife))</f>
        <v>0</v>
      </c>
      <c r="BJ404" s="237"/>
      <c r="BK404" s="237"/>
      <c r="BL404" s="237"/>
      <c r="BM404" s="237"/>
    </row>
    <row r="405" spans="1:65" s="190" customFormat="1" hidden="1" outlineLevel="2">
      <c r="A405" s="237"/>
      <c r="B405" s="33"/>
      <c r="C405" s="32"/>
      <c r="D405" s="1618"/>
      <c r="E405" s="169">
        <v>3</v>
      </c>
      <c r="F405" s="35"/>
      <c r="G405" s="184"/>
      <c r="H405" s="186"/>
      <c r="I405" s="185"/>
      <c r="J405" s="107">
        <f>IF(A26stdlife="n/a","n/a",IF(J$3&gt;(A26stdlife+$E405),('PTRM input'!$I$168*(1+rvanilla03)^0.5)-SUM($I405:I405),('PTRM input'!$I$168*(1+rvanilla03)^0.5)/A26stdlife))</f>
        <v>0</v>
      </c>
      <c r="K405" s="107">
        <f>IF(A26stdlife="n/a","n/a",IF(K$3&gt;(A26stdlife+$E405),('PTRM input'!$I$168*(1+rvanilla03)^0.5)-SUM($I405:J405),('PTRM input'!$I$168*(1+rvanilla03)^0.5)/A26stdlife))</f>
        <v>0</v>
      </c>
      <c r="L405" s="107">
        <f>IF(A26stdlife="n/a","n/a",IF(L$3&gt;(A26stdlife+$E405),('PTRM input'!$I$168*(1+rvanilla03)^0.5)-SUM($I405:K405),('PTRM input'!$I$168*(1+rvanilla03)^0.5)/A26stdlife))</f>
        <v>0</v>
      </c>
      <c r="M405" s="107">
        <f>IF(A26stdlife="n/a","n/a",IF(M$3&gt;(A26stdlife+$E405),('PTRM input'!$I$168*(1+rvanilla03)^0.5)-SUM($I405:L405),('PTRM input'!$I$168*(1+rvanilla03)^0.5)/A26stdlife))</f>
        <v>0</v>
      </c>
      <c r="N405" s="107">
        <f>IF(A26stdlife="n/a","n/a",IF(N$3&gt;(A26stdlife+$E405),('PTRM input'!$I$168*(1+rvanilla03)^0.5)-SUM($I405:M405),('PTRM input'!$I$168*(1+rvanilla03)^0.5)/A26stdlife))</f>
        <v>0</v>
      </c>
      <c r="O405" s="107">
        <f>IF(A26stdlife="n/a","n/a",IF(O$3&gt;(A26stdlife+$E405),('PTRM input'!$I$168*(1+rvanilla03)^0.5)-SUM($I405:N405),('PTRM input'!$I$168*(1+rvanilla03)^0.5)/A26stdlife))</f>
        <v>0</v>
      </c>
      <c r="P405" s="107">
        <f>IF(A26stdlife="n/a","n/a",IF(P$3&gt;(A26stdlife+$E405),('PTRM input'!$I$168*(1+rvanilla03)^0.5)-SUM($I405:O405),('PTRM input'!$I$168*(1+rvanilla03)^0.5)/A26stdlife))</f>
        <v>0</v>
      </c>
      <c r="Q405" s="107">
        <f>IF(A26stdlife="n/a","n/a",IF(Q$3&gt;(A26stdlife+$E405),('PTRM input'!$I$168*(1+rvanilla03)^0.5)-SUM($I405:P405),('PTRM input'!$I$168*(1+rvanilla03)^0.5)/A26stdlife))</f>
        <v>0</v>
      </c>
      <c r="R405" s="107">
        <f>IF(A26stdlife="n/a","n/a",IF(R$3&gt;(A26stdlife+$E405),('PTRM input'!$I$168*(1+rvanilla03)^0.5)-SUM($I405:Q405),('PTRM input'!$I$168*(1+rvanilla03)^0.5)/A26stdlife))</f>
        <v>0</v>
      </c>
      <c r="S405" s="107">
        <f>IF(A26stdlife="n/a","n/a",IF(S$3&gt;(A26stdlife+$E405),('PTRM input'!$I$168*(1+rvanilla03)^0.5)-SUM($I405:R405),('PTRM input'!$I$168*(1+rvanilla03)^0.5)/A26stdlife))</f>
        <v>0</v>
      </c>
      <c r="T405" s="107">
        <f>IF(A26stdlife="n/a","n/a",IF(T$3&gt;(A26stdlife+$E405),('PTRM input'!$I$168*(1+rvanilla03)^0.5)-SUM($I405:S405),('PTRM input'!$I$168*(1+rvanilla03)^0.5)/A26stdlife))</f>
        <v>0</v>
      </c>
      <c r="U405" s="107">
        <f>IF(A26stdlife="n/a","n/a",IF(U$3&gt;(A26stdlife+$E405),('PTRM input'!$I$168*(1+rvanilla03)^0.5)-SUM($I405:T405),('PTRM input'!$I$168*(1+rvanilla03)^0.5)/A26stdlife))</f>
        <v>0</v>
      </c>
      <c r="V405" s="107">
        <f>IF(A26stdlife="n/a","n/a",IF(V$3&gt;(A26stdlife+$E405),('PTRM input'!$I$168*(1+rvanilla03)^0.5)-SUM($I405:U405),('PTRM input'!$I$168*(1+rvanilla03)^0.5)/A26stdlife))</f>
        <v>0</v>
      </c>
      <c r="W405" s="107">
        <f>IF(A26stdlife="n/a","n/a",IF(W$3&gt;(A26stdlife+$E405),('PTRM input'!$I$168*(1+rvanilla03)^0.5)-SUM($I405:V405),('PTRM input'!$I$168*(1+rvanilla03)^0.5)/A26stdlife))</f>
        <v>0</v>
      </c>
      <c r="X405" s="107">
        <f>IF(A26stdlife="n/a","n/a",IF(X$3&gt;(A26stdlife+$E405),('PTRM input'!$I$168*(1+rvanilla03)^0.5)-SUM($I405:W405),('PTRM input'!$I$168*(1+rvanilla03)^0.5)/A26stdlife))</f>
        <v>0</v>
      </c>
      <c r="Y405" s="107">
        <f>IF(A26stdlife="n/a","n/a",IF(Y$3&gt;(A26stdlife+$E405),('PTRM input'!$I$168*(1+rvanilla03)^0.5)-SUM($I405:X405),('PTRM input'!$I$168*(1+rvanilla03)^0.5)/A26stdlife))</f>
        <v>0</v>
      </c>
      <c r="Z405" s="107">
        <f>IF(A26stdlife="n/a","n/a",IF(Z$3&gt;(A26stdlife+$E405),('PTRM input'!$I$168*(1+rvanilla03)^0.5)-SUM($I405:Y405),('PTRM input'!$I$168*(1+rvanilla03)^0.5)/A26stdlife))</f>
        <v>0</v>
      </c>
      <c r="AA405" s="107">
        <f>IF(A26stdlife="n/a","n/a",IF(AA$3&gt;(A26stdlife+$E405),('PTRM input'!$I$168*(1+rvanilla03)^0.5)-SUM($I405:Z405),('PTRM input'!$I$168*(1+rvanilla03)^0.5)/A26stdlife))</f>
        <v>0</v>
      </c>
      <c r="AB405" s="107">
        <f>IF(A26stdlife="n/a","n/a",IF(AB$3&gt;(A26stdlife+$E405),('PTRM input'!$I$168*(1+rvanilla03)^0.5)-SUM($I405:AA405),('PTRM input'!$I$168*(1+rvanilla03)^0.5)/A26stdlife))</f>
        <v>0</v>
      </c>
      <c r="AC405" s="107">
        <f>IF(A26stdlife="n/a","n/a",IF(AC$3&gt;(A26stdlife+$E405),('PTRM input'!$I$168*(1+rvanilla03)^0.5)-SUM($I405:AB405),('PTRM input'!$I$168*(1+rvanilla03)^0.5)/A26stdlife))</f>
        <v>0</v>
      </c>
      <c r="AD405" s="107">
        <f>IF(A26stdlife="n/a","n/a",IF(AD$3&gt;(A26stdlife+$E405),('PTRM input'!$I$168*(1+rvanilla03)^0.5)-SUM($I405:AC405),('PTRM input'!$I$168*(1+rvanilla03)^0.5)/A26stdlife))</f>
        <v>0</v>
      </c>
      <c r="AE405" s="107">
        <f>IF(A26stdlife="n/a","n/a",IF(AE$3&gt;(A26stdlife+$E405),('PTRM input'!$I$168*(1+rvanilla03)^0.5)-SUM($I405:AD405),('PTRM input'!$I$168*(1+rvanilla03)^0.5)/A26stdlife))</f>
        <v>0</v>
      </c>
      <c r="AF405" s="107">
        <f>IF(A26stdlife="n/a","n/a",IF(AF$3&gt;(A26stdlife+$E405),('PTRM input'!$I$168*(1+rvanilla03)^0.5)-SUM($I405:AE405),('PTRM input'!$I$168*(1+rvanilla03)^0.5)/A26stdlife))</f>
        <v>0</v>
      </c>
      <c r="AG405" s="107">
        <f>IF(A26stdlife="n/a","n/a",IF(AG$3&gt;(A26stdlife+$E405),('PTRM input'!$I$168*(1+rvanilla03)^0.5)-SUM($I405:AF405),('PTRM input'!$I$168*(1+rvanilla03)^0.5)/A26stdlife))</f>
        <v>0</v>
      </c>
      <c r="AH405" s="107">
        <f>IF(A26stdlife="n/a","n/a",IF(AH$3&gt;(A26stdlife+$E405),('PTRM input'!$I$168*(1+rvanilla03)^0.5)-SUM($I405:AG405),('PTRM input'!$I$168*(1+rvanilla03)^0.5)/A26stdlife))</f>
        <v>0</v>
      </c>
      <c r="AI405" s="107">
        <f>IF(A26stdlife="n/a","n/a",IF(AI$3&gt;(A26stdlife+$E405),('PTRM input'!$I$168*(1+rvanilla03)^0.5)-SUM($I405:AH405),('PTRM input'!$I$168*(1+rvanilla03)^0.5)/A26stdlife))</f>
        <v>0</v>
      </c>
      <c r="AJ405" s="107">
        <f>IF(A26stdlife="n/a","n/a",IF(AJ$3&gt;(A26stdlife+$E405),('PTRM input'!$I$168*(1+rvanilla03)^0.5)-SUM($I405:AI405),('PTRM input'!$I$168*(1+rvanilla03)^0.5)/A26stdlife))</f>
        <v>0</v>
      </c>
      <c r="AK405" s="107">
        <f>IF(A26stdlife="n/a","n/a",IF(AK$3&gt;(A26stdlife+$E405),('PTRM input'!$I$168*(1+rvanilla03)^0.5)-SUM($I405:AJ405),('PTRM input'!$I$168*(1+rvanilla03)^0.5)/A26stdlife))</f>
        <v>0</v>
      </c>
      <c r="AL405" s="107">
        <f>IF(A26stdlife="n/a","n/a",IF(AL$3&gt;(A26stdlife+$E405),('PTRM input'!$I$168*(1+rvanilla03)^0.5)-SUM($I405:AK405),('PTRM input'!$I$168*(1+rvanilla03)^0.5)/A26stdlife))</f>
        <v>0</v>
      </c>
      <c r="AM405" s="107">
        <f>IF(A26stdlife="n/a","n/a",IF(AM$3&gt;(A26stdlife+$E405),('PTRM input'!$I$168*(1+rvanilla03)^0.5)-SUM($I405:AL405),('PTRM input'!$I$168*(1+rvanilla03)^0.5)/A26stdlife))</f>
        <v>0</v>
      </c>
      <c r="AN405" s="107">
        <f>IF(A26stdlife="n/a","n/a",IF(AN$3&gt;(A26stdlife+$E405),('PTRM input'!$I$168*(1+rvanilla03)^0.5)-SUM($I405:AM405),('PTRM input'!$I$168*(1+rvanilla03)^0.5)/A26stdlife))</f>
        <v>0</v>
      </c>
      <c r="AO405" s="107">
        <f>IF(A26stdlife="n/a","n/a",IF(AO$3&gt;(A26stdlife+$E405),('PTRM input'!$I$168*(1+rvanilla03)^0.5)-SUM($I405:AN405),('PTRM input'!$I$168*(1+rvanilla03)^0.5)/A26stdlife))</f>
        <v>0</v>
      </c>
      <c r="AP405" s="107">
        <f>IF(A26stdlife="n/a","n/a",IF(AP$3&gt;(A26stdlife+$E405),('PTRM input'!$I$168*(1+rvanilla03)^0.5)-SUM($I405:AO405),('PTRM input'!$I$168*(1+rvanilla03)^0.5)/A26stdlife))</f>
        <v>0</v>
      </c>
      <c r="AQ405" s="107">
        <f>IF(A26stdlife="n/a","n/a",IF(AQ$3&gt;(A26stdlife+$E405),('PTRM input'!$I$168*(1+rvanilla03)^0.5)-SUM($I405:AP405),('PTRM input'!$I$168*(1+rvanilla03)^0.5)/A26stdlife))</f>
        <v>0</v>
      </c>
      <c r="AR405" s="107">
        <f>IF(A26stdlife="n/a","n/a",IF(AR$3&gt;(A26stdlife+$E405),('PTRM input'!$I$168*(1+rvanilla03)^0.5)-SUM($I405:AQ405),('PTRM input'!$I$168*(1+rvanilla03)^0.5)/A26stdlife))</f>
        <v>0</v>
      </c>
      <c r="AS405" s="107">
        <f>IF(A26stdlife="n/a","n/a",IF(AS$3&gt;(A26stdlife+$E405),('PTRM input'!$I$168*(1+rvanilla03)^0.5)-SUM($I405:AR405),('PTRM input'!$I$168*(1+rvanilla03)^0.5)/A26stdlife))</f>
        <v>0</v>
      </c>
      <c r="AT405" s="107">
        <f>IF(A26stdlife="n/a","n/a",IF(AT$3&gt;(A26stdlife+$E405),('PTRM input'!$I$168*(1+rvanilla03)^0.5)-SUM($I405:AS405),('PTRM input'!$I$168*(1+rvanilla03)^0.5)/A26stdlife))</f>
        <v>0</v>
      </c>
      <c r="AU405" s="107">
        <f>IF(A26stdlife="n/a","n/a",IF(AU$3&gt;(A26stdlife+$E405),('PTRM input'!$I$168*(1+rvanilla03)^0.5)-SUM($I405:AT405),('PTRM input'!$I$168*(1+rvanilla03)^0.5)/A26stdlife))</f>
        <v>0</v>
      </c>
      <c r="AV405" s="107">
        <f>IF(A26stdlife="n/a","n/a",IF(AV$3&gt;(A26stdlife+$E405),('PTRM input'!$I$168*(1+rvanilla03)^0.5)-SUM($I405:AU405),('PTRM input'!$I$168*(1+rvanilla03)^0.5)/A26stdlife))</f>
        <v>0</v>
      </c>
      <c r="AW405" s="107">
        <f>IF(A26stdlife="n/a","n/a",IF(AW$3&gt;(A26stdlife+$E405),('PTRM input'!$I$168*(1+rvanilla03)^0.5)-SUM($I405:AV405),('PTRM input'!$I$168*(1+rvanilla03)^0.5)/A26stdlife))</f>
        <v>0</v>
      </c>
      <c r="AX405" s="107">
        <f>IF(A26stdlife="n/a","n/a",IF(AX$3&gt;(A26stdlife+$E405),('PTRM input'!$I$168*(1+rvanilla03)^0.5)-SUM($I405:AW405),('PTRM input'!$I$168*(1+rvanilla03)^0.5)/A26stdlife))</f>
        <v>0</v>
      </c>
      <c r="AY405" s="107">
        <f>IF(A26stdlife="n/a","n/a",IF(AY$3&gt;(A26stdlife+$E405),('PTRM input'!$I$168*(1+rvanilla03)^0.5)-SUM($I405:AX405),('PTRM input'!$I$168*(1+rvanilla03)^0.5)/A26stdlife))</f>
        <v>0</v>
      </c>
      <c r="AZ405" s="107">
        <f>IF(A26stdlife="n/a","n/a",IF(AZ$3&gt;(A26stdlife+$E405),('PTRM input'!$I$168*(1+rvanilla03)^0.5)-SUM($I405:AY405),('PTRM input'!$I$168*(1+rvanilla03)^0.5)/A26stdlife))</f>
        <v>0</v>
      </c>
      <c r="BA405" s="107">
        <f>IF(A26stdlife="n/a","n/a",IF(BA$3&gt;(A26stdlife+$E405),('PTRM input'!$I$168*(1+rvanilla03)^0.5)-SUM($I405:AZ405),('PTRM input'!$I$168*(1+rvanilla03)^0.5)/A26stdlife))</f>
        <v>0</v>
      </c>
      <c r="BB405" s="107">
        <f>IF(A26stdlife="n/a","n/a",IF(BB$3&gt;(A26stdlife+$E405),('PTRM input'!$I$168*(1+rvanilla03)^0.5)-SUM($I405:BA405),('PTRM input'!$I$168*(1+rvanilla03)^0.5)/A26stdlife))</f>
        <v>0</v>
      </c>
      <c r="BC405" s="107">
        <f>IF(A26stdlife="n/a","n/a",IF(BC$3&gt;(A26stdlife+$E405),('PTRM input'!$I$168*(1+rvanilla03)^0.5)-SUM($I405:BB405),('PTRM input'!$I$168*(1+rvanilla03)^0.5)/A26stdlife))</f>
        <v>0</v>
      </c>
      <c r="BD405" s="107">
        <f>IF(A26stdlife="n/a","n/a",IF(BD$3&gt;(A26stdlife+$E405),('PTRM input'!$I$168*(1+rvanilla03)^0.5)-SUM($I405:BC405),('PTRM input'!$I$168*(1+rvanilla03)^0.5)/A26stdlife))</f>
        <v>0</v>
      </c>
      <c r="BE405" s="107">
        <f>IF(A26stdlife="n/a","n/a",IF(BE$3&gt;(A26stdlife+$E405),('PTRM input'!$I$168*(1+rvanilla03)^0.5)-SUM($I405:BD405),('PTRM input'!$I$168*(1+rvanilla03)^0.5)/A26stdlife))</f>
        <v>0</v>
      </c>
      <c r="BF405" s="107">
        <f>IF(A26stdlife="n/a","n/a",IF(BF$3&gt;(A26stdlife+$E405),('PTRM input'!$I$168*(1+rvanilla03)^0.5)-SUM($I405:BE405),('PTRM input'!$I$168*(1+rvanilla03)^0.5)/A26stdlife))</f>
        <v>0</v>
      </c>
      <c r="BG405" s="107">
        <f>IF(A26stdlife="n/a","n/a",IF(BG$3&gt;(A26stdlife+$E405),('PTRM input'!$I$168*(1+rvanilla03)^0.5)-SUM($I405:BF405),('PTRM input'!$I$168*(1+rvanilla03)^0.5)/A26stdlife))</f>
        <v>0</v>
      </c>
      <c r="BH405" s="107">
        <f>IF(A26stdlife="n/a","n/a",IF(BH$3&gt;(A26stdlife+$E405),('PTRM input'!$I$168*(1+rvanilla03)^0.5)-SUM($I405:BG405),('PTRM input'!$I$168*(1+rvanilla03)^0.5)/A26stdlife))</f>
        <v>0</v>
      </c>
      <c r="BI405" s="107">
        <f>IF(A26stdlife="n/a","n/a",IF(BI$3&gt;(A26stdlife+$E405),('PTRM input'!$I$168*(1+rvanilla03)^0.5)-SUM($I405:BH405),('PTRM input'!$I$168*(1+rvanilla03)^0.5)/A26stdlife))</f>
        <v>0</v>
      </c>
      <c r="BJ405" s="237"/>
      <c r="BK405" s="237"/>
      <c r="BL405" s="237"/>
      <c r="BM405" s="237"/>
    </row>
    <row r="406" spans="1:65" s="190" customFormat="1" hidden="1" outlineLevel="2">
      <c r="A406" s="237"/>
      <c r="B406" s="33"/>
      <c r="C406" s="32"/>
      <c r="D406" s="1618"/>
      <c r="E406" s="169">
        <v>4</v>
      </c>
      <c r="F406" s="35"/>
      <c r="G406" s="184"/>
      <c r="H406" s="186"/>
      <c r="I406" s="186"/>
      <c r="J406" s="185"/>
      <c r="K406" s="107">
        <f>IF(A26stdlife="n/a","n/a",IF(K$3&gt;(A26stdlife+$E406),('PTRM input'!$J$168*(1+rvanilla04)^0.5)-SUM($J406:J406),('PTRM input'!$J$168*(1+rvanilla04)^0.5)/A26stdlife))</f>
        <v>0</v>
      </c>
      <c r="L406" s="107">
        <f>IF(A26stdlife="n/a","n/a",IF(L$3&gt;(A26stdlife+$E406),('PTRM input'!$J$168*(1+rvanilla04)^0.5)-SUM($J406:K406),('PTRM input'!$J$168*(1+rvanilla04)^0.5)/A26stdlife))</f>
        <v>0</v>
      </c>
      <c r="M406" s="107">
        <f>IF(A26stdlife="n/a","n/a",IF(M$3&gt;(A26stdlife+$E406),('PTRM input'!$J$168*(1+rvanilla04)^0.5)-SUM($J406:L406),('PTRM input'!$J$168*(1+rvanilla04)^0.5)/A26stdlife))</f>
        <v>0</v>
      </c>
      <c r="N406" s="107">
        <f>IF(A26stdlife="n/a","n/a",IF(N$3&gt;(A26stdlife+$E406),('PTRM input'!$J$168*(1+rvanilla04)^0.5)-SUM($J406:M406),('PTRM input'!$J$168*(1+rvanilla04)^0.5)/A26stdlife))</f>
        <v>0</v>
      </c>
      <c r="O406" s="107">
        <f>IF(A26stdlife="n/a","n/a",IF(O$3&gt;(A26stdlife+$E406),('PTRM input'!$J$168*(1+rvanilla04)^0.5)-SUM($J406:N406),('PTRM input'!$J$168*(1+rvanilla04)^0.5)/A26stdlife))</f>
        <v>0</v>
      </c>
      <c r="P406" s="107">
        <f>IF(A26stdlife="n/a","n/a",IF(P$3&gt;(A26stdlife+$E406),('PTRM input'!$J$168*(1+rvanilla04)^0.5)-SUM($J406:O406),('PTRM input'!$J$168*(1+rvanilla04)^0.5)/A26stdlife))</f>
        <v>0</v>
      </c>
      <c r="Q406" s="107">
        <f>IF(A26stdlife="n/a","n/a",IF(Q$3&gt;(A26stdlife+$E406),('PTRM input'!$J$168*(1+rvanilla04)^0.5)-SUM($J406:P406),('PTRM input'!$J$168*(1+rvanilla04)^0.5)/A26stdlife))</f>
        <v>0</v>
      </c>
      <c r="R406" s="107">
        <f>IF(A26stdlife="n/a","n/a",IF(R$3&gt;(A26stdlife+$E406),('PTRM input'!$J$168*(1+rvanilla04)^0.5)-SUM($J406:Q406),('PTRM input'!$J$168*(1+rvanilla04)^0.5)/A26stdlife))</f>
        <v>0</v>
      </c>
      <c r="S406" s="107">
        <f>IF(A26stdlife="n/a","n/a",IF(S$3&gt;(A26stdlife+$E406),('PTRM input'!$J$168*(1+rvanilla04)^0.5)-SUM($J406:R406),('PTRM input'!$J$168*(1+rvanilla04)^0.5)/A26stdlife))</f>
        <v>0</v>
      </c>
      <c r="T406" s="107">
        <f>IF(A26stdlife="n/a","n/a",IF(T$3&gt;(A26stdlife+$E406),('PTRM input'!$J$168*(1+rvanilla04)^0.5)-SUM($J406:S406),('PTRM input'!$J$168*(1+rvanilla04)^0.5)/A26stdlife))</f>
        <v>0</v>
      </c>
      <c r="U406" s="107">
        <f>IF(A26stdlife="n/a","n/a",IF(U$3&gt;(A26stdlife+$E406),('PTRM input'!$J$168*(1+rvanilla04)^0.5)-SUM($J406:T406),('PTRM input'!$J$168*(1+rvanilla04)^0.5)/A26stdlife))</f>
        <v>0</v>
      </c>
      <c r="V406" s="107">
        <f>IF(A26stdlife="n/a","n/a",IF(V$3&gt;(A26stdlife+$E406),('PTRM input'!$J$168*(1+rvanilla04)^0.5)-SUM($J406:U406),('PTRM input'!$J$168*(1+rvanilla04)^0.5)/A26stdlife))</f>
        <v>0</v>
      </c>
      <c r="W406" s="107">
        <f>IF(A26stdlife="n/a","n/a",IF(W$3&gt;(A26stdlife+$E406),('PTRM input'!$J$168*(1+rvanilla04)^0.5)-SUM($J406:V406),('PTRM input'!$J$168*(1+rvanilla04)^0.5)/A26stdlife))</f>
        <v>0</v>
      </c>
      <c r="X406" s="107">
        <f>IF(A26stdlife="n/a","n/a",IF(X$3&gt;(A26stdlife+$E406),('PTRM input'!$J$168*(1+rvanilla04)^0.5)-SUM($J406:W406),('PTRM input'!$J$168*(1+rvanilla04)^0.5)/A26stdlife))</f>
        <v>0</v>
      </c>
      <c r="Y406" s="107">
        <f>IF(A26stdlife="n/a","n/a",IF(Y$3&gt;(A26stdlife+$E406),('PTRM input'!$J$168*(1+rvanilla04)^0.5)-SUM($J406:X406),('PTRM input'!$J$168*(1+rvanilla04)^0.5)/A26stdlife))</f>
        <v>0</v>
      </c>
      <c r="Z406" s="107">
        <f>IF(A26stdlife="n/a","n/a",IF(Z$3&gt;(A26stdlife+$E406),('PTRM input'!$J$168*(1+rvanilla04)^0.5)-SUM($J406:Y406),('PTRM input'!$J$168*(1+rvanilla04)^0.5)/A26stdlife))</f>
        <v>0</v>
      </c>
      <c r="AA406" s="107">
        <f>IF(A26stdlife="n/a","n/a",IF(AA$3&gt;(A26stdlife+$E406),('PTRM input'!$J$168*(1+rvanilla04)^0.5)-SUM($J406:Z406),('PTRM input'!$J$168*(1+rvanilla04)^0.5)/A26stdlife))</f>
        <v>0</v>
      </c>
      <c r="AB406" s="107">
        <f>IF(A26stdlife="n/a","n/a",IF(AB$3&gt;(A26stdlife+$E406),('PTRM input'!$J$168*(1+rvanilla04)^0.5)-SUM($J406:AA406),('PTRM input'!$J$168*(1+rvanilla04)^0.5)/A26stdlife))</f>
        <v>0</v>
      </c>
      <c r="AC406" s="107">
        <f>IF(A26stdlife="n/a","n/a",IF(AC$3&gt;(A26stdlife+$E406),('PTRM input'!$J$168*(1+rvanilla04)^0.5)-SUM($J406:AB406),('PTRM input'!$J$168*(1+rvanilla04)^0.5)/A26stdlife))</f>
        <v>0</v>
      </c>
      <c r="AD406" s="107">
        <f>IF(A26stdlife="n/a","n/a",IF(AD$3&gt;(A26stdlife+$E406),('PTRM input'!$J$168*(1+rvanilla04)^0.5)-SUM($J406:AC406),('PTRM input'!$J$168*(1+rvanilla04)^0.5)/A26stdlife))</f>
        <v>0</v>
      </c>
      <c r="AE406" s="107">
        <f>IF(A26stdlife="n/a","n/a",IF(AE$3&gt;(A26stdlife+$E406),('PTRM input'!$J$168*(1+rvanilla04)^0.5)-SUM($J406:AD406),('PTRM input'!$J$168*(1+rvanilla04)^0.5)/A26stdlife))</f>
        <v>0</v>
      </c>
      <c r="AF406" s="107">
        <f>IF(A26stdlife="n/a","n/a",IF(AF$3&gt;(A26stdlife+$E406),('PTRM input'!$J$168*(1+rvanilla04)^0.5)-SUM($J406:AE406),('PTRM input'!$J$168*(1+rvanilla04)^0.5)/A26stdlife))</f>
        <v>0</v>
      </c>
      <c r="AG406" s="107">
        <f>IF(A26stdlife="n/a","n/a",IF(AG$3&gt;(A26stdlife+$E406),('PTRM input'!$J$168*(1+rvanilla04)^0.5)-SUM($J406:AF406),('PTRM input'!$J$168*(1+rvanilla04)^0.5)/A26stdlife))</f>
        <v>0</v>
      </c>
      <c r="AH406" s="107">
        <f>IF(A26stdlife="n/a","n/a",IF(AH$3&gt;(A26stdlife+$E406),('PTRM input'!$J$168*(1+rvanilla04)^0.5)-SUM($J406:AG406),('PTRM input'!$J$168*(1+rvanilla04)^0.5)/A26stdlife))</f>
        <v>0</v>
      </c>
      <c r="AI406" s="107">
        <f>IF(A26stdlife="n/a","n/a",IF(AI$3&gt;(A26stdlife+$E406),('PTRM input'!$J$168*(1+rvanilla04)^0.5)-SUM($J406:AH406),('PTRM input'!$J$168*(1+rvanilla04)^0.5)/A26stdlife))</f>
        <v>0</v>
      </c>
      <c r="AJ406" s="107">
        <f>IF(A26stdlife="n/a","n/a",IF(AJ$3&gt;(A26stdlife+$E406),('PTRM input'!$J$168*(1+rvanilla04)^0.5)-SUM($J406:AI406),('PTRM input'!$J$168*(1+rvanilla04)^0.5)/A26stdlife))</f>
        <v>0</v>
      </c>
      <c r="AK406" s="107">
        <f>IF(A26stdlife="n/a","n/a",IF(AK$3&gt;(A26stdlife+$E406),('PTRM input'!$J$168*(1+rvanilla04)^0.5)-SUM($J406:AJ406),('PTRM input'!$J$168*(1+rvanilla04)^0.5)/A26stdlife))</f>
        <v>0</v>
      </c>
      <c r="AL406" s="107">
        <f>IF(A26stdlife="n/a","n/a",IF(AL$3&gt;(A26stdlife+$E406),('PTRM input'!$J$168*(1+rvanilla04)^0.5)-SUM($J406:AK406),('PTRM input'!$J$168*(1+rvanilla04)^0.5)/A26stdlife))</f>
        <v>0</v>
      </c>
      <c r="AM406" s="107">
        <f>IF(A26stdlife="n/a","n/a",IF(AM$3&gt;(A26stdlife+$E406),('PTRM input'!$J$168*(1+rvanilla04)^0.5)-SUM($J406:AL406),('PTRM input'!$J$168*(1+rvanilla04)^0.5)/A26stdlife))</f>
        <v>0</v>
      </c>
      <c r="AN406" s="107">
        <f>IF(A26stdlife="n/a","n/a",IF(AN$3&gt;(A26stdlife+$E406),('PTRM input'!$J$168*(1+rvanilla04)^0.5)-SUM($J406:AM406),('PTRM input'!$J$168*(1+rvanilla04)^0.5)/A26stdlife))</f>
        <v>0</v>
      </c>
      <c r="AO406" s="107">
        <f>IF(A26stdlife="n/a","n/a",IF(AO$3&gt;(A26stdlife+$E406),('PTRM input'!$J$168*(1+rvanilla04)^0.5)-SUM($J406:AN406),('PTRM input'!$J$168*(1+rvanilla04)^0.5)/A26stdlife))</f>
        <v>0</v>
      </c>
      <c r="AP406" s="107">
        <f>IF(A26stdlife="n/a","n/a",IF(AP$3&gt;(A26stdlife+$E406),('PTRM input'!$J$168*(1+rvanilla04)^0.5)-SUM($J406:AO406),('PTRM input'!$J$168*(1+rvanilla04)^0.5)/A26stdlife))</f>
        <v>0</v>
      </c>
      <c r="AQ406" s="107">
        <f>IF(A26stdlife="n/a","n/a",IF(AQ$3&gt;(A26stdlife+$E406),('PTRM input'!$J$168*(1+rvanilla04)^0.5)-SUM($J406:AP406),('PTRM input'!$J$168*(1+rvanilla04)^0.5)/A26stdlife))</f>
        <v>0</v>
      </c>
      <c r="AR406" s="107">
        <f>IF(A26stdlife="n/a","n/a",IF(AR$3&gt;(A26stdlife+$E406),('PTRM input'!$J$168*(1+rvanilla04)^0.5)-SUM($J406:AQ406),('PTRM input'!$J$168*(1+rvanilla04)^0.5)/A26stdlife))</f>
        <v>0</v>
      </c>
      <c r="AS406" s="107">
        <f>IF(A26stdlife="n/a","n/a",IF(AS$3&gt;(A26stdlife+$E406),('PTRM input'!$J$168*(1+rvanilla04)^0.5)-SUM($J406:AR406),('PTRM input'!$J$168*(1+rvanilla04)^0.5)/A26stdlife))</f>
        <v>0</v>
      </c>
      <c r="AT406" s="107">
        <f>IF(A26stdlife="n/a","n/a",IF(AT$3&gt;(A26stdlife+$E406),('PTRM input'!$J$168*(1+rvanilla04)^0.5)-SUM($J406:AS406),('PTRM input'!$J$168*(1+rvanilla04)^0.5)/A26stdlife))</f>
        <v>0</v>
      </c>
      <c r="AU406" s="107">
        <f>IF(A26stdlife="n/a","n/a",IF(AU$3&gt;(A26stdlife+$E406),('PTRM input'!$J$168*(1+rvanilla04)^0.5)-SUM($J406:AT406),('PTRM input'!$J$168*(1+rvanilla04)^0.5)/A26stdlife))</f>
        <v>0</v>
      </c>
      <c r="AV406" s="107">
        <f>IF(A26stdlife="n/a","n/a",IF(AV$3&gt;(A26stdlife+$E406),('PTRM input'!$J$168*(1+rvanilla04)^0.5)-SUM($J406:AU406),('PTRM input'!$J$168*(1+rvanilla04)^0.5)/A26stdlife))</f>
        <v>0</v>
      </c>
      <c r="AW406" s="107">
        <f>IF(A26stdlife="n/a","n/a",IF(AW$3&gt;(A26stdlife+$E406),('PTRM input'!$J$168*(1+rvanilla04)^0.5)-SUM($J406:AV406),('PTRM input'!$J$168*(1+rvanilla04)^0.5)/A26stdlife))</f>
        <v>0</v>
      </c>
      <c r="AX406" s="107">
        <f>IF(A26stdlife="n/a","n/a",IF(AX$3&gt;(A26stdlife+$E406),('PTRM input'!$J$168*(1+rvanilla04)^0.5)-SUM($J406:AW406),('PTRM input'!$J$168*(1+rvanilla04)^0.5)/A26stdlife))</f>
        <v>0</v>
      </c>
      <c r="AY406" s="107">
        <f>IF(A26stdlife="n/a","n/a",IF(AY$3&gt;(A26stdlife+$E406),('PTRM input'!$J$168*(1+rvanilla04)^0.5)-SUM($J406:AX406),('PTRM input'!$J$168*(1+rvanilla04)^0.5)/A26stdlife))</f>
        <v>0</v>
      </c>
      <c r="AZ406" s="107">
        <f>IF(A26stdlife="n/a","n/a",IF(AZ$3&gt;(A26stdlife+$E406),('PTRM input'!$J$168*(1+rvanilla04)^0.5)-SUM($J406:AY406),('PTRM input'!$J$168*(1+rvanilla04)^0.5)/A26stdlife))</f>
        <v>0</v>
      </c>
      <c r="BA406" s="107">
        <f>IF(A26stdlife="n/a","n/a",IF(BA$3&gt;(A26stdlife+$E406),('PTRM input'!$J$168*(1+rvanilla04)^0.5)-SUM($J406:AZ406),('PTRM input'!$J$168*(1+rvanilla04)^0.5)/A26stdlife))</f>
        <v>0</v>
      </c>
      <c r="BB406" s="107">
        <f>IF(A26stdlife="n/a","n/a",IF(BB$3&gt;(A26stdlife+$E406),('PTRM input'!$J$168*(1+rvanilla04)^0.5)-SUM($J406:BA406),('PTRM input'!$J$168*(1+rvanilla04)^0.5)/A26stdlife))</f>
        <v>0</v>
      </c>
      <c r="BC406" s="107">
        <f>IF(A26stdlife="n/a","n/a",IF(BC$3&gt;(A26stdlife+$E406),('PTRM input'!$J$168*(1+rvanilla04)^0.5)-SUM($J406:BB406),('PTRM input'!$J$168*(1+rvanilla04)^0.5)/A26stdlife))</f>
        <v>0</v>
      </c>
      <c r="BD406" s="107">
        <f>IF(A26stdlife="n/a","n/a",IF(BD$3&gt;(A26stdlife+$E406),('PTRM input'!$J$168*(1+rvanilla04)^0.5)-SUM($J406:BC406),('PTRM input'!$J$168*(1+rvanilla04)^0.5)/A26stdlife))</f>
        <v>0</v>
      </c>
      <c r="BE406" s="107">
        <f>IF(A26stdlife="n/a","n/a",IF(BE$3&gt;(A26stdlife+$E406),('PTRM input'!$J$168*(1+rvanilla04)^0.5)-SUM($J406:BD406),('PTRM input'!$J$168*(1+rvanilla04)^0.5)/A26stdlife))</f>
        <v>0</v>
      </c>
      <c r="BF406" s="107">
        <f>IF(A26stdlife="n/a","n/a",IF(BF$3&gt;(A26stdlife+$E406),('PTRM input'!$J$168*(1+rvanilla04)^0.5)-SUM($J406:BE406),('PTRM input'!$J$168*(1+rvanilla04)^0.5)/A26stdlife))</f>
        <v>0</v>
      </c>
      <c r="BG406" s="107">
        <f>IF(A26stdlife="n/a","n/a",IF(BG$3&gt;(A26stdlife+$E406),('PTRM input'!$J$168*(1+rvanilla04)^0.5)-SUM($J406:BF406),('PTRM input'!$J$168*(1+rvanilla04)^0.5)/A26stdlife))</f>
        <v>0</v>
      </c>
      <c r="BH406" s="107">
        <f>IF(A26stdlife="n/a","n/a",IF(BH$3&gt;(A26stdlife+$E406),('PTRM input'!$J$168*(1+rvanilla04)^0.5)-SUM($J406:BG406),('PTRM input'!$J$168*(1+rvanilla04)^0.5)/A26stdlife))</f>
        <v>0</v>
      </c>
      <c r="BI406" s="107">
        <f>IF(A26stdlife="n/a","n/a",IF(BI$3&gt;(A26stdlife+$E406),('PTRM input'!$J$168*(1+rvanilla04)^0.5)-SUM($J406:BH406),('PTRM input'!$J$168*(1+rvanilla04)^0.5)/A26stdlife))</f>
        <v>0</v>
      </c>
      <c r="BJ406" s="237"/>
      <c r="BK406" s="237"/>
      <c r="BL406" s="237"/>
      <c r="BM406" s="237"/>
    </row>
    <row r="407" spans="1:65" s="190" customFormat="1" hidden="1" outlineLevel="2">
      <c r="A407" s="237"/>
      <c r="B407" s="33"/>
      <c r="C407" s="32"/>
      <c r="D407" s="1618"/>
      <c r="E407" s="169">
        <v>5</v>
      </c>
      <c r="F407" s="35"/>
      <c r="G407" s="184"/>
      <c r="H407" s="186"/>
      <c r="I407" s="186"/>
      <c r="J407" s="186"/>
      <c r="K407" s="185"/>
      <c r="L407" s="107">
        <f>IF(A26stdlife="n/a","n/a",IF(L$3&gt;(A26stdlife+$E407),('PTRM input'!$K$168*(1+rvanilla05)^0.5)-SUM($K407:K407),('PTRM input'!$K$168*(1+rvanilla05)^0.5)/A26stdlife))</f>
        <v>0</v>
      </c>
      <c r="M407" s="107">
        <f>IF(A26stdlife="n/a","n/a",IF(M$3&gt;(A26stdlife+$E407),('PTRM input'!$K$168*(1+rvanilla05)^0.5)-SUM($K407:L407),('PTRM input'!$K$168*(1+rvanilla05)^0.5)/A26stdlife))</f>
        <v>0</v>
      </c>
      <c r="N407" s="107">
        <f>IF(A26stdlife="n/a","n/a",IF(N$3&gt;(A26stdlife+$E407),('PTRM input'!$K$168*(1+rvanilla05)^0.5)-SUM($K407:M407),('PTRM input'!$K$168*(1+rvanilla05)^0.5)/A26stdlife))</f>
        <v>0</v>
      </c>
      <c r="O407" s="107">
        <f>IF(A26stdlife="n/a","n/a",IF(O$3&gt;(A26stdlife+$E407),('PTRM input'!$K$168*(1+rvanilla05)^0.5)-SUM($K407:N407),('PTRM input'!$K$168*(1+rvanilla05)^0.5)/A26stdlife))</f>
        <v>0</v>
      </c>
      <c r="P407" s="107">
        <f>IF(A26stdlife="n/a","n/a",IF(P$3&gt;(A26stdlife+$E407),('PTRM input'!$K$168*(1+rvanilla05)^0.5)-SUM($K407:O407),('PTRM input'!$K$168*(1+rvanilla05)^0.5)/A26stdlife))</f>
        <v>0</v>
      </c>
      <c r="Q407" s="107">
        <f>IF(A26stdlife="n/a","n/a",IF(Q$3&gt;(A26stdlife+$E407),('PTRM input'!$K$168*(1+rvanilla05)^0.5)-SUM($K407:P407),('PTRM input'!$K$168*(1+rvanilla05)^0.5)/A26stdlife))</f>
        <v>0</v>
      </c>
      <c r="R407" s="107">
        <f>IF(A26stdlife="n/a","n/a",IF(R$3&gt;(A26stdlife+$E407),('PTRM input'!$K$168*(1+rvanilla05)^0.5)-SUM($K407:Q407),('PTRM input'!$K$168*(1+rvanilla05)^0.5)/A26stdlife))</f>
        <v>0</v>
      </c>
      <c r="S407" s="107">
        <f>IF(A26stdlife="n/a","n/a",IF(S$3&gt;(A26stdlife+$E407),('PTRM input'!$K$168*(1+rvanilla05)^0.5)-SUM($K407:R407),('PTRM input'!$K$168*(1+rvanilla05)^0.5)/A26stdlife))</f>
        <v>0</v>
      </c>
      <c r="T407" s="107">
        <f>IF(A26stdlife="n/a","n/a",IF(T$3&gt;(A26stdlife+$E407),('PTRM input'!$K$168*(1+rvanilla05)^0.5)-SUM($K407:S407),('PTRM input'!$K$168*(1+rvanilla05)^0.5)/A26stdlife))</f>
        <v>0</v>
      </c>
      <c r="U407" s="107">
        <f>IF(A26stdlife="n/a","n/a",IF(U$3&gt;(A26stdlife+$E407),('PTRM input'!$K$168*(1+rvanilla05)^0.5)-SUM($K407:T407),('PTRM input'!$K$168*(1+rvanilla05)^0.5)/A26stdlife))</f>
        <v>0</v>
      </c>
      <c r="V407" s="107">
        <f>IF(A26stdlife="n/a","n/a",IF(V$3&gt;(A26stdlife+$E407),('PTRM input'!$K$168*(1+rvanilla05)^0.5)-SUM($K407:U407),('PTRM input'!$K$168*(1+rvanilla05)^0.5)/A26stdlife))</f>
        <v>0</v>
      </c>
      <c r="W407" s="107">
        <f>IF(A26stdlife="n/a","n/a",IF(W$3&gt;(A26stdlife+$E407),('PTRM input'!$K$168*(1+rvanilla05)^0.5)-SUM($K407:V407),('PTRM input'!$K$168*(1+rvanilla05)^0.5)/A26stdlife))</f>
        <v>0</v>
      </c>
      <c r="X407" s="107">
        <f>IF(A26stdlife="n/a","n/a",IF(X$3&gt;(A26stdlife+$E407),('PTRM input'!$K$168*(1+rvanilla05)^0.5)-SUM($K407:W407),('PTRM input'!$K$168*(1+rvanilla05)^0.5)/A26stdlife))</f>
        <v>0</v>
      </c>
      <c r="Y407" s="107">
        <f>IF(A26stdlife="n/a","n/a",IF(Y$3&gt;(A26stdlife+$E407),('PTRM input'!$K$168*(1+rvanilla05)^0.5)-SUM($K407:X407),('PTRM input'!$K$168*(1+rvanilla05)^0.5)/A26stdlife))</f>
        <v>0</v>
      </c>
      <c r="Z407" s="107">
        <f>IF(A26stdlife="n/a","n/a",IF(Z$3&gt;(A26stdlife+$E407),('PTRM input'!$K$168*(1+rvanilla05)^0.5)-SUM($K407:Y407),('PTRM input'!$K$168*(1+rvanilla05)^0.5)/A26stdlife))</f>
        <v>0</v>
      </c>
      <c r="AA407" s="107">
        <f>IF(A26stdlife="n/a","n/a",IF(AA$3&gt;(A26stdlife+$E407),('PTRM input'!$K$168*(1+rvanilla05)^0.5)-SUM($K407:Z407),('PTRM input'!$K$168*(1+rvanilla05)^0.5)/A26stdlife))</f>
        <v>0</v>
      </c>
      <c r="AB407" s="107">
        <f>IF(A26stdlife="n/a","n/a",IF(AB$3&gt;(A26stdlife+$E407),('PTRM input'!$K$168*(1+rvanilla05)^0.5)-SUM($K407:AA407),('PTRM input'!$K$168*(1+rvanilla05)^0.5)/A26stdlife))</f>
        <v>0</v>
      </c>
      <c r="AC407" s="107">
        <f>IF(A26stdlife="n/a","n/a",IF(AC$3&gt;(A26stdlife+$E407),('PTRM input'!$K$168*(1+rvanilla05)^0.5)-SUM($K407:AB407),('PTRM input'!$K$168*(1+rvanilla05)^0.5)/A26stdlife))</f>
        <v>0</v>
      </c>
      <c r="AD407" s="107">
        <f>IF(A26stdlife="n/a","n/a",IF(AD$3&gt;(A26stdlife+$E407),('PTRM input'!$K$168*(1+rvanilla05)^0.5)-SUM($K407:AC407),('PTRM input'!$K$168*(1+rvanilla05)^0.5)/A26stdlife))</f>
        <v>0</v>
      </c>
      <c r="AE407" s="107">
        <f>IF(A26stdlife="n/a","n/a",IF(AE$3&gt;(A26stdlife+$E407),('PTRM input'!$K$168*(1+rvanilla05)^0.5)-SUM($K407:AD407),('PTRM input'!$K$168*(1+rvanilla05)^0.5)/A26stdlife))</f>
        <v>0</v>
      </c>
      <c r="AF407" s="107">
        <f>IF(A26stdlife="n/a","n/a",IF(AF$3&gt;(A26stdlife+$E407),('PTRM input'!$K$168*(1+rvanilla05)^0.5)-SUM($K407:AE407),('PTRM input'!$K$168*(1+rvanilla05)^0.5)/A26stdlife))</f>
        <v>0</v>
      </c>
      <c r="AG407" s="107">
        <f>IF(A26stdlife="n/a","n/a",IF(AG$3&gt;(A26stdlife+$E407),('PTRM input'!$K$168*(1+rvanilla05)^0.5)-SUM($K407:AF407),('PTRM input'!$K$168*(1+rvanilla05)^0.5)/A26stdlife))</f>
        <v>0</v>
      </c>
      <c r="AH407" s="107">
        <f>IF(A26stdlife="n/a","n/a",IF(AH$3&gt;(A26stdlife+$E407),('PTRM input'!$K$168*(1+rvanilla05)^0.5)-SUM($K407:AG407),('PTRM input'!$K$168*(1+rvanilla05)^0.5)/A26stdlife))</f>
        <v>0</v>
      </c>
      <c r="AI407" s="107">
        <f>IF(A26stdlife="n/a","n/a",IF(AI$3&gt;(A26stdlife+$E407),('PTRM input'!$K$168*(1+rvanilla05)^0.5)-SUM($K407:AH407),('PTRM input'!$K$168*(1+rvanilla05)^0.5)/A26stdlife))</f>
        <v>0</v>
      </c>
      <c r="AJ407" s="107">
        <f>IF(A26stdlife="n/a","n/a",IF(AJ$3&gt;(A26stdlife+$E407),('PTRM input'!$K$168*(1+rvanilla05)^0.5)-SUM($K407:AI407),('PTRM input'!$K$168*(1+rvanilla05)^0.5)/A26stdlife))</f>
        <v>0</v>
      </c>
      <c r="AK407" s="107">
        <f>IF(A26stdlife="n/a","n/a",IF(AK$3&gt;(A26stdlife+$E407),('PTRM input'!$K$168*(1+rvanilla05)^0.5)-SUM($K407:AJ407),('PTRM input'!$K$168*(1+rvanilla05)^0.5)/A26stdlife))</f>
        <v>0</v>
      </c>
      <c r="AL407" s="107">
        <f>IF(A26stdlife="n/a","n/a",IF(AL$3&gt;(A26stdlife+$E407),('PTRM input'!$K$168*(1+rvanilla05)^0.5)-SUM($K407:AK407),('PTRM input'!$K$168*(1+rvanilla05)^0.5)/A26stdlife))</f>
        <v>0</v>
      </c>
      <c r="AM407" s="107">
        <f>IF(A26stdlife="n/a","n/a",IF(AM$3&gt;(A26stdlife+$E407),('PTRM input'!$K$168*(1+rvanilla05)^0.5)-SUM($K407:AL407),('PTRM input'!$K$168*(1+rvanilla05)^0.5)/A26stdlife))</f>
        <v>0</v>
      </c>
      <c r="AN407" s="107">
        <f>IF(A26stdlife="n/a","n/a",IF(AN$3&gt;(A26stdlife+$E407),('PTRM input'!$K$168*(1+rvanilla05)^0.5)-SUM($K407:AM407),('PTRM input'!$K$168*(1+rvanilla05)^0.5)/A26stdlife))</f>
        <v>0</v>
      </c>
      <c r="AO407" s="107">
        <f>IF(A26stdlife="n/a","n/a",IF(AO$3&gt;(A26stdlife+$E407),('PTRM input'!$K$168*(1+rvanilla05)^0.5)-SUM($K407:AN407),('PTRM input'!$K$168*(1+rvanilla05)^0.5)/A26stdlife))</f>
        <v>0</v>
      </c>
      <c r="AP407" s="107">
        <f>IF(A26stdlife="n/a","n/a",IF(AP$3&gt;(A26stdlife+$E407),('PTRM input'!$K$168*(1+rvanilla05)^0.5)-SUM($K407:AO407),('PTRM input'!$K$168*(1+rvanilla05)^0.5)/A26stdlife))</f>
        <v>0</v>
      </c>
      <c r="AQ407" s="107">
        <f>IF(A26stdlife="n/a","n/a",IF(AQ$3&gt;(A26stdlife+$E407),('PTRM input'!$K$168*(1+rvanilla05)^0.5)-SUM($K407:AP407),('PTRM input'!$K$168*(1+rvanilla05)^0.5)/A26stdlife))</f>
        <v>0</v>
      </c>
      <c r="AR407" s="107">
        <f>IF(A26stdlife="n/a","n/a",IF(AR$3&gt;(A26stdlife+$E407),('PTRM input'!$K$168*(1+rvanilla05)^0.5)-SUM($K407:AQ407),('PTRM input'!$K$168*(1+rvanilla05)^0.5)/A26stdlife))</f>
        <v>0</v>
      </c>
      <c r="AS407" s="107">
        <f>IF(A26stdlife="n/a","n/a",IF(AS$3&gt;(A26stdlife+$E407),('PTRM input'!$K$168*(1+rvanilla05)^0.5)-SUM($K407:AR407),('PTRM input'!$K$168*(1+rvanilla05)^0.5)/A26stdlife))</f>
        <v>0</v>
      </c>
      <c r="AT407" s="107">
        <f>IF(A26stdlife="n/a","n/a",IF(AT$3&gt;(A26stdlife+$E407),('PTRM input'!$K$168*(1+rvanilla05)^0.5)-SUM($K407:AS407),('PTRM input'!$K$168*(1+rvanilla05)^0.5)/A26stdlife))</f>
        <v>0</v>
      </c>
      <c r="AU407" s="107">
        <f>IF(A26stdlife="n/a","n/a",IF(AU$3&gt;(A26stdlife+$E407),('PTRM input'!$K$168*(1+rvanilla05)^0.5)-SUM($K407:AT407),('PTRM input'!$K$168*(1+rvanilla05)^0.5)/A26stdlife))</f>
        <v>0</v>
      </c>
      <c r="AV407" s="107">
        <f>IF(A26stdlife="n/a","n/a",IF(AV$3&gt;(A26stdlife+$E407),('PTRM input'!$K$168*(1+rvanilla05)^0.5)-SUM($K407:AU407),('PTRM input'!$K$168*(1+rvanilla05)^0.5)/A26stdlife))</f>
        <v>0</v>
      </c>
      <c r="AW407" s="107">
        <f>IF(A26stdlife="n/a","n/a",IF(AW$3&gt;(A26stdlife+$E407),('PTRM input'!$K$168*(1+rvanilla05)^0.5)-SUM($K407:AV407),('PTRM input'!$K$168*(1+rvanilla05)^0.5)/A26stdlife))</f>
        <v>0</v>
      </c>
      <c r="AX407" s="107">
        <f>IF(A26stdlife="n/a","n/a",IF(AX$3&gt;(A26stdlife+$E407),('PTRM input'!$K$168*(1+rvanilla05)^0.5)-SUM($K407:AW407),('PTRM input'!$K$168*(1+rvanilla05)^0.5)/A26stdlife))</f>
        <v>0</v>
      </c>
      <c r="AY407" s="107">
        <f>IF(A26stdlife="n/a","n/a",IF(AY$3&gt;(A26stdlife+$E407),('PTRM input'!$K$168*(1+rvanilla05)^0.5)-SUM($K407:AX407),('PTRM input'!$K$168*(1+rvanilla05)^0.5)/A26stdlife))</f>
        <v>0</v>
      </c>
      <c r="AZ407" s="107">
        <f>IF(A26stdlife="n/a","n/a",IF(AZ$3&gt;(A26stdlife+$E407),('PTRM input'!$K$168*(1+rvanilla05)^0.5)-SUM($K407:AY407),('PTRM input'!$K$168*(1+rvanilla05)^0.5)/A26stdlife))</f>
        <v>0</v>
      </c>
      <c r="BA407" s="107">
        <f>IF(A26stdlife="n/a","n/a",IF(BA$3&gt;(A26stdlife+$E407),('PTRM input'!$K$168*(1+rvanilla05)^0.5)-SUM($K407:AZ407),('PTRM input'!$K$168*(1+rvanilla05)^0.5)/A26stdlife))</f>
        <v>0</v>
      </c>
      <c r="BB407" s="107">
        <f>IF(A26stdlife="n/a","n/a",IF(BB$3&gt;(A26stdlife+$E407),('PTRM input'!$K$168*(1+rvanilla05)^0.5)-SUM($K407:BA407),('PTRM input'!$K$168*(1+rvanilla05)^0.5)/A26stdlife))</f>
        <v>0</v>
      </c>
      <c r="BC407" s="107">
        <f>IF(A26stdlife="n/a","n/a",IF(BC$3&gt;(A26stdlife+$E407),('PTRM input'!$K$168*(1+rvanilla05)^0.5)-SUM($K407:BB407),('PTRM input'!$K$168*(1+rvanilla05)^0.5)/A26stdlife))</f>
        <v>0</v>
      </c>
      <c r="BD407" s="107">
        <f>IF(A26stdlife="n/a","n/a",IF(BD$3&gt;(A26stdlife+$E407),('PTRM input'!$K$168*(1+rvanilla05)^0.5)-SUM($K407:BC407),('PTRM input'!$K$168*(1+rvanilla05)^0.5)/A26stdlife))</f>
        <v>0</v>
      </c>
      <c r="BE407" s="107">
        <f>IF(A26stdlife="n/a","n/a",IF(BE$3&gt;(A26stdlife+$E407),('PTRM input'!$K$168*(1+rvanilla05)^0.5)-SUM($K407:BD407),('PTRM input'!$K$168*(1+rvanilla05)^0.5)/A26stdlife))</f>
        <v>0</v>
      </c>
      <c r="BF407" s="107">
        <f>IF(A26stdlife="n/a","n/a",IF(BF$3&gt;(A26stdlife+$E407),('PTRM input'!$K$168*(1+rvanilla05)^0.5)-SUM($K407:BE407),('PTRM input'!$K$168*(1+rvanilla05)^0.5)/A26stdlife))</f>
        <v>0</v>
      </c>
      <c r="BG407" s="107">
        <f>IF(A26stdlife="n/a","n/a",IF(BG$3&gt;(A26stdlife+$E407),('PTRM input'!$K$168*(1+rvanilla05)^0.5)-SUM($K407:BF407),('PTRM input'!$K$168*(1+rvanilla05)^0.5)/A26stdlife))</f>
        <v>0</v>
      </c>
      <c r="BH407" s="107">
        <f>IF(A26stdlife="n/a","n/a",IF(BH$3&gt;(A26stdlife+$E407),('PTRM input'!$K$168*(1+rvanilla05)^0.5)-SUM($K407:BG407),('PTRM input'!$K$168*(1+rvanilla05)^0.5)/A26stdlife))</f>
        <v>0</v>
      </c>
      <c r="BI407" s="107">
        <f>IF(A26stdlife="n/a","n/a",IF(BI$3&gt;(A26stdlife+$E407),('PTRM input'!$K$168*(1+rvanilla05)^0.5)-SUM($K407:BH407),('PTRM input'!$K$168*(1+rvanilla05)^0.5)/A26stdlife))</f>
        <v>0</v>
      </c>
      <c r="BJ407" s="237"/>
      <c r="BK407" s="237"/>
      <c r="BL407" s="237"/>
      <c r="BM407" s="237"/>
    </row>
    <row r="408" spans="1:65" s="190" customFormat="1" hidden="1" outlineLevel="2">
      <c r="A408" s="237"/>
      <c r="B408" s="33"/>
      <c r="C408" s="32"/>
      <c r="D408" s="1618"/>
      <c r="E408" s="169">
        <v>6</v>
      </c>
      <c r="F408" s="35"/>
      <c r="G408" s="184"/>
      <c r="H408" s="186"/>
      <c r="I408" s="186"/>
      <c r="J408" s="186"/>
      <c r="K408" s="186"/>
      <c r="L408" s="185"/>
      <c r="M408" s="107">
        <f>IF(A26stdlife="n/a","n/a",IF(M$3&gt;(A26stdlife+$E408),('PTRM input'!$L$168*(1+rvanilla06)^0.5)-SUM($L408:L408),('PTRM input'!$L$168*(1+rvanilla06)^0.5)/A26stdlife))</f>
        <v>0</v>
      </c>
      <c r="N408" s="107">
        <f>IF(A26stdlife="n/a","n/a",IF(N$3&gt;(A26stdlife+$E408),('PTRM input'!$L$168*(1+rvanilla06)^0.5)-SUM($L408:M408),('PTRM input'!$L$168*(1+rvanilla06)^0.5)/A26stdlife))</f>
        <v>0</v>
      </c>
      <c r="O408" s="107">
        <f>IF(A26stdlife="n/a","n/a",IF(O$3&gt;(A26stdlife+$E408),('PTRM input'!$L$168*(1+rvanilla06)^0.5)-SUM($L408:N408),('PTRM input'!$L$168*(1+rvanilla06)^0.5)/A26stdlife))</f>
        <v>0</v>
      </c>
      <c r="P408" s="107">
        <f>IF(A26stdlife="n/a","n/a",IF(P$3&gt;(A26stdlife+$E408),('PTRM input'!$L$168*(1+rvanilla06)^0.5)-SUM($L408:O408),('PTRM input'!$L$168*(1+rvanilla06)^0.5)/A26stdlife))</f>
        <v>0</v>
      </c>
      <c r="Q408" s="107">
        <f>IF(A26stdlife="n/a","n/a",IF(Q$3&gt;(A26stdlife+$E408),('PTRM input'!$L$168*(1+rvanilla06)^0.5)-SUM($L408:P408),('PTRM input'!$L$168*(1+rvanilla06)^0.5)/A26stdlife))</f>
        <v>0</v>
      </c>
      <c r="R408" s="107">
        <f>IF(A26stdlife="n/a","n/a",IF(R$3&gt;(A26stdlife+$E408),('PTRM input'!$L$168*(1+rvanilla06)^0.5)-SUM($L408:Q408),('PTRM input'!$L$168*(1+rvanilla06)^0.5)/A26stdlife))</f>
        <v>0</v>
      </c>
      <c r="S408" s="107">
        <f>IF(A26stdlife="n/a","n/a",IF(S$3&gt;(A26stdlife+$E408),('PTRM input'!$L$168*(1+rvanilla06)^0.5)-SUM($L408:R408),('PTRM input'!$L$168*(1+rvanilla06)^0.5)/A26stdlife))</f>
        <v>0</v>
      </c>
      <c r="T408" s="107">
        <f>IF(A26stdlife="n/a","n/a",IF(T$3&gt;(A26stdlife+$E408),('PTRM input'!$L$168*(1+rvanilla06)^0.5)-SUM($L408:S408),('PTRM input'!$L$168*(1+rvanilla06)^0.5)/A26stdlife))</f>
        <v>0</v>
      </c>
      <c r="U408" s="107">
        <f>IF(A26stdlife="n/a","n/a",IF(U$3&gt;(A26stdlife+$E408),('PTRM input'!$L$168*(1+rvanilla06)^0.5)-SUM($L408:T408),('PTRM input'!$L$168*(1+rvanilla06)^0.5)/A26stdlife))</f>
        <v>0</v>
      </c>
      <c r="V408" s="107">
        <f>IF(A26stdlife="n/a","n/a",IF(V$3&gt;(A26stdlife+$E408),('PTRM input'!$L$168*(1+rvanilla06)^0.5)-SUM($L408:U408),('PTRM input'!$L$168*(1+rvanilla06)^0.5)/A26stdlife))</f>
        <v>0</v>
      </c>
      <c r="W408" s="107">
        <f>IF(A26stdlife="n/a","n/a",IF(W$3&gt;(A26stdlife+$E408),('PTRM input'!$L$168*(1+rvanilla06)^0.5)-SUM($L408:V408),('PTRM input'!$L$168*(1+rvanilla06)^0.5)/A26stdlife))</f>
        <v>0</v>
      </c>
      <c r="X408" s="107">
        <f>IF(A26stdlife="n/a","n/a",IF(X$3&gt;(A26stdlife+$E408),('PTRM input'!$L$168*(1+rvanilla06)^0.5)-SUM($L408:W408),('PTRM input'!$L$168*(1+rvanilla06)^0.5)/A26stdlife))</f>
        <v>0</v>
      </c>
      <c r="Y408" s="107">
        <f>IF(A26stdlife="n/a","n/a",IF(Y$3&gt;(A26stdlife+$E408),('PTRM input'!$L$168*(1+rvanilla06)^0.5)-SUM($L408:X408),('PTRM input'!$L$168*(1+rvanilla06)^0.5)/A26stdlife))</f>
        <v>0</v>
      </c>
      <c r="Z408" s="107">
        <f>IF(A26stdlife="n/a","n/a",IF(Z$3&gt;(A26stdlife+$E408),('PTRM input'!$L$168*(1+rvanilla06)^0.5)-SUM($L408:Y408),('PTRM input'!$L$168*(1+rvanilla06)^0.5)/A26stdlife))</f>
        <v>0</v>
      </c>
      <c r="AA408" s="107">
        <f>IF(A26stdlife="n/a","n/a",IF(AA$3&gt;(A26stdlife+$E408),('PTRM input'!$L$168*(1+rvanilla06)^0.5)-SUM($L408:Z408),('PTRM input'!$L$168*(1+rvanilla06)^0.5)/A26stdlife))</f>
        <v>0</v>
      </c>
      <c r="AB408" s="107">
        <f>IF(A26stdlife="n/a","n/a",IF(AB$3&gt;(A26stdlife+$E408),('PTRM input'!$L$168*(1+rvanilla06)^0.5)-SUM($L408:AA408),('PTRM input'!$L$168*(1+rvanilla06)^0.5)/A26stdlife))</f>
        <v>0</v>
      </c>
      <c r="AC408" s="107">
        <f>IF(A26stdlife="n/a","n/a",IF(AC$3&gt;(A26stdlife+$E408),('PTRM input'!$L$168*(1+rvanilla06)^0.5)-SUM($L408:AB408),('PTRM input'!$L$168*(1+rvanilla06)^0.5)/A26stdlife))</f>
        <v>0</v>
      </c>
      <c r="AD408" s="107">
        <f>IF(A26stdlife="n/a","n/a",IF(AD$3&gt;(A26stdlife+$E408),('PTRM input'!$L$168*(1+rvanilla06)^0.5)-SUM($L408:AC408),('PTRM input'!$L$168*(1+rvanilla06)^0.5)/A26stdlife))</f>
        <v>0</v>
      </c>
      <c r="AE408" s="107">
        <f>IF(A26stdlife="n/a","n/a",IF(AE$3&gt;(A26stdlife+$E408),('PTRM input'!$L$168*(1+rvanilla06)^0.5)-SUM($L408:AD408),('PTRM input'!$L$168*(1+rvanilla06)^0.5)/A26stdlife))</f>
        <v>0</v>
      </c>
      <c r="AF408" s="107">
        <f>IF(A26stdlife="n/a","n/a",IF(AF$3&gt;(A26stdlife+$E408),('PTRM input'!$L$168*(1+rvanilla06)^0.5)-SUM($L408:AE408),('PTRM input'!$L$168*(1+rvanilla06)^0.5)/A26stdlife))</f>
        <v>0</v>
      </c>
      <c r="AG408" s="107">
        <f>IF(A26stdlife="n/a","n/a",IF(AG$3&gt;(A26stdlife+$E408),('PTRM input'!$L$168*(1+rvanilla06)^0.5)-SUM($L408:AF408),('PTRM input'!$L$168*(1+rvanilla06)^0.5)/A26stdlife))</f>
        <v>0</v>
      </c>
      <c r="AH408" s="107">
        <f>IF(A26stdlife="n/a","n/a",IF(AH$3&gt;(A26stdlife+$E408),('PTRM input'!$L$168*(1+rvanilla06)^0.5)-SUM($L408:AG408),('PTRM input'!$L$168*(1+rvanilla06)^0.5)/A26stdlife))</f>
        <v>0</v>
      </c>
      <c r="AI408" s="107">
        <f>IF(A26stdlife="n/a","n/a",IF(AI$3&gt;(A26stdlife+$E408),('PTRM input'!$L$168*(1+rvanilla06)^0.5)-SUM($L408:AH408),('PTRM input'!$L$168*(1+rvanilla06)^0.5)/A26stdlife))</f>
        <v>0</v>
      </c>
      <c r="AJ408" s="107">
        <f>IF(A26stdlife="n/a","n/a",IF(AJ$3&gt;(A26stdlife+$E408),('PTRM input'!$L$168*(1+rvanilla06)^0.5)-SUM($L408:AI408),('PTRM input'!$L$168*(1+rvanilla06)^0.5)/A26stdlife))</f>
        <v>0</v>
      </c>
      <c r="AK408" s="107">
        <f>IF(A26stdlife="n/a","n/a",IF(AK$3&gt;(A26stdlife+$E408),('PTRM input'!$L$168*(1+rvanilla06)^0.5)-SUM($L408:AJ408),('PTRM input'!$L$168*(1+rvanilla06)^0.5)/A26stdlife))</f>
        <v>0</v>
      </c>
      <c r="AL408" s="107">
        <f>IF(A26stdlife="n/a","n/a",IF(AL$3&gt;(A26stdlife+$E408),('PTRM input'!$L$168*(1+rvanilla06)^0.5)-SUM($L408:AK408),('PTRM input'!$L$168*(1+rvanilla06)^0.5)/A26stdlife))</f>
        <v>0</v>
      </c>
      <c r="AM408" s="107">
        <f>IF(A26stdlife="n/a","n/a",IF(AM$3&gt;(A26stdlife+$E408),('PTRM input'!$L$168*(1+rvanilla06)^0.5)-SUM($L408:AL408),('PTRM input'!$L$168*(1+rvanilla06)^0.5)/A26stdlife))</f>
        <v>0</v>
      </c>
      <c r="AN408" s="107">
        <f>IF(A26stdlife="n/a","n/a",IF(AN$3&gt;(A26stdlife+$E408),('PTRM input'!$L$168*(1+rvanilla06)^0.5)-SUM($L408:AM408),('PTRM input'!$L$168*(1+rvanilla06)^0.5)/A26stdlife))</f>
        <v>0</v>
      </c>
      <c r="AO408" s="107">
        <f>IF(A26stdlife="n/a","n/a",IF(AO$3&gt;(A26stdlife+$E408),('PTRM input'!$L$168*(1+rvanilla06)^0.5)-SUM($L408:AN408),('PTRM input'!$L$168*(1+rvanilla06)^0.5)/A26stdlife))</f>
        <v>0</v>
      </c>
      <c r="AP408" s="107">
        <f>IF(A26stdlife="n/a","n/a",IF(AP$3&gt;(A26stdlife+$E408),('PTRM input'!$L$168*(1+rvanilla06)^0.5)-SUM($L408:AO408),('PTRM input'!$L$168*(1+rvanilla06)^0.5)/A26stdlife))</f>
        <v>0</v>
      </c>
      <c r="AQ408" s="107">
        <f>IF(A26stdlife="n/a","n/a",IF(AQ$3&gt;(A26stdlife+$E408),('PTRM input'!$L$168*(1+rvanilla06)^0.5)-SUM($L408:AP408),('PTRM input'!$L$168*(1+rvanilla06)^0.5)/A26stdlife))</f>
        <v>0</v>
      </c>
      <c r="AR408" s="107">
        <f>IF(A26stdlife="n/a","n/a",IF(AR$3&gt;(A26stdlife+$E408),('PTRM input'!$L$168*(1+rvanilla06)^0.5)-SUM($L408:AQ408),('PTRM input'!$L$168*(1+rvanilla06)^0.5)/A26stdlife))</f>
        <v>0</v>
      </c>
      <c r="AS408" s="107">
        <f>IF(A26stdlife="n/a","n/a",IF(AS$3&gt;(A26stdlife+$E408),('PTRM input'!$L$168*(1+rvanilla06)^0.5)-SUM($L408:AR408),('PTRM input'!$L$168*(1+rvanilla06)^0.5)/A26stdlife))</f>
        <v>0</v>
      </c>
      <c r="AT408" s="107">
        <f>IF(A26stdlife="n/a","n/a",IF(AT$3&gt;(A26stdlife+$E408),('PTRM input'!$L$168*(1+rvanilla06)^0.5)-SUM($L408:AS408),('PTRM input'!$L$168*(1+rvanilla06)^0.5)/A26stdlife))</f>
        <v>0</v>
      </c>
      <c r="AU408" s="107">
        <f>IF(A26stdlife="n/a","n/a",IF(AU$3&gt;(A26stdlife+$E408),('PTRM input'!$L$168*(1+rvanilla06)^0.5)-SUM($L408:AT408),('PTRM input'!$L$168*(1+rvanilla06)^0.5)/A26stdlife))</f>
        <v>0</v>
      </c>
      <c r="AV408" s="107">
        <f>IF(A26stdlife="n/a","n/a",IF(AV$3&gt;(A26stdlife+$E408),('PTRM input'!$L$168*(1+rvanilla06)^0.5)-SUM($L408:AU408),('PTRM input'!$L$168*(1+rvanilla06)^0.5)/A26stdlife))</f>
        <v>0</v>
      </c>
      <c r="AW408" s="107">
        <f>IF(A26stdlife="n/a","n/a",IF(AW$3&gt;(A26stdlife+$E408),('PTRM input'!$L$168*(1+rvanilla06)^0.5)-SUM($L408:AV408),('PTRM input'!$L$168*(1+rvanilla06)^0.5)/A26stdlife))</f>
        <v>0</v>
      </c>
      <c r="AX408" s="107">
        <f>IF(A26stdlife="n/a","n/a",IF(AX$3&gt;(A26stdlife+$E408),('PTRM input'!$L$168*(1+rvanilla06)^0.5)-SUM($L408:AW408),('PTRM input'!$L$168*(1+rvanilla06)^0.5)/A26stdlife))</f>
        <v>0</v>
      </c>
      <c r="AY408" s="107">
        <f>IF(A26stdlife="n/a","n/a",IF(AY$3&gt;(A26stdlife+$E408),('PTRM input'!$L$168*(1+rvanilla06)^0.5)-SUM($L408:AX408),('PTRM input'!$L$168*(1+rvanilla06)^0.5)/A26stdlife))</f>
        <v>0</v>
      </c>
      <c r="AZ408" s="107">
        <f>IF(A26stdlife="n/a","n/a",IF(AZ$3&gt;(A26stdlife+$E408),('PTRM input'!$L$168*(1+rvanilla06)^0.5)-SUM($L408:AY408),('PTRM input'!$L$168*(1+rvanilla06)^0.5)/A26stdlife))</f>
        <v>0</v>
      </c>
      <c r="BA408" s="107">
        <f>IF(A26stdlife="n/a","n/a",IF(BA$3&gt;(A26stdlife+$E408),('PTRM input'!$L$168*(1+rvanilla06)^0.5)-SUM($L408:AZ408),('PTRM input'!$L$168*(1+rvanilla06)^0.5)/A26stdlife))</f>
        <v>0</v>
      </c>
      <c r="BB408" s="107">
        <f>IF(A26stdlife="n/a","n/a",IF(BB$3&gt;(A26stdlife+$E408),('PTRM input'!$L$168*(1+rvanilla06)^0.5)-SUM($L408:BA408),('PTRM input'!$L$168*(1+rvanilla06)^0.5)/A26stdlife))</f>
        <v>0</v>
      </c>
      <c r="BC408" s="107">
        <f>IF(A26stdlife="n/a","n/a",IF(BC$3&gt;(A26stdlife+$E408),('PTRM input'!$L$168*(1+rvanilla06)^0.5)-SUM($L408:BB408),('PTRM input'!$L$168*(1+rvanilla06)^0.5)/A26stdlife))</f>
        <v>0</v>
      </c>
      <c r="BD408" s="107">
        <f>IF(A26stdlife="n/a","n/a",IF(BD$3&gt;(A26stdlife+$E408),('PTRM input'!$L$168*(1+rvanilla06)^0.5)-SUM($L408:BC408),('PTRM input'!$L$168*(1+rvanilla06)^0.5)/A26stdlife))</f>
        <v>0</v>
      </c>
      <c r="BE408" s="107">
        <f>IF(A26stdlife="n/a","n/a",IF(BE$3&gt;(A26stdlife+$E408),('PTRM input'!$L$168*(1+rvanilla06)^0.5)-SUM($L408:BD408),('PTRM input'!$L$168*(1+rvanilla06)^0.5)/A26stdlife))</f>
        <v>0</v>
      </c>
      <c r="BF408" s="107">
        <f>IF(A26stdlife="n/a","n/a",IF(BF$3&gt;(A26stdlife+$E408),('PTRM input'!$L$168*(1+rvanilla06)^0.5)-SUM($L408:BE408),('PTRM input'!$L$168*(1+rvanilla06)^0.5)/A26stdlife))</f>
        <v>0</v>
      </c>
      <c r="BG408" s="107">
        <f>IF(A26stdlife="n/a","n/a",IF(BG$3&gt;(A26stdlife+$E408),('PTRM input'!$L$168*(1+rvanilla06)^0.5)-SUM($L408:BF408),('PTRM input'!$L$168*(1+rvanilla06)^0.5)/A26stdlife))</f>
        <v>0</v>
      </c>
      <c r="BH408" s="107">
        <f>IF(A26stdlife="n/a","n/a",IF(BH$3&gt;(A26stdlife+$E408),('PTRM input'!$L$168*(1+rvanilla06)^0.5)-SUM($L408:BG408),('PTRM input'!$L$168*(1+rvanilla06)^0.5)/A26stdlife))</f>
        <v>0</v>
      </c>
      <c r="BI408" s="107">
        <f>IF(A26stdlife="n/a","n/a",IF(BI$3&gt;(A26stdlife+$E408),('PTRM input'!$L$168*(1+rvanilla06)^0.5)-SUM($L408:BH408),('PTRM input'!$L$168*(1+rvanilla06)^0.5)/A26stdlife))</f>
        <v>0</v>
      </c>
      <c r="BJ408" s="237"/>
      <c r="BK408" s="237"/>
      <c r="BL408" s="237"/>
      <c r="BM408" s="237"/>
    </row>
    <row r="409" spans="1:65" s="190" customFormat="1" hidden="1" outlineLevel="2">
      <c r="A409" s="237"/>
      <c r="B409" s="33"/>
      <c r="C409" s="32"/>
      <c r="D409" s="1618"/>
      <c r="E409" s="169">
        <v>7</v>
      </c>
      <c r="F409" s="35"/>
      <c r="G409" s="184"/>
      <c r="H409" s="186"/>
      <c r="I409" s="186"/>
      <c r="J409" s="186"/>
      <c r="K409" s="186"/>
      <c r="L409" s="186"/>
      <c r="M409" s="185"/>
      <c r="N409" s="107">
        <f>IF(A26stdlife="n/a","n/a",IF(N$3&gt;(A26stdlife+$E409),('PTRM input'!$M$168*(1+rvanilla07)^0.5)-SUM($M409:M409),('PTRM input'!$M$168*(1+rvanilla07)^0.5)/A26stdlife))</f>
        <v>0</v>
      </c>
      <c r="O409" s="107">
        <f>IF(A26stdlife="n/a","n/a",IF(O$3&gt;(A26stdlife+$E409),('PTRM input'!$M$168*(1+rvanilla07)^0.5)-SUM($M409:N409),('PTRM input'!$M$168*(1+rvanilla07)^0.5)/A26stdlife))</f>
        <v>0</v>
      </c>
      <c r="P409" s="107">
        <f>IF(A26stdlife="n/a","n/a",IF(P$3&gt;(A26stdlife+$E409),('PTRM input'!$M$168*(1+rvanilla07)^0.5)-SUM($M409:O409),('PTRM input'!$M$168*(1+rvanilla07)^0.5)/A26stdlife))</f>
        <v>0</v>
      </c>
      <c r="Q409" s="107">
        <f>IF(A26stdlife="n/a","n/a",IF(Q$3&gt;(A26stdlife+$E409),('PTRM input'!$M$168*(1+rvanilla07)^0.5)-SUM($M409:P409),('PTRM input'!$M$168*(1+rvanilla07)^0.5)/A26stdlife))</f>
        <v>0</v>
      </c>
      <c r="R409" s="107">
        <f>IF(A26stdlife="n/a","n/a",IF(R$3&gt;(A26stdlife+$E409),('PTRM input'!$M$168*(1+rvanilla07)^0.5)-SUM($M409:Q409),('PTRM input'!$M$168*(1+rvanilla07)^0.5)/A26stdlife))</f>
        <v>0</v>
      </c>
      <c r="S409" s="107">
        <f>IF(A26stdlife="n/a","n/a",IF(S$3&gt;(A26stdlife+$E409),('PTRM input'!$M$168*(1+rvanilla07)^0.5)-SUM($M409:R409),('PTRM input'!$M$168*(1+rvanilla07)^0.5)/A26stdlife))</f>
        <v>0</v>
      </c>
      <c r="T409" s="107">
        <f>IF(A26stdlife="n/a","n/a",IF(T$3&gt;(A26stdlife+$E409),('PTRM input'!$M$168*(1+rvanilla07)^0.5)-SUM($M409:S409),('PTRM input'!$M$168*(1+rvanilla07)^0.5)/A26stdlife))</f>
        <v>0</v>
      </c>
      <c r="U409" s="107">
        <f>IF(A26stdlife="n/a","n/a",IF(U$3&gt;(A26stdlife+$E409),('PTRM input'!$M$168*(1+rvanilla07)^0.5)-SUM($M409:T409),('PTRM input'!$M$168*(1+rvanilla07)^0.5)/A26stdlife))</f>
        <v>0</v>
      </c>
      <c r="V409" s="107">
        <f>IF(A26stdlife="n/a","n/a",IF(V$3&gt;(A26stdlife+$E409),('PTRM input'!$M$168*(1+rvanilla07)^0.5)-SUM($M409:U409),('PTRM input'!$M$168*(1+rvanilla07)^0.5)/A26stdlife))</f>
        <v>0</v>
      </c>
      <c r="W409" s="107">
        <f>IF(A26stdlife="n/a","n/a",IF(W$3&gt;(A26stdlife+$E409),('PTRM input'!$M$168*(1+rvanilla07)^0.5)-SUM($M409:V409),('PTRM input'!$M$168*(1+rvanilla07)^0.5)/A26stdlife))</f>
        <v>0</v>
      </c>
      <c r="X409" s="107">
        <f>IF(A26stdlife="n/a","n/a",IF(X$3&gt;(A26stdlife+$E409),('PTRM input'!$M$168*(1+rvanilla07)^0.5)-SUM($M409:W409),('PTRM input'!$M$168*(1+rvanilla07)^0.5)/A26stdlife))</f>
        <v>0</v>
      </c>
      <c r="Y409" s="107">
        <f>IF(A26stdlife="n/a","n/a",IF(Y$3&gt;(A26stdlife+$E409),('PTRM input'!$M$168*(1+rvanilla07)^0.5)-SUM($M409:X409),('PTRM input'!$M$168*(1+rvanilla07)^0.5)/A26stdlife))</f>
        <v>0</v>
      </c>
      <c r="Z409" s="107">
        <f>IF(A26stdlife="n/a","n/a",IF(Z$3&gt;(A26stdlife+$E409),('PTRM input'!$M$168*(1+rvanilla07)^0.5)-SUM($M409:Y409),('PTRM input'!$M$168*(1+rvanilla07)^0.5)/A26stdlife))</f>
        <v>0</v>
      </c>
      <c r="AA409" s="107">
        <f>IF(A26stdlife="n/a","n/a",IF(AA$3&gt;(A26stdlife+$E409),('PTRM input'!$M$168*(1+rvanilla07)^0.5)-SUM($M409:Z409),('PTRM input'!$M$168*(1+rvanilla07)^0.5)/A26stdlife))</f>
        <v>0</v>
      </c>
      <c r="AB409" s="107">
        <f>IF(A26stdlife="n/a","n/a",IF(AB$3&gt;(A26stdlife+$E409),('PTRM input'!$M$168*(1+rvanilla07)^0.5)-SUM($M409:AA409),('PTRM input'!$M$168*(1+rvanilla07)^0.5)/A26stdlife))</f>
        <v>0</v>
      </c>
      <c r="AC409" s="107">
        <f>IF(A26stdlife="n/a","n/a",IF(AC$3&gt;(A26stdlife+$E409),('PTRM input'!$M$168*(1+rvanilla07)^0.5)-SUM($M409:AB409),('PTRM input'!$M$168*(1+rvanilla07)^0.5)/A26stdlife))</f>
        <v>0</v>
      </c>
      <c r="AD409" s="107">
        <f>IF(A26stdlife="n/a","n/a",IF(AD$3&gt;(A26stdlife+$E409),('PTRM input'!$M$168*(1+rvanilla07)^0.5)-SUM($M409:AC409),('PTRM input'!$M$168*(1+rvanilla07)^0.5)/A26stdlife))</f>
        <v>0</v>
      </c>
      <c r="AE409" s="107">
        <f>IF(A26stdlife="n/a","n/a",IF(AE$3&gt;(A26stdlife+$E409),('PTRM input'!$M$168*(1+rvanilla07)^0.5)-SUM($M409:AD409),('PTRM input'!$M$168*(1+rvanilla07)^0.5)/A26stdlife))</f>
        <v>0</v>
      </c>
      <c r="AF409" s="107">
        <f>IF(A26stdlife="n/a","n/a",IF(AF$3&gt;(A26stdlife+$E409),('PTRM input'!$M$168*(1+rvanilla07)^0.5)-SUM($M409:AE409),('PTRM input'!$M$168*(1+rvanilla07)^0.5)/A26stdlife))</f>
        <v>0</v>
      </c>
      <c r="AG409" s="107">
        <f>IF(A26stdlife="n/a","n/a",IF(AG$3&gt;(A26stdlife+$E409),('PTRM input'!$M$168*(1+rvanilla07)^0.5)-SUM($M409:AF409),('PTRM input'!$M$168*(1+rvanilla07)^0.5)/A26stdlife))</f>
        <v>0</v>
      </c>
      <c r="AH409" s="107">
        <f>IF(A26stdlife="n/a","n/a",IF(AH$3&gt;(A26stdlife+$E409),('PTRM input'!$M$168*(1+rvanilla07)^0.5)-SUM($M409:AG409),('PTRM input'!$M$168*(1+rvanilla07)^0.5)/A26stdlife))</f>
        <v>0</v>
      </c>
      <c r="AI409" s="107">
        <f>IF(A26stdlife="n/a","n/a",IF(AI$3&gt;(A26stdlife+$E409),('PTRM input'!$M$168*(1+rvanilla07)^0.5)-SUM($M409:AH409),('PTRM input'!$M$168*(1+rvanilla07)^0.5)/A26stdlife))</f>
        <v>0</v>
      </c>
      <c r="AJ409" s="107">
        <f>IF(A26stdlife="n/a","n/a",IF(AJ$3&gt;(A26stdlife+$E409),('PTRM input'!$M$168*(1+rvanilla07)^0.5)-SUM($M409:AI409),('PTRM input'!$M$168*(1+rvanilla07)^0.5)/A26stdlife))</f>
        <v>0</v>
      </c>
      <c r="AK409" s="107">
        <f>IF(A26stdlife="n/a","n/a",IF(AK$3&gt;(A26stdlife+$E409),('PTRM input'!$M$168*(1+rvanilla07)^0.5)-SUM($M409:AJ409),('PTRM input'!$M$168*(1+rvanilla07)^0.5)/A26stdlife))</f>
        <v>0</v>
      </c>
      <c r="AL409" s="107">
        <f>IF(A26stdlife="n/a","n/a",IF(AL$3&gt;(A26stdlife+$E409),('PTRM input'!$M$168*(1+rvanilla07)^0.5)-SUM($M409:AK409),('PTRM input'!$M$168*(1+rvanilla07)^0.5)/A26stdlife))</f>
        <v>0</v>
      </c>
      <c r="AM409" s="107">
        <f>IF(A26stdlife="n/a","n/a",IF(AM$3&gt;(A26stdlife+$E409),('PTRM input'!$M$168*(1+rvanilla07)^0.5)-SUM($M409:AL409),('PTRM input'!$M$168*(1+rvanilla07)^0.5)/A26stdlife))</f>
        <v>0</v>
      </c>
      <c r="AN409" s="107">
        <f>IF(A26stdlife="n/a","n/a",IF(AN$3&gt;(A26stdlife+$E409),('PTRM input'!$M$168*(1+rvanilla07)^0.5)-SUM($M409:AM409),('PTRM input'!$M$168*(1+rvanilla07)^0.5)/A26stdlife))</f>
        <v>0</v>
      </c>
      <c r="AO409" s="107">
        <f>IF(A26stdlife="n/a","n/a",IF(AO$3&gt;(A26stdlife+$E409),('PTRM input'!$M$168*(1+rvanilla07)^0.5)-SUM($M409:AN409),('PTRM input'!$M$168*(1+rvanilla07)^0.5)/A26stdlife))</f>
        <v>0</v>
      </c>
      <c r="AP409" s="107">
        <f>IF(A26stdlife="n/a","n/a",IF(AP$3&gt;(A26stdlife+$E409),('PTRM input'!$M$168*(1+rvanilla07)^0.5)-SUM($M409:AO409),('PTRM input'!$M$168*(1+rvanilla07)^0.5)/A26stdlife))</f>
        <v>0</v>
      </c>
      <c r="AQ409" s="107">
        <f>IF(A26stdlife="n/a","n/a",IF(AQ$3&gt;(A26stdlife+$E409),('PTRM input'!$M$168*(1+rvanilla07)^0.5)-SUM($M409:AP409),('PTRM input'!$M$168*(1+rvanilla07)^0.5)/A26stdlife))</f>
        <v>0</v>
      </c>
      <c r="AR409" s="107">
        <f>IF(A26stdlife="n/a","n/a",IF(AR$3&gt;(A26stdlife+$E409),('PTRM input'!$M$168*(1+rvanilla07)^0.5)-SUM($M409:AQ409),('PTRM input'!$M$168*(1+rvanilla07)^0.5)/A26stdlife))</f>
        <v>0</v>
      </c>
      <c r="AS409" s="107">
        <f>IF(A26stdlife="n/a","n/a",IF(AS$3&gt;(A26stdlife+$E409),('PTRM input'!$M$168*(1+rvanilla07)^0.5)-SUM($M409:AR409),('PTRM input'!$M$168*(1+rvanilla07)^0.5)/A26stdlife))</f>
        <v>0</v>
      </c>
      <c r="AT409" s="107">
        <f>IF(A26stdlife="n/a","n/a",IF(AT$3&gt;(A26stdlife+$E409),('PTRM input'!$M$168*(1+rvanilla07)^0.5)-SUM($M409:AS409),('PTRM input'!$M$168*(1+rvanilla07)^0.5)/A26stdlife))</f>
        <v>0</v>
      </c>
      <c r="AU409" s="107">
        <f>IF(A26stdlife="n/a","n/a",IF(AU$3&gt;(A26stdlife+$E409),('PTRM input'!$M$168*(1+rvanilla07)^0.5)-SUM($M409:AT409),('PTRM input'!$M$168*(1+rvanilla07)^0.5)/A26stdlife))</f>
        <v>0</v>
      </c>
      <c r="AV409" s="107">
        <f>IF(A26stdlife="n/a","n/a",IF(AV$3&gt;(A26stdlife+$E409),('PTRM input'!$M$168*(1+rvanilla07)^0.5)-SUM($M409:AU409),('PTRM input'!$M$168*(1+rvanilla07)^0.5)/A26stdlife))</f>
        <v>0</v>
      </c>
      <c r="AW409" s="107">
        <f>IF(A26stdlife="n/a","n/a",IF(AW$3&gt;(A26stdlife+$E409),('PTRM input'!$M$168*(1+rvanilla07)^0.5)-SUM($M409:AV409),('PTRM input'!$M$168*(1+rvanilla07)^0.5)/A26stdlife))</f>
        <v>0</v>
      </c>
      <c r="AX409" s="107">
        <f>IF(A26stdlife="n/a","n/a",IF(AX$3&gt;(A26stdlife+$E409),('PTRM input'!$M$168*(1+rvanilla07)^0.5)-SUM($M409:AW409),('PTRM input'!$M$168*(1+rvanilla07)^0.5)/A26stdlife))</f>
        <v>0</v>
      </c>
      <c r="AY409" s="107">
        <f>IF(A26stdlife="n/a","n/a",IF(AY$3&gt;(A26stdlife+$E409),('PTRM input'!$M$168*(1+rvanilla07)^0.5)-SUM($M409:AX409),('PTRM input'!$M$168*(1+rvanilla07)^0.5)/A26stdlife))</f>
        <v>0</v>
      </c>
      <c r="AZ409" s="107">
        <f>IF(A26stdlife="n/a","n/a",IF(AZ$3&gt;(A26stdlife+$E409),('PTRM input'!$M$168*(1+rvanilla07)^0.5)-SUM($M409:AY409),('PTRM input'!$M$168*(1+rvanilla07)^0.5)/A26stdlife))</f>
        <v>0</v>
      </c>
      <c r="BA409" s="107">
        <f>IF(A26stdlife="n/a","n/a",IF(BA$3&gt;(A26stdlife+$E409),('PTRM input'!$M$168*(1+rvanilla07)^0.5)-SUM($M409:AZ409),('PTRM input'!$M$168*(1+rvanilla07)^0.5)/A26stdlife))</f>
        <v>0</v>
      </c>
      <c r="BB409" s="107">
        <f>IF(A26stdlife="n/a","n/a",IF(BB$3&gt;(A26stdlife+$E409),('PTRM input'!$M$168*(1+rvanilla07)^0.5)-SUM($M409:BA409),('PTRM input'!$M$168*(1+rvanilla07)^0.5)/A26stdlife))</f>
        <v>0</v>
      </c>
      <c r="BC409" s="107">
        <f>IF(A26stdlife="n/a","n/a",IF(BC$3&gt;(A26stdlife+$E409),('PTRM input'!$M$168*(1+rvanilla07)^0.5)-SUM($M409:BB409),('PTRM input'!$M$168*(1+rvanilla07)^0.5)/A26stdlife))</f>
        <v>0</v>
      </c>
      <c r="BD409" s="107">
        <f>IF(A26stdlife="n/a","n/a",IF(BD$3&gt;(A26stdlife+$E409),('PTRM input'!$M$168*(1+rvanilla07)^0.5)-SUM($M409:BC409),('PTRM input'!$M$168*(1+rvanilla07)^0.5)/A26stdlife))</f>
        <v>0</v>
      </c>
      <c r="BE409" s="107">
        <f>IF(A26stdlife="n/a","n/a",IF(BE$3&gt;(A26stdlife+$E409),('PTRM input'!$M$168*(1+rvanilla07)^0.5)-SUM($M409:BD409),('PTRM input'!$M$168*(1+rvanilla07)^0.5)/A26stdlife))</f>
        <v>0</v>
      </c>
      <c r="BF409" s="107">
        <f>IF(A26stdlife="n/a","n/a",IF(BF$3&gt;(A26stdlife+$E409),('PTRM input'!$M$168*(1+rvanilla07)^0.5)-SUM($M409:BE409),('PTRM input'!$M$168*(1+rvanilla07)^0.5)/A26stdlife))</f>
        <v>0</v>
      </c>
      <c r="BG409" s="107">
        <f>IF(A26stdlife="n/a","n/a",IF(BG$3&gt;(A26stdlife+$E409),('PTRM input'!$M$168*(1+rvanilla07)^0.5)-SUM($M409:BF409),('PTRM input'!$M$168*(1+rvanilla07)^0.5)/A26stdlife))</f>
        <v>0</v>
      </c>
      <c r="BH409" s="107">
        <f>IF(A26stdlife="n/a","n/a",IF(BH$3&gt;(A26stdlife+$E409),('PTRM input'!$M$168*(1+rvanilla07)^0.5)-SUM($M409:BG409),('PTRM input'!$M$168*(1+rvanilla07)^0.5)/A26stdlife))</f>
        <v>0</v>
      </c>
      <c r="BI409" s="107">
        <f>IF(A26stdlife="n/a","n/a",IF(BI$3&gt;(A26stdlife+$E409),('PTRM input'!$M$168*(1+rvanilla07)^0.5)-SUM($M409:BH409),('PTRM input'!$M$168*(1+rvanilla07)^0.5)/A26stdlife))</f>
        <v>0</v>
      </c>
      <c r="BJ409" s="237"/>
      <c r="BK409" s="237"/>
      <c r="BL409" s="237"/>
      <c r="BM409" s="237"/>
    </row>
    <row r="410" spans="1:65" s="190" customFormat="1" hidden="1" outlineLevel="2">
      <c r="A410" s="237"/>
      <c r="B410" s="33"/>
      <c r="C410" s="32"/>
      <c r="D410" s="1618"/>
      <c r="E410" s="169">
        <v>8</v>
      </c>
      <c r="F410" s="35"/>
      <c r="G410" s="184"/>
      <c r="H410" s="186"/>
      <c r="I410" s="186"/>
      <c r="J410" s="186"/>
      <c r="K410" s="186"/>
      <c r="L410" s="186"/>
      <c r="M410" s="186"/>
      <c r="N410" s="185"/>
      <c r="O410" s="107">
        <f>IF(A26stdlife="n/a","n/a",IF(O$3&gt;(A26stdlife+$E410),('PTRM input'!$N$168*(1+rvanilla08)^0.5)-SUM($N410:N410),('PTRM input'!$N$168*(1+rvanilla08)^0.5)/A26stdlife))</f>
        <v>0</v>
      </c>
      <c r="P410" s="107">
        <f>IF(A26stdlife="n/a","n/a",IF(P$3&gt;(A26stdlife+$E410),('PTRM input'!$N$168*(1+rvanilla08)^0.5)-SUM($N410:O410),('PTRM input'!$N$168*(1+rvanilla08)^0.5)/A26stdlife))</f>
        <v>0</v>
      </c>
      <c r="Q410" s="107">
        <f>IF(A26stdlife="n/a","n/a",IF(Q$3&gt;(A26stdlife+$E410),('PTRM input'!$N$168*(1+rvanilla08)^0.5)-SUM($N410:P410),('PTRM input'!$N$168*(1+rvanilla08)^0.5)/A26stdlife))</f>
        <v>0</v>
      </c>
      <c r="R410" s="107">
        <f>IF(A26stdlife="n/a","n/a",IF(R$3&gt;(A26stdlife+$E410),('PTRM input'!$N$168*(1+rvanilla08)^0.5)-SUM($N410:Q410),('PTRM input'!$N$168*(1+rvanilla08)^0.5)/A26stdlife))</f>
        <v>0</v>
      </c>
      <c r="S410" s="107">
        <f>IF(A26stdlife="n/a","n/a",IF(S$3&gt;(A26stdlife+$E410),('PTRM input'!$N$168*(1+rvanilla08)^0.5)-SUM($N410:R410),('PTRM input'!$N$168*(1+rvanilla08)^0.5)/A26stdlife))</f>
        <v>0</v>
      </c>
      <c r="T410" s="107">
        <f>IF(A26stdlife="n/a","n/a",IF(T$3&gt;(A26stdlife+$E410),('PTRM input'!$N$168*(1+rvanilla08)^0.5)-SUM($N410:S410),('PTRM input'!$N$168*(1+rvanilla08)^0.5)/A26stdlife))</f>
        <v>0</v>
      </c>
      <c r="U410" s="107">
        <f>IF(A26stdlife="n/a","n/a",IF(U$3&gt;(A26stdlife+$E410),('PTRM input'!$N$168*(1+rvanilla08)^0.5)-SUM($N410:T410),('PTRM input'!$N$168*(1+rvanilla08)^0.5)/A26stdlife))</f>
        <v>0</v>
      </c>
      <c r="V410" s="107">
        <f>IF(A26stdlife="n/a","n/a",IF(V$3&gt;(A26stdlife+$E410),('PTRM input'!$N$168*(1+rvanilla08)^0.5)-SUM($N410:U410),('PTRM input'!$N$168*(1+rvanilla08)^0.5)/A26stdlife))</f>
        <v>0</v>
      </c>
      <c r="W410" s="107">
        <f>IF(A26stdlife="n/a","n/a",IF(W$3&gt;(A26stdlife+$E410),('PTRM input'!$N$168*(1+rvanilla08)^0.5)-SUM($N410:V410),('PTRM input'!$N$168*(1+rvanilla08)^0.5)/A26stdlife))</f>
        <v>0</v>
      </c>
      <c r="X410" s="107">
        <f>IF(A26stdlife="n/a","n/a",IF(X$3&gt;(A26stdlife+$E410),('PTRM input'!$N$168*(1+rvanilla08)^0.5)-SUM($N410:W410),('PTRM input'!$N$168*(1+rvanilla08)^0.5)/A26stdlife))</f>
        <v>0</v>
      </c>
      <c r="Y410" s="107">
        <f>IF(A26stdlife="n/a","n/a",IF(Y$3&gt;(A26stdlife+$E410),('PTRM input'!$N$168*(1+rvanilla08)^0.5)-SUM($N410:X410),('PTRM input'!$N$168*(1+rvanilla08)^0.5)/A26stdlife))</f>
        <v>0</v>
      </c>
      <c r="Z410" s="107">
        <f>IF(A26stdlife="n/a","n/a",IF(Z$3&gt;(A26stdlife+$E410),('PTRM input'!$N$168*(1+rvanilla08)^0.5)-SUM($N410:Y410),('PTRM input'!$N$168*(1+rvanilla08)^0.5)/A26stdlife))</f>
        <v>0</v>
      </c>
      <c r="AA410" s="107">
        <f>IF(A26stdlife="n/a","n/a",IF(AA$3&gt;(A26stdlife+$E410),('PTRM input'!$N$168*(1+rvanilla08)^0.5)-SUM($N410:Z410),('PTRM input'!$N$168*(1+rvanilla08)^0.5)/A26stdlife))</f>
        <v>0</v>
      </c>
      <c r="AB410" s="107">
        <f>IF(A26stdlife="n/a","n/a",IF(AB$3&gt;(A26stdlife+$E410),('PTRM input'!$N$168*(1+rvanilla08)^0.5)-SUM($N410:AA410),('PTRM input'!$N$168*(1+rvanilla08)^0.5)/A26stdlife))</f>
        <v>0</v>
      </c>
      <c r="AC410" s="107">
        <f>IF(A26stdlife="n/a","n/a",IF(AC$3&gt;(A26stdlife+$E410),('PTRM input'!$N$168*(1+rvanilla08)^0.5)-SUM($N410:AB410),('PTRM input'!$N$168*(1+rvanilla08)^0.5)/A26stdlife))</f>
        <v>0</v>
      </c>
      <c r="AD410" s="107">
        <f>IF(A26stdlife="n/a","n/a",IF(AD$3&gt;(A26stdlife+$E410),('PTRM input'!$N$168*(1+rvanilla08)^0.5)-SUM($N410:AC410),('PTRM input'!$N$168*(1+rvanilla08)^0.5)/A26stdlife))</f>
        <v>0</v>
      </c>
      <c r="AE410" s="107">
        <f>IF(A26stdlife="n/a","n/a",IF(AE$3&gt;(A26stdlife+$E410),('PTRM input'!$N$168*(1+rvanilla08)^0.5)-SUM($N410:AD410),('PTRM input'!$N$168*(1+rvanilla08)^0.5)/A26stdlife))</f>
        <v>0</v>
      </c>
      <c r="AF410" s="107">
        <f>IF(A26stdlife="n/a","n/a",IF(AF$3&gt;(A26stdlife+$E410),('PTRM input'!$N$168*(1+rvanilla08)^0.5)-SUM($N410:AE410),('PTRM input'!$N$168*(1+rvanilla08)^0.5)/A26stdlife))</f>
        <v>0</v>
      </c>
      <c r="AG410" s="107">
        <f>IF(A26stdlife="n/a","n/a",IF(AG$3&gt;(A26stdlife+$E410),('PTRM input'!$N$168*(1+rvanilla08)^0.5)-SUM($N410:AF410),('PTRM input'!$N$168*(1+rvanilla08)^0.5)/A26stdlife))</f>
        <v>0</v>
      </c>
      <c r="AH410" s="107">
        <f>IF(A26stdlife="n/a","n/a",IF(AH$3&gt;(A26stdlife+$E410),('PTRM input'!$N$168*(1+rvanilla08)^0.5)-SUM($N410:AG410),('PTRM input'!$N$168*(1+rvanilla08)^0.5)/A26stdlife))</f>
        <v>0</v>
      </c>
      <c r="AI410" s="107">
        <f>IF(A26stdlife="n/a","n/a",IF(AI$3&gt;(A26stdlife+$E410),('PTRM input'!$N$168*(1+rvanilla08)^0.5)-SUM($N410:AH410),('PTRM input'!$N$168*(1+rvanilla08)^0.5)/A26stdlife))</f>
        <v>0</v>
      </c>
      <c r="AJ410" s="107">
        <f>IF(A26stdlife="n/a","n/a",IF(AJ$3&gt;(A26stdlife+$E410),('PTRM input'!$N$168*(1+rvanilla08)^0.5)-SUM($N410:AI410),('PTRM input'!$N$168*(1+rvanilla08)^0.5)/A26stdlife))</f>
        <v>0</v>
      </c>
      <c r="AK410" s="107">
        <f>IF(A26stdlife="n/a","n/a",IF(AK$3&gt;(A26stdlife+$E410),('PTRM input'!$N$168*(1+rvanilla08)^0.5)-SUM($N410:AJ410),('PTRM input'!$N$168*(1+rvanilla08)^0.5)/A26stdlife))</f>
        <v>0</v>
      </c>
      <c r="AL410" s="107">
        <f>IF(A26stdlife="n/a","n/a",IF(AL$3&gt;(A26stdlife+$E410),('PTRM input'!$N$168*(1+rvanilla08)^0.5)-SUM($N410:AK410),('PTRM input'!$N$168*(1+rvanilla08)^0.5)/A26stdlife))</f>
        <v>0</v>
      </c>
      <c r="AM410" s="107">
        <f>IF(A26stdlife="n/a","n/a",IF(AM$3&gt;(A26stdlife+$E410),('PTRM input'!$N$168*(1+rvanilla08)^0.5)-SUM($N410:AL410),('PTRM input'!$N$168*(1+rvanilla08)^0.5)/A26stdlife))</f>
        <v>0</v>
      </c>
      <c r="AN410" s="107">
        <f>IF(A26stdlife="n/a","n/a",IF(AN$3&gt;(A26stdlife+$E410),('PTRM input'!$N$168*(1+rvanilla08)^0.5)-SUM($N410:AM410),('PTRM input'!$N$168*(1+rvanilla08)^0.5)/A26stdlife))</f>
        <v>0</v>
      </c>
      <c r="AO410" s="107">
        <f>IF(A26stdlife="n/a","n/a",IF(AO$3&gt;(A26stdlife+$E410),('PTRM input'!$N$168*(1+rvanilla08)^0.5)-SUM($N410:AN410),('PTRM input'!$N$168*(1+rvanilla08)^0.5)/A26stdlife))</f>
        <v>0</v>
      </c>
      <c r="AP410" s="107">
        <f>IF(A26stdlife="n/a","n/a",IF(AP$3&gt;(A26stdlife+$E410),('PTRM input'!$N$168*(1+rvanilla08)^0.5)-SUM($N410:AO410),('PTRM input'!$N$168*(1+rvanilla08)^0.5)/A26stdlife))</f>
        <v>0</v>
      </c>
      <c r="AQ410" s="107">
        <f>IF(A26stdlife="n/a","n/a",IF(AQ$3&gt;(A26stdlife+$E410),('PTRM input'!$N$168*(1+rvanilla08)^0.5)-SUM($N410:AP410),('PTRM input'!$N$168*(1+rvanilla08)^0.5)/A26stdlife))</f>
        <v>0</v>
      </c>
      <c r="AR410" s="107">
        <f>IF(A26stdlife="n/a","n/a",IF(AR$3&gt;(A26stdlife+$E410),('PTRM input'!$N$168*(1+rvanilla08)^0.5)-SUM($N410:AQ410),('PTRM input'!$N$168*(1+rvanilla08)^0.5)/A26stdlife))</f>
        <v>0</v>
      </c>
      <c r="AS410" s="107">
        <f>IF(A26stdlife="n/a","n/a",IF(AS$3&gt;(A26stdlife+$E410),('PTRM input'!$N$168*(1+rvanilla08)^0.5)-SUM($N410:AR410),('PTRM input'!$N$168*(1+rvanilla08)^0.5)/A26stdlife))</f>
        <v>0</v>
      </c>
      <c r="AT410" s="107">
        <f>IF(A26stdlife="n/a","n/a",IF(AT$3&gt;(A26stdlife+$E410),('PTRM input'!$N$168*(1+rvanilla08)^0.5)-SUM($N410:AS410),('PTRM input'!$N$168*(1+rvanilla08)^0.5)/A26stdlife))</f>
        <v>0</v>
      </c>
      <c r="AU410" s="107">
        <f>IF(A26stdlife="n/a","n/a",IF(AU$3&gt;(A26stdlife+$E410),('PTRM input'!$N$168*(1+rvanilla08)^0.5)-SUM($N410:AT410),('PTRM input'!$N$168*(1+rvanilla08)^0.5)/A26stdlife))</f>
        <v>0</v>
      </c>
      <c r="AV410" s="107">
        <f>IF(A26stdlife="n/a","n/a",IF(AV$3&gt;(A26stdlife+$E410),('PTRM input'!$N$168*(1+rvanilla08)^0.5)-SUM($N410:AU410),('PTRM input'!$N$168*(1+rvanilla08)^0.5)/A26stdlife))</f>
        <v>0</v>
      </c>
      <c r="AW410" s="107">
        <f>IF(A26stdlife="n/a","n/a",IF(AW$3&gt;(A26stdlife+$E410),('PTRM input'!$N$168*(1+rvanilla08)^0.5)-SUM($N410:AV410),('PTRM input'!$N$168*(1+rvanilla08)^0.5)/A26stdlife))</f>
        <v>0</v>
      </c>
      <c r="AX410" s="107">
        <f>IF(A26stdlife="n/a","n/a",IF(AX$3&gt;(A26stdlife+$E410),('PTRM input'!$N$168*(1+rvanilla08)^0.5)-SUM($N410:AW410),('PTRM input'!$N$168*(1+rvanilla08)^0.5)/A26stdlife))</f>
        <v>0</v>
      </c>
      <c r="AY410" s="107">
        <f>IF(A26stdlife="n/a","n/a",IF(AY$3&gt;(A26stdlife+$E410),('PTRM input'!$N$168*(1+rvanilla08)^0.5)-SUM($N410:AX410),('PTRM input'!$N$168*(1+rvanilla08)^0.5)/A26stdlife))</f>
        <v>0</v>
      </c>
      <c r="AZ410" s="107">
        <f>IF(A26stdlife="n/a","n/a",IF(AZ$3&gt;(A26stdlife+$E410),('PTRM input'!$N$168*(1+rvanilla08)^0.5)-SUM($N410:AY410),('PTRM input'!$N$168*(1+rvanilla08)^0.5)/A26stdlife))</f>
        <v>0</v>
      </c>
      <c r="BA410" s="107">
        <f>IF(A26stdlife="n/a","n/a",IF(BA$3&gt;(A26stdlife+$E410),('PTRM input'!$N$168*(1+rvanilla08)^0.5)-SUM($N410:AZ410),('PTRM input'!$N$168*(1+rvanilla08)^0.5)/A26stdlife))</f>
        <v>0</v>
      </c>
      <c r="BB410" s="107">
        <f>IF(A26stdlife="n/a","n/a",IF(BB$3&gt;(A26stdlife+$E410),('PTRM input'!$N$168*(1+rvanilla08)^0.5)-SUM($N410:BA410),('PTRM input'!$N$168*(1+rvanilla08)^0.5)/A26stdlife))</f>
        <v>0</v>
      </c>
      <c r="BC410" s="107">
        <f>IF(A26stdlife="n/a","n/a",IF(BC$3&gt;(A26stdlife+$E410),('PTRM input'!$N$168*(1+rvanilla08)^0.5)-SUM($N410:BB410),('PTRM input'!$N$168*(1+rvanilla08)^0.5)/A26stdlife))</f>
        <v>0</v>
      </c>
      <c r="BD410" s="107">
        <f>IF(A26stdlife="n/a","n/a",IF(BD$3&gt;(A26stdlife+$E410),('PTRM input'!$N$168*(1+rvanilla08)^0.5)-SUM($N410:BC410),('PTRM input'!$N$168*(1+rvanilla08)^0.5)/A26stdlife))</f>
        <v>0</v>
      </c>
      <c r="BE410" s="107">
        <f>IF(A26stdlife="n/a","n/a",IF(BE$3&gt;(A26stdlife+$E410),('PTRM input'!$N$168*(1+rvanilla08)^0.5)-SUM($N410:BD410),('PTRM input'!$N$168*(1+rvanilla08)^0.5)/A26stdlife))</f>
        <v>0</v>
      </c>
      <c r="BF410" s="107">
        <f>IF(A26stdlife="n/a","n/a",IF(BF$3&gt;(A26stdlife+$E410),('PTRM input'!$N$168*(1+rvanilla08)^0.5)-SUM($N410:BE410),('PTRM input'!$N$168*(1+rvanilla08)^0.5)/A26stdlife))</f>
        <v>0</v>
      </c>
      <c r="BG410" s="107">
        <f>IF(A26stdlife="n/a","n/a",IF(BG$3&gt;(A26stdlife+$E410),('PTRM input'!$N$168*(1+rvanilla08)^0.5)-SUM($N410:BF410),('PTRM input'!$N$168*(1+rvanilla08)^0.5)/A26stdlife))</f>
        <v>0</v>
      </c>
      <c r="BH410" s="107">
        <f>IF(A26stdlife="n/a","n/a",IF(BH$3&gt;(A26stdlife+$E410),('PTRM input'!$N$168*(1+rvanilla08)^0.5)-SUM($N410:BG410),('PTRM input'!$N$168*(1+rvanilla08)^0.5)/A26stdlife))</f>
        <v>0</v>
      </c>
      <c r="BI410" s="107">
        <f>IF(A26stdlife="n/a","n/a",IF(BI$3&gt;(A26stdlife+$E410),('PTRM input'!$N$168*(1+rvanilla08)^0.5)-SUM($N410:BH410),('PTRM input'!$N$168*(1+rvanilla08)^0.5)/A26stdlife))</f>
        <v>0</v>
      </c>
      <c r="BJ410" s="237"/>
      <c r="BK410" s="237"/>
      <c r="BL410" s="237"/>
      <c r="BM410" s="237"/>
    </row>
    <row r="411" spans="1:65" s="190" customFormat="1" hidden="1" outlineLevel="2">
      <c r="A411" s="237"/>
      <c r="B411" s="33"/>
      <c r="C411" s="32"/>
      <c r="D411" s="1618"/>
      <c r="E411" s="169">
        <v>9</v>
      </c>
      <c r="F411" s="35"/>
      <c r="G411" s="184"/>
      <c r="H411" s="186"/>
      <c r="I411" s="186"/>
      <c r="J411" s="186"/>
      <c r="K411" s="186"/>
      <c r="L411" s="186"/>
      <c r="M411" s="186"/>
      <c r="N411" s="186"/>
      <c r="O411" s="185"/>
      <c r="P411" s="107">
        <f>IF(A26stdlife="n/a","n/a",IF(P$3&gt;(A26stdlife+$E411),('PTRM input'!$O$168*(1+rvanilla09)^0.5)-SUM($O411:O411),('PTRM input'!$O$168*(1+rvanilla09)^0.5)/A26stdlife))</f>
        <v>0</v>
      </c>
      <c r="Q411" s="107">
        <f>IF(A26stdlife="n/a","n/a",IF(Q$3&gt;(A26stdlife+$E411),('PTRM input'!$O$168*(1+rvanilla09)^0.5)-SUM($O411:P411),('PTRM input'!$O$168*(1+rvanilla09)^0.5)/A26stdlife))</f>
        <v>0</v>
      </c>
      <c r="R411" s="107">
        <f>IF(A26stdlife="n/a","n/a",IF(R$3&gt;(A26stdlife+$E411),('PTRM input'!$O$168*(1+rvanilla09)^0.5)-SUM($O411:Q411),('PTRM input'!$O$168*(1+rvanilla09)^0.5)/A26stdlife))</f>
        <v>0</v>
      </c>
      <c r="S411" s="107">
        <f>IF(A26stdlife="n/a","n/a",IF(S$3&gt;(A26stdlife+$E411),('PTRM input'!$O$168*(1+rvanilla09)^0.5)-SUM($O411:R411),('PTRM input'!$O$168*(1+rvanilla09)^0.5)/A26stdlife))</f>
        <v>0</v>
      </c>
      <c r="T411" s="107">
        <f>IF(A26stdlife="n/a","n/a",IF(T$3&gt;(A26stdlife+$E411),('PTRM input'!$O$168*(1+rvanilla09)^0.5)-SUM($O411:S411),('PTRM input'!$O$168*(1+rvanilla09)^0.5)/A26stdlife))</f>
        <v>0</v>
      </c>
      <c r="U411" s="107">
        <f>IF(A26stdlife="n/a","n/a",IF(U$3&gt;(A26stdlife+$E411),('PTRM input'!$O$168*(1+rvanilla09)^0.5)-SUM($O411:T411),('PTRM input'!$O$168*(1+rvanilla09)^0.5)/A26stdlife))</f>
        <v>0</v>
      </c>
      <c r="V411" s="107">
        <f>IF(A26stdlife="n/a","n/a",IF(V$3&gt;(A26stdlife+$E411),('PTRM input'!$O$168*(1+rvanilla09)^0.5)-SUM($O411:U411),('PTRM input'!$O$168*(1+rvanilla09)^0.5)/A26stdlife))</f>
        <v>0</v>
      </c>
      <c r="W411" s="107">
        <f>IF(A26stdlife="n/a","n/a",IF(W$3&gt;(A26stdlife+$E411),('PTRM input'!$O$168*(1+rvanilla09)^0.5)-SUM($O411:V411),('PTRM input'!$O$168*(1+rvanilla09)^0.5)/A26stdlife))</f>
        <v>0</v>
      </c>
      <c r="X411" s="107">
        <f>IF(A26stdlife="n/a","n/a",IF(X$3&gt;(A26stdlife+$E411),('PTRM input'!$O$168*(1+rvanilla09)^0.5)-SUM($O411:W411),('PTRM input'!$O$168*(1+rvanilla09)^0.5)/A26stdlife))</f>
        <v>0</v>
      </c>
      <c r="Y411" s="107">
        <f>IF(A26stdlife="n/a","n/a",IF(Y$3&gt;(A26stdlife+$E411),('PTRM input'!$O$168*(1+rvanilla09)^0.5)-SUM($O411:X411),('PTRM input'!$O$168*(1+rvanilla09)^0.5)/A26stdlife))</f>
        <v>0</v>
      </c>
      <c r="Z411" s="107">
        <f>IF(A26stdlife="n/a","n/a",IF(Z$3&gt;(A26stdlife+$E411),('PTRM input'!$O$168*(1+rvanilla09)^0.5)-SUM($O411:Y411),('PTRM input'!$O$168*(1+rvanilla09)^0.5)/A26stdlife))</f>
        <v>0</v>
      </c>
      <c r="AA411" s="107">
        <f>IF(A26stdlife="n/a","n/a",IF(AA$3&gt;(A26stdlife+$E411),('PTRM input'!$O$168*(1+rvanilla09)^0.5)-SUM($O411:Z411),('PTRM input'!$O$168*(1+rvanilla09)^0.5)/A26stdlife))</f>
        <v>0</v>
      </c>
      <c r="AB411" s="107">
        <f>IF(A26stdlife="n/a","n/a",IF(AB$3&gt;(A26stdlife+$E411),('PTRM input'!$O$168*(1+rvanilla09)^0.5)-SUM($O411:AA411),('PTRM input'!$O$168*(1+rvanilla09)^0.5)/A26stdlife))</f>
        <v>0</v>
      </c>
      <c r="AC411" s="107">
        <f>IF(A26stdlife="n/a","n/a",IF(AC$3&gt;(A26stdlife+$E411),('PTRM input'!$O$168*(1+rvanilla09)^0.5)-SUM($O411:AB411),('PTRM input'!$O$168*(1+rvanilla09)^0.5)/A26stdlife))</f>
        <v>0</v>
      </c>
      <c r="AD411" s="107">
        <f>IF(A26stdlife="n/a","n/a",IF(AD$3&gt;(A26stdlife+$E411),('PTRM input'!$O$168*(1+rvanilla09)^0.5)-SUM($O411:AC411),('PTRM input'!$O$168*(1+rvanilla09)^0.5)/A26stdlife))</f>
        <v>0</v>
      </c>
      <c r="AE411" s="107">
        <f>IF(A26stdlife="n/a","n/a",IF(AE$3&gt;(A26stdlife+$E411),('PTRM input'!$O$168*(1+rvanilla09)^0.5)-SUM($O411:AD411),('PTRM input'!$O$168*(1+rvanilla09)^0.5)/A26stdlife))</f>
        <v>0</v>
      </c>
      <c r="AF411" s="107">
        <f>IF(A26stdlife="n/a","n/a",IF(AF$3&gt;(A26stdlife+$E411),('PTRM input'!$O$168*(1+rvanilla09)^0.5)-SUM($O411:AE411),('PTRM input'!$O$168*(1+rvanilla09)^0.5)/A26stdlife))</f>
        <v>0</v>
      </c>
      <c r="AG411" s="107">
        <f>IF(A26stdlife="n/a","n/a",IF(AG$3&gt;(A26stdlife+$E411),('PTRM input'!$O$168*(1+rvanilla09)^0.5)-SUM($O411:AF411),('PTRM input'!$O$168*(1+rvanilla09)^0.5)/A26stdlife))</f>
        <v>0</v>
      </c>
      <c r="AH411" s="107">
        <f>IF(A26stdlife="n/a","n/a",IF(AH$3&gt;(A26stdlife+$E411),('PTRM input'!$O$168*(1+rvanilla09)^0.5)-SUM($O411:AG411),('PTRM input'!$O$168*(1+rvanilla09)^0.5)/A26stdlife))</f>
        <v>0</v>
      </c>
      <c r="AI411" s="107">
        <f>IF(A26stdlife="n/a","n/a",IF(AI$3&gt;(A26stdlife+$E411),('PTRM input'!$O$168*(1+rvanilla09)^0.5)-SUM($O411:AH411),('PTRM input'!$O$168*(1+rvanilla09)^0.5)/A26stdlife))</f>
        <v>0</v>
      </c>
      <c r="AJ411" s="107">
        <f>IF(A26stdlife="n/a","n/a",IF(AJ$3&gt;(A26stdlife+$E411),('PTRM input'!$O$168*(1+rvanilla09)^0.5)-SUM($O411:AI411),('PTRM input'!$O$168*(1+rvanilla09)^0.5)/A26stdlife))</f>
        <v>0</v>
      </c>
      <c r="AK411" s="107">
        <f>IF(A26stdlife="n/a","n/a",IF(AK$3&gt;(A26stdlife+$E411),('PTRM input'!$O$168*(1+rvanilla09)^0.5)-SUM($O411:AJ411),('PTRM input'!$O$168*(1+rvanilla09)^0.5)/A26stdlife))</f>
        <v>0</v>
      </c>
      <c r="AL411" s="107">
        <f>IF(A26stdlife="n/a","n/a",IF(AL$3&gt;(A26stdlife+$E411),('PTRM input'!$O$168*(1+rvanilla09)^0.5)-SUM($O411:AK411),('PTRM input'!$O$168*(1+rvanilla09)^0.5)/A26stdlife))</f>
        <v>0</v>
      </c>
      <c r="AM411" s="107">
        <f>IF(A26stdlife="n/a","n/a",IF(AM$3&gt;(A26stdlife+$E411),('PTRM input'!$O$168*(1+rvanilla09)^0.5)-SUM($O411:AL411),('PTRM input'!$O$168*(1+rvanilla09)^0.5)/A26stdlife))</f>
        <v>0</v>
      </c>
      <c r="AN411" s="107">
        <f>IF(A26stdlife="n/a","n/a",IF(AN$3&gt;(A26stdlife+$E411),('PTRM input'!$O$168*(1+rvanilla09)^0.5)-SUM($O411:AM411),('PTRM input'!$O$168*(1+rvanilla09)^0.5)/A26stdlife))</f>
        <v>0</v>
      </c>
      <c r="AO411" s="107">
        <f>IF(A26stdlife="n/a","n/a",IF(AO$3&gt;(A26stdlife+$E411),('PTRM input'!$O$168*(1+rvanilla09)^0.5)-SUM($O411:AN411),('PTRM input'!$O$168*(1+rvanilla09)^0.5)/A26stdlife))</f>
        <v>0</v>
      </c>
      <c r="AP411" s="107">
        <f>IF(A26stdlife="n/a","n/a",IF(AP$3&gt;(A26stdlife+$E411),('PTRM input'!$O$168*(1+rvanilla09)^0.5)-SUM($O411:AO411),('PTRM input'!$O$168*(1+rvanilla09)^0.5)/A26stdlife))</f>
        <v>0</v>
      </c>
      <c r="AQ411" s="107">
        <f>IF(A26stdlife="n/a","n/a",IF(AQ$3&gt;(A26stdlife+$E411),('PTRM input'!$O$168*(1+rvanilla09)^0.5)-SUM($O411:AP411),('PTRM input'!$O$168*(1+rvanilla09)^0.5)/A26stdlife))</f>
        <v>0</v>
      </c>
      <c r="AR411" s="107">
        <f>IF(A26stdlife="n/a","n/a",IF(AR$3&gt;(A26stdlife+$E411),('PTRM input'!$O$168*(1+rvanilla09)^0.5)-SUM($O411:AQ411),('PTRM input'!$O$168*(1+rvanilla09)^0.5)/A26stdlife))</f>
        <v>0</v>
      </c>
      <c r="AS411" s="107">
        <f>IF(A26stdlife="n/a","n/a",IF(AS$3&gt;(A26stdlife+$E411),('PTRM input'!$O$168*(1+rvanilla09)^0.5)-SUM($O411:AR411),('PTRM input'!$O$168*(1+rvanilla09)^0.5)/A26stdlife))</f>
        <v>0</v>
      </c>
      <c r="AT411" s="107">
        <f>IF(A26stdlife="n/a","n/a",IF(AT$3&gt;(A26stdlife+$E411),('PTRM input'!$O$168*(1+rvanilla09)^0.5)-SUM($O411:AS411),('PTRM input'!$O$168*(1+rvanilla09)^0.5)/A26stdlife))</f>
        <v>0</v>
      </c>
      <c r="AU411" s="107">
        <f>IF(A26stdlife="n/a","n/a",IF(AU$3&gt;(A26stdlife+$E411),('PTRM input'!$O$168*(1+rvanilla09)^0.5)-SUM($O411:AT411),('PTRM input'!$O$168*(1+rvanilla09)^0.5)/A26stdlife))</f>
        <v>0</v>
      </c>
      <c r="AV411" s="107">
        <f>IF(A26stdlife="n/a","n/a",IF(AV$3&gt;(A26stdlife+$E411),('PTRM input'!$O$168*(1+rvanilla09)^0.5)-SUM($O411:AU411),('PTRM input'!$O$168*(1+rvanilla09)^0.5)/A26stdlife))</f>
        <v>0</v>
      </c>
      <c r="AW411" s="107">
        <f>IF(A26stdlife="n/a","n/a",IF(AW$3&gt;(A26stdlife+$E411),('PTRM input'!$O$168*(1+rvanilla09)^0.5)-SUM($O411:AV411),('PTRM input'!$O$168*(1+rvanilla09)^0.5)/A26stdlife))</f>
        <v>0</v>
      </c>
      <c r="AX411" s="107">
        <f>IF(A26stdlife="n/a","n/a",IF(AX$3&gt;(A26stdlife+$E411),('PTRM input'!$O$168*(1+rvanilla09)^0.5)-SUM($O411:AW411),('PTRM input'!$O$168*(1+rvanilla09)^0.5)/A26stdlife))</f>
        <v>0</v>
      </c>
      <c r="AY411" s="107">
        <f>IF(A26stdlife="n/a","n/a",IF(AY$3&gt;(A26stdlife+$E411),('PTRM input'!$O$168*(1+rvanilla09)^0.5)-SUM($O411:AX411),('PTRM input'!$O$168*(1+rvanilla09)^0.5)/A26stdlife))</f>
        <v>0</v>
      </c>
      <c r="AZ411" s="107">
        <f>IF(A26stdlife="n/a","n/a",IF(AZ$3&gt;(A26stdlife+$E411),('PTRM input'!$O$168*(1+rvanilla09)^0.5)-SUM($O411:AY411),('PTRM input'!$O$168*(1+rvanilla09)^0.5)/A26stdlife))</f>
        <v>0</v>
      </c>
      <c r="BA411" s="107">
        <f>IF(A26stdlife="n/a","n/a",IF(BA$3&gt;(A26stdlife+$E411),('PTRM input'!$O$168*(1+rvanilla09)^0.5)-SUM($O411:AZ411),('PTRM input'!$O$168*(1+rvanilla09)^0.5)/A26stdlife))</f>
        <v>0</v>
      </c>
      <c r="BB411" s="107">
        <f>IF(A26stdlife="n/a","n/a",IF(BB$3&gt;(A26stdlife+$E411),('PTRM input'!$O$168*(1+rvanilla09)^0.5)-SUM($O411:BA411),('PTRM input'!$O$168*(1+rvanilla09)^0.5)/A26stdlife))</f>
        <v>0</v>
      </c>
      <c r="BC411" s="107">
        <f>IF(A26stdlife="n/a","n/a",IF(BC$3&gt;(A26stdlife+$E411),('PTRM input'!$O$168*(1+rvanilla09)^0.5)-SUM($O411:BB411),('PTRM input'!$O$168*(1+rvanilla09)^0.5)/A26stdlife))</f>
        <v>0</v>
      </c>
      <c r="BD411" s="107">
        <f>IF(A26stdlife="n/a","n/a",IF(BD$3&gt;(A26stdlife+$E411),('PTRM input'!$O$168*(1+rvanilla09)^0.5)-SUM($O411:BC411),('PTRM input'!$O$168*(1+rvanilla09)^0.5)/A26stdlife))</f>
        <v>0</v>
      </c>
      <c r="BE411" s="107">
        <f>IF(A26stdlife="n/a","n/a",IF(BE$3&gt;(A26stdlife+$E411),('PTRM input'!$O$168*(1+rvanilla09)^0.5)-SUM($O411:BD411),('PTRM input'!$O$168*(1+rvanilla09)^0.5)/A26stdlife))</f>
        <v>0</v>
      </c>
      <c r="BF411" s="107">
        <f>IF(A26stdlife="n/a","n/a",IF(BF$3&gt;(A26stdlife+$E411),('PTRM input'!$O$168*(1+rvanilla09)^0.5)-SUM($O411:BE411),('PTRM input'!$O$168*(1+rvanilla09)^0.5)/A26stdlife))</f>
        <v>0</v>
      </c>
      <c r="BG411" s="107">
        <f>IF(A26stdlife="n/a","n/a",IF(BG$3&gt;(A26stdlife+$E411),('PTRM input'!$O$168*(1+rvanilla09)^0.5)-SUM($O411:BF411),('PTRM input'!$O$168*(1+rvanilla09)^0.5)/A26stdlife))</f>
        <v>0</v>
      </c>
      <c r="BH411" s="107">
        <f>IF(A26stdlife="n/a","n/a",IF(BH$3&gt;(A26stdlife+$E411),('PTRM input'!$O$168*(1+rvanilla09)^0.5)-SUM($O411:BG411),('PTRM input'!$O$168*(1+rvanilla09)^0.5)/A26stdlife))</f>
        <v>0</v>
      </c>
      <c r="BI411" s="107">
        <f>IF(A26stdlife="n/a","n/a",IF(BI$3&gt;(A26stdlife+$E411),('PTRM input'!$O$168*(1+rvanilla09)^0.5)-SUM($O411:BH411),('PTRM input'!$O$168*(1+rvanilla09)^0.5)/A26stdlife))</f>
        <v>0</v>
      </c>
      <c r="BJ411" s="237"/>
      <c r="BK411" s="237"/>
      <c r="BL411" s="237"/>
      <c r="BM411" s="237"/>
    </row>
    <row r="412" spans="1:65" s="190" customFormat="1" hidden="1" outlineLevel="2">
      <c r="A412" s="237"/>
      <c r="B412" s="33"/>
      <c r="C412" s="32"/>
      <c r="D412" s="1618"/>
      <c r="E412" s="170">
        <v>10</v>
      </c>
      <c r="F412" s="35"/>
      <c r="G412" s="184"/>
      <c r="H412" s="186"/>
      <c r="I412" s="186"/>
      <c r="J412" s="186"/>
      <c r="K412" s="186"/>
      <c r="L412" s="186"/>
      <c r="M412" s="186"/>
      <c r="N412" s="186"/>
      <c r="O412" s="186"/>
      <c r="P412" s="185"/>
      <c r="Q412" s="107">
        <f>IF(A26stdlife="n/a","n/a",IF(Q$3&gt;(A26stdlife+$E412),('PTRM input'!$P$168*(1+rvanilla10)^0.5)-SUM($P412:P412),('PTRM input'!$P$168*(1+rvanilla10)^0.5)/A26stdlife))</f>
        <v>0</v>
      </c>
      <c r="R412" s="107">
        <f>IF(A26stdlife="n/a","n/a",IF(R$3&gt;(A26stdlife+$E412),('PTRM input'!$P$168*(1+rvanilla10)^0.5)-SUM($P412:Q412),('PTRM input'!$P$168*(1+rvanilla10)^0.5)/A26stdlife))</f>
        <v>0</v>
      </c>
      <c r="S412" s="107">
        <f>IF(A26stdlife="n/a","n/a",IF(S$3&gt;(A26stdlife+$E412),('PTRM input'!$P$168*(1+rvanilla10)^0.5)-SUM($P412:R412),('PTRM input'!$P$168*(1+rvanilla10)^0.5)/A26stdlife))</f>
        <v>0</v>
      </c>
      <c r="T412" s="107">
        <f>IF(A26stdlife="n/a","n/a",IF(T$3&gt;(A26stdlife+$E412),('PTRM input'!$P$168*(1+rvanilla10)^0.5)-SUM($P412:S412),('PTRM input'!$P$168*(1+rvanilla10)^0.5)/A26stdlife))</f>
        <v>0</v>
      </c>
      <c r="U412" s="107">
        <f>IF(A26stdlife="n/a","n/a",IF(U$3&gt;(A26stdlife+$E412),('PTRM input'!$P$168*(1+rvanilla10)^0.5)-SUM($P412:T412),('PTRM input'!$P$168*(1+rvanilla10)^0.5)/A26stdlife))</f>
        <v>0</v>
      </c>
      <c r="V412" s="107">
        <f>IF(A26stdlife="n/a","n/a",IF(V$3&gt;(A26stdlife+$E412),('PTRM input'!$P$168*(1+rvanilla10)^0.5)-SUM($P412:U412),('PTRM input'!$P$168*(1+rvanilla10)^0.5)/A26stdlife))</f>
        <v>0</v>
      </c>
      <c r="W412" s="107">
        <f>IF(A26stdlife="n/a","n/a",IF(W$3&gt;(A26stdlife+$E412),('PTRM input'!$P$168*(1+rvanilla10)^0.5)-SUM($P412:V412),('PTRM input'!$P$168*(1+rvanilla10)^0.5)/A26stdlife))</f>
        <v>0</v>
      </c>
      <c r="X412" s="107">
        <f>IF(A26stdlife="n/a","n/a",IF(X$3&gt;(A26stdlife+$E412),('PTRM input'!$P$168*(1+rvanilla10)^0.5)-SUM($P412:W412),('PTRM input'!$P$168*(1+rvanilla10)^0.5)/A26stdlife))</f>
        <v>0</v>
      </c>
      <c r="Y412" s="107">
        <f>IF(A26stdlife="n/a","n/a",IF(Y$3&gt;(A26stdlife+$E412),('PTRM input'!$P$168*(1+rvanilla10)^0.5)-SUM($P412:X412),('PTRM input'!$P$168*(1+rvanilla10)^0.5)/A26stdlife))</f>
        <v>0</v>
      </c>
      <c r="Z412" s="107">
        <f>IF(A26stdlife="n/a","n/a",IF(Z$3&gt;(A26stdlife+$E412),('PTRM input'!$P$168*(1+rvanilla10)^0.5)-SUM($P412:Y412),('PTRM input'!$P$168*(1+rvanilla10)^0.5)/A26stdlife))</f>
        <v>0</v>
      </c>
      <c r="AA412" s="107">
        <f>IF(A26stdlife="n/a","n/a",IF(AA$3&gt;(A26stdlife+$E412),('PTRM input'!$P$168*(1+rvanilla10)^0.5)-SUM($P412:Z412),('PTRM input'!$P$168*(1+rvanilla10)^0.5)/A26stdlife))</f>
        <v>0</v>
      </c>
      <c r="AB412" s="107">
        <f>IF(A26stdlife="n/a","n/a",IF(AB$3&gt;(A26stdlife+$E412),('PTRM input'!$P$168*(1+rvanilla10)^0.5)-SUM($P412:AA412),('PTRM input'!$P$168*(1+rvanilla10)^0.5)/A26stdlife))</f>
        <v>0</v>
      </c>
      <c r="AC412" s="107">
        <f>IF(A26stdlife="n/a","n/a",IF(AC$3&gt;(A26stdlife+$E412),('PTRM input'!$P$168*(1+rvanilla10)^0.5)-SUM($P412:AB412),('PTRM input'!$P$168*(1+rvanilla10)^0.5)/A26stdlife))</f>
        <v>0</v>
      </c>
      <c r="AD412" s="107">
        <f>IF(A26stdlife="n/a","n/a",IF(AD$3&gt;(A26stdlife+$E412),('PTRM input'!$P$168*(1+rvanilla10)^0.5)-SUM($P412:AC412),('PTRM input'!$P$168*(1+rvanilla10)^0.5)/A26stdlife))</f>
        <v>0</v>
      </c>
      <c r="AE412" s="107">
        <f>IF(A26stdlife="n/a","n/a",IF(AE$3&gt;(A26stdlife+$E412),('PTRM input'!$P$168*(1+rvanilla10)^0.5)-SUM($P412:AD412),('PTRM input'!$P$168*(1+rvanilla10)^0.5)/A26stdlife))</f>
        <v>0</v>
      </c>
      <c r="AF412" s="107">
        <f>IF(A26stdlife="n/a","n/a",IF(AF$3&gt;(A26stdlife+$E412),('PTRM input'!$P$168*(1+rvanilla10)^0.5)-SUM($P412:AE412),('PTRM input'!$P$168*(1+rvanilla10)^0.5)/A26stdlife))</f>
        <v>0</v>
      </c>
      <c r="AG412" s="107">
        <f>IF(A26stdlife="n/a","n/a",IF(AG$3&gt;(A26stdlife+$E412),('PTRM input'!$P$168*(1+rvanilla10)^0.5)-SUM($P412:AF412),('PTRM input'!$P$168*(1+rvanilla10)^0.5)/A26stdlife))</f>
        <v>0</v>
      </c>
      <c r="AH412" s="107">
        <f>IF(A26stdlife="n/a","n/a",IF(AH$3&gt;(A26stdlife+$E412),('PTRM input'!$P$168*(1+rvanilla10)^0.5)-SUM($P412:AG412),('PTRM input'!$P$168*(1+rvanilla10)^0.5)/A26stdlife))</f>
        <v>0</v>
      </c>
      <c r="AI412" s="107">
        <f>IF(A26stdlife="n/a","n/a",IF(AI$3&gt;(A26stdlife+$E412),('PTRM input'!$P$168*(1+rvanilla10)^0.5)-SUM($P412:AH412),('PTRM input'!$P$168*(1+rvanilla10)^0.5)/A26stdlife))</f>
        <v>0</v>
      </c>
      <c r="AJ412" s="107">
        <f>IF(A26stdlife="n/a","n/a",IF(AJ$3&gt;(A26stdlife+$E412),('PTRM input'!$P$168*(1+rvanilla10)^0.5)-SUM($P412:AI412),('PTRM input'!$P$168*(1+rvanilla10)^0.5)/A26stdlife))</f>
        <v>0</v>
      </c>
      <c r="AK412" s="107">
        <f>IF(A26stdlife="n/a","n/a",IF(AK$3&gt;(A26stdlife+$E412),('PTRM input'!$P$168*(1+rvanilla10)^0.5)-SUM($P412:AJ412),('PTRM input'!$P$168*(1+rvanilla10)^0.5)/A26stdlife))</f>
        <v>0</v>
      </c>
      <c r="AL412" s="107">
        <f>IF(A26stdlife="n/a","n/a",IF(AL$3&gt;(A26stdlife+$E412),('PTRM input'!$P$168*(1+rvanilla10)^0.5)-SUM($P412:AK412),('PTRM input'!$P$168*(1+rvanilla10)^0.5)/A26stdlife))</f>
        <v>0</v>
      </c>
      <c r="AM412" s="107">
        <f>IF(A26stdlife="n/a","n/a",IF(AM$3&gt;(A26stdlife+$E412),('PTRM input'!$P$168*(1+rvanilla10)^0.5)-SUM($P412:AL412),('PTRM input'!$P$168*(1+rvanilla10)^0.5)/A26stdlife))</f>
        <v>0</v>
      </c>
      <c r="AN412" s="107">
        <f>IF(A26stdlife="n/a","n/a",IF(AN$3&gt;(A26stdlife+$E412),('PTRM input'!$P$168*(1+rvanilla10)^0.5)-SUM($P412:AM412),('PTRM input'!$P$168*(1+rvanilla10)^0.5)/A26stdlife))</f>
        <v>0</v>
      </c>
      <c r="AO412" s="107">
        <f>IF(A26stdlife="n/a","n/a",IF(AO$3&gt;(A26stdlife+$E412),('PTRM input'!$P$168*(1+rvanilla10)^0.5)-SUM($P412:AN412),('PTRM input'!$P$168*(1+rvanilla10)^0.5)/A26stdlife))</f>
        <v>0</v>
      </c>
      <c r="AP412" s="107">
        <f>IF(A26stdlife="n/a","n/a",IF(AP$3&gt;(A26stdlife+$E412),('PTRM input'!$P$168*(1+rvanilla10)^0.5)-SUM($P412:AO412),('PTRM input'!$P$168*(1+rvanilla10)^0.5)/A26stdlife))</f>
        <v>0</v>
      </c>
      <c r="AQ412" s="107">
        <f>IF(A26stdlife="n/a","n/a",IF(AQ$3&gt;(A26stdlife+$E412),('PTRM input'!$P$168*(1+rvanilla10)^0.5)-SUM($P412:AP412),('PTRM input'!$P$168*(1+rvanilla10)^0.5)/A26stdlife))</f>
        <v>0</v>
      </c>
      <c r="AR412" s="107">
        <f>IF(A26stdlife="n/a","n/a",IF(AR$3&gt;(A26stdlife+$E412),('PTRM input'!$P$168*(1+rvanilla10)^0.5)-SUM($P412:AQ412),('PTRM input'!$P$168*(1+rvanilla10)^0.5)/A26stdlife))</f>
        <v>0</v>
      </c>
      <c r="AS412" s="107">
        <f>IF(A26stdlife="n/a","n/a",IF(AS$3&gt;(A26stdlife+$E412),('PTRM input'!$P$168*(1+rvanilla10)^0.5)-SUM($P412:AR412),('PTRM input'!$P$168*(1+rvanilla10)^0.5)/A26stdlife))</f>
        <v>0</v>
      </c>
      <c r="AT412" s="107">
        <f>IF(A26stdlife="n/a","n/a",IF(AT$3&gt;(A26stdlife+$E412),('PTRM input'!$P$168*(1+rvanilla10)^0.5)-SUM($P412:AS412),('PTRM input'!$P$168*(1+rvanilla10)^0.5)/A26stdlife))</f>
        <v>0</v>
      </c>
      <c r="AU412" s="107">
        <f>IF(A26stdlife="n/a","n/a",IF(AU$3&gt;(A26stdlife+$E412),('PTRM input'!$P$168*(1+rvanilla10)^0.5)-SUM($P412:AT412),('PTRM input'!$P$168*(1+rvanilla10)^0.5)/A26stdlife))</f>
        <v>0</v>
      </c>
      <c r="AV412" s="107">
        <f>IF(A26stdlife="n/a","n/a",IF(AV$3&gt;(A26stdlife+$E412),('PTRM input'!$P$168*(1+rvanilla10)^0.5)-SUM($P412:AU412),('PTRM input'!$P$168*(1+rvanilla10)^0.5)/A26stdlife))</f>
        <v>0</v>
      </c>
      <c r="AW412" s="107">
        <f>IF(A26stdlife="n/a","n/a",IF(AW$3&gt;(A26stdlife+$E412),('PTRM input'!$P$168*(1+rvanilla10)^0.5)-SUM($P412:AV412),('PTRM input'!$P$168*(1+rvanilla10)^0.5)/A26stdlife))</f>
        <v>0</v>
      </c>
      <c r="AX412" s="107">
        <f>IF(A26stdlife="n/a","n/a",IF(AX$3&gt;(A26stdlife+$E412),('PTRM input'!$P$168*(1+rvanilla10)^0.5)-SUM($P412:AW412),('PTRM input'!$P$168*(1+rvanilla10)^0.5)/A26stdlife))</f>
        <v>0</v>
      </c>
      <c r="AY412" s="107">
        <f>IF(A26stdlife="n/a","n/a",IF(AY$3&gt;(A26stdlife+$E412),('PTRM input'!$P$168*(1+rvanilla10)^0.5)-SUM($P412:AX412),('PTRM input'!$P$168*(1+rvanilla10)^0.5)/A26stdlife))</f>
        <v>0</v>
      </c>
      <c r="AZ412" s="107">
        <f>IF(A26stdlife="n/a","n/a",IF(AZ$3&gt;(A26stdlife+$E412),('PTRM input'!$P$168*(1+rvanilla10)^0.5)-SUM($P412:AY412),('PTRM input'!$P$168*(1+rvanilla10)^0.5)/A26stdlife))</f>
        <v>0</v>
      </c>
      <c r="BA412" s="107">
        <f>IF(A26stdlife="n/a","n/a",IF(BA$3&gt;(A26stdlife+$E412),('PTRM input'!$P$168*(1+rvanilla10)^0.5)-SUM($P412:AZ412),('PTRM input'!$P$168*(1+rvanilla10)^0.5)/A26stdlife))</f>
        <v>0</v>
      </c>
      <c r="BB412" s="107">
        <f>IF(A26stdlife="n/a","n/a",IF(BB$3&gt;(A26stdlife+$E412),('PTRM input'!$P$168*(1+rvanilla10)^0.5)-SUM($P412:BA412),('PTRM input'!$P$168*(1+rvanilla10)^0.5)/A26stdlife))</f>
        <v>0</v>
      </c>
      <c r="BC412" s="107">
        <f>IF(A26stdlife="n/a","n/a",IF(BC$3&gt;(A26stdlife+$E412),('PTRM input'!$P$168*(1+rvanilla10)^0.5)-SUM($P412:BB412),('PTRM input'!$P$168*(1+rvanilla10)^0.5)/A26stdlife))</f>
        <v>0</v>
      </c>
      <c r="BD412" s="107">
        <f>IF(A26stdlife="n/a","n/a",IF(BD$3&gt;(A26stdlife+$E412),('PTRM input'!$P$168*(1+rvanilla10)^0.5)-SUM($P412:BC412),('PTRM input'!$P$168*(1+rvanilla10)^0.5)/A26stdlife))</f>
        <v>0</v>
      </c>
      <c r="BE412" s="107">
        <f>IF(A26stdlife="n/a","n/a",IF(BE$3&gt;(A26stdlife+$E412),('PTRM input'!$P$168*(1+rvanilla10)^0.5)-SUM($P412:BD412),('PTRM input'!$P$168*(1+rvanilla10)^0.5)/A26stdlife))</f>
        <v>0</v>
      </c>
      <c r="BF412" s="107">
        <f>IF(A26stdlife="n/a","n/a",IF(BF$3&gt;(A26stdlife+$E412),('PTRM input'!$P$168*(1+rvanilla10)^0.5)-SUM($P412:BE412),('PTRM input'!$P$168*(1+rvanilla10)^0.5)/A26stdlife))</f>
        <v>0</v>
      </c>
      <c r="BG412" s="107">
        <f>IF(A26stdlife="n/a","n/a",IF(BG$3&gt;(A26stdlife+$E412),('PTRM input'!$P$168*(1+rvanilla10)^0.5)-SUM($P412:BF412),('PTRM input'!$P$168*(1+rvanilla10)^0.5)/A26stdlife))</f>
        <v>0</v>
      </c>
      <c r="BH412" s="107">
        <f>IF(A26stdlife="n/a","n/a",IF(BH$3&gt;(A26stdlife+$E412),('PTRM input'!$P$168*(1+rvanilla10)^0.5)-SUM($P412:BG412),('PTRM input'!$P$168*(1+rvanilla10)^0.5)/A26stdlife))</f>
        <v>0</v>
      </c>
      <c r="BI412" s="107">
        <f>IF(A26stdlife="n/a","n/a",IF(BI$3&gt;(A26stdlife+$E412),('PTRM input'!$P$168*(1+rvanilla10)^0.5)-SUM($P412:BH412),('PTRM input'!$P$168*(1+rvanilla10)^0.5)/A26stdlife))</f>
        <v>0</v>
      </c>
      <c r="BJ412" s="237"/>
      <c r="BK412" s="237"/>
      <c r="BL412" s="237"/>
      <c r="BM412" s="237"/>
    </row>
    <row r="413" spans="1:65" s="190" customFormat="1" hidden="1" outlineLevel="1">
      <c r="A413" s="237"/>
      <c r="B413" s="18"/>
      <c r="C413" s="33">
        <f>Asset26</f>
        <v>0</v>
      </c>
      <c r="D413" s="18"/>
      <c r="E413" s="18"/>
      <c r="F413" s="31"/>
      <c r="G413" s="104">
        <f t="shared" ref="G413:AL413" si="87">SUM(G401:G412)</f>
        <v>0</v>
      </c>
      <c r="H413" s="104">
        <f t="shared" si="87"/>
        <v>0</v>
      </c>
      <c r="I413" s="104">
        <f t="shared" si="87"/>
        <v>0</v>
      </c>
      <c r="J413" s="104">
        <f t="shared" si="87"/>
        <v>0</v>
      </c>
      <c r="K413" s="104">
        <f t="shared" si="87"/>
        <v>0</v>
      </c>
      <c r="L413" s="104">
        <f t="shared" si="87"/>
        <v>0</v>
      </c>
      <c r="M413" s="104">
        <f t="shared" si="87"/>
        <v>0</v>
      </c>
      <c r="N413" s="104">
        <f t="shared" si="87"/>
        <v>0</v>
      </c>
      <c r="O413" s="104">
        <f t="shared" si="87"/>
        <v>0</v>
      </c>
      <c r="P413" s="104">
        <f t="shared" si="87"/>
        <v>0</v>
      </c>
      <c r="Q413" s="104">
        <f t="shared" si="87"/>
        <v>0</v>
      </c>
      <c r="R413" s="104">
        <f t="shared" si="87"/>
        <v>0</v>
      </c>
      <c r="S413" s="104">
        <f t="shared" si="87"/>
        <v>0</v>
      </c>
      <c r="T413" s="104">
        <f t="shared" si="87"/>
        <v>0</v>
      </c>
      <c r="U413" s="104">
        <f t="shared" si="87"/>
        <v>0</v>
      </c>
      <c r="V413" s="104">
        <f t="shared" si="87"/>
        <v>0</v>
      </c>
      <c r="W413" s="104">
        <f t="shared" si="87"/>
        <v>0</v>
      </c>
      <c r="X413" s="104">
        <f t="shared" si="87"/>
        <v>0</v>
      </c>
      <c r="Y413" s="104">
        <f t="shared" si="87"/>
        <v>0</v>
      </c>
      <c r="Z413" s="104">
        <f t="shared" si="87"/>
        <v>0</v>
      </c>
      <c r="AA413" s="104">
        <f t="shared" si="87"/>
        <v>0</v>
      </c>
      <c r="AB413" s="104">
        <f t="shared" si="87"/>
        <v>0</v>
      </c>
      <c r="AC413" s="104">
        <f t="shared" si="87"/>
        <v>0</v>
      </c>
      <c r="AD413" s="104">
        <f t="shared" si="87"/>
        <v>0</v>
      </c>
      <c r="AE413" s="104">
        <f t="shared" si="87"/>
        <v>0</v>
      </c>
      <c r="AF413" s="104">
        <f t="shared" si="87"/>
        <v>0</v>
      </c>
      <c r="AG413" s="104">
        <f t="shared" si="87"/>
        <v>0</v>
      </c>
      <c r="AH413" s="104">
        <f t="shared" si="87"/>
        <v>0</v>
      </c>
      <c r="AI413" s="104">
        <f t="shared" si="87"/>
        <v>0</v>
      </c>
      <c r="AJ413" s="104">
        <f t="shared" si="87"/>
        <v>0</v>
      </c>
      <c r="AK413" s="104">
        <f t="shared" si="87"/>
        <v>0</v>
      </c>
      <c r="AL413" s="104">
        <f t="shared" si="87"/>
        <v>0</v>
      </c>
      <c r="AM413" s="104">
        <f t="shared" ref="AM413:BI413" si="88">SUM(AM401:AM412)</f>
        <v>0</v>
      </c>
      <c r="AN413" s="104">
        <f t="shared" si="88"/>
        <v>0</v>
      </c>
      <c r="AO413" s="104">
        <f t="shared" si="88"/>
        <v>0</v>
      </c>
      <c r="AP413" s="104">
        <f t="shared" si="88"/>
        <v>0</v>
      </c>
      <c r="AQ413" s="104">
        <f t="shared" si="88"/>
        <v>0</v>
      </c>
      <c r="AR413" s="104">
        <f t="shared" si="88"/>
        <v>0</v>
      </c>
      <c r="AS413" s="104">
        <f t="shared" si="88"/>
        <v>0</v>
      </c>
      <c r="AT413" s="104">
        <f t="shared" si="88"/>
        <v>0</v>
      </c>
      <c r="AU413" s="104">
        <f t="shared" si="88"/>
        <v>0</v>
      </c>
      <c r="AV413" s="104">
        <f t="shared" si="88"/>
        <v>0</v>
      </c>
      <c r="AW413" s="104">
        <f t="shared" si="88"/>
        <v>0</v>
      </c>
      <c r="AX413" s="104">
        <f t="shared" si="88"/>
        <v>0</v>
      </c>
      <c r="AY413" s="104">
        <f t="shared" si="88"/>
        <v>0</v>
      </c>
      <c r="AZ413" s="104">
        <f t="shared" si="88"/>
        <v>0</v>
      </c>
      <c r="BA413" s="104">
        <f t="shared" si="88"/>
        <v>0</v>
      </c>
      <c r="BB413" s="104">
        <f t="shared" si="88"/>
        <v>0</v>
      </c>
      <c r="BC413" s="104">
        <f t="shared" si="88"/>
        <v>0</v>
      </c>
      <c r="BD413" s="104">
        <f t="shared" si="88"/>
        <v>0</v>
      </c>
      <c r="BE413" s="104">
        <f t="shared" si="88"/>
        <v>0</v>
      </c>
      <c r="BF413" s="104">
        <f t="shared" si="88"/>
        <v>0</v>
      </c>
      <c r="BG413" s="104">
        <f t="shared" si="88"/>
        <v>0</v>
      </c>
      <c r="BH413" s="104">
        <f t="shared" si="88"/>
        <v>0</v>
      </c>
      <c r="BI413" s="104">
        <f t="shared" si="88"/>
        <v>0</v>
      </c>
      <c r="BJ413" s="237"/>
      <c r="BK413" s="237"/>
      <c r="BL413" s="237"/>
      <c r="BM413" s="237"/>
    </row>
    <row r="414" spans="1:65" s="190" customFormat="1" ht="12.75" hidden="1" customHeight="1" outlineLevel="2">
      <c r="A414" s="237"/>
      <c r="B414" s="37">
        <f>C426</f>
        <v>0</v>
      </c>
      <c r="C414" s="38"/>
      <c r="D414" s="39" t="s">
        <v>58</v>
      </c>
      <c r="E414" s="38"/>
      <c r="F414" s="40"/>
      <c r="G414" s="106">
        <f>IF(G$3&gt;A27remlife,A27value-SUM($F414:F414),IF(A27remlife="N/A","n/a",A27value/A27remlife))</f>
        <v>0</v>
      </c>
      <c r="H414" s="106">
        <f>IF(H$3&gt;A27remlife,A27value-SUM($F414:G414),IF(A27remlife="N/A","n/a",A27value/A27remlife))</f>
        <v>0</v>
      </c>
      <c r="I414" s="106">
        <f>IF(I$3&gt;A27remlife,A27value-SUM($F414:H414),IF(A27remlife="N/A","n/a",A27value/A27remlife))</f>
        <v>0</v>
      </c>
      <c r="J414" s="106">
        <f>IF(J$3&gt;A27remlife,A27value-SUM($F414:I414),IF(A27remlife="N/A","n/a",A27value/A27remlife))</f>
        <v>0</v>
      </c>
      <c r="K414" s="106">
        <f>IF(K$3&gt;A27remlife,A27value-SUM($F414:J414),IF(A27remlife="N/A","n/a",A27value/A27remlife))</f>
        <v>0</v>
      </c>
      <c r="L414" s="106">
        <f>IF(L$3&gt;A27remlife,A27value-SUM($F414:K414),IF(A27remlife="N/A","n/a",A27value/A27remlife))</f>
        <v>0</v>
      </c>
      <c r="M414" s="106">
        <f>IF(M$3&gt;A27remlife,A27value-SUM($F414:L414),IF(A27remlife="N/A","n/a",A27value/A27remlife))</f>
        <v>0</v>
      </c>
      <c r="N414" s="106">
        <f>IF(N$3&gt;A27remlife,A27value-SUM($F414:M414),IF(A27remlife="N/A","n/a",A27value/A27remlife))</f>
        <v>0</v>
      </c>
      <c r="O414" s="106">
        <f>IF(O$3&gt;A27remlife,A27value-SUM($F414:N414),IF(A27remlife="N/A","n/a",A27value/A27remlife))</f>
        <v>0</v>
      </c>
      <c r="P414" s="106">
        <f>IF(P$3&gt;A27remlife,A27value-SUM($F414:O414),IF(A27remlife="N/A","n/a",A27value/A27remlife))</f>
        <v>0</v>
      </c>
      <c r="Q414" s="106">
        <f>IF(Q$3&gt;A27remlife,A27value-SUM($F414:P414),IF(A27remlife="N/A","n/a",A27value/A27remlife))</f>
        <v>0</v>
      </c>
      <c r="R414" s="106">
        <f>IF(R$3&gt;A27remlife,A27value-SUM($F414:Q414),IF(A27remlife="N/A","n/a",A27value/A27remlife))</f>
        <v>0</v>
      </c>
      <c r="S414" s="106">
        <f>IF(S$3&gt;A27remlife,A27value-SUM($F414:R414),IF(A27remlife="N/A","n/a",A27value/A27remlife))</f>
        <v>0</v>
      </c>
      <c r="T414" s="106">
        <f>IF(T$3&gt;A27remlife,A27value-SUM($F414:S414),IF(A27remlife="N/A","n/a",A27value/A27remlife))</f>
        <v>0</v>
      </c>
      <c r="U414" s="106">
        <f>IF(U$3&gt;A27remlife,A27value-SUM($F414:T414),IF(A27remlife="N/A","n/a",A27value/A27remlife))</f>
        <v>0</v>
      </c>
      <c r="V414" s="106">
        <f>IF(V$3&gt;A27remlife,A27value-SUM($F414:U414),IF(A27remlife="N/A","n/a",A27value/A27remlife))</f>
        <v>0</v>
      </c>
      <c r="W414" s="106">
        <f>IF(W$3&gt;A27remlife,A27value-SUM($F414:V414),IF(A27remlife="N/A","n/a",A27value/A27remlife))</f>
        <v>0</v>
      </c>
      <c r="X414" s="106">
        <f>IF(X$3&gt;A27remlife,A27value-SUM($F414:W414),IF(A27remlife="N/A","n/a",A27value/A27remlife))</f>
        <v>0</v>
      </c>
      <c r="Y414" s="106">
        <f>IF(Y$3&gt;A27remlife,A27value-SUM($F414:X414),IF(A27remlife="N/A","n/a",A27value/A27remlife))</f>
        <v>0</v>
      </c>
      <c r="Z414" s="106">
        <f>IF(Z$3&gt;A27remlife,A27value-SUM($F414:Y414),IF(A27remlife="N/A","n/a",A27value/A27remlife))</f>
        <v>0</v>
      </c>
      <c r="AA414" s="106">
        <f>IF(AA$3&gt;A27remlife,A27value-SUM($F414:Z414),IF(A27remlife="N/A","n/a",A27value/A27remlife))</f>
        <v>0</v>
      </c>
      <c r="AB414" s="106">
        <f>IF(AB$3&gt;A27remlife,A27value-SUM($F414:AA414),IF(A27remlife="N/A","n/a",A27value/A27remlife))</f>
        <v>0</v>
      </c>
      <c r="AC414" s="106">
        <f>IF(AC$3&gt;A27remlife,A27value-SUM($F414:AB414),IF(A27remlife="N/A","n/a",A27value/A27remlife))</f>
        <v>0</v>
      </c>
      <c r="AD414" s="106">
        <f>IF(AD$3&gt;A27remlife,A27value-SUM($F414:AC414),IF(A27remlife="N/A","n/a",A27value/A27remlife))</f>
        <v>0</v>
      </c>
      <c r="AE414" s="106">
        <f>IF(AE$3&gt;A27remlife,A27value-SUM($F414:AD414),IF(A27remlife="N/A","n/a",A27value/A27remlife))</f>
        <v>0</v>
      </c>
      <c r="AF414" s="106">
        <f>IF(AF$3&gt;A27remlife,A27value-SUM($F414:AE414),IF(A27remlife="N/A","n/a",A27value/A27remlife))</f>
        <v>0</v>
      </c>
      <c r="AG414" s="106">
        <f>IF(AG$3&gt;A27remlife,A27value-SUM($F414:AF414),IF(A27remlife="N/A","n/a",A27value/A27remlife))</f>
        <v>0</v>
      </c>
      <c r="AH414" s="106">
        <f>IF(AH$3&gt;A27remlife,A27value-SUM($F414:AG414),IF(A27remlife="N/A","n/a",A27value/A27remlife))</f>
        <v>0</v>
      </c>
      <c r="AI414" s="106">
        <f>IF(AI$3&gt;A27remlife,A27value-SUM($F414:AH414),IF(A27remlife="N/A","n/a",A27value/A27remlife))</f>
        <v>0</v>
      </c>
      <c r="AJ414" s="106">
        <f>IF(AJ$3&gt;A27remlife,A27value-SUM($F414:AI414),IF(A27remlife="N/A","n/a",A27value/A27remlife))</f>
        <v>0</v>
      </c>
      <c r="AK414" s="106">
        <f>IF(AK$3&gt;A27remlife,A27value-SUM($F414:AJ414),IF(A27remlife="N/A","n/a",A27value/A27remlife))</f>
        <v>0</v>
      </c>
      <c r="AL414" s="106">
        <f>IF(AL$3&gt;A27remlife,A27value-SUM($F414:AK414),IF(A27remlife="N/A","n/a",A27value/A27remlife))</f>
        <v>0</v>
      </c>
      <c r="AM414" s="106">
        <f>IF(AM$3&gt;A27remlife,A27value-SUM($F414:AL414),IF(A27remlife="N/A","n/a",A27value/A27remlife))</f>
        <v>0</v>
      </c>
      <c r="AN414" s="106">
        <f>IF(AN$3&gt;A27remlife,A27value-SUM($F414:AM414),IF(A27remlife="N/A","n/a",A27value/A27remlife))</f>
        <v>0</v>
      </c>
      <c r="AO414" s="106">
        <f>IF(AO$3&gt;A27remlife,A27value-SUM($F414:AN414),IF(A27remlife="N/A","n/a",A27value/A27remlife))</f>
        <v>0</v>
      </c>
      <c r="AP414" s="106">
        <f>IF(AP$3&gt;A27remlife,A27value-SUM($F414:AO414),IF(A27remlife="N/A","n/a",A27value/A27remlife))</f>
        <v>0</v>
      </c>
      <c r="AQ414" s="106">
        <f>IF(AQ$3&gt;A27remlife,A27value-SUM($F414:AP414),IF(A27remlife="N/A","n/a",A27value/A27remlife))</f>
        <v>0</v>
      </c>
      <c r="AR414" s="106">
        <f>IF(AR$3&gt;A27remlife,A27value-SUM($F414:AQ414),IF(A27remlife="N/A","n/a",A27value/A27remlife))</f>
        <v>0</v>
      </c>
      <c r="AS414" s="106">
        <f>IF(AS$3&gt;A27remlife,A27value-SUM($F414:AR414),IF(A27remlife="N/A","n/a",A27value/A27remlife))</f>
        <v>0</v>
      </c>
      <c r="AT414" s="106">
        <f>IF(AT$3&gt;A27remlife,A27value-SUM($F414:AS414),IF(A27remlife="N/A","n/a",A27value/A27remlife))</f>
        <v>0</v>
      </c>
      <c r="AU414" s="106">
        <f>IF(AU$3&gt;A27remlife,A27value-SUM($F414:AT414),IF(A27remlife="N/A","n/a",A27value/A27remlife))</f>
        <v>0</v>
      </c>
      <c r="AV414" s="106">
        <f>IF(AV$3&gt;A27remlife,A27value-SUM($F414:AU414),IF(A27remlife="N/A","n/a",A27value/A27remlife))</f>
        <v>0</v>
      </c>
      <c r="AW414" s="106">
        <f>IF(AW$3&gt;A27remlife,A27value-SUM($F414:AV414),IF(A27remlife="N/A","n/a",A27value/A27remlife))</f>
        <v>0</v>
      </c>
      <c r="AX414" s="106">
        <f>IF(AX$3&gt;A27remlife,A27value-SUM($F414:AW414),IF(A27remlife="N/A","n/a",A27value/A27remlife))</f>
        <v>0</v>
      </c>
      <c r="AY414" s="106">
        <f>IF(AY$3&gt;A27remlife,A27value-SUM($F414:AX414),IF(A27remlife="N/A","n/a",A27value/A27remlife))</f>
        <v>0</v>
      </c>
      <c r="AZ414" s="106">
        <f>IF(AZ$3&gt;A27remlife,A27value-SUM($F414:AY414),IF(A27remlife="N/A","n/a",A27value/A27remlife))</f>
        <v>0</v>
      </c>
      <c r="BA414" s="106">
        <f>IF(BA$3&gt;A27remlife,A27value-SUM($F414:AZ414),IF(A27remlife="N/A","n/a",A27value/A27remlife))</f>
        <v>0</v>
      </c>
      <c r="BB414" s="106">
        <f>IF(BB$3&gt;A27remlife,A27value-SUM($F414:BA414),IF(A27remlife="N/A","n/a",A27value/A27remlife))</f>
        <v>0</v>
      </c>
      <c r="BC414" s="106">
        <f>IF(BC$3&gt;A27remlife,A27value-SUM($F414:BB414),IF(A27remlife="N/A","n/a",A27value/A27remlife))</f>
        <v>0</v>
      </c>
      <c r="BD414" s="106">
        <f>IF(BD$3&gt;A27remlife,A27value-SUM($F414:BC414),IF(A27remlife="N/A","n/a",A27value/A27remlife))</f>
        <v>0</v>
      </c>
      <c r="BE414" s="106">
        <f>IF(BE$3&gt;A27remlife,A27value-SUM($F414:BD414),IF(A27remlife="N/A","n/a",A27value/A27remlife))</f>
        <v>0</v>
      </c>
      <c r="BF414" s="106">
        <f>IF(BF$3&gt;A27remlife,A27value-SUM($F414:BE414),IF(A27remlife="N/A","n/a",A27value/A27remlife))</f>
        <v>0</v>
      </c>
      <c r="BG414" s="106">
        <f>IF(BG$3&gt;A27remlife,A27value-SUM($F414:BF414),IF(A27remlife="N/A","n/a",A27value/A27remlife))</f>
        <v>0</v>
      </c>
      <c r="BH414" s="106">
        <f>IF(BH$3&gt;A27remlife,A27value-SUM($F414:BG414),IF(A27remlife="N/A","n/a",A27value/A27remlife))</f>
        <v>0</v>
      </c>
      <c r="BI414" s="106">
        <f>IF(BI$3&gt;A27remlife,A27value-SUM($F414:BH414),IF(A27remlife="N/A","n/a",A27value/A27remlife))</f>
        <v>0</v>
      </c>
      <c r="BJ414" s="237"/>
      <c r="BK414" s="237"/>
      <c r="BL414" s="237"/>
      <c r="BM414" s="237"/>
    </row>
    <row r="415" spans="1:65" s="190" customFormat="1" ht="12.75" hidden="1" customHeight="1" outlineLevel="2">
      <c r="A415" s="237"/>
      <c r="B415" s="33"/>
      <c r="C415" s="32"/>
      <c r="D415" s="1618" t="s">
        <v>357</v>
      </c>
      <c r="E415" s="169">
        <v>0</v>
      </c>
      <c r="F415" s="35"/>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c r="BJ415" s="237"/>
      <c r="BK415" s="237"/>
      <c r="BL415" s="237"/>
      <c r="BM415" s="237"/>
    </row>
    <row r="416" spans="1:65" s="190" customFormat="1" hidden="1" outlineLevel="2">
      <c r="A416" s="237"/>
      <c r="B416" s="33"/>
      <c r="C416" s="32"/>
      <c r="D416" s="1618"/>
      <c r="E416" s="169">
        <v>1</v>
      </c>
      <c r="F416" s="35"/>
      <c r="G416" s="183"/>
      <c r="H416" s="107">
        <f>IF(A27stdlife="n/a","n/a",IF(H$3&gt;(A27stdlife+$E416),('PTRM input'!$G$169*(1+rvanilla01)^0.5)-SUM($G416:G416),('PTRM input'!$G$169*(1+rvanilla01)^0.5)/A27stdlife))</f>
        <v>0</v>
      </c>
      <c r="I416" s="107">
        <f>IF(A27stdlife="n/a","n/a",IF(I$3&gt;(A27stdlife+$E416),('PTRM input'!$G$169*(1+rvanilla01)^0.5)-SUM($G416:H416),('PTRM input'!$G$169*(1+rvanilla01)^0.5)/A27stdlife))</f>
        <v>0</v>
      </c>
      <c r="J416" s="107">
        <f>IF(A27stdlife="n/a","n/a",IF(J$3&gt;(A27stdlife+$E416),('PTRM input'!$G$169*(1+rvanilla01)^0.5)-SUM($G416:I416),('PTRM input'!$G$169*(1+rvanilla01)^0.5)/A27stdlife))</f>
        <v>0</v>
      </c>
      <c r="K416" s="107">
        <f>IF(A27stdlife="n/a","n/a",IF(K$3&gt;(A27stdlife+$E416),('PTRM input'!$G$169*(1+rvanilla01)^0.5)-SUM($G416:J416),('PTRM input'!$G$169*(1+rvanilla01)^0.5)/A27stdlife))</f>
        <v>0</v>
      </c>
      <c r="L416" s="107">
        <f>IF(A27stdlife="n/a","n/a",IF(L$3&gt;(A27stdlife+$E416),('PTRM input'!$G$169*(1+rvanilla01)^0.5)-SUM($G416:K416),('PTRM input'!$G$169*(1+rvanilla01)^0.5)/A27stdlife))</f>
        <v>0</v>
      </c>
      <c r="M416" s="107">
        <f>IF(A27stdlife="n/a","n/a",IF(M$3&gt;(A27stdlife+$E416),('PTRM input'!$G$169*(1+rvanilla01)^0.5)-SUM($G416:L416),('PTRM input'!$G$169*(1+rvanilla01)^0.5)/A27stdlife))</f>
        <v>0</v>
      </c>
      <c r="N416" s="107">
        <f>IF(A27stdlife="n/a","n/a",IF(N$3&gt;(A27stdlife+$E416),('PTRM input'!$G$169*(1+rvanilla01)^0.5)-SUM($G416:M416),('PTRM input'!$G$169*(1+rvanilla01)^0.5)/A27stdlife))</f>
        <v>0</v>
      </c>
      <c r="O416" s="107">
        <f>IF(A27stdlife="n/a","n/a",IF(O$3&gt;(A27stdlife+$E416),('PTRM input'!$G$169*(1+rvanilla01)^0.5)-SUM($G416:N416),('PTRM input'!$G$169*(1+rvanilla01)^0.5)/A27stdlife))</f>
        <v>0</v>
      </c>
      <c r="P416" s="107">
        <f>IF(A27stdlife="n/a","n/a",IF(P$3&gt;(A27stdlife+$E416),('PTRM input'!$G$169*(1+rvanilla01)^0.5)-SUM($G416:O416),('PTRM input'!$G$169*(1+rvanilla01)^0.5)/A27stdlife))</f>
        <v>0</v>
      </c>
      <c r="Q416" s="107">
        <f>IF(A27stdlife="n/a","n/a",IF(Q$3&gt;(A27stdlife+$E416),('PTRM input'!$G$169*(1+rvanilla01)^0.5)-SUM($G416:P416),('PTRM input'!$G$169*(1+rvanilla01)^0.5)/A27stdlife))</f>
        <v>0</v>
      </c>
      <c r="R416" s="107">
        <f>IF(A27stdlife="n/a","n/a",IF(R$3&gt;(A27stdlife+$E416),('PTRM input'!$G$169*(1+rvanilla01)^0.5)-SUM($G416:Q416),('PTRM input'!$G$169*(1+rvanilla01)^0.5)/A27stdlife))</f>
        <v>0</v>
      </c>
      <c r="S416" s="107">
        <f>IF(A27stdlife="n/a","n/a",IF(S$3&gt;(A27stdlife+$E416),('PTRM input'!$G$169*(1+rvanilla01)^0.5)-SUM($G416:R416),('PTRM input'!$G$169*(1+rvanilla01)^0.5)/A27stdlife))</f>
        <v>0</v>
      </c>
      <c r="T416" s="107">
        <f>IF(A27stdlife="n/a","n/a",IF(T$3&gt;(A27stdlife+$E416),('PTRM input'!$G$169*(1+rvanilla01)^0.5)-SUM($G416:S416),('PTRM input'!$G$169*(1+rvanilla01)^0.5)/A27stdlife))</f>
        <v>0</v>
      </c>
      <c r="U416" s="107">
        <f>IF(A27stdlife="n/a","n/a",IF(U$3&gt;(A27stdlife+$E416),('PTRM input'!$G$169*(1+rvanilla01)^0.5)-SUM($G416:T416),('PTRM input'!$G$169*(1+rvanilla01)^0.5)/A27stdlife))</f>
        <v>0</v>
      </c>
      <c r="V416" s="107">
        <f>IF(A27stdlife="n/a","n/a",IF(V$3&gt;(A27stdlife+$E416),('PTRM input'!$G$169*(1+rvanilla01)^0.5)-SUM($G416:U416),('PTRM input'!$G$169*(1+rvanilla01)^0.5)/A27stdlife))</f>
        <v>0</v>
      </c>
      <c r="W416" s="107">
        <f>IF(A27stdlife="n/a","n/a",IF(W$3&gt;(A27stdlife+$E416),('PTRM input'!$G$169*(1+rvanilla01)^0.5)-SUM($G416:V416),('PTRM input'!$G$169*(1+rvanilla01)^0.5)/A27stdlife))</f>
        <v>0</v>
      </c>
      <c r="X416" s="107">
        <f>IF(A27stdlife="n/a","n/a",IF(X$3&gt;(A27stdlife+$E416),('PTRM input'!$G$169*(1+rvanilla01)^0.5)-SUM($G416:W416),('PTRM input'!$G$169*(1+rvanilla01)^0.5)/A27stdlife))</f>
        <v>0</v>
      </c>
      <c r="Y416" s="107">
        <f>IF(A27stdlife="n/a","n/a",IF(Y$3&gt;(A27stdlife+$E416),('PTRM input'!$G$169*(1+rvanilla01)^0.5)-SUM($G416:X416),('PTRM input'!$G$169*(1+rvanilla01)^0.5)/A27stdlife))</f>
        <v>0</v>
      </c>
      <c r="Z416" s="107">
        <f>IF(A27stdlife="n/a","n/a",IF(Z$3&gt;(A27stdlife+$E416),('PTRM input'!$G$169*(1+rvanilla01)^0.5)-SUM($G416:Y416),('PTRM input'!$G$169*(1+rvanilla01)^0.5)/A27stdlife))</f>
        <v>0</v>
      </c>
      <c r="AA416" s="107">
        <f>IF(A27stdlife="n/a","n/a",IF(AA$3&gt;(A27stdlife+$E416),('PTRM input'!$G$169*(1+rvanilla01)^0.5)-SUM($G416:Z416),('PTRM input'!$G$169*(1+rvanilla01)^0.5)/A27stdlife))</f>
        <v>0</v>
      </c>
      <c r="AB416" s="107">
        <f>IF(A27stdlife="n/a","n/a",IF(AB$3&gt;(A27stdlife+$E416),('PTRM input'!$G$169*(1+rvanilla01)^0.5)-SUM($G416:AA416),('PTRM input'!$G$169*(1+rvanilla01)^0.5)/A27stdlife))</f>
        <v>0</v>
      </c>
      <c r="AC416" s="107">
        <f>IF(A27stdlife="n/a","n/a",IF(AC$3&gt;(A27stdlife+$E416),('PTRM input'!$G$169*(1+rvanilla01)^0.5)-SUM($G416:AB416),('PTRM input'!$G$169*(1+rvanilla01)^0.5)/A27stdlife))</f>
        <v>0</v>
      </c>
      <c r="AD416" s="107">
        <f>IF(A27stdlife="n/a","n/a",IF(AD$3&gt;(A27stdlife+$E416),('PTRM input'!$G$169*(1+rvanilla01)^0.5)-SUM($G416:AC416),('PTRM input'!$G$169*(1+rvanilla01)^0.5)/A27stdlife))</f>
        <v>0</v>
      </c>
      <c r="AE416" s="107">
        <f>IF(A27stdlife="n/a","n/a",IF(AE$3&gt;(A27stdlife+$E416),('PTRM input'!$G$169*(1+rvanilla01)^0.5)-SUM($G416:AD416),('PTRM input'!$G$169*(1+rvanilla01)^0.5)/A27stdlife))</f>
        <v>0</v>
      </c>
      <c r="AF416" s="107">
        <f>IF(A27stdlife="n/a","n/a",IF(AF$3&gt;(A27stdlife+$E416),('PTRM input'!$G$169*(1+rvanilla01)^0.5)-SUM($G416:AE416),('PTRM input'!$G$169*(1+rvanilla01)^0.5)/A27stdlife))</f>
        <v>0</v>
      </c>
      <c r="AG416" s="107">
        <f>IF(A27stdlife="n/a","n/a",IF(AG$3&gt;(A27stdlife+$E416),('PTRM input'!$G$169*(1+rvanilla01)^0.5)-SUM($G416:AF416),('PTRM input'!$G$169*(1+rvanilla01)^0.5)/A27stdlife))</f>
        <v>0</v>
      </c>
      <c r="AH416" s="107">
        <f>IF(A27stdlife="n/a","n/a",IF(AH$3&gt;(A27stdlife+$E416),('PTRM input'!$G$169*(1+rvanilla01)^0.5)-SUM($G416:AG416),('PTRM input'!$G$169*(1+rvanilla01)^0.5)/A27stdlife))</f>
        <v>0</v>
      </c>
      <c r="AI416" s="107">
        <f>IF(A27stdlife="n/a","n/a",IF(AI$3&gt;(A27stdlife+$E416),('PTRM input'!$G$169*(1+rvanilla01)^0.5)-SUM($G416:AH416),('PTRM input'!$G$169*(1+rvanilla01)^0.5)/A27stdlife))</f>
        <v>0</v>
      </c>
      <c r="AJ416" s="107">
        <f>IF(A27stdlife="n/a","n/a",IF(AJ$3&gt;(A27stdlife+$E416),('PTRM input'!$G$169*(1+rvanilla01)^0.5)-SUM($G416:AI416),('PTRM input'!$G$169*(1+rvanilla01)^0.5)/A27stdlife))</f>
        <v>0</v>
      </c>
      <c r="AK416" s="107">
        <f>IF(A27stdlife="n/a","n/a",IF(AK$3&gt;(A27stdlife+$E416),('PTRM input'!$G$169*(1+rvanilla01)^0.5)-SUM($G416:AJ416),('PTRM input'!$G$169*(1+rvanilla01)^0.5)/A27stdlife))</f>
        <v>0</v>
      </c>
      <c r="AL416" s="107">
        <f>IF(A27stdlife="n/a","n/a",IF(AL$3&gt;(A27stdlife+$E416),('PTRM input'!$G$169*(1+rvanilla01)^0.5)-SUM($G416:AK416),('PTRM input'!$G$169*(1+rvanilla01)^0.5)/A27stdlife))</f>
        <v>0</v>
      </c>
      <c r="AM416" s="107">
        <f>IF(A27stdlife="n/a","n/a",IF(AM$3&gt;(A27stdlife+$E416),('PTRM input'!$G$169*(1+rvanilla01)^0.5)-SUM($G416:AL416),('PTRM input'!$G$169*(1+rvanilla01)^0.5)/A27stdlife))</f>
        <v>0</v>
      </c>
      <c r="AN416" s="107">
        <f>IF(A27stdlife="n/a","n/a",IF(AN$3&gt;(A27stdlife+$E416),('PTRM input'!$G$169*(1+rvanilla01)^0.5)-SUM($G416:AM416),('PTRM input'!$G$169*(1+rvanilla01)^0.5)/A27stdlife))</f>
        <v>0</v>
      </c>
      <c r="AO416" s="107">
        <f>IF(A27stdlife="n/a","n/a",IF(AO$3&gt;(A27stdlife+$E416),('PTRM input'!$G$169*(1+rvanilla01)^0.5)-SUM($G416:AN416),('PTRM input'!$G$169*(1+rvanilla01)^0.5)/A27stdlife))</f>
        <v>0</v>
      </c>
      <c r="AP416" s="107">
        <f>IF(A27stdlife="n/a","n/a",IF(AP$3&gt;(A27stdlife+$E416),('PTRM input'!$G$169*(1+rvanilla01)^0.5)-SUM($G416:AO416),('PTRM input'!$G$169*(1+rvanilla01)^0.5)/A27stdlife))</f>
        <v>0</v>
      </c>
      <c r="AQ416" s="107">
        <f>IF(A27stdlife="n/a","n/a",IF(AQ$3&gt;(A27stdlife+$E416),('PTRM input'!$G$169*(1+rvanilla01)^0.5)-SUM($G416:AP416),('PTRM input'!$G$169*(1+rvanilla01)^0.5)/A27stdlife))</f>
        <v>0</v>
      </c>
      <c r="AR416" s="107">
        <f>IF(A27stdlife="n/a","n/a",IF(AR$3&gt;(A27stdlife+$E416),('PTRM input'!$G$169*(1+rvanilla01)^0.5)-SUM($G416:AQ416),('PTRM input'!$G$169*(1+rvanilla01)^0.5)/A27stdlife))</f>
        <v>0</v>
      </c>
      <c r="AS416" s="107">
        <f>IF(A27stdlife="n/a","n/a",IF(AS$3&gt;(A27stdlife+$E416),('PTRM input'!$G$169*(1+rvanilla01)^0.5)-SUM($G416:AR416),('PTRM input'!$G$169*(1+rvanilla01)^0.5)/A27stdlife))</f>
        <v>0</v>
      </c>
      <c r="AT416" s="107">
        <f>IF(A27stdlife="n/a","n/a",IF(AT$3&gt;(A27stdlife+$E416),('PTRM input'!$G$169*(1+rvanilla01)^0.5)-SUM($G416:AS416),('PTRM input'!$G$169*(1+rvanilla01)^0.5)/A27stdlife))</f>
        <v>0</v>
      </c>
      <c r="AU416" s="107">
        <f>IF(A27stdlife="n/a","n/a",IF(AU$3&gt;(A27stdlife+$E416),('PTRM input'!$G$169*(1+rvanilla01)^0.5)-SUM($G416:AT416),('PTRM input'!$G$169*(1+rvanilla01)^0.5)/A27stdlife))</f>
        <v>0</v>
      </c>
      <c r="AV416" s="107">
        <f>IF(A27stdlife="n/a","n/a",IF(AV$3&gt;(A27stdlife+$E416),('PTRM input'!$G$169*(1+rvanilla01)^0.5)-SUM($G416:AU416),('PTRM input'!$G$169*(1+rvanilla01)^0.5)/A27stdlife))</f>
        <v>0</v>
      </c>
      <c r="AW416" s="107">
        <f>IF(A27stdlife="n/a","n/a",IF(AW$3&gt;(A27stdlife+$E416),('PTRM input'!$G$169*(1+rvanilla01)^0.5)-SUM($G416:AV416),('PTRM input'!$G$169*(1+rvanilla01)^0.5)/A27stdlife))</f>
        <v>0</v>
      </c>
      <c r="AX416" s="107">
        <f>IF(A27stdlife="n/a","n/a",IF(AX$3&gt;(A27stdlife+$E416),('PTRM input'!$G$169*(1+rvanilla01)^0.5)-SUM($G416:AW416),('PTRM input'!$G$169*(1+rvanilla01)^0.5)/A27stdlife))</f>
        <v>0</v>
      </c>
      <c r="AY416" s="107">
        <f>IF(A27stdlife="n/a","n/a",IF(AY$3&gt;(A27stdlife+$E416),('PTRM input'!$G$169*(1+rvanilla01)^0.5)-SUM($G416:AX416),('PTRM input'!$G$169*(1+rvanilla01)^0.5)/A27stdlife))</f>
        <v>0</v>
      </c>
      <c r="AZ416" s="107">
        <f>IF(A27stdlife="n/a","n/a",IF(AZ$3&gt;(A27stdlife+$E416),('PTRM input'!$G$169*(1+rvanilla01)^0.5)-SUM($G416:AY416),('PTRM input'!$G$169*(1+rvanilla01)^0.5)/A27stdlife))</f>
        <v>0</v>
      </c>
      <c r="BA416" s="107">
        <f>IF(A27stdlife="n/a","n/a",IF(BA$3&gt;(A27stdlife+$E416),('PTRM input'!$G$169*(1+rvanilla01)^0.5)-SUM($G416:AZ416),('PTRM input'!$G$169*(1+rvanilla01)^0.5)/A27stdlife))</f>
        <v>0</v>
      </c>
      <c r="BB416" s="107">
        <f>IF(A27stdlife="n/a","n/a",IF(BB$3&gt;(A27stdlife+$E416),('PTRM input'!$G$169*(1+rvanilla01)^0.5)-SUM($G416:BA416),('PTRM input'!$G$169*(1+rvanilla01)^0.5)/A27stdlife))</f>
        <v>0</v>
      </c>
      <c r="BC416" s="107">
        <f>IF(A27stdlife="n/a","n/a",IF(BC$3&gt;(A27stdlife+$E416),('PTRM input'!$G$169*(1+rvanilla01)^0.5)-SUM($G416:BB416),('PTRM input'!$G$169*(1+rvanilla01)^0.5)/A27stdlife))</f>
        <v>0</v>
      </c>
      <c r="BD416" s="107">
        <f>IF(A27stdlife="n/a","n/a",IF(BD$3&gt;(A27stdlife+$E416),('PTRM input'!$G$169*(1+rvanilla01)^0.5)-SUM($G416:BC416),('PTRM input'!$G$169*(1+rvanilla01)^0.5)/A27stdlife))</f>
        <v>0</v>
      </c>
      <c r="BE416" s="107">
        <f>IF(A27stdlife="n/a","n/a",IF(BE$3&gt;(A27stdlife+$E416),('PTRM input'!$G$169*(1+rvanilla01)^0.5)-SUM($G416:BD416),('PTRM input'!$G$169*(1+rvanilla01)^0.5)/A27stdlife))</f>
        <v>0</v>
      </c>
      <c r="BF416" s="107">
        <f>IF(A27stdlife="n/a","n/a",IF(BF$3&gt;(A27stdlife+$E416),('PTRM input'!$G$169*(1+rvanilla01)^0.5)-SUM($G416:BE416),('PTRM input'!$G$169*(1+rvanilla01)^0.5)/A27stdlife))</f>
        <v>0</v>
      </c>
      <c r="BG416" s="107">
        <f>IF(A27stdlife="n/a","n/a",IF(BG$3&gt;(A27stdlife+$E416),('PTRM input'!$G$169*(1+rvanilla01)^0.5)-SUM($G416:BF416),('PTRM input'!$G$169*(1+rvanilla01)^0.5)/A27stdlife))</f>
        <v>0</v>
      </c>
      <c r="BH416" s="107">
        <f>IF(A27stdlife="n/a","n/a",IF(BH$3&gt;(A27stdlife+$E416),('PTRM input'!$G$169*(1+rvanilla01)^0.5)-SUM($G416:BG416),('PTRM input'!$G$169*(1+rvanilla01)^0.5)/A27stdlife))</f>
        <v>0</v>
      </c>
      <c r="BI416" s="107">
        <f>IF(A27stdlife="n/a","n/a",IF(BI$3&gt;(A27stdlife+$E416),('PTRM input'!$G$169*(1+rvanilla01)^0.5)-SUM($G416:BH416),('PTRM input'!$G$169*(1+rvanilla01)^0.5)/A27stdlife))</f>
        <v>0</v>
      </c>
      <c r="BJ416" s="237"/>
      <c r="BK416" s="237"/>
      <c r="BL416" s="237"/>
      <c r="BM416" s="237"/>
    </row>
    <row r="417" spans="1:65" s="190" customFormat="1" hidden="1" outlineLevel="2">
      <c r="A417" s="237"/>
      <c r="B417" s="33"/>
      <c r="C417" s="32"/>
      <c r="D417" s="1618"/>
      <c r="E417" s="169">
        <v>2</v>
      </c>
      <c r="F417" s="35"/>
      <c r="G417" s="184"/>
      <c r="H417" s="185"/>
      <c r="I417" s="107">
        <f>IF(A27stdlife="n/a","n/a",IF(I$3&gt;(A27stdlife+$E417),('PTRM input'!$H$169*(1+rvanilla02)^0.5)-SUM($H417:H417),('PTRM input'!$H$169*(1+rvanilla02)^0.5)/A27stdlife))</f>
        <v>0</v>
      </c>
      <c r="J417" s="107">
        <f>IF(A27stdlife="n/a","n/a",IF(J$3&gt;(A27stdlife+$E417),('PTRM input'!$H$169*(1+rvanilla02)^0.5)-SUM($H417:I417),('PTRM input'!$H$169*(1+rvanilla02)^0.5)/A27stdlife))</f>
        <v>0</v>
      </c>
      <c r="K417" s="107">
        <f>IF(A27stdlife="n/a","n/a",IF(K$3&gt;(A27stdlife+$E417),('PTRM input'!$H$169*(1+rvanilla02)^0.5)-SUM($H417:J417),('PTRM input'!$H$169*(1+rvanilla02)^0.5)/A27stdlife))</f>
        <v>0</v>
      </c>
      <c r="L417" s="107">
        <f>IF(A27stdlife="n/a","n/a",IF(L$3&gt;(A27stdlife+$E417),('PTRM input'!$H$169*(1+rvanilla02)^0.5)-SUM($H417:K417),('PTRM input'!$H$169*(1+rvanilla02)^0.5)/A27stdlife))</f>
        <v>0</v>
      </c>
      <c r="M417" s="107">
        <f>IF(A27stdlife="n/a","n/a",IF(M$3&gt;(A27stdlife+$E417),('PTRM input'!$H$169*(1+rvanilla02)^0.5)-SUM($H417:L417),('PTRM input'!$H$169*(1+rvanilla02)^0.5)/A27stdlife))</f>
        <v>0</v>
      </c>
      <c r="N417" s="107">
        <f>IF(A27stdlife="n/a","n/a",IF(N$3&gt;(A27stdlife+$E417),('PTRM input'!$H$169*(1+rvanilla02)^0.5)-SUM($H417:M417),('PTRM input'!$H$169*(1+rvanilla02)^0.5)/A27stdlife))</f>
        <v>0</v>
      </c>
      <c r="O417" s="107">
        <f>IF(A27stdlife="n/a","n/a",IF(O$3&gt;(A27stdlife+$E417),('PTRM input'!$H$169*(1+rvanilla02)^0.5)-SUM($H417:N417),('PTRM input'!$H$169*(1+rvanilla02)^0.5)/A27stdlife))</f>
        <v>0</v>
      </c>
      <c r="P417" s="107">
        <f>IF(A27stdlife="n/a","n/a",IF(P$3&gt;(A27stdlife+$E417),('PTRM input'!$H$169*(1+rvanilla02)^0.5)-SUM($H417:O417),('PTRM input'!$H$169*(1+rvanilla02)^0.5)/A27stdlife))</f>
        <v>0</v>
      </c>
      <c r="Q417" s="107">
        <f>IF(A27stdlife="n/a","n/a",IF(Q$3&gt;(A27stdlife+$E417),('PTRM input'!$H$169*(1+rvanilla02)^0.5)-SUM($H417:P417),('PTRM input'!$H$169*(1+rvanilla02)^0.5)/A27stdlife))</f>
        <v>0</v>
      </c>
      <c r="R417" s="107">
        <f>IF(A27stdlife="n/a","n/a",IF(R$3&gt;(A27stdlife+$E417),('PTRM input'!$H$169*(1+rvanilla02)^0.5)-SUM($H417:Q417),('PTRM input'!$H$169*(1+rvanilla02)^0.5)/A27stdlife))</f>
        <v>0</v>
      </c>
      <c r="S417" s="107">
        <f>IF(A27stdlife="n/a","n/a",IF(S$3&gt;(A27stdlife+$E417),('PTRM input'!$H$169*(1+rvanilla02)^0.5)-SUM($H417:R417),('PTRM input'!$H$169*(1+rvanilla02)^0.5)/A27stdlife))</f>
        <v>0</v>
      </c>
      <c r="T417" s="107">
        <f>IF(A27stdlife="n/a","n/a",IF(T$3&gt;(A27stdlife+$E417),('PTRM input'!$H$169*(1+rvanilla02)^0.5)-SUM($H417:S417),('PTRM input'!$H$169*(1+rvanilla02)^0.5)/A27stdlife))</f>
        <v>0</v>
      </c>
      <c r="U417" s="107">
        <f>IF(A27stdlife="n/a","n/a",IF(U$3&gt;(A27stdlife+$E417),('PTRM input'!$H$169*(1+rvanilla02)^0.5)-SUM($H417:T417),('PTRM input'!$H$169*(1+rvanilla02)^0.5)/A27stdlife))</f>
        <v>0</v>
      </c>
      <c r="V417" s="107">
        <f>IF(A27stdlife="n/a","n/a",IF(V$3&gt;(A27stdlife+$E417),('PTRM input'!$H$169*(1+rvanilla02)^0.5)-SUM($H417:U417),('PTRM input'!$H$169*(1+rvanilla02)^0.5)/A27stdlife))</f>
        <v>0</v>
      </c>
      <c r="W417" s="107">
        <f>IF(A27stdlife="n/a","n/a",IF(W$3&gt;(A27stdlife+$E417),('PTRM input'!$H$169*(1+rvanilla02)^0.5)-SUM($H417:V417),('PTRM input'!$H$169*(1+rvanilla02)^0.5)/A27stdlife))</f>
        <v>0</v>
      </c>
      <c r="X417" s="107">
        <f>IF(A27stdlife="n/a","n/a",IF(X$3&gt;(A27stdlife+$E417),('PTRM input'!$H$169*(1+rvanilla02)^0.5)-SUM($H417:W417),('PTRM input'!$H$169*(1+rvanilla02)^0.5)/A27stdlife))</f>
        <v>0</v>
      </c>
      <c r="Y417" s="107">
        <f>IF(A27stdlife="n/a","n/a",IF(Y$3&gt;(A27stdlife+$E417),('PTRM input'!$H$169*(1+rvanilla02)^0.5)-SUM($H417:X417),('PTRM input'!$H$169*(1+rvanilla02)^0.5)/A27stdlife))</f>
        <v>0</v>
      </c>
      <c r="Z417" s="107">
        <f>IF(A27stdlife="n/a","n/a",IF(Z$3&gt;(A27stdlife+$E417),('PTRM input'!$H$169*(1+rvanilla02)^0.5)-SUM($H417:Y417),('PTRM input'!$H$169*(1+rvanilla02)^0.5)/A27stdlife))</f>
        <v>0</v>
      </c>
      <c r="AA417" s="107">
        <f>IF(A27stdlife="n/a","n/a",IF(AA$3&gt;(A27stdlife+$E417),('PTRM input'!$H$169*(1+rvanilla02)^0.5)-SUM($H417:Z417),('PTRM input'!$H$169*(1+rvanilla02)^0.5)/A27stdlife))</f>
        <v>0</v>
      </c>
      <c r="AB417" s="107">
        <f>IF(A27stdlife="n/a","n/a",IF(AB$3&gt;(A27stdlife+$E417),('PTRM input'!$H$169*(1+rvanilla02)^0.5)-SUM($H417:AA417),('PTRM input'!$H$169*(1+rvanilla02)^0.5)/A27stdlife))</f>
        <v>0</v>
      </c>
      <c r="AC417" s="107">
        <f>IF(A27stdlife="n/a","n/a",IF(AC$3&gt;(A27stdlife+$E417),('PTRM input'!$H$169*(1+rvanilla02)^0.5)-SUM($H417:AB417),('PTRM input'!$H$169*(1+rvanilla02)^0.5)/A27stdlife))</f>
        <v>0</v>
      </c>
      <c r="AD417" s="107">
        <f>IF(A27stdlife="n/a","n/a",IF(AD$3&gt;(A27stdlife+$E417),('PTRM input'!$H$169*(1+rvanilla02)^0.5)-SUM($H417:AC417),('PTRM input'!$H$169*(1+rvanilla02)^0.5)/A27stdlife))</f>
        <v>0</v>
      </c>
      <c r="AE417" s="107">
        <f>IF(A27stdlife="n/a","n/a",IF(AE$3&gt;(A27stdlife+$E417),('PTRM input'!$H$169*(1+rvanilla02)^0.5)-SUM($H417:AD417),('PTRM input'!$H$169*(1+rvanilla02)^0.5)/A27stdlife))</f>
        <v>0</v>
      </c>
      <c r="AF417" s="107">
        <f>IF(A27stdlife="n/a","n/a",IF(AF$3&gt;(A27stdlife+$E417),('PTRM input'!$H$169*(1+rvanilla02)^0.5)-SUM($H417:AE417),('PTRM input'!$H$169*(1+rvanilla02)^0.5)/A27stdlife))</f>
        <v>0</v>
      </c>
      <c r="AG417" s="107">
        <f>IF(A27stdlife="n/a","n/a",IF(AG$3&gt;(A27stdlife+$E417),('PTRM input'!$H$169*(1+rvanilla02)^0.5)-SUM($H417:AF417),('PTRM input'!$H$169*(1+rvanilla02)^0.5)/A27stdlife))</f>
        <v>0</v>
      </c>
      <c r="AH417" s="107">
        <f>IF(A27stdlife="n/a","n/a",IF(AH$3&gt;(A27stdlife+$E417),('PTRM input'!$H$169*(1+rvanilla02)^0.5)-SUM($H417:AG417),('PTRM input'!$H$169*(1+rvanilla02)^0.5)/A27stdlife))</f>
        <v>0</v>
      </c>
      <c r="AI417" s="107">
        <f>IF(A27stdlife="n/a","n/a",IF(AI$3&gt;(A27stdlife+$E417),('PTRM input'!$H$169*(1+rvanilla02)^0.5)-SUM($H417:AH417),('PTRM input'!$H$169*(1+rvanilla02)^0.5)/A27stdlife))</f>
        <v>0</v>
      </c>
      <c r="AJ417" s="107">
        <f>IF(A27stdlife="n/a","n/a",IF(AJ$3&gt;(A27stdlife+$E417),('PTRM input'!$H$169*(1+rvanilla02)^0.5)-SUM($H417:AI417),('PTRM input'!$H$169*(1+rvanilla02)^0.5)/A27stdlife))</f>
        <v>0</v>
      </c>
      <c r="AK417" s="107">
        <f>IF(A27stdlife="n/a","n/a",IF(AK$3&gt;(A27stdlife+$E417),('PTRM input'!$H$169*(1+rvanilla02)^0.5)-SUM($H417:AJ417),('PTRM input'!$H$169*(1+rvanilla02)^0.5)/A27stdlife))</f>
        <v>0</v>
      </c>
      <c r="AL417" s="107">
        <f>IF(A27stdlife="n/a","n/a",IF(AL$3&gt;(A27stdlife+$E417),('PTRM input'!$H$169*(1+rvanilla02)^0.5)-SUM($H417:AK417),('PTRM input'!$H$169*(1+rvanilla02)^0.5)/A27stdlife))</f>
        <v>0</v>
      </c>
      <c r="AM417" s="107">
        <f>IF(A27stdlife="n/a","n/a",IF(AM$3&gt;(A27stdlife+$E417),('PTRM input'!$H$169*(1+rvanilla02)^0.5)-SUM($H417:AL417),('PTRM input'!$H$169*(1+rvanilla02)^0.5)/A27stdlife))</f>
        <v>0</v>
      </c>
      <c r="AN417" s="107">
        <f>IF(A27stdlife="n/a","n/a",IF(AN$3&gt;(A27stdlife+$E417),('PTRM input'!$H$169*(1+rvanilla02)^0.5)-SUM($H417:AM417),('PTRM input'!$H$169*(1+rvanilla02)^0.5)/A27stdlife))</f>
        <v>0</v>
      </c>
      <c r="AO417" s="107">
        <f>IF(A27stdlife="n/a","n/a",IF(AO$3&gt;(A27stdlife+$E417),('PTRM input'!$H$169*(1+rvanilla02)^0.5)-SUM($H417:AN417),('PTRM input'!$H$169*(1+rvanilla02)^0.5)/A27stdlife))</f>
        <v>0</v>
      </c>
      <c r="AP417" s="107">
        <f>IF(A27stdlife="n/a","n/a",IF(AP$3&gt;(A27stdlife+$E417),('PTRM input'!$H$169*(1+rvanilla02)^0.5)-SUM($H417:AO417),('PTRM input'!$H$169*(1+rvanilla02)^0.5)/A27stdlife))</f>
        <v>0</v>
      </c>
      <c r="AQ417" s="107">
        <f>IF(A27stdlife="n/a","n/a",IF(AQ$3&gt;(A27stdlife+$E417),('PTRM input'!$H$169*(1+rvanilla02)^0.5)-SUM($H417:AP417),('PTRM input'!$H$169*(1+rvanilla02)^0.5)/A27stdlife))</f>
        <v>0</v>
      </c>
      <c r="AR417" s="107">
        <f>IF(A27stdlife="n/a","n/a",IF(AR$3&gt;(A27stdlife+$E417),('PTRM input'!$H$169*(1+rvanilla02)^0.5)-SUM($H417:AQ417),('PTRM input'!$H$169*(1+rvanilla02)^0.5)/A27stdlife))</f>
        <v>0</v>
      </c>
      <c r="AS417" s="107">
        <f>IF(A27stdlife="n/a","n/a",IF(AS$3&gt;(A27stdlife+$E417),('PTRM input'!$H$169*(1+rvanilla02)^0.5)-SUM($H417:AR417),('PTRM input'!$H$169*(1+rvanilla02)^0.5)/A27stdlife))</f>
        <v>0</v>
      </c>
      <c r="AT417" s="107">
        <f>IF(A27stdlife="n/a","n/a",IF(AT$3&gt;(A27stdlife+$E417),('PTRM input'!$H$169*(1+rvanilla02)^0.5)-SUM($H417:AS417),('PTRM input'!$H$169*(1+rvanilla02)^0.5)/A27stdlife))</f>
        <v>0</v>
      </c>
      <c r="AU417" s="107">
        <f>IF(A27stdlife="n/a","n/a",IF(AU$3&gt;(A27stdlife+$E417),('PTRM input'!$H$169*(1+rvanilla02)^0.5)-SUM($H417:AT417),('PTRM input'!$H$169*(1+rvanilla02)^0.5)/A27stdlife))</f>
        <v>0</v>
      </c>
      <c r="AV417" s="107">
        <f>IF(A27stdlife="n/a","n/a",IF(AV$3&gt;(A27stdlife+$E417),('PTRM input'!$H$169*(1+rvanilla02)^0.5)-SUM($H417:AU417),('PTRM input'!$H$169*(1+rvanilla02)^0.5)/A27stdlife))</f>
        <v>0</v>
      </c>
      <c r="AW417" s="107">
        <f>IF(A27stdlife="n/a","n/a",IF(AW$3&gt;(A27stdlife+$E417),('PTRM input'!$H$169*(1+rvanilla02)^0.5)-SUM($H417:AV417),('PTRM input'!$H$169*(1+rvanilla02)^0.5)/A27stdlife))</f>
        <v>0</v>
      </c>
      <c r="AX417" s="107">
        <f>IF(A27stdlife="n/a","n/a",IF(AX$3&gt;(A27stdlife+$E417),('PTRM input'!$H$169*(1+rvanilla02)^0.5)-SUM($H417:AW417),('PTRM input'!$H$169*(1+rvanilla02)^0.5)/A27stdlife))</f>
        <v>0</v>
      </c>
      <c r="AY417" s="107">
        <f>IF(A27stdlife="n/a","n/a",IF(AY$3&gt;(A27stdlife+$E417),('PTRM input'!$H$169*(1+rvanilla02)^0.5)-SUM($H417:AX417),('PTRM input'!$H$169*(1+rvanilla02)^0.5)/A27stdlife))</f>
        <v>0</v>
      </c>
      <c r="AZ417" s="107">
        <f>IF(A27stdlife="n/a","n/a",IF(AZ$3&gt;(A27stdlife+$E417),('PTRM input'!$H$169*(1+rvanilla02)^0.5)-SUM($H417:AY417),('PTRM input'!$H$169*(1+rvanilla02)^0.5)/A27stdlife))</f>
        <v>0</v>
      </c>
      <c r="BA417" s="107">
        <f>IF(A27stdlife="n/a","n/a",IF(BA$3&gt;(A27stdlife+$E417),('PTRM input'!$H$169*(1+rvanilla02)^0.5)-SUM($H417:AZ417),('PTRM input'!$H$169*(1+rvanilla02)^0.5)/A27stdlife))</f>
        <v>0</v>
      </c>
      <c r="BB417" s="107">
        <f>IF(A27stdlife="n/a","n/a",IF(BB$3&gt;(A27stdlife+$E417),('PTRM input'!$H$169*(1+rvanilla02)^0.5)-SUM($H417:BA417),('PTRM input'!$H$169*(1+rvanilla02)^0.5)/A27stdlife))</f>
        <v>0</v>
      </c>
      <c r="BC417" s="107">
        <f>IF(A27stdlife="n/a","n/a",IF(BC$3&gt;(A27stdlife+$E417),('PTRM input'!$H$169*(1+rvanilla02)^0.5)-SUM($H417:BB417),('PTRM input'!$H$169*(1+rvanilla02)^0.5)/A27stdlife))</f>
        <v>0</v>
      </c>
      <c r="BD417" s="107">
        <f>IF(A27stdlife="n/a","n/a",IF(BD$3&gt;(A27stdlife+$E417),('PTRM input'!$H$169*(1+rvanilla02)^0.5)-SUM($H417:BC417),('PTRM input'!$H$169*(1+rvanilla02)^0.5)/A27stdlife))</f>
        <v>0</v>
      </c>
      <c r="BE417" s="107">
        <f>IF(A27stdlife="n/a","n/a",IF(BE$3&gt;(A27stdlife+$E417),('PTRM input'!$H$169*(1+rvanilla02)^0.5)-SUM($H417:BD417),('PTRM input'!$H$169*(1+rvanilla02)^0.5)/A27stdlife))</f>
        <v>0</v>
      </c>
      <c r="BF417" s="107">
        <f>IF(A27stdlife="n/a","n/a",IF(BF$3&gt;(A27stdlife+$E417),('PTRM input'!$H$169*(1+rvanilla02)^0.5)-SUM($H417:BE417),('PTRM input'!$H$169*(1+rvanilla02)^0.5)/A27stdlife))</f>
        <v>0</v>
      </c>
      <c r="BG417" s="107">
        <f>IF(A27stdlife="n/a","n/a",IF(BG$3&gt;(A27stdlife+$E417),('PTRM input'!$H$169*(1+rvanilla02)^0.5)-SUM($H417:BF417),('PTRM input'!$H$169*(1+rvanilla02)^0.5)/A27stdlife))</f>
        <v>0</v>
      </c>
      <c r="BH417" s="107">
        <f>IF(A27stdlife="n/a","n/a",IF(BH$3&gt;(A27stdlife+$E417),('PTRM input'!$H$169*(1+rvanilla02)^0.5)-SUM($H417:BG417),('PTRM input'!$H$169*(1+rvanilla02)^0.5)/A27stdlife))</f>
        <v>0</v>
      </c>
      <c r="BI417" s="107">
        <f>IF(A27stdlife="n/a","n/a",IF(BI$3&gt;(A27stdlife+$E417),('PTRM input'!$H$169*(1+rvanilla02)^0.5)-SUM($H417:BH417),('PTRM input'!$H$169*(1+rvanilla02)^0.5)/A27stdlife))</f>
        <v>0</v>
      </c>
      <c r="BJ417" s="237"/>
      <c r="BK417" s="237"/>
      <c r="BL417" s="237"/>
      <c r="BM417" s="237"/>
    </row>
    <row r="418" spans="1:65" s="190" customFormat="1" hidden="1" outlineLevel="2">
      <c r="A418" s="237"/>
      <c r="B418" s="33"/>
      <c r="C418" s="32"/>
      <c r="D418" s="1618"/>
      <c r="E418" s="169">
        <v>3</v>
      </c>
      <c r="F418" s="35"/>
      <c r="G418" s="184"/>
      <c r="H418" s="186"/>
      <c r="I418" s="185"/>
      <c r="J418" s="107">
        <f>IF(A27stdlife="n/a","n/a",IF(J$3&gt;(A27stdlife+$E418),('PTRM input'!$I$169*(1+rvanilla03)^0.5)-SUM($I418:I418),('PTRM input'!$I$169*(1+rvanilla03)^0.5)/A27stdlife))</f>
        <v>0</v>
      </c>
      <c r="K418" s="107">
        <f>IF(A27stdlife="n/a","n/a",IF(K$3&gt;(A27stdlife+$E418),('PTRM input'!$I$169*(1+rvanilla03)^0.5)-SUM($I418:J418),('PTRM input'!$I$169*(1+rvanilla03)^0.5)/A27stdlife))</f>
        <v>0</v>
      </c>
      <c r="L418" s="107">
        <f>IF(A27stdlife="n/a","n/a",IF(L$3&gt;(A27stdlife+$E418),('PTRM input'!$I$169*(1+rvanilla03)^0.5)-SUM($I418:K418),('PTRM input'!$I$169*(1+rvanilla03)^0.5)/A27stdlife))</f>
        <v>0</v>
      </c>
      <c r="M418" s="107">
        <f>IF(A27stdlife="n/a","n/a",IF(M$3&gt;(A27stdlife+$E418),('PTRM input'!$I$169*(1+rvanilla03)^0.5)-SUM($I418:L418),('PTRM input'!$I$169*(1+rvanilla03)^0.5)/A27stdlife))</f>
        <v>0</v>
      </c>
      <c r="N418" s="107">
        <f>IF(A27stdlife="n/a","n/a",IF(N$3&gt;(A27stdlife+$E418),('PTRM input'!$I$169*(1+rvanilla03)^0.5)-SUM($I418:M418),('PTRM input'!$I$169*(1+rvanilla03)^0.5)/A27stdlife))</f>
        <v>0</v>
      </c>
      <c r="O418" s="107">
        <f>IF(A27stdlife="n/a","n/a",IF(O$3&gt;(A27stdlife+$E418),('PTRM input'!$I$169*(1+rvanilla03)^0.5)-SUM($I418:N418),('PTRM input'!$I$169*(1+rvanilla03)^0.5)/A27stdlife))</f>
        <v>0</v>
      </c>
      <c r="P418" s="107">
        <f>IF(A27stdlife="n/a","n/a",IF(P$3&gt;(A27stdlife+$E418),('PTRM input'!$I$169*(1+rvanilla03)^0.5)-SUM($I418:O418),('PTRM input'!$I$169*(1+rvanilla03)^0.5)/A27stdlife))</f>
        <v>0</v>
      </c>
      <c r="Q418" s="107">
        <f>IF(A27stdlife="n/a","n/a",IF(Q$3&gt;(A27stdlife+$E418),('PTRM input'!$I$169*(1+rvanilla03)^0.5)-SUM($I418:P418),('PTRM input'!$I$169*(1+rvanilla03)^0.5)/A27stdlife))</f>
        <v>0</v>
      </c>
      <c r="R418" s="107">
        <f>IF(A27stdlife="n/a","n/a",IF(R$3&gt;(A27stdlife+$E418),('PTRM input'!$I$169*(1+rvanilla03)^0.5)-SUM($I418:Q418),('PTRM input'!$I$169*(1+rvanilla03)^0.5)/A27stdlife))</f>
        <v>0</v>
      </c>
      <c r="S418" s="107">
        <f>IF(A27stdlife="n/a","n/a",IF(S$3&gt;(A27stdlife+$E418),('PTRM input'!$I$169*(1+rvanilla03)^0.5)-SUM($I418:R418),('PTRM input'!$I$169*(1+rvanilla03)^0.5)/A27stdlife))</f>
        <v>0</v>
      </c>
      <c r="T418" s="107">
        <f>IF(A27stdlife="n/a","n/a",IF(T$3&gt;(A27stdlife+$E418),('PTRM input'!$I$169*(1+rvanilla03)^0.5)-SUM($I418:S418),('PTRM input'!$I$169*(1+rvanilla03)^0.5)/A27stdlife))</f>
        <v>0</v>
      </c>
      <c r="U418" s="107">
        <f>IF(A27stdlife="n/a","n/a",IF(U$3&gt;(A27stdlife+$E418),('PTRM input'!$I$169*(1+rvanilla03)^0.5)-SUM($I418:T418),('PTRM input'!$I$169*(1+rvanilla03)^0.5)/A27stdlife))</f>
        <v>0</v>
      </c>
      <c r="V418" s="107">
        <f>IF(A27stdlife="n/a","n/a",IF(V$3&gt;(A27stdlife+$E418),('PTRM input'!$I$169*(1+rvanilla03)^0.5)-SUM($I418:U418),('PTRM input'!$I$169*(1+rvanilla03)^0.5)/A27stdlife))</f>
        <v>0</v>
      </c>
      <c r="W418" s="107">
        <f>IF(A27stdlife="n/a","n/a",IF(W$3&gt;(A27stdlife+$E418),('PTRM input'!$I$169*(1+rvanilla03)^0.5)-SUM($I418:V418),('PTRM input'!$I$169*(1+rvanilla03)^0.5)/A27stdlife))</f>
        <v>0</v>
      </c>
      <c r="X418" s="107">
        <f>IF(A27stdlife="n/a","n/a",IF(X$3&gt;(A27stdlife+$E418),('PTRM input'!$I$169*(1+rvanilla03)^0.5)-SUM($I418:W418),('PTRM input'!$I$169*(1+rvanilla03)^0.5)/A27stdlife))</f>
        <v>0</v>
      </c>
      <c r="Y418" s="107">
        <f>IF(A27stdlife="n/a","n/a",IF(Y$3&gt;(A27stdlife+$E418),('PTRM input'!$I$169*(1+rvanilla03)^0.5)-SUM($I418:X418),('PTRM input'!$I$169*(1+rvanilla03)^0.5)/A27stdlife))</f>
        <v>0</v>
      </c>
      <c r="Z418" s="107">
        <f>IF(A27stdlife="n/a","n/a",IF(Z$3&gt;(A27stdlife+$E418),('PTRM input'!$I$169*(1+rvanilla03)^0.5)-SUM($I418:Y418),('PTRM input'!$I$169*(1+rvanilla03)^0.5)/A27stdlife))</f>
        <v>0</v>
      </c>
      <c r="AA418" s="107">
        <f>IF(A27stdlife="n/a","n/a",IF(AA$3&gt;(A27stdlife+$E418),('PTRM input'!$I$169*(1+rvanilla03)^0.5)-SUM($I418:Z418),('PTRM input'!$I$169*(1+rvanilla03)^0.5)/A27stdlife))</f>
        <v>0</v>
      </c>
      <c r="AB418" s="107">
        <f>IF(A27stdlife="n/a","n/a",IF(AB$3&gt;(A27stdlife+$E418),('PTRM input'!$I$169*(1+rvanilla03)^0.5)-SUM($I418:AA418),('PTRM input'!$I$169*(1+rvanilla03)^0.5)/A27stdlife))</f>
        <v>0</v>
      </c>
      <c r="AC418" s="107">
        <f>IF(A27stdlife="n/a","n/a",IF(AC$3&gt;(A27stdlife+$E418),('PTRM input'!$I$169*(1+rvanilla03)^0.5)-SUM($I418:AB418),('PTRM input'!$I$169*(1+rvanilla03)^0.5)/A27stdlife))</f>
        <v>0</v>
      </c>
      <c r="AD418" s="107">
        <f>IF(A27stdlife="n/a","n/a",IF(AD$3&gt;(A27stdlife+$E418),('PTRM input'!$I$169*(1+rvanilla03)^0.5)-SUM($I418:AC418),('PTRM input'!$I$169*(1+rvanilla03)^0.5)/A27stdlife))</f>
        <v>0</v>
      </c>
      <c r="AE418" s="107">
        <f>IF(A27stdlife="n/a","n/a",IF(AE$3&gt;(A27stdlife+$E418),('PTRM input'!$I$169*(1+rvanilla03)^0.5)-SUM($I418:AD418),('PTRM input'!$I$169*(1+rvanilla03)^0.5)/A27stdlife))</f>
        <v>0</v>
      </c>
      <c r="AF418" s="107">
        <f>IF(A27stdlife="n/a","n/a",IF(AF$3&gt;(A27stdlife+$E418),('PTRM input'!$I$169*(1+rvanilla03)^0.5)-SUM($I418:AE418),('PTRM input'!$I$169*(1+rvanilla03)^0.5)/A27stdlife))</f>
        <v>0</v>
      </c>
      <c r="AG418" s="107">
        <f>IF(A27stdlife="n/a","n/a",IF(AG$3&gt;(A27stdlife+$E418),('PTRM input'!$I$169*(1+rvanilla03)^0.5)-SUM($I418:AF418),('PTRM input'!$I$169*(1+rvanilla03)^0.5)/A27stdlife))</f>
        <v>0</v>
      </c>
      <c r="AH418" s="107">
        <f>IF(A27stdlife="n/a","n/a",IF(AH$3&gt;(A27stdlife+$E418),('PTRM input'!$I$169*(1+rvanilla03)^0.5)-SUM($I418:AG418),('PTRM input'!$I$169*(1+rvanilla03)^0.5)/A27stdlife))</f>
        <v>0</v>
      </c>
      <c r="AI418" s="107">
        <f>IF(A27stdlife="n/a","n/a",IF(AI$3&gt;(A27stdlife+$E418),('PTRM input'!$I$169*(1+rvanilla03)^0.5)-SUM($I418:AH418),('PTRM input'!$I$169*(1+rvanilla03)^0.5)/A27stdlife))</f>
        <v>0</v>
      </c>
      <c r="AJ418" s="107">
        <f>IF(A27stdlife="n/a","n/a",IF(AJ$3&gt;(A27stdlife+$E418),('PTRM input'!$I$169*(1+rvanilla03)^0.5)-SUM($I418:AI418),('PTRM input'!$I$169*(1+rvanilla03)^0.5)/A27stdlife))</f>
        <v>0</v>
      </c>
      <c r="AK418" s="107">
        <f>IF(A27stdlife="n/a","n/a",IF(AK$3&gt;(A27stdlife+$E418),('PTRM input'!$I$169*(1+rvanilla03)^0.5)-SUM($I418:AJ418),('PTRM input'!$I$169*(1+rvanilla03)^0.5)/A27stdlife))</f>
        <v>0</v>
      </c>
      <c r="AL418" s="107">
        <f>IF(A27stdlife="n/a","n/a",IF(AL$3&gt;(A27stdlife+$E418),('PTRM input'!$I$169*(1+rvanilla03)^0.5)-SUM($I418:AK418),('PTRM input'!$I$169*(1+rvanilla03)^0.5)/A27stdlife))</f>
        <v>0</v>
      </c>
      <c r="AM418" s="107">
        <f>IF(A27stdlife="n/a","n/a",IF(AM$3&gt;(A27stdlife+$E418),('PTRM input'!$I$169*(1+rvanilla03)^0.5)-SUM($I418:AL418),('PTRM input'!$I$169*(1+rvanilla03)^0.5)/A27stdlife))</f>
        <v>0</v>
      </c>
      <c r="AN418" s="107">
        <f>IF(A27stdlife="n/a","n/a",IF(AN$3&gt;(A27stdlife+$E418),('PTRM input'!$I$169*(1+rvanilla03)^0.5)-SUM($I418:AM418),('PTRM input'!$I$169*(1+rvanilla03)^0.5)/A27stdlife))</f>
        <v>0</v>
      </c>
      <c r="AO418" s="107">
        <f>IF(A27stdlife="n/a","n/a",IF(AO$3&gt;(A27stdlife+$E418),('PTRM input'!$I$169*(1+rvanilla03)^0.5)-SUM($I418:AN418),('PTRM input'!$I$169*(1+rvanilla03)^0.5)/A27stdlife))</f>
        <v>0</v>
      </c>
      <c r="AP418" s="107">
        <f>IF(A27stdlife="n/a","n/a",IF(AP$3&gt;(A27stdlife+$E418),('PTRM input'!$I$169*(1+rvanilla03)^0.5)-SUM($I418:AO418),('PTRM input'!$I$169*(1+rvanilla03)^0.5)/A27stdlife))</f>
        <v>0</v>
      </c>
      <c r="AQ418" s="107">
        <f>IF(A27stdlife="n/a","n/a",IF(AQ$3&gt;(A27stdlife+$E418),('PTRM input'!$I$169*(1+rvanilla03)^0.5)-SUM($I418:AP418),('PTRM input'!$I$169*(1+rvanilla03)^0.5)/A27stdlife))</f>
        <v>0</v>
      </c>
      <c r="AR418" s="107">
        <f>IF(A27stdlife="n/a","n/a",IF(AR$3&gt;(A27stdlife+$E418),('PTRM input'!$I$169*(1+rvanilla03)^0.5)-SUM($I418:AQ418),('PTRM input'!$I$169*(1+rvanilla03)^0.5)/A27stdlife))</f>
        <v>0</v>
      </c>
      <c r="AS418" s="107">
        <f>IF(A27stdlife="n/a","n/a",IF(AS$3&gt;(A27stdlife+$E418),('PTRM input'!$I$169*(1+rvanilla03)^0.5)-SUM($I418:AR418),('PTRM input'!$I$169*(1+rvanilla03)^0.5)/A27stdlife))</f>
        <v>0</v>
      </c>
      <c r="AT418" s="107">
        <f>IF(A27stdlife="n/a","n/a",IF(AT$3&gt;(A27stdlife+$E418),('PTRM input'!$I$169*(1+rvanilla03)^0.5)-SUM($I418:AS418),('PTRM input'!$I$169*(1+rvanilla03)^0.5)/A27stdlife))</f>
        <v>0</v>
      </c>
      <c r="AU418" s="107">
        <f>IF(A27stdlife="n/a","n/a",IF(AU$3&gt;(A27stdlife+$E418),('PTRM input'!$I$169*(1+rvanilla03)^0.5)-SUM($I418:AT418),('PTRM input'!$I$169*(1+rvanilla03)^0.5)/A27stdlife))</f>
        <v>0</v>
      </c>
      <c r="AV418" s="107">
        <f>IF(A27stdlife="n/a","n/a",IF(AV$3&gt;(A27stdlife+$E418),('PTRM input'!$I$169*(1+rvanilla03)^0.5)-SUM($I418:AU418),('PTRM input'!$I$169*(1+rvanilla03)^0.5)/A27stdlife))</f>
        <v>0</v>
      </c>
      <c r="AW418" s="107">
        <f>IF(A27stdlife="n/a","n/a",IF(AW$3&gt;(A27stdlife+$E418),('PTRM input'!$I$169*(1+rvanilla03)^0.5)-SUM($I418:AV418),('PTRM input'!$I$169*(1+rvanilla03)^0.5)/A27stdlife))</f>
        <v>0</v>
      </c>
      <c r="AX418" s="107">
        <f>IF(A27stdlife="n/a","n/a",IF(AX$3&gt;(A27stdlife+$E418),('PTRM input'!$I$169*(1+rvanilla03)^0.5)-SUM($I418:AW418),('PTRM input'!$I$169*(1+rvanilla03)^0.5)/A27stdlife))</f>
        <v>0</v>
      </c>
      <c r="AY418" s="107">
        <f>IF(A27stdlife="n/a","n/a",IF(AY$3&gt;(A27stdlife+$E418),('PTRM input'!$I$169*(1+rvanilla03)^0.5)-SUM($I418:AX418),('PTRM input'!$I$169*(1+rvanilla03)^0.5)/A27stdlife))</f>
        <v>0</v>
      </c>
      <c r="AZ418" s="107">
        <f>IF(A27stdlife="n/a","n/a",IF(AZ$3&gt;(A27stdlife+$E418),('PTRM input'!$I$169*(1+rvanilla03)^0.5)-SUM($I418:AY418),('PTRM input'!$I$169*(1+rvanilla03)^0.5)/A27stdlife))</f>
        <v>0</v>
      </c>
      <c r="BA418" s="107">
        <f>IF(A27stdlife="n/a","n/a",IF(BA$3&gt;(A27stdlife+$E418),('PTRM input'!$I$169*(1+rvanilla03)^0.5)-SUM($I418:AZ418),('PTRM input'!$I$169*(1+rvanilla03)^0.5)/A27stdlife))</f>
        <v>0</v>
      </c>
      <c r="BB418" s="107">
        <f>IF(A27stdlife="n/a","n/a",IF(BB$3&gt;(A27stdlife+$E418),('PTRM input'!$I$169*(1+rvanilla03)^0.5)-SUM($I418:BA418),('PTRM input'!$I$169*(1+rvanilla03)^0.5)/A27stdlife))</f>
        <v>0</v>
      </c>
      <c r="BC418" s="107">
        <f>IF(A27stdlife="n/a","n/a",IF(BC$3&gt;(A27stdlife+$E418),('PTRM input'!$I$169*(1+rvanilla03)^0.5)-SUM($I418:BB418),('PTRM input'!$I$169*(1+rvanilla03)^0.5)/A27stdlife))</f>
        <v>0</v>
      </c>
      <c r="BD418" s="107">
        <f>IF(A27stdlife="n/a","n/a",IF(BD$3&gt;(A27stdlife+$E418),('PTRM input'!$I$169*(1+rvanilla03)^0.5)-SUM($I418:BC418),('PTRM input'!$I$169*(1+rvanilla03)^0.5)/A27stdlife))</f>
        <v>0</v>
      </c>
      <c r="BE418" s="107">
        <f>IF(A27stdlife="n/a","n/a",IF(BE$3&gt;(A27stdlife+$E418),('PTRM input'!$I$169*(1+rvanilla03)^0.5)-SUM($I418:BD418),('PTRM input'!$I$169*(1+rvanilla03)^0.5)/A27stdlife))</f>
        <v>0</v>
      </c>
      <c r="BF418" s="107">
        <f>IF(A27stdlife="n/a","n/a",IF(BF$3&gt;(A27stdlife+$E418),('PTRM input'!$I$169*(1+rvanilla03)^0.5)-SUM($I418:BE418),('PTRM input'!$I$169*(1+rvanilla03)^0.5)/A27stdlife))</f>
        <v>0</v>
      </c>
      <c r="BG418" s="107">
        <f>IF(A27stdlife="n/a","n/a",IF(BG$3&gt;(A27stdlife+$E418),('PTRM input'!$I$169*(1+rvanilla03)^0.5)-SUM($I418:BF418),('PTRM input'!$I$169*(1+rvanilla03)^0.5)/A27stdlife))</f>
        <v>0</v>
      </c>
      <c r="BH418" s="107">
        <f>IF(A27stdlife="n/a","n/a",IF(BH$3&gt;(A27stdlife+$E418),('PTRM input'!$I$169*(1+rvanilla03)^0.5)-SUM($I418:BG418),('PTRM input'!$I$169*(1+rvanilla03)^0.5)/A27stdlife))</f>
        <v>0</v>
      </c>
      <c r="BI418" s="107">
        <f>IF(A27stdlife="n/a","n/a",IF(BI$3&gt;(A27stdlife+$E418),('PTRM input'!$I$169*(1+rvanilla03)^0.5)-SUM($I418:BH418),('PTRM input'!$I$169*(1+rvanilla03)^0.5)/A27stdlife))</f>
        <v>0</v>
      </c>
      <c r="BJ418" s="237"/>
      <c r="BK418" s="237"/>
      <c r="BL418" s="237"/>
      <c r="BM418" s="237"/>
    </row>
    <row r="419" spans="1:65" s="190" customFormat="1" hidden="1" outlineLevel="2">
      <c r="A419" s="237"/>
      <c r="B419" s="33"/>
      <c r="C419" s="32"/>
      <c r="D419" s="1618"/>
      <c r="E419" s="169">
        <v>4</v>
      </c>
      <c r="F419" s="35"/>
      <c r="G419" s="184"/>
      <c r="H419" s="186"/>
      <c r="I419" s="186"/>
      <c r="J419" s="185"/>
      <c r="K419" s="107">
        <f>IF(A27stdlife="n/a","n/a",IF(K$3&gt;(A27stdlife+$E419),('PTRM input'!$J$169*(1+rvanilla04)^0.5)-SUM($J419:J419),('PTRM input'!$J$169*(1+rvanilla04)^0.5)/A27stdlife))</f>
        <v>0</v>
      </c>
      <c r="L419" s="107">
        <f>IF(A27stdlife="n/a","n/a",IF(L$3&gt;(A27stdlife+$E419),('PTRM input'!$J$169*(1+rvanilla04)^0.5)-SUM($J419:K419),('PTRM input'!$J$169*(1+rvanilla04)^0.5)/A27stdlife))</f>
        <v>0</v>
      </c>
      <c r="M419" s="107">
        <f>IF(A27stdlife="n/a","n/a",IF(M$3&gt;(A27stdlife+$E419),('PTRM input'!$J$169*(1+rvanilla04)^0.5)-SUM($J419:L419),('PTRM input'!$J$169*(1+rvanilla04)^0.5)/A27stdlife))</f>
        <v>0</v>
      </c>
      <c r="N419" s="107">
        <f>IF(A27stdlife="n/a","n/a",IF(N$3&gt;(A27stdlife+$E419),('PTRM input'!$J$169*(1+rvanilla04)^0.5)-SUM($J419:M419),('PTRM input'!$J$169*(1+rvanilla04)^0.5)/A27stdlife))</f>
        <v>0</v>
      </c>
      <c r="O419" s="107">
        <f>IF(A27stdlife="n/a","n/a",IF(O$3&gt;(A27stdlife+$E419),('PTRM input'!$J$169*(1+rvanilla04)^0.5)-SUM($J419:N419),('PTRM input'!$J$169*(1+rvanilla04)^0.5)/A27stdlife))</f>
        <v>0</v>
      </c>
      <c r="P419" s="107">
        <f>IF(A27stdlife="n/a","n/a",IF(P$3&gt;(A27stdlife+$E419),('PTRM input'!$J$169*(1+rvanilla04)^0.5)-SUM($J419:O419),('PTRM input'!$J$169*(1+rvanilla04)^0.5)/A27stdlife))</f>
        <v>0</v>
      </c>
      <c r="Q419" s="107">
        <f>IF(A27stdlife="n/a","n/a",IF(Q$3&gt;(A27stdlife+$E419),('PTRM input'!$J$169*(1+rvanilla04)^0.5)-SUM($J419:P419),('PTRM input'!$J$169*(1+rvanilla04)^0.5)/A27stdlife))</f>
        <v>0</v>
      </c>
      <c r="R419" s="107">
        <f>IF(A27stdlife="n/a","n/a",IF(R$3&gt;(A27stdlife+$E419),('PTRM input'!$J$169*(1+rvanilla04)^0.5)-SUM($J419:Q419),('PTRM input'!$J$169*(1+rvanilla04)^0.5)/A27stdlife))</f>
        <v>0</v>
      </c>
      <c r="S419" s="107">
        <f>IF(A27stdlife="n/a","n/a",IF(S$3&gt;(A27stdlife+$E419),('PTRM input'!$J$169*(1+rvanilla04)^0.5)-SUM($J419:R419),('PTRM input'!$J$169*(1+rvanilla04)^0.5)/A27stdlife))</f>
        <v>0</v>
      </c>
      <c r="T419" s="107">
        <f>IF(A27stdlife="n/a","n/a",IF(T$3&gt;(A27stdlife+$E419),('PTRM input'!$J$169*(1+rvanilla04)^0.5)-SUM($J419:S419),('PTRM input'!$J$169*(1+rvanilla04)^0.5)/A27stdlife))</f>
        <v>0</v>
      </c>
      <c r="U419" s="107">
        <f>IF(A27stdlife="n/a","n/a",IF(U$3&gt;(A27stdlife+$E419),('PTRM input'!$J$169*(1+rvanilla04)^0.5)-SUM($J419:T419),('PTRM input'!$J$169*(1+rvanilla04)^0.5)/A27stdlife))</f>
        <v>0</v>
      </c>
      <c r="V419" s="107">
        <f>IF(A27stdlife="n/a","n/a",IF(V$3&gt;(A27stdlife+$E419),('PTRM input'!$J$169*(1+rvanilla04)^0.5)-SUM($J419:U419),('PTRM input'!$J$169*(1+rvanilla04)^0.5)/A27stdlife))</f>
        <v>0</v>
      </c>
      <c r="W419" s="107">
        <f>IF(A27stdlife="n/a","n/a",IF(W$3&gt;(A27stdlife+$E419),('PTRM input'!$J$169*(1+rvanilla04)^0.5)-SUM($J419:V419),('PTRM input'!$J$169*(1+rvanilla04)^0.5)/A27stdlife))</f>
        <v>0</v>
      </c>
      <c r="X419" s="107">
        <f>IF(A27stdlife="n/a","n/a",IF(X$3&gt;(A27stdlife+$E419),('PTRM input'!$J$169*(1+rvanilla04)^0.5)-SUM($J419:W419),('PTRM input'!$J$169*(1+rvanilla04)^0.5)/A27stdlife))</f>
        <v>0</v>
      </c>
      <c r="Y419" s="107">
        <f>IF(A27stdlife="n/a","n/a",IF(Y$3&gt;(A27stdlife+$E419),('PTRM input'!$J$169*(1+rvanilla04)^0.5)-SUM($J419:X419),('PTRM input'!$J$169*(1+rvanilla04)^0.5)/A27stdlife))</f>
        <v>0</v>
      </c>
      <c r="Z419" s="107">
        <f>IF(A27stdlife="n/a","n/a",IF(Z$3&gt;(A27stdlife+$E419),('PTRM input'!$J$169*(1+rvanilla04)^0.5)-SUM($J419:Y419),('PTRM input'!$J$169*(1+rvanilla04)^0.5)/A27stdlife))</f>
        <v>0</v>
      </c>
      <c r="AA419" s="107">
        <f>IF(A27stdlife="n/a","n/a",IF(AA$3&gt;(A27stdlife+$E419),('PTRM input'!$J$169*(1+rvanilla04)^0.5)-SUM($J419:Z419),('PTRM input'!$J$169*(1+rvanilla04)^0.5)/A27stdlife))</f>
        <v>0</v>
      </c>
      <c r="AB419" s="107">
        <f>IF(A27stdlife="n/a","n/a",IF(AB$3&gt;(A27stdlife+$E419),('PTRM input'!$J$169*(1+rvanilla04)^0.5)-SUM($J419:AA419),('PTRM input'!$J$169*(1+rvanilla04)^0.5)/A27stdlife))</f>
        <v>0</v>
      </c>
      <c r="AC419" s="107">
        <f>IF(A27stdlife="n/a","n/a",IF(AC$3&gt;(A27stdlife+$E419),('PTRM input'!$J$169*(1+rvanilla04)^0.5)-SUM($J419:AB419),('PTRM input'!$J$169*(1+rvanilla04)^0.5)/A27stdlife))</f>
        <v>0</v>
      </c>
      <c r="AD419" s="107">
        <f>IF(A27stdlife="n/a","n/a",IF(AD$3&gt;(A27stdlife+$E419),('PTRM input'!$J$169*(1+rvanilla04)^0.5)-SUM($J419:AC419),('PTRM input'!$J$169*(1+rvanilla04)^0.5)/A27stdlife))</f>
        <v>0</v>
      </c>
      <c r="AE419" s="107">
        <f>IF(A27stdlife="n/a","n/a",IF(AE$3&gt;(A27stdlife+$E419),('PTRM input'!$J$169*(1+rvanilla04)^0.5)-SUM($J419:AD419),('PTRM input'!$J$169*(1+rvanilla04)^0.5)/A27stdlife))</f>
        <v>0</v>
      </c>
      <c r="AF419" s="107">
        <f>IF(A27stdlife="n/a","n/a",IF(AF$3&gt;(A27stdlife+$E419),('PTRM input'!$J$169*(1+rvanilla04)^0.5)-SUM($J419:AE419),('PTRM input'!$J$169*(1+rvanilla04)^0.5)/A27stdlife))</f>
        <v>0</v>
      </c>
      <c r="AG419" s="107">
        <f>IF(A27stdlife="n/a","n/a",IF(AG$3&gt;(A27stdlife+$E419),('PTRM input'!$J$169*(1+rvanilla04)^0.5)-SUM($J419:AF419),('PTRM input'!$J$169*(1+rvanilla04)^0.5)/A27stdlife))</f>
        <v>0</v>
      </c>
      <c r="AH419" s="107">
        <f>IF(A27stdlife="n/a","n/a",IF(AH$3&gt;(A27stdlife+$E419),('PTRM input'!$J$169*(1+rvanilla04)^0.5)-SUM($J419:AG419),('PTRM input'!$J$169*(1+rvanilla04)^0.5)/A27stdlife))</f>
        <v>0</v>
      </c>
      <c r="AI419" s="107">
        <f>IF(A27stdlife="n/a","n/a",IF(AI$3&gt;(A27stdlife+$E419),('PTRM input'!$J$169*(1+rvanilla04)^0.5)-SUM($J419:AH419),('PTRM input'!$J$169*(1+rvanilla04)^0.5)/A27stdlife))</f>
        <v>0</v>
      </c>
      <c r="AJ419" s="107">
        <f>IF(A27stdlife="n/a","n/a",IF(AJ$3&gt;(A27stdlife+$E419),('PTRM input'!$J$169*(1+rvanilla04)^0.5)-SUM($J419:AI419),('PTRM input'!$J$169*(1+rvanilla04)^0.5)/A27stdlife))</f>
        <v>0</v>
      </c>
      <c r="AK419" s="107">
        <f>IF(A27stdlife="n/a","n/a",IF(AK$3&gt;(A27stdlife+$E419),('PTRM input'!$J$169*(1+rvanilla04)^0.5)-SUM($J419:AJ419),('PTRM input'!$J$169*(1+rvanilla04)^0.5)/A27stdlife))</f>
        <v>0</v>
      </c>
      <c r="AL419" s="107">
        <f>IF(A27stdlife="n/a","n/a",IF(AL$3&gt;(A27stdlife+$E419),('PTRM input'!$J$169*(1+rvanilla04)^0.5)-SUM($J419:AK419),('PTRM input'!$J$169*(1+rvanilla04)^0.5)/A27stdlife))</f>
        <v>0</v>
      </c>
      <c r="AM419" s="107">
        <f>IF(A27stdlife="n/a","n/a",IF(AM$3&gt;(A27stdlife+$E419),('PTRM input'!$J$169*(1+rvanilla04)^0.5)-SUM($J419:AL419),('PTRM input'!$J$169*(1+rvanilla04)^0.5)/A27stdlife))</f>
        <v>0</v>
      </c>
      <c r="AN419" s="107">
        <f>IF(A27stdlife="n/a","n/a",IF(AN$3&gt;(A27stdlife+$E419),('PTRM input'!$J$169*(1+rvanilla04)^0.5)-SUM($J419:AM419),('PTRM input'!$J$169*(1+rvanilla04)^0.5)/A27stdlife))</f>
        <v>0</v>
      </c>
      <c r="AO419" s="107">
        <f>IF(A27stdlife="n/a","n/a",IF(AO$3&gt;(A27stdlife+$E419),('PTRM input'!$J$169*(1+rvanilla04)^0.5)-SUM($J419:AN419),('PTRM input'!$J$169*(1+rvanilla04)^0.5)/A27stdlife))</f>
        <v>0</v>
      </c>
      <c r="AP419" s="107">
        <f>IF(A27stdlife="n/a","n/a",IF(AP$3&gt;(A27stdlife+$E419),('PTRM input'!$J$169*(1+rvanilla04)^0.5)-SUM($J419:AO419),('PTRM input'!$J$169*(1+rvanilla04)^0.5)/A27stdlife))</f>
        <v>0</v>
      </c>
      <c r="AQ419" s="107">
        <f>IF(A27stdlife="n/a","n/a",IF(AQ$3&gt;(A27stdlife+$E419),('PTRM input'!$J$169*(1+rvanilla04)^0.5)-SUM($J419:AP419),('PTRM input'!$J$169*(1+rvanilla04)^0.5)/A27stdlife))</f>
        <v>0</v>
      </c>
      <c r="AR419" s="107">
        <f>IF(A27stdlife="n/a","n/a",IF(AR$3&gt;(A27stdlife+$E419),('PTRM input'!$J$169*(1+rvanilla04)^0.5)-SUM($J419:AQ419),('PTRM input'!$J$169*(1+rvanilla04)^0.5)/A27stdlife))</f>
        <v>0</v>
      </c>
      <c r="AS419" s="107">
        <f>IF(A27stdlife="n/a","n/a",IF(AS$3&gt;(A27stdlife+$E419),('PTRM input'!$J$169*(1+rvanilla04)^0.5)-SUM($J419:AR419),('PTRM input'!$J$169*(1+rvanilla04)^0.5)/A27stdlife))</f>
        <v>0</v>
      </c>
      <c r="AT419" s="107">
        <f>IF(A27stdlife="n/a","n/a",IF(AT$3&gt;(A27stdlife+$E419),('PTRM input'!$J$169*(1+rvanilla04)^0.5)-SUM($J419:AS419),('PTRM input'!$J$169*(1+rvanilla04)^0.5)/A27stdlife))</f>
        <v>0</v>
      </c>
      <c r="AU419" s="107">
        <f>IF(A27stdlife="n/a","n/a",IF(AU$3&gt;(A27stdlife+$E419),('PTRM input'!$J$169*(1+rvanilla04)^0.5)-SUM($J419:AT419),('PTRM input'!$J$169*(1+rvanilla04)^0.5)/A27stdlife))</f>
        <v>0</v>
      </c>
      <c r="AV419" s="107">
        <f>IF(A27stdlife="n/a","n/a",IF(AV$3&gt;(A27stdlife+$E419),('PTRM input'!$J$169*(1+rvanilla04)^0.5)-SUM($J419:AU419),('PTRM input'!$J$169*(1+rvanilla04)^0.5)/A27stdlife))</f>
        <v>0</v>
      </c>
      <c r="AW419" s="107">
        <f>IF(A27stdlife="n/a","n/a",IF(AW$3&gt;(A27stdlife+$E419),('PTRM input'!$J$169*(1+rvanilla04)^0.5)-SUM($J419:AV419),('PTRM input'!$J$169*(1+rvanilla04)^0.5)/A27stdlife))</f>
        <v>0</v>
      </c>
      <c r="AX419" s="107">
        <f>IF(A27stdlife="n/a","n/a",IF(AX$3&gt;(A27stdlife+$E419),('PTRM input'!$J$169*(1+rvanilla04)^0.5)-SUM($J419:AW419),('PTRM input'!$J$169*(1+rvanilla04)^0.5)/A27stdlife))</f>
        <v>0</v>
      </c>
      <c r="AY419" s="107">
        <f>IF(A27stdlife="n/a","n/a",IF(AY$3&gt;(A27stdlife+$E419),('PTRM input'!$J$169*(1+rvanilla04)^0.5)-SUM($J419:AX419),('PTRM input'!$J$169*(1+rvanilla04)^0.5)/A27stdlife))</f>
        <v>0</v>
      </c>
      <c r="AZ419" s="107">
        <f>IF(A27stdlife="n/a","n/a",IF(AZ$3&gt;(A27stdlife+$E419),('PTRM input'!$J$169*(1+rvanilla04)^0.5)-SUM($J419:AY419),('PTRM input'!$J$169*(1+rvanilla04)^0.5)/A27stdlife))</f>
        <v>0</v>
      </c>
      <c r="BA419" s="107">
        <f>IF(A27stdlife="n/a","n/a",IF(BA$3&gt;(A27stdlife+$E419),('PTRM input'!$J$169*(1+rvanilla04)^0.5)-SUM($J419:AZ419),('PTRM input'!$J$169*(1+rvanilla04)^0.5)/A27stdlife))</f>
        <v>0</v>
      </c>
      <c r="BB419" s="107">
        <f>IF(A27stdlife="n/a","n/a",IF(BB$3&gt;(A27stdlife+$E419),('PTRM input'!$J$169*(1+rvanilla04)^0.5)-SUM($J419:BA419),('PTRM input'!$J$169*(1+rvanilla04)^0.5)/A27stdlife))</f>
        <v>0</v>
      </c>
      <c r="BC419" s="107">
        <f>IF(A27stdlife="n/a","n/a",IF(BC$3&gt;(A27stdlife+$E419),('PTRM input'!$J$169*(1+rvanilla04)^0.5)-SUM($J419:BB419),('PTRM input'!$J$169*(1+rvanilla04)^0.5)/A27stdlife))</f>
        <v>0</v>
      </c>
      <c r="BD419" s="107">
        <f>IF(A27stdlife="n/a","n/a",IF(BD$3&gt;(A27stdlife+$E419),('PTRM input'!$J$169*(1+rvanilla04)^0.5)-SUM($J419:BC419),('PTRM input'!$J$169*(1+rvanilla04)^0.5)/A27stdlife))</f>
        <v>0</v>
      </c>
      <c r="BE419" s="107">
        <f>IF(A27stdlife="n/a","n/a",IF(BE$3&gt;(A27stdlife+$E419),('PTRM input'!$J$169*(1+rvanilla04)^0.5)-SUM($J419:BD419),('PTRM input'!$J$169*(1+rvanilla04)^0.5)/A27stdlife))</f>
        <v>0</v>
      </c>
      <c r="BF419" s="107">
        <f>IF(A27stdlife="n/a","n/a",IF(BF$3&gt;(A27stdlife+$E419),('PTRM input'!$J$169*(1+rvanilla04)^0.5)-SUM($J419:BE419),('PTRM input'!$J$169*(1+rvanilla04)^0.5)/A27stdlife))</f>
        <v>0</v>
      </c>
      <c r="BG419" s="107">
        <f>IF(A27stdlife="n/a","n/a",IF(BG$3&gt;(A27stdlife+$E419),('PTRM input'!$J$169*(1+rvanilla04)^0.5)-SUM($J419:BF419),('PTRM input'!$J$169*(1+rvanilla04)^0.5)/A27stdlife))</f>
        <v>0</v>
      </c>
      <c r="BH419" s="107">
        <f>IF(A27stdlife="n/a","n/a",IF(BH$3&gt;(A27stdlife+$E419),('PTRM input'!$J$169*(1+rvanilla04)^0.5)-SUM($J419:BG419),('PTRM input'!$J$169*(1+rvanilla04)^0.5)/A27stdlife))</f>
        <v>0</v>
      </c>
      <c r="BI419" s="107">
        <f>IF(A27stdlife="n/a","n/a",IF(BI$3&gt;(A27stdlife+$E419),('PTRM input'!$J$169*(1+rvanilla04)^0.5)-SUM($J419:BH419),('PTRM input'!$J$169*(1+rvanilla04)^0.5)/A27stdlife))</f>
        <v>0</v>
      </c>
      <c r="BJ419" s="237"/>
      <c r="BK419" s="237"/>
      <c r="BL419" s="237"/>
      <c r="BM419" s="237"/>
    </row>
    <row r="420" spans="1:65" s="190" customFormat="1" hidden="1" outlineLevel="2">
      <c r="A420" s="237"/>
      <c r="B420" s="33"/>
      <c r="C420" s="32"/>
      <c r="D420" s="1618"/>
      <c r="E420" s="169">
        <v>5</v>
      </c>
      <c r="F420" s="35"/>
      <c r="G420" s="184"/>
      <c r="H420" s="186"/>
      <c r="I420" s="186"/>
      <c r="J420" s="186"/>
      <c r="K420" s="185"/>
      <c r="L420" s="107">
        <f>IF(A27stdlife="n/a","n/a",IF(L$3&gt;(A27stdlife+$E420),('PTRM input'!$K$169*(1+rvanilla05)^0.5)-SUM($K420:K420),('PTRM input'!$K$169*(1+rvanilla05)^0.5)/A27stdlife))</f>
        <v>0</v>
      </c>
      <c r="M420" s="107">
        <f>IF(A27stdlife="n/a","n/a",IF(M$3&gt;(A27stdlife+$E420),('PTRM input'!$K$169*(1+rvanilla05)^0.5)-SUM($K420:L420),('PTRM input'!$K$169*(1+rvanilla05)^0.5)/A27stdlife))</f>
        <v>0</v>
      </c>
      <c r="N420" s="107">
        <f>IF(A27stdlife="n/a","n/a",IF(N$3&gt;(A27stdlife+$E420),('PTRM input'!$K$169*(1+rvanilla05)^0.5)-SUM($K420:M420),('PTRM input'!$K$169*(1+rvanilla05)^0.5)/A27stdlife))</f>
        <v>0</v>
      </c>
      <c r="O420" s="107">
        <f>IF(A27stdlife="n/a","n/a",IF(O$3&gt;(A27stdlife+$E420),('PTRM input'!$K$169*(1+rvanilla05)^0.5)-SUM($K420:N420),('PTRM input'!$K$169*(1+rvanilla05)^0.5)/A27stdlife))</f>
        <v>0</v>
      </c>
      <c r="P420" s="107">
        <f>IF(A27stdlife="n/a","n/a",IF(P$3&gt;(A27stdlife+$E420),('PTRM input'!$K$169*(1+rvanilla05)^0.5)-SUM($K420:O420),('PTRM input'!$K$169*(1+rvanilla05)^0.5)/A27stdlife))</f>
        <v>0</v>
      </c>
      <c r="Q420" s="107">
        <f>IF(A27stdlife="n/a","n/a",IF(Q$3&gt;(A27stdlife+$E420),('PTRM input'!$K$169*(1+rvanilla05)^0.5)-SUM($K420:P420),('PTRM input'!$K$169*(1+rvanilla05)^0.5)/A27stdlife))</f>
        <v>0</v>
      </c>
      <c r="R420" s="107">
        <f>IF(A27stdlife="n/a","n/a",IF(R$3&gt;(A27stdlife+$E420),('PTRM input'!$K$169*(1+rvanilla05)^0.5)-SUM($K420:Q420),('PTRM input'!$K$169*(1+rvanilla05)^0.5)/A27stdlife))</f>
        <v>0</v>
      </c>
      <c r="S420" s="107">
        <f>IF(A27stdlife="n/a","n/a",IF(S$3&gt;(A27stdlife+$E420),('PTRM input'!$K$169*(1+rvanilla05)^0.5)-SUM($K420:R420),('PTRM input'!$K$169*(1+rvanilla05)^0.5)/A27stdlife))</f>
        <v>0</v>
      </c>
      <c r="T420" s="107">
        <f>IF(A27stdlife="n/a","n/a",IF(T$3&gt;(A27stdlife+$E420),('PTRM input'!$K$169*(1+rvanilla05)^0.5)-SUM($K420:S420),('PTRM input'!$K$169*(1+rvanilla05)^0.5)/A27stdlife))</f>
        <v>0</v>
      </c>
      <c r="U420" s="107">
        <f>IF(A27stdlife="n/a","n/a",IF(U$3&gt;(A27stdlife+$E420),('PTRM input'!$K$169*(1+rvanilla05)^0.5)-SUM($K420:T420),('PTRM input'!$K$169*(1+rvanilla05)^0.5)/A27stdlife))</f>
        <v>0</v>
      </c>
      <c r="V420" s="107">
        <f>IF(A27stdlife="n/a","n/a",IF(V$3&gt;(A27stdlife+$E420),('PTRM input'!$K$169*(1+rvanilla05)^0.5)-SUM($K420:U420),('PTRM input'!$K$169*(1+rvanilla05)^0.5)/A27stdlife))</f>
        <v>0</v>
      </c>
      <c r="W420" s="107">
        <f>IF(A27stdlife="n/a","n/a",IF(W$3&gt;(A27stdlife+$E420),('PTRM input'!$K$169*(1+rvanilla05)^0.5)-SUM($K420:V420),('PTRM input'!$K$169*(1+rvanilla05)^0.5)/A27stdlife))</f>
        <v>0</v>
      </c>
      <c r="X420" s="107">
        <f>IF(A27stdlife="n/a","n/a",IF(X$3&gt;(A27stdlife+$E420),('PTRM input'!$K$169*(1+rvanilla05)^0.5)-SUM($K420:W420),('PTRM input'!$K$169*(1+rvanilla05)^0.5)/A27stdlife))</f>
        <v>0</v>
      </c>
      <c r="Y420" s="107">
        <f>IF(A27stdlife="n/a","n/a",IF(Y$3&gt;(A27stdlife+$E420),('PTRM input'!$K$169*(1+rvanilla05)^0.5)-SUM($K420:X420),('PTRM input'!$K$169*(1+rvanilla05)^0.5)/A27stdlife))</f>
        <v>0</v>
      </c>
      <c r="Z420" s="107">
        <f>IF(A27stdlife="n/a","n/a",IF(Z$3&gt;(A27stdlife+$E420),('PTRM input'!$K$169*(1+rvanilla05)^0.5)-SUM($K420:Y420),('PTRM input'!$K$169*(1+rvanilla05)^0.5)/A27stdlife))</f>
        <v>0</v>
      </c>
      <c r="AA420" s="107">
        <f>IF(A27stdlife="n/a","n/a",IF(AA$3&gt;(A27stdlife+$E420),('PTRM input'!$K$169*(1+rvanilla05)^0.5)-SUM($K420:Z420),('PTRM input'!$K$169*(1+rvanilla05)^0.5)/A27stdlife))</f>
        <v>0</v>
      </c>
      <c r="AB420" s="107">
        <f>IF(A27stdlife="n/a","n/a",IF(AB$3&gt;(A27stdlife+$E420),('PTRM input'!$K$169*(1+rvanilla05)^0.5)-SUM($K420:AA420),('PTRM input'!$K$169*(1+rvanilla05)^0.5)/A27stdlife))</f>
        <v>0</v>
      </c>
      <c r="AC420" s="107">
        <f>IF(A27stdlife="n/a","n/a",IF(AC$3&gt;(A27stdlife+$E420),('PTRM input'!$K$169*(1+rvanilla05)^0.5)-SUM($K420:AB420),('PTRM input'!$K$169*(1+rvanilla05)^0.5)/A27stdlife))</f>
        <v>0</v>
      </c>
      <c r="AD420" s="107">
        <f>IF(A27stdlife="n/a","n/a",IF(AD$3&gt;(A27stdlife+$E420),('PTRM input'!$K$169*(1+rvanilla05)^0.5)-SUM($K420:AC420),('PTRM input'!$K$169*(1+rvanilla05)^0.5)/A27stdlife))</f>
        <v>0</v>
      </c>
      <c r="AE420" s="107">
        <f>IF(A27stdlife="n/a","n/a",IF(AE$3&gt;(A27stdlife+$E420),('PTRM input'!$K$169*(1+rvanilla05)^0.5)-SUM($K420:AD420),('PTRM input'!$K$169*(1+rvanilla05)^0.5)/A27stdlife))</f>
        <v>0</v>
      </c>
      <c r="AF420" s="107">
        <f>IF(A27stdlife="n/a","n/a",IF(AF$3&gt;(A27stdlife+$E420),('PTRM input'!$K$169*(1+rvanilla05)^0.5)-SUM($K420:AE420),('PTRM input'!$K$169*(1+rvanilla05)^0.5)/A27stdlife))</f>
        <v>0</v>
      </c>
      <c r="AG420" s="107">
        <f>IF(A27stdlife="n/a","n/a",IF(AG$3&gt;(A27stdlife+$E420),('PTRM input'!$K$169*(1+rvanilla05)^0.5)-SUM($K420:AF420),('PTRM input'!$K$169*(1+rvanilla05)^0.5)/A27stdlife))</f>
        <v>0</v>
      </c>
      <c r="AH420" s="107">
        <f>IF(A27stdlife="n/a","n/a",IF(AH$3&gt;(A27stdlife+$E420),('PTRM input'!$K$169*(1+rvanilla05)^0.5)-SUM($K420:AG420),('PTRM input'!$K$169*(1+rvanilla05)^0.5)/A27stdlife))</f>
        <v>0</v>
      </c>
      <c r="AI420" s="107">
        <f>IF(A27stdlife="n/a","n/a",IF(AI$3&gt;(A27stdlife+$E420),('PTRM input'!$K$169*(1+rvanilla05)^0.5)-SUM($K420:AH420),('PTRM input'!$K$169*(1+rvanilla05)^0.5)/A27stdlife))</f>
        <v>0</v>
      </c>
      <c r="AJ420" s="107">
        <f>IF(A27stdlife="n/a","n/a",IF(AJ$3&gt;(A27stdlife+$E420),('PTRM input'!$K$169*(1+rvanilla05)^0.5)-SUM($K420:AI420),('PTRM input'!$K$169*(1+rvanilla05)^0.5)/A27stdlife))</f>
        <v>0</v>
      </c>
      <c r="AK420" s="107">
        <f>IF(A27stdlife="n/a","n/a",IF(AK$3&gt;(A27stdlife+$E420),('PTRM input'!$K$169*(1+rvanilla05)^0.5)-SUM($K420:AJ420),('PTRM input'!$K$169*(1+rvanilla05)^0.5)/A27stdlife))</f>
        <v>0</v>
      </c>
      <c r="AL420" s="107">
        <f>IF(A27stdlife="n/a","n/a",IF(AL$3&gt;(A27stdlife+$E420),('PTRM input'!$K$169*(1+rvanilla05)^0.5)-SUM($K420:AK420),('PTRM input'!$K$169*(1+rvanilla05)^0.5)/A27stdlife))</f>
        <v>0</v>
      </c>
      <c r="AM420" s="107">
        <f>IF(A27stdlife="n/a","n/a",IF(AM$3&gt;(A27stdlife+$E420),('PTRM input'!$K$169*(1+rvanilla05)^0.5)-SUM($K420:AL420),('PTRM input'!$K$169*(1+rvanilla05)^0.5)/A27stdlife))</f>
        <v>0</v>
      </c>
      <c r="AN420" s="107">
        <f>IF(A27stdlife="n/a","n/a",IF(AN$3&gt;(A27stdlife+$E420),('PTRM input'!$K$169*(1+rvanilla05)^0.5)-SUM($K420:AM420),('PTRM input'!$K$169*(1+rvanilla05)^0.5)/A27stdlife))</f>
        <v>0</v>
      </c>
      <c r="AO420" s="107">
        <f>IF(A27stdlife="n/a","n/a",IF(AO$3&gt;(A27stdlife+$E420),('PTRM input'!$K$169*(1+rvanilla05)^0.5)-SUM($K420:AN420),('PTRM input'!$K$169*(1+rvanilla05)^0.5)/A27stdlife))</f>
        <v>0</v>
      </c>
      <c r="AP420" s="107">
        <f>IF(A27stdlife="n/a","n/a",IF(AP$3&gt;(A27stdlife+$E420),('PTRM input'!$K$169*(1+rvanilla05)^0.5)-SUM($K420:AO420),('PTRM input'!$K$169*(1+rvanilla05)^0.5)/A27stdlife))</f>
        <v>0</v>
      </c>
      <c r="AQ420" s="107">
        <f>IF(A27stdlife="n/a","n/a",IF(AQ$3&gt;(A27stdlife+$E420),('PTRM input'!$K$169*(1+rvanilla05)^0.5)-SUM($K420:AP420),('PTRM input'!$K$169*(1+rvanilla05)^0.5)/A27stdlife))</f>
        <v>0</v>
      </c>
      <c r="AR420" s="107">
        <f>IF(A27stdlife="n/a","n/a",IF(AR$3&gt;(A27stdlife+$E420),('PTRM input'!$K$169*(1+rvanilla05)^0.5)-SUM($K420:AQ420),('PTRM input'!$K$169*(1+rvanilla05)^0.5)/A27stdlife))</f>
        <v>0</v>
      </c>
      <c r="AS420" s="107">
        <f>IF(A27stdlife="n/a","n/a",IF(AS$3&gt;(A27stdlife+$E420),('PTRM input'!$K$169*(1+rvanilla05)^0.5)-SUM($K420:AR420),('PTRM input'!$K$169*(1+rvanilla05)^0.5)/A27stdlife))</f>
        <v>0</v>
      </c>
      <c r="AT420" s="107">
        <f>IF(A27stdlife="n/a","n/a",IF(AT$3&gt;(A27stdlife+$E420),('PTRM input'!$K$169*(1+rvanilla05)^0.5)-SUM($K420:AS420),('PTRM input'!$K$169*(1+rvanilla05)^0.5)/A27stdlife))</f>
        <v>0</v>
      </c>
      <c r="AU420" s="107">
        <f>IF(A27stdlife="n/a","n/a",IF(AU$3&gt;(A27stdlife+$E420),('PTRM input'!$K$169*(1+rvanilla05)^0.5)-SUM($K420:AT420),('PTRM input'!$K$169*(1+rvanilla05)^0.5)/A27stdlife))</f>
        <v>0</v>
      </c>
      <c r="AV420" s="107">
        <f>IF(A27stdlife="n/a","n/a",IF(AV$3&gt;(A27stdlife+$E420),('PTRM input'!$K$169*(1+rvanilla05)^0.5)-SUM($K420:AU420),('PTRM input'!$K$169*(1+rvanilla05)^0.5)/A27stdlife))</f>
        <v>0</v>
      </c>
      <c r="AW420" s="107">
        <f>IF(A27stdlife="n/a","n/a",IF(AW$3&gt;(A27stdlife+$E420),('PTRM input'!$K$169*(1+rvanilla05)^0.5)-SUM($K420:AV420),('PTRM input'!$K$169*(1+rvanilla05)^0.5)/A27stdlife))</f>
        <v>0</v>
      </c>
      <c r="AX420" s="107">
        <f>IF(A27stdlife="n/a","n/a",IF(AX$3&gt;(A27stdlife+$E420),('PTRM input'!$K$169*(1+rvanilla05)^0.5)-SUM($K420:AW420),('PTRM input'!$K$169*(1+rvanilla05)^0.5)/A27stdlife))</f>
        <v>0</v>
      </c>
      <c r="AY420" s="107">
        <f>IF(A27stdlife="n/a","n/a",IF(AY$3&gt;(A27stdlife+$E420),('PTRM input'!$K$169*(1+rvanilla05)^0.5)-SUM($K420:AX420),('PTRM input'!$K$169*(1+rvanilla05)^0.5)/A27stdlife))</f>
        <v>0</v>
      </c>
      <c r="AZ420" s="107">
        <f>IF(A27stdlife="n/a","n/a",IF(AZ$3&gt;(A27stdlife+$E420),('PTRM input'!$K$169*(1+rvanilla05)^0.5)-SUM($K420:AY420),('PTRM input'!$K$169*(1+rvanilla05)^0.5)/A27stdlife))</f>
        <v>0</v>
      </c>
      <c r="BA420" s="107">
        <f>IF(A27stdlife="n/a","n/a",IF(BA$3&gt;(A27stdlife+$E420),('PTRM input'!$K$169*(1+rvanilla05)^0.5)-SUM($K420:AZ420),('PTRM input'!$K$169*(1+rvanilla05)^0.5)/A27stdlife))</f>
        <v>0</v>
      </c>
      <c r="BB420" s="107">
        <f>IF(A27stdlife="n/a","n/a",IF(BB$3&gt;(A27stdlife+$E420),('PTRM input'!$K$169*(1+rvanilla05)^0.5)-SUM($K420:BA420),('PTRM input'!$K$169*(1+rvanilla05)^0.5)/A27stdlife))</f>
        <v>0</v>
      </c>
      <c r="BC420" s="107">
        <f>IF(A27stdlife="n/a","n/a",IF(BC$3&gt;(A27stdlife+$E420),('PTRM input'!$K$169*(1+rvanilla05)^0.5)-SUM($K420:BB420),('PTRM input'!$K$169*(1+rvanilla05)^0.5)/A27stdlife))</f>
        <v>0</v>
      </c>
      <c r="BD420" s="107">
        <f>IF(A27stdlife="n/a","n/a",IF(BD$3&gt;(A27stdlife+$E420),('PTRM input'!$K$169*(1+rvanilla05)^0.5)-SUM($K420:BC420),('PTRM input'!$K$169*(1+rvanilla05)^0.5)/A27stdlife))</f>
        <v>0</v>
      </c>
      <c r="BE420" s="107">
        <f>IF(A27stdlife="n/a","n/a",IF(BE$3&gt;(A27stdlife+$E420),('PTRM input'!$K$169*(1+rvanilla05)^0.5)-SUM($K420:BD420),('PTRM input'!$K$169*(1+rvanilla05)^0.5)/A27stdlife))</f>
        <v>0</v>
      </c>
      <c r="BF420" s="107">
        <f>IF(A27stdlife="n/a","n/a",IF(BF$3&gt;(A27stdlife+$E420),('PTRM input'!$K$169*(1+rvanilla05)^0.5)-SUM($K420:BE420),('PTRM input'!$K$169*(1+rvanilla05)^0.5)/A27stdlife))</f>
        <v>0</v>
      </c>
      <c r="BG420" s="107">
        <f>IF(A27stdlife="n/a","n/a",IF(BG$3&gt;(A27stdlife+$E420),('PTRM input'!$K$169*(1+rvanilla05)^0.5)-SUM($K420:BF420),('PTRM input'!$K$169*(1+rvanilla05)^0.5)/A27stdlife))</f>
        <v>0</v>
      </c>
      <c r="BH420" s="107">
        <f>IF(A27stdlife="n/a","n/a",IF(BH$3&gt;(A27stdlife+$E420),('PTRM input'!$K$169*(1+rvanilla05)^0.5)-SUM($K420:BG420),('PTRM input'!$K$169*(1+rvanilla05)^0.5)/A27stdlife))</f>
        <v>0</v>
      </c>
      <c r="BI420" s="107">
        <f>IF(A27stdlife="n/a","n/a",IF(BI$3&gt;(A27stdlife+$E420),('PTRM input'!$K$169*(1+rvanilla05)^0.5)-SUM($K420:BH420),('PTRM input'!$K$169*(1+rvanilla05)^0.5)/A27stdlife))</f>
        <v>0</v>
      </c>
      <c r="BJ420" s="237"/>
      <c r="BK420" s="237"/>
      <c r="BL420" s="237"/>
      <c r="BM420" s="237"/>
    </row>
    <row r="421" spans="1:65" s="190" customFormat="1" hidden="1" outlineLevel="2">
      <c r="A421" s="237"/>
      <c r="B421" s="33"/>
      <c r="C421" s="32"/>
      <c r="D421" s="1618"/>
      <c r="E421" s="169">
        <v>6</v>
      </c>
      <c r="F421" s="35"/>
      <c r="G421" s="184"/>
      <c r="H421" s="186"/>
      <c r="I421" s="186"/>
      <c r="J421" s="186"/>
      <c r="K421" s="186"/>
      <c r="L421" s="185"/>
      <c r="M421" s="107">
        <f>IF(A27stdlife="n/a","n/a",IF(M$3&gt;(A27stdlife+$E421),('PTRM input'!$L$169*(1+rvanilla06)^0.5)-SUM($L421:L421),('PTRM input'!$L$169*(1+rvanilla06)^0.5)/A27stdlife))</f>
        <v>0</v>
      </c>
      <c r="N421" s="107">
        <f>IF(A27stdlife="n/a","n/a",IF(N$3&gt;(A27stdlife+$E421),('PTRM input'!$L$169*(1+rvanilla06)^0.5)-SUM($L421:M421),('PTRM input'!$L$169*(1+rvanilla06)^0.5)/A27stdlife))</f>
        <v>0</v>
      </c>
      <c r="O421" s="107">
        <f>IF(A27stdlife="n/a","n/a",IF(O$3&gt;(A27stdlife+$E421),('PTRM input'!$L$169*(1+rvanilla06)^0.5)-SUM($L421:N421),('PTRM input'!$L$169*(1+rvanilla06)^0.5)/A27stdlife))</f>
        <v>0</v>
      </c>
      <c r="P421" s="107">
        <f>IF(A27stdlife="n/a","n/a",IF(P$3&gt;(A27stdlife+$E421),('PTRM input'!$L$169*(1+rvanilla06)^0.5)-SUM($L421:O421),('PTRM input'!$L$169*(1+rvanilla06)^0.5)/A27stdlife))</f>
        <v>0</v>
      </c>
      <c r="Q421" s="107">
        <f>IF(A27stdlife="n/a","n/a",IF(Q$3&gt;(A27stdlife+$E421),('PTRM input'!$L$169*(1+rvanilla06)^0.5)-SUM($L421:P421),('PTRM input'!$L$169*(1+rvanilla06)^0.5)/A27stdlife))</f>
        <v>0</v>
      </c>
      <c r="R421" s="107">
        <f>IF(A27stdlife="n/a","n/a",IF(R$3&gt;(A27stdlife+$E421),('PTRM input'!$L$169*(1+rvanilla06)^0.5)-SUM($L421:Q421),('PTRM input'!$L$169*(1+rvanilla06)^0.5)/A27stdlife))</f>
        <v>0</v>
      </c>
      <c r="S421" s="107">
        <f>IF(A27stdlife="n/a","n/a",IF(S$3&gt;(A27stdlife+$E421),('PTRM input'!$L$169*(1+rvanilla06)^0.5)-SUM($L421:R421),('PTRM input'!$L$169*(1+rvanilla06)^0.5)/A27stdlife))</f>
        <v>0</v>
      </c>
      <c r="T421" s="107">
        <f>IF(A27stdlife="n/a","n/a",IF(T$3&gt;(A27stdlife+$E421),('PTRM input'!$L$169*(1+rvanilla06)^0.5)-SUM($L421:S421),('PTRM input'!$L$169*(1+rvanilla06)^0.5)/A27stdlife))</f>
        <v>0</v>
      </c>
      <c r="U421" s="107">
        <f>IF(A27stdlife="n/a","n/a",IF(U$3&gt;(A27stdlife+$E421),('PTRM input'!$L$169*(1+rvanilla06)^0.5)-SUM($L421:T421),('PTRM input'!$L$169*(1+rvanilla06)^0.5)/A27stdlife))</f>
        <v>0</v>
      </c>
      <c r="V421" s="107">
        <f>IF(A27stdlife="n/a","n/a",IF(V$3&gt;(A27stdlife+$E421),('PTRM input'!$L$169*(1+rvanilla06)^0.5)-SUM($L421:U421),('PTRM input'!$L$169*(1+rvanilla06)^0.5)/A27stdlife))</f>
        <v>0</v>
      </c>
      <c r="W421" s="107">
        <f>IF(A27stdlife="n/a","n/a",IF(W$3&gt;(A27stdlife+$E421),('PTRM input'!$L$169*(1+rvanilla06)^0.5)-SUM($L421:V421),('PTRM input'!$L$169*(1+rvanilla06)^0.5)/A27stdlife))</f>
        <v>0</v>
      </c>
      <c r="X421" s="107">
        <f>IF(A27stdlife="n/a","n/a",IF(X$3&gt;(A27stdlife+$E421),('PTRM input'!$L$169*(1+rvanilla06)^0.5)-SUM($L421:W421),('PTRM input'!$L$169*(1+rvanilla06)^0.5)/A27stdlife))</f>
        <v>0</v>
      </c>
      <c r="Y421" s="107">
        <f>IF(A27stdlife="n/a","n/a",IF(Y$3&gt;(A27stdlife+$E421),('PTRM input'!$L$169*(1+rvanilla06)^0.5)-SUM($L421:X421),('PTRM input'!$L$169*(1+rvanilla06)^0.5)/A27stdlife))</f>
        <v>0</v>
      </c>
      <c r="Z421" s="107">
        <f>IF(A27stdlife="n/a","n/a",IF(Z$3&gt;(A27stdlife+$E421),('PTRM input'!$L$169*(1+rvanilla06)^0.5)-SUM($L421:Y421),('PTRM input'!$L$169*(1+rvanilla06)^0.5)/A27stdlife))</f>
        <v>0</v>
      </c>
      <c r="AA421" s="107">
        <f>IF(A27stdlife="n/a","n/a",IF(AA$3&gt;(A27stdlife+$E421),('PTRM input'!$L$169*(1+rvanilla06)^0.5)-SUM($L421:Z421),('PTRM input'!$L$169*(1+rvanilla06)^0.5)/A27stdlife))</f>
        <v>0</v>
      </c>
      <c r="AB421" s="107">
        <f>IF(A27stdlife="n/a","n/a",IF(AB$3&gt;(A27stdlife+$E421),('PTRM input'!$L$169*(1+rvanilla06)^0.5)-SUM($L421:AA421),('PTRM input'!$L$169*(1+rvanilla06)^0.5)/A27stdlife))</f>
        <v>0</v>
      </c>
      <c r="AC421" s="107">
        <f>IF(A27stdlife="n/a","n/a",IF(AC$3&gt;(A27stdlife+$E421),('PTRM input'!$L$169*(1+rvanilla06)^0.5)-SUM($L421:AB421),('PTRM input'!$L$169*(1+rvanilla06)^0.5)/A27stdlife))</f>
        <v>0</v>
      </c>
      <c r="AD421" s="107">
        <f>IF(A27stdlife="n/a","n/a",IF(AD$3&gt;(A27stdlife+$E421),('PTRM input'!$L$169*(1+rvanilla06)^0.5)-SUM($L421:AC421),('PTRM input'!$L$169*(1+rvanilla06)^0.5)/A27stdlife))</f>
        <v>0</v>
      </c>
      <c r="AE421" s="107">
        <f>IF(A27stdlife="n/a","n/a",IF(AE$3&gt;(A27stdlife+$E421),('PTRM input'!$L$169*(1+rvanilla06)^0.5)-SUM($L421:AD421),('PTRM input'!$L$169*(1+rvanilla06)^0.5)/A27stdlife))</f>
        <v>0</v>
      </c>
      <c r="AF421" s="107">
        <f>IF(A27stdlife="n/a","n/a",IF(AF$3&gt;(A27stdlife+$E421),('PTRM input'!$L$169*(1+rvanilla06)^0.5)-SUM($L421:AE421),('PTRM input'!$L$169*(1+rvanilla06)^0.5)/A27stdlife))</f>
        <v>0</v>
      </c>
      <c r="AG421" s="107">
        <f>IF(A27stdlife="n/a","n/a",IF(AG$3&gt;(A27stdlife+$E421),('PTRM input'!$L$169*(1+rvanilla06)^0.5)-SUM($L421:AF421),('PTRM input'!$L$169*(1+rvanilla06)^0.5)/A27stdlife))</f>
        <v>0</v>
      </c>
      <c r="AH421" s="107">
        <f>IF(A27stdlife="n/a","n/a",IF(AH$3&gt;(A27stdlife+$E421),('PTRM input'!$L$169*(1+rvanilla06)^0.5)-SUM($L421:AG421),('PTRM input'!$L$169*(1+rvanilla06)^0.5)/A27stdlife))</f>
        <v>0</v>
      </c>
      <c r="AI421" s="107">
        <f>IF(A27stdlife="n/a","n/a",IF(AI$3&gt;(A27stdlife+$E421),('PTRM input'!$L$169*(1+rvanilla06)^0.5)-SUM($L421:AH421),('PTRM input'!$L$169*(1+rvanilla06)^0.5)/A27stdlife))</f>
        <v>0</v>
      </c>
      <c r="AJ421" s="107">
        <f>IF(A27stdlife="n/a","n/a",IF(AJ$3&gt;(A27stdlife+$E421),('PTRM input'!$L$169*(1+rvanilla06)^0.5)-SUM($L421:AI421),('PTRM input'!$L$169*(1+rvanilla06)^0.5)/A27stdlife))</f>
        <v>0</v>
      </c>
      <c r="AK421" s="107">
        <f>IF(A27stdlife="n/a","n/a",IF(AK$3&gt;(A27stdlife+$E421),('PTRM input'!$L$169*(1+rvanilla06)^0.5)-SUM($L421:AJ421),('PTRM input'!$L$169*(1+rvanilla06)^0.5)/A27stdlife))</f>
        <v>0</v>
      </c>
      <c r="AL421" s="107">
        <f>IF(A27stdlife="n/a","n/a",IF(AL$3&gt;(A27stdlife+$E421),('PTRM input'!$L$169*(1+rvanilla06)^0.5)-SUM($L421:AK421),('PTRM input'!$L$169*(1+rvanilla06)^0.5)/A27stdlife))</f>
        <v>0</v>
      </c>
      <c r="AM421" s="107">
        <f>IF(A27stdlife="n/a","n/a",IF(AM$3&gt;(A27stdlife+$E421),('PTRM input'!$L$169*(1+rvanilla06)^0.5)-SUM($L421:AL421),('PTRM input'!$L$169*(1+rvanilla06)^0.5)/A27stdlife))</f>
        <v>0</v>
      </c>
      <c r="AN421" s="107">
        <f>IF(A27stdlife="n/a","n/a",IF(AN$3&gt;(A27stdlife+$E421),('PTRM input'!$L$169*(1+rvanilla06)^0.5)-SUM($L421:AM421),('PTRM input'!$L$169*(1+rvanilla06)^0.5)/A27stdlife))</f>
        <v>0</v>
      </c>
      <c r="AO421" s="107">
        <f>IF(A27stdlife="n/a","n/a",IF(AO$3&gt;(A27stdlife+$E421),('PTRM input'!$L$169*(1+rvanilla06)^0.5)-SUM($L421:AN421),('PTRM input'!$L$169*(1+rvanilla06)^0.5)/A27stdlife))</f>
        <v>0</v>
      </c>
      <c r="AP421" s="107">
        <f>IF(A27stdlife="n/a","n/a",IF(AP$3&gt;(A27stdlife+$E421),('PTRM input'!$L$169*(1+rvanilla06)^0.5)-SUM($L421:AO421),('PTRM input'!$L$169*(1+rvanilla06)^0.5)/A27stdlife))</f>
        <v>0</v>
      </c>
      <c r="AQ421" s="107">
        <f>IF(A27stdlife="n/a","n/a",IF(AQ$3&gt;(A27stdlife+$E421),('PTRM input'!$L$169*(1+rvanilla06)^0.5)-SUM($L421:AP421),('PTRM input'!$L$169*(1+rvanilla06)^0.5)/A27stdlife))</f>
        <v>0</v>
      </c>
      <c r="AR421" s="107">
        <f>IF(A27stdlife="n/a","n/a",IF(AR$3&gt;(A27stdlife+$E421),('PTRM input'!$L$169*(1+rvanilla06)^0.5)-SUM($L421:AQ421),('PTRM input'!$L$169*(1+rvanilla06)^0.5)/A27stdlife))</f>
        <v>0</v>
      </c>
      <c r="AS421" s="107">
        <f>IF(A27stdlife="n/a","n/a",IF(AS$3&gt;(A27stdlife+$E421),('PTRM input'!$L$169*(1+rvanilla06)^0.5)-SUM($L421:AR421),('PTRM input'!$L$169*(1+rvanilla06)^0.5)/A27stdlife))</f>
        <v>0</v>
      </c>
      <c r="AT421" s="107">
        <f>IF(A27stdlife="n/a","n/a",IF(AT$3&gt;(A27stdlife+$E421),('PTRM input'!$L$169*(1+rvanilla06)^0.5)-SUM($L421:AS421),('PTRM input'!$L$169*(1+rvanilla06)^0.5)/A27stdlife))</f>
        <v>0</v>
      </c>
      <c r="AU421" s="107">
        <f>IF(A27stdlife="n/a","n/a",IF(AU$3&gt;(A27stdlife+$E421),('PTRM input'!$L$169*(1+rvanilla06)^0.5)-SUM($L421:AT421),('PTRM input'!$L$169*(1+rvanilla06)^0.5)/A27stdlife))</f>
        <v>0</v>
      </c>
      <c r="AV421" s="107">
        <f>IF(A27stdlife="n/a","n/a",IF(AV$3&gt;(A27stdlife+$E421),('PTRM input'!$L$169*(1+rvanilla06)^0.5)-SUM($L421:AU421),('PTRM input'!$L$169*(1+rvanilla06)^0.5)/A27stdlife))</f>
        <v>0</v>
      </c>
      <c r="AW421" s="107">
        <f>IF(A27stdlife="n/a","n/a",IF(AW$3&gt;(A27stdlife+$E421),('PTRM input'!$L$169*(1+rvanilla06)^0.5)-SUM($L421:AV421),('PTRM input'!$L$169*(1+rvanilla06)^0.5)/A27stdlife))</f>
        <v>0</v>
      </c>
      <c r="AX421" s="107">
        <f>IF(A27stdlife="n/a","n/a",IF(AX$3&gt;(A27stdlife+$E421),('PTRM input'!$L$169*(1+rvanilla06)^0.5)-SUM($L421:AW421),('PTRM input'!$L$169*(1+rvanilla06)^0.5)/A27stdlife))</f>
        <v>0</v>
      </c>
      <c r="AY421" s="107">
        <f>IF(A27stdlife="n/a","n/a",IF(AY$3&gt;(A27stdlife+$E421),('PTRM input'!$L$169*(1+rvanilla06)^0.5)-SUM($L421:AX421),('PTRM input'!$L$169*(1+rvanilla06)^0.5)/A27stdlife))</f>
        <v>0</v>
      </c>
      <c r="AZ421" s="107">
        <f>IF(A27stdlife="n/a","n/a",IF(AZ$3&gt;(A27stdlife+$E421),('PTRM input'!$L$169*(1+rvanilla06)^0.5)-SUM($L421:AY421),('PTRM input'!$L$169*(1+rvanilla06)^0.5)/A27stdlife))</f>
        <v>0</v>
      </c>
      <c r="BA421" s="107">
        <f>IF(A27stdlife="n/a","n/a",IF(BA$3&gt;(A27stdlife+$E421),('PTRM input'!$L$169*(1+rvanilla06)^0.5)-SUM($L421:AZ421),('PTRM input'!$L$169*(1+rvanilla06)^0.5)/A27stdlife))</f>
        <v>0</v>
      </c>
      <c r="BB421" s="107">
        <f>IF(A27stdlife="n/a","n/a",IF(BB$3&gt;(A27stdlife+$E421),('PTRM input'!$L$169*(1+rvanilla06)^0.5)-SUM($L421:BA421),('PTRM input'!$L$169*(1+rvanilla06)^0.5)/A27stdlife))</f>
        <v>0</v>
      </c>
      <c r="BC421" s="107">
        <f>IF(A27stdlife="n/a","n/a",IF(BC$3&gt;(A27stdlife+$E421),('PTRM input'!$L$169*(1+rvanilla06)^0.5)-SUM($L421:BB421),('PTRM input'!$L$169*(1+rvanilla06)^0.5)/A27stdlife))</f>
        <v>0</v>
      </c>
      <c r="BD421" s="107">
        <f>IF(A27stdlife="n/a","n/a",IF(BD$3&gt;(A27stdlife+$E421),('PTRM input'!$L$169*(1+rvanilla06)^0.5)-SUM($L421:BC421),('PTRM input'!$L$169*(1+rvanilla06)^0.5)/A27stdlife))</f>
        <v>0</v>
      </c>
      <c r="BE421" s="107">
        <f>IF(A27stdlife="n/a","n/a",IF(BE$3&gt;(A27stdlife+$E421),('PTRM input'!$L$169*(1+rvanilla06)^0.5)-SUM($L421:BD421),('PTRM input'!$L$169*(1+rvanilla06)^0.5)/A27stdlife))</f>
        <v>0</v>
      </c>
      <c r="BF421" s="107">
        <f>IF(A27stdlife="n/a","n/a",IF(BF$3&gt;(A27stdlife+$E421),('PTRM input'!$L$169*(1+rvanilla06)^0.5)-SUM($L421:BE421),('PTRM input'!$L$169*(1+rvanilla06)^0.5)/A27stdlife))</f>
        <v>0</v>
      </c>
      <c r="BG421" s="107">
        <f>IF(A27stdlife="n/a","n/a",IF(BG$3&gt;(A27stdlife+$E421),('PTRM input'!$L$169*(1+rvanilla06)^0.5)-SUM($L421:BF421),('PTRM input'!$L$169*(1+rvanilla06)^0.5)/A27stdlife))</f>
        <v>0</v>
      </c>
      <c r="BH421" s="107">
        <f>IF(A27stdlife="n/a","n/a",IF(BH$3&gt;(A27stdlife+$E421),('PTRM input'!$L$169*(1+rvanilla06)^0.5)-SUM($L421:BG421),('PTRM input'!$L$169*(1+rvanilla06)^0.5)/A27stdlife))</f>
        <v>0</v>
      </c>
      <c r="BI421" s="107">
        <f>IF(A27stdlife="n/a","n/a",IF(BI$3&gt;(A27stdlife+$E421),('PTRM input'!$L$169*(1+rvanilla06)^0.5)-SUM($L421:BH421),('PTRM input'!$L$169*(1+rvanilla06)^0.5)/A27stdlife))</f>
        <v>0</v>
      </c>
      <c r="BJ421" s="237"/>
      <c r="BK421" s="237"/>
      <c r="BL421" s="237"/>
      <c r="BM421" s="237"/>
    </row>
    <row r="422" spans="1:65" s="190" customFormat="1" hidden="1" outlineLevel="2">
      <c r="A422" s="237"/>
      <c r="B422" s="33"/>
      <c r="C422" s="32"/>
      <c r="D422" s="1618"/>
      <c r="E422" s="169">
        <v>7</v>
      </c>
      <c r="F422" s="35"/>
      <c r="G422" s="184"/>
      <c r="H422" s="186"/>
      <c r="I422" s="186"/>
      <c r="J422" s="186"/>
      <c r="K422" s="186"/>
      <c r="L422" s="186"/>
      <c r="M422" s="185"/>
      <c r="N422" s="107">
        <f>IF(A27stdlife="n/a","n/a",IF(N$3&gt;(A27stdlife+$E422),('PTRM input'!$M$169*(1+rvanilla07)^0.5)-SUM($M422:M422),('PTRM input'!$M$169*(1+rvanilla07)^0.5)/A27stdlife))</f>
        <v>0</v>
      </c>
      <c r="O422" s="107">
        <f>IF(A27stdlife="n/a","n/a",IF(O$3&gt;(A27stdlife+$E422),('PTRM input'!$M$169*(1+rvanilla07)^0.5)-SUM($M422:N422),('PTRM input'!$M$169*(1+rvanilla07)^0.5)/A27stdlife))</f>
        <v>0</v>
      </c>
      <c r="P422" s="107">
        <f>IF(A27stdlife="n/a","n/a",IF(P$3&gt;(A27stdlife+$E422),('PTRM input'!$M$169*(1+rvanilla07)^0.5)-SUM($M422:O422),('PTRM input'!$M$169*(1+rvanilla07)^0.5)/A27stdlife))</f>
        <v>0</v>
      </c>
      <c r="Q422" s="107">
        <f>IF(A27stdlife="n/a","n/a",IF(Q$3&gt;(A27stdlife+$E422),('PTRM input'!$M$169*(1+rvanilla07)^0.5)-SUM($M422:P422),('PTRM input'!$M$169*(1+rvanilla07)^0.5)/A27stdlife))</f>
        <v>0</v>
      </c>
      <c r="R422" s="107">
        <f>IF(A27stdlife="n/a","n/a",IF(R$3&gt;(A27stdlife+$E422),('PTRM input'!$M$169*(1+rvanilla07)^0.5)-SUM($M422:Q422),('PTRM input'!$M$169*(1+rvanilla07)^0.5)/A27stdlife))</f>
        <v>0</v>
      </c>
      <c r="S422" s="107">
        <f>IF(A27stdlife="n/a","n/a",IF(S$3&gt;(A27stdlife+$E422),('PTRM input'!$M$169*(1+rvanilla07)^0.5)-SUM($M422:R422),('PTRM input'!$M$169*(1+rvanilla07)^0.5)/A27stdlife))</f>
        <v>0</v>
      </c>
      <c r="T422" s="107">
        <f>IF(A27stdlife="n/a","n/a",IF(T$3&gt;(A27stdlife+$E422),('PTRM input'!$M$169*(1+rvanilla07)^0.5)-SUM($M422:S422),('PTRM input'!$M$169*(1+rvanilla07)^0.5)/A27stdlife))</f>
        <v>0</v>
      </c>
      <c r="U422" s="107">
        <f>IF(A27stdlife="n/a","n/a",IF(U$3&gt;(A27stdlife+$E422),('PTRM input'!$M$169*(1+rvanilla07)^0.5)-SUM($M422:T422),('PTRM input'!$M$169*(1+rvanilla07)^0.5)/A27stdlife))</f>
        <v>0</v>
      </c>
      <c r="V422" s="107">
        <f>IF(A27stdlife="n/a","n/a",IF(V$3&gt;(A27stdlife+$E422),('PTRM input'!$M$169*(1+rvanilla07)^0.5)-SUM($M422:U422),('PTRM input'!$M$169*(1+rvanilla07)^0.5)/A27stdlife))</f>
        <v>0</v>
      </c>
      <c r="W422" s="107">
        <f>IF(A27stdlife="n/a","n/a",IF(W$3&gt;(A27stdlife+$E422),('PTRM input'!$M$169*(1+rvanilla07)^0.5)-SUM($M422:V422),('PTRM input'!$M$169*(1+rvanilla07)^0.5)/A27stdlife))</f>
        <v>0</v>
      </c>
      <c r="X422" s="107">
        <f>IF(A27stdlife="n/a","n/a",IF(X$3&gt;(A27stdlife+$E422),('PTRM input'!$M$169*(1+rvanilla07)^0.5)-SUM($M422:W422),('PTRM input'!$M$169*(1+rvanilla07)^0.5)/A27stdlife))</f>
        <v>0</v>
      </c>
      <c r="Y422" s="107">
        <f>IF(A27stdlife="n/a","n/a",IF(Y$3&gt;(A27stdlife+$E422),('PTRM input'!$M$169*(1+rvanilla07)^0.5)-SUM($M422:X422),('PTRM input'!$M$169*(1+rvanilla07)^0.5)/A27stdlife))</f>
        <v>0</v>
      </c>
      <c r="Z422" s="107">
        <f>IF(A27stdlife="n/a","n/a",IF(Z$3&gt;(A27stdlife+$E422),('PTRM input'!$M$169*(1+rvanilla07)^0.5)-SUM($M422:Y422),('PTRM input'!$M$169*(1+rvanilla07)^0.5)/A27stdlife))</f>
        <v>0</v>
      </c>
      <c r="AA422" s="107">
        <f>IF(A27stdlife="n/a","n/a",IF(AA$3&gt;(A27stdlife+$E422),('PTRM input'!$M$169*(1+rvanilla07)^0.5)-SUM($M422:Z422),('PTRM input'!$M$169*(1+rvanilla07)^0.5)/A27stdlife))</f>
        <v>0</v>
      </c>
      <c r="AB422" s="107">
        <f>IF(A27stdlife="n/a","n/a",IF(AB$3&gt;(A27stdlife+$E422),('PTRM input'!$M$169*(1+rvanilla07)^0.5)-SUM($M422:AA422),('PTRM input'!$M$169*(1+rvanilla07)^0.5)/A27stdlife))</f>
        <v>0</v>
      </c>
      <c r="AC422" s="107">
        <f>IF(A27stdlife="n/a","n/a",IF(AC$3&gt;(A27stdlife+$E422),('PTRM input'!$M$169*(1+rvanilla07)^0.5)-SUM($M422:AB422),('PTRM input'!$M$169*(1+rvanilla07)^0.5)/A27stdlife))</f>
        <v>0</v>
      </c>
      <c r="AD422" s="107">
        <f>IF(A27stdlife="n/a","n/a",IF(AD$3&gt;(A27stdlife+$E422),('PTRM input'!$M$169*(1+rvanilla07)^0.5)-SUM($M422:AC422),('PTRM input'!$M$169*(1+rvanilla07)^0.5)/A27stdlife))</f>
        <v>0</v>
      </c>
      <c r="AE422" s="107">
        <f>IF(A27stdlife="n/a","n/a",IF(AE$3&gt;(A27stdlife+$E422),('PTRM input'!$M$169*(1+rvanilla07)^0.5)-SUM($M422:AD422),('PTRM input'!$M$169*(1+rvanilla07)^0.5)/A27stdlife))</f>
        <v>0</v>
      </c>
      <c r="AF422" s="107">
        <f>IF(A27stdlife="n/a","n/a",IF(AF$3&gt;(A27stdlife+$E422),('PTRM input'!$M$169*(1+rvanilla07)^0.5)-SUM($M422:AE422),('PTRM input'!$M$169*(1+rvanilla07)^0.5)/A27stdlife))</f>
        <v>0</v>
      </c>
      <c r="AG422" s="107">
        <f>IF(A27stdlife="n/a","n/a",IF(AG$3&gt;(A27stdlife+$E422),('PTRM input'!$M$169*(1+rvanilla07)^0.5)-SUM($M422:AF422),('PTRM input'!$M$169*(1+rvanilla07)^0.5)/A27stdlife))</f>
        <v>0</v>
      </c>
      <c r="AH422" s="107">
        <f>IF(A27stdlife="n/a","n/a",IF(AH$3&gt;(A27stdlife+$E422),('PTRM input'!$M$169*(1+rvanilla07)^0.5)-SUM($M422:AG422),('PTRM input'!$M$169*(1+rvanilla07)^0.5)/A27stdlife))</f>
        <v>0</v>
      </c>
      <c r="AI422" s="107">
        <f>IF(A27stdlife="n/a","n/a",IF(AI$3&gt;(A27stdlife+$E422),('PTRM input'!$M$169*(1+rvanilla07)^0.5)-SUM($M422:AH422),('PTRM input'!$M$169*(1+rvanilla07)^0.5)/A27stdlife))</f>
        <v>0</v>
      </c>
      <c r="AJ422" s="107">
        <f>IF(A27stdlife="n/a","n/a",IF(AJ$3&gt;(A27stdlife+$E422),('PTRM input'!$M$169*(1+rvanilla07)^0.5)-SUM($M422:AI422),('PTRM input'!$M$169*(1+rvanilla07)^0.5)/A27stdlife))</f>
        <v>0</v>
      </c>
      <c r="AK422" s="107">
        <f>IF(A27stdlife="n/a","n/a",IF(AK$3&gt;(A27stdlife+$E422),('PTRM input'!$M$169*(1+rvanilla07)^0.5)-SUM($M422:AJ422),('PTRM input'!$M$169*(1+rvanilla07)^0.5)/A27stdlife))</f>
        <v>0</v>
      </c>
      <c r="AL422" s="107">
        <f>IF(A27stdlife="n/a","n/a",IF(AL$3&gt;(A27stdlife+$E422),('PTRM input'!$M$169*(1+rvanilla07)^0.5)-SUM($M422:AK422),('PTRM input'!$M$169*(1+rvanilla07)^0.5)/A27stdlife))</f>
        <v>0</v>
      </c>
      <c r="AM422" s="107">
        <f>IF(A27stdlife="n/a","n/a",IF(AM$3&gt;(A27stdlife+$E422),('PTRM input'!$M$169*(1+rvanilla07)^0.5)-SUM($M422:AL422),('PTRM input'!$M$169*(1+rvanilla07)^0.5)/A27stdlife))</f>
        <v>0</v>
      </c>
      <c r="AN422" s="107">
        <f>IF(A27stdlife="n/a","n/a",IF(AN$3&gt;(A27stdlife+$E422),('PTRM input'!$M$169*(1+rvanilla07)^0.5)-SUM($M422:AM422),('PTRM input'!$M$169*(1+rvanilla07)^0.5)/A27stdlife))</f>
        <v>0</v>
      </c>
      <c r="AO422" s="107">
        <f>IF(A27stdlife="n/a","n/a",IF(AO$3&gt;(A27stdlife+$E422),('PTRM input'!$M$169*(1+rvanilla07)^0.5)-SUM($M422:AN422),('PTRM input'!$M$169*(1+rvanilla07)^0.5)/A27stdlife))</f>
        <v>0</v>
      </c>
      <c r="AP422" s="107">
        <f>IF(A27stdlife="n/a","n/a",IF(AP$3&gt;(A27stdlife+$E422),('PTRM input'!$M$169*(1+rvanilla07)^0.5)-SUM($M422:AO422),('PTRM input'!$M$169*(1+rvanilla07)^0.5)/A27stdlife))</f>
        <v>0</v>
      </c>
      <c r="AQ422" s="107">
        <f>IF(A27stdlife="n/a","n/a",IF(AQ$3&gt;(A27stdlife+$E422),('PTRM input'!$M$169*(1+rvanilla07)^0.5)-SUM($M422:AP422),('PTRM input'!$M$169*(1+rvanilla07)^0.5)/A27stdlife))</f>
        <v>0</v>
      </c>
      <c r="AR422" s="107">
        <f>IF(A27stdlife="n/a","n/a",IF(AR$3&gt;(A27stdlife+$E422),('PTRM input'!$M$169*(1+rvanilla07)^0.5)-SUM($M422:AQ422),('PTRM input'!$M$169*(1+rvanilla07)^0.5)/A27stdlife))</f>
        <v>0</v>
      </c>
      <c r="AS422" s="107">
        <f>IF(A27stdlife="n/a","n/a",IF(AS$3&gt;(A27stdlife+$E422),('PTRM input'!$M$169*(1+rvanilla07)^0.5)-SUM($M422:AR422),('PTRM input'!$M$169*(1+rvanilla07)^0.5)/A27stdlife))</f>
        <v>0</v>
      </c>
      <c r="AT422" s="107">
        <f>IF(A27stdlife="n/a","n/a",IF(AT$3&gt;(A27stdlife+$E422),('PTRM input'!$M$169*(1+rvanilla07)^0.5)-SUM($M422:AS422),('PTRM input'!$M$169*(1+rvanilla07)^0.5)/A27stdlife))</f>
        <v>0</v>
      </c>
      <c r="AU422" s="107">
        <f>IF(A27stdlife="n/a","n/a",IF(AU$3&gt;(A27stdlife+$E422),('PTRM input'!$M$169*(1+rvanilla07)^0.5)-SUM($M422:AT422),('PTRM input'!$M$169*(1+rvanilla07)^0.5)/A27stdlife))</f>
        <v>0</v>
      </c>
      <c r="AV422" s="107">
        <f>IF(A27stdlife="n/a","n/a",IF(AV$3&gt;(A27stdlife+$E422),('PTRM input'!$M$169*(1+rvanilla07)^0.5)-SUM($M422:AU422),('PTRM input'!$M$169*(1+rvanilla07)^0.5)/A27stdlife))</f>
        <v>0</v>
      </c>
      <c r="AW422" s="107">
        <f>IF(A27stdlife="n/a","n/a",IF(AW$3&gt;(A27stdlife+$E422),('PTRM input'!$M$169*(1+rvanilla07)^0.5)-SUM($M422:AV422),('PTRM input'!$M$169*(1+rvanilla07)^0.5)/A27stdlife))</f>
        <v>0</v>
      </c>
      <c r="AX422" s="107">
        <f>IF(A27stdlife="n/a","n/a",IF(AX$3&gt;(A27stdlife+$E422),('PTRM input'!$M$169*(1+rvanilla07)^0.5)-SUM($M422:AW422),('PTRM input'!$M$169*(1+rvanilla07)^0.5)/A27stdlife))</f>
        <v>0</v>
      </c>
      <c r="AY422" s="107">
        <f>IF(A27stdlife="n/a","n/a",IF(AY$3&gt;(A27stdlife+$E422),('PTRM input'!$M$169*(1+rvanilla07)^0.5)-SUM($M422:AX422),('PTRM input'!$M$169*(1+rvanilla07)^0.5)/A27stdlife))</f>
        <v>0</v>
      </c>
      <c r="AZ422" s="107">
        <f>IF(A27stdlife="n/a","n/a",IF(AZ$3&gt;(A27stdlife+$E422),('PTRM input'!$M$169*(1+rvanilla07)^0.5)-SUM($M422:AY422),('PTRM input'!$M$169*(1+rvanilla07)^0.5)/A27stdlife))</f>
        <v>0</v>
      </c>
      <c r="BA422" s="107">
        <f>IF(A27stdlife="n/a","n/a",IF(BA$3&gt;(A27stdlife+$E422),('PTRM input'!$M$169*(1+rvanilla07)^0.5)-SUM($M422:AZ422),('PTRM input'!$M$169*(1+rvanilla07)^0.5)/A27stdlife))</f>
        <v>0</v>
      </c>
      <c r="BB422" s="107">
        <f>IF(A27stdlife="n/a","n/a",IF(BB$3&gt;(A27stdlife+$E422),('PTRM input'!$M$169*(1+rvanilla07)^0.5)-SUM($M422:BA422),('PTRM input'!$M$169*(1+rvanilla07)^0.5)/A27stdlife))</f>
        <v>0</v>
      </c>
      <c r="BC422" s="107">
        <f>IF(A27stdlife="n/a","n/a",IF(BC$3&gt;(A27stdlife+$E422),('PTRM input'!$M$169*(1+rvanilla07)^0.5)-SUM($M422:BB422),('PTRM input'!$M$169*(1+rvanilla07)^0.5)/A27stdlife))</f>
        <v>0</v>
      </c>
      <c r="BD422" s="107">
        <f>IF(A27stdlife="n/a","n/a",IF(BD$3&gt;(A27stdlife+$E422),('PTRM input'!$M$169*(1+rvanilla07)^0.5)-SUM($M422:BC422),('PTRM input'!$M$169*(1+rvanilla07)^0.5)/A27stdlife))</f>
        <v>0</v>
      </c>
      <c r="BE422" s="107">
        <f>IF(A27stdlife="n/a","n/a",IF(BE$3&gt;(A27stdlife+$E422),('PTRM input'!$M$169*(1+rvanilla07)^0.5)-SUM($M422:BD422),('PTRM input'!$M$169*(1+rvanilla07)^0.5)/A27stdlife))</f>
        <v>0</v>
      </c>
      <c r="BF422" s="107">
        <f>IF(A27stdlife="n/a","n/a",IF(BF$3&gt;(A27stdlife+$E422),('PTRM input'!$M$169*(1+rvanilla07)^0.5)-SUM($M422:BE422),('PTRM input'!$M$169*(1+rvanilla07)^0.5)/A27stdlife))</f>
        <v>0</v>
      </c>
      <c r="BG422" s="107">
        <f>IF(A27stdlife="n/a","n/a",IF(BG$3&gt;(A27stdlife+$E422),('PTRM input'!$M$169*(1+rvanilla07)^0.5)-SUM($M422:BF422),('PTRM input'!$M$169*(1+rvanilla07)^0.5)/A27stdlife))</f>
        <v>0</v>
      </c>
      <c r="BH422" s="107">
        <f>IF(A27stdlife="n/a","n/a",IF(BH$3&gt;(A27stdlife+$E422),('PTRM input'!$M$169*(1+rvanilla07)^0.5)-SUM($M422:BG422),('PTRM input'!$M$169*(1+rvanilla07)^0.5)/A27stdlife))</f>
        <v>0</v>
      </c>
      <c r="BI422" s="107">
        <f>IF(A27stdlife="n/a","n/a",IF(BI$3&gt;(A27stdlife+$E422),('PTRM input'!$M$169*(1+rvanilla07)^0.5)-SUM($M422:BH422),('PTRM input'!$M$169*(1+rvanilla07)^0.5)/A27stdlife))</f>
        <v>0</v>
      </c>
      <c r="BJ422" s="237"/>
      <c r="BK422" s="237"/>
      <c r="BL422" s="237"/>
      <c r="BM422" s="237"/>
    </row>
    <row r="423" spans="1:65" s="190" customFormat="1" hidden="1" outlineLevel="2">
      <c r="A423" s="237"/>
      <c r="B423" s="33"/>
      <c r="C423" s="32"/>
      <c r="D423" s="1618"/>
      <c r="E423" s="169">
        <v>8</v>
      </c>
      <c r="F423" s="35"/>
      <c r="G423" s="184"/>
      <c r="H423" s="186"/>
      <c r="I423" s="186"/>
      <c r="J423" s="186"/>
      <c r="K423" s="186"/>
      <c r="L423" s="186"/>
      <c r="M423" s="186"/>
      <c r="N423" s="185"/>
      <c r="O423" s="107">
        <f>IF(A27stdlife="n/a","n/a",IF(O$3&gt;(A27stdlife+$E423),('PTRM input'!$N$169*(1+rvanilla08)^0.5)-SUM($N423:N423),('PTRM input'!$N$169*(1+rvanilla08)^0.5)/A27stdlife))</f>
        <v>0</v>
      </c>
      <c r="P423" s="107">
        <f>IF(A27stdlife="n/a","n/a",IF(P$3&gt;(A27stdlife+$E423),('PTRM input'!$N$169*(1+rvanilla08)^0.5)-SUM($N423:O423),('PTRM input'!$N$169*(1+rvanilla08)^0.5)/A27stdlife))</f>
        <v>0</v>
      </c>
      <c r="Q423" s="107">
        <f>IF(A27stdlife="n/a","n/a",IF(Q$3&gt;(A27stdlife+$E423),('PTRM input'!$N$169*(1+rvanilla08)^0.5)-SUM($N423:P423),('PTRM input'!$N$169*(1+rvanilla08)^0.5)/A27stdlife))</f>
        <v>0</v>
      </c>
      <c r="R423" s="107">
        <f>IF(A27stdlife="n/a","n/a",IF(R$3&gt;(A27stdlife+$E423),('PTRM input'!$N$169*(1+rvanilla08)^0.5)-SUM($N423:Q423),('PTRM input'!$N$169*(1+rvanilla08)^0.5)/A27stdlife))</f>
        <v>0</v>
      </c>
      <c r="S423" s="107">
        <f>IF(A27stdlife="n/a","n/a",IF(S$3&gt;(A27stdlife+$E423),('PTRM input'!$N$169*(1+rvanilla08)^0.5)-SUM($N423:R423),('PTRM input'!$N$169*(1+rvanilla08)^0.5)/A27stdlife))</f>
        <v>0</v>
      </c>
      <c r="T423" s="107">
        <f>IF(A27stdlife="n/a","n/a",IF(T$3&gt;(A27stdlife+$E423),('PTRM input'!$N$169*(1+rvanilla08)^0.5)-SUM($N423:S423),('PTRM input'!$N$169*(1+rvanilla08)^0.5)/A27stdlife))</f>
        <v>0</v>
      </c>
      <c r="U423" s="107">
        <f>IF(A27stdlife="n/a","n/a",IF(U$3&gt;(A27stdlife+$E423),('PTRM input'!$N$169*(1+rvanilla08)^0.5)-SUM($N423:T423),('PTRM input'!$N$169*(1+rvanilla08)^0.5)/A27stdlife))</f>
        <v>0</v>
      </c>
      <c r="V423" s="107">
        <f>IF(A27stdlife="n/a","n/a",IF(V$3&gt;(A27stdlife+$E423),('PTRM input'!$N$169*(1+rvanilla08)^0.5)-SUM($N423:U423),('PTRM input'!$N$169*(1+rvanilla08)^0.5)/A27stdlife))</f>
        <v>0</v>
      </c>
      <c r="W423" s="107">
        <f>IF(A27stdlife="n/a","n/a",IF(W$3&gt;(A27stdlife+$E423),('PTRM input'!$N$169*(1+rvanilla08)^0.5)-SUM($N423:V423),('PTRM input'!$N$169*(1+rvanilla08)^0.5)/A27stdlife))</f>
        <v>0</v>
      </c>
      <c r="X423" s="107">
        <f>IF(A27stdlife="n/a","n/a",IF(X$3&gt;(A27stdlife+$E423),('PTRM input'!$N$169*(1+rvanilla08)^0.5)-SUM($N423:W423),('PTRM input'!$N$169*(1+rvanilla08)^0.5)/A27stdlife))</f>
        <v>0</v>
      </c>
      <c r="Y423" s="107">
        <f>IF(A27stdlife="n/a","n/a",IF(Y$3&gt;(A27stdlife+$E423),('PTRM input'!$N$169*(1+rvanilla08)^0.5)-SUM($N423:X423),('PTRM input'!$N$169*(1+rvanilla08)^0.5)/A27stdlife))</f>
        <v>0</v>
      </c>
      <c r="Z423" s="107">
        <f>IF(A27stdlife="n/a","n/a",IF(Z$3&gt;(A27stdlife+$E423),('PTRM input'!$N$169*(1+rvanilla08)^0.5)-SUM($N423:Y423),('PTRM input'!$N$169*(1+rvanilla08)^0.5)/A27stdlife))</f>
        <v>0</v>
      </c>
      <c r="AA423" s="107">
        <f>IF(A27stdlife="n/a","n/a",IF(AA$3&gt;(A27stdlife+$E423),('PTRM input'!$N$169*(1+rvanilla08)^0.5)-SUM($N423:Z423),('PTRM input'!$N$169*(1+rvanilla08)^0.5)/A27stdlife))</f>
        <v>0</v>
      </c>
      <c r="AB423" s="107">
        <f>IF(A27stdlife="n/a","n/a",IF(AB$3&gt;(A27stdlife+$E423),('PTRM input'!$N$169*(1+rvanilla08)^0.5)-SUM($N423:AA423),('PTRM input'!$N$169*(1+rvanilla08)^0.5)/A27stdlife))</f>
        <v>0</v>
      </c>
      <c r="AC423" s="107">
        <f>IF(A27stdlife="n/a","n/a",IF(AC$3&gt;(A27stdlife+$E423),('PTRM input'!$N$169*(1+rvanilla08)^0.5)-SUM($N423:AB423),('PTRM input'!$N$169*(1+rvanilla08)^0.5)/A27stdlife))</f>
        <v>0</v>
      </c>
      <c r="AD423" s="107">
        <f>IF(A27stdlife="n/a","n/a",IF(AD$3&gt;(A27stdlife+$E423),('PTRM input'!$N$169*(1+rvanilla08)^0.5)-SUM($N423:AC423),('PTRM input'!$N$169*(1+rvanilla08)^0.5)/A27stdlife))</f>
        <v>0</v>
      </c>
      <c r="AE423" s="107">
        <f>IF(A27stdlife="n/a","n/a",IF(AE$3&gt;(A27stdlife+$E423),('PTRM input'!$N$169*(1+rvanilla08)^0.5)-SUM($N423:AD423),('PTRM input'!$N$169*(1+rvanilla08)^0.5)/A27stdlife))</f>
        <v>0</v>
      </c>
      <c r="AF423" s="107">
        <f>IF(A27stdlife="n/a","n/a",IF(AF$3&gt;(A27stdlife+$E423),('PTRM input'!$N$169*(1+rvanilla08)^0.5)-SUM($N423:AE423),('PTRM input'!$N$169*(1+rvanilla08)^0.5)/A27stdlife))</f>
        <v>0</v>
      </c>
      <c r="AG423" s="107">
        <f>IF(A27stdlife="n/a","n/a",IF(AG$3&gt;(A27stdlife+$E423),('PTRM input'!$N$169*(1+rvanilla08)^0.5)-SUM($N423:AF423),('PTRM input'!$N$169*(1+rvanilla08)^0.5)/A27stdlife))</f>
        <v>0</v>
      </c>
      <c r="AH423" s="107">
        <f>IF(A27stdlife="n/a","n/a",IF(AH$3&gt;(A27stdlife+$E423),('PTRM input'!$N$169*(1+rvanilla08)^0.5)-SUM($N423:AG423),('PTRM input'!$N$169*(1+rvanilla08)^0.5)/A27stdlife))</f>
        <v>0</v>
      </c>
      <c r="AI423" s="107">
        <f>IF(A27stdlife="n/a","n/a",IF(AI$3&gt;(A27stdlife+$E423),('PTRM input'!$N$169*(1+rvanilla08)^0.5)-SUM($N423:AH423),('PTRM input'!$N$169*(1+rvanilla08)^0.5)/A27stdlife))</f>
        <v>0</v>
      </c>
      <c r="AJ423" s="107">
        <f>IF(A27stdlife="n/a","n/a",IF(AJ$3&gt;(A27stdlife+$E423),('PTRM input'!$N$169*(1+rvanilla08)^0.5)-SUM($N423:AI423),('PTRM input'!$N$169*(1+rvanilla08)^0.5)/A27stdlife))</f>
        <v>0</v>
      </c>
      <c r="AK423" s="107">
        <f>IF(A27stdlife="n/a","n/a",IF(AK$3&gt;(A27stdlife+$E423),('PTRM input'!$N$169*(1+rvanilla08)^0.5)-SUM($N423:AJ423),('PTRM input'!$N$169*(1+rvanilla08)^0.5)/A27stdlife))</f>
        <v>0</v>
      </c>
      <c r="AL423" s="107">
        <f>IF(A27stdlife="n/a","n/a",IF(AL$3&gt;(A27stdlife+$E423),('PTRM input'!$N$169*(1+rvanilla08)^0.5)-SUM($N423:AK423),('PTRM input'!$N$169*(1+rvanilla08)^0.5)/A27stdlife))</f>
        <v>0</v>
      </c>
      <c r="AM423" s="107">
        <f>IF(A27stdlife="n/a","n/a",IF(AM$3&gt;(A27stdlife+$E423),('PTRM input'!$N$169*(1+rvanilla08)^0.5)-SUM($N423:AL423),('PTRM input'!$N$169*(1+rvanilla08)^0.5)/A27stdlife))</f>
        <v>0</v>
      </c>
      <c r="AN423" s="107">
        <f>IF(A27stdlife="n/a","n/a",IF(AN$3&gt;(A27stdlife+$E423),('PTRM input'!$N$169*(1+rvanilla08)^0.5)-SUM($N423:AM423),('PTRM input'!$N$169*(1+rvanilla08)^0.5)/A27stdlife))</f>
        <v>0</v>
      </c>
      <c r="AO423" s="107">
        <f>IF(A27stdlife="n/a","n/a",IF(AO$3&gt;(A27stdlife+$E423),('PTRM input'!$N$169*(1+rvanilla08)^0.5)-SUM($N423:AN423),('PTRM input'!$N$169*(1+rvanilla08)^0.5)/A27stdlife))</f>
        <v>0</v>
      </c>
      <c r="AP423" s="107">
        <f>IF(A27stdlife="n/a","n/a",IF(AP$3&gt;(A27stdlife+$E423),('PTRM input'!$N$169*(1+rvanilla08)^0.5)-SUM($N423:AO423),('PTRM input'!$N$169*(1+rvanilla08)^0.5)/A27stdlife))</f>
        <v>0</v>
      </c>
      <c r="AQ423" s="107">
        <f>IF(A27stdlife="n/a","n/a",IF(AQ$3&gt;(A27stdlife+$E423),('PTRM input'!$N$169*(1+rvanilla08)^0.5)-SUM($N423:AP423),('PTRM input'!$N$169*(1+rvanilla08)^0.5)/A27stdlife))</f>
        <v>0</v>
      </c>
      <c r="AR423" s="107">
        <f>IF(A27stdlife="n/a","n/a",IF(AR$3&gt;(A27stdlife+$E423),('PTRM input'!$N$169*(1+rvanilla08)^0.5)-SUM($N423:AQ423),('PTRM input'!$N$169*(1+rvanilla08)^0.5)/A27stdlife))</f>
        <v>0</v>
      </c>
      <c r="AS423" s="107">
        <f>IF(A27stdlife="n/a","n/a",IF(AS$3&gt;(A27stdlife+$E423),('PTRM input'!$N$169*(1+rvanilla08)^0.5)-SUM($N423:AR423),('PTRM input'!$N$169*(1+rvanilla08)^0.5)/A27stdlife))</f>
        <v>0</v>
      </c>
      <c r="AT423" s="107">
        <f>IF(A27stdlife="n/a","n/a",IF(AT$3&gt;(A27stdlife+$E423),('PTRM input'!$N$169*(1+rvanilla08)^0.5)-SUM($N423:AS423),('PTRM input'!$N$169*(1+rvanilla08)^0.5)/A27stdlife))</f>
        <v>0</v>
      </c>
      <c r="AU423" s="107">
        <f>IF(A27stdlife="n/a","n/a",IF(AU$3&gt;(A27stdlife+$E423),('PTRM input'!$N$169*(1+rvanilla08)^0.5)-SUM($N423:AT423),('PTRM input'!$N$169*(1+rvanilla08)^0.5)/A27stdlife))</f>
        <v>0</v>
      </c>
      <c r="AV423" s="107">
        <f>IF(A27stdlife="n/a","n/a",IF(AV$3&gt;(A27stdlife+$E423),('PTRM input'!$N$169*(1+rvanilla08)^0.5)-SUM($N423:AU423),('PTRM input'!$N$169*(1+rvanilla08)^0.5)/A27stdlife))</f>
        <v>0</v>
      </c>
      <c r="AW423" s="107">
        <f>IF(A27stdlife="n/a","n/a",IF(AW$3&gt;(A27stdlife+$E423),('PTRM input'!$N$169*(1+rvanilla08)^0.5)-SUM($N423:AV423),('PTRM input'!$N$169*(1+rvanilla08)^0.5)/A27stdlife))</f>
        <v>0</v>
      </c>
      <c r="AX423" s="107">
        <f>IF(A27stdlife="n/a","n/a",IF(AX$3&gt;(A27stdlife+$E423),('PTRM input'!$N$169*(1+rvanilla08)^0.5)-SUM($N423:AW423),('PTRM input'!$N$169*(1+rvanilla08)^0.5)/A27stdlife))</f>
        <v>0</v>
      </c>
      <c r="AY423" s="107">
        <f>IF(A27stdlife="n/a","n/a",IF(AY$3&gt;(A27stdlife+$E423),('PTRM input'!$N$169*(1+rvanilla08)^0.5)-SUM($N423:AX423),('PTRM input'!$N$169*(1+rvanilla08)^0.5)/A27stdlife))</f>
        <v>0</v>
      </c>
      <c r="AZ423" s="107">
        <f>IF(A27stdlife="n/a","n/a",IF(AZ$3&gt;(A27stdlife+$E423),('PTRM input'!$N$169*(1+rvanilla08)^0.5)-SUM($N423:AY423),('PTRM input'!$N$169*(1+rvanilla08)^0.5)/A27stdlife))</f>
        <v>0</v>
      </c>
      <c r="BA423" s="107">
        <f>IF(A27stdlife="n/a","n/a",IF(BA$3&gt;(A27stdlife+$E423),('PTRM input'!$N$169*(1+rvanilla08)^0.5)-SUM($N423:AZ423),('PTRM input'!$N$169*(1+rvanilla08)^0.5)/A27stdlife))</f>
        <v>0</v>
      </c>
      <c r="BB423" s="107">
        <f>IF(A27stdlife="n/a","n/a",IF(BB$3&gt;(A27stdlife+$E423),('PTRM input'!$N$169*(1+rvanilla08)^0.5)-SUM($N423:BA423),('PTRM input'!$N$169*(1+rvanilla08)^0.5)/A27stdlife))</f>
        <v>0</v>
      </c>
      <c r="BC423" s="107">
        <f>IF(A27stdlife="n/a","n/a",IF(BC$3&gt;(A27stdlife+$E423),('PTRM input'!$N$169*(1+rvanilla08)^0.5)-SUM($N423:BB423),('PTRM input'!$N$169*(1+rvanilla08)^0.5)/A27stdlife))</f>
        <v>0</v>
      </c>
      <c r="BD423" s="107">
        <f>IF(A27stdlife="n/a","n/a",IF(BD$3&gt;(A27stdlife+$E423),('PTRM input'!$N$169*(1+rvanilla08)^0.5)-SUM($N423:BC423),('PTRM input'!$N$169*(1+rvanilla08)^0.5)/A27stdlife))</f>
        <v>0</v>
      </c>
      <c r="BE423" s="107">
        <f>IF(A27stdlife="n/a","n/a",IF(BE$3&gt;(A27stdlife+$E423),('PTRM input'!$N$169*(1+rvanilla08)^0.5)-SUM($N423:BD423),('PTRM input'!$N$169*(1+rvanilla08)^0.5)/A27stdlife))</f>
        <v>0</v>
      </c>
      <c r="BF423" s="107">
        <f>IF(A27stdlife="n/a","n/a",IF(BF$3&gt;(A27stdlife+$E423),('PTRM input'!$N$169*(1+rvanilla08)^0.5)-SUM($N423:BE423),('PTRM input'!$N$169*(1+rvanilla08)^0.5)/A27stdlife))</f>
        <v>0</v>
      </c>
      <c r="BG423" s="107">
        <f>IF(A27stdlife="n/a","n/a",IF(BG$3&gt;(A27stdlife+$E423),('PTRM input'!$N$169*(1+rvanilla08)^0.5)-SUM($N423:BF423),('PTRM input'!$N$169*(1+rvanilla08)^0.5)/A27stdlife))</f>
        <v>0</v>
      </c>
      <c r="BH423" s="107">
        <f>IF(A27stdlife="n/a","n/a",IF(BH$3&gt;(A27stdlife+$E423),('PTRM input'!$N$169*(1+rvanilla08)^0.5)-SUM($N423:BG423),('PTRM input'!$N$169*(1+rvanilla08)^0.5)/A27stdlife))</f>
        <v>0</v>
      </c>
      <c r="BI423" s="107">
        <f>IF(A27stdlife="n/a","n/a",IF(BI$3&gt;(A27stdlife+$E423),('PTRM input'!$N$169*(1+rvanilla08)^0.5)-SUM($N423:BH423),('PTRM input'!$N$169*(1+rvanilla08)^0.5)/A27stdlife))</f>
        <v>0</v>
      </c>
      <c r="BJ423" s="237"/>
      <c r="BK423" s="237"/>
      <c r="BL423" s="237"/>
      <c r="BM423" s="237"/>
    </row>
    <row r="424" spans="1:65" s="190" customFormat="1" hidden="1" outlineLevel="2">
      <c r="A424" s="237"/>
      <c r="B424" s="33"/>
      <c r="C424" s="32"/>
      <c r="D424" s="1618"/>
      <c r="E424" s="169">
        <v>9</v>
      </c>
      <c r="F424" s="35"/>
      <c r="G424" s="184"/>
      <c r="H424" s="186"/>
      <c r="I424" s="186"/>
      <c r="J424" s="186"/>
      <c r="K424" s="186"/>
      <c r="L424" s="186"/>
      <c r="M424" s="186"/>
      <c r="N424" s="186"/>
      <c r="O424" s="185"/>
      <c r="P424" s="107">
        <f>IF(A27stdlife="n/a","n/a",IF(P$3&gt;(A27stdlife+$E424),('PTRM input'!$O$169*(1+rvanilla09)^0.5)-SUM($O424:O424),('PTRM input'!$O$169*(1+rvanilla09)^0.5)/A27stdlife))</f>
        <v>0</v>
      </c>
      <c r="Q424" s="107">
        <f>IF(A27stdlife="n/a","n/a",IF(Q$3&gt;(A27stdlife+$E424),('PTRM input'!$O$169*(1+rvanilla09)^0.5)-SUM($O424:P424),('PTRM input'!$O$169*(1+rvanilla09)^0.5)/A27stdlife))</f>
        <v>0</v>
      </c>
      <c r="R424" s="107">
        <f>IF(A27stdlife="n/a","n/a",IF(R$3&gt;(A27stdlife+$E424),('PTRM input'!$O$169*(1+rvanilla09)^0.5)-SUM($O424:Q424),('PTRM input'!$O$169*(1+rvanilla09)^0.5)/A27stdlife))</f>
        <v>0</v>
      </c>
      <c r="S424" s="107">
        <f>IF(A27stdlife="n/a","n/a",IF(S$3&gt;(A27stdlife+$E424),('PTRM input'!$O$169*(1+rvanilla09)^0.5)-SUM($O424:R424),('PTRM input'!$O$169*(1+rvanilla09)^0.5)/A27stdlife))</f>
        <v>0</v>
      </c>
      <c r="T424" s="107">
        <f>IF(A27stdlife="n/a","n/a",IF(T$3&gt;(A27stdlife+$E424),('PTRM input'!$O$169*(1+rvanilla09)^0.5)-SUM($O424:S424),('PTRM input'!$O$169*(1+rvanilla09)^0.5)/A27stdlife))</f>
        <v>0</v>
      </c>
      <c r="U424" s="107">
        <f>IF(A27stdlife="n/a","n/a",IF(U$3&gt;(A27stdlife+$E424),('PTRM input'!$O$169*(1+rvanilla09)^0.5)-SUM($O424:T424),('PTRM input'!$O$169*(1+rvanilla09)^0.5)/A27stdlife))</f>
        <v>0</v>
      </c>
      <c r="V424" s="107">
        <f>IF(A27stdlife="n/a","n/a",IF(V$3&gt;(A27stdlife+$E424),('PTRM input'!$O$169*(1+rvanilla09)^0.5)-SUM($O424:U424),('PTRM input'!$O$169*(1+rvanilla09)^0.5)/A27stdlife))</f>
        <v>0</v>
      </c>
      <c r="W424" s="107">
        <f>IF(A27stdlife="n/a","n/a",IF(W$3&gt;(A27stdlife+$E424),('PTRM input'!$O$169*(1+rvanilla09)^0.5)-SUM($O424:V424),('PTRM input'!$O$169*(1+rvanilla09)^0.5)/A27stdlife))</f>
        <v>0</v>
      </c>
      <c r="X424" s="107">
        <f>IF(A27stdlife="n/a","n/a",IF(X$3&gt;(A27stdlife+$E424),('PTRM input'!$O$169*(1+rvanilla09)^0.5)-SUM($O424:W424),('PTRM input'!$O$169*(1+rvanilla09)^0.5)/A27stdlife))</f>
        <v>0</v>
      </c>
      <c r="Y424" s="107">
        <f>IF(A27stdlife="n/a","n/a",IF(Y$3&gt;(A27stdlife+$E424),('PTRM input'!$O$169*(1+rvanilla09)^0.5)-SUM($O424:X424),('PTRM input'!$O$169*(1+rvanilla09)^0.5)/A27stdlife))</f>
        <v>0</v>
      </c>
      <c r="Z424" s="107">
        <f>IF(A27stdlife="n/a","n/a",IF(Z$3&gt;(A27stdlife+$E424),('PTRM input'!$O$169*(1+rvanilla09)^0.5)-SUM($O424:Y424),('PTRM input'!$O$169*(1+rvanilla09)^0.5)/A27stdlife))</f>
        <v>0</v>
      </c>
      <c r="AA424" s="107">
        <f>IF(A27stdlife="n/a","n/a",IF(AA$3&gt;(A27stdlife+$E424),('PTRM input'!$O$169*(1+rvanilla09)^0.5)-SUM($O424:Z424),('PTRM input'!$O$169*(1+rvanilla09)^0.5)/A27stdlife))</f>
        <v>0</v>
      </c>
      <c r="AB424" s="107">
        <f>IF(A27stdlife="n/a","n/a",IF(AB$3&gt;(A27stdlife+$E424),('PTRM input'!$O$169*(1+rvanilla09)^0.5)-SUM($O424:AA424),('PTRM input'!$O$169*(1+rvanilla09)^0.5)/A27stdlife))</f>
        <v>0</v>
      </c>
      <c r="AC424" s="107">
        <f>IF(A27stdlife="n/a","n/a",IF(AC$3&gt;(A27stdlife+$E424),('PTRM input'!$O$169*(1+rvanilla09)^0.5)-SUM($O424:AB424),('PTRM input'!$O$169*(1+rvanilla09)^0.5)/A27stdlife))</f>
        <v>0</v>
      </c>
      <c r="AD424" s="107">
        <f>IF(A27stdlife="n/a","n/a",IF(AD$3&gt;(A27stdlife+$E424),('PTRM input'!$O$169*(1+rvanilla09)^0.5)-SUM($O424:AC424),('PTRM input'!$O$169*(1+rvanilla09)^0.5)/A27stdlife))</f>
        <v>0</v>
      </c>
      <c r="AE424" s="107">
        <f>IF(A27stdlife="n/a","n/a",IF(AE$3&gt;(A27stdlife+$E424),('PTRM input'!$O$169*(1+rvanilla09)^0.5)-SUM($O424:AD424),('PTRM input'!$O$169*(1+rvanilla09)^0.5)/A27stdlife))</f>
        <v>0</v>
      </c>
      <c r="AF424" s="107">
        <f>IF(A27stdlife="n/a","n/a",IF(AF$3&gt;(A27stdlife+$E424),('PTRM input'!$O$169*(1+rvanilla09)^0.5)-SUM($O424:AE424),('PTRM input'!$O$169*(1+rvanilla09)^0.5)/A27stdlife))</f>
        <v>0</v>
      </c>
      <c r="AG424" s="107">
        <f>IF(A27stdlife="n/a","n/a",IF(AG$3&gt;(A27stdlife+$E424),('PTRM input'!$O$169*(1+rvanilla09)^0.5)-SUM($O424:AF424),('PTRM input'!$O$169*(1+rvanilla09)^0.5)/A27stdlife))</f>
        <v>0</v>
      </c>
      <c r="AH424" s="107">
        <f>IF(A27stdlife="n/a","n/a",IF(AH$3&gt;(A27stdlife+$E424),('PTRM input'!$O$169*(1+rvanilla09)^0.5)-SUM($O424:AG424),('PTRM input'!$O$169*(1+rvanilla09)^0.5)/A27stdlife))</f>
        <v>0</v>
      </c>
      <c r="AI424" s="107">
        <f>IF(A27stdlife="n/a","n/a",IF(AI$3&gt;(A27stdlife+$E424),('PTRM input'!$O$169*(1+rvanilla09)^0.5)-SUM($O424:AH424),('PTRM input'!$O$169*(1+rvanilla09)^0.5)/A27stdlife))</f>
        <v>0</v>
      </c>
      <c r="AJ424" s="107">
        <f>IF(A27stdlife="n/a","n/a",IF(AJ$3&gt;(A27stdlife+$E424),('PTRM input'!$O$169*(1+rvanilla09)^0.5)-SUM($O424:AI424),('PTRM input'!$O$169*(1+rvanilla09)^0.5)/A27stdlife))</f>
        <v>0</v>
      </c>
      <c r="AK424" s="107">
        <f>IF(A27stdlife="n/a","n/a",IF(AK$3&gt;(A27stdlife+$E424),('PTRM input'!$O$169*(1+rvanilla09)^0.5)-SUM($O424:AJ424),('PTRM input'!$O$169*(1+rvanilla09)^0.5)/A27stdlife))</f>
        <v>0</v>
      </c>
      <c r="AL424" s="107">
        <f>IF(A27stdlife="n/a","n/a",IF(AL$3&gt;(A27stdlife+$E424),('PTRM input'!$O$169*(1+rvanilla09)^0.5)-SUM($O424:AK424),('PTRM input'!$O$169*(1+rvanilla09)^0.5)/A27stdlife))</f>
        <v>0</v>
      </c>
      <c r="AM424" s="107">
        <f>IF(A27stdlife="n/a","n/a",IF(AM$3&gt;(A27stdlife+$E424),('PTRM input'!$O$169*(1+rvanilla09)^0.5)-SUM($O424:AL424),('PTRM input'!$O$169*(1+rvanilla09)^0.5)/A27stdlife))</f>
        <v>0</v>
      </c>
      <c r="AN424" s="107">
        <f>IF(A27stdlife="n/a","n/a",IF(AN$3&gt;(A27stdlife+$E424),('PTRM input'!$O$169*(1+rvanilla09)^0.5)-SUM($O424:AM424),('PTRM input'!$O$169*(1+rvanilla09)^0.5)/A27stdlife))</f>
        <v>0</v>
      </c>
      <c r="AO424" s="107">
        <f>IF(A27stdlife="n/a","n/a",IF(AO$3&gt;(A27stdlife+$E424),('PTRM input'!$O$169*(1+rvanilla09)^0.5)-SUM($O424:AN424),('PTRM input'!$O$169*(1+rvanilla09)^0.5)/A27stdlife))</f>
        <v>0</v>
      </c>
      <c r="AP424" s="107">
        <f>IF(A27stdlife="n/a","n/a",IF(AP$3&gt;(A27stdlife+$E424),('PTRM input'!$O$169*(1+rvanilla09)^0.5)-SUM($O424:AO424),('PTRM input'!$O$169*(1+rvanilla09)^0.5)/A27stdlife))</f>
        <v>0</v>
      </c>
      <c r="AQ424" s="107">
        <f>IF(A27stdlife="n/a","n/a",IF(AQ$3&gt;(A27stdlife+$E424),('PTRM input'!$O$169*(1+rvanilla09)^0.5)-SUM($O424:AP424),('PTRM input'!$O$169*(1+rvanilla09)^0.5)/A27stdlife))</f>
        <v>0</v>
      </c>
      <c r="AR424" s="107">
        <f>IF(A27stdlife="n/a","n/a",IF(AR$3&gt;(A27stdlife+$E424),('PTRM input'!$O$169*(1+rvanilla09)^0.5)-SUM($O424:AQ424),('PTRM input'!$O$169*(1+rvanilla09)^0.5)/A27stdlife))</f>
        <v>0</v>
      </c>
      <c r="AS424" s="107">
        <f>IF(A27stdlife="n/a","n/a",IF(AS$3&gt;(A27stdlife+$E424),('PTRM input'!$O$169*(1+rvanilla09)^0.5)-SUM($O424:AR424),('PTRM input'!$O$169*(1+rvanilla09)^0.5)/A27stdlife))</f>
        <v>0</v>
      </c>
      <c r="AT424" s="107">
        <f>IF(A27stdlife="n/a","n/a",IF(AT$3&gt;(A27stdlife+$E424),('PTRM input'!$O$169*(1+rvanilla09)^0.5)-SUM($O424:AS424),('PTRM input'!$O$169*(1+rvanilla09)^0.5)/A27stdlife))</f>
        <v>0</v>
      </c>
      <c r="AU424" s="107">
        <f>IF(A27stdlife="n/a","n/a",IF(AU$3&gt;(A27stdlife+$E424),('PTRM input'!$O$169*(1+rvanilla09)^0.5)-SUM($O424:AT424),('PTRM input'!$O$169*(1+rvanilla09)^0.5)/A27stdlife))</f>
        <v>0</v>
      </c>
      <c r="AV424" s="107">
        <f>IF(A27stdlife="n/a","n/a",IF(AV$3&gt;(A27stdlife+$E424),('PTRM input'!$O$169*(1+rvanilla09)^0.5)-SUM($O424:AU424),('PTRM input'!$O$169*(1+rvanilla09)^0.5)/A27stdlife))</f>
        <v>0</v>
      </c>
      <c r="AW424" s="107">
        <f>IF(A27stdlife="n/a","n/a",IF(AW$3&gt;(A27stdlife+$E424),('PTRM input'!$O$169*(1+rvanilla09)^0.5)-SUM($O424:AV424),('PTRM input'!$O$169*(1+rvanilla09)^0.5)/A27stdlife))</f>
        <v>0</v>
      </c>
      <c r="AX424" s="107">
        <f>IF(A27stdlife="n/a","n/a",IF(AX$3&gt;(A27stdlife+$E424),('PTRM input'!$O$169*(1+rvanilla09)^0.5)-SUM($O424:AW424),('PTRM input'!$O$169*(1+rvanilla09)^0.5)/A27stdlife))</f>
        <v>0</v>
      </c>
      <c r="AY424" s="107">
        <f>IF(A27stdlife="n/a","n/a",IF(AY$3&gt;(A27stdlife+$E424),('PTRM input'!$O$169*(1+rvanilla09)^0.5)-SUM($O424:AX424),('PTRM input'!$O$169*(1+rvanilla09)^0.5)/A27stdlife))</f>
        <v>0</v>
      </c>
      <c r="AZ424" s="107">
        <f>IF(A27stdlife="n/a","n/a",IF(AZ$3&gt;(A27stdlife+$E424),('PTRM input'!$O$169*(1+rvanilla09)^0.5)-SUM($O424:AY424),('PTRM input'!$O$169*(1+rvanilla09)^0.5)/A27stdlife))</f>
        <v>0</v>
      </c>
      <c r="BA424" s="107">
        <f>IF(A27stdlife="n/a","n/a",IF(BA$3&gt;(A27stdlife+$E424),('PTRM input'!$O$169*(1+rvanilla09)^0.5)-SUM($O424:AZ424),('PTRM input'!$O$169*(1+rvanilla09)^0.5)/A27stdlife))</f>
        <v>0</v>
      </c>
      <c r="BB424" s="107">
        <f>IF(A27stdlife="n/a","n/a",IF(BB$3&gt;(A27stdlife+$E424),('PTRM input'!$O$169*(1+rvanilla09)^0.5)-SUM($O424:BA424),('PTRM input'!$O$169*(1+rvanilla09)^0.5)/A27stdlife))</f>
        <v>0</v>
      </c>
      <c r="BC424" s="107">
        <f>IF(A27stdlife="n/a","n/a",IF(BC$3&gt;(A27stdlife+$E424),('PTRM input'!$O$169*(1+rvanilla09)^0.5)-SUM($O424:BB424),('PTRM input'!$O$169*(1+rvanilla09)^0.5)/A27stdlife))</f>
        <v>0</v>
      </c>
      <c r="BD424" s="107">
        <f>IF(A27stdlife="n/a","n/a",IF(BD$3&gt;(A27stdlife+$E424),('PTRM input'!$O$169*(1+rvanilla09)^0.5)-SUM($O424:BC424),('PTRM input'!$O$169*(1+rvanilla09)^0.5)/A27stdlife))</f>
        <v>0</v>
      </c>
      <c r="BE424" s="107">
        <f>IF(A27stdlife="n/a","n/a",IF(BE$3&gt;(A27stdlife+$E424),('PTRM input'!$O$169*(1+rvanilla09)^0.5)-SUM($O424:BD424),('PTRM input'!$O$169*(1+rvanilla09)^0.5)/A27stdlife))</f>
        <v>0</v>
      </c>
      <c r="BF424" s="107">
        <f>IF(A27stdlife="n/a","n/a",IF(BF$3&gt;(A27stdlife+$E424),('PTRM input'!$O$169*(1+rvanilla09)^0.5)-SUM($O424:BE424),('PTRM input'!$O$169*(1+rvanilla09)^0.5)/A27stdlife))</f>
        <v>0</v>
      </c>
      <c r="BG424" s="107">
        <f>IF(A27stdlife="n/a","n/a",IF(BG$3&gt;(A27stdlife+$E424),('PTRM input'!$O$169*(1+rvanilla09)^0.5)-SUM($O424:BF424),('PTRM input'!$O$169*(1+rvanilla09)^0.5)/A27stdlife))</f>
        <v>0</v>
      </c>
      <c r="BH424" s="107">
        <f>IF(A27stdlife="n/a","n/a",IF(BH$3&gt;(A27stdlife+$E424),('PTRM input'!$O$169*(1+rvanilla09)^0.5)-SUM($O424:BG424),('PTRM input'!$O$169*(1+rvanilla09)^0.5)/A27stdlife))</f>
        <v>0</v>
      </c>
      <c r="BI424" s="107">
        <f>IF(A27stdlife="n/a","n/a",IF(BI$3&gt;(A27stdlife+$E424),('PTRM input'!$O$169*(1+rvanilla09)^0.5)-SUM($O424:BH424),('PTRM input'!$O$169*(1+rvanilla09)^0.5)/A27stdlife))</f>
        <v>0</v>
      </c>
      <c r="BJ424" s="237"/>
      <c r="BK424" s="237"/>
      <c r="BL424" s="237"/>
      <c r="BM424" s="237"/>
    </row>
    <row r="425" spans="1:65" s="190" customFormat="1" hidden="1" outlineLevel="2">
      <c r="A425" s="237"/>
      <c r="B425" s="33"/>
      <c r="C425" s="32"/>
      <c r="D425" s="1618"/>
      <c r="E425" s="170">
        <v>10</v>
      </c>
      <c r="F425" s="35"/>
      <c r="G425" s="184"/>
      <c r="H425" s="186"/>
      <c r="I425" s="186"/>
      <c r="J425" s="186"/>
      <c r="K425" s="186"/>
      <c r="L425" s="186"/>
      <c r="M425" s="186"/>
      <c r="N425" s="186"/>
      <c r="O425" s="186"/>
      <c r="P425" s="185"/>
      <c r="Q425" s="107">
        <f>IF(A27stdlife="n/a","n/a",IF(Q$3&gt;(A27stdlife+$E425),('PTRM input'!$P$169*(1+rvanilla10)^0.5)-SUM($P425:P425),('PTRM input'!$P$169*(1+rvanilla10)^0.5)/A27stdlife))</f>
        <v>0</v>
      </c>
      <c r="R425" s="107">
        <f>IF(A27stdlife="n/a","n/a",IF(R$3&gt;(A27stdlife+$E425),('PTRM input'!$P$169*(1+rvanilla10)^0.5)-SUM($P425:Q425),('PTRM input'!$P$169*(1+rvanilla10)^0.5)/A27stdlife))</f>
        <v>0</v>
      </c>
      <c r="S425" s="107">
        <f>IF(A27stdlife="n/a","n/a",IF(S$3&gt;(A27stdlife+$E425),('PTRM input'!$P$169*(1+rvanilla10)^0.5)-SUM($P425:R425),('PTRM input'!$P$169*(1+rvanilla10)^0.5)/A27stdlife))</f>
        <v>0</v>
      </c>
      <c r="T425" s="107">
        <f>IF(A27stdlife="n/a","n/a",IF(T$3&gt;(A27stdlife+$E425),('PTRM input'!$P$169*(1+rvanilla10)^0.5)-SUM($P425:S425),('PTRM input'!$P$169*(1+rvanilla10)^0.5)/A27stdlife))</f>
        <v>0</v>
      </c>
      <c r="U425" s="107">
        <f>IF(A27stdlife="n/a","n/a",IF(U$3&gt;(A27stdlife+$E425),('PTRM input'!$P$169*(1+rvanilla10)^0.5)-SUM($P425:T425),('PTRM input'!$P$169*(1+rvanilla10)^0.5)/A27stdlife))</f>
        <v>0</v>
      </c>
      <c r="V425" s="107">
        <f>IF(A27stdlife="n/a","n/a",IF(V$3&gt;(A27stdlife+$E425),('PTRM input'!$P$169*(1+rvanilla10)^0.5)-SUM($P425:U425),('PTRM input'!$P$169*(1+rvanilla10)^0.5)/A27stdlife))</f>
        <v>0</v>
      </c>
      <c r="W425" s="107">
        <f>IF(A27stdlife="n/a","n/a",IF(W$3&gt;(A27stdlife+$E425),('PTRM input'!$P$169*(1+rvanilla10)^0.5)-SUM($P425:V425),('PTRM input'!$P$169*(1+rvanilla10)^0.5)/A27stdlife))</f>
        <v>0</v>
      </c>
      <c r="X425" s="107">
        <f>IF(A27stdlife="n/a","n/a",IF(X$3&gt;(A27stdlife+$E425),('PTRM input'!$P$169*(1+rvanilla10)^0.5)-SUM($P425:W425),('PTRM input'!$P$169*(1+rvanilla10)^0.5)/A27stdlife))</f>
        <v>0</v>
      </c>
      <c r="Y425" s="107">
        <f>IF(A27stdlife="n/a","n/a",IF(Y$3&gt;(A27stdlife+$E425),('PTRM input'!$P$169*(1+rvanilla10)^0.5)-SUM($P425:X425),('PTRM input'!$P$169*(1+rvanilla10)^0.5)/A27stdlife))</f>
        <v>0</v>
      </c>
      <c r="Z425" s="107">
        <f>IF(A27stdlife="n/a","n/a",IF(Z$3&gt;(A27stdlife+$E425),('PTRM input'!$P$169*(1+rvanilla10)^0.5)-SUM($P425:Y425),('PTRM input'!$P$169*(1+rvanilla10)^0.5)/A27stdlife))</f>
        <v>0</v>
      </c>
      <c r="AA425" s="107">
        <f>IF(A27stdlife="n/a","n/a",IF(AA$3&gt;(A27stdlife+$E425),('PTRM input'!$P$169*(1+rvanilla10)^0.5)-SUM($P425:Z425),('PTRM input'!$P$169*(1+rvanilla10)^0.5)/A27stdlife))</f>
        <v>0</v>
      </c>
      <c r="AB425" s="107">
        <f>IF(A27stdlife="n/a","n/a",IF(AB$3&gt;(A27stdlife+$E425),('PTRM input'!$P$169*(1+rvanilla10)^0.5)-SUM($P425:AA425),('PTRM input'!$P$169*(1+rvanilla10)^0.5)/A27stdlife))</f>
        <v>0</v>
      </c>
      <c r="AC425" s="107">
        <f>IF(A27stdlife="n/a","n/a",IF(AC$3&gt;(A27stdlife+$E425),('PTRM input'!$P$169*(1+rvanilla10)^0.5)-SUM($P425:AB425),('PTRM input'!$P$169*(1+rvanilla10)^0.5)/A27stdlife))</f>
        <v>0</v>
      </c>
      <c r="AD425" s="107">
        <f>IF(A27stdlife="n/a","n/a",IF(AD$3&gt;(A27stdlife+$E425),('PTRM input'!$P$169*(1+rvanilla10)^0.5)-SUM($P425:AC425),('PTRM input'!$P$169*(1+rvanilla10)^0.5)/A27stdlife))</f>
        <v>0</v>
      </c>
      <c r="AE425" s="107">
        <f>IF(A27stdlife="n/a","n/a",IF(AE$3&gt;(A27stdlife+$E425),('PTRM input'!$P$169*(1+rvanilla10)^0.5)-SUM($P425:AD425),('PTRM input'!$P$169*(1+rvanilla10)^0.5)/A27stdlife))</f>
        <v>0</v>
      </c>
      <c r="AF425" s="107">
        <f>IF(A27stdlife="n/a","n/a",IF(AF$3&gt;(A27stdlife+$E425),('PTRM input'!$P$169*(1+rvanilla10)^0.5)-SUM($P425:AE425),('PTRM input'!$P$169*(1+rvanilla10)^0.5)/A27stdlife))</f>
        <v>0</v>
      </c>
      <c r="AG425" s="107">
        <f>IF(A27stdlife="n/a","n/a",IF(AG$3&gt;(A27stdlife+$E425),('PTRM input'!$P$169*(1+rvanilla10)^0.5)-SUM($P425:AF425),('PTRM input'!$P$169*(1+rvanilla10)^0.5)/A27stdlife))</f>
        <v>0</v>
      </c>
      <c r="AH425" s="107">
        <f>IF(A27stdlife="n/a","n/a",IF(AH$3&gt;(A27stdlife+$E425),('PTRM input'!$P$169*(1+rvanilla10)^0.5)-SUM($P425:AG425),('PTRM input'!$P$169*(1+rvanilla10)^0.5)/A27stdlife))</f>
        <v>0</v>
      </c>
      <c r="AI425" s="107">
        <f>IF(A27stdlife="n/a","n/a",IF(AI$3&gt;(A27stdlife+$E425),('PTRM input'!$P$169*(1+rvanilla10)^0.5)-SUM($P425:AH425),('PTRM input'!$P$169*(1+rvanilla10)^0.5)/A27stdlife))</f>
        <v>0</v>
      </c>
      <c r="AJ425" s="107">
        <f>IF(A27stdlife="n/a","n/a",IF(AJ$3&gt;(A27stdlife+$E425),('PTRM input'!$P$169*(1+rvanilla10)^0.5)-SUM($P425:AI425),('PTRM input'!$P$169*(1+rvanilla10)^0.5)/A27stdlife))</f>
        <v>0</v>
      </c>
      <c r="AK425" s="107">
        <f>IF(A27stdlife="n/a","n/a",IF(AK$3&gt;(A27stdlife+$E425),('PTRM input'!$P$169*(1+rvanilla10)^0.5)-SUM($P425:AJ425),('PTRM input'!$P$169*(1+rvanilla10)^0.5)/A27stdlife))</f>
        <v>0</v>
      </c>
      <c r="AL425" s="107">
        <f>IF(A27stdlife="n/a","n/a",IF(AL$3&gt;(A27stdlife+$E425),('PTRM input'!$P$169*(1+rvanilla10)^0.5)-SUM($P425:AK425),('PTRM input'!$P$169*(1+rvanilla10)^0.5)/A27stdlife))</f>
        <v>0</v>
      </c>
      <c r="AM425" s="107">
        <f>IF(A27stdlife="n/a","n/a",IF(AM$3&gt;(A27stdlife+$E425),('PTRM input'!$P$169*(1+rvanilla10)^0.5)-SUM($P425:AL425),('PTRM input'!$P$169*(1+rvanilla10)^0.5)/A27stdlife))</f>
        <v>0</v>
      </c>
      <c r="AN425" s="107">
        <f>IF(A27stdlife="n/a","n/a",IF(AN$3&gt;(A27stdlife+$E425),('PTRM input'!$P$169*(1+rvanilla10)^0.5)-SUM($P425:AM425),('PTRM input'!$P$169*(1+rvanilla10)^0.5)/A27stdlife))</f>
        <v>0</v>
      </c>
      <c r="AO425" s="107">
        <f>IF(A27stdlife="n/a","n/a",IF(AO$3&gt;(A27stdlife+$E425),('PTRM input'!$P$169*(1+rvanilla10)^0.5)-SUM($P425:AN425),('PTRM input'!$P$169*(1+rvanilla10)^0.5)/A27stdlife))</f>
        <v>0</v>
      </c>
      <c r="AP425" s="107">
        <f>IF(A27stdlife="n/a","n/a",IF(AP$3&gt;(A27stdlife+$E425),('PTRM input'!$P$169*(1+rvanilla10)^0.5)-SUM($P425:AO425),('PTRM input'!$P$169*(1+rvanilla10)^0.5)/A27stdlife))</f>
        <v>0</v>
      </c>
      <c r="AQ425" s="107">
        <f>IF(A27stdlife="n/a","n/a",IF(AQ$3&gt;(A27stdlife+$E425),('PTRM input'!$P$169*(1+rvanilla10)^0.5)-SUM($P425:AP425),('PTRM input'!$P$169*(1+rvanilla10)^0.5)/A27stdlife))</f>
        <v>0</v>
      </c>
      <c r="AR425" s="107">
        <f>IF(A27stdlife="n/a","n/a",IF(AR$3&gt;(A27stdlife+$E425),('PTRM input'!$P$169*(1+rvanilla10)^0.5)-SUM($P425:AQ425),('PTRM input'!$P$169*(1+rvanilla10)^0.5)/A27stdlife))</f>
        <v>0</v>
      </c>
      <c r="AS425" s="107">
        <f>IF(A27stdlife="n/a","n/a",IF(AS$3&gt;(A27stdlife+$E425),('PTRM input'!$P$169*(1+rvanilla10)^0.5)-SUM($P425:AR425),('PTRM input'!$P$169*(1+rvanilla10)^0.5)/A27stdlife))</f>
        <v>0</v>
      </c>
      <c r="AT425" s="107">
        <f>IF(A27stdlife="n/a","n/a",IF(AT$3&gt;(A27stdlife+$E425),('PTRM input'!$P$169*(1+rvanilla10)^0.5)-SUM($P425:AS425),('PTRM input'!$P$169*(1+rvanilla10)^0.5)/A27stdlife))</f>
        <v>0</v>
      </c>
      <c r="AU425" s="107">
        <f>IF(A27stdlife="n/a","n/a",IF(AU$3&gt;(A27stdlife+$E425),('PTRM input'!$P$169*(1+rvanilla10)^0.5)-SUM($P425:AT425),('PTRM input'!$P$169*(1+rvanilla10)^0.5)/A27stdlife))</f>
        <v>0</v>
      </c>
      <c r="AV425" s="107">
        <f>IF(A27stdlife="n/a","n/a",IF(AV$3&gt;(A27stdlife+$E425),('PTRM input'!$P$169*(1+rvanilla10)^0.5)-SUM($P425:AU425),('PTRM input'!$P$169*(1+rvanilla10)^0.5)/A27stdlife))</f>
        <v>0</v>
      </c>
      <c r="AW425" s="107">
        <f>IF(A27stdlife="n/a","n/a",IF(AW$3&gt;(A27stdlife+$E425),('PTRM input'!$P$169*(1+rvanilla10)^0.5)-SUM($P425:AV425),('PTRM input'!$P$169*(1+rvanilla10)^0.5)/A27stdlife))</f>
        <v>0</v>
      </c>
      <c r="AX425" s="107">
        <f>IF(A27stdlife="n/a","n/a",IF(AX$3&gt;(A27stdlife+$E425),('PTRM input'!$P$169*(1+rvanilla10)^0.5)-SUM($P425:AW425),('PTRM input'!$P$169*(1+rvanilla10)^0.5)/A27stdlife))</f>
        <v>0</v>
      </c>
      <c r="AY425" s="107">
        <f>IF(A27stdlife="n/a","n/a",IF(AY$3&gt;(A27stdlife+$E425),('PTRM input'!$P$169*(1+rvanilla10)^0.5)-SUM($P425:AX425),('PTRM input'!$P$169*(1+rvanilla10)^0.5)/A27stdlife))</f>
        <v>0</v>
      </c>
      <c r="AZ425" s="107">
        <f>IF(A27stdlife="n/a","n/a",IF(AZ$3&gt;(A27stdlife+$E425),('PTRM input'!$P$169*(1+rvanilla10)^0.5)-SUM($P425:AY425),('PTRM input'!$P$169*(1+rvanilla10)^0.5)/A27stdlife))</f>
        <v>0</v>
      </c>
      <c r="BA425" s="107">
        <f>IF(A27stdlife="n/a","n/a",IF(BA$3&gt;(A27stdlife+$E425),('PTRM input'!$P$169*(1+rvanilla10)^0.5)-SUM($P425:AZ425),('PTRM input'!$P$169*(1+rvanilla10)^0.5)/A27stdlife))</f>
        <v>0</v>
      </c>
      <c r="BB425" s="107">
        <f>IF(A27stdlife="n/a","n/a",IF(BB$3&gt;(A27stdlife+$E425),('PTRM input'!$P$169*(1+rvanilla10)^0.5)-SUM($P425:BA425),('PTRM input'!$P$169*(1+rvanilla10)^0.5)/A27stdlife))</f>
        <v>0</v>
      </c>
      <c r="BC425" s="107">
        <f>IF(A27stdlife="n/a","n/a",IF(BC$3&gt;(A27stdlife+$E425),('PTRM input'!$P$169*(1+rvanilla10)^0.5)-SUM($P425:BB425),('PTRM input'!$P$169*(1+rvanilla10)^0.5)/A27stdlife))</f>
        <v>0</v>
      </c>
      <c r="BD425" s="107">
        <f>IF(A27stdlife="n/a","n/a",IF(BD$3&gt;(A27stdlife+$E425),('PTRM input'!$P$169*(1+rvanilla10)^0.5)-SUM($P425:BC425),('PTRM input'!$P$169*(1+rvanilla10)^0.5)/A27stdlife))</f>
        <v>0</v>
      </c>
      <c r="BE425" s="107">
        <f>IF(A27stdlife="n/a","n/a",IF(BE$3&gt;(A27stdlife+$E425),('PTRM input'!$P$169*(1+rvanilla10)^0.5)-SUM($P425:BD425),('PTRM input'!$P$169*(1+rvanilla10)^0.5)/A27stdlife))</f>
        <v>0</v>
      </c>
      <c r="BF425" s="107">
        <f>IF(A27stdlife="n/a","n/a",IF(BF$3&gt;(A27stdlife+$E425),('PTRM input'!$P$169*(1+rvanilla10)^0.5)-SUM($P425:BE425),('PTRM input'!$P$169*(1+rvanilla10)^0.5)/A27stdlife))</f>
        <v>0</v>
      </c>
      <c r="BG425" s="107">
        <f>IF(A27stdlife="n/a","n/a",IF(BG$3&gt;(A27stdlife+$E425),('PTRM input'!$P$169*(1+rvanilla10)^0.5)-SUM($P425:BF425),('PTRM input'!$P$169*(1+rvanilla10)^0.5)/A27stdlife))</f>
        <v>0</v>
      </c>
      <c r="BH425" s="107">
        <f>IF(A27stdlife="n/a","n/a",IF(BH$3&gt;(A27stdlife+$E425),('PTRM input'!$P$169*(1+rvanilla10)^0.5)-SUM($P425:BG425),('PTRM input'!$P$169*(1+rvanilla10)^0.5)/A27stdlife))</f>
        <v>0</v>
      </c>
      <c r="BI425" s="107">
        <f>IF(A27stdlife="n/a","n/a",IF(BI$3&gt;(A27stdlife+$E425),('PTRM input'!$P$169*(1+rvanilla10)^0.5)-SUM($P425:BH425),('PTRM input'!$P$169*(1+rvanilla10)^0.5)/A27stdlife))</f>
        <v>0</v>
      </c>
      <c r="BJ425" s="237"/>
      <c r="BK425" s="237"/>
      <c r="BL425" s="237"/>
      <c r="BM425" s="237"/>
    </row>
    <row r="426" spans="1:65" s="190" customFormat="1" hidden="1" outlineLevel="1">
      <c r="A426" s="237"/>
      <c r="B426" s="18"/>
      <c r="C426" s="33">
        <f>Asset27</f>
        <v>0</v>
      </c>
      <c r="D426" s="18"/>
      <c r="E426" s="18"/>
      <c r="F426" s="31"/>
      <c r="G426" s="104">
        <f t="shared" ref="G426:AL426" si="89">SUM(G414:G425)</f>
        <v>0</v>
      </c>
      <c r="H426" s="104">
        <f t="shared" si="89"/>
        <v>0</v>
      </c>
      <c r="I426" s="104">
        <f t="shared" si="89"/>
        <v>0</v>
      </c>
      <c r="J426" s="104">
        <f t="shared" si="89"/>
        <v>0</v>
      </c>
      <c r="K426" s="104">
        <f t="shared" si="89"/>
        <v>0</v>
      </c>
      <c r="L426" s="104">
        <f t="shared" si="89"/>
        <v>0</v>
      </c>
      <c r="M426" s="104">
        <f t="shared" si="89"/>
        <v>0</v>
      </c>
      <c r="N426" s="104">
        <f t="shared" si="89"/>
        <v>0</v>
      </c>
      <c r="O426" s="104">
        <f t="shared" si="89"/>
        <v>0</v>
      </c>
      <c r="P426" s="104">
        <f t="shared" si="89"/>
        <v>0</v>
      </c>
      <c r="Q426" s="104">
        <f t="shared" si="89"/>
        <v>0</v>
      </c>
      <c r="R426" s="104">
        <f t="shared" si="89"/>
        <v>0</v>
      </c>
      <c r="S426" s="104">
        <f t="shared" si="89"/>
        <v>0</v>
      </c>
      <c r="T426" s="104">
        <f t="shared" si="89"/>
        <v>0</v>
      </c>
      <c r="U426" s="104">
        <f t="shared" si="89"/>
        <v>0</v>
      </c>
      <c r="V426" s="104">
        <f t="shared" si="89"/>
        <v>0</v>
      </c>
      <c r="W426" s="104">
        <f t="shared" si="89"/>
        <v>0</v>
      </c>
      <c r="X426" s="104">
        <f t="shared" si="89"/>
        <v>0</v>
      </c>
      <c r="Y426" s="104">
        <f t="shared" si="89"/>
        <v>0</v>
      </c>
      <c r="Z426" s="104">
        <f t="shared" si="89"/>
        <v>0</v>
      </c>
      <c r="AA426" s="104">
        <f t="shared" si="89"/>
        <v>0</v>
      </c>
      <c r="AB426" s="104">
        <f t="shared" si="89"/>
        <v>0</v>
      </c>
      <c r="AC426" s="104">
        <f t="shared" si="89"/>
        <v>0</v>
      </c>
      <c r="AD426" s="104">
        <f t="shared" si="89"/>
        <v>0</v>
      </c>
      <c r="AE426" s="104">
        <f t="shared" si="89"/>
        <v>0</v>
      </c>
      <c r="AF426" s="104">
        <f t="shared" si="89"/>
        <v>0</v>
      </c>
      <c r="AG426" s="104">
        <f t="shared" si="89"/>
        <v>0</v>
      </c>
      <c r="AH426" s="104">
        <f t="shared" si="89"/>
        <v>0</v>
      </c>
      <c r="AI426" s="104">
        <f t="shared" si="89"/>
        <v>0</v>
      </c>
      <c r="AJ426" s="104">
        <f t="shared" si="89"/>
        <v>0</v>
      </c>
      <c r="AK426" s="104">
        <f t="shared" si="89"/>
        <v>0</v>
      </c>
      <c r="AL426" s="104">
        <f t="shared" si="89"/>
        <v>0</v>
      </c>
      <c r="AM426" s="104">
        <f t="shared" ref="AM426:BI426" si="90">SUM(AM414:AM425)</f>
        <v>0</v>
      </c>
      <c r="AN426" s="104">
        <f t="shared" si="90"/>
        <v>0</v>
      </c>
      <c r="AO426" s="104">
        <f t="shared" si="90"/>
        <v>0</v>
      </c>
      <c r="AP426" s="104">
        <f t="shared" si="90"/>
        <v>0</v>
      </c>
      <c r="AQ426" s="104">
        <f t="shared" si="90"/>
        <v>0</v>
      </c>
      <c r="AR426" s="104">
        <f t="shared" si="90"/>
        <v>0</v>
      </c>
      <c r="AS426" s="104">
        <f t="shared" si="90"/>
        <v>0</v>
      </c>
      <c r="AT426" s="104">
        <f t="shared" si="90"/>
        <v>0</v>
      </c>
      <c r="AU426" s="104">
        <f t="shared" si="90"/>
        <v>0</v>
      </c>
      <c r="AV426" s="104">
        <f t="shared" si="90"/>
        <v>0</v>
      </c>
      <c r="AW426" s="104">
        <f t="shared" si="90"/>
        <v>0</v>
      </c>
      <c r="AX426" s="104">
        <f t="shared" si="90"/>
        <v>0</v>
      </c>
      <c r="AY426" s="104">
        <f t="shared" si="90"/>
        <v>0</v>
      </c>
      <c r="AZ426" s="104">
        <f t="shared" si="90"/>
        <v>0</v>
      </c>
      <c r="BA426" s="104">
        <f t="shared" si="90"/>
        <v>0</v>
      </c>
      <c r="BB426" s="104">
        <f t="shared" si="90"/>
        <v>0</v>
      </c>
      <c r="BC426" s="104">
        <f t="shared" si="90"/>
        <v>0</v>
      </c>
      <c r="BD426" s="104">
        <f t="shared" si="90"/>
        <v>0</v>
      </c>
      <c r="BE426" s="104">
        <f t="shared" si="90"/>
        <v>0</v>
      </c>
      <c r="BF426" s="104">
        <f t="shared" si="90"/>
        <v>0</v>
      </c>
      <c r="BG426" s="104">
        <f t="shared" si="90"/>
        <v>0</v>
      </c>
      <c r="BH426" s="104">
        <f t="shared" si="90"/>
        <v>0</v>
      </c>
      <c r="BI426" s="104">
        <f t="shared" si="90"/>
        <v>0</v>
      </c>
      <c r="BJ426" s="237"/>
      <c r="BK426" s="237"/>
      <c r="BL426" s="237"/>
      <c r="BM426" s="237"/>
    </row>
    <row r="427" spans="1:65" s="190" customFormat="1" ht="12.75" hidden="1" customHeight="1" outlineLevel="2">
      <c r="A427" s="237"/>
      <c r="B427" s="37">
        <f>C439</f>
        <v>0</v>
      </c>
      <c r="C427" s="38"/>
      <c r="D427" s="39" t="s">
        <v>58</v>
      </c>
      <c r="E427" s="38"/>
      <c r="F427" s="40"/>
      <c r="G427" s="106">
        <f>IF(G$3&gt;A28remlife,A28value-SUM($F427:F427),IF(A28remlife="N/A","n/a",A28value/A28remlife))</f>
        <v>0</v>
      </c>
      <c r="H427" s="106">
        <f>IF(H$3&gt;A28remlife,A28value-SUM($F427:G427),IF(A28remlife="N/A","n/a",A28value/A28remlife))</f>
        <v>0</v>
      </c>
      <c r="I427" s="106">
        <f>IF(I$3&gt;A28remlife,A28value-SUM($F427:H427),IF(A28remlife="N/A","n/a",A28value/A28remlife))</f>
        <v>0</v>
      </c>
      <c r="J427" s="106">
        <f>IF(J$3&gt;A28remlife,A28value-SUM($F427:I427),IF(A28remlife="N/A","n/a",A28value/A28remlife))</f>
        <v>0</v>
      </c>
      <c r="K427" s="106">
        <f>IF(K$3&gt;A28remlife,A28value-SUM($F427:J427),IF(A28remlife="N/A","n/a",A28value/A28remlife))</f>
        <v>0</v>
      </c>
      <c r="L427" s="106">
        <f>IF(L$3&gt;A28remlife,A28value-SUM($F427:K427),IF(A28remlife="N/A","n/a",A28value/A28remlife))</f>
        <v>0</v>
      </c>
      <c r="M427" s="106">
        <f>IF(M$3&gt;A28remlife,A28value-SUM($F427:L427),IF(A28remlife="N/A","n/a",A28value/A28remlife))</f>
        <v>0</v>
      </c>
      <c r="N427" s="106">
        <f>IF(N$3&gt;A28remlife,A28value-SUM($F427:M427),IF(A28remlife="N/A","n/a",A28value/A28remlife))</f>
        <v>0</v>
      </c>
      <c r="O427" s="106">
        <f>IF(O$3&gt;A28remlife,A28value-SUM($F427:N427),IF(A28remlife="N/A","n/a",A28value/A28remlife))</f>
        <v>0</v>
      </c>
      <c r="P427" s="106">
        <f>IF(P$3&gt;A28remlife,A28value-SUM($F427:O427),IF(A28remlife="N/A","n/a",A28value/A28remlife))</f>
        <v>0</v>
      </c>
      <c r="Q427" s="106">
        <f>IF(Q$3&gt;A28remlife,A28value-SUM($F427:P427),IF(A28remlife="N/A","n/a",A28value/A28remlife))</f>
        <v>0</v>
      </c>
      <c r="R427" s="106">
        <f>IF(R$3&gt;A28remlife,A28value-SUM($F427:Q427),IF(A28remlife="N/A","n/a",A28value/A28remlife))</f>
        <v>0</v>
      </c>
      <c r="S427" s="106">
        <f>IF(S$3&gt;A28remlife,A28value-SUM($F427:R427),IF(A28remlife="N/A","n/a",A28value/A28remlife))</f>
        <v>0</v>
      </c>
      <c r="T427" s="106">
        <f>IF(T$3&gt;A28remlife,A28value-SUM($F427:S427),IF(A28remlife="N/A","n/a",A28value/A28remlife))</f>
        <v>0</v>
      </c>
      <c r="U427" s="106">
        <f>IF(U$3&gt;A28remlife,A28value-SUM($F427:T427),IF(A28remlife="N/A","n/a",A28value/A28remlife))</f>
        <v>0</v>
      </c>
      <c r="V427" s="106">
        <f>IF(V$3&gt;A28remlife,A28value-SUM($F427:U427),IF(A28remlife="N/A","n/a",A28value/A28remlife))</f>
        <v>0</v>
      </c>
      <c r="W427" s="106">
        <f>IF(W$3&gt;A28remlife,A28value-SUM($F427:V427),IF(A28remlife="N/A","n/a",A28value/A28remlife))</f>
        <v>0</v>
      </c>
      <c r="X427" s="106">
        <f>IF(X$3&gt;A28remlife,A28value-SUM($F427:W427),IF(A28remlife="N/A","n/a",A28value/A28remlife))</f>
        <v>0</v>
      </c>
      <c r="Y427" s="106">
        <f>IF(Y$3&gt;A28remlife,A28value-SUM($F427:X427),IF(A28remlife="N/A","n/a",A28value/A28remlife))</f>
        <v>0</v>
      </c>
      <c r="Z427" s="106">
        <f>IF(Z$3&gt;A28remlife,A28value-SUM($F427:Y427),IF(A28remlife="N/A","n/a",A28value/A28remlife))</f>
        <v>0</v>
      </c>
      <c r="AA427" s="106">
        <f>IF(AA$3&gt;A28remlife,A28value-SUM($F427:Z427),IF(A28remlife="N/A","n/a",A28value/A28remlife))</f>
        <v>0</v>
      </c>
      <c r="AB427" s="106">
        <f>IF(AB$3&gt;A28remlife,A28value-SUM($F427:AA427),IF(A28remlife="N/A","n/a",A28value/A28remlife))</f>
        <v>0</v>
      </c>
      <c r="AC427" s="106">
        <f>IF(AC$3&gt;A28remlife,A28value-SUM($F427:AB427),IF(A28remlife="N/A","n/a",A28value/A28remlife))</f>
        <v>0</v>
      </c>
      <c r="AD427" s="106">
        <f>IF(AD$3&gt;A28remlife,A28value-SUM($F427:AC427),IF(A28remlife="N/A","n/a",A28value/A28remlife))</f>
        <v>0</v>
      </c>
      <c r="AE427" s="106">
        <f>IF(AE$3&gt;A28remlife,A28value-SUM($F427:AD427),IF(A28remlife="N/A","n/a",A28value/A28remlife))</f>
        <v>0</v>
      </c>
      <c r="AF427" s="106">
        <f>IF(AF$3&gt;A28remlife,A28value-SUM($F427:AE427),IF(A28remlife="N/A","n/a",A28value/A28remlife))</f>
        <v>0</v>
      </c>
      <c r="AG427" s="106">
        <f>IF(AG$3&gt;A28remlife,A28value-SUM($F427:AF427),IF(A28remlife="N/A","n/a",A28value/A28remlife))</f>
        <v>0</v>
      </c>
      <c r="AH427" s="106">
        <f>IF(AH$3&gt;A28remlife,A28value-SUM($F427:AG427),IF(A28remlife="N/A","n/a",A28value/A28remlife))</f>
        <v>0</v>
      </c>
      <c r="AI427" s="106">
        <f>IF(AI$3&gt;A28remlife,A28value-SUM($F427:AH427),IF(A28remlife="N/A","n/a",A28value/A28remlife))</f>
        <v>0</v>
      </c>
      <c r="AJ427" s="106">
        <f>IF(AJ$3&gt;A28remlife,A28value-SUM($F427:AI427),IF(A28remlife="N/A","n/a",A28value/A28remlife))</f>
        <v>0</v>
      </c>
      <c r="AK427" s="106">
        <f>IF(AK$3&gt;A28remlife,A28value-SUM($F427:AJ427),IF(A28remlife="N/A","n/a",A28value/A28remlife))</f>
        <v>0</v>
      </c>
      <c r="AL427" s="106">
        <f>IF(AL$3&gt;A28remlife,A28value-SUM($F427:AK427),IF(A28remlife="N/A","n/a",A28value/A28remlife))</f>
        <v>0</v>
      </c>
      <c r="AM427" s="106">
        <f>IF(AM$3&gt;A28remlife,A28value-SUM($F427:AL427),IF(A28remlife="N/A","n/a",A28value/A28remlife))</f>
        <v>0</v>
      </c>
      <c r="AN427" s="106">
        <f>IF(AN$3&gt;A28remlife,A28value-SUM($F427:AM427),IF(A28remlife="N/A","n/a",A28value/A28remlife))</f>
        <v>0</v>
      </c>
      <c r="AO427" s="106">
        <f>IF(AO$3&gt;A28remlife,A28value-SUM($F427:AN427),IF(A28remlife="N/A","n/a",A28value/A28remlife))</f>
        <v>0</v>
      </c>
      <c r="AP427" s="106">
        <f>IF(AP$3&gt;A28remlife,A28value-SUM($F427:AO427),IF(A28remlife="N/A","n/a",A28value/A28remlife))</f>
        <v>0</v>
      </c>
      <c r="AQ427" s="106">
        <f>IF(AQ$3&gt;A28remlife,A28value-SUM($F427:AP427),IF(A28remlife="N/A","n/a",A28value/A28remlife))</f>
        <v>0</v>
      </c>
      <c r="AR427" s="106">
        <f>IF(AR$3&gt;A28remlife,A28value-SUM($F427:AQ427),IF(A28remlife="N/A","n/a",A28value/A28remlife))</f>
        <v>0</v>
      </c>
      <c r="AS427" s="106">
        <f>IF(AS$3&gt;A28remlife,A28value-SUM($F427:AR427),IF(A28remlife="N/A","n/a",A28value/A28remlife))</f>
        <v>0</v>
      </c>
      <c r="AT427" s="106">
        <f>IF(AT$3&gt;A28remlife,A28value-SUM($F427:AS427),IF(A28remlife="N/A","n/a",A28value/A28remlife))</f>
        <v>0</v>
      </c>
      <c r="AU427" s="106">
        <f>IF(AU$3&gt;A28remlife,A28value-SUM($F427:AT427),IF(A28remlife="N/A","n/a",A28value/A28remlife))</f>
        <v>0</v>
      </c>
      <c r="AV427" s="106">
        <f>IF(AV$3&gt;A28remlife,A28value-SUM($F427:AU427),IF(A28remlife="N/A","n/a",A28value/A28remlife))</f>
        <v>0</v>
      </c>
      <c r="AW427" s="106">
        <f>IF(AW$3&gt;A28remlife,A28value-SUM($F427:AV427),IF(A28remlife="N/A","n/a",A28value/A28remlife))</f>
        <v>0</v>
      </c>
      <c r="AX427" s="106">
        <f>IF(AX$3&gt;A28remlife,A28value-SUM($F427:AW427),IF(A28remlife="N/A","n/a",A28value/A28remlife))</f>
        <v>0</v>
      </c>
      <c r="AY427" s="106">
        <f>IF(AY$3&gt;A28remlife,A28value-SUM($F427:AX427),IF(A28remlife="N/A","n/a",A28value/A28remlife))</f>
        <v>0</v>
      </c>
      <c r="AZ427" s="106">
        <f>IF(AZ$3&gt;A28remlife,A28value-SUM($F427:AY427),IF(A28remlife="N/A","n/a",A28value/A28remlife))</f>
        <v>0</v>
      </c>
      <c r="BA427" s="106">
        <f>IF(BA$3&gt;A28remlife,A28value-SUM($F427:AZ427),IF(A28remlife="N/A","n/a",A28value/A28remlife))</f>
        <v>0</v>
      </c>
      <c r="BB427" s="106">
        <f>IF(BB$3&gt;A28remlife,A28value-SUM($F427:BA427),IF(A28remlife="N/A","n/a",A28value/A28remlife))</f>
        <v>0</v>
      </c>
      <c r="BC427" s="106">
        <f>IF(BC$3&gt;A28remlife,A28value-SUM($F427:BB427),IF(A28remlife="N/A","n/a",A28value/A28remlife))</f>
        <v>0</v>
      </c>
      <c r="BD427" s="106">
        <f>IF(BD$3&gt;A28remlife,A28value-SUM($F427:BC427),IF(A28remlife="N/A","n/a",A28value/A28remlife))</f>
        <v>0</v>
      </c>
      <c r="BE427" s="106">
        <f>IF(BE$3&gt;A28remlife,A28value-SUM($F427:BD427),IF(A28remlife="N/A","n/a",A28value/A28remlife))</f>
        <v>0</v>
      </c>
      <c r="BF427" s="106">
        <f>IF(BF$3&gt;A28remlife,A28value-SUM($F427:BE427),IF(A28remlife="N/A","n/a",A28value/A28remlife))</f>
        <v>0</v>
      </c>
      <c r="BG427" s="106">
        <f>IF(BG$3&gt;A28remlife,A28value-SUM($F427:BF427),IF(A28remlife="N/A","n/a",A28value/A28remlife))</f>
        <v>0</v>
      </c>
      <c r="BH427" s="106">
        <f>IF(BH$3&gt;A28remlife,A28value-SUM($F427:BG427),IF(A28remlife="N/A","n/a",A28value/A28remlife))</f>
        <v>0</v>
      </c>
      <c r="BI427" s="106">
        <f>IF(BI$3&gt;A28remlife,A28value-SUM($F427:BH427),IF(A28remlife="N/A","n/a",A28value/A28remlife))</f>
        <v>0</v>
      </c>
      <c r="BJ427" s="237"/>
      <c r="BK427" s="237"/>
      <c r="BL427" s="237"/>
      <c r="BM427" s="237"/>
    </row>
    <row r="428" spans="1:65" s="190" customFormat="1" ht="12.75" hidden="1" customHeight="1" outlineLevel="2">
      <c r="A428" s="237"/>
      <c r="B428" s="33"/>
      <c r="C428" s="32"/>
      <c r="D428" s="1618" t="s">
        <v>357</v>
      </c>
      <c r="E428" s="169">
        <v>0</v>
      </c>
      <c r="F428" s="35"/>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c r="BE428" s="107"/>
      <c r="BF428" s="107"/>
      <c r="BG428" s="107"/>
      <c r="BH428" s="107"/>
      <c r="BI428" s="107"/>
      <c r="BJ428" s="237"/>
      <c r="BK428" s="237"/>
      <c r="BL428" s="237"/>
      <c r="BM428" s="237"/>
    </row>
    <row r="429" spans="1:65" s="190" customFormat="1" hidden="1" outlineLevel="2">
      <c r="A429" s="237"/>
      <c r="B429" s="33"/>
      <c r="C429" s="32"/>
      <c r="D429" s="1618"/>
      <c r="E429" s="169">
        <v>1</v>
      </c>
      <c r="F429" s="35"/>
      <c r="G429" s="183"/>
      <c r="H429" s="107">
        <f>IF(A28stdlife="n/a","n/a",IF(H$3&gt;(A28stdlife+$E429),('PTRM input'!$G$170*(1+rvanilla01)^0.5)-SUM($G429:G429),('PTRM input'!$G$170*(1+rvanilla01)^0.5)/A28stdlife))</f>
        <v>0</v>
      </c>
      <c r="I429" s="107">
        <f>IF(A28stdlife="n/a","n/a",IF(I$3&gt;(A28stdlife+$E429),('PTRM input'!$G$170*(1+rvanilla01)^0.5)-SUM($G429:H429),('PTRM input'!$G$170*(1+rvanilla01)^0.5)/A28stdlife))</f>
        <v>0</v>
      </c>
      <c r="J429" s="107">
        <f>IF(A28stdlife="n/a","n/a",IF(J$3&gt;(A28stdlife+$E429),('PTRM input'!$G$170*(1+rvanilla01)^0.5)-SUM($G429:I429),('PTRM input'!$G$170*(1+rvanilla01)^0.5)/A28stdlife))</f>
        <v>0</v>
      </c>
      <c r="K429" s="107">
        <f>IF(A28stdlife="n/a","n/a",IF(K$3&gt;(A28stdlife+$E429),('PTRM input'!$G$170*(1+rvanilla01)^0.5)-SUM($G429:J429),('PTRM input'!$G$170*(1+rvanilla01)^0.5)/A28stdlife))</f>
        <v>0</v>
      </c>
      <c r="L429" s="107">
        <f>IF(A28stdlife="n/a","n/a",IF(L$3&gt;(A28stdlife+$E429),('PTRM input'!$G$170*(1+rvanilla01)^0.5)-SUM($G429:K429),('PTRM input'!$G$170*(1+rvanilla01)^0.5)/A28stdlife))</f>
        <v>0</v>
      </c>
      <c r="M429" s="107">
        <f>IF(A28stdlife="n/a","n/a",IF(M$3&gt;(A28stdlife+$E429),('PTRM input'!$G$170*(1+rvanilla01)^0.5)-SUM($G429:L429),('PTRM input'!$G$170*(1+rvanilla01)^0.5)/A28stdlife))</f>
        <v>0</v>
      </c>
      <c r="N429" s="107">
        <f>IF(A28stdlife="n/a","n/a",IF(N$3&gt;(A28stdlife+$E429),('PTRM input'!$G$170*(1+rvanilla01)^0.5)-SUM($G429:M429),('PTRM input'!$G$170*(1+rvanilla01)^0.5)/A28stdlife))</f>
        <v>0</v>
      </c>
      <c r="O429" s="107">
        <f>IF(A28stdlife="n/a","n/a",IF(O$3&gt;(A28stdlife+$E429),('PTRM input'!$G$170*(1+rvanilla01)^0.5)-SUM($G429:N429),('PTRM input'!$G$170*(1+rvanilla01)^0.5)/A28stdlife))</f>
        <v>0</v>
      </c>
      <c r="P429" s="107">
        <f>IF(A28stdlife="n/a","n/a",IF(P$3&gt;(A28stdlife+$E429),('PTRM input'!$G$170*(1+rvanilla01)^0.5)-SUM($G429:O429),('PTRM input'!$G$170*(1+rvanilla01)^0.5)/A28stdlife))</f>
        <v>0</v>
      </c>
      <c r="Q429" s="107">
        <f>IF(A28stdlife="n/a","n/a",IF(Q$3&gt;(A28stdlife+$E429),('PTRM input'!$G$170*(1+rvanilla01)^0.5)-SUM($G429:P429),('PTRM input'!$G$170*(1+rvanilla01)^0.5)/A28stdlife))</f>
        <v>0</v>
      </c>
      <c r="R429" s="107">
        <f>IF(A28stdlife="n/a","n/a",IF(R$3&gt;(A28stdlife+$E429),('PTRM input'!$G$170*(1+rvanilla01)^0.5)-SUM($G429:Q429),('PTRM input'!$G$170*(1+rvanilla01)^0.5)/A28stdlife))</f>
        <v>0</v>
      </c>
      <c r="S429" s="107">
        <f>IF(A28stdlife="n/a","n/a",IF(S$3&gt;(A28stdlife+$E429),('PTRM input'!$G$170*(1+rvanilla01)^0.5)-SUM($G429:R429),('PTRM input'!$G$170*(1+rvanilla01)^0.5)/A28stdlife))</f>
        <v>0</v>
      </c>
      <c r="T429" s="107">
        <f>IF(A28stdlife="n/a","n/a",IF(T$3&gt;(A28stdlife+$E429),('PTRM input'!$G$170*(1+rvanilla01)^0.5)-SUM($G429:S429),('PTRM input'!$G$170*(1+rvanilla01)^0.5)/A28stdlife))</f>
        <v>0</v>
      </c>
      <c r="U429" s="107">
        <f>IF(A28stdlife="n/a","n/a",IF(U$3&gt;(A28stdlife+$E429),('PTRM input'!$G$170*(1+rvanilla01)^0.5)-SUM($G429:T429),('PTRM input'!$G$170*(1+rvanilla01)^0.5)/A28stdlife))</f>
        <v>0</v>
      </c>
      <c r="V429" s="107">
        <f>IF(A28stdlife="n/a","n/a",IF(V$3&gt;(A28stdlife+$E429),('PTRM input'!$G$170*(1+rvanilla01)^0.5)-SUM($G429:U429),('PTRM input'!$G$170*(1+rvanilla01)^0.5)/A28stdlife))</f>
        <v>0</v>
      </c>
      <c r="W429" s="107">
        <f>IF(A28stdlife="n/a","n/a",IF(W$3&gt;(A28stdlife+$E429),('PTRM input'!$G$170*(1+rvanilla01)^0.5)-SUM($G429:V429),('PTRM input'!$G$170*(1+rvanilla01)^0.5)/A28stdlife))</f>
        <v>0</v>
      </c>
      <c r="X429" s="107">
        <f>IF(A28stdlife="n/a","n/a",IF(X$3&gt;(A28stdlife+$E429),('PTRM input'!$G$170*(1+rvanilla01)^0.5)-SUM($G429:W429),('PTRM input'!$G$170*(1+rvanilla01)^0.5)/A28stdlife))</f>
        <v>0</v>
      </c>
      <c r="Y429" s="107">
        <f>IF(A28stdlife="n/a","n/a",IF(Y$3&gt;(A28stdlife+$E429),('PTRM input'!$G$170*(1+rvanilla01)^0.5)-SUM($G429:X429),('PTRM input'!$G$170*(1+rvanilla01)^0.5)/A28stdlife))</f>
        <v>0</v>
      </c>
      <c r="Z429" s="107">
        <f>IF(A28stdlife="n/a","n/a",IF(Z$3&gt;(A28stdlife+$E429),('PTRM input'!$G$170*(1+rvanilla01)^0.5)-SUM($G429:Y429),('PTRM input'!$G$170*(1+rvanilla01)^0.5)/A28stdlife))</f>
        <v>0</v>
      </c>
      <c r="AA429" s="107">
        <f>IF(A28stdlife="n/a","n/a",IF(AA$3&gt;(A28stdlife+$E429),('PTRM input'!$G$170*(1+rvanilla01)^0.5)-SUM($G429:Z429),('PTRM input'!$G$170*(1+rvanilla01)^0.5)/A28stdlife))</f>
        <v>0</v>
      </c>
      <c r="AB429" s="107">
        <f>IF(A28stdlife="n/a","n/a",IF(AB$3&gt;(A28stdlife+$E429),('PTRM input'!$G$170*(1+rvanilla01)^0.5)-SUM($G429:AA429),('PTRM input'!$G$170*(1+rvanilla01)^0.5)/A28stdlife))</f>
        <v>0</v>
      </c>
      <c r="AC429" s="107">
        <f>IF(A28stdlife="n/a","n/a",IF(AC$3&gt;(A28stdlife+$E429),('PTRM input'!$G$170*(1+rvanilla01)^0.5)-SUM($G429:AB429),('PTRM input'!$G$170*(1+rvanilla01)^0.5)/A28stdlife))</f>
        <v>0</v>
      </c>
      <c r="AD429" s="107">
        <f>IF(A28stdlife="n/a","n/a",IF(AD$3&gt;(A28stdlife+$E429),('PTRM input'!$G$170*(1+rvanilla01)^0.5)-SUM($G429:AC429),('PTRM input'!$G$170*(1+rvanilla01)^0.5)/A28stdlife))</f>
        <v>0</v>
      </c>
      <c r="AE429" s="107">
        <f>IF(A28stdlife="n/a","n/a",IF(AE$3&gt;(A28stdlife+$E429),('PTRM input'!$G$170*(1+rvanilla01)^0.5)-SUM($G429:AD429),('PTRM input'!$G$170*(1+rvanilla01)^0.5)/A28stdlife))</f>
        <v>0</v>
      </c>
      <c r="AF429" s="107">
        <f>IF(A28stdlife="n/a","n/a",IF(AF$3&gt;(A28stdlife+$E429),('PTRM input'!$G$170*(1+rvanilla01)^0.5)-SUM($G429:AE429),('PTRM input'!$G$170*(1+rvanilla01)^0.5)/A28stdlife))</f>
        <v>0</v>
      </c>
      <c r="AG429" s="107">
        <f>IF(A28stdlife="n/a","n/a",IF(AG$3&gt;(A28stdlife+$E429),('PTRM input'!$G$170*(1+rvanilla01)^0.5)-SUM($G429:AF429),('PTRM input'!$G$170*(1+rvanilla01)^0.5)/A28stdlife))</f>
        <v>0</v>
      </c>
      <c r="AH429" s="107">
        <f>IF(A28stdlife="n/a","n/a",IF(AH$3&gt;(A28stdlife+$E429),('PTRM input'!$G$170*(1+rvanilla01)^0.5)-SUM($G429:AG429),('PTRM input'!$G$170*(1+rvanilla01)^0.5)/A28stdlife))</f>
        <v>0</v>
      </c>
      <c r="AI429" s="107">
        <f>IF(A28stdlife="n/a","n/a",IF(AI$3&gt;(A28stdlife+$E429),('PTRM input'!$G$170*(1+rvanilla01)^0.5)-SUM($G429:AH429),('PTRM input'!$G$170*(1+rvanilla01)^0.5)/A28stdlife))</f>
        <v>0</v>
      </c>
      <c r="AJ429" s="107">
        <f>IF(A28stdlife="n/a","n/a",IF(AJ$3&gt;(A28stdlife+$E429),('PTRM input'!$G$170*(1+rvanilla01)^0.5)-SUM($G429:AI429),('PTRM input'!$G$170*(1+rvanilla01)^0.5)/A28stdlife))</f>
        <v>0</v>
      </c>
      <c r="AK429" s="107">
        <f>IF(A28stdlife="n/a","n/a",IF(AK$3&gt;(A28stdlife+$E429),('PTRM input'!$G$170*(1+rvanilla01)^0.5)-SUM($G429:AJ429),('PTRM input'!$G$170*(1+rvanilla01)^0.5)/A28stdlife))</f>
        <v>0</v>
      </c>
      <c r="AL429" s="107">
        <f>IF(A28stdlife="n/a","n/a",IF(AL$3&gt;(A28stdlife+$E429),('PTRM input'!$G$170*(1+rvanilla01)^0.5)-SUM($G429:AK429),('PTRM input'!$G$170*(1+rvanilla01)^0.5)/A28stdlife))</f>
        <v>0</v>
      </c>
      <c r="AM429" s="107">
        <f>IF(A28stdlife="n/a","n/a",IF(AM$3&gt;(A28stdlife+$E429),('PTRM input'!$G$170*(1+rvanilla01)^0.5)-SUM($G429:AL429),('PTRM input'!$G$170*(1+rvanilla01)^0.5)/A28stdlife))</f>
        <v>0</v>
      </c>
      <c r="AN429" s="107">
        <f>IF(A28stdlife="n/a","n/a",IF(AN$3&gt;(A28stdlife+$E429),('PTRM input'!$G$170*(1+rvanilla01)^0.5)-SUM($G429:AM429),('PTRM input'!$G$170*(1+rvanilla01)^0.5)/A28stdlife))</f>
        <v>0</v>
      </c>
      <c r="AO429" s="107">
        <f>IF(A28stdlife="n/a","n/a",IF(AO$3&gt;(A28stdlife+$E429),('PTRM input'!$G$170*(1+rvanilla01)^0.5)-SUM($G429:AN429),('PTRM input'!$G$170*(1+rvanilla01)^0.5)/A28stdlife))</f>
        <v>0</v>
      </c>
      <c r="AP429" s="107">
        <f>IF(A28stdlife="n/a","n/a",IF(AP$3&gt;(A28stdlife+$E429),('PTRM input'!$G$170*(1+rvanilla01)^0.5)-SUM($G429:AO429),('PTRM input'!$G$170*(1+rvanilla01)^0.5)/A28stdlife))</f>
        <v>0</v>
      </c>
      <c r="AQ429" s="107">
        <f>IF(A28stdlife="n/a","n/a",IF(AQ$3&gt;(A28stdlife+$E429),('PTRM input'!$G$170*(1+rvanilla01)^0.5)-SUM($G429:AP429),('PTRM input'!$G$170*(1+rvanilla01)^0.5)/A28stdlife))</f>
        <v>0</v>
      </c>
      <c r="AR429" s="107">
        <f>IF(A28stdlife="n/a","n/a",IF(AR$3&gt;(A28stdlife+$E429),('PTRM input'!$G$170*(1+rvanilla01)^0.5)-SUM($G429:AQ429),('PTRM input'!$G$170*(1+rvanilla01)^0.5)/A28stdlife))</f>
        <v>0</v>
      </c>
      <c r="AS429" s="107">
        <f>IF(A28stdlife="n/a","n/a",IF(AS$3&gt;(A28stdlife+$E429),('PTRM input'!$G$170*(1+rvanilla01)^0.5)-SUM($G429:AR429),('PTRM input'!$G$170*(1+rvanilla01)^0.5)/A28stdlife))</f>
        <v>0</v>
      </c>
      <c r="AT429" s="107">
        <f>IF(A28stdlife="n/a","n/a",IF(AT$3&gt;(A28stdlife+$E429),('PTRM input'!$G$170*(1+rvanilla01)^0.5)-SUM($G429:AS429),('PTRM input'!$G$170*(1+rvanilla01)^0.5)/A28stdlife))</f>
        <v>0</v>
      </c>
      <c r="AU429" s="107">
        <f>IF(A28stdlife="n/a","n/a",IF(AU$3&gt;(A28stdlife+$E429),('PTRM input'!$G$170*(1+rvanilla01)^0.5)-SUM($G429:AT429),('PTRM input'!$G$170*(1+rvanilla01)^0.5)/A28stdlife))</f>
        <v>0</v>
      </c>
      <c r="AV429" s="107">
        <f>IF(A28stdlife="n/a","n/a",IF(AV$3&gt;(A28stdlife+$E429),('PTRM input'!$G$170*(1+rvanilla01)^0.5)-SUM($G429:AU429),('PTRM input'!$G$170*(1+rvanilla01)^0.5)/A28stdlife))</f>
        <v>0</v>
      </c>
      <c r="AW429" s="107">
        <f>IF(A28stdlife="n/a","n/a",IF(AW$3&gt;(A28stdlife+$E429),('PTRM input'!$G$170*(1+rvanilla01)^0.5)-SUM($G429:AV429),('PTRM input'!$G$170*(1+rvanilla01)^0.5)/A28stdlife))</f>
        <v>0</v>
      </c>
      <c r="AX429" s="107">
        <f>IF(A28stdlife="n/a","n/a",IF(AX$3&gt;(A28stdlife+$E429),('PTRM input'!$G$170*(1+rvanilla01)^0.5)-SUM($G429:AW429),('PTRM input'!$G$170*(1+rvanilla01)^0.5)/A28stdlife))</f>
        <v>0</v>
      </c>
      <c r="AY429" s="107">
        <f>IF(A28stdlife="n/a","n/a",IF(AY$3&gt;(A28stdlife+$E429),('PTRM input'!$G$170*(1+rvanilla01)^0.5)-SUM($G429:AX429),('PTRM input'!$G$170*(1+rvanilla01)^0.5)/A28stdlife))</f>
        <v>0</v>
      </c>
      <c r="AZ429" s="107">
        <f>IF(A28stdlife="n/a","n/a",IF(AZ$3&gt;(A28stdlife+$E429),('PTRM input'!$G$170*(1+rvanilla01)^0.5)-SUM($G429:AY429),('PTRM input'!$G$170*(1+rvanilla01)^0.5)/A28stdlife))</f>
        <v>0</v>
      </c>
      <c r="BA429" s="107">
        <f>IF(A28stdlife="n/a","n/a",IF(BA$3&gt;(A28stdlife+$E429),('PTRM input'!$G$170*(1+rvanilla01)^0.5)-SUM($G429:AZ429),('PTRM input'!$G$170*(1+rvanilla01)^0.5)/A28stdlife))</f>
        <v>0</v>
      </c>
      <c r="BB429" s="107">
        <f>IF(A28stdlife="n/a","n/a",IF(BB$3&gt;(A28stdlife+$E429),('PTRM input'!$G$170*(1+rvanilla01)^0.5)-SUM($G429:BA429),('PTRM input'!$G$170*(1+rvanilla01)^0.5)/A28stdlife))</f>
        <v>0</v>
      </c>
      <c r="BC429" s="107">
        <f>IF(A28stdlife="n/a","n/a",IF(BC$3&gt;(A28stdlife+$E429),('PTRM input'!$G$170*(1+rvanilla01)^0.5)-SUM($G429:BB429),('PTRM input'!$G$170*(1+rvanilla01)^0.5)/A28stdlife))</f>
        <v>0</v>
      </c>
      <c r="BD429" s="107">
        <f>IF(A28stdlife="n/a","n/a",IF(BD$3&gt;(A28stdlife+$E429),('PTRM input'!$G$170*(1+rvanilla01)^0.5)-SUM($G429:BC429),('PTRM input'!$G$170*(1+rvanilla01)^0.5)/A28stdlife))</f>
        <v>0</v>
      </c>
      <c r="BE429" s="107">
        <f>IF(A28stdlife="n/a","n/a",IF(BE$3&gt;(A28stdlife+$E429),('PTRM input'!$G$170*(1+rvanilla01)^0.5)-SUM($G429:BD429),('PTRM input'!$G$170*(1+rvanilla01)^0.5)/A28stdlife))</f>
        <v>0</v>
      </c>
      <c r="BF429" s="107">
        <f>IF(A28stdlife="n/a","n/a",IF(BF$3&gt;(A28stdlife+$E429),('PTRM input'!$G$170*(1+rvanilla01)^0.5)-SUM($G429:BE429),('PTRM input'!$G$170*(1+rvanilla01)^0.5)/A28stdlife))</f>
        <v>0</v>
      </c>
      <c r="BG429" s="107">
        <f>IF(A28stdlife="n/a","n/a",IF(BG$3&gt;(A28stdlife+$E429),('PTRM input'!$G$170*(1+rvanilla01)^0.5)-SUM($G429:BF429),('PTRM input'!$G$170*(1+rvanilla01)^0.5)/A28stdlife))</f>
        <v>0</v>
      </c>
      <c r="BH429" s="107">
        <f>IF(A28stdlife="n/a","n/a",IF(BH$3&gt;(A28stdlife+$E429),('PTRM input'!$G$170*(1+rvanilla01)^0.5)-SUM($G429:BG429),('PTRM input'!$G$170*(1+rvanilla01)^0.5)/A28stdlife))</f>
        <v>0</v>
      </c>
      <c r="BI429" s="107">
        <f>IF(A28stdlife="n/a","n/a",IF(BI$3&gt;(A28stdlife+$E429),('PTRM input'!$G$170*(1+rvanilla01)^0.5)-SUM($G429:BH429),('PTRM input'!$G$170*(1+rvanilla01)^0.5)/A28stdlife))</f>
        <v>0</v>
      </c>
      <c r="BJ429" s="237"/>
      <c r="BK429" s="237"/>
      <c r="BL429" s="237"/>
      <c r="BM429" s="237"/>
    </row>
    <row r="430" spans="1:65" s="190" customFormat="1" hidden="1" outlineLevel="2">
      <c r="A430" s="237"/>
      <c r="B430" s="33"/>
      <c r="C430" s="32"/>
      <c r="D430" s="1618"/>
      <c r="E430" s="169">
        <v>2</v>
      </c>
      <c r="F430" s="35"/>
      <c r="G430" s="184"/>
      <c r="H430" s="185"/>
      <c r="I430" s="107">
        <f>IF(A28stdlife="n/a","n/a",IF(I$3&gt;(A28stdlife+$E430),('PTRM input'!$H$170*(1+rvanilla02)^0.5)-SUM($H430:H430),('PTRM input'!$H$170*(1+rvanilla02)^0.5)/A28stdlife))</f>
        <v>0</v>
      </c>
      <c r="J430" s="107">
        <f>IF(A28stdlife="n/a","n/a",IF(J$3&gt;(A28stdlife+$E430),('PTRM input'!$H$170*(1+rvanilla02)^0.5)-SUM($H430:I430),('PTRM input'!$H$170*(1+rvanilla02)^0.5)/A28stdlife))</f>
        <v>0</v>
      </c>
      <c r="K430" s="107">
        <f>IF(A28stdlife="n/a","n/a",IF(K$3&gt;(A28stdlife+$E430),('PTRM input'!$H$170*(1+rvanilla02)^0.5)-SUM($H430:J430),('PTRM input'!$H$170*(1+rvanilla02)^0.5)/A28stdlife))</f>
        <v>0</v>
      </c>
      <c r="L430" s="107">
        <f>IF(A28stdlife="n/a","n/a",IF(L$3&gt;(A28stdlife+$E430),('PTRM input'!$H$170*(1+rvanilla02)^0.5)-SUM($H430:K430),('PTRM input'!$H$170*(1+rvanilla02)^0.5)/A28stdlife))</f>
        <v>0</v>
      </c>
      <c r="M430" s="107">
        <f>IF(A28stdlife="n/a","n/a",IF(M$3&gt;(A28stdlife+$E430),('PTRM input'!$H$170*(1+rvanilla02)^0.5)-SUM($H430:L430),('PTRM input'!$H$170*(1+rvanilla02)^0.5)/A28stdlife))</f>
        <v>0</v>
      </c>
      <c r="N430" s="107">
        <f>IF(A28stdlife="n/a","n/a",IF(N$3&gt;(A28stdlife+$E430),('PTRM input'!$H$170*(1+rvanilla02)^0.5)-SUM($H430:M430),('PTRM input'!$H$170*(1+rvanilla02)^0.5)/A28stdlife))</f>
        <v>0</v>
      </c>
      <c r="O430" s="107">
        <f>IF(A28stdlife="n/a","n/a",IF(O$3&gt;(A28stdlife+$E430),('PTRM input'!$H$170*(1+rvanilla02)^0.5)-SUM($H430:N430),('PTRM input'!$H$170*(1+rvanilla02)^0.5)/A28stdlife))</f>
        <v>0</v>
      </c>
      <c r="P430" s="107">
        <f>IF(A28stdlife="n/a","n/a",IF(P$3&gt;(A28stdlife+$E430),('PTRM input'!$H$170*(1+rvanilla02)^0.5)-SUM($H430:O430),('PTRM input'!$H$170*(1+rvanilla02)^0.5)/A28stdlife))</f>
        <v>0</v>
      </c>
      <c r="Q430" s="107">
        <f>IF(A28stdlife="n/a","n/a",IF(Q$3&gt;(A28stdlife+$E430),('PTRM input'!$H$170*(1+rvanilla02)^0.5)-SUM($H430:P430),('PTRM input'!$H$170*(1+rvanilla02)^0.5)/A28stdlife))</f>
        <v>0</v>
      </c>
      <c r="R430" s="107">
        <f>IF(A28stdlife="n/a","n/a",IF(R$3&gt;(A28stdlife+$E430),('PTRM input'!$H$170*(1+rvanilla02)^0.5)-SUM($H430:Q430),('PTRM input'!$H$170*(1+rvanilla02)^0.5)/A28stdlife))</f>
        <v>0</v>
      </c>
      <c r="S430" s="107">
        <f>IF(A28stdlife="n/a","n/a",IF(S$3&gt;(A28stdlife+$E430),('PTRM input'!$H$170*(1+rvanilla02)^0.5)-SUM($H430:R430),('PTRM input'!$H$170*(1+rvanilla02)^0.5)/A28stdlife))</f>
        <v>0</v>
      </c>
      <c r="T430" s="107">
        <f>IF(A28stdlife="n/a","n/a",IF(T$3&gt;(A28stdlife+$E430),('PTRM input'!$H$170*(1+rvanilla02)^0.5)-SUM($H430:S430),('PTRM input'!$H$170*(1+rvanilla02)^0.5)/A28stdlife))</f>
        <v>0</v>
      </c>
      <c r="U430" s="107">
        <f>IF(A28stdlife="n/a","n/a",IF(U$3&gt;(A28stdlife+$E430),('PTRM input'!$H$170*(1+rvanilla02)^0.5)-SUM($H430:T430),('PTRM input'!$H$170*(1+rvanilla02)^0.5)/A28stdlife))</f>
        <v>0</v>
      </c>
      <c r="V430" s="107">
        <f>IF(A28stdlife="n/a","n/a",IF(V$3&gt;(A28stdlife+$E430),('PTRM input'!$H$170*(1+rvanilla02)^0.5)-SUM($H430:U430),('PTRM input'!$H$170*(1+rvanilla02)^0.5)/A28stdlife))</f>
        <v>0</v>
      </c>
      <c r="W430" s="107">
        <f>IF(A28stdlife="n/a","n/a",IF(W$3&gt;(A28stdlife+$E430),('PTRM input'!$H$170*(1+rvanilla02)^0.5)-SUM($H430:V430),('PTRM input'!$H$170*(1+rvanilla02)^0.5)/A28stdlife))</f>
        <v>0</v>
      </c>
      <c r="X430" s="107">
        <f>IF(A28stdlife="n/a","n/a",IF(X$3&gt;(A28stdlife+$E430),('PTRM input'!$H$170*(1+rvanilla02)^0.5)-SUM($H430:W430),('PTRM input'!$H$170*(1+rvanilla02)^0.5)/A28stdlife))</f>
        <v>0</v>
      </c>
      <c r="Y430" s="107">
        <f>IF(A28stdlife="n/a","n/a",IF(Y$3&gt;(A28stdlife+$E430),('PTRM input'!$H$170*(1+rvanilla02)^0.5)-SUM($H430:X430),('PTRM input'!$H$170*(1+rvanilla02)^0.5)/A28stdlife))</f>
        <v>0</v>
      </c>
      <c r="Z430" s="107">
        <f>IF(A28stdlife="n/a","n/a",IF(Z$3&gt;(A28stdlife+$E430),('PTRM input'!$H$170*(1+rvanilla02)^0.5)-SUM($H430:Y430),('PTRM input'!$H$170*(1+rvanilla02)^0.5)/A28stdlife))</f>
        <v>0</v>
      </c>
      <c r="AA430" s="107">
        <f>IF(A28stdlife="n/a","n/a",IF(AA$3&gt;(A28stdlife+$E430),('PTRM input'!$H$170*(1+rvanilla02)^0.5)-SUM($H430:Z430),('PTRM input'!$H$170*(1+rvanilla02)^0.5)/A28stdlife))</f>
        <v>0</v>
      </c>
      <c r="AB430" s="107">
        <f>IF(A28stdlife="n/a","n/a",IF(AB$3&gt;(A28stdlife+$E430),('PTRM input'!$H$170*(1+rvanilla02)^0.5)-SUM($H430:AA430),('PTRM input'!$H$170*(1+rvanilla02)^0.5)/A28stdlife))</f>
        <v>0</v>
      </c>
      <c r="AC430" s="107">
        <f>IF(A28stdlife="n/a","n/a",IF(AC$3&gt;(A28stdlife+$E430),('PTRM input'!$H$170*(1+rvanilla02)^0.5)-SUM($H430:AB430),('PTRM input'!$H$170*(1+rvanilla02)^0.5)/A28stdlife))</f>
        <v>0</v>
      </c>
      <c r="AD430" s="107">
        <f>IF(A28stdlife="n/a","n/a",IF(AD$3&gt;(A28stdlife+$E430),('PTRM input'!$H$170*(1+rvanilla02)^0.5)-SUM($H430:AC430),('PTRM input'!$H$170*(1+rvanilla02)^0.5)/A28stdlife))</f>
        <v>0</v>
      </c>
      <c r="AE430" s="107">
        <f>IF(A28stdlife="n/a","n/a",IF(AE$3&gt;(A28stdlife+$E430),('PTRM input'!$H$170*(1+rvanilla02)^0.5)-SUM($H430:AD430),('PTRM input'!$H$170*(1+rvanilla02)^0.5)/A28stdlife))</f>
        <v>0</v>
      </c>
      <c r="AF430" s="107">
        <f>IF(A28stdlife="n/a","n/a",IF(AF$3&gt;(A28stdlife+$E430),('PTRM input'!$H$170*(1+rvanilla02)^0.5)-SUM($H430:AE430),('PTRM input'!$H$170*(1+rvanilla02)^0.5)/A28stdlife))</f>
        <v>0</v>
      </c>
      <c r="AG430" s="107">
        <f>IF(A28stdlife="n/a","n/a",IF(AG$3&gt;(A28stdlife+$E430),('PTRM input'!$H$170*(1+rvanilla02)^0.5)-SUM($H430:AF430),('PTRM input'!$H$170*(1+rvanilla02)^0.5)/A28stdlife))</f>
        <v>0</v>
      </c>
      <c r="AH430" s="107">
        <f>IF(A28stdlife="n/a","n/a",IF(AH$3&gt;(A28stdlife+$E430),('PTRM input'!$H$170*(1+rvanilla02)^0.5)-SUM($H430:AG430),('PTRM input'!$H$170*(1+rvanilla02)^0.5)/A28stdlife))</f>
        <v>0</v>
      </c>
      <c r="AI430" s="107">
        <f>IF(A28stdlife="n/a","n/a",IF(AI$3&gt;(A28stdlife+$E430),('PTRM input'!$H$170*(1+rvanilla02)^0.5)-SUM($H430:AH430),('PTRM input'!$H$170*(1+rvanilla02)^0.5)/A28stdlife))</f>
        <v>0</v>
      </c>
      <c r="AJ430" s="107">
        <f>IF(A28stdlife="n/a","n/a",IF(AJ$3&gt;(A28stdlife+$E430),('PTRM input'!$H$170*(1+rvanilla02)^0.5)-SUM($H430:AI430),('PTRM input'!$H$170*(1+rvanilla02)^0.5)/A28stdlife))</f>
        <v>0</v>
      </c>
      <c r="AK430" s="107">
        <f>IF(A28stdlife="n/a","n/a",IF(AK$3&gt;(A28stdlife+$E430),('PTRM input'!$H$170*(1+rvanilla02)^0.5)-SUM($H430:AJ430),('PTRM input'!$H$170*(1+rvanilla02)^0.5)/A28stdlife))</f>
        <v>0</v>
      </c>
      <c r="AL430" s="107">
        <f>IF(A28stdlife="n/a","n/a",IF(AL$3&gt;(A28stdlife+$E430),('PTRM input'!$H$170*(1+rvanilla02)^0.5)-SUM($H430:AK430),('PTRM input'!$H$170*(1+rvanilla02)^0.5)/A28stdlife))</f>
        <v>0</v>
      </c>
      <c r="AM430" s="107">
        <f>IF(A28stdlife="n/a","n/a",IF(AM$3&gt;(A28stdlife+$E430),('PTRM input'!$H$170*(1+rvanilla02)^0.5)-SUM($H430:AL430),('PTRM input'!$H$170*(1+rvanilla02)^0.5)/A28stdlife))</f>
        <v>0</v>
      </c>
      <c r="AN430" s="107">
        <f>IF(A28stdlife="n/a","n/a",IF(AN$3&gt;(A28stdlife+$E430),('PTRM input'!$H$170*(1+rvanilla02)^0.5)-SUM($H430:AM430),('PTRM input'!$H$170*(1+rvanilla02)^0.5)/A28stdlife))</f>
        <v>0</v>
      </c>
      <c r="AO430" s="107">
        <f>IF(A28stdlife="n/a","n/a",IF(AO$3&gt;(A28stdlife+$E430),('PTRM input'!$H$170*(1+rvanilla02)^0.5)-SUM($H430:AN430),('PTRM input'!$H$170*(1+rvanilla02)^0.5)/A28stdlife))</f>
        <v>0</v>
      </c>
      <c r="AP430" s="107">
        <f>IF(A28stdlife="n/a","n/a",IF(AP$3&gt;(A28stdlife+$E430),('PTRM input'!$H$170*(1+rvanilla02)^0.5)-SUM($H430:AO430),('PTRM input'!$H$170*(1+rvanilla02)^0.5)/A28stdlife))</f>
        <v>0</v>
      </c>
      <c r="AQ430" s="107">
        <f>IF(A28stdlife="n/a","n/a",IF(AQ$3&gt;(A28stdlife+$E430),('PTRM input'!$H$170*(1+rvanilla02)^0.5)-SUM($H430:AP430),('PTRM input'!$H$170*(1+rvanilla02)^0.5)/A28stdlife))</f>
        <v>0</v>
      </c>
      <c r="AR430" s="107">
        <f>IF(A28stdlife="n/a","n/a",IF(AR$3&gt;(A28stdlife+$E430),('PTRM input'!$H$170*(1+rvanilla02)^0.5)-SUM($H430:AQ430),('PTRM input'!$H$170*(1+rvanilla02)^0.5)/A28stdlife))</f>
        <v>0</v>
      </c>
      <c r="AS430" s="107">
        <f>IF(A28stdlife="n/a","n/a",IF(AS$3&gt;(A28stdlife+$E430),('PTRM input'!$H$170*(1+rvanilla02)^0.5)-SUM($H430:AR430),('PTRM input'!$H$170*(1+rvanilla02)^0.5)/A28stdlife))</f>
        <v>0</v>
      </c>
      <c r="AT430" s="107">
        <f>IF(A28stdlife="n/a","n/a",IF(AT$3&gt;(A28stdlife+$E430),('PTRM input'!$H$170*(1+rvanilla02)^0.5)-SUM($H430:AS430),('PTRM input'!$H$170*(1+rvanilla02)^0.5)/A28stdlife))</f>
        <v>0</v>
      </c>
      <c r="AU430" s="107">
        <f>IF(A28stdlife="n/a","n/a",IF(AU$3&gt;(A28stdlife+$E430),('PTRM input'!$H$170*(1+rvanilla02)^0.5)-SUM($H430:AT430),('PTRM input'!$H$170*(1+rvanilla02)^0.5)/A28stdlife))</f>
        <v>0</v>
      </c>
      <c r="AV430" s="107">
        <f>IF(A28stdlife="n/a","n/a",IF(AV$3&gt;(A28stdlife+$E430),('PTRM input'!$H$170*(1+rvanilla02)^0.5)-SUM($H430:AU430),('PTRM input'!$H$170*(1+rvanilla02)^0.5)/A28stdlife))</f>
        <v>0</v>
      </c>
      <c r="AW430" s="107">
        <f>IF(A28stdlife="n/a","n/a",IF(AW$3&gt;(A28stdlife+$E430),('PTRM input'!$H$170*(1+rvanilla02)^0.5)-SUM($H430:AV430),('PTRM input'!$H$170*(1+rvanilla02)^0.5)/A28stdlife))</f>
        <v>0</v>
      </c>
      <c r="AX430" s="107">
        <f>IF(A28stdlife="n/a","n/a",IF(AX$3&gt;(A28stdlife+$E430),('PTRM input'!$H$170*(1+rvanilla02)^0.5)-SUM($H430:AW430),('PTRM input'!$H$170*(1+rvanilla02)^0.5)/A28stdlife))</f>
        <v>0</v>
      </c>
      <c r="AY430" s="107">
        <f>IF(A28stdlife="n/a","n/a",IF(AY$3&gt;(A28stdlife+$E430),('PTRM input'!$H$170*(1+rvanilla02)^0.5)-SUM($H430:AX430),('PTRM input'!$H$170*(1+rvanilla02)^0.5)/A28stdlife))</f>
        <v>0</v>
      </c>
      <c r="AZ430" s="107">
        <f>IF(A28stdlife="n/a","n/a",IF(AZ$3&gt;(A28stdlife+$E430),('PTRM input'!$H$170*(1+rvanilla02)^0.5)-SUM($H430:AY430),('PTRM input'!$H$170*(1+rvanilla02)^0.5)/A28stdlife))</f>
        <v>0</v>
      </c>
      <c r="BA430" s="107">
        <f>IF(A28stdlife="n/a","n/a",IF(BA$3&gt;(A28stdlife+$E430),('PTRM input'!$H$170*(1+rvanilla02)^0.5)-SUM($H430:AZ430),('PTRM input'!$H$170*(1+rvanilla02)^0.5)/A28stdlife))</f>
        <v>0</v>
      </c>
      <c r="BB430" s="107">
        <f>IF(A28stdlife="n/a","n/a",IF(BB$3&gt;(A28stdlife+$E430),('PTRM input'!$H$170*(1+rvanilla02)^0.5)-SUM($H430:BA430),('PTRM input'!$H$170*(1+rvanilla02)^0.5)/A28stdlife))</f>
        <v>0</v>
      </c>
      <c r="BC430" s="107">
        <f>IF(A28stdlife="n/a","n/a",IF(BC$3&gt;(A28stdlife+$E430),('PTRM input'!$H$170*(1+rvanilla02)^0.5)-SUM($H430:BB430),('PTRM input'!$H$170*(1+rvanilla02)^0.5)/A28stdlife))</f>
        <v>0</v>
      </c>
      <c r="BD430" s="107">
        <f>IF(A28stdlife="n/a","n/a",IF(BD$3&gt;(A28stdlife+$E430),('PTRM input'!$H$170*(1+rvanilla02)^0.5)-SUM($H430:BC430),('PTRM input'!$H$170*(1+rvanilla02)^0.5)/A28stdlife))</f>
        <v>0</v>
      </c>
      <c r="BE430" s="107">
        <f>IF(A28stdlife="n/a","n/a",IF(BE$3&gt;(A28stdlife+$E430),('PTRM input'!$H$170*(1+rvanilla02)^0.5)-SUM($H430:BD430),('PTRM input'!$H$170*(1+rvanilla02)^0.5)/A28stdlife))</f>
        <v>0</v>
      </c>
      <c r="BF430" s="107">
        <f>IF(A28stdlife="n/a","n/a",IF(BF$3&gt;(A28stdlife+$E430),('PTRM input'!$H$170*(1+rvanilla02)^0.5)-SUM($H430:BE430),('PTRM input'!$H$170*(1+rvanilla02)^0.5)/A28stdlife))</f>
        <v>0</v>
      </c>
      <c r="BG430" s="107">
        <f>IF(A28stdlife="n/a","n/a",IF(BG$3&gt;(A28stdlife+$E430),('PTRM input'!$H$170*(1+rvanilla02)^0.5)-SUM($H430:BF430),('PTRM input'!$H$170*(1+rvanilla02)^0.5)/A28stdlife))</f>
        <v>0</v>
      </c>
      <c r="BH430" s="107">
        <f>IF(A28stdlife="n/a","n/a",IF(BH$3&gt;(A28stdlife+$E430),('PTRM input'!$H$170*(1+rvanilla02)^0.5)-SUM($H430:BG430),('PTRM input'!$H$170*(1+rvanilla02)^0.5)/A28stdlife))</f>
        <v>0</v>
      </c>
      <c r="BI430" s="107">
        <f>IF(A28stdlife="n/a","n/a",IF(BI$3&gt;(A28stdlife+$E430),('PTRM input'!$H$170*(1+rvanilla02)^0.5)-SUM($H430:BH430),('PTRM input'!$H$170*(1+rvanilla02)^0.5)/A28stdlife))</f>
        <v>0</v>
      </c>
      <c r="BJ430" s="237"/>
      <c r="BK430" s="237"/>
      <c r="BL430" s="237"/>
      <c r="BM430" s="237"/>
    </row>
    <row r="431" spans="1:65" s="190" customFormat="1" hidden="1" outlineLevel="2">
      <c r="A431" s="237"/>
      <c r="B431" s="33"/>
      <c r="C431" s="32"/>
      <c r="D431" s="1618"/>
      <c r="E431" s="169">
        <v>3</v>
      </c>
      <c r="F431" s="35"/>
      <c r="G431" s="184"/>
      <c r="H431" s="186"/>
      <c r="I431" s="185"/>
      <c r="J431" s="107">
        <f>IF(A28stdlife="n/a","n/a",IF(J$3&gt;(A28stdlife+$E431),('PTRM input'!$I$170*(1+rvanilla03)^0.5)-SUM($I431:I431),('PTRM input'!$I$170*(1+rvanilla03)^0.5)/A28stdlife))</f>
        <v>0</v>
      </c>
      <c r="K431" s="107">
        <f>IF(A28stdlife="n/a","n/a",IF(K$3&gt;(A28stdlife+$E431),('PTRM input'!$I$170*(1+rvanilla03)^0.5)-SUM($I431:J431),('PTRM input'!$I$170*(1+rvanilla03)^0.5)/A28stdlife))</f>
        <v>0</v>
      </c>
      <c r="L431" s="107">
        <f>IF(A28stdlife="n/a","n/a",IF(L$3&gt;(A28stdlife+$E431),('PTRM input'!$I$170*(1+rvanilla03)^0.5)-SUM($I431:K431),('PTRM input'!$I$170*(1+rvanilla03)^0.5)/A28stdlife))</f>
        <v>0</v>
      </c>
      <c r="M431" s="107">
        <f>IF(A28stdlife="n/a","n/a",IF(M$3&gt;(A28stdlife+$E431),('PTRM input'!$I$170*(1+rvanilla03)^0.5)-SUM($I431:L431),('PTRM input'!$I$170*(1+rvanilla03)^0.5)/A28stdlife))</f>
        <v>0</v>
      </c>
      <c r="N431" s="107">
        <f>IF(A28stdlife="n/a","n/a",IF(N$3&gt;(A28stdlife+$E431),('PTRM input'!$I$170*(1+rvanilla03)^0.5)-SUM($I431:M431),('PTRM input'!$I$170*(1+rvanilla03)^0.5)/A28stdlife))</f>
        <v>0</v>
      </c>
      <c r="O431" s="107">
        <f>IF(A28stdlife="n/a","n/a",IF(O$3&gt;(A28stdlife+$E431),('PTRM input'!$I$170*(1+rvanilla03)^0.5)-SUM($I431:N431),('PTRM input'!$I$170*(1+rvanilla03)^0.5)/A28stdlife))</f>
        <v>0</v>
      </c>
      <c r="P431" s="107">
        <f>IF(A28stdlife="n/a","n/a",IF(P$3&gt;(A28stdlife+$E431),('PTRM input'!$I$170*(1+rvanilla03)^0.5)-SUM($I431:O431),('PTRM input'!$I$170*(1+rvanilla03)^0.5)/A28stdlife))</f>
        <v>0</v>
      </c>
      <c r="Q431" s="107">
        <f>IF(A28stdlife="n/a","n/a",IF(Q$3&gt;(A28stdlife+$E431),('PTRM input'!$I$170*(1+rvanilla03)^0.5)-SUM($I431:P431),('PTRM input'!$I$170*(1+rvanilla03)^0.5)/A28stdlife))</f>
        <v>0</v>
      </c>
      <c r="R431" s="107">
        <f>IF(A28stdlife="n/a","n/a",IF(R$3&gt;(A28stdlife+$E431),('PTRM input'!$I$170*(1+rvanilla03)^0.5)-SUM($I431:Q431),('PTRM input'!$I$170*(1+rvanilla03)^0.5)/A28stdlife))</f>
        <v>0</v>
      </c>
      <c r="S431" s="107">
        <f>IF(A28stdlife="n/a","n/a",IF(S$3&gt;(A28stdlife+$E431),('PTRM input'!$I$170*(1+rvanilla03)^0.5)-SUM($I431:R431),('PTRM input'!$I$170*(1+rvanilla03)^0.5)/A28stdlife))</f>
        <v>0</v>
      </c>
      <c r="T431" s="107">
        <f>IF(A28stdlife="n/a","n/a",IF(T$3&gt;(A28stdlife+$E431),('PTRM input'!$I$170*(1+rvanilla03)^0.5)-SUM($I431:S431),('PTRM input'!$I$170*(1+rvanilla03)^0.5)/A28stdlife))</f>
        <v>0</v>
      </c>
      <c r="U431" s="107">
        <f>IF(A28stdlife="n/a","n/a",IF(U$3&gt;(A28stdlife+$E431),('PTRM input'!$I$170*(1+rvanilla03)^0.5)-SUM($I431:T431),('PTRM input'!$I$170*(1+rvanilla03)^0.5)/A28stdlife))</f>
        <v>0</v>
      </c>
      <c r="V431" s="107">
        <f>IF(A28stdlife="n/a","n/a",IF(V$3&gt;(A28stdlife+$E431),('PTRM input'!$I$170*(1+rvanilla03)^0.5)-SUM($I431:U431),('PTRM input'!$I$170*(1+rvanilla03)^0.5)/A28stdlife))</f>
        <v>0</v>
      </c>
      <c r="W431" s="107">
        <f>IF(A28stdlife="n/a","n/a",IF(W$3&gt;(A28stdlife+$E431),('PTRM input'!$I$170*(1+rvanilla03)^0.5)-SUM($I431:V431),('PTRM input'!$I$170*(1+rvanilla03)^0.5)/A28stdlife))</f>
        <v>0</v>
      </c>
      <c r="X431" s="107">
        <f>IF(A28stdlife="n/a","n/a",IF(X$3&gt;(A28stdlife+$E431),('PTRM input'!$I$170*(1+rvanilla03)^0.5)-SUM($I431:W431),('PTRM input'!$I$170*(1+rvanilla03)^0.5)/A28stdlife))</f>
        <v>0</v>
      </c>
      <c r="Y431" s="107">
        <f>IF(A28stdlife="n/a","n/a",IF(Y$3&gt;(A28stdlife+$E431),('PTRM input'!$I$170*(1+rvanilla03)^0.5)-SUM($I431:X431),('PTRM input'!$I$170*(1+rvanilla03)^0.5)/A28stdlife))</f>
        <v>0</v>
      </c>
      <c r="Z431" s="107">
        <f>IF(A28stdlife="n/a","n/a",IF(Z$3&gt;(A28stdlife+$E431),('PTRM input'!$I$170*(1+rvanilla03)^0.5)-SUM($I431:Y431),('PTRM input'!$I$170*(1+rvanilla03)^0.5)/A28stdlife))</f>
        <v>0</v>
      </c>
      <c r="AA431" s="107">
        <f>IF(A28stdlife="n/a","n/a",IF(AA$3&gt;(A28stdlife+$E431),('PTRM input'!$I$170*(1+rvanilla03)^0.5)-SUM($I431:Z431),('PTRM input'!$I$170*(1+rvanilla03)^0.5)/A28stdlife))</f>
        <v>0</v>
      </c>
      <c r="AB431" s="107">
        <f>IF(A28stdlife="n/a","n/a",IF(AB$3&gt;(A28stdlife+$E431),('PTRM input'!$I$170*(1+rvanilla03)^0.5)-SUM($I431:AA431),('PTRM input'!$I$170*(1+rvanilla03)^0.5)/A28stdlife))</f>
        <v>0</v>
      </c>
      <c r="AC431" s="107">
        <f>IF(A28stdlife="n/a","n/a",IF(AC$3&gt;(A28stdlife+$E431),('PTRM input'!$I$170*(1+rvanilla03)^0.5)-SUM($I431:AB431),('PTRM input'!$I$170*(1+rvanilla03)^0.5)/A28stdlife))</f>
        <v>0</v>
      </c>
      <c r="AD431" s="107">
        <f>IF(A28stdlife="n/a","n/a",IF(AD$3&gt;(A28stdlife+$E431),('PTRM input'!$I$170*(1+rvanilla03)^0.5)-SUM($I431:AC431),('PTRM input'!$I$170*(1+rvanilla03)^0.5)/A28stdlife))</f>
        <v>0</v>
      </c>
      <c r="AE431" s="107">
        <f>IF(A28stdlife="n/a","n/a",IF(AE$3&gt;(A28stdlife+$E431),('PTRM input'!$I$170*(1+rvanilla03)^0.5)-SUM($I431:AD431),('PTRM input'!$I$170*(1+rvanilla03)^0.5)/A28stdlife))</f>
        <v>0</v>
      </c>
      <c r="AF431" s="107">
        <f>IF(A28stdlife="n/a","n/a",IF(AF$3&gt;(A28stdlife+$E431),('PTRM input'!$I$170*(1+rvanilla03)^0.5)-SUM($I431:AE431),('PTRM input'!$I$170*(1+rvanilla03)^0.5)/A28stdlife))</f>
        <v>0</v>
      </c>
      <c r="AG431" s="107">
        <f>IF(A28stdlife="n/a","n/a",IF(AG$3&gt;(A28stdlife+$E431),('PTRM input'!$I$170*(1+rvanilla03)^0.5)-SUM($I431:AF431),('PTRM input'!$I$170*(1+rvanilla03)^0.5)/A28stdlife))</f>
        <v>0</v>
      </c>
      <c r="AH431" s="107">
        <f>IF(A28stdlife="n/a","n/a",IF(AH$3&gt;(A28stdlife+$E431),('PTRM input'!$I$170*(1+rvanilla03)^0.5)-SUM($I431:AG431),('PTRM input'!$I$170*(1+rvanilla03)^0.5)/A28stdlife))</f>
        <v>0</v>
      </c>
      <c r="AI431" s="107">
        <f>IF(A28stdlife="n/a","n/a",IF(AI$3&gt;(A28stdlife+$E431),('PTRM input'!$I$170*(1+rvanilla03)^0.5)-SUM($I431:AH431),('PTRM input'!$I$170*(1+rvanilla03)^0.5)/A28stdlife))</f>
        <v>0</v>
      </c>
      <c r="AJ431" s="107">
        <f>IF(A28stdlife="n/a","n/a",IF(AJ$3&gt;(A28stdlife+$E431),('PTRM input'!$I$170*(1+rvanilla03)^0.5)-SUM($I431:AI431),('PTRM input'!$I$170*(1+rvanilla03)^0.5)/A28stdlife))</f>
        <v>0</v>
      </c>
      <c r="AK431" s="107">
        <f>IF(A28stdlife="n/a","n/a",IF(AK$3&gt;(A28stdlife+$E431),('PTRM input'!$I$170*(1+rvanilla03)^0.5)-SUM($I431:AJ431),('PTRM input'!$I$170*(1+rvanilla03)^0.5)/A28stdlife))</f>
        <v>0</v>
      </c>
      <c r="AL431" s="107">
        <f>IF(A28stdlife="n/a","n/a",IF(AL$3&gt;(A28stdlife+$E431),('PTRM input'!$I$170*(1+rvanilla03)^0.5)-SUM($I431:AK431),('PTRM input'!$I$170*(1+rvanilla03)^0.5)/A28stdlife))</f>
        <v>0</v>
      </c>
      <c r="AM431" s="107">
        <f>IF(A28stdlife="n/a","n/a",IF(AM$3&gt;(A28stdlife+$E431),('PTRM input'!$I$170*(1+rvanilla03)^0.5)-SUM($I431:AL431),('PTRM input'!$I$170*(1+rvanilla03)^0.5)/A28stdlife))</f>
        <v>0</v>
      </c>
      <c r="AN431" s="107">
        <f>IF(A28stdlife="n/a","n/a",IF(AN$3&gt;(A28stdlife+$E431),('PTRM input'!$I$170*(1+rvanilla03)^0.5)-SUM($I431:AM431),('PTRM input'!$I$170*(1+rvanilla03)^0.5)/A28stdlife))</f>
        <v>0</v>
      </c>
      <c r="AO431" s="107">
        <f>IF(A28stdlife="n/a","n/a",IF(AO$3&gt;(A28stdlife+$E431),('PTRM input'!$I$170*(1+rvanilla03)^0.5)-SUM($I431:AN431),('PTRM input'!$I$170*(1+rvanilla03)^0.5)/A28stdlife))</f>
        <v>0</v>
      </c>
      <c r="AP431" s="107">
        <f>IF(A28stdlife="n/a","n/a",IF(AP$3&gt;(A28stdlife+$E431),('PTRM input'!$I$170*(1+rvanilla03)^0.5)-SUM($I431:AO431),('PTRM input'!$I$170*(1+rvanilla03)^0.5)/A28stdlife))</f>
        <v>0</v>
      </c>
      <c r="AQ431" s="107">
        <f>IF(A28stdlife="n/a","n/a",IF(AQ$3&gt;(A28stdlife+$E431),('PTRM input'!$I$170*(1+rvanilla03)^0.5)-SUM($I431:AP431),('PTRM input'!$I$170*(1+rvanilla03)^0.5)/A28stdlife))</f>
        <v>0</v>
      </c>
      <c r="AR431" s="107">
        <f>IF(A28stdlife="n/a","n/a",IF(AR$3&gt;(A28stdlife+$E431),('PTRM input'!$I$170*(1+rvanilla03)^0.5)-SUM($I431:AQ431),('PTRM input'!$I$170*(1+rvanilla03)^0.5)/A28stdlife))</f>
        <v>0</v>
      </c>
      <c r="AS431" s="107">
        <f>IF(A28stdlife="n/a","n/a",IF(AS$3&gt;(A28stdlife+$E431),('PTRM input'!$I$170*(1+rvanilla03)^0.5)-SUM($I431:AR431),('PTRM input'!$I$170*(1+rvanilla03)^0.5)/A28stdlife))</f>
        <v>0</v>
      </c>
      <c r="AT431" s="107">
        <f>IF(A28stdlife="n/a","n/a",IF(AT$3&gt;(A28stdlife+$E431),('PTRM input'!$I$170*(1+rvanilla03)^0.5)-SUM($I431:AS431),('PTRM input'!$I$170*(1+rvanilla03)^0.5)/A28stdlife))</f>
        <v>0</v>
      </c>
      <c r="AU431" s="107">
        <f>IF(A28stdlife="n/a","n/a",IF(AU$3&gt;(A28stdlife+$E431),('PTRM input'!$I$170*(1+rvanilla03)^0.5)-SUM($I431:AT431),('PTRM input'!$I$170*(1+rvanilla03)^0.5)/A28stdlife))</f>
        <v>0</v>
      </c>
      <c r="AV431" s="107">
        <f>IF(A28stdlife="n/a","n/a",IF(AV$3&gt;(A28stdlife+$E431),('PTRM input'!$I$170*(1+rvanilla03)^0.5)-SUM($I431:AU431),('PTRM input'!$I$170*(1+rvanilla03)^0.5)/A28stdlife))</f>
        <v>0</v>
      </c>
      <c r="AW431" s="107">
        <f>IF(A28stdlife="n/a","n/a",IF(AW$3&gt;(A28stdlife+$E431),('PTRM input'!$I$170*(1+rvanilla03)^0.5)-SUM($I431:AV431),('PTRM input'!$I$170*(1+rvanilla03)^0.5)/A28stdlife))</f>
        <v>0</v>
      </c>
      <c r="AX431" s="107">
        <f>IF(A28stdlife="n/a","n/a",IF(AX$3&gt;(A28stdlife+$E431),('PTRM input'!$I$170*(1+rvanilla03)^0.5)-SUM($I431:AW431),('PTRM input'!$I$170*(1+rvanilla03)^0.5)/A28stdlife))</f>
        <v>0</v>
      </c>
      <c r="AY431" s="107">
        <f>IF(A28stdlife="n/a","n/a",IF(AY$3&gt;(A28stdlife+$E431),('PTRM input'!$I$170*(1+rvanilla03)^0.5)-SUM($I431:AX431),('PTRM input'!$I$170*(1+rvanilla03)^0.5)/A28stdlife))</f>
        <v>0</v>
      </c>
      <c r="AZ431" s="107">
        <f>IF(A28stdlife="n/a","n/a",IF(AZ$3&gt;(A28stdlife+$E431),('PTRM input'!$I$170*(1+rvanilla03)^0.5)-SUM($I431:AY431),('PTRM input'!$I$170*(1+rvanilla03)^0.5)/A28stdlife))</f>
        <v>0</v>
      </c>
      <c r="BA431" s="107">
        <f>IF(A28stdlife="n/a","n/a",IF(BA$3&gt;(A28stdlife+$E431),('PTRM input'!$I$170*(1+rvanilla03)^0.5)-SUM($I431:AZ431),('PTRM input'!$I$170*(1+rvanilla03)^0.5)/A28stdlife))</f>
        <v>0</v>
      </c>
      <c r="BB431" s="107">
        <f>IF(A28stdlife="n/a","n/a",IF(BB$3&gt;(A28stdlife+$E431),('PTRM input'!$I$170*(1+rvanilla03)^0.5)-SUM($I431:BA431),('PTRM input'!$I$170*(1+rvanilla03)^0.5)/A28stdlife))</f>
        <v>0</v>
      </c>
      <c r="BC431" s="107">
        <f>IF(A28stdlife="n/a","n/a",IF(BC$3&gt;(A28stdlife+$E431),('PTRM input'!$I$170*(1+rvanilla03)^0.5)-SUM($I431:BB431),('PTRM input'!$I$170*(1+rvanilla03)^0.5)/A28stdlife))</f>
        <v>0</v>
      </c>
      <c r="BD431" s="107">
        <f>IF(A28stdlife="n/a","n/a",IF(BD$3&gt;(A28stdlife+$E431),('PTRM input'!$I$170*(1+rvanilla03)^0.5)-SUM($I431:BC431),('PTRM input'!$I$170*(1+rvanilla03)^0.5)/A28stdlife))</f>
        <v>0</v>
      </c>
      <c r="BE431" s="107">
        <f>IF(A28stdlife="n/a","n/a",IF(BE$3&gt;(A28stdlife+$E431),('PTRM input'!$I$170*(1+rvanilla03)^0.5)-SUM($I431:BD431),('PTRM input'!$I$170*(1+rvanilla03)^0.5)/A28stdlife))</f>
        <v>0</v>
      </c>
      <c r="BF431" s="107">
        <f>IF(A28stdlife="n/a","n/a",IF(BF$3&gt;(A28stdlife+$E431),('PTRM input'!$I$170*(1+rvanilla03)^0.5)-SUM($I431:BE431),('PTRM input'!$I$170*(1+rvanilla03)^0.5)/A28stdlife))</f>
        <v>0</v>
      </c>
      <c r="BG431" s="107">
        <f>IF(A28stdlife="n/a","n/a",IF(BG$3&gt;(A28stdlife+$E431),('PTRM input'!$I$170*(1+rvanilla03)^0.5)-SUM($I431:BF431),('PTRM input'!$I$170*(1+rvanilla03)^0.5)/A28stdlife))</f>
        <v>0</v>
      </c>
      <c r="BH431" s="107">
        <f>IF(A28stdlife="n/a","n/a",IF(BH$3&gt;(A28stdlife+$E431),('PTRM input'!$I$170*(1+rvanilla03)^0.5)-SUM($I431:BG431),('PTRM input'!$I$170*(1+rvanilla03)^0.5)/A28stdlife))</f>
        <v>0</v>
      </c>
      <c r="BI431" s="107">
        <f>IF(A28stdlife="n/a","n/a",IF(BI$3&gt;(A28stdlife+$E431),('PTRM input'!$I$170*(1+rvanilla03)^0.5)-SUM($I431:BH431),('PTRM input'!$I$170*(1+rvanilla03)^0.5)/A28stdlife))</f>
        <v>0</v>
      </c>
      <c r="BJ431" s="237"/>
      <c r="BK431" s="237"/>
      <c r="BL431" s="237"/>
      <c r="BM431" s="237"/>
    </row>
    <row r="432" spans="1:65" s="190" customFormat="1" hidden="1" outlineLevel="2">
      <c r="A432" s="237"/>
      <c r="B432" s="33"/>
      <c r="C432" s="32"/>
      <c r="D432" s="1618"/>
      <c r="E432" s="169">
        <v>4</v>
      </c>
      <c r="F432" s="35"/>
      <c r="G432" s="184"/>
      <c r="H432" s="186"/>
      <c r="I432" s="186"/>
      <c r="J432" s="185"/>
      <c r="K432" s="107">
        <f>IF(A28stdlife="n/a","n/a",IF(K$3&gt;(A28stdlife+$E432),('PTRM input'!$J$170*(1+rvanilla04)^0.5)-SUM($J432:J432),('PTRM input'!$J$170*(1+rvanilla04)^0.5)/A28stdlife))</f>
        <v>0</v>
      </c>
      <c r="L432" s="107">
        <f>IF(A28stdlife="n/a","n/a",IF(L$3&gt;(A28stdlife+$E432),('PTRM input'!$J$170*(1+rvanilla04)^0.5)-SUM($J432:K432),('PTRM input'!$J$170*(1+rvanilla04)^0.5)/A28stdlife))</f>
        <v>0</v>
      </c>
      <c r="M432" s="107">
        <f>IF(A28stdlife="n/a","n/a",IF(M$3&gt;(A28stdlife+$E432),('PTRM input'!$J$170*(1+rvanilla04)^0.5)-SUM($J432:L432),('PTRM input'!$J$170*(1+rvanilla04)^0.5)/A28stdlife))</f>
        <v>0</v>
      </c>
      <c r="N432" s="107">
        <f>IF(A28stdlife="n/a","n/a",IF(N$3&gt;(A28stdlife+$E432),('PTRM input'!$J$170*(1+rvanilla04)^0.5)-SUM($J432:M432),('PTRM input'!$J$170*(1+rvanilla04)^0.5)/A28stdlife))</f>
        <v>0</v>
      </c>
      <c r="O432" s="107">
        <f>IF(A28stdlife="n/a","n/a",IF(O$3&gt;(A28stdlife+$E432),('PTRM input'!$J$170*(1+rvanilla04)^0.5)-SUM($J432:N432),('PTRM input'!$J$170*(1+rvanilla04)^0.5)/A28stdlife))</f>
        <v>0</v>
      </c>
      <c r="P432" s="107">
        <f>IF(A28stdlife="n/a","n/a",IF(P$3&gt;(A28stdlife+$E432),('PTRM input'!$J$170*(1+rvanilla04)^0.5)-SUM($J432:O432),('PTRM input'!$J$170*(1+rvanilla04)^0.5)/A28stdlife))</f>
        <v>0</v>
      </c>
      <c r="Q432" s="107">
        <f>IF(A28stdlife="n/a","n/a",IF(Q$3&gt;(A28stdlife+$E432),('PTRM input'!$J$170*(1+rvanilla04)^0.5)-SUM($J432:P432),('PTRM input'!$J$170*(1+rvanilla04)^0.5)/A28stdlife))</f>
        <v>0</v>
      </c>
      <c r="R432" s="107">
        <f>IF(A28stdlife="n/a","n/a",IF(R$3&gt;(A28stdlife+$E432),('PTRM input'!$J$170*(1+rvanilla04)^0.5)-SUM($J432:Q432),('PTRM input'!$J$170*(1+rvanilla04)^0.5)/A28stdlife))</f>
        <v>0</v>
      </c>
      <c r="S432" s="107">
        <f>IF(A28stdlife="n/a","n/a",IF(S$3&gt;(A28stdlife+$E432),('PTRM input'!$J$170*(1+rvanilla04)^0.5)-SUM($J432:R432),('PTRM input'!$J$170*(1+rvanilla04)^0.5)/A28stdlife))</f>
        <v>0</v>
      </c>
      <c r="T432" s="107">
        <f>IF(A28stdlife="n/a","n/a",IF(T$3&gt;(A28stdlife+$E432),('PTRM input'!$J$170*(1+rvanilla04)^0.5)-SUM($J432:S432),('PTRM input'!$J$170*(1+rvanilla04)^0.5)/A28stdlife))</f>
        <v>0</v>
      </c>
      <c r="U432" s="107">
        <f>IF(A28stdlife="n/a","n/a",IF(U$3&gt;(A28stdlife+$E432),('PTRM input'!$J$170*(1+rvanilla04)^0.5)-SUM($J432:T432),('PTRM input'!$J$170*(1+rvanilla04)^0.5)/A28stdlife))</f>
        <v>0</v>
      </c>
      <c r="V432" s="107">
        <f>IF(A28stdlife="n/a","n/a",IF(V$3&gt;(A28stdlife+$E432),('PTRM input'!$J$170*(1+rvanilla04)^0.5)-SUM($J432:U432),('PTRM input'!$J$170*(1+rvanilla04)^0.5)/A28stdlife))</f>
        <v>0</v>
      </c>
      <c r="W432" s="107">
        <f>IF(A28stdlife="n/a","n/a",IF(W$3&gt;(A28stdlife+$E432),('PTRM input'!$J$170*(1+rvanilla04)^0.5)-SUM($J432:V432),('PTRM input'!$J$170*(1+rvanilla04)^0.5)/A28stdlife))</f>
        <v>0</v>
      </c>
      <c r="X432" s="107">
        <f>IF(A28stdlife="n/a","n/a",IF(X$3&gt;(A28stdlife+$E432),('PTRM input'!$J$170*(1+rvanilla04)^0.5)-SUM($J432:W432),('PTRM input'!$J$170*(1+rvanilla04)^0.5)/A28stdlife))</f>
        <v>0</v>
      </c>
      <c r="Y432" s="107">
        <f>IF(A28stdlife="n/a","n/a",IF(Y$3&gt;(A28stdlife+$E432),('PTRM input'!$J$170*(1+rvanilla04)^0.5)-SUM($J432:X432),('PTRM input'!$J$170*(1+rvanilla04)^0.5)/A28stdlife))</f>
        <v>0</v>
      </c>
      <c r="Z432" s="107">
        <f>IF(A28stdlife="n/a","n/a",IF(Z$3&gt;(A28stdlife+$E432),('PTRM input'!$J$170*(1+rvanilla04)^0.5)-SUM($J432:Y432),('PTRM input'!$J$170*(1+rvanilla04)^0.5)/A28stdlife))</f>
        <v>0</v>
      </c>
      <c r="AA432" s="107">
        <f>IF(A28stdlife="n/a","n/a",IF(AA$3&gt;(A28stdlife+$E432),('PTRM input'!$J$170*(1+rvanilla04)^0.5)-SUM($J432:Z432),('PTRM input'!$J$170*(1+rvanilla04)^0.5)/A28stdlife))</f>
        <v>0</v>
      </c>
      <c r="AB432" s="107">
        <f>IF(A28stdlife="n/a","n/a",IF(AB$3&gt;(A28stdlife+$E432),('PTRM input'!$J$170*(1+rvanilla04)^0.5)-SUM($J432:AA432),('PTRM input'!$J$170*(1+rvanilla04)^0.5)/A28stdlife))</f>
        <v>0</v>
      </c>
      <c r="AC432" s="107">
        <f>IF(A28stdlife="n/a","n/a",IF(AC$3&gt;(A28stdlife+$E432),('PTRM input'!$J$170*(1+rvanilla04)^0.5)-SUM($J432:AB432),('PTRM input'!$J$170*(1+rvanilla04)^0.5)/A28stdlife))</f>
        <v>0</v>
      </c>
      <c r="AD432" s="107">
        <f>IF(A28stdlife="n/a","n/a",IF(AD$3&gt;(A28stdlife+$E432),('PTRM input'!$J$170*(1+rvanilla04)^0.5)-SUM($J432:AC432),('PTRM input'!$J$170*(1+rvanilla04)^0.5)/A28stdlife))</f>
        <v>0</v>
      </c>
      <c r="AE432" s="107">
        <f>IF(A28stdlife="n/a","n/a",IF(AE$3&gt;(A28stdlife+$E432),('PTRM input'!$J$170*(1+rvanilla04)^0.5)-SUM($J432:AD432),('PTRM input'!$J$170*(1+rvanilla04)^0.5)/A28stdlife))</f>
        <v>0</v>
      </c>
      <c r="AF432" s="107">
        <f>IF(A28stdlife="n/a","n/a",IF(AF$3&gt;(A28stdlife+$E432),('PTRM input'!$J$170*(1+rvanilla04)^0.5)-SUM($J432:AE432),('PTRM input'!$J$170*(1+rvanilla04)^0.5)/A28stdlife))</f>
        <v>0</v>
      </c>
      <c r="AG432" s="107">
        <f>IF(A28stdlife="n/a","n/a",IF(AG$3&gt;(A28stdlife+$E432),('PTRM input'!$J$170*(1+rvanilla04)^0.5)-SUM($J432:AF432),('PTRM input'!$J$170*(1+rvanilla04)^0.5)/A28stdlife))</f>
        <v>0</v>
      </c>
      <c r="AH432" s="107">
        <f>IF(A28stdlife="n/a","n/a",IF(AH$3&gt;(A28stdlife+$E432),('PTRM input'!$J$170*(1+rvanilla04)^0.5)-SUM($J432:AG432),('PTRM input'!$J$170*(1+rvanilla04)^0.5)/A28stdlife))</f>
        <v>0</v>
      </c>
      <c r="AI432" s="107">
        <f>IF(A28stdlife="n/a","n/a",IF(AI$3&gt;(A28stdlife+$E432),('PTRM input'!$J$170*(1+rvanilla04)^0.5)-SUM($J432:AH432),('PTRM input'!$J$170*(1+rvanilla04)^0.5)/A28stdlife))</f>
        <v>0</v>
      </c>
      <c r="AJ432" s="107">
        <f>IF(A28stdlife="n/a","n/a",IF(AJ$3&gt;(A28stdlife+$E432),('PTRM input'!$J$170*(1+rvanilla04)^0.5)-SUM($J432:AI432),('PTRM input'!$J$170*(1+rvanilla04)^0.5)/A28stdlife))</f>
        <v>0</v>
      </c>
      <c r="AK432" s="107">
        <f>IF(A28stdlife="n/a","n/a",IF(AK$3&gt;(A28stdlife+$E432),('PTRM input'!$J$170*(1+rvanilla04)^0.5)-SUM($J432:AJ432),('PTRM input'!$J$170*(1+rvanilla04)^0.5)/A28stdlife))</f>
        <v>0</v>
      </c>
      <c r="AL432" s="107">
        <f>IF(A28stdlife="n/a","n/a",IF(AL$3&gt;(A28stdlife+$E432),('PTRM input'!$J$170*(1+rvanilla04)^0.5)-SUM($J432:AK432),('PTRM input'!$J$170*(1+rvanilla04)^0.5)/A28stdlife))</f>
        <v>0</v>
      </c>
      <c r="AM432" s="107">
        <f>IF(A28stdlife="n/a","n/a",IF(AM$3&gt;(A28stdlife+$E432),('PTRM input'!$J$170*(1+rvanilla04)^0.5)-SUM($J432:AL432),('PTRM input'!$J$170*(1+rvanilla04)^0.5)/A28stdlife))</f>
        <v>0</v>
      </c>
      <c r="AN432" s="107">
        <f>IF(A28stdlife="n/a","n/a",IF(AN$3&gt;(A28stdlife+$E432),('PTRM input'!$J$170*(1+rvanilla04)^0.5)-SUM($J432:AM432),('PTRM input'!$J$170*(1+rvanilla04)^0.5)/A28stdlife))</f>
        <v>0</v>
      </c>
      <c r="AO432" s="107">
        <f>IF(A28stdlife="n/a","n/a",IF(AO$3&gt;(A28stdlife+$E432),('PTRM input'!$J$170*(1+rvanilla04)^0.5)-SUM($J432:AN432),('PTRM input'!$J$170*(1+rvanilla04)^0.5)/A28stdlife))</f>
        <v>0</v>
      </c>
      <c r="AP432" s="107">
        <f>IF(A28stdlife="n/a","n/a",IF(AP$3&gt;(A28stdlife+$E432),('PTRM input'!$J$170*(1+rvanilla04)^0.5)-SUM($J432:AO432),('PTRM input'!$J$170*(1+rvanilla04)^0.5)/A28stdlife))</f>
        <v>0</v>
      </c>
      <c r="AQ432" s="107">
        <f>IF(A28stdlife="n/a","n/a",IF(AQ$3&gt;(A28stdlife+$E432),('PTRM input'!$J$170*(1+rvanilla04)^0.5)-SUM($J432:AP432),('PTRM input'!$J$170*(1+rvanilla04)^0.5)/A28stdlife))</f>
        <v>0</v>
      </c>
      <c r="AR432" s="107">
        <f>IF(A28stdlife="n/a","n/a",IF(AR$3&gt;(A28stdlife+$E432),('PTRM input'!$J$170*(1+rvanilla04)^0.5)-SUM($J432:AQ432),('PTRM input'!$J$170*(1+rvanilla04)^0.5)/A28stdlife))</f>
        <v>0</v>
      </c>
      <c r="AS432" s="107">
        <f>IF(A28stdlife="n/a","n/a",IF(AS$3&gt;(A28stdlife+$E432),('PTRM input'!$J$170*(1+rvanilla04)^0.5)-SUM($J432:AR432),('PTRM input'!$J$170*(1+rvanilla04)^0.5)/A28stdlife))</f>
        <v>0</v>
      </c>
      <c r="AT432" s="107">
        <f>IF(A28stdlife="n/a","n/a",IF(AT$3&gt;(A28stdlife+$E432),('PTRM input'!$J$170*(1+rvanilla04)^0.5)-SUM($J432:AS432),('PTRM input'!$J$170*(1+rvanilla04)^0.5)/A28stdlife))</f>
        <v>0</v>
      </c>
      <c r="AU432" s="107">
        <f>IF(A28stdlife="n/a","n/a",IF(AU$3&gt;(A28stdlife+$E432),('PTRM input'!$J$170*(1+rvanilla04)^0.5)-SUM($J432:AT432),('PTRM input'!$J$170*(1+rvanilla04)^0.5)/A28stdlife))</f>
        <v>0</v>
      </c>
      <c r="AV432" s="107">
        <f>IF(A28stdlife="n/a","n/a",IF(AV$3&gt;(A28stdlife+$E432),('PTRM input'!$J$170*(1+rvanilla04)^0.5)-SUM($J432:AU432),('PTRM input'!$J$170*(1+rvanilla04)^0.5)/A28stdlife))</f>
        <v>0</v>
      </c>
      <c r="AW432" s="107">
        <f>IF(A28stdlife="n/a","n/a",IF(AW$3&gt;(A28stdlife+$E432),('PTRM input'!$J$170*(1+rvanilla04)^0.5)-SUM($J432:AV432),('PTRM input'!$J$170*(1+rvanilla04)^0.5)/A28stdlife))</f>
        <v>0</v>
      </c>
      <c r="AX432" s="107">
        <f>IF(A28stdlife="n/a","n/a",IF(AX$3&gt;(A28stdlife+$E432),('PTRM input'!$J$170*(1+rvanilla04)^0.5)-SUM($J432:AW432),('PTRM input'!$J$170*(1+rvanilla04)^0.5)/A28stdlife))</f>
        <v>0</v>
      </c>
      <c r="AY432" s="107">
        <f>IF(A28stdlife="n/a","n/a",IF(AY$3&gt;(A28stdlife+$E432),('PTRM input'!$J$170*(1+rvanilla04)^0.5)-SUM($J432:AX432),('PTRM input'!$J$170*(1+rvanilla04)^0.5)/A28stdlife))</f>
        <v>0</v>
      </c>
      <c r="AZ432" s="107">
        <f>IF(A28stdlife="n/a","n/a",IF(AZ$3&gt;(A28stdlife+$E432),('PTRM input'!$J$170*(1+rvanilla04)^0.5)-SUM($J432:AY432),('PTRM input'!$J$170*(1+rvanilla04)^0.5)/A28stdlife))</f>
        <v>0</v>
      </c>
      <c r="BA432" s="107">
        <f>IF(A28stdlife="n/a","n/a",IF(BA$3&gt;(A28stdlife+$E432),('PTRM input'!$J$170*(1+rvanilla04)^0.5)-SUM($J432:AZ432),('PTRM input'!$J$170*(1+rvanilla04)^0.5)/A28stdlife))</f>
        <v>0</v>
      </c>
      <c r="BB432" s="107">
        <f>IF(A28stdlife="n/a","n/a",IF(BB$3&gt;(A28stdlife+$E432),('PTRM input'!$J$170*(1+rvanilla04)^0.5)-SUM($J432:BA432),('PTRM input'!$J$170*(1+rvanilla04)^0.5)/A28stdlife))</f>
        <v>0</v>
      </c>
      <c r="BC432" s="107">
        <f>IF(A28stdlife="n/a","n/a",IF(BC$3&gt;(A28stdlife+$E432),('PTRM input'!$J$170*(1+rvanilla04)^0.5)-SUM($J432:BB432),('PTRM input'!$J$170*(1+rvanilla04)^0.5)/A28stdlife))</f>
        <v>0</v>
      </c>
      <c r="BD432" s="107">
        <f>IF(A28stdlife="n/a","n/a",IF(BD$3&gt;(A28stdlife+$E432),('PTRM input'!$J$170*(1+rvanilla04)^0.5)-SUM($J432:BC432),('PTRM input'!$J$170*(1+rvanilla04)^0.5)/A28stdlife))</f>
        <v>0</v>
      </c>
      <c r="BE432" s="107">
        <f>IF(A28stdlife="n/a","n/a",IF(BE$3&gt;(A28stdlife+$E432),('PTRM input'!$J$170*(1+rvanilla04)^0.5)-SUM($J432:BD432),('PTRM input'!$J$170*(1+rvanilla04)^0.5)/A28stdlife))</f>
        <v>0</v>
      </c>
      <c r="BF432" s="107">
        <f>IF(A28stdlife="n/a","n/a",IF(BF$3&gt;(A28stdlife+$E432),('PTRM input'!$J$170*(1+rvanilla04)^0.5)-SUM($J432:BE432),('PTRM input'!$J$170*(1+rvanilla04)^0.5)/A28stdlife))</f>
        <v>0</v>
      </c>
      <c r="BG432" s="107">
        <f>IF(A28stdlife="n/a","n/a",IF(BG$3&gt;(A28stdlife+$E432),('PTRM input'!$J$170*(1+rvanilla04)^0.5)-SUM($J432:BF432),('PTRM input'!$J$170*(1+rvanilla04)^0.5)/A28stdlife))</f>
        <v>0</v>
      </c>
      <c r="BH432" s="107">
        <f>IF(A28stdlife="n/a","n/a",IF(BH$3&gt;(A28stdlife+$E432),('PTRM input'!$J$170*(1+rvanilla04)^0.5)-SUM($J432:BG432),('PTRM input'!$J$170*(1+rvanilla04)^0.5)/A28stdlife))</f>
        <v>0</v>
      </c>
      <c r="BI432" s="107">
        <f>IF(A28stdlife="n/a","n/a",IF(BI$3&gt;(A28stdlife+$E432),('PTRM input'!$J$170*(1+rvanilla04)^0.5)-SUM($J432:BH432),('PTRM input'!$J$170*(1+rvanilla04)^0.5)/A28stdlife))</f>
        <v>0</v>
      </c>
      <c r="BJ432" s="237"/>
      <c r="BK432" s="237"/>
      <c r="BL432" s="237"/>
      <c r="BM432" s="237"/>
    </row>
    <row r="433" spans="1:65" s="190" customFormat="1" hidden="1" outlineLevel="2">
      <c r="A433" s="237"/>
      <c r="B433" s="33"/>
      <c r="C433" s="32"/>
      <c r="D433" s="1618"/>
      <c r="E433" s="169">
        <v>5</v>
      </c>
      <c r="F433" s="35"/>
      <c r="G433" s="184"/>
      <c r="H433" s="186"/>
      <c r="I433" s="186"/>
      <c r="J433" s="186"/>
      <c r="K433" s="185"/>
      <c r="L433" s="107">
        <f>IF(A28stdlife="n/a","n/a",IF(L$3&gt;(A28stdlife+$E433),('PTRM input'!$K$170*(1+rvanilla05)^0.5)-SUM($K433:K433),('PTRM input'!$K$170*(1+rvanilla05)^0.5)/A28stdlife))</f>
        <v>0</v>
      </c>
      <c r="M433" s="107">
        <f>IF(A28stdlife="n/a","n/a",IF(M$3&gt;(A28stdlife+$E433),('PTRM input'!$K$170*(1+rvanilla05)^0.5)-SUM($K433:L433),('PTRM input'!$K$170*(1+rvanilla05)^0.5)/A28stdlife))</f>
        <v>0</v>
      </c>
      <c r="N433" s="107">
        <f>IF(A28stdlife="n/a","n/a",IF(N$3&gt;(A28stdlife+$E433),('PTRM input'!$K$170*(1+rvanilla05)^0.5)-SUM($K433:M433),('PTRM input'!$K$170*(1+rvanilla05)^0.5)/A28stdlife))</f>
        <v>0</v>
      </c>
      <c r="O433" s="107">
        <f>IF(A28stdlife="n/a","n/a",IF(O$3&gt;(A28stdlife+$E433),('PTRM input'!$K$170*(1+rvanilla05)^0.5)-SUM($K433:N433),('PTRM input'!$K$170*(1+rvanilla05)^0.5)/A28stdlife))</f>
        <v>0</v>
      </c>
      <c r="P433" s="107">
        <f>IF(A28stdlife="n/a","n/a",IF(P$3&gt;(A28stdlife+$E433),('PTRM input'!$K$170*(1+rvanilla05)^0.5)-SUM($K433:O433),('PTRM input'!$K$170*(1+rvanilla05)^0.5)/A28stdlife))</f>
        <v>0</v>
      </c>
      <c r="Q433" s="107">
        <f>IF(A28stdlife="n/a","n/a",IF(Q$3&gt;(A28stdlife+$E433),('PTRM input'!$K$170*(1+rvanilla05)^0.5)-SUM($K433:P433),('PTRM input'!$K$170*(1+rvanilla05)^0.5)/A28stdlife))</f>
        <v>0</v>
      </c>
      <c r="R433" s="107">
        <f>IF(A28stdlife="n/a","n/a",IF(R$3&gt;(A28stdlife+$E433),('PTRM input'!$K$170*(1+rvanilla05)^0.5)-SUM($K433:Q433),('PTRM input'!$K$170*(1+rvanilla05)^0.5)/A28stdlife))</f>
        <v>0</v>
      </c>
      <c r="S433" s="107">
        <f>IF(A28stdlife="n/a","n/a",IF(S$3&gt;(A28stdlife+$E433),('PTRM input'!$K$170*(1+rvanilla05)^0.5)-SUM($K433:R433),('PTRM input'!$K$170*(1+rvanilla05)^0.5)/A28stdlife))</f>
        <v>0</v>
      </c>
      <c r="T433" s="107">
        <f>IF(A28stdlife="n/a","n/a",IF(T$3&gt;(A28stdlife+$E433),('PTRM input'!$K$170*(1+rvanilla05)^0.5)-SUM($K433:S433),('PTRM input'!$K$170*(1+rvanilla05)^0.5)/A28stdlife))</f>
        <v>0</v>
      </c>
      <c r="U433" s="107">
        <f>IF(A28stdlife="n/a","n/a",IF(U$3&gt;(A28stdlife+$E433),('PTRM input'!$K$170*(1+rvanilla05)^0.5)-SUM($K433:T433),('PTRM input'!$K$170*(1+rvanilla05)^0.5)/A28stdlife))</f>
        <v>0</v>
      </c>
      <c r="V433" s="107">
        <f>IF(A28stdlife="n/a","n/a",IF(V$3&gt;(A28stdlife+$E433),('PTRM input'!$K$170*(1+rvanilla05)^0.5)-SUM($K433:U433),('PTRM input'!$K$170*(1+rvanilla05)^0.5)/A28stdlife))</f>
        <v>0</v>
      </c>
      <c r="W433" s="107">
        <f>IF(A28stdlife="n/a","n/a",IF(W$3&gt;(A28stdlife+$E433),('PTRM input'!$K$170*(1+rvanilla05)^0.5)-SUM($K433:V433),('PTRM input'!$K$170*(1+rvanilla05)^0.5)/A28stdlife))</f>
        <v>0</v>
      </c>
      <c r="X433" s="107">
        <f>IF(A28stdlife="n/a","n/a",IF(X$3&gt;(A28stdlife+$E433),('PTRM input'!$K$170*(1+rvanilla05)^0.5)-SUM($K433:W433),('PTRM input'!$K$170*(1+rvanilla05)^0.5)/A28stdlife))</f>
        <v>0</v>
      </c>
      <c r="Y433" s="107">
        <f>IF(A28stdlife="n/a","n/a",IF(Y$3&gt;(A28stdlife+$E433),('PTRM input'!$K$170*(1+rvanilla05)^0.5)-SUM($K433:X433),('PTRM input'!$K$170*(1+rvanilla05)^0.5)/A28stdlife))</f>
        <v>0</v>
      </c>
      <c r="Z433" s="107">
        <f>IF(A28stdlife="n/a","n/a",IF(Z$3&gt;(A28stdlife+$E433),('PTRM input'!$K$170*(1+rvanilla05)^0.5)-SUM($K433:Y433),('PTRM input'!$K$170*(1+rvanilla05)^0.5)/A28stdlife))</f>
        <v>0</v>
      </c>
      <c r="AA433" s="107">
        <f>IF(A28stdlife="n/a","n/a",IF(AA$3&gt;(A28stdlife+$E433),('PTRM input'!$K$170*(1+rvanilla05)^0.5)-SUM($K433:Z433),('PTRM input'!$K$170*(1+rvanilla05)^0.5)/A28stdlife))</f>
        <v>0</v>
      </c>
      <c r="AB433" s="107">
        <f>IF(A28stdlife="n/a","n/a",IF(AB$3&gt;(A28stdlife+$E433),('PTRM input'!$K$170*(1+rvanilla05)^0.5)-SUM($K433:AA433),('PTRM input'!$K$170*(1+rvanilla05)^0.5)/A28stdlife))</f>
        <v>0</v>
      </c>
      <c r="AC433" s="107">
        <f>IF(A28stdlife="n/a","n/a",IF(AC$3&gt;(A28stdlife+$E433),('PTRM input'!$K$170*(1+rvanilla05)^0.5)-SUM($K433:AB433),('PTRM input'!$K$170*(1+rvanilla05)^0.5)/A28stdlife))</f>
        <v>0</v>
      </c>
      <c r="AD433" s="107">
        <f>IF(A28stdlife="n/a","n/a",IF(AD$3&gt;(A28stdlife+$E433),('PTRM input'!$K$170*(1+rvanilla05)^0.5)-SUM($K433:AC433),('PTRM input'!$K$170*(1+rvanilla05)^0.5)/A28stdlife))</f>
        <v>0</v>
      </c>
      <c r="AE433" s="107">
        <f>IF(A28stdlife="n/a","n/a",IF(AE$3&gt;(A28stdlife+$E433),('PTRM input'!$K$170*(1+rvanilla05)^0.5)-SUM($K433:AD433),('PTRM input'!$K$170*(1+rvanilla05)^0.5)/A28stdlife))</f>
        <v>0</v>
      </c>
      <c r="AF433" s="107">
        <f>IF(A28stdlife="n/a","n/a",IF(AF$3&gt;(A28stdlife+$E433),('PTRM input'!$K$170*(1+rvanilla05)^0.5)-SUM($K433:AE433),('PTRM input'!$K$170*(1+rvanilla05)^0.5)/A28stdlife))</f>
        <v>0</v>
      </c>
      <c r="AG433" s="107">
        <f>IF(A28stdlife="n/a","n/a",IF(AG$3&gt;(A28stdlife+$E433),('PTRM input'!$K$170*(1+rvanilla05)^0.5)-SUM($K433:AF433),('PTRM input'!$K$170*(1+rvanilla05)^0.5)/A28stdlife))</f>
        <v>0</v>
      </c>
      <c r="AH433" s="107">
        <f>IF(A28stdlife="n/a","n/a",IF(AH$3&gt;(A28stdlife+$E433),('PTRM input'!$K$170*(1+rvanilla05)^0.5)-SUM($K433:AG433),('PTRM input'!$K$170*(1+rvanilla05)^0.5)/A28stdlife))</f>
        <v>0</v>
      </c>
      <c r="AI433" s="107">
        <f>IF(A28stdlife="n/a","n/a",IF(AI$3&gt;(A28stdlife+$E433),('PTRM input'!$K$170*(1+rvanilla05)^0.5)-SUM($K433:AH433),('PTRM input'!$K$170*(1+rvanilla05)^0.5)/A28stdlife))</f>
        <v>0</v>
      </c>
      <c r="AJ433" s="107">
        <f>IF(A28stdlife="n/a","n/a",IF(AJ$3&gt;(A28stdlife+$E433),('PTRM input'!$K$170*(1+rvanilla05)^0.5)-SUM($K433:AI433),('PTRM input'!$K$170*(1+rvanilla05)^0.5)/A28stdlife))</f>
        <v>0</v>
      </c>
      <c r="AK433" s="107">
        <f>IF(A28stdlife="n/a","n/a",IF(AK$3&gt;(A28stdlife+$E433),('PTRM input'!$K$170*(1+rvanilla05)^0.5)-SUM($K433:AJ433),('PTRM input'!$K$170*(1+rvanilla05)^0.5)/A28stdlife))</f>
        <v>0</v>
      </c>
      <c r="AL433" s="107">
        <f>IF(A28stdlife="n/a","n/a",IF(AL$3&gt;(A28stdlife+$E433),('PTRM input'!$K$170*(1+rvanilla05)^0.5)-SUM($K433:AK433),('PTRM input'!$K$170*(1+rvanilla05)^0.5)/A28stdlife))</f>
        <v>0</v>
      </c>
      <c r="AM433" s="107">
        <f>IF(A28stdlife="n/a","n/a",IF(AM$3&gt;(A28stdlife+$E433),('PTRM input'!$K$170*(1+rvanilla05)^0.5)-SUM($K433:AL433),('PTRM input'!$K$170*(1+rvanilla05)^0.5)/A28stdlife))</f>
        <v>0</v>
      </c>
      <c r="AN433" s="107">
        <f>IF(A28stdlife="n/a","n/a",IF(AN$3&gt;(A28stdlife+$E433),('PTRM input'!$K$170*(1+rvanilla05)^0.5)-SUM($K433:AM433),('PTRM input'!$K$170*(1+rvanilla05)^0.5)/A28stdlife))</f>
        <v>0</v>
      </c>
      <c r="AO433" s="107">
        <f>IF(A28stdlife="n/a","n/a",IF(AO$3&gt;(A28stdlife+$E433),('PTRM input'!$K$170*(1+rvanilla05)^0.5)-SUM($K433:AN433),('PTRM input'!$K$170*(1+rvanilla05)^0.5)/A28stdlife))</f>
        <v>0</v>
      </c>
      <c r="AP433" s="107">
        <f>IF(A28stdlife="n/a","n/a",IF(AP$3&gt;(A28stdlife+$E433),('PTRM input'!$K$170*(1+rvanilla05)^0.5)-SUM($K433:AO433),('PTRM input'!$K$170*(1+rvanilla05)^0.5)/A28stdlife))</f>
        <v>0</v>
      </c>
      <c r="AQ433" s="107">
        <f>IF(A28stdlife="n/a","n/a",IF(AQ$3&gt;(A28stdlife+$E433),('PTRM input'!$K$170*(1+rvanilla05)^0.5)-SUM($K433:AP433),('PTRM input'!$K$170*(1+rvanilla05)^0.5)/A28stdlife))</f>
        <v>0</v>
      </c>
      <c r="AR433" s="107">
        <f>IF(A28stdlife="n/a","n/a",IF(AR$3&gt;(A28stdlife+$E433),('PTRM input'!$K$170*(1+rvanilla05)^0.5)-SUM($K433:AQ433),('PTRM input'!$K$170*(1+rvanilla05)^0.5)/A28stdlife))</f>
        <v>0</v>
      </c>
      <c r="AS433" s="107">
        <f>IF(A28stdlife="n/a","n/a",IF(AS$3&gt;(A28stdlife+$E433),('PTRM input'!$K$170*(1+rvanilla05)^0.5)-SUM($K433:AR433),('PTRM input'!$K$170*(1+rvanilla05)^0.5)/A28stdlife))</f>
        <v>0</v>
      </c>
      <c r="AT433" s="107">
        <f>IF(A28stdlife="n/a","n/a",IF(AT$3&gt;(A28stdlife+$E433),('PTRM input'!$K$170*(1+rvanilla05)^0.5)-SUM($K433:AS433),('PTRM input'!$K$170*(1+rvanilla05)^0.5)/A28stdlife))</f>
        <v>0</v>
      </c>
      <c r="AU433" s="107">
        <f>IF(A28stdlife="n/a","n/a",IF(AU$3&gt;(A28stdlife+$E433),('PTRM input'!$K$170*(1+rvanilla05)^0.5)-SUM($K433:AT433),('PTRM input'!$K$170*(1+rvanilla05)^0.5)/A28stdlife))</f>
        <v>0</v>
      </c>
      <c r="AV433" s="107">
        <f>IF(A28stdlife="n/a","n/a",IF(AV$3&gt;(A28stdlife+$E433),('PTRM input'!$K$170*(1+rvanilla05)^0.5)-SUM($K433:AU433),('PTRM input'!$K$170*(1+rvanilla05)^0.5)/A28stdlife))</f>
        <v>0</v>
      </c>
      <c r="AW433" s="107">
        <f>IF(A28stdlife="n/a","n/a",IF(AW$3&gt;(A28stdlife+$E433),('PTRM input'!$K$170*(1+rvanilla05)^0.5)-SUM($K433:AV433),('PTRM input'!$K$170*(1+rvanilla05)^0.5)/A28stdlife))</f>
        <v>0</v>
      </c>
      <c r="AX433" s="107">
        <f>IF(A28stdlife="n/a","n/a",IF(AX$3&gt;(A28stdlife+$E433),('PTRM input'!$K$170*(1+rvanilla05)^0.5)-SUM($K433:AW433),('PTRM input'!$K$170*(1+rvanilla05)^0.5)/A28stdlife))</f>
        <v>0</v>
      </c>
      <c r="AY433" s="107">
        <f>IF(A28stdlife="n/a","n/a",IF(AY$3&gt;(A28stdlife+$E433),('PTRM input'!$K$170*(1+rvanilla05)^0.5)-SUM($K433:AX433),('PTRM input'!$K$170*(1+rvanilla05)^0.5)/A28stdlife))</f>
        <v>0</v>
      </c>
      <c r="AZ433" s="107">
        <f>IF(A28stdlife="n/a","n/a",IF(AZ$3&gt;(A28stdlife+$E433),('PTRM input'!$K$170*(1+rvanilla05)^0.5)-SUM($K433:AY433),('PTRM input'!$K$170*(1+rvanilla05)^0.5)/A28stdlife))</f>
        <v>0</v>
      </c>
      <c r="BA433" s="107">
        <f>IF(A28stdlife="n/a","n/a",IF(BA$3&gt;(A28stdlife+$E433),('PTRM input'!$K$170*(1+rvanilla05)^0.5)-SUM($K433:AZ433),('PTRM input'!$K$170*(1+rvanilla05)^0.5)/A28stdlife))</f>
        <v>0</v>
      </c>
      <c r="BB433" s="107">
        <f>IF(A28stdlife="n/a","n/a",IF(BB$3&gt;(A28stdlife+$E433),('PTRM input'!$K$170*(1+rvanilla05)^0.5)-SUM($K433:BA433),('PTRM input'!$K$170*(1+rvanilla05)^0.5)/A28stdlife))</f>
        <v>0</v>
      </c>
      <c r="BC433" s="107">
        <f>IF(A28stdlife="n/a","n/a",IF(BC$3&gt;(A28stdlife+$E433),('PTRM input'!$K$170*(1+rvanilla05)^0.5)-SUM($K433:BB433),('PTRM input'!$K$170*(1+rvanilla05)^0.5)/A28stdlife))</f>
        <v>0</v>
      </c>
      <c r="BD433" s="107">
        <f>IF(A28stdlife="n/a","n/a",IF(BD$3&gt;(A28stdlife+$E433),('PTRM input'!$K$170*(1+rvanilla05)^0.5)-SUM($K433:BC433),('PTRM input'!$K$170*(1+rvanilla05)^0.5)/A28stdlife))</f>
        <v>0</v>
      </c>
      <c r="BE433" s="107">
        <f>IF(A28stdlife="n/a","n/a",IF(BE$3&gt;(A28stdlife+$E433),('PTRM input'!$K$170*(1+rvanilla05)^0.5)-SUM($K433:BD433),('PTRM input'!$K$170*(1+rvanilla05)^0.5)/A28stdlife))</f>
        <v>0</v>
      </c>
      <c r="BF433" s="107">
        <f>IF(A28stdlife="n/a","n/a",IF(BF$3&gt;(A28stdlife+$E433),('PTRM input'!$K$170*(1+rvanilla05)^0.5)-SUM($K433:BE433),('PTRM input'!$K$170*(1+rvanilla05)^0.5)/A28stdlife))</f>
        <v>0</v>
      </c>
      <c r="BG433" s="107">
        <f>IF(A28stdlife="n/a","n/a",IF(BG$3&gt;(A28stdlife+$E433),('PTRM input'!$K$170*(1+rvanilla05)^0.5)-SUM($K433:BF433),('PTRM input'!$K$170*(1+rvanilla05)^0.5)/A28stdlife))</f>
        <v>0</v>
      </c>
      <c r="BH433" s="107">
        <f>IF(A28stdlife="n/a","n/a",IF(BH$3&gt;(A28stdlife+$E433),('PTRM input'!$K$170*(1+rvanilla05)^0.5)-SUM($K433:BG433),('PTRM input'!$K$170*(1+rvanilla05)^0.5)/A28stdlife))</f>
        <v>0</v>
      </c>
      <c r="BI433" s="107">
        <f>IF(A28stdlife="n/a","n/a",IF(BI$3&gt;(A28stdlife+$E433),('PTRM input'!$K$170*(1+rvanilla05)^0.5)-SUM($K433:BH433),('PTRM input'!$K$170*(1+rvanilla05)^0.5)/A28stdlife))</f>
        <v>0</v>
      </c>
      <c r="BJ433" s="237"/>
      <c r="BK433" s="237"/>
      <c r="BL433" s="237"/>
      <c r="BM433" s="237"/>
    </row>
    <row r="434" spans="1:65" s="190" customFormat="1" hidden="1" outlineLevel="2">
      <c r="A434" s="237"/>
      <c r="B434" s="33"/>
      <c r="C434" s="32"/>
      <c r="D434" s="1618"/>
      <c r="E434" s="169">
        <v>6</v>
      </c>
      <c r="F434" s="35"/>
      <c r="G434" s="184"/>
      <c r="H434" s="186"/>
      <c r="I434" s="186"/>
      <c r="J434" s="186"/>
      <c r="K434" s="186"/>
      <c r="L434" s="185"/>
      <c r="M434" s="107">
        <f>IF(A28stdlife="n/a","n/a",IF(M$3&gt;(A28stdlife+$E434),('PTRM input'!$L$170*(1+rvanilla06)^0.5)-SUM($L434:L434),('PTRM input'!$L$170*(1+rvanilla06)^0.5)/A28stdlife))</f>
        <v>0</v>
      </c>
      <c r="N434" s="107">
        <f>IF(A28stdlife="n/a","n/a",IF(N$3&gt;(A28stdlife+$E434),('PTRM input'!$L$170*(1+rvanilla06)^0.5)-SUM($L434:M434),('PTRM input'!$L$170*(1+rvanilla06)^0.5)/A28stdlife))</f>
        <v>0</v>
      </c>
      <c r="O434" s="107">
        <f>IF(A28stdlife="n/a","n/a",IF(O$3&gt;(A28stdlife+$E434),('PTRM input'!$L$170*(1+rvanilla06)^0.5)-SUM($L434:N434),('PTRM input'!$L$170*(1+rvanilla06)^0.5)/A28stdlife))</f>
        <v>0</v>
      </c>
      <c r="P434" s="107">
        <f>IF(A28stdlife="n/a","n/a",IF(P$3&gt;(A28stdlife+$E434),('PTRM input'!$L$170*(1+rvanilla06)^0.5)-SUM($L434:O434),('PTRM input'!$L$170*(1+rvanilla06)^0.5)/A28stdlife))</f>
        <v>0</v>
      </c>
      <c r="Q434" s="107">
        <f>IF(A28stdlife="n/a","n/a",IF(Q$3&gt;(A28stdlife+$E434),('PTRM input'!$L$170*(1+rvanilla06)^0.5)-SUM($L434:P434),('PTRM input'!$L$170*(1+rvanilla06)^0.5)/A28stdlife))</f>
        <v>0</v>
      </c>
      <c r="R434" s="107">
        <f>IF(A28stdlife="n/a","n/a",IF(R$3&gt;(A28stdlife+$E434),('PTRM input'!$L$170*(1+rvanilla06)^0.5)-SUM($L434:Q434),('PTRM input'!$L$170*(1+rvanilla06)^0.5)/A28stdlife))</f>
        <v>0</v>
      </c>
      <c r="S434" s="107">
        <f>IF(A28stdlife="n/a","n/a",IF(S$3&gt;(A28stdlife+$E434),('PTRM input'!$L$170*(1+rvanilla06)^0.5)-SUM($L434:R434),('PTRM input'!$L$170*(1+rvanilla06)^0.5)/A28stdlife))</f>
        <v>0</v>
      </c>
      <c r="T434" s="107">
        <f>IF(A28stdlife="n/a","n/a",IF(T$3&gt;(A28stdlife+$E434),('PTRM input'!$L$170*(1+rvanilla06)^0.5)-SUM($L434:S434),('PTRM input'!$L$170*(1+rvanilla06)^0.5)/A28stdlife))</f>
        <v>0</v>
      </c>
      <c r="U434" s="107">
        <f>IF(A28stdlife="n/a","n/a",IF(U$3&gt;(A28stdlife+$E434),('PTRM input'!$L$170*(1+rvanilla06)^0.5)-SUM($L434:T434),('PTRM input'!$L$170*(1+rvanilla06)^0.5)/A28stdlife))</f>
        <v>0</v>
      </c>
      <c r="V434" s="107">
        <f>IF(A28stdlife="n/a","n/a",IF(V$3&gt;(A28stdlife+$E434),('PTRM input'!$L$170*(1+rvanilla06)^0.5)-SUM($L434:U434),('PTRM input'!$L$170*(1+rvanilla06)^0.5)/A28stdlife))</f>
        <v>0</v>
      </c>
      <c r="W434" s="107">
        <f>IF(A28stdlife="n/a","n/a",IF(W$3&gt;(A28stdlife+$E434),('PTRM input'!$L$170*(1+rvanilla06)^0.5)-SUM($L434:V434),('PTRM input'!$L$170*(1+rvanilla06)^0.5)/A28stdlife))</f>
        <v>0</v>
      </c>
      <c r="X434" s="107">
        <f>IF(A28stdlife="n/a","n/a",IF(X$3&gt;(A28stdlife+$E434),('PTRM input'!$L$170*(1+rvanilla06)^0.5)-SUM($L434:W434),('PTRM input'!$L$170*(1+rvanilla06)^0.5)/A28stdlife))</f>
        <v>0</v>
      </c>
      <c r="Y434" s="107">
        <f>IF(A28stdlife="n/a","n/a",IF(Y$3&gt;(A28stdlife+$E434),('PTRM input'!$L$170*(1+rvanilla06)^0.5)-SUM($L434:X434),('PTRM input'!$L$170*(1+rvanilla06)^0.5)/A28stdlife))</f>
        <v>0</v>
      </c>
      <c r="Z434" s="107">
        <f>IF(A28stdlife="n/a","n/a",IF(Z$3&gt;(A28stdlife+$E434),('PTRM input'!$L$170*(1+rvanilla06)^0.5)-SUM($L434:Y434),('PTRM input'!$L$170*(1+rvanilla06)^0.5)/A28stdlife))</f>
        <v>0</v>
      </c>
      <c r="AA434" s="107">
        <f>IF(A28stdlife="n/a","n/a",IF(AA$3&gt;(A28stdlife+$E434),('PTRM input'!$L$170*(1+rvanilla06)^0.5)-SUM($L434:Z434),('PTRM input'!$L$170*(1+rvanilla06)^0.5)/A28stdlife))</f>
        <v>0</v>
      </c>
      <c r="AB434" s="107">
        <f>IF(A28stdlife="n/a","n/a",IF(AB$3&gt;(A28stdlife+$E434),('PTRM input'!$L$170*(1+rvanilla06)^0.5)-SUM($L434:AA434),('PTRM input'!$L$170*(1+rvanilla06)^0.5)/A28stdlife))</f>
        <v>0</v>
      </c>
      <c r="AC434" s="107">
        <f>IF(A28stdlife="n/a","n/a",IF(AC$3&gt;(A28stdlife+$E434),('PTRM input'!$L$170*(1+rvanilla06)^0.5)-SUM($L434:AB434),('PTRM input'!$L$170*(1+rvanilla06)^0.5)/A28stdlife))</f>
        <v>0</v>
      </c>
      <c r="AD434" s="107">
        <f>IF(A28stdlife="n/a","n/a",IF(AD$3&gt;(A28stdlife+$E434),('PTRM input'!$L$170*(1+rvanilla06)^0.5)-SUM($L434:AC434),('PTRM input'!$L$170*(1+rvanilla06)^0.5)/A28stdlife))</f>
        <v>0</v>
      </c>
      <c r="AE434" s="107">
        <f>IF(A28stdlife="n/a","n/a",IF(AE$3&gt;(A28stdlife+$E434),('PTRM input'!$L$170*(1+rvanilla06)^0.5)-SUM($L434:AD434),('PTRM input'!$L$170*(1+rvanilla06)^0.5)/A28stdlife))</f>
        <v>0</v>
      </c>
      <c r="AF434" s="107">
        <f>IF(A28stdlife="n/a","n/a",IF(AF$3&gt;(A28stdlife+$E434),('PTRM input'!$L$170*(1+rvanilla06)^0.5)-SUM($L434:AE434),('PTRM input'!$L$170*(1+rvanilla06)^0.5)/A28stdlife))</f>
        <v>0</v>
      </c>
      <c r="AG434" s="107">
        <f>IF(A28stdlife="n/a","n/a",IF(AG$3&gt;(A28stdlife+$E434),('PTRM input'!$L$170*(1+rvanilla06)^0.5)-SUM($L434:AF434),('PTRM input'!$L$170*(1+rvanilla06)^0.5)/A28stdlife))</f>
        <v>0</v>
      </c>
      <c r="AH434" s="107">
        <f>IF(A28stdlife="n/a","n/a",IF(AH$3&gt;(A28stdlife+$E434),('PTRM input'!$L$170*(1+rvanilla06)^0.5)-SUM($L434:AG434),('PTRM input'!$L$170*(1+rvanilla06)^0.5)/A28stdlife))</f>
        <v>0</v>
      </c>
      <c r="AI434" s="107">
        <f>IF(A28stdlife="n/a","n/a",IF(AI$3&gt;(A28stdlife+$E434),('PTRM input'!$L$170*(1+rvanilla06)^0.5)-SUM($L434:AH434),('PTRM input'!$L$170*(1+rvanilla06)^0.5)/A28stdlife))</f>
        <v>0</v>
      </c>
      <c r="AJ434" s="107">
        <f>IF(A28stdlife="n/a","n/a",IF(AJ$3&gt;(A28stdlife+$E434),('PTRM input'!$L$170*(1+rvanilla06)^0.5)-SUM($L434:AI434),('PTRM input'!$L$170*(1+rvanilla06)^0.5)/A28stdlife))</f>
        <v>0</v>
      </c>
      <c r="AK434" s="107">
        <f>IF(A28stdlife="n/a","n/a",IF(AK$3&gt;(A28stdlife+$E434),('PTRM input'!$L$170*(1+rvanilla06)^0.5)-SUM($L434:AJ434),('PTRM input'!$L$170*(1+rvanilla06)^0.5)/A28stdlife))</f>
        <v>0</v>
      </c>
      <c r="AL434" s="107">
        <f>IF(A28stdlife="n/a","n/a",IF(AL$3&gt;(A28stdlife+$E434),('PTRM input'!$L$170*(1+rvanilla06)^0.5)-SUM($L434:AK434),('PTRM input'!$L$170*(1+rvanilla06)^0.5)/A28stdlife))</f>
        <v>0</v>
      </c>
      <c r="AM434" s="107">
        <f>IF(A28stdlife="n/a","n/a",IF(AM$3&gt;(A28stdlife+$E434),('PTRM input'!$L$170*(1+rvanilla06)^0.5)-SUM($L434:AL434),('PTRM input'!$L$170*(1+rvanilla06)^0.5)/A28stdlife))</f>
        <v>0</v>
      </c>
      <c r="AN434" s="107">
        <f>IF(A28stdlife="n/a","n/a",IF(AN$3&gt;(A28stdlife+$E434),('PTRM input'!$L$170*(1+rvanilla06)^0.5)-SUM($L434:AM434),('PTRM input'!$L$170*(1+rvanilla06)^0.5)/A28stdlife))</f>
        <v>0</v>
      </c>
      <c r="AO434" s="107">
        <f>IF(A28stdlife="n/a","n/a",IF(AO$3&gt;(A28stdlife+$E434),('PTRM input'!$L$170*(1+rvanilla06)^0.5)-SUM($L434:AN434),('PTRM input'!$L$170*(1+rvanilla06)^0.5)/A28stdlife))</f>
        <v>0</v>
      </c>
      <c r="AP434" s="107">
        <f>IF(A28stdlife="n/a","n/a",IF(AP$3&gt;(A28stdlife+$E434),('PTRM input'!$L$170*(1+rvanilla06)^0.5)-SUM($L434:AO434),('PTRM input'!$L$170*(1+rvanilla06)^0.5)/A28stdlife))</f>
        <v>0</v>
      </c>
      <c r="AQ434" s="107">
        <f>IF(A28stdlife="n/a","n/a",IF(AQ$3&gt;(A28stdlife+$E434),('PTRM input'!$L$170*(1+rvanilla06)^0.5)-SUM($L434:AP434),('PTRM input'!$L$170*(1+rvanilla06)^0.5)/A28stdlife))</f>
        <v>0</v>
      </c>
      <c r="AR434" s="107">
        <f>IF(A28stdlife="n/a","n/a",IF(AR$3&gt;(A28stdlife+$E434),('PTRM input'!$L$170*(1+rvanilla06)^0.5)-SUM($L434:AQ434),('PTRM input'!$L$170*(1+rvanilla06)^0.5)/A28stdlife))</f>
        <v>0</v>
      </c>
      <c r="AS434" s="107">
        <f>IF(A28stdlife="n/a","n/a",IF(AS$3&gt;(A28stdlife+$E434),('PTRM input'!$L$170*(1+rvanilla06)^0.5)-SUM($L434:AR434),('PTRM input'!$L$170*(1+rvanilla06)^0.5)/A28stdlife))</f>
        <v>0</v>
      </c>
      <c r="AT434" s="107">
        <f>IF(A28stdlife="n/a","n/a",IF(AT$3&gt;(A28stdlife+$E434),('PTRM input'!$L$170*(1+rvanilla06)^0.5)-SUM($L434:AS434),('PTRM input'!$L$170*(1+rvanilla06)^0.5)/A28stdlife))</f>
        <v>0</v>
      </c>
      <c r="AU434" s="107">
        <f>IF(A28stdlife="n/a","n/a",IF(AU$3&gt;(A28stdlife+$E434),('PTRM input'!$L$170*(1+rvanilla06)^0.5)-SUM($L434:AT434),('PTRM input'!$L$170*(1+rvanilla06)^0.5)/A28stdlife))</f>
        <v>0</v>
      </c>
      <c r="AV434" s="107">
        <f>IF(A28stdlife="n/a","n/a",IF(AV$3&gt;(A28stdlife+$E434),('PTRM input'!$L$170*(1+rvanilla06)^0.5)-SUM($L434:AU434),('PTRM input'!$L$170*(1+rvanilla06)^0.5)/A28stdlife))</f>
        <v>0</v>
      </c>
      <c r="AW434" s="107">
        <f>IF(A28stdlife="n/a","n/a",IF(AW$3&gt;(A28stdlife+$E434),('PTRM input'!$L$170*(1+rvanilla06)^0.5)-SUM($L434:AV434),('PTRM input'!$L$170*(1+rvanilla06)^0.5)/A28stdlife))</f>
        <v>0</v>
      </c>
      <c r="AX434" s="107">
        <f>IF(A28stdlife="n/a","n/a",IF(AX$3&gt;(A28stdlife+$E434),('PTRM input'!$L$170*(1+rvanilla06)^0.5)-SUM($L434:AW434),('PTRM input'!$L$170*(1+rvanilla06)^0.5)/A28stdlife))</f>
        <v>0</v>
      </c>
      <c r="AY434" s="107">
        <f>IF(A28stdlife="n/a","n/a",IF(AY$3&gt;(A28stdlife+$E434),('PTRM input'!$L$170*(1+rvanilla06)^0.5)-SUM($L434:AX434),('PTRM input'!$L$170*(1+rvanilla06)^0.5)/A28stdlife))</f>
        <v>0</v>
      </c>
      <c r="AZ434" s="107">
        <f>IF(A28stdlife="n/a","n/a",IF(AZ$3&gt;(A28stdlife+$E434),('PTRM input'!$L$170*(1+rvanilla06)^0.5)-SUM($L434:AY434),('PTRM input'!$L$170*(1+rvanilla06)^0.5)/A28stdlife))</f>
        <v>0</v>
      </c>
      <c r="BA434" s="107">
        <f>IF(A28stdlife="n/a","n/a",IF(BA$3&gt;(A28stdlife+$E434),('PTRM input'!$L$170*(1+rvanilla06)^0.5)-SUM($L434:AZ434),('PTRM input'!$L$170*(1+rvanilla06)^0.5)/A28stdlife))</f>
        <v>0</v>
      </c>
      <c r="BB434" s="107">
        <f>IF(A28stdlife="n/a","n/a",IF(BB$3&gt;(A28stdlife+$E434),('PTRM input'!$L$170*(1+rvanilla06)^0.5)-SUM($L434:BA434),('PTRM input'!$L$170*(1+rvanilla06)^0.5)/A28stdlife))</f>
        <v>0</v>
      </c>
      <c r="BC434" s="107">
        <f>IF(A28stdlife="n/a","n/a",IF(BC$3&gt;(A28stdlife+$E434),('PTRM input'!$L$170*(1+rvanilla06)^0.5)-SUM($L434:BB434),('PTRM input'!$L$170*(1+rvanilla06)^0.5)/A28stdlife))</f>
        <v>0</v>
      </c>
      <c r="BD434" s="107">
        <f>IF(A28stdlife="n/a","n/a",IF(BD$3&gt;(A28stdlife+$E434),('PTRM input'!$L$170*(1+rvanilla06)^0.5)-SUM($L434:BC434),('PTRM input'!$L$170*(1+rvanilla06)^0.5)/A28stdlife))</f>
        <v>0</v>
      </c>
      <c r="BE434" s="107">
        <f>IF(A28stdlife="n/a","n/a",IF(BE$3&gt;(A28stdlife+$E434),('PTRM input'!$L$170*(1+rvanilla06)^0.5)-SUM($L434:BD434),('PTRM input'!$L$170*(1+rvanilla06)^0.5)/A28stdlife))</f>
        <v>0</v>
      </c>
      <c r="BF434" s="107">
        <f>IF(A28stdlife="n/a","n/a",IF(BF$3&gt;(A28stdlife+$E434),('PTRM input'!$L$170*(1+rvanilla06)^0.5)-SUM($L434:BE434),('PTRM input'!$L$170*(1+rvanilla06)^0.5)/A28stdlife))</f>
        <v>0</v>
      </c>
      <c r="BG434" s="107">
        <f>IF(A28stdlife="n/a","n/a",IF(BG$3&gt;(A28stdlife+$E434),('PTRM input'!$L$170*(1+rvanilla06)^0.5)-SUM($L434:BF434),('PTRM input'!$L$170*(1+rvanilla06)^0.5)/A28stdlife))</f>
        <v>0</v>
      </c>
      <c r="BH434" s="107">
        <f>IF(A28stdlife="n/a","n/a",IF(BH$3&gt;(A28stdlife+$E434),('PTRM input'!$L$170*(1+rvanilla06)^0.5)-SUM($L434:BG434),('PTRM input'!$L$170*(1+rvanilla06)^0.5)/A28stdlife))</f>
        <v>0</v>
      </c>
      <c r="BI434" s="107">
        <f>IF(A28stdlife="n/a","n/a",IF(BI$3&gt;(A28stdlife+$E434),('PTRM input'!$L$170*(1+rvanilla06)^0.5)-SUM($L434:BH434),('PTRM input'!$L$170*(1+rvanilla06)^0.5)/A28stdlife))</f>
        <v>0</v>
      </c>
      <c r="BJ434" s="237"/>
      <c r="BK434" s="237"/>
      <c r="BL434" s="237"/>
      <c r="BM434" s="237"/>
    </row>
    <row r="435" spans="1:65" s="190" customFormat="1" hidden="1" outlineLevel="2">
      <c r="A435" s="237"/>
      <c r="B435" s="33"/>
      <c r="C435" s="32"/>
      <c r="D435" s="1618"/>
      <c r="E435" s="169">
        <v>7</v>
      </c>
      <c r="F435" s="35"/>
      <c r="G435" s="184"/>
      <c r="H435" s="186"/>
      <c r="I435" s="186"/>
      <c r="J435" s="186"/>
      <c r="K435" s="186"/>
      <c r="L435" s="186"/>
      <c r="M435" s="185"/>
      <c r="N435" s="107">
        <f>IF(A28stdlife="n/a","n/a",IF(N$3&gt;(A28stdlife+$E435),('PTRM input'!$M$170*(1+rvanilla07)^0.5)-SUM($M435:M435),('PTRM input'!$M$170*(1+rvanilla07)^0.5)/A28stdlife))</f>
        <v>0</v>
      </c>
      <c r="O435" s="107">
        <f>IF(A28stdlife="n/a","n/a",IF(O$3&gt;(A28stdlife+$E435),('PTRM input'!$M$170*(1+rvanilla07)^0.5)-SUM($M435:N435),('PTRM input'!$M$170*(1+rvanilla07)^0.5)/A28stdlife))</f>
        <v>0</v>
      </c>
      <c r="P435" s="107">
        <f>IF(A28stdlife="n/a","n/a",IF(P$3&gt;(A28stdlife+$E435),('PTRM input'!$M$170*(1+rvanilla07)^0.5)-SUM($M435:O435),('PTRM input'!$M$170*(1+rvanilla07)^0.5)/A28stdlife))</f>
        <v>0</v>
      </c>
      <c r="Q435" s="107">
        <f>IF(A28stdlife="n/a","n/a",IF(Q$3&gt;(A28stdlife+$E435),('PTRM input'!$M$170*(1+rvanilla07)^0.5)-SUM($M435:P435),('PTRM input'!$M$170*(1+rvanilla07)^0.5)/A28stdlife))</f>
        <v>0</v>
      </c>
      <c r="R435" s="107">
        <f>IF(A28stdlife="n/a","n/a",IF(R$3&gt;(A28stdlife+$E435),('PTRM input'!$M$170*(1+rvanilla07)^0.5)-SUM($M435:Q435),('PTRM input'!$M$170*(1+rvanilla07)^0.5)/A28stdlife))</f>
        <v>0</v>
      </c>
      <c r="S435" s="107">
        <f>IF(A28stdlife="n/a","n/a",IF(S$3&gt;(A28stdlife+$E435),('PTRM input'!$M$170*(1+rvanilla07)^0.5)-SUM($M435:R435),('PTRM input'!$M$170*(1+rvanilla07)^0.5)/A28stdlife))</f>
        <v>0</v>
      </c>
      <c r="T435" s="107">
        <f>IF(A28stdlife="n/a","n/a",IF(T$3&gt;(A28stdlife+$E435),('PTRM input'!$M$170*(1+rvanilla07)^0.5)-SUM($M435:S435),('PTRM input'!$M$170*(1+rvanilla07)^0.5)/A28stdlife))</f>
        <v>0</v>
      </c>
      <c r="U435" s="107">
        <f>IF(A28stdlife="n/a","n/a",IF(U$3&gt;(A28stdlife+$E435),('PTRM input'!$M$170*(1+rvanilla07)^0.5)-SUM($M435:T435),('PTRM input'!$M$170*(1+rvanilla07)^0.5)/A28stdlife))</f>
        <v>0</v>
      </c>
      <c r="V435" s="107">
        <f>IF(A28stdlife="n/a","n/a",IF(V$3&gt;(A28stdlife+$E435),('PTRM input'!$M$170*(1+rvanilla07)^0.5)-SUM($M435:U435),('PTRM input'!$M$170*(1+rvanilla07)^0.5)/A28stdlife))</f>
        <v>0</v>
      </c>
      <c r="W435" s="107">
        <f>IF(A28stdlife="n/a","n/a",IF(W$3&gt;(A28stdlife+$E435),('PTRM input'!$M$170*(1+rvanilla07)^0.5)-SUM($M435:V435),('PTRM input'!$M$170*(1+rvanilla07)^0.5)/A28stdlife))</f>
        <v>0</v>
      </c>
      <c r="X435" s="107">
        <f>IF(A28stdlife="n/a","n/a",IF(X$3&gt;(A28stdlife+$E435),('PTRM input'!$M$170*(1+rvanilla07)^0.5)-SUM($M435:W435),('PTRM input'!$M$170*(1+rvanilla07)^0.5)/A28stdlife))</f>
        <v>0</v>
      </c>
      <c r="Y435" s="107">
        <f>IF(A28stdlife="n/a","n/a",IF(Y$3&gt;(A28stdlife+$E435),('PTRM input'!$M$170*(1+rvanilla07)^0.5)-SUM($M435:X435),('PTRM input'!$M$170*(1+rvanilla07)^0.5)/A28stdlife))</f>
        <v>0</v>
      </c>
      <c r="Z435" s="107">
        <f>IF(A28stdlife="n/a","n/a",IF(Z$3&gt;(A28stdlife+$E435),('PTRM input'!$M$170*(1+rvanilla07)^0.5)-SUM($M435:Y435),('PTRM input'!$M$170*(1+rvanilla07)^0.5)/A28stdlife))</f>
        <v>0</v>
      </c>
      <c r="AA435" s="107">
        <f>IF(A28stdlife="n/a","n/a",IF(AA$3&gt;(A28stdlife+$E435),('PTRM input'!$M$170*(1+rvanilla07)^0.5)-SUM($M435:Z435),('PTRM input'!$M$170*(1+rvanilla07)^0.5)/A28stdlife))</f>
        <v>0</v>
      </c>
      <c r="AB435" s="107">
        <f>IF(A28stdlife="n/a","n/a",IF(AB$3&gt;(A28stdlife+$E435),('PTRM input'!$M$170*(1+rvanilla07)^0.5)-SUM($M435:AA435),('PTRM input'!$M$170*(1+rvanilla07)^0.5)/A28stdlife))</f>
        <v>0</v>
      </c>
      <c r="AC435" s="107">
        <f>IF(A28stdlife="n/a","n/a",IF(AC$3&gt;(A28stdlife+$E435),('PTRM input'!$M$170*(1+rvanilla07)^0.5)-SUM($M435:AB435),('PTRM input'!$M$170*(1+rvanilla07)^0.5)/A28stdlife))</f>
        <v>0</v>
      </c>
      <c r="AD435" s="107">
        <f>IF(A28stdlife="n/a","n/a",IF(AD$3&gt;(A28stdlife+$E435),('PTRM input'!$M$170*(1+rvanilla07)^0.5)-SUM($M435:AC435),('PTRM input'!$M$170*(1+rvanilla07)^0.5)/A28stdlife))</f>
        <v>0</v>
      </c>
      <c r="AE435" s="107">
        <f>IF(A28stdlife="n/a","n/a",IF(AE$3&gt;(A28stdlife+$E435),('PTRM input'!$M$170*(1+rvanilla07)^0.5)-SUM($M435:AD435),('PTRM input'!$M$170*(1+rvanilla07)^0.5)/A28stdlife))</f>
        <v>0</v>
      </c>
      <c r="AF435" s="107">
        <f>IF(A28stdlife="n/a","n/a",IF(AF$3&gt;(A28stdlife+$E435),('PTRM input'!$M$170*(1+rvanilla07)^0.5)-SUM($M435:AE435),('PTRM input'!$M$170*(1+rvanilla07)^0.5)/A28stdlife))</f>
        <v>0</v>
      </c>
      <c r="AG435" s="107">
        <f>IF(A28stdlife="n/a","n/a",IF(AG$3&gt;(A28stdlife+$E435),('PTRM input'!$M$170*(1+rvanilla07)^0.5)-SUM($M435:AF435),('PTRM input'!$M$170*(1+rvanilla07)^0.5)/A28stdlife))</f>
        <v>0</v>
      </c>
      <c r="AH435" s="107">
        <f>IF(A28stdlife="n/a","n/a",IF(AH$3&gt;(A28stdlife+$E435),('PTRM input'!$M$170*(1+rvanilla07)^0.5)-SUM($M435:AG435),('PTRM input'!$M$170*(1+rvanilla07)^0.5)/A28stdlife))</f>
        <v>0</v>
      </c>
      <c r="AI435" s="107">
        <f>IF(A28stdlife="n/a","n/a",IF(AI$3&gt;(A28stdlife+$E435),('PTRM input'!$M$170*(1+rvanilla07)^0.5)-SUM($M435:AH435),('PTRM input'!$M$170*(1+rvanilla07)^0.5)/A28stdlife))</f>
        <v>0</v>
      </c>
      <c r="AJ435" s="107">
        <f>IF(A28stdlife="n/a","n/a",IF(AJ$3&gt;(A28stdlife+$E435),('PTRM input'!$M$170*(1+rvanilla07)^0.5)-SUM($M435:AI435),('PTRM input'!$M$170*(1+rvanilla07)^0.5)/A28stdlife))</f>
        <v>0</v>
      </c>
      <c r="AK435" s="107">
        <f>IF(A28stdlife="n/a","n/a",IF(AK$3&gt;(A28stdlife+$E435),('PTRM input'!$M$170*(1+rvanilla07)^0.5)-SUM($M435:AJ435),('PTRM input'!$M$170*(1+rvanilla07)^0.5)/A28stdlife))</f>
        <v>0</v>
      </c>
      <c r="AL435" s="107">
        <f>IF(A28stdlife="n/a","n/a",IF(AL$3&gt;(A28stdlife+$E435),('PTRM input'!$M$170*(1+rvanilla07)^0.5)-SUM($M435:AK435),('PTRM input'!$M$170*(1+rvanilla07)^0.5)/A28stdlife))</f>
        <v>0</v>
      </c>
      <c r="AM435" s="107">
        <f>IF(A28stdlife="n/a","n/a",IF(AM$3&gt;(A28stdlife+$E435),('PTRM input'!$M$170*(1+rvanilla07)^0.5)-SUM($M435:AL435),('PTRM input'!$M$170*(1+rvanilla07)^0.5)/A28stdlife))</f>
        <v>0</v>
      </c>
      <c r="AN435" s="107">
        <f>IF(A28stdlife="n/a","n/a",IF(AN$3&gt;(A28stdlife+$E435),('PTRM input'!$M$170*(1+rvanilla07)^0.5)-SUM($M435:AM435),('PTRM input'!$M$170*(1+rvanilla07)^0.5)/A28stdlife))</f>
        <v>0</v>
      </c>
      <c r="AO435" s="107">
        <f>IF(A28stdlife="n/a","n/a",IF(AO$3&gt;(A28stdlife+$E435),('PTRM input'!$M$170*(1+rvanilla07)^0.5)-SUM($M435:AN435),('PTRM input'!$M$170*(1+rvanilla07)^0.5)/A28stdlife))</f>
        <v>0</v>
      </c>
      <c r="AP435" s="107">
        <f>IF(A28stdlife="n/a","n/a",IF(AP$3&gt;(A28stdlife+$E435),('PTRM input'!$M$170*(1+rvanilla07)^0.5)-SUM($M435:AO435),('PTRM input'!$M$170*(1+rvanilla07)^0.5)/A28stdlife))</f>
        <v>0</v>
      </c>
      <c r="AQ435" s="107">
        <f>IF(A28stdlife="n/a","n/a",IF(AQ$3&gt;(A28stdlife+$E435),('PTRM input'!$M$170*(1+rvanilla07)^0.5)-SUM($M435:AP435),('PTRM input'!$M$170*(1+rvanilla07)^0.5)/A28stdlife))</f>
        <v>0</v>
      </c>
      <c r="AR435" s="107">
        <f>IF(A28stdlife="n/a","n/a",IF(AR$3&gt;(A28stdlife+$E435),('PTRM input'!$M$170*(1+rvanilla07)^0.5)-SUM($M435:AQ435),('PTRM input'!$M$170*(1+rvanilla07)^0.5)/A28stdlife))</f>
        <v>0</v>
      </c>
      <c r="AS435" s="107">
        <f>IF(A28stdlife="n/a","n/a",IF(AS$3&gt;(A28stdlife+$E435),('PTRM input'!$M$170*(1+rvanilla07)^0.5)-SUM($M435:AR435),('PTRM input'!$M$170*(1+rvanilla07)^0.5)/A28stdlife))</f>
        <v>0</v>
      </c>
      <c r="AT435" s="107">
        <f>IF(A28stdlife="n/a","n/a",IF(AT$3&gt;(A28stdlife+$E435),('PTRM input'!$M$170*(1+rvanilla07)^0.5)-SUM($M435:AS435),('PTRM input'!$M$170*(1+rvanilla07)^0.5)/A28stdlife))</f>
        <v>0</v>
      </c>
      <c r="AU435" s="107">
        <f>IF(A28stdlife="n/a","n/a",IF(AU$3&gt;(A28stdlife+$E435),('PTRM input'!$M$170*(1+rvanilla07)^0.5)-SUM($M435:AT435),('PTRM input'!$M$170*(1+rvanilla07)^0.5)/A28stdlife))</f>
        <v>0</v>
      </c>
      <c r="AV435" s="107">
        <f>IF(A28stdlife="n/a","n/a",IF(AV$3&gt;(A28stdlife+$E435),('PTRM input'!$M$170*(1+rvanilla07)^0.5)-SUM($M435:AU435),('PTRM input'!$M$170*(1+rvanilla07)^0.5)/A28stdlife))</f>
        <v>0</v>
      </c>
      <c r="AW435" s="107">
        <f>IF(A28stdlife="n/a","n/a",IF(AW$3&gt;(A28stdlife+$E435),('PTRM input'!$M$170*(1+rvanilla07)^0.5)-SUM($M435:AV435),('PTRM input'!$M$170*(1+rvanilla07)^0.5)/A28stdlife))</f>
        <v>0</v>
      </c>
      <c r="AX435" s="107">
        <f>IF(A28stdlife="n/a","n/a",IF(AX$3&gt;(A28stdlife+$E435),('PTRM input'!$M$170*(1+rvanilla07)^0.5)-SUM($M435:AW435),('PTRM input'!$M$170*(1+rvanilla07)^0.5)/A28stdlife))</f>
        <v>0</v>
      </c>
      <c r="AY435" s="107">
        <f>IF(A28stdlife="n/a","n/a",IF(AY$3&gt;(A28stdlife+$E435),('PTRM input'!$M$170*(1+rvanilla07)^0.5)-SUM($M435:AX435),('PTRM input'!$M$170*(1+rvanilla07)^0.5)/A28stdlife))</f>
        <v>0</v>
      </c>
      <c r="AZ435" s="107">
        <f>IF(A28stdlife="n/a","n/a",IF(AZ$3&gt;(A28stdlife+$E435),('PTRM input'!$M$170*(1+rvanilla07)^0.5)-SUM($M435:AY435),('PTRM input'!$M$170*(1+rvanilla07)^0.5)/A28stdlife))</f>
        <v>0</v>
      </c>
      <c r="BA435" s="107">
        <f>IF(A28stdlife="n/a","n/a",IF(BA$3&gt;(A28stdlife+$E435),('PTRM input'!$M$170*(1+rvanilla07)^0.5)-SUM($M435:AZ435),('PTRM input'!$M$170*(1+rvanilla07)^0.5)/A28stdlife))</f>
        <v>0</v>
      </c>
      <c r="BB435" s="107">
        <f>IF(A28stdlife="n/a","n/a",IF(BB$3&gt;(A28stdlife+$E435),('PTRM input'!$M$170*(1+rvanilla07)^0.5)-SUM($M435:BA435),('PTRM input'!$M$170*(1+rvanilla07)^0.5)/A28stdlife))</f>
        <v>0</v>
      </c>
      <c r="BC435" s="107">
        <f>IF(A28stdlife="n/a","n/a",IF(BC$3&gt;(A28stdlife+$E435),('PTRM input'!$M$170*(1+rvanilla07)^0.5)-SUM($M435:BB435),('PTRM input'!$M$170*(1+rvanilla07)^0.5)/A28stdlife))</f>
        <v>0</v>
      </c>
      <c r="BD435" s="107">
        <f>IF(A28stdlife="n/a","n/a",IF(BD$3&gt;(A28stdlife+$E435),('PTRM input'!$M$170*(1+rvanilla07)^0.5)-SUM($M435:BC435),('PTRM input'!$M$170*(1+rvanilla07)^0.5)/A28stdlife))</f>
        <v>0</v>
      </c>
      <c r="BE435" s="107">
        <f>IF(A28stdlife="n/a","n/a",IF(BE$3&gt;(A28stdlife+$E435),('PTRM input'!$M$170*(1+rvanilla07)^0.5)-SUM($M435:BD435),('PTRM input'!$M$170*(1+rvanilla07)^0.5)/A28stdlife))</f>
        <v>0</v>
      </c>
      <c r="BF435" s="107">
        <f>IF(A28stdlife="n/a","n/a",IF(BF$3&gt;(A28stdlife+$E435),('PTRM input'!$M$170*(1+rvanilla07)^0.5)-SUM($M435:BE435),('PTRM input'!$M$170*(1+rvanilla07)^0.5)/A28stdlife))</f>
        <v>0</v>
      </c>
      <c r="BG435" s="107">
        <f>IF(A28stdlife="n/a","n/a",IF(BG$3&gt;(A28stdlife+$E435),('PTRM input'!$M$170*(1+rvanilla07)^0.5)-SUM($M435:BF435),('PTRM input'!$M$170*(1+rvanilla07)^0.5)/A28stdlife))</f>
        <v>0</v>
      </c>
      <c r="BH435" s="107">
        <f>IF(A28stdlife="n/a","n/a",IF(BH$3&gt;(A28stdlife+$E435),('PTRM input'!$M$170*(1+rvanilla07)^0.5)-SUM($M435:BG435),('PTRM input'!$M$170*(1+rvanilla07)^0.5)/A28stdlife))</f>
        <v>0</v>
      </c>
      <c r="BI435" s="107">
        <f>IF(A28stdlife="n/a","n/a",IF(BI$3&gt;(A28stdlife+$E435),('PTRM input'!$M$170*(1+rvanilla07)^0.5)-SUM($M435:BH435),('PTRM input'!$M$170*(1+rvanilla07)^0.5)/A28stdlife))</f>
        <v>0</v>
      </c>
      <c r="BJ435" s="237"/>
      <c r="BK435" s="237"/>
      <c r="BL435" s="237"/>
      <c r="BM435" s="237"/>
    </row>
    <row r="436" spans="1:65" s="190" customFormat="1" hidden="1" outlineLevel="2">
      <c r="A436" s="237"/>
      <c r="B436" s="33"/>
      <c r="C436" s="32"/>
      <c r="D436" s="1618"/>
      <c r="E436" s="169">
        <v>8</v>
      </c>
      <c r="F436" s="35"/>
      <c r="G436" s="184"/>
      <c r="H436" s="186"/>
      <c r="I436" s="186"/>
      <c r="J436" s="186"/>
      <c r="K436" s="186"/>
      <c r="L436" s="186"/>
      <c r="M436" s="186"/>
      <c r="N436" s="185"/>
      <c r="O436" s="107">
        <f>IF(A28stdlife="n/a","n/a",IF(O$3&gt;(A28stdlife+$E436),('PTRM input'!$N$170*(1+rvanilla08)^0.5)-SUM($N436:N436),('PTRM input'!$N$170*(1+rvanilla08)^0.5)/A28stdlife))</f>
        <v>0</v>
      </c>
      <c r="P436" s="107">
        <f>IF(A28stdlife="n/a","n/a",IF(P$3&gt;(A28stdlife+$E436),('PTRM input'!$N$170*(1+rvanilla08)^0.5)-SUM($N436:O436),('PTRM input'!$N$170*(1+rvanilla08)^0.5)/A28stdlife))</f>
        <v>0</v>
      </c>
      <c r="Q436" s="107">
        <f>IF(A28stdlife="n/a","n/a",IF(Q$3&gt;(A28stdlife+$E436),('PTRM input'!$N$170*(1+rvanilla08)^0.5)-SUM($N436:P436),('PTRM input'!$N$170*(1+rvanilla08)^0.5)/A28stdlife))</f>
        <v>0</v>
      </c>
      <c r="R436" s="107">
        <f>IF(A28stdlife="n/a","n/a",IF(R$3&gt;(A28stdlife+$E436),('PTRM input'!$N$170*(1+rvanilla08)^0.5)-SUM($N436:Q436),('PTRM input'!$N$170*(1+rvanilla08)^0.5)/A28stdlife))</f>
        <v>0</v>
      </c>
      <c r="S436" s="107">
        <f>IF(A28stdlife="n/a","n/a",IF(S$3&gt;(A28stdlife+$E436),('PTRM input'!$N$170*(1+rvanilla08)^0.5)-SUM($N436:R436),('PTRM input'!$N$170*(1+rvanilla08)^0.5)/A28stdlife))</f>
        <v>0</v>
      </c>
      <c r="T436" s="107">
        <f>IF(A28stdlife="n/a","n/a",IF(T$3&gt;(A28stdlife+$E436),('PTRM input'!$N$170*(1+rvanilla08)^0.5)-SUM($N436:S436),('PTRM input'!$N$170*(1+rvanilla08)^0.5)/A28stdlife))</f>
        <v>0</v>
      </c>
      <c r="U436" s="107">
        <f>IF(A28stdlife="n/a","n/a",IF(U$3&gt;(A28stdlife+$E436),('PTRM input'!$N$170*(1+rvanilla08)^0.5)-SUM($N436:T436),('PTRM input'!$N$170*(1+rvanilla08)^0.5)/A28stdlife))</f>
        <v>0</v>
      </c>
      <c r="V436" s="107">
        <f>IF(A28stdlife="n/a","n/a",IF(V$3&gt;(A28stdlife+$E436),('PTRM input'!$N$170*(1+rvanilla08)^0.5)-SUM($N436:U436),('PTRM input'!$N$170*(1+rvanilla08)^0.5)/A28stdlife))</f>
        <v>0</v>
      </c>
      <c r="W436" s="107">
        <f>IF(A28stdlife="n/a","n/a",IF(W$3&gt;(A28stdlife+$E436),('PTRM input'!$N$170*(1+rvanilla08)^0.5)-SUM($N436:V436),('PTRM input'!$N$170*(1+rvanilla08)^0.5)/A28stdlife))</f>
        <v>0</v>
      </c>
      <c r="X436" s="107">
        <f>IF(A28stdlife="n/a","n/a",IF(X$3&gt;(A28stdlife+$E436),('PTRM input'!$N$170*(1+rvanilla08)^0.5)-SUM($N436:W436),('PTRM input'!$N$170*(1+rvanilla08)^0.5)/A28stdlife))</f>
        <v>0</v>
      </c>
      <c r="Y436" s="107">
        <f>IF(A28stdlife="n/a","n/a",IF(Y$3&gt;(A28stdlife+$E436),('PTRM input'!$N$170*(1+rvanilla08)^0.5)-SUM($N436:X436),('PTRM input'!$N$170*(1+rvanilla08)^0.5)/A28stdlife))</f>
        <v>0</v>
      </c>
      <c r="Z436" s="107">
        <f>IF(A28stdlife="n/a","n/a",IF(Z$3&gt;(A28stdlife+$E436),('PTRM input'!$N$170*(1+rvanilla08)^0.5)-SUM($N436:Y436),('PTRM input'!$N$170*(1+rvanilla08)^0.5)/A28stdlife))</f>
        <v>0</v>
      </c>
      <c r="AA436" s="107">
        <f>IF(A28stdlife="n/a","n/a",IF(AA$3&gt;(A28stdlife+$E436),('PTRM input'!$N$170*(1+rvanilla08)^0.5)-SUM($N436:Z436),('PTRM input'!$N$170*(1+rvanilla08)^0.5)/A28stdlife))</f>
        <v>0</v>
      </c>
      <c r="AB436" s="107">
        <f>IF(A28stdlife="n/a","n/a",IF(AB$3&gt;(A28stdlife+$E436),('PTRM input'!$N$170*(1+rvanilla08)^0.5)-SUM($N436:AA436),('PTRM input'!$N$170*(1+rvanilla08)^0.5)/A28stdlife))</f>
        <v>0</v>
      </c>
      <c r="AC436" s="107">
        <f>IF(A28stdlife="n/a","n/a",IF(AC$3&gt;(A28stdlife+$E436),('PTRM input'!$N$170*(1+rvanilla08)^0.5)-SUM($N436:AB436),('PTRM input'!$N$170*(1+rvanilla08)^0.5)/A28stdlife))</f>
        <v>0</v>
      </c>
      <c r="AD436" s="107">
        <f>IF(A28stdlife="n/a","n/a",IF(AD$3&gt;(A28stdlife+$E436),('PTRM input'!$N$170*(1+rvanilla08)^0.5)-SUM($N436:AC436),('PTRM input'!$N$170*(1+rvanilla08)^0.5)/A28stdlife))</f>
        <v>0</v>
      </c>
      <c r="AE436" s="107">
        <f>IF(A28stdlife="n/a","n/a",IF(AE$3&gt;(A28stdlife+$E436),('PTRM input'!$N$170*(1+rvanilla08)^0.5)-SUM($N436:AD436),('PTRM input'!$N$170*(1+rvanilla08)^0.5)/A28stdlife))</f>
        <v>0</v>
      </c>
      <c r="AF436" s="107">
        <f>IF(A28stdlife="n/a","n/a",IF(AF$3&gt;(A28stdlife+$E436),('PTRM input'!$N$170*(1+rvanilla08)^0.5)-SUM($N436:AE436),('PTRM input'!$N$170*(1+rvanilla08)^0.5)/A28stdlife))</f>
        <v>0</v>
      </c>
      <c r="AG436" s="107">
        <f>IF(A28stdlife="n/a","n/a",IF(AG$3&gt;(A28stdlife+$E436),('PTRM input'!$N$170*(1+rvanilla08)^0.5)-SUM($N436:AF436),('PTRM input'!$N$170*(1+rvanilla08)^0.5)/A28stdlife))</f>
        <v>0</v>
      </c>
      <c r="AH436" s="107">
        <f>IF(A28stdlife="n/a","n/a",IF(AH$3&gt;(A28stdlife+$E436),('PTRM input'!$N$170*(1+rvanilla08)^0.5)-SUM($N436:AG436),('PTRM input'!$N$170*(1+rvanilla08)^0.5)/A28stdlife))</f>
        <v>0</v>
      </c>
      <c r="AI436" s="107">
        <f>IF(A28stdlife="n/a","n/a",IF(AI$3&gt;(A28stdlife+$E436),('PTRM input'!$N$170*(1+rvanilla08)^0.5)-SUM($N436:AH436),('PTRM input'!$N$170*(1+rvanilla08)^0.5)/A28stdlife))</f>
        <v>0</v>
      </c>
      <c r="AJ436" s="107">
        <f>IF(A28stdlife="n/a","n/a",IF(AJ$3&gt;(A28stdlife+$E436),('PTRM input'!$N$170*(1+rvanilla08)^0.5)-SUM($N436:AI436),('PTRM input'!$N$170*(1+rvanilla08)^0.5)/A28stdlife))</f>
        <v>0</v>
      </c>
      <c r="AK436" s="107">
        <f>IF(A28stdlife="n/a","n/a",IF(AK$3&gt;(A28stdlife+$E436),('PTRM input'!$N$170*(1+rvanilla08)^0.5)-SUM($N436:AJ436),('PTRM input'!$N$170*(1+rvanilla08)^0.5)/A28stdlife))</f>
        <v>0</v>
      </c>
      <c r="AL436" s="107">
        <f>IF(A28stdlife="n/a","n/a",IF(AL$3&gt;(A28stdlife+$E436),('PTRM input'!$N$170*(1+rvanilla08)^0.5)-SUM($N436:AK436),('PTRM input'!$N$170*(1+rvanilla08)^0.5)/A28stdlife))</f>
        <v>0</v>
      </c>
      <c r="AM436" s="107">
        <f>IF(A28stdlife="n/a","n/a",IF(AM$3&gt;(A28stdlife+$E436),('PTRM input'!$N$170*(1+rvanilla08)^0.5)-SUM($N436:AL436),('PTRM input'!$N$170*(1+rvanilla08)^0.5)/A28stdlife))</f>
        <v>0</v>
      </c>
      <c r="AN436" s="107">
        <f>IF(A28stdlife="n/a","n/a",IF(AN$3&gt;(A28stdlife+$E436),('PTRM input'!$N$170*(1+rvanilla08)^0.5)-SUM($N436:AM436),('PTRM input'!$N$170*(1+rvanilla08)^0.5)/A28stdlife))</f>
        <v>0</v>
      </c>
      <c r="AO436" s="107">
        <f>IF(A28stdlife="n/a","n/a",IF(AO$3&gt;(A28stdlife+$E436),('PTRM input'!$N$170*(1+rvanilla08)^0.5)-SUM($N436:AN436),('PTRM input'!$N$170*(1+rvanilla08)^0.5)/A28stdlife))</f>
        <v>0</v>
      </c>
      <c r="AP436" s="107">
        <f>IF(A28stdlife="n/a","n/a",IF(AP$3&gt;(A28stdlife+$E436),('PTRM input'!$N$170*(1+rvanilla08)^0.5)-SUM($N436:AO436),('PTRM input'!$N$170*(1+rvanilla08)^0.5)/A28stdlife))</f>
        <v>0</v>
      </c>
      <c r="AQ436" s="107">
        <f>IF(A28stdlife="n/a","n/a",IF(AQ$3&gt;(A28stdlife+$E436),('PTRM input'!$N$170*(1+rvanilla08)^0.5)-SUM($N436:AP436),('PTRM input'!$N$170*(1+rvanilla08)^0.5)/A28stdlife))</f>
        <v>0</v>
      </c>
      <c r="AR436" s="107">
        <f>IF(A28stdlife="n/a","n/a",IF(AR$3&gt;(A28stdlife+$E436),('PTRM input'!$N$170*(1+rvanilla08)^0.5)-SUM($N436:AQ436),('PTRM input'!$N$170*(1+rvanilla08)^0.5)/A28stdlife))</f>
        <v>0</v>
      </c>
      <c r="AS436" s="107">
        <f>IF(A28stdlife="n/a","n/a",IF(AS$3&gt;(A28stdlife+$E436),('PTRM input'!$N$170*(1+rvanilla08)^0.5)-SUM($N436:AR436),('PTRM input'!$N$170*(1+rvanilla08)^0.5)/A28stdlife))</f>
        <v>0</v>
      </c>
      <c r="AT436" s="107">
        <f>IF(A28stdlife="n/a","n/a",IF(AT$3&gt;(A28stdlife+$E436),('PTRM input'!$N$170*(1+rvanilla08)^0.5)-SUM($N436:AS436),('PTRM input'!$N$170*(1+rvanilla08)^0.5)/A28stdlife))</f>
        <v>0</v>
      </c>
      <c r="AU436" s="107">
        <f>IF(A28stdlife="n/a","n/a",IF(AU$3&gt;(A28stdlife+$E436),('PTRM input'!$N$170*(1+rvanilla08)^0.5)-SUM($N436:AT436),('PTRM input'!$N$170*(1+rvanilla08)^0.5)/A28stdlife))</f>
        <v>0</v>
      </c>
      <c r="AV436" s="107">
        <f>IF(A28stdlife="n/a","n/a",IF(AV$3&gt;(A28stdlife+$E436),('PTRM input'!$N$170*(1+rvanilla08)^0.5)-SUM($N436:AU436),('PTRM input'!$N$170*(1+rvanilla08)^0.5)/A28stdlife))</f>
        <v>0</v>
      </c>
      <c r="AW436" s="107">
        <f>IF(A28stdlife="n/a","n/a",IF(AW$3&gt;(A28stdlife+$E436),('PTRM input'!$N$170*(1+rvanilla08)^0.5)-SUM($N436:AV436),('PTRM input'!$N$170*(1+rvanilla08)^0.5)/A28stdlife))</f>
        <v>0</v>
      </c>
      <c r="AX436" s="107">
        <f>IF(A28stdlife="n/a","n/a",IF(AX$3&gt;(A28stdlife+$E436),('PTRM input'!$N$170*(1+rvanilla08)^0.5)-SUM($N436:AW436),('PTRM input'!$N$170*(1+rvanilla08)^0.5)/A28stdlife))</f>
        <v>0</v>
      </c>
      <c r="AY436" s="107">
        <f>IF(A28stdlife="n/a","n/a",IF(AY$3&gt;(A28stdlife+$E436),('PTRM input'!$N$170*(1+rvanilla08)^0.5)-SUM($N436:AX436),('PTRM input'!$N$170*(1+rvanilla08)^0.5)/A28stdlife))</f>
        <v>0</v>
      </c>
      <c r="AZ436" s="107">
        <f>IF(A28stdlife="n/a","n/a",IF(AZ$3&gt;(A28stdlife+$E436),('PTRM input'!$N$170*(1+rvanilla08)^0.5)-SUM($N436:AY436),('PTRM input'!$N$170*(1+rvanilla08)^0.5)/A28stdlife))</f>
        <v>0</v>
      </c>
      <c r="BA436" s="107">
        <f>IF(A28stdlife="n/a","n/a",IF(BA$3&gt;(A28stdlife+$E436),('PTRM input'!$N$170*(1+rvanilla08)^0.5)-SUM($N436:AZ436),('PTRM input'!$N$170*(1+rvanilla08)^0.5)/A28stdlife))</f>
        <v>0</v>
      </c>
      <c r="BB436" s="107">
        <f>IF(A28stdlife="n/a","n/a",IF(BB$3&gt;(A28stdlife+$E436),('PTRM input'!$N$170*(1+rvanilla08)^0.5)-SUM($N436:BA436),('PTRM input'!$N$170*(1+rvanilla08)^0.5)/A28stdlife))</f>
        <v>0</v>
      </c>
      <c r="BC436" s="107">
        <f>IF(A28stdlife="n/a","n/a",IF(BC$3&gt;(A28stdlife+$E436),('PTRM input'!$N$170*(1+rvanilla08)^0.5)-SUM($N436:BB436),('PTRM input'!$N$170*(1+rvanilla08)^0.5)/A28stdlife))</f>
        <v>0</v>
      </c>
      <c r="BD436" s="107">
        <f>IF(A28stdlife="n/a","n/a",IF(BD$3&gt;(A28stdlife+$E436),('PTRM input'!$N$170*(1+rvanilla08)^0.5)-SUM($N436:BC436),('PTRM input'!$N$170*(1+rvanilla08)^0.5)/A28stdlife))</f>
        <v>0</v>
      </c>
      <c r="BE436" s="107">
        <f>IF(A28stdlife="n/a","n/a",IF(BE$3&gt;(A28stdlife+$E436),('PTRM input'!$N$170*(1+rvanilla08)^0.5)-SUM($N436:BD436),('PTRM input'!$N$170*(1+rvanilla08)^0.5)/A28stdlife))</f>
        <v>0</v>
      </c>
      <c r="BF436" s="107">
        <f>IF(A28stdlife="n/a","n/a",IF(BF$3&gt;(A28stdlife+$E436),('PTRM input'!$N$170*(1+rvanilla08)^0.5)-SUM($N436:BE436),('PTRM input'!$N$170*(1+rvanilla08)^0.5)/A28stdlife))</f>
        <v>0</v>
      </c>
      <c r="BG436" s="107">
        <f>IF(A28stdlife="n/a","n/a",IF(BG$3&gt;(A28stdlife+$E436),('PTRM input'!$N$170*(1+rvanilla08)^0.5)-SUM($N436:BF436),('PTRM input'!$N$170*(1+rvanilla08)^0.5)/A28stdlife))</f>
        <v>0</v>
      </c>
      <c r="BH436" s="107">
        <f>IF(A28stdlife="n/a","n/a",IF(BH$3&gt;(A28stdlife+$E436),('PTRM input'!$N$170*(1+rvanilla08)^0.5)-SUM($N436:BG436),('PTRM input'!$N$170*(1+rvanilla08)^0.5)/A28stdlife))</f>
        <v>0</v>
      </c>
      <c r="BI436" s="107">
        <f>IF(A28stdlife="n/a","n/a",IF(BI$3&gt;(A28stdlife+$E436),('PTRM input'!$N$170*(1+rvanilla08)^0.5)-SUM($N436:BH436),('PTRM input'!$N$170*(1+rvanilla08)^0.5)/A28stdlife))</f>
        <v>0</v>
      </c>
      <c r="BJ436" s="237"/>
      <c r="BK436" s="237"/>
      <c r="BL436" s="237"/>
      <c r="BM436" s="237"/>
    </row>
    <row r="437" spans="1:65" s="190" customFormat="1" hidden="1" outlineLevel="2">
      <c r="A437" s="237"/>
      <c r="B437" s="33"/>
      <c r="C437" s="32"/>
      <c r="D437" s="1618"/>
      <c r="E437" s="169">
        <v>9</v>
      </c>
      <c r="F437" s="35"/>
      <c r="G437" s="184"/>
      <c r="H437" s="186"/>
      <c r="I437" s="186"/>
      <c r="J437" s="186"/>
      <c r="K437" s="186"/>
      <c r="L437" s="186"/>
      <c r="M437" s="186"/>
      <c r="N437" s="186"/>
      <c r="O437" s="185"/>
      <c r="P437" s="107">
        <f>IF(A28stdlife="n/a","n/a",IF(P$3&gt;(A28stdlife+$E437),('PTRM input'!$O$170*(1+rvanilla09)^0.5)-SUM($O437:O437),('PTRM input'!$O$170*(1+rvanilla09)^0.5)/A28stdlife))</f>
        <v>0</v>
      </c>
      <c r="Q437" s="107">
        <f>IF(A28stdlife="n/a","n/a",IF(Q$3&gt;(A28stdlife+$E437),('PTRM input'!$O$170*(1+rvanilla09)^0.5)-SUM($O437:P437),('PTRM input'!$O$170*(1+rvanilla09)^0.5)/A28stdlife))</f>
        <v>0</v>
      </c>
      <c r="R437" s="107">
        <f>IF(A28stdlife="n/a","n/a",IF(R$3&gt;(A28stdlife+$E437),('PTRM input'!$O$170*(1+rvanilla09)^0.5)-SUM($O437:Q437),('PTRM input'!$O$170*(1+rvanilla09)^0.5)/A28stdlife))</f>
        <v>0</v>
      </c>
      <c r="S437" s="107">
        <f>IF(A28stdlife="n/a","n/a",IF(S$3&gt;(A28stdlife+$E437),('PTRM input'!$O$170*(1+rvanilla09)^0.5)-SUM($O437:R437),('PTRM input'!$O$170*(1+rvanilla09)^0.5)/A28stdlife))</f>
        <v>0</v>
      </c>
      <c r="T437" s="107">
        <f>IF(A28stdlife="n/a","n/a",IF(T$3&gt;(A28stdlife+$E437),('PTRM input'!$O$170*(1+rvanilla09)^0.5)-SUM($O437:S437),('PTRM input'!$O$170*(1+rvanilla09)^0.5)/A28stdlife))</f>
        <v>0</v>
      </c>
      <c r="U437" s="107">
        <f>IF(A28stdlife="n/a","n/a",IF(U$3&gt;(A28stdlife+$E437),('PTRM input'!$O$170*(1+rvanilla09)^0.5)-SUM($O437:T437),('PTRM input'!$O$170*(1+rvanilla09)^0.5)/A28stdlife))</f>
        <v>0</v>
      </c>
      <c r="V437" s="107">
        <f>IF(A28stdlife="n/a","n/a",IF(V$3&gt;(A28stdlife+$E437),('PTRM input'!$O$170*(1+rvanilla09)^0.5)-SUM($O437:U437),('PTRM input'!$O$170*(1+rvanilla09)^0.5)/A28stdlife))</f>
        <v>0</v>
      </c>
      <c r="W437" s="107">
        <f>IF(A28stdlife="n/a","n/a",IF(W$3&gt;(A28stdlife+$E437),('PTRM input'!$O$170*(1+rvanilla09)^0.5)-SUM($O437:V437),('PTRM input'!$O$170*(1+rvanilla09)^0.5)/A28stdlife))</f>
        <v>0</v>
      </c>
      <c r="X437" s="107">
        <f>IF(A28stdlife="n/a","n/a",IF(X$3&gt;(A28stdlife+$E437),('PTRM input'!$O$170*(1+rvanilla09)^0.5)-SUM($O437:W437),('PTRM input'!$O$170*(1+rvanilla09)^0.5)/A28stdlife))</f>
        <v>0</v>
      </c>
      <c r="Y437" s="107">
        <f>IF(A28stdlife="n/a","n/a",IF(Y$3&gt;(A28stdlife+$E437),('PTRM input'!$O$170*(1+rvanilla09)^0.5)-SUM($O437:X437),('PTRM input'!$O$170*(1+rvanilla09)^0.5)/A28stdlife))</f>
        <v>0</v>
      </c>
      <c r="Z437" s="107">
        <f>IF(A28stdlife="n/a","n/a",IF(Z$3&gt;(A28stdlife+$E437),('PTRM input'!$O$170*(1+rvanilla09)^0.5)-SUM($O437:Y437),('PTRM input'!$O$170*(1+rvanilla09)^0.5)/A28stdlife))</f>
        <v>0</v>
      </c>
      <c r="AA437" s="107">
        <f>IF(A28stdlife="n/a","n/a",IF(AA$3&gt;(A28stdlife+$E437),('PTRM input'!$O$170*(1+rvanilla09)^0.5)-SUM($O437:Z437),('PTRM input'!$O$170*(1+rvanilla09)^0.5)/A28stdlife))</f>
        <v>0</v>
      </c>
      <c r="AB437" s="107">
        <f>IF(A28stdlife="n/a","n/a",IF(AB$3&gt;(A28stdlife+$E437),('PTRM input'!$O$170*(1+rvanilla09)^0.5)-SUM($O437:AA437),('PTRM input'!$O$170*(1+rvanilla09)^0.5)/A28stdlife))</f>
        <v>0</v>
      </c>
      <c r="AC437" s="107">
        <f>IF(A28stdlife="n/a","n/a",IF(AC$3&gt;(A28stdlife+$E437),('PTRM input'!$O$170*(1+rvanilla09)^0.5)-SUM($O437:AB437),('PTRM input'!$O$170*(1+rvanilla09)^0.5)/A28stdlife))</f>
        <v>0</v>
      </c>
      <c r="AD437" s="107">
        <f>IF(A28stdlife="n/a","n/a",IF(AD$3&gt;(A28stdlife+$E437),('PTRM input'!$O$170*(1+rvanilla09)^0.5)-SUM($O437:AC437),('PTRM input'!$O$170*(1+rvanilla09)^0.5)/A28stdlife))</f>
        <v>0</v>
      </c>
      <c r="AE437" s="107">
        <f>IF(A28stdlife="n/a","n/a",IF(AE$3&gt;(A28stdlife+$E437),('PTRM input'!$O$170*(1+rvanilla09)^0.5)-SUM($O437:AD437),('PTRM input'!$O$170*(1+rvanilla09)^0.5)/A28stdlife))</f>
        <v>0</v>
      </c>
      <c r="AF437" s="107">
        <f>IF(A28stdlife="n/a","n/a",IF(AF$3&gt;(A28stdlife+$E437),('PTRM input'!$O$170*(1+rvanilla09)^0.5)-SUM($O437:AE437),('PTRM input'!$O$170*(1+rvanilla09)^0.5)/A28stdlife))</f>
        <v>0</v>
      </c>
      <c r="AG437" s="107">
        <f>IF(A28stdlife="n/a","n/a",IF(AG$3&gt;(A28stdlife+$E437),('PTRM input'!$O$170*(1+rvanilla09)^0.5)-SUM($O437:AF437),('PTRM input'!$O$170*(1+rvanilla09)^0.5)/A28stdlife))</f>
        <v>0</v>
      </c>
      <c r="AH437" s="107">
        <f>IF(A28stdlife="n/a","n/a",IF(AH$3&gt;(A28stdlife+$E437),('PTRM input'!$O$170*(1+rvanilla09)^0.5)-SUM($O437:AG437),('PTRM input'!$O$170*(1+rvanilla09)^0.5)/A28stdlife))</f>
        <v>0</v>
      </c>
      <c r="AI437" s="107">
        <f>IF(A28stdlife="n/a","n/a",IF(AI$3&gt;(A28stdlife+$E437),('PTRM input'!$O$170*(1+rvanilla09)^0.5)-SUM($O437:AH437),('PTRM input'!$O$170*(1+rvanilla09)^0.5)/A28stdlife))</f>
        <v>0</v>
      </c>
      <c r="AJ437" s="107">
        <f>IF(A28stdlife="n/a","n/a",IF(AJ$3&gt;(A28stdlife+$E437),('PTRM input'!$O$170*(1+rvanilla09)^0.5)-SUM($O437:AI437),('PTRM input'!$O$170*(1+rvanilla09)^0.5)/A28stdlife))</f>
        <v>0</v>
      </c>
      <c r="AK437" s="107">
        <f>IF(A28stdlife="n/a","n/a",IF(AK$3&gt;(A28stdlife+$E437),('PTRM input'!$O$170*(1+rvanilla09)^0.5)-SUM($O437:AJ437),('PTRM input'!$O$170*(1+rvanilla09)^0.5)/A28stdlife))</f>
        <v>0</v>
      </c>
      <c r="AL437" s="107">
        <f>IF(A28stdlife="n/a","n/a",IF(AL$3&gt;(A28stdlife+$E437),('PTRM input'!$O$170*(1+rvanilla09)^0.5)-SUM($O437:AK437),('PTRM input'!$O$170*(1+rvanilla09)^0.5)/A28stdlife))</f>
        <v>0</v>
      </c>
      <c r="AM437" s="107">
        <f>IF(A28stdlife="n/a","n/a",IF(AM$3&gt;(A28stdlife+$E437),('PTRM input'!$O$170*(1+rvanilla09)^0.5)-SUM($O437:AL437),('PTRM input'!$O$170*(1+rvanilla09)^0.5)/A28stdlife))</f>
        <v>0</v>
      </c>
      <c r="AN437" s="107">
        <f>IF(A28stdlife="n/a","n/a",IF(AN$3&gt;(A28stdlife+$E437),('PTRM input'!$O$170*(1+rvanilla09)^0.5)-SUM($O437:AM437),('PTRM input'!$O$170*(1+rvanilla09)^0.5)/A28stdlife))</f>
        <v>0</v>
      </c>
      <c r="AO437" s="107">
        <f>IF(A28stdlife="n/a","n/a",IF(AO$3&gt;(A28stdlife+$E437),('PTRM input'!$O$170*(1+rvanilla09)^0.5)-SUM($O437:AN437),('PTRM input'!$O$170*(1+rvanilla09)^0.5)/A28stdlife))</f>
        <v>0</v>
      </c>
      <c r="AP437" s="107">
        <f>IF(A28stdlife="n/a","n/a",IF(AP$3&gt;(A28stdlife+$E437),('PTRM input'!$O$170*(1+rvanilla09)^0.5)-SUM($O437:AO437),('PTRM input'!$O$170*(1+rvanilla09)^0.5)/A28stdlife))</f>
        <v>0</v>
      </c>
      <c r="AQ437" s="107">
        <f>IF(A28stdlife="n/a","n/a",IF(AQ$3&gt;(A28stdlife+$E437),('PTRM input'!$O$170*(1+rvanilla09)^0.5)-SUM($O437:AP437),('PTRM input'!$O$170*(1+rvanilla09)^0.5)/A28stdlife))</f>
        <v>0</v>
      </c>
      <c r="AR437" s="107">
        <f>IF(A28stdlife="n/a","n/a",IF(AR$3&gt;(A28stdlife+$E437),('PTRM input'!$O$170*(1+rvanilla09)^0.5)-SUM($O437:AQ437),('PTRM input'!$O$170*(1+rvanilla09)^0.5)/A28stdlife))</f>
        <v>0</v>
      </c>
      <c r="AS437" s="107">
        <f>IF(A28stdlife="n/a","n/a",IF(AS$3&gt;(A28stdlife+$E437),('PTRM input'!$O$170*(1+rvanilla09)^0.5)-SUM($O437:AR437),('PTRM input'!$O$170*(1+rvanilla09)^0.5)/A28stdlife))</f>
        <v>0</v>
      </c>
      <c r="AT437" s="107">
        <f>IF(A28stdlife="n/a","n/a",IF(AT$3&gt;(A28stdlife+$E437),('PTRM input'!$O$170*(1+rvanilla09)^0.5)-SUM($O437:AS437),('PTRM input'!$O$170*(1+rvanilla09)^0.5)/A28stdlife))</f>
        <v>0</v>
      </c>
      <c r="AU437" s="107">
        <f>IF(A28stdlife="n/a","n/a",IF(AU$3&gt;(A28stdlife+$E437),('PTRM input'!$O$170*(1+rvanilla09)^0.5)-SUM($O437:AT437),('PTRM input'!$O$170*(1+rvanilla09)^0.5)/A28stdlife))</f>
        <v>0</v>
      </c>
      <c r="AV437" s="107">
        <f>IF(A28stdlife="n/a","n/a",IF(AV$3&gt;(A28stdlife+$E437),('PTRM input'!$O$170*(1+rvanilla09)^0.5)-SUM($O437:AU437),('PTRM input'!$O$170*(1+rvanilla09)^0.5)/A28stdlife))</f>
        <v>0</v>
      </c>
      <c r="AW437" s="107">
        <f>IF(A28stdlife="n/a","n/a",IF(AW$3&gt;(A28stdlife+$E437),('PTRM input'!$O$170*(1+rvanilla09)^0.5)-SUM($O437:AV437),('PTRM input'!$O$170*(1+rvanilla09)^0.5)/A28stdlife))</f>
        <v>0</v>
      </c>
      <c r="AX437" s="107">
        <f>IF(A28stdlife="n/a","n/a",IF(AX$3&gt;(A28stdlife+$E437),('PTRM input'!$O$170*(1+rvanilla09)^0.5)-SUM($O437:AW437),('PTRM input'!$O$170*(1+rvanilla09)^0.5)/A28stdlife))</f>
        <v>0</v>
      </c>
      <c r="AY437" s="107">
        <f>IF(A28stdlife="n/a","n/a",IF(AY$3&gt;(A28stdlife+$E437),('PTRM input'!$O$170*(1+rvanilla09)^0.5)-SUM($O437:AX437),('PTRM input'!$O$170*(1+rvanilla09)^0.5)/A28stdlife))</f>
        <v>0</v>
      </c>
      <c r="AZ437" s="107">
        <f>IF(A28stdlife="n/a","n/a",IF(AZ$3&gt;(A28stdlife+$E437),('PTRM input'!$O$170*(1+rvanilla09)^0.5)-SUM($O437:AY437),('PTRM input'!$O$170*(1+rvanilla09)^0.5)/A28stdlife))</f>
        <v>0</v>
      </c>
      <c r="BA437" s="107">
        <f>IF(A28stdlife="n/a","n/a",IF(BA$3&gt;(A28stdlife+$E437),('PTRM input'!$O$170*(1+rvanilla09)^0.5)-SUM($O437:AZ437),('PTRM input'!$O$170*(1+rvanilla09)^0.5)/A28stdlife))</f>
        <v>0</v>
      </c>
      <c r="BB437" s="107">
        <f>IF(A28stdlife="n/a","n/a",IF(BB$3&gt;(A28stdlife+$E437),('PTRM input'!$O$170*(1+rvanilla09)^0.5)-SUM($O437:BA437),('PTRM input'!$O$170*(1+rvanilla09)^0.5)/A28stdlife))</f>
        <v>0</v>
      </c>
      <c r="BC437" s="107">
        <f>IF(A28stdlife="n/a","n/a",IF(BC$3&gt;(A28stdlife+$E437),('PTRM input'!$O$170*(1+rvanilla09)^0.5)-SUM($O437:BB437),('PTRM input'!$O$170*(1+rvanilla09)^0.5)/A28stdlife))</f>
        <v>0</v>
      </c>
      <c r="BD437" s="107">
        <f>IF(A28stdlife="n/a","n/a",IF(BD$3&gt;(A28stdlife+$E437),('PTRM input'!$O$170*(1+rvanilla09)^0.5)-SUM($O437:BC437),('PTRM input'!$O$170*(1+rvanilla09)^0.5)/A28stdlife))</f>
        <v>0</v>
      </c>
      <c r="BE437" s="107">
        <f>IF(A28stdlife="n/a","n/a",IF(BE$3&gt;(A28stdlife+$E437),('PTRM input'!$O$170*(1+rvanilla09)^0.5)-SUM($O437:BD437),('PTRM input'!$O$170*(1+rvanilla09)^0.5)/A28stdlife))</f>
        <v>0</v>
      </c>
      <c r="BF437" s="107">
        <f>IF(A28stdlife="n/a","n/a",IF(BF$3&gt;(A28stdlife+$E437),('PTRM input'!$O$170*(1+rvanilla09)^0.5)-SUM($O437:BE437),('PTRM input'!$O$170*(1+rvanilla09)^0.5)/A28stdlife))</f>
        <v>0</v>
      </c>
      <c r="BG437" s="107">
        <f>IF(A28stdlife="n/a","n/a",IF(BG$3&gt;(A28stdlife+$E437),('PTRM input'!$O$170*(1+rvanilla09)^0.5)-SUM($O437:BF437),('PTRM input'!$O$170*(1+rvanilla09)^0.5)/A28stdlife))</f>
        <v>0</v>
      </c>
      <c r="BH437" s="107">
        <f>IF(A28stdlife="n/a","n/a",IF(BH$3&gt;(A28stdlife+$E437),('PTRM input'!$O$170*(1+rvanilla09)^0.5)-SUM($O437:BG437),('PTRM input'!$O$170*(1+rvanilla09)^0.5)/A28stdlife))</f>
        <v>0</v>
      </c>
      <c r="BI437" s="107">
        <f>IF(A28stdlife="n/a","n/a",IF(BI$3&gt;(A28stdlife+$E437),('PTRM input'!$O$170*(1+rvanilla09)^0.5)-SUM($O437:BH437),('PTRM input'!$O$170*(1+rvanilla09)^0.5)/A28stdlife))</f>
        <v>0</v>
      </c>
      <c r="BJ437" s="237"/>
      <c r="BK437" s="237"/>
      <c r="BL437" s="237"/>
      <c r="BM437" s="237"/>
    </row>
    <row r="438" spans="1:65" s="190" customFormat="1" hidden="1" outlineLevel="2">
      <c r="A438" s="237"/>
      <c r="B438" s="33"/>
      <c r="C438" s="32"/>
      <c r="D438" s="1618"/>
      <c r="E438" s="170">
        <v>10</v>
      </c>
      <c r="F438" s="35"/>
      <c r="G438" s="184"/>
      <c r="H438" s="186"/>
      <c r="I438" s="186"/>
      <c r="J438" s="186"/>
      <c r="K438" s="186"/>
      <c r="L438" s="186"/>
      <c r="M438" s="186"/>
      <c r="N438" s="186"/>
      <c r="O438" s="186"/>
      <c r="P438" s="185"/>
      <c r="Q438" s="107">
        <f>IF(A28stdlife="n/a","n/a",IF(Q$3&gt;(A28stdlife+$E438),('PTRM input'!$P$170*(1+rvanilla10)^0.5)-SUM($P438:P438),('PTRM input'!$P$170*(1+rvanilla10)^0.5)/A28stdlife))</f>
        <v>0</v>
      </c>
      <c r="R438" s="107">
        <f>IF(A28stdlife="n/a","n/a",IF(R$3&gt;(A28stdlife+$E438),('PTRM input'!$P$170*(1+rvanilla10)^0.5)-SUM($P438:Q438),('PTRM input'!$P$170*(1+rvanilla10)^0.5)/A28stdlife))</f>
        <v>0</v>
      </c>
      <c r="S438" s="107">
        <f>IF(A28stdlife="n/a","n/a",IF(S$3&gt;(A28stdlife+$E438),('PTRM input'!$P$170*(1+rvanilla10)^0.5)-SUM($P438:R438),('PTRM input'!$P$170*(1+rvanilla10)^0.5)/A28stdlife))</f>
        <v>0</v>
      </c>
      <c r="T438" s="107">
        <f>IF(A28stdlife="n/a","n/a",IF(T$3&gt;(A28stdlife+$E438),('PTRM input'!$P$170*(1+rvanilla10)^0.5)-SUM($P438:S438),('PTRM input'!$P$170*(1+rvanilla10)^0.5)/A28stdlife))</f>
        <v>0</v>
      </c>
      <c r="U438" s="107">
        <f>IF(A28stdlife="n/a","n/a",IF(U$3&gt;(A28stdlife+$E438),('PTRM input'!$P$170*(1+rvanilla10)^0.5)-SUM($P438:T438),('PTRM input'!$P$170*(1+rvanilla10)^0.5)/A28stdlife))</f>
        <v>0</v>
      </c>
      <c r="V438" s="107">
        <f>IF(A28stdlife="n/a","n/a",IF(V$3&gt;(A28stdlife+$E438),('PTRM input'!$P$170*(1+rvanilla10)^0.5)-SUM($P438:U438),('PTRM input'!$P$170*(1+rvanilla10)^0.5)/A28stdlife))</f>
        <v>0</v>
      </c>
      <c r="W438" s="107">
        <f>IF(A28stdlife="n/a","n/a",IF(W$3&gt;(A28stdlife+$E438),('PTRM input'!$P$170*(1+rvanilla10)^0.5)-SUM($P438:V438),('PTRM input'!$P$170*(1+rvanilla10)^0.5)/A28stdlife))</f>
        <v>0</v>
      </c>
      <c r="X438" s="107">
        <f>IF(A28stdlife="n/a","n/a",IF(X$3&gt;(A28stdlife+$E438),('PTRM input'!$P$170*(1+rvanilla10)^0.5)-SUM($P438:W438),('PTRM input'!$P$170*(1+rvanilla10)^0.5)/A28stdlife))</f>
        <v>0</v>
      </c>
      <c r="Y438" s="107">
        <f>IF(A28stdlife="n/a","n/a",IF(Y$3&gt;(A28stdlife+$E438),('PTRM input'!$P$170*(1+rvanilla10)^0.5)-SUM($P438:X438),('PTRM input'!$P$170*(1+rvanilla10)^0.5)/A28stdlife))</f>
        <v>0</v>
      </c>
      <c r="Z438" s="107">
        <f>IF(A28stdlife="n/a","n/a",IF(Z$3&gt;(A28stdlife+$E438),('PTRM input'!$P$170*(1+rvanilla10)^0.5)-SUM($P438:Y438),('PTRM input'!$P$170*(1+rvanilla10)^0.5)/A28stdlife))</f>
        <v>0</v>
      </c>
      <c r="AA438" s="107">
        <f>IF(A28stdlife="n/a","n/a",IF(AA$3&gt;(A28stdlife+$E438),('PTRM input'!$P$170*(1+rvanilla10)^0.5)-SUM($P438:Z438),('PTRM input'!$P$170*(1+rvanilla10)^0.5)/A28stdlife))</f>
        <v>0</v>
      </c>
      <c r="AB438" s="107">
        <f>IF(A28stdlife="n/a","n/a",IF(AB$3&gt;(A28stdlife+$E438),('PTRM input'!$P$170*(1+rvanilla10)^0.5)-SUM($P438:AA438),('PTRM input'!$P$170*(1+rvanilla10)^0.5)/A28stdlife))</f>
        <v>0</v>
      </c>
      <c r="AC438" s="107">
        <f>IF(A28stdlife="n/a","n/a",IF(AC$3&gt;(A28stdlife+$E438),('PTRM input'!$P$170*(1+rvanilla10)^0.5)-SUM($P438:AB438),('PTRM input'!$P$170*(1+rvanilla10)^0.5)/A28stdlife))</f>
        <v>0</v>
      </c>
      <c r="AD438" s="107">
        <f>IF(A28stdlife="n/a","n/a",IF(AD$3&gt;(A28stdlife+$E438),('PTRM input'!$P$170*(1+rvanilla10)^0.5)-SUM($P438:AC438),('PTRM input'!$P$170*(1+rvanilla10)^0.5)/A28stdlife))</f>
        <v>0</v>
      </c>
      <c r="AE438" s="107">
        <f>IF(A28stdlife="n/a","n/a",IF(AE$3&gt;(A28stdlife+$E438),('PTRM input'!$P$170*(1+rvanilla10)^0.5)-SUM($P438:AD438),('PTRM input'!$P$170*(1+rvanilla10)^0.5)/A28stdlife))</f>
        <v>0</v>
      </c>
      <c r="AF438" s="107">
        <f>IF(A28stdlife="n/a","n/a",IF(AF$3&gt;(A28stdlife+$E438),('PTRM input'!$P$170*(1+rvanilla10)^0.5)-SUM($P438:AE438),('PTRM input'!$P$170*(1+rvanilla10)^0.5)/A28stdlife))</f>
        <v>0</v>
      </c>
      <c r="AG438" s="107">
        <f>IF(A28stdlife="n/a","n/a",IF(AG$3&gt;(A28stdlife+$E438),('PTRM input'!$P$170*(1+rvanilla10)^0.5)-SUM($P438:AF438),('PTRM input'!$P$170*(1+rvanilla10)^0.5)/A28stdlife))</f>
        <v>0</v>
      </c>
      <c r="AH438" s="107">
        <f>IF(A28stdlife="n/a","n/a",IF(AH$3&gt;(A28stdlife+$E438),('PTRM input'!$P$170*(1+rvanilla10)^0.5)-SUM($P438:AG438),('PTRM input'!$P$170*(1+rvanilla10)^0.5)/A28stdlife))</f>
        <v>0</v>
      </c>
      <c r="AI438" s="107">
        <f>IF(A28stdlife="n/a","n/a",IF(AI$3&gt;(A28stdlife+$E438),('PTRM input'!$P$170*(1+rvanilla10)^0.5)-SUM($P438:AH438),('PTRM input'!$P$170*(1+rvanilla10)^0.5)/A28stdlife))</f>
        <v>0</v>
      </c>
      <c r="AJ438" s="107">
        <f>IF(A28stdlife="n/a","n/a",IF(AJ$3&gt;(A28stdlife+$E438),('PTRM input'!$P$170*(1+rvanilla10)^0.5)-SUM($P438:AI438),('PTRM input'!$P$170*(1+rvanilla10)^0.5)/A28stdlife))</f>
        <v>0</v>
      </c>
      <c r="AK438" s="107">
        <f>IF(A28stdlife="n/a","n/a",IF(AK$3&gt;(A28stdlife+$E438),('PTRM input'!$P$170*(1+rvanilla10)^0.5)-SUM($P438:AJ438),('PTRM input'!$P$170*(1+rvanilla10)^0.5)/A28stdlife))</f>
        <v>0</v>
      </c>
      <c r="AL438" s="107">
        <f>IF(A28stdlife="n/a","n/a",IF(AL$3&gt;(A28stdlife+$E438),('PTRM input'!$P$170*(1+rvanilla10)^0.5)-SUM($P438:AK438),('PTRM input'!$P$170*(1+rvanilla10)^0.5)/A28stdlife))</f>
        <v>0</v>
      </c>
      <c r="AM438" s="107">
        <f>IF(A28stdlife="n/a","n/a",IF(AM$3&gt;(A28stdlife+$E438),('PTRM input'!$P$170*(1+rvanilla10)^0.5)-SUM($P438:AL438),('PTRM input'!$P$170*(1+rvanilla10)^0.5)/A28stdlife))</f>
        <v>0</v>
      </c>
      <c r="AN438" s="107">
        <f>IF(A28stdlife="n/a","n/a",IF(AN$3&gt;(A28stdlife+$E438),('PTRM input'!$P$170*(1+rvanilla10)^0.5)-SUM($P438:AM438),('PTRM input'!$P$170*(1+rvanilla10)^0.5)/A28stdlife))</f>
        <v>0</v>
      </c>
      <c r="AO438" s="107">
        <f>IF(A28stdlife="n/a","n/a",IF(AO$3&gt;(A28stdlife+$E438),('PTRM input'!$P$170*(1+rvanilla10)^0.5)-SUM($P438:AN438),('PTRM input'!$P$170*(1+rvanilla10)^0.5)/A28stdlife))</f>
        <v>0</v>
      </c>
      <c r="AP438" s="107">
        <f>IF(A28stdlife="n/a","n/a",IF(AP$3&gt;(A28stdlife+$E438),('PTRM input'!$P$170*(1+rvanilla10)^0.5)-SUM($P438:AO438),('PTRM input'!$P$170*(1+rvanilla10)^0.5)/A28stdlife))</f>
        <v>0</v>
      </c>
      <c r="AQ438" s="107">
        <f>IF(A28stdlife="n/a","n/a",IF(AQ$3&gt;(A28stdlife+$E438),('PTRM input'!$P$170*(1+rvanilla10)^0.5)-SUM($P438:AP438),('PTRM input'!$P$170*(1+rvanilla10)^0.5)/A28stdlife))</f>
        <v>0</v>
      </c>
      <c r="AR438" s="107">
        <f>IF(A28stdlife="n/a","n/a",IF(AR$3&gt;(A28stdlife+$E438),('PTRM input'!$P$170*(1+rvanilla10)^0.5)-SUM($P438:AQ438),('PTRM input'!$P$170*(1+rvanilla10)^0.5)/A28stdlife))</f>
        <v>0</v>
      </c>
      <c r="AS438" s="107">
        <f>IF(A28stdlife="n/a","n/a",IF(AS$3&gt;(A28stdlife+$E438),('PTRM input'!$P$170*(1+rvanilla10)^0.5)-SUM($P438:AR438),('PTRM input'!$P$170*(1+rvanilla10)^0.5)/A28stdlife))</f>
        <v>0</v>
      </c>
      <c r="AT438" s="107">
        <f>IF(A28stdlife="n/a","n/a",IF(AT$3&gt;(A28stdlife+$E438),('PTRM input'!$P$170*(1+rvanilla10)^0.5)-SUM($P438:AS438),('PTRM input'!$P$170*(1+rvanilla10)^0.5)/A28stdlife))</f>
        <v>0</v>
      </c>
      <c r="AU438" s="107">
        <f>IF(A28stdlife="n/a","n/a",IF(AU$3&gt;(A28stdlife+$E438),('PTRM input'!$P$170*(1+rvanilla10)^0.5)-SUM($P438:AT438),('PTRM input'!$P$170*(1+rvanilla10)^0.5)/A28stdlife))</f>
        <v>0</v>
      </c>
      <c r="AV438" s="107">
        <f>IF(A28stdlife="n/a","n/a",IF(AV$3&gt;(A28stdlife+$E438),('PTRM input'!$P$170*(1+rvanilla10)^0.5)-SUM($P438:AU438),('PTRM input'!$P$170*(1+rvanilla10)^0.5)/A28stdlife))</f>
        <v>0</v>
      </c>
      <c r="AW438" s="107">
        <f>IF(A28stdlife="n/a","n/a",IF(AW$3&gt;(A28stdlife+$E438),('PTRM input'!$P$170*(1+rvanilla10)^0.5)-SUM($P438:AV438),('PTRM input'!$P$170*(1+rvanilla10)^0.5)/A28stdlife))</f>
        <v>0</v>
      </c>
      <c r="AX438" s="107">
        <f>IF(A28stdlife="n/a","n/a",IF(AX$3&gt;(A28stdlife+$E438),('PTRM input'!$P$170*(1+rvanilla10)^0.5)-SUM($P438:AW438),('PTRM input'!$P$170*(1+rvanilla10)^0.5)/A28stdlife))</f>
        <v>0</v>
      </c>
      <c r="AY438" s="107">
        <f>IF(A28stdlife="n/a","n/a",IF(AY$3&gt;(A28stdlife+$E438),('PTRM input'!$P$170*(1+rvanilla10)^0.5)-SUM($P438:AX438),('PTRM input'!$P$170*(1+rvanilla10)^0.5)/A28stdlife))</f>
        <v>0</v>
      </c>
      <c r="AZ438" s="107">
        <f>IF(A28stdlife="n/a","n/a",IF(AZ$3&gt;(A28stdlife+$E438),('PTRM input'!$P$170*(1+rvanilla10)^0.5)-SUM($P438:AY438),('PTRM input'!$P$170*(1+rvanilla10)^0.5)/A28stdlife))</f>
        <v>0</v>
      </c>
      <c r="BA438" s="107">
        <f>IF(A28stdlife="n/a","n/a",IF(BA$3&gt;(A28stdlife+$E438),('PTRM input'!$P$170*(1+rvanilla10)^0.5)-SUM($P438:AZ438),('PTRM input'!$P$170*(1+rvanilla10)^0.5)/A28stdlife))</f>
        <v>0</v>
      </c>
      <c r="BB438" s="107">
        <f>IF(A28stdlife="n/a","n/a",IF(BB$3&gt;(A28stdlife+$E438),('PTRM input'!$P$170*(1+rvanilla10)^0.5)-SUM($P438:BA438),('PTRM input'!$P$170*(1+rvanilla10)^0.5)/A28stdlife))</f>
        <v>0</v>
      </c>
      <c r="BC438" s="107">
        <f>IF(A28stdlife="n/a","n/a",IF(BC$3&gt;(A28stdlife+$E438),('PTRM input'!$P$170*(1+rvanilla10)^0.5)-SUM($P438:BB438),('PTRM input'!$P$170*(1+rvanilla10)^0.5)/A28stdlife))</f>
        <v>0</v>
      </c>
      <c r="BD438" s="107">
        <f>IF(A28stdlife="n/a","n/a",IF(BD$3&gt;(A28stdlife+$E438),('PTRM input'!$P$170*(1+rvanilla10)^0.5)-SUM($P438:BC438),('PTRM input'!$P$170*(1+rvanilla10)^0.5)/A28stdlife))</f>
        <v>0</v>
      </c>
      <c r="BE438" s="107">
        <f>IF(A28stdlife="n/a","n/a",IF(BE$3&gt;(A28stdlife+$E438),('PTRM input'!$P$170*(1+rvanilla10)^0.5)-SUM($P438:BD438),('PTRM input'!$P$170*(1+rvanilla10)^0.5)/A28stdlife))</f>
        <v>0</v>
      </c>
      <c r="BF438" s="107">
        <f>IF(A28stdlife="n/a","n/a",IF(BF$3&gt;(A28stdlife+$E438),('PTRM input'!$P$170*(1+rvanilla10)^0.5)-SUM($P438:BE438),('PTRM input'!$P$170*(1+rvanilla10)^0.5)/A28stdlife))</f>
        <v>0</v>
      </c>
      <c r="BG438" s="107">
        <f>IF(A28stdlife="n/a","n/a",IF(BG$3&gt;(A28stdlife+$E438),('PTRM input'!$P$170*(1+rvanilla10)^0.5)-SUM($P438:BF438),('PTRM input'!$P$170*(1+rvanilla10)^0.5)/A28stdlife))</f>
        <v>0</v>
      </c>
      <c r="BH438" s="107">
        <f>IF(A28stdlife="n/a","n/a",IF(BH$3&gt;(A28stdlife+$E438),('PTRM input'!$P$170*(1+rvanilla10)^0.5)-SUM($P438:BG438),('PTRM input'!$P$170*(1+rvanilla10)^0.5)/A28stdlife))</f>
        <v>0</v>
      </c>
      <c r="BI438" s="107">
        <f>IF(A28stdlife="n/a","n/a",IF(BI$3&gt;(A28stdlife+$E438),('PTRM input'!$P$170*(1+rvanilla10)^0.5)-SUM($P438:BH438),('PTRM input'!$P$170*(1+rvanilla10)^0.5)/A28stdlife))</f>
        <v>0</v>
      </c>
      <c r="BJ438" s="237"/>
      <c r="BK438" s="237"/>
      <c r="BL438" s="237"/>
      <c r="BM438" s="237"/>
    </row>
    <row r="439" spans="1:65" s="190" customFormat="1" hidden="1" outlineLevel="1">
      <c r="A439" s="237"/>
      <c r="B439" s="18"/>
      <c r="C439" s="33">
        <f>Asset28</f>
        <v>0</v>
      </c>
      <c r="D439" s="18"/>
      <c r="E439" s="18"/>
      <c r="F439" s="31"/>
      <c r="G439" s="104">
        <f t="shared" ref="G439:AL439" si="91">SUM(G427:G438)</f>
        <v>0</v>
      </c>
      <c r="H439" s="104">
        <f t="shared" si="91"/>
        <v>0</v>
      </c>
      <c r="I439" s="104">
        <f t="shared" si="91"/>
        <v>0</v>
      </c>
      <c r="J439" s="104">
        <f t="shared" si="91"/>
        <v>0</v>
      </c>
      <c r="K439" s="104">
        <f t="shared" si="91"/>
        <v>0</v>
      </c>
      <c r="L439" s="104">
        <f t="shared" si="91"/>
        <v>0</v>
      </c>
      <c r="M439" s="104">
        <f t="shared" si="91"/>
        <v>0</v>
      </c>
      <c r="N439" s="104">
        <f t="shared" si="91"/>
        <v>0</v>
      </c>
      <c r="O439" s="104">
        <f t="shared" si="91"/>
        <v>0</v>
      </c>
      <c r="P439" s="104">
        <f t="shared" si="91"/>
        <v>0</v>
      </c>
      <c r="Q439" s="104">
        <f t="shared" si="91"/>
        <v>0</v>
      </c>
      <c r="R439" s="104">
        <f t="shared" si="91"/>
        <v>0</v>
      </c>
      <c r="S439" s="104">
        <f t="shared" si="91"/>
        <v>0</v>
      </c>
      <c r="T439" s="104">
        <f t="shared" si="91"/>
        <v>0</v>
      </c>
      <c r="U439" s="104">
        <f t="shared" si="91"/>
        <v>0</v>
      </c>
      <c r="V439" s="104">
        <f t="shared" si="91"/>
        <v>0</v>
      </c>
      <c r="W439" s="104">
        <f t="shared" si="91"/>
        <v>0</v>
      </c>
      <c r="X439" s="104">
        <f t="shared" si="91"/>
        <v>0</v>
      </c>
      <c r="Y439" s="104">
        <f t="shared" si="91"/>
        <v>0</v>
      </c>
      <c r="Z439" s="104">
        <f t="shared" si="91"/>
        <v>0</v>
      </c>
      <c r="AA439" s="104">
        <f t="shared" si="91"/>
        <v>0</v>
      </c>
      <c r="AB439" s="104">
        <f t="shared" si="91"/>
        <v>0</v>
      </c>
      <c r="AC439" s="104">
        <f t="shared" si="91"/>
        <v>0</v>
      </c>
      <c r="AD439" s="104">
        <f t="shared" si="91"/>
        <v>0</v>
      </c>
      <c r="AE439" s="104">
        <f t="shared" si="91"/>
        <v>0</v>
      </c>
      <c r="AF439" s="104">
        <f t="shared" si="91"/>
        <v>0</v>
      </c>
      <c r="AG439" s="104">
        <f t="shared" si="91"/>
        <v>0</v>
      </c>
      <c r="AH439" s="104">
        <f t="shared" si="91"/>
        <v>0</v>
      </c>
      <c r="AI439" s="104">
        <f t="shared" si="91"/>
        <v>0</v>
      </c>
      <c r="AJ439" s="104">
        <f t="shared" si="91"/>
        <v>0</v>
      </c>
      <c r="AK439" s="104">
        <f t="shared" si="91"/>
        <v>0</v>
      </c>
      <c r="AL439" s="104">
        <f t="shared" si="91"/>
        <v>0</v>
      </c>
      <c r="AM439" s="104">
        <f t="shared" ref="AM439:BI439" si="92">SUM(AM427:AM438)</f>
        <v>0</v>
      </c>
      <c r="AN439" s="104">
        <f t="shared" si="92"/>
        <v>0</v>
      </c>
      <c r="AO439" s="104">
        <f t="shared" si="92"/>
        <v>0</v>
      </c>
      <c r="AP439" s="104">
        <f t="shared" si="92"/>
        <v>0</v>
      </c>
      <c r="AQ439" s="104">
        <f t="shared" si="92"/>
        <v>0</v>
      </c>
      <c r="AR439" s="104">
        <f t="shared" si="92"/>
        <v>0</v>
      </c>
      <c r="AS439" s="104">
        <f t="shared" si="92"/>
        <v>0</v>
      </c>
      <c r="AT439" s="104">
        <f t="shared" si="92"/>
        <v>0</v>
      </c>
      <c r="AU439" s="104">
        <f t="shared" si="92"/>
        <v>0</v>
      </c>
      <c r="AV439" s="104">
        <f t="shared" si="92"/>
        <v>0</v>
      </c>
      <c r="AW439" s="104">
        <f t="shared" si="92"/>
        <v>0</v>
      </c>
      <c r="AX439" s="104">
        <f t="shared" si="92"/>
        <v>0</v>
      </c>
      <c r="AY439" s="104">
        <f t="shared" si="92"/>
        <v>0</v>
      </c>
      <c r="AZ439" s="104">
        <f t="shared" si="92"/>
        <v>0</v>
      </c>
      <c r="BA439" s="104">
        <f t="shared" si="92"/>
        <v>0</v>
      </c>
      <c r="BB439" s="104">
        <f t="shared" si="92"/>
        <v>0</v>
      </c>
      <c r="BC439" s="104">
        <f t="shared" si="92"/>
        <v>0</v>
      </c>
      <c r="BD439" s="104">
        <f t="shared" si="92"/>
        <v>0</v>
      </c>
      <c r="BE439" s="104">
        <f t="shared" si="92"/>
        <v>0</v>
      </c>
      <c r="BF439" s="104">
        <f t="shared" si="92"/>
        <v>0</v>
      </c>
      <c r="BG439" s="104">
        <f t="shared" si="92"/>
        <v>0</v>
      </c>
      <c r="BH439" s="104">
        <f t="shared" si="92"/>
        <v>0</v>
      </c>
      <c r="BI439" s="104">
        <f t="shared" si="92"/>
        <v>0</v>
      </c>
      <c r="BJ439" s="237"/>
      <c r="BK439" s="237"/>
      <c r="BL439" s="237"/>
      <c r="BM439" s="237"/>
    </row>
    <row r="440" spans="1:65" s="190" customFormat="1" ht="12.75" hidden="1" customHeight="1" outlineLevel="2">
      <c r="A440" s="237"/>
      <c r="B440" s="37">
        <f>C452</f>
        <v>0</v>
      </c>
      <c r="C440" s="38"/>
      <c r="D440" s="39" t="s">
        <v>58</v>
      </c>
      <c r="E440" s="38"/>
      <c r="F440" s="40"/>
      <c r="G440" s="106">
        <f>IF(G$3&gt;A29remlife,A29value-SUM($F440:F440),IF(A29remlife="N/A","n/a",A29value/A29remlife))</f>
        <v>0</v>
      </c>
      <c r="H440" s="106">
        <f>IF(H$3&gt;A29remlife,A29value-SUM($F440:G440),IF(A29remlife="N/A","n/a",A29value/A29remlife))</f>
        <v>0</v>
      </c>
      <c r="I440" s="106">
        <f>IF(I$3&gt;A29remlife,A29value-SUM($F440:H440),IF(A29remlife="N/A","n/a",A29value/A29remlife))</f>
        <v>0</v>
      </c>
      <c r="J440" s="106">
        <f>IF(J$3&gt;A29remlife,A29value-SUM($F440:I440),IF(A29remlife="N/A","n/a",A29value/A29remlife))</f>
        <v>0</v>
      </c>
      <c r="K440" s="106">
        <f>IF(K$3&gt;A29remlife,A29value-SUM($F440:J440),IF(A29remlife="N/A","n/a",A29value/A29remlife))</f>
        <v>0</v>
      </c>
      <c r="L440" s="106">
        <f>IF(L$3&gt;A29remlife,A29value-SUM($F440:K440),IF(A29remlife="N/A","n/a",A29value/A29remlife))</f>
        <v>0</v>
      </c>
      <c r="M440" s="106">
        <f>IF(M$3&gt;A29remlife,A29value-SUM($F440:L440),IF(A29remlife="N/A","n/a",A29value/A29remlife))</f>
        <v>0</v>
      </c>
      <c r="N440" s="106">
        <f>IF(N$3&gt;A29remlife,A29value-SUM($F440:M440),IF(A29remlife="N/A","n/a",A29value/A29remlife))</f>
        <v>0</v>
      </c>
      <c r="O440" s="106">
        <f>IF(O$3&gt;A29remlife,A29value-SUM($F440:N440),IF(A29remlife="N/A","n/a",A29value/A29remlife))</f>
        <v>0</v>
      </c>
      <c r="P440" s="106">
        <f>IF(P$3&gt;A29remlife,A29value-SUM($F440:O440),IF(A29remlife="N/A","n/a",A29value/A29remlife))</f>
        <v>0</v>
      </c>
      <c r="Q440" s="106">
        <f>IF(Q$3&gt;A29remlife,A29value-SUM($F440:P440),IF(A29remlife="N/A","n/a",A29value/A29remlife))</f>
        <v>0</v>
      </c>
      <c r="R440" s="106">
        <f>IF(R$3&gt;A29remlife,A29value-SUM($F440:Q440),IF(A29remlife="N/A","n/a",A29value/A29remlife))</f>
        <v>0</v>
      </c>
      <c r="S440" s="106">
        <f>IF(S$3&gt;A29remlife,A29value-SUM($F440:R440),IF(A29remlife="N/A","n/a",A29value/A29remlife))</f>
        <v>0</v>
      </c>
      <c r="T440" s="106">
        <f>IF(T$3&gt;A29remlife,A29value-SUM($F440:S440),IF(A29remlife="N/A","n/a",A29value/A29remlife))</f>
        <v>0</v>
      </c>
      <c r="U440" s="106">
        <f>IF(U$3&gt;A29remlife,A29value-SUM($F440:T440),IF(A29remlife="N/A","n/a",A29value/A29remlife))</f>
        <v>0</v>
      </c>
      <c r="V440" s="106">
        <f>IF(V$3&gt;A29remlife,A29value-SUM($F440:U440),IF(A29remlife="N/A","n/a",A29value/A29remlife))</f>
        <v>0</v>
      </c>
      <c r="W440" s="106">
        <f>IF(W$3&gt;A29remlife,A29value-SUM($F440:V440),IF(A29remlife="N/A","n/a",A29value/A29remlife))</f>
        <v>0</v>
      </c>
      <c r="X440" s="106">
        <f>IF(X$3&gt;A29remlife,A29value-SUM($F440:W440),IF(A29remlife="N/A","n/a",A29value/A29remlife))</f>
        <v>0</v>
      </c>
      <c r="Y440" s="106">
        <f>IF(Y$3&gt;A29remlife,A29value-SUM($F440:X440),IF(A29remlife="N/A","n/a",A29value/A29remlife))</f>
        <v>0</v>
      </c>
      <c r="Z440" s="106">
        <f>IF(Z$3&gt;A29remlife,A29value-SUM($F440:Y440),IF(A29remlife="N/A","n/a",A29value/A29remlife))</f>
        <v>0</v>
      </c>
      <c r="AA440" s="106">
        <f>IF(AA$3&gt;A29remlife,A29value-SUM($F440:Z440),IF(A29remlife="N/A","n/a",A29value/A29remlife))</f>
        <v>0</v>
      </c>
      <c r="AB440" s="106">
        <f>IF(AB$3&gt;A29remlife,A29value-SUM($F440:AA440),IF(A29remlife="N/A","n/a",A29value/A29remlife))</f>
        <v>0</v>
      </c>
      <c r="AC440" s="106">
        <f>IF(AC$3&gt;A29remlife,A29value-SUM($F440:AB440),IF(A29remlife="N/A","n/a",A29value/A29remlife))</f>
        <v>0</v>
      </c>
      <c r="AD440" s="106">
        <f>IF(AD$3&gt;A29remlife,A29value-SUM($F440:AC440),IF(A29remlife="N/A","n/a",A29value/A29remlife))</f>
        <v>0</v>
      </c>
      <c r="AE440" s="106">
        <f>IF(AE$3&gt;A29remlife,A29value-SUM($F440:AD440),IF(A29remlife="N/A","n/a",A29value/A29remlife))</f>
        <v>0</v>
      </c>
      <c r="AF440" s="106">
        <f>IF(AF$3&gt;A29remlife,A29value-SUM($F440:AE440),IF(A29remlife="N/A","n/a",A29value/A29remlife))</f>
        <v>0</v>
      </c>
      <c r="AG440" s="106">
        <f>IF(AG$3&gt;A29remlife,A29value-SUM($F440:AF440),IF(A29remlife="N/A","n/a",A29value/A29remlife))</f>
        <v>0</v>
      </c>
      <c r="AH440" s="106">
        <f>IF(AH$3&gt;A29remlife,A29value-SUM($F440:AG440),IF(A29remlife="N/A","n/a",A29value/A29remlife))</f>
        <v>0</v>
      </c>
      <c r="AI440" s="106">
        <f>IF(AI$3&gt;A29remlife,A29value-SUM($F440:AH440),IF(A29remlife="N/A","n/a",A29value/A29remlife))</f>
        <v>0</v>
      </c>
      <c r="AJ440" s="106">
        <f>IF(AJ$3&gt;A29remlife,A29value-SUM($F440:AI440),IF(A29remlife="N/A","n/a",A29value/A29remlife))</f>
        <v>0</v>
      </c>
      <c r="AK440" s="106">
        <f>IF(AK$3&gt;A29remlife,A29value-SUM($F440:AJ440),IF(A29remlife="N/A","n/a",A29value/A29remlife))</f>
        <v>0</v>
      </c>
      <c r="AL440" s="106">
        <f>IF(AL$3&gt;A29remlife,A29value-SUM($F440:AK440),IF(A29remlife="N/A","n/a",A29value/A29remlife))</f>
        <v>0</v>
      </c>
      <c r="AM440" s="106">
        <f>IF(AM$3&gt;A29remlife,A29value-SUM($F440:AL440),IF(A29remlife="N/A","n/a",A29value/A29remlife))</f>
        <v>0</v>
      </c>
      <c r="AN440" s="106">
        <f>IF(AN$3&gt;A29remlife,A29value-SUM($F440:AM440),IF(A29remlife="N/A","n/a",A29value/A29remlife))</f>
        <v>0</v>
      </c>
      <c r="AO440" s="106">
        <f>IF(AO$3&gt;A29remlife,A29value-SUM($F440:AN440),IF(A29remlife="N/A","n/a",A29value/A29remlife))</f>
        <v>0</v>
      </c>
      <c r="AP440" s="106">
        <f>IF(AP$3&gt;A29remlife,A29value-SUM($F440:AO440),IF(A29remlife="N/A","n/a",A29value/A29remlife))</f>
        <v>0</v>
      </c>
      <c r="AQ440" s="106">
        <f>IF(AQ$3&gt;A29remlife,A29value-SUM($F440:AP440),IF(A29remlife="N/A","n/a",A29value/A29remlife))</f>
        <v>0</v>
      </c>
      <c r="AR440" s="106">
        <f>IF(AR$3&gt;A29remlife,A29value-SUM($F440:AQ440),IF(A29remlife="N/A","n/a",A29value/A29remlife))</f>
        <v>0</v>
      </c>
      <c r="AS440" s="106">
        <f>IF(AS$3&gt;A29remlife,A29value-SUM($F440:AR440),IF(A29remlife="N/A","n/a",A29value/A29remlife))</f>
        <v>0</v>
      </c>
      <c r="AT440" s="106">
        <f>IF(AT$3&gt;A29remlife,A29value-SUM($F440:AS440),IF(A29remlife="N/A","n/a",A29value/A29remlife))</f>
        <v>0</v>
      </c>
      <c r="AU440" s="106">
        <f>IF(AU$3&gt;A29remlife,A29value-SUM($F440:AT440),IF(A29remlife="N/A","n/a",A29value/A29remlife))</f>
        <v>0</v>
      </c>
      <c r="AV440" s="106">
        <f>IF(AV$3&gt;A29remlife,A29value-SUM($F440:AU440),IF(A29remlife="N/A","n/a",A29value/A29remlife))</f>
        <v>0</v>
      </c>
      <c r="AW440" s="106">
        <f>IF(AW$3&gt;A29remlife,A29value-SUM($F440:AV440),IF(A29remlife="N/A","n/a",A29value/A29remlife))</f>
        <v>0</v>
      </c>
      <c r="AX440" s="106">
        <f>IF(AX$3&gt;A29remlife,A29value-SUM($F440:AW440),IF(A29remlife="N/A","n/a",A29value/A29remlife))</f>
        <v>0</v>
      </c>
      <c r="AY440" s="106">
        <f>IF(AY$3&gt;A29remlife,A29value-SUM($F440:AX440),IF(A29remlife="N/A","n/a",A29value/A29remlife))</f>
        <v>0</v>
      </c>
      <c r="AZ440" s="106">
        <f>IF(AZ$3&gt;A29remlife,A29value-SUM($F440:AY440),IF(A29remlife="N/A","n/a",A29value/A29remlife))</f>
        <v>0</v>
      </c>
      <c r="BA440" s="106">
        <f>IF(BA$3&gt;A29remlife,A29value-SUM($F440:AZ440),IF(A29remlife="N/A","n/a",A29value/A29remlife))</f>
        <v>0</v>
      </c>
      <c r="BB440" s="106">
        <f>IF(BB$3&gt;A29remlife,A29value-SUM($F440:BA440),IF(A29remlife="N/A","n/a",A29value/A29remlife))</f>
        <v>0</v>
      </c>
      <c r="BC440" s="106">
        <f>IF(BC$3&gt;A29remlife,A29value-SUM($F440:BB440),IF(A29remlife="N/A","n/a",A29value/A29remlife))</f>
        <v>0</v>
      </c>
      <c r="BD440" s="106">
        <f>IF(BD$3&gt;A29remlife,A29value-SUM($F440:BC440),IF(A29remlife="N/A","n/a",A29value/A29remlife))</f>
        <v>0</v>
      </c>
      <c r="BE440" s="106">
        <f>IF(BE$3&gt;A29remlife,A29value-SUM($F440:BD440),IF(A29remlife="N/A","n/a",A29value/A29remlife))</f>
        <v>0</v>
      </c>
      <c r="BF440" s="106">
        <f>IF(BF$3&gt;A29remlife,A29value-SUM($F440:BE440),IF(A29remlife="N/A","n/a",A29value/A29remlife))</f>
        <v>0</v>
      </c>
      <c r="BG440" s="106">
        <f>IF(BG$3&gt;A29remlife,A29value-SUM($F440:BF440),IF(A29remlife="N/A","n/a",A29value/A29remlife))</f>
        <v>0</v>
      </c>
      <c r="BH440" s="106">
        <f>IF(BH$3&gt;A29remlife,A29value-SUM($F440:BG440),IF(A29remlife="N/A","n/a",A29value/A29remlife))</f>
        <v>0</v>
      </c>
      <c r="BI440" s="106">
        <f>IF(BI$3&gt;A29remlife,A29value-SUM($F440:BH440),IF(A29remlife="N/A","n/a",A29value/A29remlife))</f>
        <v>0</v>
      </c>
      <c r="BJ440" s="237"/>
      <c r="BK440" s="237"/>
      <c r="BL440" s="237"/>
      <c r="BM440" s="237"/>
    </row>
    <row r="441" spans="1:65" s="190" customFormat="1" ht="12.75" hidden="1" customHeight="1" outlineLevel="2">
      <c r="A441" s="237"/>
      <c r="B441" s="33"/>
      <c r="C441" s="32"/>
      <c r="D441" s="1618" t="s">
        <v>357</v>
      </c>
      <c r="E441" s="169">
        <v>0</v>
      </c>
      <c r="F441" s="35"/>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c r="BE441" s="107"/>
      <c r="BF441" s="107"/>
      <c r="BG441" s="107"/>
      <c r="BH441" s="107"/>
      <c r="BI441" s="107"/>
      <c r="BJ441" s="237"/>
      <c r="BK441" s="237"/>
      <c r="BL441" s="237"/>
      <c r="BM441" s="237"/>
    </row>
    <row r="442" spans="1:65" s="190" customFormat="1" hidden="1" outlineLevel="2">
      <c r="A442" s="237"/>
      <c r="B442" s="33"/>
      <c r="C442" s="32"/>
      <c r="D442" s="1618"/>
      <c r="E442" s="169">
        <v>1</v>
      </c>
      <c r="F442" s="35"/>
      <c r="G442" s="183"/>
      <c r="H442" s="107">
        <f>IF(A29stdlife="n/a","n/a",IF(H$3&gt;(A29stdlife+$E442),('PTRM input'!$G$171*(1+rvanilla01)^0.5)-SUM($G442:G442),('PTRM input'!$G$171*(1+rvanilla01)^0.5)/A29stdlife))</f>
        <v>0</v>
      </c>
      <c r="I442" s="107">
        <f>IF(A29stdlife="n/a","n/a",IF(I$3&gt;(A29stdlife+$E442),('PTRM input'!$G$171*(1+rvanilla01)^0.5)-SUM($G442:H442),('PTRM input'!$G$171*(1+rvanilla01)^0.5)/A29stdlife))</f>
        <v>0</v>
      </c>
      <c r="J442" s="107">
        <f>IF(A29stdlife="n/a","n/a",IF(J$3&gt;(A29stdlife+$E442),('PTRM input'!$G$171*(1+rvanilla01)^0.5)-SUM($G442:I442),('PTRM input'!$G$171*(1+rvanilla01)^0.5)/A29stdlife))</f>
        <v>0</v>
      </c>
      <c r="K442" s="107">
        <f>IF(A29stdlife="n/a","n/a",IF(K$3&gt;(A29stdlife+$E442),('PTRM input'!$G$171*(1+rvanilla01)^0.5)-SUM($G442:J442),('PTRM input'!$G$171*(1+rvanilla01)^0.5)/A29stdlife))</f>
        <v>0</v>
      </c>
      <c r="L442" s="107">
        <f>IF(A29stdlife="n/a","n/a",IF(L$3&gt;(A29stdlife+$E442),('PTRM input'!$G$171*(1+rvanilla01)^0.5)-SUM($G442:K442),('PTRM input'!$G$171*(1+rvanilla01)^0.5)/A29stdlife))</f>
        <v>0</v>
      </c>
      <c r="M442" s="107">
        <f>IF(A29stdlife="n/a","n/a",IF(M$3&gt;(A29stdlife+$E442),('PTRM input'!$G$171*(1+rvanilla01)^0.5)-SUM($G442:L442),('PTRM input'!$G$171*(1+rvanilla01)^0.5)/A29stdlife))</f>
        <v>0</v>
      </c>
      <c r="N442" s="107">
        <f>IF(A29stdlife="n/a","n/a",IF(N$3&gt;(A29stdlife+$E442),('PTRM input'!$G$171*(1+rvanilla01)^0.5)-SUM($G442:M442),('PTRM input'!$G$171*(1+rvanilla01)^0.5)/A29stdlife))</f>
        <v>0</v>
      </c>
      <c r="O442" s="107">
        <f>IF(A29stdlife="n/a","n/a",IF(O$3&gt;(A29stdlife+$E442),('PTRM input'!$G$171*(1+rvanilla01)^0.5)-SUM($G442:N442),('PTRM input'!$G$171*(1+rvanilla01)^0.5)/A29stdlife))</f>
        <v>0</v>
      </c>
      <c r="P442" s="107">
        <f>IF(A29stdlife="n/a","n/a",IF(P$3&gt;(A29stdlife+$E442),('PTRM input'!$G$171*(1+rvanilla01)^0.5)-SUM($G442:O442),('PTRM input'!$G$171*(1+rvanilla01)^0.5)/A29stdlife))</f>
        <v>0</v>
      </c>
      <c r="Q442" s="107">
        <f>IF(A29stdlife="n/a","n/a",IF(Q$3&gt;(A29stdlife+$E442),('PTRM input'!$G$171*(1+rvanilla01)^0.5)-SUM($G442:P442),('PTRM input'!$G$171*(1+rvanilla01)^0.5)/A29stdlife))</f>
        <v>0</v>
      </c>
      <c r="R442" s="107">
        <f>IF(A29stdlife="n/a","n/a",IF(R$3&gt;(A29stdlife+$E442),('PTRM input'!$G$171*(1+rvanilla01)^0.5)-SUM($G442:Q442),('PTRM input'!$G$171*(1+rvanilla01)^0.5)/A29stdlife))</f>
        <v>0</v>
      </c>
      <c r="S442" s="107">
        <f>IF(A29stdlife="n/a","n/a",IF(S$3&gt;(A29stdlife+$E442),('PTRM input'!$G$171*(1+rvanilla01)^0.5)-SUM($G442:R442),('PTRM input'!$G$171*(1+rvanilla01)^0.5)/A29stdlife))</f>
        <v>0</v>
      </c>
      <c r="T442" s="107">
        <f>IF(A29stdlife="n/a","n/a",IF(T$3&gt;(A29stdlife+$E442),('PTRM input'!$G$171*(1+rvanilla01)^0.5)-SUM($G442:S442),('PTRM input'!$G$171*(1+rvanilla01)^0.5)/A29stdlife))</f>
        <v>0</v>
      </c>
      <c r="U442" s="107">
        <f>IF(A29stdlife="n/a","n/a",IF(U$3&gt;(A29stdlife+$E442),('PTRM input'!$G$171*(1+rvanilla01)^0.5)-SUM($G442:T442),('PTRM input'!$G$171*(1+rvanilla01)^0.5)/A29stdlife))</f>
        <v>0</v>
      </c>
      <c r="V442" s="107">
        <f>IF(A29stdlife="n/a","n/a",IF(V$3&gt;(A29stdlife+$E442),('PTRM input'!$G$171*(1+rvanilla01)^0.5)-SUM($G442:U442),('PTRM input'!$G$171*(1+rvanilla01)^0.5)/A29stdlife))</f>
        <v>0</v>
      </c>
      <c r="W442" s="107">
        <f>IF(A29stdlife="n/a","n/a",IF(W$3&gt;(A29stdlife+$E442),('PTRM input'!$G$171*(1+rvanilla01)^0.5)-SUM($G442:V442),('PTRM input'!$G$171*(1+rvanilla01)^0.5)/A29stdlife))</f>
        <v>0</v>
      </c>
      <c r="X442" s="107">
        <f>IF(A29stdlife="n/a","n/a",IF(X$3&gt;(A29stdlife+$E442),('PTRM input'!$G$171*(1+rvanilla01)^0.5)-SUM($G442:W442),('PTRM input'!$G$171*(1+rvanilla01)^0.5)/A29stdlife))</f>
        <v>0</v>
      </c>
      <c r="Y442" s="107">
        <f>IF(A29stdlife="n/a","n/a",IF(Y$3&gt;(A29stdlife+$E442),('PTRM input'!$G$171*(1+rvanilla01)^0.5)-SUM($G442:X442),('PTRM input'!$G$171*(1+rvanilla01)^0.5)/A29stdlife))</f>
        <v>0</v>
      </c>
      <c r="Z442" s="107">
        <f>IF(A29stdlife="n/a","n/a",IF(Z$3&gt;(A29stdlife+$E442),('PTRM input'!$G$171*(1+rvanilla01)^0.5)-SUM($G442:Y442),('PTRM input'!$G$171*(1+rvanilla01)^0.5)/A29stdlife))</f>
        <v>0</v>
      </c>
      <c r="AA442" s="107">
        <f>IF(A29stdlife="n/a","n/a",IF(AA$3&gt;(A29stdlife+$E442),('PTRM input'!$G$171*(1+rvanilla01)^0.5)-SUM($G442:Z442),('PTRM input'!$G$171*(1+rvanilla01)^0.5)/A29stdlife))</f>
        <v>0</v>
      </c>
      <c r="AB442" s="107">
        <f>IF(A29stdlife="n/a","n/a",IF(AB$3&gt;(A29stdlife+$E442),('PTRM input'!$G$171*(1+rvanilla01)^0.5)-SUM($G442:AA442),('PTRM input'!$G$171*(1+rvanilla01)^0.5)/A29stdlife))</f>
        <v>0</v>
      </c>
      <c r="AC442" s="107">
        <f>IF(A29stdlife="n/a","n/a",IF(AC$3&gt;(A29stdlife+$E442),('PTRM input'!$G$171*(1+rvanilla01)^0.5)-SUM($G442:AB442),('PTRM input'!$G$171*(1+rvanilla01)^0.5)/A29stdlife))</f>
        <v>0</v>
      </c>
      <c r="AD442" s="107">
        <f>IF(A29stdlife="n/a","n/a",IF(AD$3&gt;(A29stdlife+$E442),('PTRM input'!$G$171*(1+rvanilla01)^0.5)-SUM($G442:AC442),('PTRM input'!$G$171*(1+rvanilla01)^0.5)/A29stdlife))</f>
        <v>0</v>
      </c>
      <c r="AE442" s="107">
        <f>IF(A29stdlife="n/a","n/a",IF(AE$3&gt;(A29stdlife+$E442),('PTRM input'!$G$171*(1+rvanilla01)^0.5)-SUM($G442:AD442),('PTRM input'!$G$171*(1+rvanilla01)^0.5)/A29stdlife))</f>
        <v>0</v>
      </c>
      <c r="AF442" s="107">
        <f>IF(A29stdlife="n/a","n/a",IF(AF$3&gt;(A29stdlife+$E442),('PTRM input'!$G$171*(1+rvanilla01)^0.5)-SUM($G442:AE442),('PTRM input'!$G$171*(1+rvanilla01)^0.5)/A29stdlife))</f>
        <v>0</v>
      </c>
      <c r="AG442" s="107">
        <f>IF(A29stdlife="n/a","n/a",IF(AG$3&gt;(A29stdlife+$E442),('PTRM input'!$G$171*(1+rvanilla01)^0.5)-SUM($G442:AF442),('PTRM input'!$G$171*(1+rvanilla01)^0.5)/A29stdlife))</f>
        <v>0</v>
      </c>
      <c r="AH442" s="107">
        <f>IF(A29stdlife="n/a","n/a",IF(AH$3&gt;(A29stdlife+$E442),('PTRM input'!$G$171*(1+rvanilla01)^0.5)-SUM($G442:AG442),('PTRM input'!$G$171*(1+rvanilla01)^0.5)/A29stdlife))</f>
        <v>0</v>
      </c>
      <c r="AI442" s="107">
        <f>IF(A29stdlife="n/a","n/a",IF(AI$3&gt;(A29stdlife+$E442),('PTRM input'!$G$171*(1+rvanilla01)^0.5)-SUM($G442:AH442),('PTRM input'!$G$171*(1+rvanilla01)^0.5)/A29stdlife))</f>
        <v>0</v>
      </c>
      <c r="AJ442" s="107">
        <f>IF(A29stdlife="n/a","n/a",IF(AJ$3&gt;(A29stdlife+$E442),('PTRM input'!$G$171*(1+rvanilla01)^0.5)-SUM($G442:AI442),('PTRM input'!$G$171*(1+rvanilla01)^0.5)/A29stdlife))</f>
        <v>0</v>
      </c>
      <c r="AK442" s="107">
        <f>IF(A29stdlife="n/a","n/a",IF(AK$3&gt;(A29stdlife+$E442),('PTRM input'!$G$171*(1+rvanilla01)^0.5)-SUM($G442:AJ442),('PTRM input'!$G$171*(1+rvanilla01)^0.5)/A29stdlife))</f>
        <v>0</v>
      </c>
      <c r="AL442" s="107">
        <f>IF(A29stdlife="n/a","n/a",IF(AL$3&gt;(A29stdlife+$E442),('PTRM input'!$G$171*(1+rvanilla01)^0.5)-SUM($G442:AK442),('PTRM input'!$G$171*(1+rvanilla01)^0.5)/A29stdlife))</f>
        <v>0</v>
      </c>
      <c r="AM442" s="107">
        <f>IF(A29stdlife="n/a","n/a",IF(AM$3&gt;(A29stdlife+$E442),('PTRM input'!$G$171*(1+rvanilla01)^0.5)-SUM($G442:AL442),('PTRM input'!$G$171*(1+rvanilla01)^0.5)/A29stdlife))</f>
        <v>0</v>
      </c>
      <c r="AN442" s="107">
        <f>IF(A29stdlife="n/a","n/a",IF(AN$3&gt;(A29stdlife+$E442),('PTRM input'!$G$171*(1+rvanilla01)^0.5)-SUM($G442:AM442),('PTRM input'!$G$171*(1+rvanilla01)^0.5)/A29stdlife))</f>
        <v>0</v>
      </c>
      <c r="AO442" s="107">
        <f>IF(A29stdlife="n/a","n/a",IF(AO$3&gt;(A29stdlife+$E442),('PTRM input'!$G$171*(1+rvanilla01)^0.5)-SUM($G442:AN442),('PTRM input'!$G$171*(1+rvanilla01)^0.5)/A29stdlife))</f>
        <v>0</v>
      </c>
      <c r="AP442" s="107">
        <f>IF(A29stdlife="n/a","n/a",IF(AP$3&gt;(A29stdlife+$E442),('PTRM input'!$G$171*(1+rvanilla01)^0.5)-SUM($G442:AO442),('PTRM input'!$G$171*(1+rvanilla01)^0.5)/A29stdlife))</f>
        <v>0</v>
      </c>
      <c r="AQ442" s="107">
        <f>IF(A29stdlife="n/a","n/a",IF(AQ$3&gt;(A29stdlife+$E442),('PTRM input'!$G$171*(1+rvanilla01)^0.5)-SUM($G442:AP442),('PTRM input'!$G$171*(1+rvanilla01)^0.5)/A29stdlife))</f>
        <v>0</v>
      </c>
      <c r="AR442" s="107">
        <f>IF(A29stdlife="n/a","n/a",IF(AR$3&gt;(A29stdlife+$E442),('PTRM input'!$G$171*(1+rvanilla01)^0.5)-SUM($G442:AQ442),('PTRM input'!$G$171*(1+rvanilla01)^0.5)/A29stdlife))</f>
        <v>0</v>
      </c>
      <c r="AS442" s="107">
        <f>IF(A29stdlife="n/a","n/a",IF(AS$3&gt;(A29stdlife+$E442),('PTRM input'!$G$171*(1+rvanilla01)^0.5)-SUM($G442:AR442),('PTRM input'!$G$171*(1+rvanilla01)^0.5)/A29stdlife))</f>
        <v>0</v>
      </c>
      <c r="AT442" s="107">
        <f>IF(A29stdlife="n/a","n/a",IF(AT$3&gt;(A29stdlife+$E442),('PTRM input'!$G$171*(1+rvanilla01)^0.5)-SUM($G442:AS442),('PTRM input'!$G$171*(1+rvanilla01)^0.5)/A29stdlife))</f>
        <v>0</v>
      </c>
      <c r="AU442" s="107">
        <f>IF(A29stdlife="n/a","n/a",IF(AU$3&gt;(A29stdlife+$E442),('PTRM input'!$G$171*(1+rvanilla01)^0.5)-SUM($G442:AT442),('PTRM input'!$G$171*(1+rvanilla01)^0.5)/A29stdlife))</f>
        <v>0</v>
      </c>
      <c r="AV442" s="107">
        <f>IF(A29stdlife="n/a","n/a",IF(AV$3&gt;(A29stdlife+$E442),('PTRM input'!$G$171*(1+rvanilla01)^0.5)-SUM($G442:AU442),('PTRM input'!$G$171*(1+rvanilla01)^0.5)/A29stdlife))</f>
        <v>0</v>
      </c>
      <c r="AW442" s="107">
        <f>IF(A29stdlife="n/a","n/a",IF(AW$3&gt;(A29stdlife+$E442),('PTRM input'!$G$171*(1+rvanilla01)^0.5)-SUM($G442:AV442),('PTRM input'!$G$171*(1+rvanilla01)^0.5)/A29stdlife))</f>
        <v>0</v>
      </c>
      <c r="AX442" s="107">
        <f>IF(A29stdlife="n/a","n/a",IF(AX$3&gt;(A29stdlife+$E442),('PTRM input'!$G$171*(1+rvanilla01)^0.5)-SUM($G442:AW442),('PTRM input'!$G$171*(1+rvanilla01)^0.5)/A29stdlife))</f>
        <v>0</v>
      </c>
      <c r="AY442" s="107">
        <f>IF(A29stdlife="n/a","n/a",IF(AY$3&gt;(A29stdlife+$E442),('PTRM input'!$G$171*(1+rvanilla01)^0.5)-SUM($G442:AX442),('PTRM input'!$G$171*(1+rvanilla01)^0.5)/A29stdlife))</f>
        <v>0</v>
      </c>
      <c r="AZ442" s="107">
        <f>IF(A29stdlife="n/a","n/a",IF(AZ$3&gt;(A29stdlife+$E442),('PTRM input'!$G$171*(1+rvanilla01)^0.5)-SUM($G442:AY442),('PTRM input'!$G$171*(1+rvanilla01)^0.5)/A29stdlife))</f>
        <v>0</v>
      </c>
      <c r="BA442" s="107">
        <f>IF(A29stdlife="n/a","n/a",IF(BA$3&gt;(A29stdlife+$E442),('PTRM input'!$G$171*(1+rvanilla01)^0.5)-SUM($G442:AZ442),('PTRM input'!$G$171*(1+rvanilla01)^0.5)/A29stdlife))</f>
        <v>0</v>
      </c>
      <c r="BB442" s="107">
        <f>IF(A29stdlife="n/a","n/a",IF(BB$3&gt;(A29stdlife+$E442),('PTRM input'!$G$171*(1+rvanilla01)^0.5)-SUM($G442:BA442),('PTRM input'!$G$171*(1+rvanilla01)^0.5)/A29stdlife))</f>
        <v>0</v>
      </c>
      <c r="BC442" s="107">
        <f>IF(A29stdlife="n/a","n/a",IF(BC$3&gt;(A29stdlife+$E442),('PTRM input'!$G$171*(1+rvanilla01)^0.5)-SUM($G442:BB442),('PTRM input'!$G$171*(1+rvanilla01)^0.5)/A29stdlife))</f>
        <v>0</v>
      </c>
      <c r="BD442" s="107">
        <f>IF(A29stdlife="n/a","n/a",IF(BD$3&gt;(A29stdlife+$E442),('PTRM input'!$G$171*(1+rvanilla01)^0.5)-SUM($G442:BC442),('PTRM input'!$G$171*(1+rvanilla01)^0.5)/A29stdlife))</f>
        <v>0</v>
      </c>
      <c r="BE442" s="107">
        <f>IF(A29stdlife="n/a","n/a",IF(BE$3&gt;(A29stdlife+$E442),('PTRM input'!$G$171*(1+rvanilla01)^0.5)-SUM($G442:BD442),('PTRM input'!$G$171*(1+rvanilla01)^0.5)/A29stdlife))</f>
        <v>0</v>
      </c>
      <c r="BF442" s="107">
        <f>IF(A29stdlife="n/a","n/a",IF(BF$3&gt;(A29stdlife+$E442),('PTRM input'!$G$171*(1+rvanilla01)^0.5)-SUM($G442:BE442),('PTRM input'!$G$171*(1+rvanilla01)^0.5)/A29stdlife))</f>
        <v>0</v>
      </c>
      <c r="BG442" s="107">
        <f>IF(A29stdlife="n/a","n/a",IF(BG$3&gt;(A29stdlife+$E442),('PTRM input'!$G$171*(1+rvanilla01)^0.5)-SUM($G442:BF442),('PTRM input'!$G$171*(1+rvanilla01)^0.5)/A29stdlife))</f>
        <v>0</v>
      </c>
      <c r="BH442" s="107">
        <f>IF(A29stdlife="n/a","n/a",IF(BH$3&gt;(A29stdlife+$E442),('PTRM input'!$G$171*(1+rvanilla01)^0.5)-SUM($G442:BG442),('PTRM input'!$G$171*(1+rvanilla01)^0.5)/A29stdlife))</f>
        <v>0</v>
      </c>
      <c r="BI442" s="107">
        <f>IF(A29stdlife="n/a","n/a",IF(BI$3&gt;(A29stdlife+$E442),('PTRM input'!$G$171*(1+rvanilla01)^0.5)-SUM($G442:BH442),('PTRM input'!$G$171*(1+rvanilla01)^0.5)/A29stdlife))</f>
        <v>0</v>
      </c>
      <c r="BJ442" s="237"/>
      <c r="BK442" s="237"/>
      <c r="BL442" s="237"/>
      <c r="BM442" s="237"/>
    </row>
    <row r="443" spans="1:65" s="190" customFormat="1" hidden="1" outlineLevel="2">
      <c r="A443" s="237"/>
      <c r="B443" s="33"/>
      <c r="C443" s="32"/>
      <c r="D443" s="1618"/>
      <c r="E443" s="169">
        <v>2</v>
      </c>
      <c r="F443" s="35"/>
      <c r="G443" s="184"/>
      <c r="H443" s="185"/>
      <c r="I443" s="107">
        <f>IF(A29stdlife="n/a","n/a",IF(I$3&gt;(A29stdlife+$E443),('PTRM input'!$H$171*(1+rvanilla02)^0.5)-SUM($H443:H443),('PTRM input'!$H$171*(1+rvanilla02)^0.5)/A29stdlife))</f>
        <v>0</v>
      </c>
      <c r="J443" s="107">
        <f>IF(A29stdlife="n/a","n/a",IF(J$3&gt;(A29stdlife+$E443),('PTRM input'!$H$171*(1+rvanilla02)^0.5)-SUM($H443:I443),('PTRM input'!$H$171*(1+rvanilla02)^0.5)/A29stdlife))</f>
        <v>0</v>
      </c>
      <c r="K443" s="107">
        <f>IF(A29stdlife="n/a","n/a",IF(K$3&gt;(A29stdlife+$E443),('PTRM input'!$H$171*(1+rvanilla02)^0.5)-SUM($H443:J443),('PTRM input'!$H$171*(1+rvanilla02)^0.5)/A29stdlife))</f>
        <v>0</v>
      </c>
      <c r="L443" s="107">
        <f>IF(A29stdlife="n/a","n/a",IF(L$3&gt;(A29stdlife+$E443),('PTRM input'!$H$171*(1+rvanilla02)^0.5)-SUM($H443:K443),('PTRM input'!$H$171*(1+rvanilla02)^0.5)/A29stdlife))</f>
        <v>0</v>
      </c>
      <c r="M443" s="107">
        <f>IF(A29stdlife="n/a","n/a",IF(M$3&gt;(A29stdlife+$E443),('PTRM input'!$H$171*(1+rvanilla02)^0.5)-SUM($H443:L443),('PTRM input'!$H$171*(1+rvanilla02)^0.5)/A29stdlife))</f>
        <v>0</v>
      </c>
      <c r="N443" s="107">
        <f>IF(A29stdlife="n/a","n/a",IF(N$3&gt;(A29stdlife+$E443),('PTRM input'!$H$171*(1+rvanilla02)^0.5)-SUM($H443:M443),('PTRM input'!$H$171*(1+rvanilla02)^0.5)/A29stdlife))</f>
        <v>0</v>
      </c>
      <c r="O443" s="107">
        <f>IF(A29stdlife="n/a","n/a",IF(O$3&gt;(A29stdlife+$E443),('PTRM input'!$H$171*(1+rvanilla02)^0.5)-SUM($H443:N443),('PTRM input'!$H$171*(1+rvanilla02)^0.5)/A29stdlife))</f>
        <v>0</v>
      </c>
      <c r="P443" s="107">
        <f>IF(A29stdlife="n/a","n/a",IF(P$3&gt;(A29stdlife+$E443),('PTRM input'!$H$171*(1+rvanilla02)^0.5)-SUM($H443:O443),('PTRM input'!$H$171*(1+rvanilla02)^0.5)/A29stdlife))</f>
        <v>0</v>
      </c>
      <c r="Q443" s="107">
        <f>IF(A29stdlife="n/a","n/a",IF(Q$3&gt;(A29stdlife+$E443),('PTRM input'!$H$171*(1+rvanilla02)^0.5)-SUM($H443:P443),('PTRM input'!$H$171*(1+rvanilla02)^0.5)/A29stdlife))</f>
        <v>0</v>
      </c>
      <c r="R443" s="107">
        <f>IF(A29stdlife="n/a","n/a",IF(R$3&gt;(A29stdlife+$E443),('PTRM input'!$H$171*(1+rvanilla02)^0.5)-SUM($H443:Q443),('PTRM input'!$H$171*(1+rvanilla02)^0.5)/A29stdlife))</f>
        <v>0</v>
      </c>
      <c r="S443" s="107">
        <f>IF(A29stdlife="n/a","n/a",IF(S$3&gt;(A29stdlife+$E443),('PTRM input'!$H$171*(1+rvanilla02)^0.5)-SUM($H443:R443),('PTRM input'!$H$171*(1+rvanilla02)^0.5)/A29stdlife))</f>
        <v>0</v>
      </c>
      <c r="T443" s="107">
        <f>IF(A29stdlife="n/a","n/a",IF(T$3&gt;(A29stdlife+$E443),('PTRM input'!$H$171*(1+rvanilla02)^0.5)-SUM($H443:S443),('PTRM input'!$H$171*(1+rvanilla02)^0.5)/A29stdlife))</f>
        <v>0</v>
      </c>
      <c r="U443" s="107">
        <f>IF(A29stdlife="n/a","n/a",IF(U$3&gt;(A29stdlife+$E443),('PTRM input'!$H$171*(1+rvanilla02)^0.5)-SUM($H443:T443),('PTRM input'!$H$171*(1+rvanilla02)^0.5)/A29stdlife))</f>
        <v>0</v>
      </c>
      <c r="V443" s="107">
        <f>IF(A29stdlife="n/a","n/a",IF(V$3&gt;(A29stdlife+$E443),('PTRM input'!$H$171*(1+rvanilla02)^0.5)-SUM($H443:U443),('PTRM input'!$H$171*(1+rvanilla02)^0.5)/A29stdlife))</f>
        <v>0</v>
      </c>
      <c r="W443" s="107">
        <f>IF(A29stdlife="n/a","n/a",IF(W$3&gt;(A29stdlife+$E443),('PTRM input'!$H$171*(1+rvanilla02)^0.5)-SUM($H443:V443),('PTRM input'!$H$171*(1+rvanilla02)^0.5)/A29stdlife))</f>
        <v>0</v>
      </c>
      <c r="X443" s="107">
        <f>IF(A29stdlife="n/a","n/a",IF(X$3&gt;(A29stdlife+$E443),('PTRM input'!$H$171*(1+rvanilla02)^0.5)-SUM($H443:W443),('PTRM input'!$H$171*(1+rvanilla02)^0.5)/A29stdlife))</f>
        <v>0</v>
      </c>
      <c r="Y443" s="107">
        <f>IF(A29stdlife="n/a","n/a",IF(Y$3&gt;(A29stdlife+$E443),('PTRM input'!$H$171*(1+rvanilla02)^0.5)-SUM($H443:X443),('PTRM input'!$H$171*(1+rvanilla02)^0.5)/A29stdlife))</f>
        <v>0</v>
      </c>
      <c r="Z443" s="107">
        <f>IF(A29stdlife="n/a","n/a",IF(Z$3&gt;(A29stdlife+$E443),('PTRM input'!$H$171*(1+rvanilla02)^0.5)-SUM($H443:Y443),('PTRM input'!$H$171*(1+rvanilla02)^0.5)/A29stdlife))</f>
        <v>0</v>
      </c>
      <c r="AA443" s="107">
        <f>IF(A29stdlife="n/a","n/a",IF(AA$3&gt;(A29stdlife+$E443),('PTRM input'!$H$171*(1+rvanilla02)^0.5)-SUM($H443:Z443),('PTRM input'!$H$171*(1+rvanilla02)^0.5)/A29stdlife))</f>
        <v>0</v>
      </c>
      <c r="AB443" s="107">
        <f>IF(A29stdlife="n/a","n/a",IF(AB$3&gt;(A29stdlife+$E443),('PTRM input'!$H$171*(1+rvanilla02)^0.5)-SUM($H443:AA443),('PTRM input'!$H$171*(1+rvanilla02)^0.5)/A29stdlife))</f>
        <v>0</v>
      </c>
      <c r="AC443" s="107">
        <f>IF(A29stdlife="n/a","n/a",IF(AC$3&gt;(A29stdlife+$E443),('PTRM input'!$H$171*(1+rvanilla02)^0.5)-SUM($H443:AB443),('PTRM input'!$H$171*(1+rvanilla02)^0.5)/A29stdlife))</f>
        <v>0</v>
      </c>
      <c r="AD443" s="107">
        <f>IF(A29stdlife="n/a","n/a",IF(AD$3&gt;(A29stdlife+$E443),('PTRM input'!$H$171*(1+rvanilla02)^0.5)-SUM($H443:AC443),('PTRM input'!$H$171*(1+rvanilla02)^0.5)/A29stdlife))</f>
        <v>0</v>
      </c>
      <c r="AE443" s="107">
        <f>IF(A29stdlife="n/a","n/a",IF(AE$3&gt;(A29stdlife+$E443),('PTRM input'!$H$171*(1+rvanilla02)^0.5)-SUM($H443:AD443),('PTRM input'!$H$171*(1+rvanilla02)^0.5)/A29stdlife))</f>
        <v>0</v>
      </c>
      <c r="AF443" s="107">
        <f>IF(A29stdlife="n/a","n/a",IF(AF$3&gt;(A29stdlife+$E443),('PTRM input'!$H$171*(1+rvanilla02)^0.5)-SUM($H443:AE443),('PTRM input'!$H$171*(1+rvanilla02)^0.5)/A29stdlife))</f>
        <v>0</v>
      </c>
      <c r="AG443" s="107">
        <f>IF(A29stdlife="n/a","n/a",IF(AG$3&gt;(A29stdlife+$E443),('PTRM input'!$H$171*(1+rvanilla02)^0.5)-SUM($H443:AF443),('PTRM input'!$H$171*(1+rvanilla02)^0.5)/A29stdlife))</f>
        <v>0</v>
      </c>
      <c r="AH443" s="107">
        <f>IF(A29stdlife="n/a","n/a",IF(AH$3&gt;(A29stdlife+$E443),('PTRM input'!$H$171*(1+rvanilla02)^0.5)-SUM($H443:AG443),('PTRM input'!$H$171*(1+rvanilla02)^0.5)/A29stdlife))</f>
        <v>0</v>
      </c>
      <c r="AI443" s="107">
        <f>IF(A29stdlife="n/a","n/a",IF(AI$3&gt;(A29stdlife+$E443),('PTRM input'!$H$171*(1+rvanilla02)^0.5)-SUM($H443:AH443),('PTRM input'!$H$171*(1+rvanilla02)^0.5)/A29stdlife))</f>
        <v>0</v>
      </c>
      <c r="AJ443" s="107">
        <f>IF(A29stdlife="n/a","n/a",IF(AJ$3&gt;(A29stdlife+$E443),('PTRM input'!$H$171*(1+rvanilla02)^0.5)-SUM($H443:AI443),('PTRM input'!$H$171*(1+rvanilla02)^0.5)/A29stdlife))</f>
        <v>0</v>
      </c>
      <c r="AK443" s="107">
        <f>IF(A29stdlife="n/a","n/a",IF(AK$3&gt;(A29stdlife+$E443),('PTRM input'!$H$171*(1+rvanilla02)^0.5)-SUM($H443:AJ443),('PTRM input'!$H$171*(1+rvanilla02)^0.5)/A29stdlife))</f>
        <v>0</v>
      </c>
      <c r="AL443" s="107">
        <f>IF(A29stdlife="n/a","n/a",IF(AL$3&gt;(A29stdlife+$E443),('PTRM input'!$H$171*(1+rvanilla02)^0.5)-SUM($H443:AK443),('PTRM input'!$H$171*(1+rvanilla02)^0.5)/A29stdlife))</f>
        <v>0</v>
      </c>
      <c r="AM443" s="107">
        <f>IF(A29stdlife="n/a","n/a",IF(AM$3&gt;(A29stdlife+$E443),('PTRM input'!$H$171*(1+rvanilla02)^0.5)-SUM($H443:AL443),('PTRM input'!$H$171*(1+rvanilla02)^0.5)/A29stdlife))</f>
        <v>0</v>
      </c>
      <c r="AN443" s="107">
        <f>IF(A29stdlife="n/a","n/a",IF(AN$3&gt;(A29stdlife+$E443),('PTRM input'!$H$171*(1+rvanilla02)^0.5)-SUM($H443:AM443),('PTRM input'!$H$171*(1+rvanilla02)^0.5)/A29stdlife))</f>
        <v>0</v>
      </c>
      <c r="AO443" s="107">
        <f>IF(A29stdlife="n/a","n/a",IF(AO$3&gt;(A29stdlife+$E443),('PTRM input'!$H$171*(1+rvanilla02)^0.5)-SUM($H443:AN443),('PTRM input'!$H$171*(1+rvanilla02)^0.5)/A29stdlife))</f>
        <v>0</v>
      </c>
      <c r="AP443" s="107">
        <f>IF(A29stdlife="n/a","n/a",IF(AP$3&gt;(A29stdlife+$E443),('PTRM input'!$H$171*(1+rvanilla02)^0.5)-SUM($H443:AO443),('PTRM input'!$H$171*(1+rvanilla02)^0.5)/A29stdlife))</f>
        <v>0</v>
      </c>
      <c r="AQ443" s="107">
        <f>IF(A29stdlife="n/a","n/a",IF(AQ$3&gt;(A29stdlife+$E443),('PTRM input'!$H$171*(1+rvanilla02)^0.5)-SUM($H443:AP443),('PTRM input'!$H$171*(1+rvanilla02)^0.5)/A29stdlife))</f>
        <v>0</v>
      </c>
      <c r="AR443" s="107">
        <f>IF(A29stdlife="n/a","n/a",IF(AR$3&gt;(A29stdlife+$E443),('PTRM input'!$H$171*(1+rvanilla02)^0.5)-SUM($H443:AQ443),('PTRM input'!$H$171*(1+rvanilla02)^0.5)/A29stdlife))</f>
        <v>0</v>
      </c>
      <c r="AS443" s="107">
        <f>IF(A29stdlife="n/a","n/a",IF(AS$3&gt;(A29stdlife+$E443),('PTRM input'!$H$171*(1+rvanilla02)^0.5)-SUM($H443:AR443),('PTRM input'!$H$171*(1+rvanilla02)^0.5)/A29stdlife))</f>
        <v>0</v>
      </c>
      <c r="AT443" s="107">
        <f>IF(A29stdlife="n/a","n/a",IF(AT$3&gt;(A29stdlife+$E443),('PTRM input'!$H$171*(1+rvanilla02)^0.5)-SUM($H443:AS443),('PTRM input'!$H$171*(1+rvanilla02)^0.5)/A29stdlife))</f>
        <v>0</v>
      </c>
      <c r="AU443" s="107">
        <f>IF(A29stdlife="n/a","n/a",IF(AU$3&gt;(A29stdlife+$E443),('PTRM input'!$H$171*(1+rvanilla02)^0.5)-SUM($H443:AT443),('PTRM input'!$H$171*(1+rvanilla02)^0.5)/A29stdlife))</f>
        <v>0</v>
      </c>
      <c r="AV443" s="107">
        <f>IF(A29stdlife="n/a","n/a",IF(AV$3&gt;(A29stdlife+$E443),('PTRM input'!$H$171*(1+rvanilla02)^0.5)-SUM($H443:AU443),('PTRM input'!$H$171*(1+rvanilla02)^0.5)/A29stdlife))</f>
        <v>0</v>
      </c>
      <c r="AW443" s="107">
        <f>IF(A29stdlife="n/a","n/a",IF(AW$3&gt;(A29stdlife+$E443),('PTRM input'!$H$171*(1+rvanilla02)^0.5)-SUM($H443:AV443),('PTRM input'!$H$171*(1+rvanilla02)^0.5)/A29stdlife))</f>
        <v>0</v>
      </c>
      <c r="AX443" s="107">
        <f>IF(A29stdlife="n/a","n/a",IF(AX$3&gt;(A29stdlife+$E443),('PTRM input'!$H$171*(1+rvanilla02)^0.5)-SUM($H443:AW443),('PTRM input'!$H$171*(1+rvanilla02)^0.5)/A29stdlife))</f>
        <v>0</v>
      </c>
      <c r="AY443" s="107">
        <f>IF(A29stdlife="n/a","n/a",IF(AY$3&gt;(A29stdlife+$E443),('PTRM input'!$H$171*(1+rvanilla02)^0.5)-SUM($H443:AX443),('PTRM input'!$H$171*(1+rvanilla02)^0.5)/A29stdlife))</f>
        <v>0</v>
      </c>
      <c r="AZ443" s="107">
        <f>IF(A29stdlife="n/a","n/a",IF(AZ$3&gt;(A29stdlife+$E443),('PTRM input'!$H$171*(1+rvanilla02)^0.5)-SUM($H443:AY443),('PTRM input'!$H$171*(1+rvanilla02)^0.5)/A29stdlife))</f>
        <v>0</v>
      </c>
      <c r="BA443" s="107">
        <f>IF(A29stdlife="n/a","n/a",IF(BA$3&gt;(A29stdlife+$E443),('PTRM input'!$H$171*(1+rvanilla02)^0.5)-SUM($H443:AZ443),('PTRM input'!$H$171*(1+rvanilla02)^0.5)/A29stdlife))</f>
        <v>0</v>
      </c>
      <c r="BB443" s="107">
        <f>IF(A29stdlife="n/a","n/a",IF(BB$3&gt;(A29stdlife+$E443),('PTRM input'!$H$171*(1+rvanilla02)^0.5)-SUM($H443:BA443),('PTRM input'!$H$171*(1+rvanilla02)^0.5)/A29stdlife))</f>
        <v>0</v>
      </c>
      <c r="BC443" s="107">
        <f>IF(A29stdlife="n/a","n/a",IF(BC$3&gt;(A29stdlife+$E443),('PTRM input'!$H$171*(1+rvanilla02)^0.5)-SUM($H443:BB443),('PTRM input'!$H$171*(1+rvanilla02)^0.5)/A29stdlife))</f>
        <v>0</v>
      </c>
      <c r="BD443" s="107">
        <f>IF(A29stdlife="n/a","n/a",IF(BD$3&gt;(A29stdlife+$E443),('PTRM input'!$H$171*(1+rvanilla02)^0.5)-SUM($H443:BC443),('PTRM input'!$H$171*(1+rvanilla02)^0.5)/A29stdlife))</f>
        <v>0</v>
      </c>
      <c r="BE443" s="107">
        <f>IF(A29stdlife="n/a","n/a",IF(BE$3&gt;(A29stdlife+$E443),('PTRM input'!$H$171*(1+rvanilla02)^0.5)-SUM($H443:BD443),('PTRM input'!$H$171*(1+rvanilla02)^0.5)/A29stdlife))</f>
        <v>0</v>
      </c>
      <c r="BF443" s="107">
        <f>IF(A29stdlife="n/a","n/a",IF(BF$3&gt;(A29stdlife+$E443),('PTRM input'!$H$171*(1+rvanilla02)^0.5)-SUM($H443:BE443),('PTRM input'!$H$171*(1+rvanilla02)^0.5)/A29stdlife))</f>
        <v>0</v>
      </c>
      <c r="BG443" s="107">
        <f>IF(A29stdlife="n/a","n/a",IF(BG$3&gt;(A29stdlife+$E443),('PTRM input'!$H$171*(1+rvanilla02)^0.5)-SUM($H443:BF443),('PTRM input'!$H$171*(1+rvanilla02)^0.5)/A29stdlife))</f>
        <v>0</v>
      </c>
      <c r="BH443" s="107">
        <f>IF(A29stdlife="n/a","n/a",IF(BH$3&gt;(A29stdlife+$E443),('PTRM input'!$H$171*(1+rvanilla02)^0.5)-SUM($H443:BG443),('PTRM input'!$H$171*(1+rvanilla02)^0.5)/A29stdlife))</f>
        <v>0</v>
      </c>
      <c r="BI443" s="107">
        <f>IF(A29stdlife="n/a","n/a",IF(BI$3&gt;(A29stdlife+$E443),('PTRM input'!$H$171*(1+rvanilla02)^0.5)-SUM($H443:BH443),('PTRM input'!$H$171*(1+rvanilla02)^0.5)/A29stdlife))</f>
        <v>0</v>
      </c>
      <c r="BJ443" s="237"/>
      <c r="BK443" s="237"/>
      <c r="BL443" s="237"/>
      <c r="BM443" s="237"/>
    </row>
    <row r="444" spans="1:65" s="190" customFormat="1" hidden="1" outlineLevel="2">
      <c r="A444" s="237"/>
      <c r="B444" s="33"/>
      <c r="C444" s="32"/>
      <c r="D444" s="1618"/>
      <c r="E444" s="169">
        <v>3</v>
      </c>
      <c r="F444" s="35"/>
      <c r="G444" s="184"/>
      <c r="H444" s="186"/>
      <c r="I444" s="185"/>
      <c r="J444" s="107">
        <f>IF(A29stdlife="n/a","n/a",IF(J$3&gt;(A29stdlife+$E444),('PTRM input'!$I$171*(1+rvanilla03)^0.5)-SUM($I444:I444),('PTRM input'!$I$171*(1+rvanilla03)^0.5)/A29stdlife))</f>
        <v>0</v>
      </c>
      <c r="K444" s="107">
        <f>IF(A29stdlife="n/a","n/a",IF(K$3&gt;(A29stdlife+$E444),('PTRM input'!$I$171*(1+rvanilla03)^0.5)-SUM($I444:J444),('PTRM input'!$I$171*(1+rvanilla03)^0.5)/A29stdlife))</f>
        <v>0</v>
      </c>
      <c r="L444" s="107">
        <f>IF(A29stdlife="n/a","n/a",IF(L$3&gt;(A29stdlife+$E444),('PTRM input'!$I$171*(1+rvanilla03)^0.5)-SUM($I444:K444),('PTRM input'!$I$171*(1+rvanilla03)^0.5)/A29stdlife))</f>
        <v>0</v>
      </c>
      <c r="M444" s="107">
        <f>IF(A29stdlife="n/a","n/a",IF(M$3&gt;(A29stdlife+$E444),('PTRM input'!$I$171*(1+rvanilla03)^0.5)-SUM($I444:L444),('PTRM input'!$I$171*(1+rvanilla03)^0.5)/A29stdlife))</f>
        <v>0</v>
      </c>
      <c r="N444" s="107">
        <f>IF(A29stdlife="n/a","n/a",IF(N$3&gt;(A29stdlife+$E444),('PTRM input'!$I$171*(1+rvanilla03)^0.5)-SUM($I444:M444),('PTRM input'!$I$171*(1+rvanilla03)^0.5)/A29stdlife))</f>
        <v>0</v>
      </c>
      <c r="O444" s="107">
        <f>IF(A29stdlife="n/a","n/a",IF(O$3&gt;(A29stdlife+$E444),('PTRM input'!$I$171*(1+rvanilla03)^0.5)-SUM($I444:N444),('PTRM input'!$I$171*(1+rvanilla03)^0.5)/A29stdlife))</f>
        <v>0</v>
      </c>
      <c r="P444" s="107">
        <f>IF(A29stdlife="n/a","n/a",IF(P$3&gt;(A29stdlife+$E444),('PTRM input'!$I$171*(1+rvanilla03)^0.5)-SUM($I444:O444),('PTRM input'!$I$171*(1+rvanilla03)^0.5)/A29stdlife))</f>
        <v>0</v>
      </c>
      <c r="Q444" s="107">
        <f>IF(A29stdlife="n/a","n/a",IF(Q$3&gt;(A29stdlife+$E444),('PTRM input'!$I$171*(1+rvanilla03)^0.5)-SUM($I444:P444),('PTRM input'!$I$171*(1+rvanilla03)^0.5)/A29stdlife))</f>
        <v>0</v>
      </c>
      <c r="R444" s="107">
        <f>IF(A29stdlife="n/a","n/a",IF(R$3&gt;(A29stdlife+$E444),('PTRM input'!$I$171*(1+rvanilla03)^0.5)-SUM($I444:Q444),('PTRM input'!$I$171*(1+rvanilla03)^0.5)/A29stdlife))</f>
        <v>0</v>
      </c>
      <c r="S444" s="107">
        <f>IF(A29stdlife="n/a","n/a",IF(S$3&gt;(A29stdlife+$E444),('PTRM input'!$I$171*(1+rvanilla03)^0.5)-SUM($I444:R444),('PTRM input'!$I$171*(1+rvanilla03)^0.5)/A29stdlife))</f>
        <v>0</v>
      </c>
      <c r="T444" s="107">
        <f>IF(A29stdlife="n/a","n/a",IF(T$3&gt;(A29stdlife+$E444),('PTRM input'!$I$171*(1+rvanilla03)^0.5)-SUM($I444:S444),('PTRM input'!$I$171*(1+rvanilla03)^0.5)/A29stdlife))</f>
        <v>0</v>
      </c>
      <c r="U444" s="107">
        <f>IF(A29stdlife="n/a","n/a",IF(U$3&gt;(A29stdlife+$E444),('PTRM input'!$I$171*(1+rvanilla03)^0.5)-SUM($I444:T444),('PTRM input'!$I$171*(1+rvanilla03)^0.5)/A29stdlife))</f>
        <v>0</v>
      </c>
      <c r="V444" s="107">
        <f>IF(A29stdlife="n/a","n/a",IF(V$3&gt;(A29stdlife+$E444),('PTRM input'!$I$171*(1+rvanilla03)^0.5)-SUM($I444:U444),('PTRM input'!$I$171*(1+rvanilla03)^0.5)/A29stdlife))</f>
        <v>0</v>
      </c>
      <c r="W444" s="107">
        <f>IF(A29stdlife="n/a","n/a",IF(W$3&gt;(A29stdlife+$E444),('PTRM input'!$I$171*(1+rvanilla03)^0.5)-SUM($I444:V444),('PTRM input'!$I$171*(1+rvanilla03)^0.5)/A29stdlife))</f>
        <v>0</v>
      </c>
      <c r="X444" s="107">
        <f>IF(A29stdlife="n/a","n/a",IF(X$3&gt;(A29stdlife+$E444),('PTRM input'!$I$171*(1+rvanilla03)^0.5)-SUM($I444:W444),('PTRM input'!$I$171*(1+rvanilla03)^0.5)/A29stdlife))</f>
        <v>0</v>
      </c>
      <c r="Y444" s="107">
        <f>IF(A29stdlife="n/a","n/a",IF(Y$3&gt;(A29stdlife+$E444),('PTRM input'!$I$171*(1+rvanilla03)^0.5)-SUM($I444:X444),('PTRM input'!$I$171*(1+rvanilla03)^0.5)/A29stdlife))</f>
        <v>0</v>
      </c>
      <c r="Z444" s="107">
        <f>IF(A29stdlife="n/a","n/a",IF(Z$3&gt;(A29stdlife+$E444),('PTRM input'!$I$171*(1+rvanilla03)^0.5)-SUM($I444:Y444),('PTRM input'!$I$171*(1+rvanilla03)^0.5)/A29stdlife))</f>
        <v>0</v>
      </c>
      <c r="AA444" s="107">
        <f>IF(A29stdlife="n/a","n/a",IF(AA$3&gt;(A29stdlife+$E444),('PTRM input'!$I$171*(1+rvanilla03)^0.5)-SUM($I444:Z444),('PTRM input'!$I$171*(1+rvanilla03)^0.5)/A29stdlife))</f>
        <v>0</v>
      </c>
      <c r="AB444" s="107">
        <f>IF(A29stdlife="n/a","n/a",IF(AB$3&gt;(A29stdlife+$E444),('PTRM input'!$I$171*(1+rvanilla03)^0.5)-SUM($I444:AA444),('PTRM input'!$I$171*(1+rvanilla03)^0.5)/A29stdlife))</f>
        <v>0</v>
      </c>
      <c r="AC444" s="107">
        <f>IF(A29stdlife="n/a","n/a",IF(AC$3&gt;(A29stdlife+$E444),('PTRM input'!$I$171*(1+rvanilla03)^0.5)-SUM($I444:AB444),('PTRM input'!$I$171*(1+rvanilla03)^0.5)/A29stdlife))</f>
        <v>0</v>
      </c>
      <c r="AD444" s="107">
        <f>IF(A29stdlife="n/a","n/a",IF(AD$3&gt;(A29stdlife+$E444),('PTRM input'!$I$171*(1+rvanilla03)^0.5)-SUM($I444:AC444),('PTRM input'!$I$171*(1+rvanilla03)^0.5)/A29stdlife))</f>
        <v>0</v>
      </c>
      <c r="AE444" s="107">
        <f>IF(A29stdlife="n/a","n/a",IF(AE$3&gt;(A29stdlife+$E444),('PTRM input'!$I$171*(1+rvanilla03)^0.5)-SUM($I444:AD444),('PTRM input'!$I$171*(1+rvanilla03)^0.5)/A29stdlife))</f>
        <v>0</v>
      </c>
      <c r="AF444" s="107">
        <f>IF(A29stdlife="n/a","n/a",IF(AF$3&gt;(A29stdlife+$E444),('PTRM input'!$I$171*(1+rvanilla03)^0.5)-SUM($I444:AE444),('PTRM input'!$I$171*(1+rvanilla03)^0.5)/A29stdlife))</f>
        <v>0</v>
      </c>
      <c r="AG444" s="107">
        <f>IF(A29stdlife="n/a","n/a",IF(AG$3&gt;(A29stdlife+$E444),('PTRM input'!$I$171*(1+rvanilla03)^0.5)-SUM($I444:AF444),('PTRM input'!$I$171*(1+rvanilla03)^0.5)/A29stdlife))</f>
        <v>0</v>
      </c>
      <c r="AH444" s="107">
        <f>IF(A29stdlife="n/a","n/a",IF(AH$3&gt;(A29stdlife+$E444),('PTRM input'!$I$171*(1+rvanilla03)^0.5)-SUM($I444:AG444),('PTRM input'!$I$171*(1+rvanilla03)^0.5)/A29stdlife))</f>
        <v>0</v>
      </c>
      <c r="AI444" s="107">
        <f>IF(A29stdlife="n/a","n/a",IF(AI$3&gt;(A29stdlife+$E444),('PTRM input'!$I$171*(1+rvanilla03)^0.5)-SUM($I444:AH444),('PTRM input'!$I$171*(1+rvanilla03)^0.5)/A29stdlife))</f>
        <v>0</v>
      </c>
      <c r="AJ444" s="107">
        <f>IF(A29stdlife="n/a","n/a",IF(AJ$3&gt;(A29stdlife+$E444),('PTRM input'!$I$171*(1+rvanilla03)^0.5)-SUM($I444:AI444),('PTRM input'!$I$171*(1+rvanilla03)^0.5)/A29stdlife))</f>
        <v>0</v>
      </c>
      <c r="AK444" s="107">
        <f>IF(A29stdlife="n/a","n/a",IF(AK$3&gt;(A29stdlife+$E444),('PTRM input'!$I$171*(1+rvanilla03)^0.5)-SUM($I444:AJ444),('PTRM input'!$I$171*(1+rvanilla03)^0.5)/A29stdlife))</f>
        <v>0</v>
      </c>
      <c r="AL444" s="107">
        <f>IF(A29stdlife="n/a","n/a",IF(AL$3&gt;(A29stdlife+$E444),('PTRM input'!$I$171*(1+rvanilla03)^0.5)-SUM($I444:AK444),('PTRM input'!$I$171*(1+rvanilla03)^0.5)/A29stdlife))</f>
        <v>0</v>
      </c>
      <c r="AM444" s="107">
        <f>IF(A29stdlife="n/a","n/a",IF(AM$3&gt;(A29stdlife+$E444),('PTRM input'!$I$171*(1+rvanilla03)^0.5)-SUM($I444:AL444),('PTRM input'!$I$171*(1+rvanilla03)^0.5)/A29stdlife))</f>
        <v>0</v>
      </c>
      <c r="AN444" s="107">
        <f>IF(A29stdlife="n/a","n/a",IF(AN$3&gt;(A29stdlife+$E444),('PTRM input'!$I$171*(1+rvanilla03)^0.5)-SUM($I444:AM444),('PTRM input'!$I$171*(1+rvanilla03)^0.5)/A29stdlife))</f>
        <v>0</v>
      </c>
      <c r="AO444" s="107">
        <f>IF(A29stdlife="n/a","n/a",IF(AO$3&gt;(A29stdlife+$E444),('PTRM input'!$I$171*(1+rvanilla03)^0.5)-SUM($I444:AN444),('PTRM input'!$I$171*(1+rvanilla03)^0.5)/A29stdlife))</f>
        <v>0</v>
      </c>
      <c r="AP444" s="107">
        <f>IF(A29stdlife="n/a","n/a",IF(AP$3&gt;(A29stdlife+$E444),('PTRM input'!$I$171*(1+rvanilla03)^0.5)-SUM($I444:AO444),('PTRM input'!$I$171*(1+rvanilla03)^0.5)/A29stdlife))</f>
        <v>0</v>
      </c>
      <c r="AQ444" s="107">
        <f>IF(A29stdlife="n/a","n/a",IF(AQ$3&gt;(A29stdlife+$E444),('PTRM input'!$I$171*(1+rvanilla03)^0.5)-SUM($I444:AP444),('PTRM input'!$I$171*(1+rvanilla03)^0.5)/A29stdlife))</f>
        <v>0</v>
      </c>
      <c r="AR444" s="107">
        <f>IF(A29stdlife="n/a","n/a",IF(AR$3&gt;(A29stdlife+$E444),('PTRM input'!$I$171*(1+rvanilla03)^0.5)-SUM($I444:AQ444),('PTRM input'!$I$171*(1+rvanilla03)^0.5)/A29stdlife))</f>
        <v>0</v>
      </c>
      <c r="AS444" s="107">
        <f>IF(A29stdlife="n/a","n/a",IF(AS$3&gt;(A29stdlife+$E444),('PTRM input'!$I$171*(1+rvanilla03)^0.5)-SUM($I444:AR444),('PTRM input'!$I$171*(1+rvanilla03)^0.5)/A29stdlife))</f>
        <v>0</v>
      </c>
      <c r="AT444" s="107">
        <f>IF(A29stdlife="n/a","n/a",IF(AT$3&gt;(A29stdlife+$E444),('PTRM input'!$I$171*(1+rvanilla03)^0.5)-SUM($I444:AS444),('PTRM input'!$I$171*(1+rvanilla03)^0.5)/A29stdlife))</f>
        <v>0</v>
      </c>
      <c r="AU444" s="107">
        <f>IF(A29stdlife="n/a","n/a",IF(AU$3&gt;(A29stdlife+$E444),('PTRM input'!$I$171*(1+rvanilla03)^0.5)-SUM($I444:AT444),('PTRM input'!$I$171*(1+rvanilla03)^0.5)/A29stdlife))</f>
        <v>0</v>
      </c>
      <c r="AV444" s="107">
        <f>IF(A29stdlife="n/a","n/a",IF(AV$3&gt;(A29stdlife+$E444),('PTRM input'!$I$171*(1+rvanilla03)^0.5)-SUM($I444:AU444),('PTRM input'!$I$171*(1+rvanilla03)^0.5)/A29stdlife))</f>
        <v>0</v>
      </c>
      <c r="AW444" s="107">
        <f>IF(A29stdlife="n/a","n/a",IF(AW$3&gt;(A29stdlife+$E444),('PTRM input'!$I$171*(1+rvanilla03)^0.5)-SUM($I444:AV444),('PTRM input'!$I$171*(1+rvanilla03)^0.5)/A29stdlife))</f>
        <v>0</v>
      </c>
      <c r="AX444" s="107">
        <f>IF(A29stdlife="n/a","n/a",IF(AX$3&gt;(A29stdlife+$E444),('PTRM input'!$I$171*(1+rvanilla03)^0.5)-SUM($I444:AW444),('PTRM input'!$I$171*(1+rvanilla03)^0.5)/A29stdlife))</f>
        <v>0</v>
      </c>
      <c r="AY444" s="107">
        <f>IF(A29stdlife="n/a","n/a",IF(AY$3&gt;(A29stdlife+$E444),('PTRM input'!$I$171*(1+rvanilla03)^0.5)-SUM($I444:AX444),('PTRM input'!$I$171*(1+rvanilla03)^0.5)/A29stdlife))</f>
        <v>0</v>
      </c>
      <c r="AZ444" s="107">
        <f>IF(A29stdlife="n/a","n/a",IF(AZ$3&gt;(A29stdlife+$E444),('PTRM input'!$I$171*(1+rvanilla03)^0.5)-SUM($I444:AY444),('PTRM input'!$I$171*(1+rvanilla03)^0.5)/A29stdlife))</f>
        <v>0</v>
      </c>
      <c r="BA444" s="107">
        <f>IF(A29stdlife="n/a","n/a",IF(BA$3&gt;(A29stdlife+$E444),('PTRM input'!$I$171*(1+rvanilla03)^0.5)-SUM($I444:AZ444),('PTRM input'!$I$171*(1+rvanilla03)^0.5)/A29stdlife))</f>
        <v>0</v>
      </c>
      <c r="BB444" s="107">
        <f>IF(A29stdlife="n/a","n/a",IF(BB$3&gt;(A29stdlife+$E444),('PTRM input'!$I$171*(1+rvanilla03)^0.5)-SUM($I444:BA444),('PTRM input'!$I$171*(1+rvanilla03)^0.5)/A29stdlife))</f>
        <v>0</v>
      </c>
      <c r="BC444" s="107">
        <f>IF(A29stdlife="n/a","n/a",IF(BC$3&gt;(A29stdlife+$E444),('PTRM input'!$I$171*(1+rvanilla03)^0.5)-SUM($I444:BB444),('PTRM input'!$I$171*(1+rvanilla03)^0.5)/A29stdlife))</f>
        <v>0</v>
      </c>
      <c r="BD444" s="107">
        <f>IF(A29stdlife="n/a","n/a",IF(BD$3&gt;(A29stdlife+$E444),('PTRM input'!$I$171*(1+rvanilla03)^0.5)-SUM($I444:BC444),('PTRM input'!$I$171*(1+rvanilla03)^0.5)/A29stdlife))</f>
        <v>0</v>
      </c>
      <c r="BE444" s="107">
        <f>IF(A29stdlife="n/a","n/a",IF(BE$3&gt;(A29stdlife+$E444),('PTRM input'!$I$171*(1+rvanilla03)^0.5)-SUM($I444:BD444),('PTRM input'!$I$171*(1+rvanilla03)^0.5)/A29stdlife))</f>
        <v>0</v>
      </c>
      <c r="BF444" s="107">
        <f>IF(A29stdlife="n/a","n/a",IF(BF$3&gt;(A29stdlife+$E444),('PTRM input'!$I$171*(1+rvanilla03)^0.5)-SUM($I444:BE444),('PTRM input'!$I$171*(1+rvanilla03)^0.5)/A29stdlife))</f>
        <v>0</v>
      </c>
      <c r="BG444" s="107">
        <f>IF(A29stdlife="n/a","n/a",IF(BG$3&gt;(A29stdlife+$E444),('PTRM input'!$I$171*(1+rvanilla03)^0.5)-SUM($I444:BF444),('PTRM input'!$I$171*(1+rvanilla03)^0.5)/A29stdlife))</f>
        <v>0</v>
      </c>
      <c r="BH444" s="107">
        <f>IF(A29stdlife="n/a","n/a",IF(BH$3&gt;(A29stdlife+$E444),('PTRM input'!$I$171*(1+rvanilla03)^0.5)-SUM($I444:BG444),('PTRM input'!$I$171*(1+rvanilla03)^0.5)/A29stdlife))</f>
        <v>0</v>
      </c>
      <c r="BI444" s="107">
        <f>IF(A29stdlife="n/a","n/a",IF(BI$3&gt;(A29stdlife+$E444),('PTRM input'!$I$171*(1+rvanilla03)^0.5)-SUM($I444:BH444),('PTRM input'!$I$171*(1+rvanilla03)^0.5)/A29stdlife))</f>
        <v>0</v>
      </c>
      <c r="BJ444" s="237"/>
      <c r="BK444" s="237"/>
      <c r="BL444" s="237"/>
      <c r="BM444" s="237"/>
    </row>
    <row r="445" spans="1:65" s="190" customFormat="1" hidden="1" outlineLevel="2">
      <c r="A445" s="237"/>
      <c r="B445" s="33"/>
      <c r="C445" s="32"/>
      <c r="D445" s="1618"/>
      <c r="E445" s="169">
        <v>4</v>
      </c>
      <c r="F445" s="35"/>
      <c r="G445" s="184"/>
      <c r="H445" s="186"/>
      <c r="I445" s="186"/>
      <c r="J445" s="185"/>
      <c r="K445" s="107">
        <f>IF(A29stdlife="n/a","n/a",IF(K$3&gt;(A29stdlife+$E445),('PTRM input'!$J$171*(1+rvanilla04)^0.5)-SUM($J445:J445),('PTRM input'!$J$171*(1+rvanilla04)^0.5)/A29stdlife))</f>
        <v>0</v>
      </c>
      <c r="L445" s="107">
        <f>IF(A29stdlife="n/a","n/a",IF(L$3&gt;(A29stdlife+$E445),('PTRM input'!$J$171*(1+rvanilla04)^0.5)-SUM($J445:K445),('PTRM input'!$J$171*(1+rvanilla04)^0.5)/A29stdlife))</f>
        <v>0</v>
      </c>
      <c r="M445" s="107">
        <f>IF(A29stdlife="n/a","n/a",IF(M$3&gt;(A29stdlife+$E445),('PTRM input'!$J$171*(1+rvanilla04)^0.5)-SUM($J445:L445),('PTRM input'!$J$171*(1+rvanilla04)^0.5)/A29stdlife))</f>
        <v>0</v>
      </c>
      <c r="N445" s="107">
        <f>IF(A29stdlife="n/a","n/a",IF(N$3&gt;(A29stdlife+$E445),('PTRM input'!$J$171*(1+rvanilla04)^0.5)-SUM($J445:M445),('PTRM input'!$J$171*(1+rvanilla04)^0.5)/A29stdlife))</f>
        <v>0</v>
      </c>
      <c r="O445" s="107">
        <f>IF(A29stdlife="n/a","n/a",IF(O$3&gt;(A29stdlife+$E445),('PTRM input'!$J$171*(1+rvanilla04)^0.5)-SUM($J445:N445),('PTRM input'!$J$171*(1+rvanilla04)^0.5)/A29stdlife))</f>
        <v>0</v>
      </c>
      <c r="P445" s="107">
        <f>IF(A29stdlife="n/a","n/a",IF(P$3&gt;(A29stdlife+$E445),('PTRM input'!$J$171*(1+rvanilla04)^0.5)-SUM($J445:O445),('PTRM input'!$J$171*(1+rvanilla04)^0.5)/A29stdlife))</f>
        <v>0</v>
      </c>
      <c r="Q445" s="107">
        <f>IF(A29stdlife="n/a","n/a",IF(Q$3&gt;(A29stdlife+$E445),('PTRM input'!$J$171*(1+rvanilla04)^0.5)-SUM($J445:P445),('PTRM input'!$J$171*(1+rvanilla04)^0.5)/A29stdlife))</f>
        <v>0</v>
      </c>
      <c r="R445" s="107">
        <f>IF(A29stdlife="n/a","n/a",IF(R$3&gt;(A29stdlife+$E445),('PTRM input'!$J$171*(1+rvanilla04)^0.5)-SUM($J445:Q445),('PTRM input'!$J$171*(1+rvanilla04)^0.5)/A29stdlife))</f>
        <v>0</v>
      </c>
      <c r="S445" s="107">
        <f>IF(A29stdlife="n/a","n/a",IF(S$3&gt;(A29stdlife+$E445),('PTRM input'!$J$171*(1+rvanilla04)^0.5)-SUM($J445:R445),('PTRM input'!$J$171*(1+rvanilla04)^0.5)/A29stdlife))</f>
        <v>0</v>
      </c>
      <c r="T445" s="107">
        <f>IF(A29stdlife="n/a","n/a",IF(T$3&gt;(A29stdlife+$E445),('PTRM input'!$J$171*(1+rvanilla04)^0.5)-SUM($J445:S445),('PTRM input'!$J$171*(1+rvanilla04)^0.5)/A29stdlife))</f>
        <v>0</v>
      </c>
      <c r="U445" s="107">
        <f>IF(A29stdlife="n/a","n/a",IF(U$3&gt;(A29stdlife+$E445),('PTRM input'!$J$171*(1+rvanilla04)^0.5)-SUM($J445:T445),('PTRM input'!$J$171*(1+rvanilla04)^0.5)/A29stdlife))</f>
        <v>0</v>
      </c>
      <c r="V445" s="107">
        <f>IF(A29stdlife="n/a","n/a",IF(V$3&gt;(A29stdlife+$E445),('PTRM input'!$J$171*(1+rvanilla04)^0.5)-SUM($J445:U445),('PTRM input'!$J$171*(1+rvanilla04)^0.5)/A29stdlife))</f>
        <v>0</v>
      </c>
      <c r="W445" s="107">
        <f>IF(A29stdlife="n/a","n/a",IF(W$3&gt;(A29stdlife+$E445),('PTRM input'!$J$171*(1+rvanilla04)^0.5)-SUM($J445:V445),('PTRM input'!$J$171*(1+rvanilla04)^0.5)/A29stdlife))</f>
        <v>0</v>
      </c>
      <c r="X445" s="107">
        <f>IF(A29stdlife="n/a","n/a",IF(X$3&gt;(A29stdlife+$E445),('PTRM input'!$J$171*(1+rvanilla04)^0.5)-SUM($J445:W445),('PTRM input'!$J$171*(1+rvanilla04)^0.5)/A29stdlife))</f>
        <v>0</v>
      </c>
      <c r="Y445" s="107">
        <f>IF(A29stdlife="n/a","n/a",IF(Y$3&gt;(A29stdlife+$E445),('PTRM input'!$J$171*(1+rvanilla04)^0.5)-SUM($J445:X445),('PTRM input'!$J$171*(1+rvanilla04)^0.5)/A29stdlife))</f>
        <v>0</v>
      </c>
      <c r="Z445" s="107">
        <f>IF(A29stdlife="n/a","n/a",IF(Z$3&gt;(A29stdlife+$E445),('PTRM input'!$J$171*(1+rvanilla04)^0.5)-SUM($J445:Y445),('PTRM input'!$J$171*(1+rvanilla04)^0.5)/A29stdlife))</f>
        <v>0</v>
      </c>
      <c r="AA445" s="107">
        <f>IF(A29stdlife="n/a","n/a",IF(AA$3&gt;(A29stdlife+$E445),('PTRM input'!$J$171*(1+rvanilla04)^0.5)-SUM($J445:Z445),('PTRM input'!$J$171*(1+rvanilla04)^0.5)/A29stdlife))</f>
        <v>0</v>
      </c>
      <c r="AB445" s="107">
        <f>IF(A29stdlife="n/a","n/a",IF(AB$3&gt;(A29stdlife+$E445),('PTRM input'!$J$171*(1+rvanilla04)^0.5)-SUM($J445:AA445),('PTRM input'!$J$171*(1+rvanilla04)^0.5)/A29stdlife))</f>
        <v>0</v>
      </c>
      <c r="AC445" s="107">
        <f>IF(A29stdlife="n/a","n/a",IF(AC$3&gt;(A29stdlife+$E445),('PTRM input'!$J$171*(1+rvanilla04)^0.5)-SUM($J445:AB445),('PTRM input'!$J$171*(1+rvanilla04)^0.5)/A29stdlife))</f>
        <v>0</v>
      </c>
      <c r="AD445" s="107">
        <f>IF(A29stdlife="n/a","n/a",IF(AD$3&gt;(A29stdlife+$E445),('PTRM input'!$J$171*(1+rvanilla04)^0.5)-SUM($J445:AC445),('PTRM input'!$J$171*(1+rvanilla04)^0.5)/A29stdlife))</f>
        <v>0</v>
      </c>
      <c r="AE445" s="107">
        <f>IF(A29stdlife="n/a","n/a",IF(AE$3&gt;(A29stdlife+$E445),('PTRM input'!$J$171*(1+rvanilla04)^0.5)-SUM($J445:AD445),('PTRM input'!$J$171*(1+rvanilla04)^0.5)/A29stdlife))</f>
        <v>0</v>
      </c>
      <c r="AF445" s="107">
        <f>IF(A29stdlife="n/a","n/a",IF(AF$3&gt;(A29stdlife+$E445),('PTRM input'!$J$171*(1+rvanilla04)^0.5)-SUM($J445:AE445),('PTRM input'!$J$171*(1+rvanilla04)^0.5)/A29stdlife))</f>
        <v>0</v>
      </c>
      <c r="AG445" s="107">
        <f>IF(A29stdlife="n/a","n/a",IF(AG$3&gt;(A29stdlife+$E445),('PTRM input'!$J$171*(1+rvanilla04)^0.5)-SUM($J445:AF445),('PTRM input'!$J$171*(1+rvanilla04)^0.5)/A29stdlife))</f>
        <v>0</v>
      </c>
      <c r="AH445" s="107">
        <f>IF(A29stdlife="n/a","n/a",IF(AH$3&gt;(A29stdlife+$E445),('PTRM input'!$J$171*(1+rvanilla04)^0.5)-SUM($J445:AG445),('PTRM input'!$J$171*(1+rvanilla04)^0.5)/A29stdlife))</f>
        <v>0</v>
      </c>
      <c r="AI445" s="107">
        <f>IF(A29stdlife="n/a","n/a",IF(AI$3&gt;(A29stdlife+$E445),('PTRM input'!$J$171*(1+rvanilla04)^0.5)-SUM($J445:AH445),('PTRM input'!$J$171*(1+rvanilla04)^0.5)/A29stdlife))</f>
        <v>0</v>
      </c>
      <c r="AJ445" s="107">
        <f>IF(A29stdlife="n/a","n/a",IF(AJ$3&gt;(A29stdlife+$E445),('PTRM input'!$J$171*(1+rvanilla04)^0.5)-SUM($J445:AI445),('PTRM input'!$J$171*(1+rvanilla04)^0.5)/A29stdlife))</f>
        <v>0</v>
      </c>
      <c r="AK445" s="107">
        <f>IF(A29stdlife="n/a","n/a",IF(AK$3&gt;(A29stdlife+$E445),('PTRM input'!$J$171*(1+rvanilla04)^0.5)-SUM($J445:AJ445),('PTRM input'!$J$171*(1+rvanilla04)^0.5)/A29stdlife))</f>
        <v>0</v>
      </c>
      <c r="AL445" s="107">
        <f>IF(A29stdlife="n/a","n/a",IF(AL$3&gt;(A29stdlife+$E445),('PTRM input'!$J$171*(1+rvanilla04)^0.5)-SUM($J445:AK445),('PTRM input'!$J$171*(1+rvanilla04)^0.5)/A29stdlife))</f>
        <v>0</v>
      </c>
      <c r="AM445" s="107">
        <f>IF(A29stdlife="n/a","n/a",IF(AM$3&gt;(A29stdlife+$E445),('PTRM input'!$J$171*(1+rvanilla04)^0.5)-SUM($J445:AL445),('PTRM input'!$J$171*(1+rvanilla04)^0.5)/A29stdlife))</f>
        <v>0</v>
      </c>
      <c r="AN445" s="107">
        <f>IF(A29stdlife="n/a","n/a",IF(AN$3&gt;(A29stdlife+$E445),('PTRM input'!$J$171*(1+rvanilla04)^0.5)-SUM($J445:AM445),('PTRM input'!$J$171*(1+rvanilla04)^0.5)/A29stdlife))</f>
        <v>0</v>
      </c>
      <c r="AO445" s="107">
        <f>IF(A29stdlife="n/a","n/a",IF(AO$3&gt;(A29stdlife+$E445),('PTRM input'!$J$171*(1+rvanilla04)^0.5)-SUM($J445:AN445),('PTRM input'!$J$171*(1+rvanilla04)^0.5)/A29stdlife))</f>
        <v>0</v>
      </c>
      <c r="AP445" s="107">
        <f>IF(A29stdlife="n/a","n/a",IF(AP$3&gt;(A29stdlife+$E445),('PTRM input'!$J$171*(1+rvanilla04)^0.5)-SUM($J445:AO445),('PTRM input'!$J$171*(1+rvanilla04)^0.5)/A29stdlife))</f>
        <v>0</v>
      </c>
      <c r="AQ445" s="107">
        <f>IF(A29stdlife="n/a","n/a",IF(AQ$3&gt;(A29stdlife+$E445),('PTRM input'!$J$171*(1+rvanilla04)^0.5)-SUM($J445:AP445),('PTRM input'!$J$171*(1+rvanilla04)^0.5)/A29stdlife))</f>
        <v>0</v>
      </c>
      <c r="AR445" s="107">
        <f>IF(A29stdlife="n/a","n/a",IF(AR$3&gt;(A29stdlife+$E445),('PTRM input'!$J$171*(1+rvanilla04)^0.5)-SUM($J445:AQ445),('PTRM input'!$J$171*(1+rvanilla04)^0.5)/A29stdlife))</f>
        <v>0</v>
      </c>
      <c r="AS445" s="107">
        <f>IF(A29stdlife="n/a","n/a",IF(AS$3&gt;(A29stdlife+$E445),('PTRM input'!$J$171*(1+rvanilla04)^0.5)-SUM($J445:AR445),('PTRM input'!$J$171*(1+rvanilla04)^0.5)/A29stdlife))</f>
        <v>0</v>
      </c>
      <c r="AT445" s="107">
        <f>IF(A29stdlife="n/a","n/a",IF(AT$3&gt;(A29stdlife+$E445),('PTRM input'!$J$171*(1+rvanilla04)^0.5)-SUM($J445:AS445),('PTRM input'!$J$171*(1+rvanilla04)^0.5)/A29stdlife))</f>
        <v>0</v>
      </c>
      <c r="AU445" s="107">
        <f>IF(A29stdlife="n/a","n/a",IF(AU$3&gt;(A29stdlife+$E445),('PTRM input'!$J$171*(1+rvanilla04)^0.5)-SUM($J445:AT445),('PTRM input'!$J$171*(1+rvanilla04)^0.5)/A29stdlife))</f>
        <v>0</v>
      </c>
      <c r="AV445" s="107">
        <f>IF(A29stdlife="n/a","n/a",IF(AV$3&gt;(A29stdlife+$E445),('PTRM input'!$J$171*(1+rvanilla04)^0.5)-SUM($J445:AU445),('PTRM input'!$J$171*(1+rvanilla04)^0.5)/A29stdlife))</f>
        <v>0</v>
      </c>
      <c r="AW445" s="107">
        <f>IF(A29stdlife="n/a","n/a",IF(AW$3&gt;(A29stdlife+$E445),('PTRM input'!$J$171*(1+rvanilla04)^0.5)-SUM($J445:AV445),('PTRM input'!$J$171*(1+rvanilla04)^0.5)/A29stdlife))</f>
        <v>0</v>
      </c>
      <c r="AX445" s="107">
        <f>IF(A29stdlife="n/a","n/a",IF(AX$3&gt;(A29stdlife+$E445),('PTRM input'!$J$171*(1+rvanilla04)^0.5)-SUM($J445:AW445),('PTRM input'!$J$171*(1+rvanilla04)^0.5)/A29stdlife))</f>
        <v>0</v>
      </c>
      <c r="AY445" s="107">
        <f>IF(A29stdlife="n/a","n/a",IF(AY$3&gt;(A29stdlife+$E445),('PTRM input'!$J$171*(1+rvanilla04)^0.5)-SUM($J445:AX445),('PTRM input'!$J$171*(1+rvanilla04)^0.5)/A29stdlife))</f>
        <v>0</v>
      </c>
      <c r="AZ445" s="107">
        <f>IF(A29stdlife="n/a","n/a",IF(AZ$3&gt;(A29stdlife+$E445),('PTRM input'!$J$171*(1+rvanilla04)^0.5)-SUM($J445:AY445),('PTRM input'!$J$171*(1+rvanilla04)^0.5)/A29stdlife))</f>
        <v>0</v>
      </c>
      <c r="BA445" s="107">
        <f>IF(A29stdlife="n/a","n/a",IF(BA$3&gt;(A29stdlife+$E445),('PTRM input'!$J$171*(1+rvanilla04)^0.5)-SUM($J445:AZ445),('PTRM input'!$J$171*(1+rvanilla04)^0.5)/A29stdlife))</f>
        <v>0</v>
      </c>
      <c r="BB445" s="107">
        <f>IF(A29stdlife="n/a","n/a",IF(BB$3&gt;(A29stdlife+$E445),('PTRM input'!$J$171*(1+rvanilla04)^0.5)-SUM($J445:BA445),('PTRM input'!$J$171*(1+rvanilla04)^0.5)/A29stdlife))</f>
        <v>0</v>
      </c>
      <c r="BC445" s="107">
        <f>IF(A29stdlife="n/a","n/a",IF(BC$3&gt;(A29stdlife+$E445),('PTRM input'!$J$171*(1+rvanilla04)^0.5)-SUM($J445:BB445),('PTRM input'!$J$171*(1+rvanilla04)^0.5)/A29stdlife))</f>
        <v>0</v>
      </c>
      <c r="BD445" s="107">
        <f>IF(A29stdlife="n/a","n/a",IF(BD$3&gt;(A29stdlife+$E445),('PTRM input'!$J$171*(1+rvanilla04)^0.5)-SUM($J445:BC445),('PTRM input'!$J$171*(1+rvanilla04)^0.5)/A29stdlife))</f>
        <v>0</v>
      </c>
      <c r="BE445" s="107">
        <f>IF(A29stdlife="n/a","n/a",IF(BE$3&gt;(A29stdlife+$E445),('PTRM input'!$J$171*(1+rvanilla04)^0.5)-SUM($J445:BD445),('PTRM input'!$J$171*(1+rvanilla04)^0.5)/A29stdlife))</f>
        <v>0</v>
      </c>
      <c r="BF445" s="107">
        <f>IF(A29stdlife="n/a","n/a",IF(BF$3&gt;(A29stdlife+$E445),('PTRM input'!$J$171*(1+rvanilla04)^0.5)-SUM($J445:BE445),('PTRM input'!$J$171*(1+rvanilla04)^0.5)/A29stdlife))</f>
        <v>0</v>
      </c>
      <c r="BG445" s="107">
        <f>IF(A29stdlife="n/a","n/a",IF(BG$3&gt;(A29stdlife+$E445),('PTRM input'!$J$171*(1+rvanilla04)^0.5)-SUM($J445:BF445),('PTRM input'!$J$171*(1+rvanilla04)^0.5)/A29stdlife))</f>
        <v>0</v>
      </c>
      <c r="BH445" s="107">
        <f>IF(A29stdlife="n/a","n/a",IF(BH$3&gt;(A29stdlife+$E445),('PTRM input'!$J$171*(1+rvanilla04)^0.5)-SUM($J445:BG445),('PTRM input'!$J$171*(1+rvanilla04)^0.5)/A29stdlife))</f>
        <v>0</v>
      </c>
      <c r="BI445" s="107">
        <f>IF(A29stdlife="n/a","n/a",IF(BI$3&gt;(A29stdlife+$E445),('PTRM input'!$J$171*(1+rvanilla04)^0.5)-SUM($J445:BH445),('PTRM input'!$J$171*(1+rvanilla04)^0.5)/A29stdlife))</f>
        <v>0</v>
      </c>
      <c r="BJ445" s="237"/>
      <c r="BK445" s="237"/>
      <c r="BL445" s="237"/>
      <c r="BM445" s="237"/>
    </row>
    <row r="446" spans="1:65" s="190" customFormat="1" hidden="1" outlineLevel="2">
      <c r="A446" s="237"/>
      <c r="B446" s="33"/>
      <c r="C446" s="32"/>
      <c r="D446" s="1618"/>
      <c r="E446" s="169">
        <v>5</v>
      </c>
      <c r="F446" s="35"/>
      <c r="G446" s="184"/>
      <c r="H446" s="186"/>
      <c r="I446" s="186"/>
      <c r="J446" s="186"/>
      <c r="K446" s="185"/>
      <c r="L446" s="107">
        <f>IF(A29stdlife="n/a","n/a",IF(L$3&gt;(A29stdlife+$E446),('PTRM input'!$K$171*(1+rvanilla05)^0.5)-SUM($K446:K446),('PTRM input'!$K$171*(1+rvanilla05)^0.5)/A29stdlife))</f>
        <v>0</v>
      </c>
      <c r="M446" s="107">
        <f>IF(A29stdlife="n/a","n/a",IF(M$3&gt;(A29stdlife+$E446),('PTRM input'!$K$171*(1+rvanilla05)^0.5)-SUM($K446:L446),('PTRM input'!$K$171*(1+rvanilla05)^0.5)/A29stdlife))</f>
        <v>0</v>
      </c>
      <c r="N446" s="107">
        <f>IF(A29stdlife="n/a","n/a",IF(N$3&gt;(A29stdlife+$E446),('PTRM input'!$K$171*(1+rvanilla05)^0.5)-SUM($K446:M446),('PTRM input'!$K$171*(1+rvanilla05)^0.5)/A29stdlife))</f>
        <v>0</v>
      </c>
      <c r="O446" s="107">
        <f>IF(A29stdlife="n/a","n/a",IF(O$3&gt;(A29stdlife+$E446),('PTRM input'!$K$171*(1+rvanilla05)^0.5)-SUM($K446:N446),('PTRM input'!$K$171*(1+rvanilla05)^0.5)/A29stdlife))</f>
        <v>0</v>
      </c>
      <c r="P446" s="107">
        <f>IF(A29stdlife="n/a","n/a",IF(P$3&gt;(A29stdlife+$E446),('PTRM input'!$K$171*(1+rvanilla05)^0.5)-SUM($K446:O446),('PTRM input'!$K$171*(1+rvanilla05)^0.5)/A29stdlife))</f>
        <v>0</v>
      </c>
      <c r="Q446" s="107">
        <f>IF(A29stdlife="n/a","n/a",IF(Q$3&gt;(A29stdlife+$E446),('PTRM input'!$K$171*(1+rvanilla05)^0.5)-SUM($K446:P446),('PTRM input'!$K$171*(1+rvanilla05)^0.5)/A29stdlife))</f>
        <v>0</v>
      </c>
      <c r="R446" s="107">
        <f>IF(A29stdlife="n/a","n/a",IF(R$3&gt;(A29stdlife+$E446),('PTRM input'!$K$171*(1+rvanilla05)^0.5)-SUM($K446:Q446),('PTRM input'!$K$171*(1+rvanilla05)^0.5)/A29stdlife))</f>
        <v>0</v>
      </c>
      <c r="S446" s="107">
        <f>IF(A29stdlife="n/a","n/a",IF(S$3&gt;(A29stdlife+$E446),('PTRM input'!$K$171*(1+rvanilla05)^0.5)-SUM($K446:R446),('PTRM input'!$K$171*(1+rvanilla05)^0.5)/A29stdlife))</f>
        <v>0</v>
      </c>
      <c r="T446" s="107">
        <f>IF(A29stdlife="n/a","n/a",IF(T$3&gt;(A29stdlife+$E446),('PTRM input'!$K$171*(1+rvanilla05)^0.5)-SUM($K446:S446),('PTRM input'!$K$171*(1+rvanilla05)^0.5)/A29stdlife))</f>
        <v>0</v>
      </c>
      <c r="U446" s="107">
        <f>IF(A29stdlife="n/a","n/a",IF(U$3&gt;(A29stdlife+$E446),('PTRM input'!$K$171*(1+rvanilla05)^0.5)-SUM($K446:T446),('PTRM input'!$K$171*(1+rvanilla05)^0.5)/A29stdlife))</f>
        <v>0</v>
      </c>
      <c r="V446" s="107">
        <f>IF(A29stdlife="n/a","n/a",IF(V$3&gt;(A29stdlife+$E446),('PTRM input'!$K$171*(1+rvanilla05)^0.5)-SUM($K446:U446),('PTRM input'!$K$171*(1+rvanilla05)^0.5)/A29stdlife))</f>
        <v>0</v>
      </c>
      <c r="W446" s="107">
        <f>IF(A29stdlife="n/a","n/a",IF(W$3&gt;(A29stdlife+$E446),('PTRM input'!$K$171*(1+rvanilla05)^0.5)-SUM($K446:V446),('PTRM input'!$K$171*(1+rvanilla05)^0.5)/A29stdlife))</f>
        <v>0</v>
      </c>
      <c r="X446" s="107">
        <f>IF(A29stdlife="n/a","n/a",IF(X$3&gt;(A29stdlife+$E446),('PTRM input'!$K$171*(1+rvanilla05)^0.5)-SUM($K446:W446),('PTRM input'!$K$171*(1+rvanilla05)^0.5)/A29stdlife))</f>
        <v>0</v>
      </c>
      <c r="Y446" s="107">
        <f>IF(A29stdlife="n/a","n/a",IF(Y$3&gt;(A29stdlife+$E446),('PTRM input'!$K$171*(1+rvanilla05)^0.5)-SUM($K446:X446),('PTRM input'!$K$171*(1+rvanilla05)^0.5)/A29stdlife))</f>
        <v>0</v>
      </c>
      <c r="Z446" s="107">
        <f>IF(A29stdlife="n/a","n/a",IF(Z$3&gt;(A29stdlife+$E446),('PTRM input'!$K$171*(1+rvanilla05)^0.5)-SUM($K446:Y446),('PTRM input'!$K$171*(1+rvanilla05)^0.5)/A29stdlife))</f>
        <v>0</v>
      </c>
      <c r="AA446" s="107">
        <f>IF(A29stdlife="n/a","n/a",IF(AA$3&gt;(A29stdlife+$E446),('PTRM input'!$K$171*(1+rvanilla05)^0.5)-SUM($K446:Z446),('PTRM input'!$K$171*(1+rvanilla05)^0.5)/A29stdlife))</f>
        <v>0</v>
      </c>
      <c r="AB446" s="107">
        <f>IF(A29stdlife="n/a","n/a",IF(AB$3&gt;(A29stdlife+$E446),('PTRM input'!$K$171*(1+rvanilla05)^0.5)-SUM($K446:AA446),('PTRM input'!$K$171*(1+rvanilla05)^0.5)/A29stdlife))</f>
        <v>0</v>
      </c>
      <c r="AC446" s="107">
        <f>IF(A29stdlife="n/a","n/a",IF(AC$3&gt;(A29stdlife+$E446),('PTRM input'!$K$171*(1+rvanilla05)^0.5)-SUM($K446:AB446),('PTRM input'!$K$171*(1+rvanilla05)^0.5)/A29stdlife))</f>
        <v>0</v>
      </c>
      <c r="AD446" s="107">
        <f>IF(A29stdlife="n/a","n/a",IF(AD$3&gt;(A29stdlife+$E446),('PTRM input'!$K$171*(1+rvanilla05)^0.5)-SUM($K446:AC446),('PTRM input'!$K$171*(1+rvanilla05)^0.5)/A29stdlife))</f>
        <v>0</v>
      </c>
      <c r="AE446" s="107">
        <f>IF(A29stdlife="n/a","n/a",IF(AE$3&gt;(A29stdlife+$E446),('PTRM input'!$K$171*(1+rvanilla05)^0.5)-SUM($K446:AD446),('PTRM input'!$K$171*(1+rvanilla05)^0.5)/A29stdlife))</f>
        <v>0</v>
      </c>
      <c r="AF446" s="107">
        <f>IF(A29stdlife="n/a","n/a",IF(AF$3&gt;(A29stdlife+$E446),('PTRM input'!$K$171*(1+rvanilla05)^0.5)-SUM($K446:AE446),('PTRM input'!$K$171*(1+rvanilla05)^0.5)/A29stdlife))</f>
        <v>0</v>
      </c>
      <c r="AG446" s="107">
        <f>IF(A29stdlife="n/a","n/a",IF(AG$3&gt;(A29stdlife+$E446),('PTRM input'!$K$171*(1+rvanilla05)^0.5)-SUM($K446:AF446),('PTRM input'!$K$171*(1+rvanilla05)^0.5)/A29stdlife))</f>
        <v>0</v>
      </c>
      <c r="AH446" s="107">
        <f>IF(A29stdlife="n/a","n/a",IF(AH$3&gt;(A29stdlife+$E446),('PTRM input'!$K$171*(1+rvanilla05)^0.5)-SUM($K446:AG446),('PTRM input'!$K$171*(1+rvanilla05)^0.5)/A29stdlife))</f>
        <v>0</v>
      </c>
      <c r="AI446" s="107">
        <f>IF(A29stdlife="n/a","n/a",IF(AI$3&gt;(A29stdlife+$E446),('PTRM input'!$K$171*(1+rvanilla05)^0.5)-SUM($K446:AH446),('PTRM input'!$K$171*(1+rvanilla05)^0.5)/A29stdlife))</f>
        <v>0</v>
      </c>
      <c r="AJ446" s="107">
        <f>IF(A29stdlife="n/a","n/a",IF(AJ$3&gt;(A29stdlife+$E446),('PTRM input'!$K$171*(1+rvanilla05)^0.5)-SUM($K446:AI446),('PTRM input'!$K$171*(1+rvanilla05)^0.5)/A29stdlife))</f>
        <v>0</v>
      </c>
      <c r="AK446" s="107">
        <f>IF(A29stdlife="n/a","n/a",IF(AK$3&gt;(A29stdlife+$E446),('PTRM input'!$K$171*(1+rvanilla05)^0.5)-SUM($K446:AJ446),('PTRM input'!$K$171*(1+rvanilla05)^0.5)/A29stdlife))</f>
        <v>0</v>
      </c>
      <c r="AL446" s="107">
        <f>IF(A29stdlife="n/a","n/a",IF(AL$3&gt;(A29stdlife+$E446),('PTRM input'!$K$171*(1+rvanilla05)^0.5)-SUM($K446:AK446),('PTRM input'!$K$171*(1+rvanilla05)^0.5)/A29stdlife))</f>
        <v>0</v>
      </c>
      <c r="AM446" s="107">
        <f>IF(A29stdlife="n/a","n/a",IF(AM$3&gt;(A29stdlife+$E446),('PTRM input'!$K$171*(1+rvanilla05)^0.5)-SUM($K446:AL446),('PTRM input'!$K$171*(1+rvanilla05)^0.5)/A29stdlife))</f>
        <v>0</v>
      </c>
      <c r="AN446" s="107">
        <f>IF(A29stdlife="n/a","n/a",IF(AN$3&gt;(A29stdlife+$E446),('PTRM input'!$K$171*(1+rvanilla05)^0.5)-SUM($K446:AM446),('PTRM input'!$K$171*(1+rvanilla05)^0.5)/A29stdlife))</f>
        <v>0</v>
      </c>
      <c r="AO446" s="107">
        <f>IF(A29stdlife="n/a","n/a",IF(AO$3&gt;(A29stdlife+$E446),('PTRM input'!$K$171*(1+rvanilla05)^0.5)-SUM($K446:AN446),('PTRM input'!$K$171*(1+rvanilla05)^0.5)/A29stdlife))</f>
        <v>0</v>
      </c>
      <c r="AP446" s="107">
        <f>IF(A29stdlife="n/a","n/a",IF(AP$3&gt;(A29stdlife+$E446),('PTRM input'!$K$171*(1+rvanilla05)^0.5)-SUM($K446:AO446),('PTRM input'!$K$171*(1+rvanilla05)^0.5)/A29stdlife))</f>
        <v>0</v>
      </c>
      <c r="AQ446" s="107">
        <f>IF(A29stdlife="n/a","n/a",IF(AQ$3&gt;(A29stdlife+$E446),('PTRM input'!$K$171*(1+rvanilla05)^0.5)-SUM($K446:AP446),('PTRM input'!$K$171*(1+rvanilla05)^0.5)/A29stdlife))</f>
        <v>0</v>
      </c>
      <c r="AR446" s="107">
        <f>IF(A29stdlife="n/a","n/a",IF(AR$3&gt;(A29stdlife+$E446),('PTRM input'!$K$171*(1+rvanilla05)^0.5)-SUM($K446:AQ446),('PTRM input'!$K$171*(1+rvanilla05)^0.5)/A29stdlife))</f>
        <v>0</v>
      </c>
      <c r="AS446" s="107">
        <f>IF(A29stdlife="n/a","n/a",IF(AS$3&gt;(A29stdlife+$E446),('PTRM input'!$K$171*(1+rvanilla05)^0.5)-SUM($K446:AR446),('PTRM input'!$K$171*(1+rvanilla05)^0.5)/A29stdlife))</f>
        <v>0</v>
      </c>
      <c r="AT446" s="107">
        <f>IF(A29stdlife="n/a","n/a",IF(AT$3&gt;(A29stdlife+$E446),('PTRM input'!$K$171*(1+rvanilla05)^0.5)-SUM($K446:AS446),('PTRM input'!$K$171*(1+rvanilla05)^0.5)/A29stdlife))</f>
        <v>0</v>
      </c>
      <c r="AU446" s="107">
        <f>IF(A29stdlife="n/a","n/a",IF(AU$3&gt;(A29stdlife+$E446),('PTRM input'!$K$171*(1+rvanilla05)^0.5)-SUM($K446:AT446),('PTRM input'!$K$171*(1+rvanilla05)^0.5)/A29stdlife))</f>
        <v>0</v>
      </c>
      <c r="AV446" s="107">
        <f>IF(A29stdlife="n/a","n/a",IF(AV$3&gt;(A29stdlife+$E446),('PTRM input'!$K$171*(1+rvanilla05)^0.5)-SUM($K446:AU446),('PTRM input'!$K$171*(1+rvanilla05)^0.5)/A29stdlife))</f>
        <v>0</v>
      </c>
      <c r="AW446" s="107">
        <f>IF(A29stdlife="n/a","n/a",IF(AW$3&gt;(A29stdlife+$E446),('PTRM input'!$K$171*(1+rvanilla05)^0.5)-SUM($K446:AV446),('PTRM input'!$K$171*(1+rvanilla05)^0.5)/A29stdlife))</f>
        <v>0</v>
      </c>
      <c r="AX446" s="107">
        <f>IF(A29stdlife="n/a","n/a",IF(AX$3&gt;(A29stdlife+$E446),('PTRM input'!$K$171*(1+rvanilla05)^0.5)-SUM($K446:AW446),('PTRM input'!$K$171*(1+rvanilla05)^0.5)/A29stdlife))</f>
        <v>0</v>
      </c>
      <c r="AY446" s="107">
        <f>IF(A29stdlife="n/a","n/a",IF(AY$3&gt;(A29stdlife+$E446),('PTRM input'!$K$171*(1+rvanilla05)^0.5)-SUM($K446:AX446),('PTRM input'!$K$171*(1+rvanilla05)^0.5)/A29stdlife))</f>
        <v>0</v>
      </c>
      <c r="AZ446" s="107">
        <f>IF(A29stdlife="n/a","n/a",IF(AZ$3&gt;(A29stdlife+$E446),('PTRM input'!$K$171*(1+rvanilla05)^0.5)-SUM($K446:AY446),('PTRM input'!$K$171*(1+rvanilla05)^0.5)/A29stdlife))</f>
        <v>0</v>
      </c>
      <c r="BA446" s="107">
        <f>IF(A29stdlife="n/a","n/a",IF(BA$3&gt;(A29stdlife+$E446),('PTRM input'!$K$171*(1+rvanilla05)^0.5)-SUM($K446:AZ446),('PTRM input'!$K$171*(1+rvanilla05)^0.5)/A29stdlife))</f>
        <v>0</v>
      </c>
      <c r="BB446" s="107">
        <f>IF(A29stdlife="n/a","n/a",IF(BB$3&gt;(A29stdlife+$E446),('PTRM input'!$K$171*(1+rvanilla05)^0.5)-SUM($K446:BA446),('PTRM input'!$K$171*(1+rvanilla05)^0.5)/A29stdlife))</f>
        <v>0</v>
      </c>
      <c r="BC446" s="107">
        <f>IF(A29stdlife="n/a","n/a",IF(BC$3&gt;(A29stdlife+$E446),('PTRM input'!$K$171*(1+rvanilla05)^0.5)-SUM($K446:BB446),('PTRM input'!$K$171*(1+rvanilla05)^0.5)/A29stdlife))</f>
        <v>0</v>
      </c>
      <c r="BD446" s="107">
        <f>IF(A29stdlife="n/a","n/a",IF(BD$3&gt;(A29stdlife+$E446),('PTRM input'!$K$171*(1+rvanilla05)^0.5)-SUM($K446:BC446),('PTRM input'!$K$171*(1+rvanilla05)^0.5)/A29stdlife))</f>
        <v>0</v>
      </c>
      <c r="BE446" s="107">
        <f>IF(A29stdlife="n/a","n/a",IF(BE$3&gt;(A29stdlife+$E446),('PTRM input'!$K$171*(1+rvanilla05)^0.5)-SUM($K446:BD446),('PTRM input'!$K$171*(1+rvanilla05)^0.5)/A29stdlife))</f>
        <v>0</v>
      </c>
      <c r="BF446" s="107">
        <f>IF(A29stdlife="n/a","n/a",IF(BF$3&gt;(A29stdlife+$E446),('PTRM input'!$K$171*(1+rvanilla05)^0.5)-SUM($K446:BE446),('PTRM input'!$K$171*(1+rvanilla05)^0.5)/A29stdlife))</f>
        <v>0</v>
      </c>
      <c r="BG446" s="107">
        <f>IF(A29stdlife="n/a","n/a",IF(BG$3&gt;(A29stdlife+$E446),('PTRM input'!$K$171*(1+rvanilla05)^0.5)-SUM($K446:BF446),('PTRM input'!$K$171*(1+rvanilla05)^0.5)/A29stdlife))</f>
        <v>0</v>
      </c>
      <c r="BH446" s="107">
        <f>IF(A29stdlife="n/a","n/a",IF(BH$3&gt;(A29stdlife+$E446),('PTRM input'!$K$171*(1+rvanilla05)^0.5)-SUM($K446:BG446),('PTRM input'!$K$171*(1+rvanilla05)^0.5)/A29stdlife))</f>
        <v>0</v>
      </c>
      <c r="BI446" s="107">
        <f>IF(A29stdlife="n/a","n/a",IF(BI$3&gt;(A29stdlife+$E446),('PTRM input'!$K$171*(1+rvanilla05)^0.5)-SUM($K446:BH446),('PTRM input'!$K$171*(1+rvanilla05)^0.5)/A29stdlife))</f>
        <v>0</v>
      </c>
      <c r="BJ446" s="237"/>
      <c r="BK446" s="237"/>
      <c r="BL446" s="237"/>
      <c r="BM446" s="237"/>
    </row>
    <row r="447" spans="1:65" s="190" customFormat="1" hidden="1" outlineLevel="2">
      <c r="A447" s="237"/>
      <c r="B447" s="33"/>
      <c r="C447" s="32"/>
      <c r="D447" s="1618"/>
      <c r="E447" s="169">
        <v>6</v>
      </c>
      <c r="F447" s="35"/>
      <c r="G447" s="184"/>
      <c r="H447" s="186"/>
      <c r="I447" s="186"/>
      <c r="J447" s="186"/>
      <c r="K447" s="186"/>
      <c r="L447" s="185"/>
      <c r="M447" s="107">
        <f>IF(A29stdlife="n/a","n/a",IF(M$3&gt;(A29stdlife+$E447),('PTRM input'!$L$171*(1+rvanilla06)^0.5)-SUM($L447:L447),('PTRM input'!$L$171*(1+rvanilla06)^0.5)/A29stdlife))</f>
        <v>0</v>
      </c>
      <c r="N447" s="107">
        <f>IF(A29stdlife="n/a","n/a",IF(N$3&gt;(A29stdlife+$E447),('PTRM input'!$L$171*(1+rvanilla06)^0.5)-SUM($L447:M447),('PTRM input'!$L$171*(1+rvanilla06)^0.5)/A29stdlife))</f>
        <v>0</v>
      </c>
      <c r="O447" s="107">
        <f>IF(A29stdlife="n/a","n/a",IF(O$3&gt;(A29stdlife+$E447),('PTRM input'!$L$171*(1+rvanilla06)^0.5)-SUM($L447:N447),('PTRM input'!$L$171*(1+rvanilla06)^0.5)/A29stdlife))</f>
        <v>0</v>
      </c>
      <c r="P447" s="107">
        <f>IF(A29stdlife="n/a","n/a",IF(P$3&gt;(A29stdlife+$E447),('PTRM input'!$L$171*(1+rvanilla06)^0.5)-SUM($L447:O447),('PTRM input'!$L$171*(1+rvanilla06)^0.5)/A29stdlife))</f>
        <v>0</v>
      </c>
      <c r="Q447" s="107">
        <f>IF(A29stdlife="n/a","n/a",IF(Q$3&gt;(A29stdlife+$E447),('PTRM input'!$L$171*(1+rvanilla06)^0.5)-SUM($L447:P447),('PTRM input'!$L$171*(1+rvanilla06)^0.5)/A29stdlife))</f>
        <v>0</v>
      </c>
      <c r="R447" s="107">
        <f>IF(A29stdlife="n/a","n/a",IF(R$3&gt;(A29stdlife+$E447),('PTRM input'!$L$171*(1+rvanilla06)^0.5)-SUM($L447:Q447),('PTRM input'!$L$171*(1+rvanilla06)^0.5)/A29stdlife))</f>
        <v>0</v>
      </c>
      <c r="S447" s="107">
        <f>IF(A29stdlife="n/a","n/a",IF(S$3&gt;(A29stdlife+$E447),('PTRM input'!$L$171*(1+rvanilla06)^0.5)-SUM($L447:R447),('PTRM input'!$L$171*(1+rvanilla06)^0.5)/A29stdlife))</f>
        <v>0</v>
      </c>
      <c r="T447" s="107">
        <f>IF(A29stdlife="n/a","n/a",IF(T$3&gt;(A29stdlife+$E447),('PTRM input'!$L$171*(1+rvanilla06)^0.5)-SUM($L447:S447),('PTRM input'!$L$171*(1+rvanilla06)^0.5)/A29stdlife))</f>
        <v>0</v>
      </c>
      <c r="U447" s="107">
        <f>IF(A29stdlife="n/a","n/a",IF(U$3&gt;(A29stdlife+$E447),('PTRM input'!$L$171*(1+rvanilla06)^0.5)-SUM($L447:T447),('PTRM input'!$L$171*(1+rvanilla06)^0.5)/A29stdlife))</f>
        <v>0</v>
      </c>
      <c r="V447" s="107">
        <f>IF(A29stdlife="n/a","n/a",IF(V$3&gt;(A29stdlife+$E447),('PTRM input'!$L$171*(1+rvanilla06)^0.5)-SUM($L447:U447),('PTRM input'!$L$171*(1+rvanilla06)^0.5)/A29stdlife))</f>
        <v>0</v>
      </c>
      <c r="W447" s="107">
        <f>IF(A29stdlife="n/a","n/a",IF(W$3&gt;(A29stdlife+$E447),('PTRM input'!$L$171*(1+rvanilla06)^0.5)-SUM($L447:V447),('PTRM input'!$L$171*(1+rvanilla06)^0.5)/A29stdlife))</f>
        <v>0</v>
      </c>
      <c r="X447" s="107">
        <f>IF(A29stdlife="n/a","n/a",IF(X$3&gt;(A29stdlife+$E447),('PTRM input'!$L$171*(1+rvanilla06)^0.5)-SUM($L447:W447),('PTRM input'!$L$171*(1+rvanilla06)^0.5)/A29stdlife))</f>
        <v>0</v>
      </c>
      <c r="Y447" s="107">
        <f>IF(A29stdlife="n/a","n/a",IF(Y$3&gt;(A29stdlife+$E447),('PTRM input'!$L$171*(1+rvanilla06)^0.5)-SUM($L447:X447),('PTRM input'!$L$171*(1+rvanilla06)^0.5)/A29stdlife))</f>
        <v>0</v>
      </c>
      <c r="Z447" s="107">
        <f>IF(A29stdlife="n/a","n/a",IF(Z$3&gt;(A29stdlife+$E447),('PTRM input'!$L$171*(1+rvanilla06)^0.5)-SUM($L447:Y447),('PTRM input'!$L$171*(1+rvanilla06)^0.5)/A29stdlife))</f>
        <v>0</v>
      </c>
      <c r="AA447" s="107">
        <f>IF(A29stdlife="n/a","n/a",IF(AA$3&gt;(A29stdlife+$E447),('PTRM input'!$L$171*(1+rvanilla06)^0.5)-SUM($L447:Z447),('PTRM input'!$L$171*(1+rvanilla06)^0.5)/A29stdlife))</f>
        <v>0</v>
      </c>
      <c r="AB447" s="107">
        <f>IF(A29stdlife="n/a","n/a",IF(AB$3&gt;(A29stdlife+$E447),('PTRM input'!$L$171*(1+rvanilla06)^0.5)-SUM($L447:AA447),('PTRM input'!$L$171*(1+rvanilla06)^0.5)/A29stdlife))</f>
        <v>0</v>
      </c>
      <c r="AC447" s="107">
        <f>IF(A29stdlife="n/a","n/a",IF(AC$3&gt;(A29stdlife+$E447),('PTRM input'!$L$171*(1+rvanilla06)^0.5)-SUM($L447:AB447),('PTRM input'!$L$171*(1+rvanilla06)^0.5)/A29stdlife))</f>
        <v>0</v>
      </c>
      <c r="AD447" s="107">
        <f>IF(A29stdlife="n/a","n/a",IF(AD$3&gt;(A29stdlife+$E447),('PTRM input'!$L$171*(1+rvanilla06)^0.5)-SUM($L447:AC447),('PTRM input'!$L$171*(1+rvanilla06)^0.5)/A29stdlife))</f>
        <v>0</v>
      </c>
      <c r="AE447" s="107">
        <f>IF(A29stdlife="n/a","n/a",IF(AE$3&gt;(A29stdlife+$E447),('PTRM input'!$L$171*(1+rvanilla06)^0.5)-SUM($L447:AD447),('PTRM input'!$L$171*(1+rvanilla06)^0.5)/A29stdlife))</f>
        <v>0</v>
      </c>
      <c r="AF447" s="107">
        <f>IF(A29stdlife="n/a","n/a",IF(AF$3&gt;(A29stdlife+$E447),('PTRM input'!$L$171*(1+rvanilla06)^0.5)-SUM($L447:AE447),('PTRM input'!$L$171*(1+rvanilla06)^0.5)/A29stdlife))</f>
        <v>0</v>
      </c>
      <c r="AG447" s="107">
        <f>IF(A29stdlife="n/a","n/a",IF(AG$3&gt;(A29stdlife+$E447),('PTRM input'!$L$171*(1+rvanilla06)^0.5)-SUM($L447:AF447),('PTRM input'!$L$171*(1+rvanilla06)^0.5)/A29stdlife))</f>
        <v>0</v>
      </c>
      <c r="AH447" s="107">
        <f>IF(A29stdlife="n/a","n/a",IF(AH$3&gt;(A29stdlife+$E447),('PTRM input'!$L$171*(1+rvanilla06)^0.5)-SUM($L447:AG447),('PTRM input'!$L$171*(1+rvanilla06)^0.5)/A29stdlife))</f>
        <v>0</v>
      </c>
      <c r="AI447" s="107">
        <f>IF(A29stdlife="n/a","n/a",IF(AI$3&gt;(A29stdlife+$E447),('PTRM input'!$L$171*(1+rvanilla06)^0.5)-SUM($L447:AH447),('PTRM input'!$L$171*(1+rvanilla06)^0.5)/A29stdlife))</f>
        <v>0</v>
      </c>
      <c r="AJ447" s="107">
        <f>IF(A29stdlife="n/a","n/a",IF(AJ$3&gt;(A29stdlife+$E447),('PTRM input'!$L$171*(1+rvanilla06)^0.5)-SUM($L447:AI447),('PTRM input'!$L$171*(1+rvanilla06)^0.5)/A29stdlife))</f>
        <v>0</v>
      </c>
      <c r="AK447" s="107">
        <f>IF(A29stdlife="n/a","n/a",IF(AK$3&gt;(A29stdlife+$E447),('PTRM input'!$L$171*(1+rvanilla06)^0.5)-SUM($L447:AJ447),('PTRM input'!$L$171*(1+rvanilla06)^0.5)/A29stdlife))</f>
        <v>0</v>
      </c>
      <c r="AL447" s="107">
        <f>IF(A29stdlife="n/a","n/a",IF(AL$3&gt;(A29stdlife+$E447),('PTRM input'!$L$171*(1+rvanilla06)^0.5)-SUM($L447:AK447),('PTRM input'!$L$171*(1+rvanilla06)^0.5)/A29stdlife))</f>
        <v>0</v>
      </c>
      <c r="AM447" s="107">
        <f>IF(A29stdlife="n/a","n/a",IF(AM$3&gt;(A29stdlife+$E447),('PTRM input'!$L$171*(1+rvanilla06)^0.5)-SUM($L447:AL447),('PTRM input'!$L$171*(1+rvanilla06)^0.5)/A29stdlife))</f>
        <v>0</v>
      </c>
      <c r="AN447" s="107">
        <f>IF(A29stdlife="n/a","n/a",IF(AN$3&gt;(A29stdlife+$E447),('PTRM input'!$L$171*(1+rvanilla06)^0.5)-SUM($L447:AM447),('PTRM input'!$L$171*(1+rvanilla06)^0.5)/A29stdlife))</f>
        <v>0</v>
      </c>
      <c r="AO447" s="107">
        <f>IF(A29stdlife="n/a","n/a",IF(AO$3&gt;(A29stdlife+$E447),('PTRM input'!$L$171*(1+rvanilla06)^0.5)-SUM($L447:AN447),('PTRM input'!$L$171*(1+rvanilla06)^0.5)/A29stdlife))</f>
        <v>0</v>
      </c>
      <c r="AP447" s="107">
        <f>IF(A29stdlife="n/a","n/a",IF(AP$3&gt;(A29stdlife+$E447),('PTRM input'!$L$171*(1+rvanilla06)^0.5)-SUM($L447:AO447),('PTRM input'!$L$171*(1+rvanilla06)^0.5)/A29stdlife))</f>
        <v>0</v>
      </c>
      <c r="AQ447" s="107">
        <f>IF(A29stdlife="n/a","n/a",IF(AQ$3&gt;(A29stdlife+$E447),('PTRM input'!$L$171*(1+rvanilla06)^0.5)-SUM($L447:AP447),('PTRM input'!$L$171*(1+rvanilla06)^0.5)/A29stdlife))</f>
        <v>0</v>
      </c>
      <c r="AR447" s="107">
        <f>IF(A29stdlife="n/a","n/a",IF(AR$3&gt;(A29stdlife+$E447),('PTRM input'!$L$171*(1+rvanilla06)^0.5)-SUM($L447:AQ447),('PTRM input'!$L$171*(1+rvanilla06)^0.5)/A29stdlife))</f>
        <v>0</v>
      </c>
      <c r="AS447" s="107">
        <f>IF(A29stdlife="n/a","n/a",IF(AS$3&gt;(A29stdlife+$E447),('PTRM input'!$L$171*(1+rvanilla06)^0.5)-SUM($L447:AR447),('PTRM input'!$L$171*(1+rvanilla06)^0.5)/A29stdlife))</f>
        <v>0</v>
      </c>
      <c r="AT447" s="107">
        <f>IF(A29stdlife="n/a","n/a",IF(AT$3&gt;(A29stdlife+$E447),('PTRM input'!$L$171*(1+rvanilla06)^0.5)-SUM($L447:AS447),('PTRM input'!$L$171*(1+rvanilla06)^0.5)/A29stdlife))</f>
        <v>0</v>
      </c>
      <c r="AU447" s="107">
        <f>IF(A29stdlife="n/a","n/a",IF(AU$3&gt;(A29stdlife+$E447),('PTRM input'!$L$171*(1+rvanilla06)^0.5)-SUM($L447:AT447),('PTRM input'!$L$171*(1+rvanilla06)^0.5)/A29stdlife))</f>
        <v>0</v>
      </c>
      <c r="AV447" s="107">
        <f>IF(A29stdlife="n/a","n/a",IF(AV$3&gt;(A29stdlife+$E447),('PTRM input'!$L$171*(1+rvanilla06)^0.5)-SUM($L447:AU447),('PTRM input'!$L$171*(1+rvanilla06)^0.5)/A29stdlife))</f>
        <v>0</v>
      </c>
      <c r="AW447" s="107">
        <f>IF(A29stdlife="n/a","n/a",IF(AW$3&gt;(A29stdlife+$E447),('PTRM input'!$L$171*(1+rvanilla06)^0.5)-SUM($L447:AV447),('PTRM input'!$L$171*(1+rvanilla06)^0.5)/A29stdlife))</f>
        <v>0</v>
      </c>
      <c r="AX447" s="107">
        <f>IF(A29stdlife="n/a","n/a",IF(AX$3&gt;(A29stdlife+$E447),('PTRM input'!$L$171*(1+rvanilla06)^0.5)-SUM($L447:AW447),('PTRM input'!$L$171*(1+rvanilla06)^0.5)/A29stdlife))</f>
        <v>0</v>
      </c>
      <c r="AY447" s="107">
        <f>IF(A29stdlife="n/a","n/a",IF(AY$3&gt;(A29stdlife+$E447),('PTRM input'!$L$171*(1+rvanilla06)^0.5)-SUM($L447:AX447),('PTRM input'!$L$171*(1+rvanilla06)^0.5)/A29stdlife))</f>
        <v>0</v>
      </c>
      <c r="AZ447" s="107">
        <f>IF(A29stdlife="n/a","n/a",IF(AZ$3&gt;(A29stdlife+$E447),('PTRM input'!$L$171*(1+rvanilla06)^0.5)-SUM($L447:AY447),('PTRM input'!$L$171*(1+rvanilla06)^0.5)/A29stdlife))</f>
        <v>0</v>
      </c>
      <c r="BA447" s="107">
        <f>IF(A29stdlife="n/a","n/a",IF(BA$3&gt;(A29stdlife+$E447),('PTRM input'!$L$171*(1+rvanilla06)^0.5)-SUM($L447:AZ447),('PTRM input'!$L$171*(1+rvanilla06)^0.5)/A29stdlife))</f>
        <v>0</v>
      </c>
      <c r="BB447" s="107">
        <f>IF(A29stdlife="n/a","n/a",IF(BB$3&gt;(A29stdlife+$E447),('PTRM input'!$L$171*(1+rvanilla06)^0.5)-SUM($L447:BA447),('PTRM input'!$L$171*(1+rvanilla06)^0.5)/A29stdlife))</f>
        <v>0</v>
      </c>
      <c r="BC447" s="107">
        <f>IF(A29stdlife="n/a","n/a",IF(BC$3&gt;(A29stdlife+$E447),('PTRM input'!$L$171*(1+rvanilla06)^0.5)-SUM($L447:BB447),('PTRM input'!$L$171*(1+rvanilla06)^0.5)/A29stdlife))</f>
        <v>0</v>
      </c>
      <c r="BD447" s="107">
        <f>IF(A29stdlife="n/a","n/a",IF(BD$3&gt;(A29stdlife+$E447),('PTRM input'!$L$171*(1+rvanilla06)^0.5)-SUM($L447:BC447),('PTRM input'!$L$171*(1+rvanilla06)^0.5)/A29stdlife))</f>
        <v>0</v>
      </c>
      <c r="BE447" s="107">
        <f>IF(A29stdlife="n/a","n/a",IF(BE$3&gt;(A29stdlife+$E447),('PTRM input'!$L$171*(1+rvanilla06)^0.5)-SUM($L447:BD447),('PTRM input'!$L$171*(1+rvanilla06)^0.5)/A29stdlife))</f>
        <v>0</v>
      </c>
      <c r="BF447" s="107">
        <f>IF(A29stdlife="n/a","n/a",IF(BF$3&gt;(A29stdlife+$E447),('PTRM input'!$L$171*(1+rvanilla06)^0.5)-SUM($L447:BE447),('PTRM input'!$L$171*(1+rvanilla06)^0.5)/A29stdlife))</f>
        <v>0</v>
      </c>
      <c r="BG447" s="107">
        <f>IF(A29stdlife="n/a","n/a",IF(BG$3&gt;(A29stdlife+$E447),('PTRM input'!$L$171*(1+rvanilla06)^0.5)-SUM($L447:BF447),('PTRM input'!$L$171*(1+rvanilla06)^0.5)/A29stdlife))</f>
        <v>0</v>
      </c>
      <c r="BH447" s="107">
        <f>IF(A29stdlife="n/a","n/a",IF(BH$3&gt;(A29stdlife+$E447),('PTRM input'!$L$171*(1+rvanilla06)^0.5)-SUM($L447:BG447),('PTRM input'!$L$171*(1+rvanilla06)^0.5)/A29stdlife))</f>
        <v>0</v>
      </c>
      <c r="BI447" s="107">
        <f>IF(A29stdlife="n/a","n/a",IF(BI$3&gt;(A29stdlife+$E447),('PTRM input'!$L$171*(1+rvanilla06)^0.5)-SUM($L447:BH447),('PTRM input'!$L$171*(1+rvanilla06)^0.5)/A29stdlife))</f>
        <v>0</v>
      </c>
      <c r="BJ447" s="237"/>
      <c r="BK447" s="237"/>
      <c r="BL447" s="237"/>
      <c r="BM447" s="237"/>
    </row>
    <row r="448" spans="1:65" s="190" customFormat="1" hidden="1" outlineLevel="2">
      <c r="A448" s="237"/>
      <c r="B448" s="33"/>
      <c r="C448" s="32"/>
      <c r="D448" s="1618"/>
      <c r="E448" s="169">
        <v>7</v>
      </c>
      <c r="F448" s="35"/>
      <c r="G448" s="184"/>
      <c r="H448" s="186"/>
      <c r="I448" s="186"/>
      <c r="J448" s="186"/>
      <c r="K448" s="186"/>
      <c r="L448" s="186"/>
      <c r="M448" s="185"/>
      <c r="N448" s="107">
        <f>IF(A29stdlife="n/a","n/a",IF(N$3&gt;(A29stdlife+$E448),('PTRM input'!$M$171*(1+rvanilla07)^0.5)-SUM($M448:M448),('PTRM input'!$M$171*(1+rvanilla07)^0.5)/A29stdlife))</f>
        <v>0</v>
      </c>
      <c r="O448" s="107">
        <f>IF(A29stdlife="n/a","n/a",IF(O$3&gt;(A29stdlife+$E448),('PTRM input'!$M$171*(1+rvanilla07)^0.5)-SUM($M448:N448),('PTRM input'!$M$171*(1+rvanilla07)^0.5)/A29stdlife))</f>
        <v>0</v>
      </c>
      <c r="P448" s="107">
        <f>IF(A29stdlife="n/a","n/a",IF(P$3&gt;(A29stdlife+$E448),('PTRM input'!$M$171*(1+rvanilla07)^0.5)-SUM($M448:O448),('PTRM input'!$M$171*(1+rvanilla07)^0.5)/A29stdlife))</f>
        <v>0</v>
      </c>
      <c r="Q448" s="107">
        <f>IF(A29stdlife="n/a","n/a",IF(Q$3&gt;(A29stdlife+$E448),('PTRM input'!$M$171*(1+rvanilla07)^0.5)-SUM($M448:P448),('PTRM input'!$M$171*(1+rvanilla07)^0.5)/A29stdlife))</f>
        <v>0</v>
      </c>
      <c r="R448" s="107">
        <f>IF(A29stdlife="n/a","n/a",IF(R$3&gt;(A29stdlife+$E448),('PTRM input'!$M$171*(1+rvanilla07)^0.5)-SUM($M448:Q448),('PTRM input'!$M$171*(1+rvanilla07)^0.5)/A29stdlife))</f>
        <v>0</v>
      </c>
      <c r="S448" s="107">
        <f>IF(A29stdlife="n/a","n/a",IF(S$3&gt;(A29stdlife+$E448),('PTRM input'!$M$171*(1+rvanilla07)^0.5)-SUM($M448:R448),('PTRM input'!$M$171*(1+rvanilla07)^0.5)/A29stdlife))</f>
        <v>0</v>
      </c>
      <c r="T448" s="107">
        <f>IF(A29stdlife="n/a","n/a",IF(T$3&gt;(A29stdlife+$E448),('PTRM input'!$M$171*(1+rvanilla07)^0.5)-SUM($M448:S448),('PTRM input'!$M$171*(1+rvanilla07)^0.5)/A29stdlife))</f>
        <v>0</v>
      </c>
      <c r="U448" s="107">
        <f>IF(A29stdlife="n/a","n/a",IF(U$3&gt;(A29stdlife+$E448),('PTRM input'!$M$171*(1+rvanilla07)^0.5)-SUM($M448:T448),('PTRM input'!$M$171*(1+rvanilla07)^0.5)/A29stdlife))</f>
        <v>0</v>
      </c>
      <c r="V448" s="107">
        <f>IF(A29stdlife="n/a","n/a",IF(V$3&gt;(A29stdlife+$E448),('PTRM input'!$M$171*(1+rvanilla07)^0.5)-SUM($M448:U448),('PTRM input'!$M$171*(1+rvanilla07)^0.5)/A29stdlife))</f>
        <v>0</v>
      </c>
      <c r="W448" s="107">
        <f>IF(A29stdlife="n/a","n/a",IF(W$3&gt;(A29stdlife+$E448),('PTRM input'!$M$171*(1+rvanilla07)^0.5)-SUM($M448:V448),('PTRM input'!$M$171*(1+rvanilla07)^0.5)/A29stdlife))</f>
        <v>0</v>
      </c>
      <c r="X448" s="107">
        <f>IF(A29stdlife="n/a","n/a",IF(X$3&gt;(A29stdlife+$E448),('PTRM input'!$M$171*(1+rvanilla07)^0.5)-SUM($M448:W448),('PTRM input'!$M$171*(1+rvanilla07)^0.5)/A29stdlife))</f>
        <v>0</v>
      </c>
      <c r="Y448" s="107">
        <f>IF(A29stdlife="n/a","n/a",IF(Y$3&gt;(A29stdlife+$E448),('PTRM input'!$M$171*(1+rvanilla07)^0.5)-SUM($M448:X448),('PTRM input'!$M$171*(1+rvanilla07)^0.5)/A29stdlife))</f>
        <v>0</v>
      </c>
      <c r="Z448" s="107">
        <f>IF(A29stdlife="n/a","n/a",IF(Z$3&gt;(A29stdlife+$E448),('PTRM input'!$M$171*(1+rvanilla07)^0.5)-SUM($M448:Y448),('PTRM input'!$M$171*(1+rvanilla07)^0.5)/A29stdlife))</f>
        <v>0</v>
      </c>
      <c r="AA448" s="107">
        <f>IF(A29stdlife="n/a","n/a",IF(AA$3&gt;(A29stdlife+$E448),('PTRM input'!$M$171*(1+rvanilla07)^0.5)-SUM($M448:Z448),('PTRM input'!$M$171*(1+rvanilla07)^0.5)/A29stdlife))</f>
        <v>0</v>
      </c>
      <c r="AB448" s="107">
        <f>IF(A29stdlife="n/a","n/a",IF(AB$3&gt;(A29stdlife+$E448),('PTRM input'!$M$171*(1+rvanilla07)^0.5)-SUM($M448:AA448),('PTRM input'!$M$171*(1+rvanilla07)^0.5)/A29stdlife))</f>
        <v>0</v>
      </c>
      <c r="AC448" s="107">
        <f>IF(A29stdlife="n/a","n/a",IF(AC$3&gt;(A29stdlife+$E448),('PTRM input'!$M$171*(1+rvanilla07)^0.5)-SUM($M448:AB448),('PTRM input'!$M$171*(1+rvanilla07)^0.5)/A29stdlife))</f>
        <v>0</v>
      </c>
      <c r="AD448" s="107">
        <f>IF(A29stdlife="n/a","n/a",IF(AD$3&gt;(A29stdlife+$E448),('PTRM input'!$M$171*(1+rvanilla07)^0.5)-SUM($M448:AC448),('PTRM input'!$M$171*(1+rvanilla07)^0.5)/A29stdlife))</f>
        <v>0</v>
      </c>
      <c r="AE448" s="107">
        <f>IF(A29stdlife="n/a","n/a",IF(AE$3&gt;(A29stdlife+$E448),('PTRM input'!$M$171*(1+rvanilla07)^0.5)-SUM($M448:AD448),('PTRM input'!$M$171*(1+rvanilla07)^0.5)/A29stdlife))</f>
        <v>0</v>
      </c>
      <c r="AF448" s="107">
        <f>IF(A29stdlife="n/a","n/a",IF(AF$3&gt;(A29stdlife+$E448),('PTRM input'!$M$171*(1+rvanilla07)^0.5)-SUM($M448:AE448),('PTRM input'!$M$171*(1+rvanilla07)^0.5)/A29stdlife))</f>
        <v>0</v>
      </c>
      <c r="AG448" s="107">
        <f>IF(A29stdlife="n/a","n/a",IF(AG$3&gt;(A29stdlife+$E448),('PTRM input'!$M$171*(1+rvanilla07)^0.5)-SUM($M448:AF448),('PTRM input'!$M$171*(1+rvanilla07)^0.5)/A29stdlife))</f>
        <v>0</v>
      </c>
      <c r="AH448" s="107">
        <f>IF(A29stdlife="n/a","n/a",IF(AH$3&gt;(A29stdlife+$E448),('PTRM input'!$M$171*(1+rvanilla07)^0.5)-SUM($M448:AG448),('PTRM input'!$M$171*(1+rvanilla07)^0.5)/A29stdlife))</f>
        <v>0</v>
      </c>
      <c r="AI448" s="107">
        <f>IF(A29stdlife="n/a","n/a",IF(AI$3&gt;(A29stdlife+$E448),('PTRM input'!$M$171*(1+rvanilla07)^0.5)-SUM($M448:AH448),('PTRM input'!$M$171*(1+rvanilla07)^0.5)/A29stdlife))</f>
        <v>0</v>
      </c>
      <c r="AJ448" s="107">
        <f>IF(A29stdlife="n/a","n/a",IF(AJ$3&gt;(A29stdlife+$E448),('PTRM input'!$M$171*(1+rvanilla07)^0.5)-SUM($M448:AI448),('PTRM input'!$M$171*(1+rvanilla07)^0.5)/A29stdlife))</f>
        <v>0</v>
      </c>
      <c r="AK448" s="107">
        <f>IF(A29stdlife="n/a","n/a",IF(AK$3&gt;(A29stdlife+$E448),('PTRM input'!$M$171*(1+rvanilla07)^0.5)-SUM($M448:AJ448),('PTRM input'!$M$171*(1+rvanilla07)^0.5)/A29stdlife))</f>
        <v>0</v>
      </c>
      <c r="AL448" s="107">
        <f>IF(A29stdlife="n/a","n/a",IF(AL$3&gt;(A29stdlife+$E448),('PTRM input'!$M$171*(1+rvanilla07)^0.5)-SUM($M448:AK448),('PTRM input'!$M$171*(1+rvanilla07)^0.5)/A29stdlife))</f>
        <v>0</v>
      </c>
      <c r="AM448" s="107">
        <f>IF(A29stdlife="n/a","n/a",IF(AM$3&gt;(A29stdlife+$E448),('PTRM input'!$M$171*(1+rvanilla07)^0.5)-SUM($M448:AL448),('PTRM input'!$M$171*(1+rvanilla07)^0.5)/A29stdlife))</f>
        <v>0</v>
      </c>
      <c r="AN448" s="107">
        <f>IF(A29stdlife="n/a","n/a",IF(AN$3&gt;(A29stdlife+$E448),('PTRM input'!$M$171*(1+rvanilla07)^0.5)-SUM($M448:AM448),('PTRM input'!$M$171*(1+rvanilla07)^0.5)/A29stdlife))</f>
        <v>0</v>
      </c>
      <c r="AO448" s="107">
        <f>IF(A29stdlife="n/a","n/a",IF(AO$3&gt;(A29stdlife+$E448),('PTRM input'!$M$171*(1+rvanilla07)^0.5)-SUM($M448:AN448),('PTRM input'!$M$171*(1+rvanilla07)^0.5)/A29stdlife))</f>
        <v>0</v>
      </c>
      <c r="AP448" s="107">
        <f>IF(A29stdlife="n/a","n/a",IF(AP$3&gt;(A29stdlife+$E448),('PTRM input'!$M$171*(1+rvanilla07)^0.5)-SUM($M448:AO448),('PTRM input'!$M$171*(1+rvanilla07)^0.5)/A29stdlife))</f>
        <v>0</v>
      </c>
      <c r="AQ448" s="107">
        <f>IF(A29stdlife="n/a","n/a",IF(AQ$3&gt;(A29stdlife+$E448),('PTRM input'!$M$171*(1+rvanilla07)^0.5)-SUM($M448:AP448),('PTRM input'!$M$171*(1+rvanilla07)^0.5)/A29stdlife))</f>
        <v>0</v>
      </c>
      <c r="AR448" s="107">
        <f>IF(A29stdlife="n/a","n/a",IF(AR$3&gt;(A29stdlife+$E448),('PTRM input'!$M$171*(1+rvanilla07)^0.5)-SUM($M448:AQ448),('PTRM input'!$M$171*(1+rvanilla07)^0.5)/A29stdlife))</f>
        <v>0</v>
      </c>
      <c r="AS448" s="107">
        <f>IF(A29stdlife="n/a","n/a",IF(AS$3&gt;(A29stdlife+$E448),('PTRM input'!$M$171*(1+rvanilla07)^0.5)-SUM($M448:AR448),('PTRM input'!$M$171*(1+rvanilla07)^0.5)/A29stdlife))</f>
        <v>0</v>
      </c>
      <c r="AT448" s="107">
        <f>IF(A29stdlife="n/a","n/a",IF(AT$3&gt;(A29stdlife+$E448),('PTRM input'!$M$171*(1+rvanilla07)^0.5)-SUM($M448:AS448),('PTRM input'!$M$171*(1+rvanilla07)^0.5)/A29stdlife))</f>
        <v>0</v>
      </c>
      <c r="AU448" s="107">
        <f>IF(A29stdlife="n/a","n/a",IF(AU$3&gt;(A29stdlife+$E448),('PTRM input'!$M$171*(1+rvanilla07)^0.5)-SUM($M448:AT448),('PTRM input'!$M$171*(1+rvanilla07)^0.5)/A29stdlife))</f>
        <v>0</v>
      </c>
      <c r="AV448" s="107">
        <f>IF(A29stdlife="n/a","n/a",IF(AV$3&gt;(A29stdlife+$E448),('PTRM input'!$M$171*(1+rvanilla07)^0.5)-SUM($M448:AU448),('PTRM input'!$M$171*(1+rvanilla07)^0.5)/A29stdlife))</f>
        <v>0</v>
      </c>
      <c r="AW448" s="107">
        <f>IF(A29stdlife="n/a","n/a",IF(AW$3&gt;(A29stdlife+$E448),('PTRM input'!$M$171*(1+rvanilla07)^0.5)-SUM($M448:AV448),('PTRM input'!$M$171*(1+rvanilla07)^0.5)/A29stdlife))</f>
        <v>0</v>
      </c>
      <c r="AX448" s="107">
        <f>IF(A29stdlife="n/a","n/a",IF(AX$3&gt;(A29stdlife+$E448),('PTRM input'!$M$171*(1+rvanilla07)^0.5)-SUM($M448:AW448),('PTRM input'!$M$171*(1+rvanilla07)^0.5)/A29stdlife))</f>
        <v>0</v>
      </c>
      <c r="AY448" s="107">
        <f>IF(A29stdlife="n/a","n/a",IF(AY$3&gt;(A29stdlife+$E448),('PTRM input'!$M$171*(1+rvanilla07)^0.5)-SUM($M448:AX448),('PTRM input'!$M$171*(1+rvanilla07)^0.5)/A29stdlife))</f>
        <v>0</v>
      </c>
      <c r="AZ448" s="107">
        <f>IF(A29stdlife="n/a","n/a",IF(AZ$3&gt;(A29stdlife+$E448),('PTRM input'!$M$171*(1+rvanilla07)^0.5)-SUM($M448:AY448),('PTRM input'!$M$171*(1+rvanilla07)^0.5)/A29stdlife))</f>
        <v>0</v>
      </c>
      <c r="BA448" s="107">
        <f>IF(A29stdlife="n/a","n/a",IF(BA$3&gt;(A29stdlife+$E448),('PTRM input'!$M$171*(1+rvanilla07)^0.5)-SUM($M448:AZ448),('PTRM input'!$M$171*(1+rvanilla07)^0.5)/A29stdlife))</f>
        <v>0</v>
      </c>
      <c r="BB448" s="107">
        <f>IF(A29stdlife="n/a","n/a",IF(BB$3&gt;(A29stdlife+$E448),('PTRM input'!$M$171*(1+rvanilla07)^0.5)-SUM($M448:BA448),('PTRM input'!$M$171*(1+rvanilla07)^0.5)/A29stdlife))</f>
        <v>0</v>
      </c>
      <c r="BC448" s="107">
        <f>IF(A29stdlife="n/a","n/a",IF(BC$3&gt;(A29stdlife+$E448),('PTRM input'!$M$171*(1+rvanilla07)^0.5)-SUM($M448:BB448),('PTRM input'!$M$171*(1+rvanilla07)^0.5)/A29stdlife))</f>
        <v>0</v>
      </c>
      <c r="BD448" s="107">
        <f>IF(A29stdlife="n/a","n/a",IF(BD$3&gt;(A29stdlife+$E448),('PTRM input'!$M$171*(1+rvanilla07)^0.5)-SUM($M448:BC448),('PTRM input'!$M$171*(1+rvanilla07)^0.5)/A29stdlife))</f>
        <v>0</v>
      </c>
      <c r="BE448" s="107">
        <f>IF(A29stdlife="n/a","n/a",IF(BE$3&gt;(A29stdlife+$E448),('PTRM input'!$M$171*(1+rvanilla07)^0.5)-SUM($M448:BD448),('PTRM input'!$M$171*(1+rvanilla07)^0.5)/A29stdlife))</f>
        <v>0</v>
      </c>
      <c r="BF448" s="107">
        <f>IF(A29stdlife="n/a","n/a",IF(BF$3&gt;(A29stdlife+$E448),('PTRM input'!$M$171*(1+rvanilla07)^0.5)-SUM($M448:BE448),('PTRM input'!$M$171*(1+rvanilla07)^0.5)/A29stdlife))</f>
        <v>0</v>
      </c>
      <c r="BG448" s="107">
        <f>IF(A29stdlife="n/a","n/a",IF(BG$3&gt;(A29stdlife+$E448),('PTRM input'!$M$171*(1+rvanilla07)^0.5)-SUM($M448:BF448),('PTRM input'!$M$171*(1+rvanilla07)^0.5)/A29stdlife))</f>
        <v>0</v>
      </c>
      <c r="BH448" s="107">
        <f>IF(A29stdlife="n/a","n/a",IF(BH$3&gt;(A29stdlife+$E448),('PTRM input'!$M$171*(1+rvanilla07)^0.5)-SUM($M448:BG448),('PTRM input'!$M$171*(1+rvanilla07)^0.5)/A29stdlife))</f>
        <v>0</v>
      </c>
      <c r="BI448" s="107">
        <f>IF(A29stdlife="n/a","n/a",IF(BI$3&gt;(A29stdlife+$E448),('PTRM input'!$M$171*(1+rvanilla07)^0.5)-SUM($M448:BH448),('PTRM input'!$M$171*(1+rvanilla07)^0.5)/A29stdlife))</f>
        <v>0</v>
      </c>
      <c r="BJ448" s="237"/>
      <c r="BK448" s="237"/>
      <c r="BL448" s="237"/>
      <c r="BM448" s="237"/>
    </row>
    <row r="449" spans="1:65" s="190" customFormat="1" hidden="1" outlineLevel="2">
      <c r="A449" s="237"/>
      <c r="B449" s="33"/>
      <c r="C449" s="32"/>
      <c r="D449" s="1618"/>
      <c r="E449" s="169">
        <v>8</v>
      </c>
      <c r="F449" s="35"/>
      <c r="G449" s="184"/>
      <c r="H449" s="186"/>
      <c r="I449" s="186"/>
      <c r="J449" s="186"/>
      <c r="K449" s="186"/>
      <c r="L449" s="186"/>
      <c r="M449" s="186"/>
      <c r="N449" s="185"/>
      <c r="O449" s="107">
        <f>IF(A29stdlife="n/a","n/a",IF(O$3&gt;(A29stdlife+$E449),('PTRM input'!$N$171*(1+rvanilla08)^0.5)-SUM($N449:N449),('PTRM input'!$N$171*(1+rvanilla08)^0.5)/A29stdlife))</f>
        <v>0</v>
      </c>
      <c r="P449" s="107">
        <f>IF(A29stdlife="n/a","n/a",IF(P$3&gt;(A29stdlife+$E449),('PTRM input'!$N$171*(1+rvanilla08)^0.5)-SUM($N449:O449),('PTRM input'!$N$171*(1+rvanilla08)^0.5)/A29stdlife))</f>
        <v>0</v>
      </c>
      <c r="Q449" s="107">
        <f>IF(A29stdlife="n/a","n/a",IF(Q$3&gt;(A29stdlife+$E449),('PTRM input'!$N$171*(1+rvanilla08)^0.5)-SUM($N449:P449),('PTRM input'!$N$171*(1+rvanilla08)^0.5)/A29stdlife))</f>
        <v>0</v>
      </c>
      <c r="R449" s="107">
        <f>IF(A29stdlife="n/a","n/a",IF(R$3&gt;(A29stdlife+$E449),('PTRM input'!$N$171*(1+rvanilla08)^0.5)-SUM($N449:Q449),('PTRM input'!$N$171*(1+rvanilla08)^0.5)/A29stdlife))</f>
        <v>0</v>
      </c>
      <c r="S449" s="107">
        <f>IF(A29stdlife="n/a","n/a",IF(S$3&gt;(A29stdlife+$E449),('PTRM input'!$N$171*(1+rvanilla08)^0.5)-SUM($N449:R449),('PTRM input'!$N$171*(1+rvanilla08)^0.5)/A29stdlife))</f>
        <v>0</v>
      </c>
      <c r="T449" s="107">
        <f>IF(A29stdlife="n/a","n/a",IF(T$3&gt;(A29stdlife+$E449),('PTRM input'!$N$171*(1+rvanilla08)^0.5)-SUM($N449:S449),('PTRM input'!$N$171*(1+rvanilla08)^0.5)/A29stdlife))</f>
        <v>0</v>
      </c>
      <c r="U449" s="107">
        <f>IF(A29stdlife="n/a","n/a",IF(U$3&gt;(A29stdlife+$E449),('PTRM input'!$N$171*(1+rvanilla08)^0.5)-SUM($N449:T449),('PTRM input'!$N$171*(1+rvanilla08)^0.5)/A29stdlife))</f>
        <v>0</v>
      </c>
      <c r="V449" s="107">
        <f>IF(A29stdlife="n/a","n/a",IF(V$3&gt;(A29stdlife+$E449),('PTRM input'!$N$171*(1+rvanilla08)^0.5)-SUM($N449:U449),('PTRM input'!$N$171*(1+rvanilla08)^0.5)/A29stdlife))</f>
        <v>0</v>
      </c>
      <c r="W449" s="107">
        <f>IF(A29stdlife="n/a","n/a",IF(W$3&gt;(A29stdlife+$E449),('PTRM input'!$N$171*(1+rvanilla08)^0.5)-SUM($N449:V449),('PTRM input'!$N$171*(1+rvanilla08)^0.5)/A29stdlife))</f>
        <v>0</v>
      </c>
      <c r="X449" s="107">
        <f>IF(A29stdlife="n/a","n/a",IF(X$3&gt;(A29stdlife+$E449),('PTRM input'!$N$171*(1+rvanilla08)^0.5)-SUM($N449:W449),('PTRM input'!$N$171*(1+rvanilla08)^0.5)/A29stdlife))</f>
        <v>0</v>
      </c>
      <c r="Y449" s="107">
        <f>IF(A29stdlife="n/a","n/a",IF(Y$3&gt;(A29stdlife+$E449),('PTRM input'!$N$171*(1+rvanilla08)^0.5)-SUM($N449:X449),('PTRM input'!$N$171*(1+rvanilla08)^0.5)/A29stdlife))</f>
        <v>0</v>
      </c>
      <c r="Z449" s="107">
        <f>IF(A29stdlife="n/a","n/a",IF(Z$3&gt;(A29stdlife+$E449),('PTRM input'!$N$171*(1+rvanilla08)^0.5)-SUM($N449:Y449),('PTRM input'!$N$171*(1+rvanilla08)^0.5)/A29stdlife))</f>
        <v>0</v>
      </c>
      <c r="AA449" s="107">
        <f>IF(A29stdlife="n/a","n/a",IF(AA$3&gt;(A29stdlife+$E449),('PTRM input'!$N$171*(1+rvanilla08)^0.5)-SUM($N449:Z449),('PTRM input'!$N$171*(1+rvanilla08)^0.5)/A29stdlife))</f>
        <v>0</v>
      </c>
      <c r="AB449" s="107">
        <f>IF(A29stdlife="n/a","n/a",IF(AB$3&gt;(A29stdlife+$E449),('PTRM input'!$N$171*(1+rvanilla08)^0.5)-SUM($N449:AA449),('PTRM input'!$N$171*(1+rvanilla08)^0.5)/A29stdlife))</f>
        <v>0</v>
      </c>
      <c r="AC449" s="107">
        <f>IF(A29stdlife="n/a","n/a",IF(AC$3&gt;(A29stdlife+$E449),('PTRM input'!$N$171*(1+rvanilla08)^0.5)-SUM($N449:AB449),('PTRM input'!$N$171*(1+rvanilla08)^0.5)/A29stdlife))</f>
        <v>0</v>
      </c>
      <c r="AD449" s="107">
        <f>IF(A29stdlife="n/a","n/a",IF(AD$3&gt;(A29stdlife+$E449),('PTRM input'!$N$171*(1+rvanilla08)^0.5)-SUM($N449:AC449),('PTRM input'!$N$171*(1+rvanilla08)^0.5)/A29stdlife))</f>
        <v>0</v>
      </c>
      <c r="AE449" s="107">
        <f>IF(A29stdlife="n/a","n/a",IF(AE$3&gt;(A29stdlife+$E449),('PTRM input'!$N$171*(1+rvanilla08)^0.5)-SUM($N449:AD449),('PTRM input'!$N$171*(1+rvanilla08)^0.5)/A29stdlife))</f>
        <v>0</v>
      </c>
      <c r="AF449" s="107">
        <f>IF(A29stdlife="n/a","n/a",IF(AF$3&gt;(A29stdlife+$E449),('PTRM input'!$N$171*(1+rvanilla08)^0.5)-SUM($N449:AE449),('PTRM input'!$N$171*(1+rvanilla08)^0.5)/A29stdlife))</f>
        <v>0</v>
      </c>
      <c r="AG449" s="107">
        <f>IF(A29stdlife="n/a","n/a",IF(AG$3&gt;(A29stdlife+$E449),('PTRM input'!$N$171*(1+rvanilla08)^0.5)-SUM($N449:AF449),('PTRM input'!$N$171*(1+rvanilla08)^0.5)/A29stdlife))</f>
        <v>0</v>
      </c>
      <c r="AH449" s="107">
        <f>IF(A29stdlife="n/a","n/a",IF(AH$3&gt;(A29stdlife+$E449),('PTRM input'!$N$171*(1+rvanilla08)^0.5)-SUM($N449:AG449),('PTRM input'!$N$171*(1+rvanilla08)^0.5)/A29stdlife))</f>
        <v>0</v>
      </c>
      <c r="AI449" s="107">
        <f>IF(A29stdlife="n/a","n/a",IF(AI$3&gt;(A29stdlife+$E449),('PTRM input'!$N$171*(1+rvanilla08)^0.5)-SUM($N449:AH449),('PTRM input'!$N$171*(1+rvanilla08)^0.5)/A29stdlife))</f>
        <v>0</v>
      </c>
      <c r="AJ449" s="107">
        <f>IF(A29stdlife="n/a","n/a",IF(AJ$3&gt;(A29stdlife+$E449),('PTRM input'!$N$171*(1+rvanilla08)^0.5)-SUM($N449:AI449),('PTRM input'!$N$171*(1+rvanilla08)^0.5)/A29stdlife))</f>
        <v>0</v>
      </c>
      <c r="AK449" s="107">
        <f>IF(A29stdlife="n/a","n/a",IF(AK$3&gt;(A29stdlife+$E449),('PTRM input'!$N$171*(1+rvanilla08)^0.5)-SUM($N449:AJ449),('PTRM input'!$N$171*(1+rvanilla08)^0.5)/A29stdlife))</f>
        <v>0</v>
      </c>
      <c r="AL449" s="107">
        <f>IF(A29stdlife="n/a","n/a",IF(AL$3&gt;(A29stdlife+$E449),('PTRM input'!$N$171*(1+rvanilla08)^0.5)-SUM($N449:AK449),('PTRM input'!$N$171*(1+rvanilla08)^0.5)/A29stdlife))</f>
        <v>0</v>
      </c>
      <c r="AM449" s="107">
        <f>IF(A29stdlife="n/a","n/a",IF(AM$3&gt;(A29stdlife+$E449),('PTRM input'!$N$171*(1+rvanilla08)^0.5)-SUM($N449:AL449),('PTRM input'!$N$171*(1+rvanilla08)^0.5)/A29stdlife))</f>
        <v>0</v>
      </c>
      <c r="AN449" s="107">
        <f>IF(A29stdlife="n/a","n/a",IF(AN$3&gt;(A29stdlife+$E449),('PTRM input'!$N$171*(1+rvanilla08)^0.5)-SUM($N449:AM449),('PTRM input'!$N$171*(1+rvanilla08)^0.5)/A29stdlife))</f>
        <v>0</v>
      </c>
      <c r="AO449" s="107">
        <f>IF(A29stdlife="n/a","n/a",IF(AO$3&gt;(A29stdlife+$E449),('PTRM input'!$N$171*(1+rvanilla08)^0.5)-SUM($N449:AN449),('PTRM input'!$N$171*(1+rvanilla08)^0.5)/A29stdlife))</f>
        <v>0</v>
      </c>
      <c r="AP449" s="107">
        <f>IF(A29stdlife="n/a","n/a",IF(AP$3&gt;(A29stdlife+$E449),('PTRM input'!$N$171*(1+rvanilla08)^0.5)-SUM($N449:AO449),('PTRM input'!$N$171*(1+rvanilla08)^0.5)/A29stdlife))</f>
        <v>0</v>
      </c>
      <c r="AQ449" s="107">
        <f>IF(A29stdlife="n/a","n/a",IF(AQ$3&gt;(A29stdlife+$E449),('PTRM input'!$N$171*(1+rvanilla08)^0.5)-SUM($N449:AP449),('PTRM input'!$N$171*(1+rvanilla08)^0.5)/A29stdlife))</f>
        <v>0</v>
      </c>
      <c r="AR449" s="107">
        <f>IF(A29stdlife="n/a","n/a",IF(AR$3&gt;(A29stdlife+$E449),('PTRM input'!$N$171*(1+rvanilla08)^0.5)-SUM($N449:AQ449),('PTRM input'!$N$171*(1+rvanilla08)^0.5)/A29stdlife))</f>
        <v>0</v>
      </c>
      <c r="AS449" s="107">
        <f>IF(A29stdlife="n/a","n/a",IF(AS$3&gt;(A29stdlife+$E449),('PTRM input'!$N$171*(1+rvanilla08)^0.5)-SUM($N449:AR449),('PTRM input'!$N$171*(1+rvanilla08)^0.5)/A29stdlife))</f>
        <v>0</v>
      </c>
      <c r="AT449" s="107">
        <f>IF(A29stdlife="n/a","n/a",IF(AT$3&gt;(A29stdlife+$E449),('PTRM input'!$N$171*(1+rvanilla08)^0.5)-SUM($N449:AS449),('PTRM input'!$N$171*(1+rvanilla08)^0.5)/A29stdlife))</f>
        <v>0</v>
      </c>
      <c r="AU449" s="107">
        <f>IF(A29stdlife="n/a","n/a",IF(AU$3&gt;(A29stdlife+$E449),('PTRM input'!$N$171*(1+rvanilla08)^0.5)-SUM($N449:AT449),('PTRM input'!$N$171*(1+rvanilla08)^0.5)/A29stdlife))</f>
        <v>0</v>
      </c>
      <c r="AV449" s="107">
        <f>IF(A29stdlife="n/a","n/a",IF(AV$3&gt;(A29stdlife+$E449),('PTRM input'!$N$171*(1+rvanilla08)^0.5)-SUM($N449:AU449),('PTRM input'!$N$171*(1+rvanilla08)^0.5)/A29stdlife))</f>
        <v>0</v>
      </c>
      <c r="AW449" s="107">
        <f>IF(A29stdlife="n/a","n/a",IF(AW$3&gt;(A29stdlife+$E449),('PTRM input'!$N$171*(1+rvanilla08)^0.5)-SUM($N449:AV449),('PTRM input'!$N$171*(1+rvanilla08)^0.5)/A29stdlife))</f>
        <v>0</v>
      </c>
      <c r="AX449" s="107">
        <f>IF(A29stdlife="n/a","n/a",IF(AX$3&gt;(A29stdlife+$E449),('PTRM input'!$N$171*(1+rvanilla08)^0.5)-SUM($N449:AW449),('PTRM input'!$N$171*(1+rvanilla08)^0.5)/A29stdlife))</f>
        <v>0</v>
      </c>
      <c r="AY449" s="107">
        <f>IF(A29stdlife="n/a","n/a",IF(AY$3&gt;(A29stdlife+$E449),('PTRM input'!$N$171*(1+rvanilla08)^0.5)-SUM($N449:AX449),('PTRM input'!$N$171*(1+rvanilla08)^0.5)/A29stdlife))</f>
        <v>0</v>
      </c>
      <c r="AZ449" s="107">
        <f>IF(A29stdlife="n/a","n/a",IF(AZ$3&gt;(A29stdlife+$E449),('PTRM input'!$N$171*(1+rvanilla08)^0.5)-SUM($N449:AY449),('PTRM input'!$N$171*(1+rvanilla08)^0.5)/A29stdlife))</f>
        <v>0</v>
      </c>
      <c r="BA449" s="107">
        <f>IF(A29stdlife="n/a","n/a",IF(BA$3&gt;(A29stdlife+$E449),('PTRM input'!$N$171*(1+rvanilla08)^0.5)-SUM($N449:AZ449),('PTRM input'!$N$171*(1+rvanilla08)^0.5)/A29stdlife))</f>
        <v>0</v>
      </c>
      <c r="BB449" s="107">
        <f>IF(A29stdlife="n/a","n/a",IF(BB$3&gt;(A29stdlife+$E449),('PTRM input'!$N$171*(1+rvanilla08)^0.5)-SUM($N449:BA449),('PTRM input'!$N$171*(1+rvanilla08)^0.5)/A29stdlife))</f>
        <v>0</v>
      </c>
      <c r="BC449" s="107">
        <f>IF(A29stdlife="n/a","n/a",IF(BC$3&gt;(A29stdlife+$E449),('PTRM input'!$N$171*(1+rvanilla08)^0.5)-SUM($N449:BB449),('PTRM input'!$N$171*(1+rvanilla08)^0.5)/A29stdlife))</f>
        <v>0</v>
      </c>
      <c r="BD449" s="107">
        <f>IF(A29stdlife="n/a","n/a",IF(BD$3&gt;(A29stdlife+$E449),('PTRM input'!$N$171*(1+rvanilla08)^0.5)-SUM($N449:BC449),('PTRM input'!$N$171*(1+rvanilla08)^0.5)/A29stdlife))</f>
        <v>0</v>
      </c>
      <c r="BE449" s="107">
        <f>IF(A29stdlife="n/a","n/a",IF(BE$3&gt;(A29stdlife+$E449),('PTRM input'!$N$171*(1+rvanilla08)^0.5)-SUM($N449:BD449),('PTRM input'!$N$171*(1+rvanilla08)^0.5)/A29stdlife))</f>
        <v>0</v>
      </c>
      <c r="BF449" s="107">
        <f>IF(A29stdlife="n/a","n/a",IF(BF$3&gt;(A29stdlife+$E449),('PTRM input'!$N$171*(1+rvanilla08)^0.5)-SUM($N449:BE449),('PTRM input'!$N$171*(1+rvanilla08)^0.5)/A29stdlife))</f>
        <v>0</v>
      </c>
      <c r="BG449" s="107">
        <f>IF(A29stdlife="n/a","n/a",IF(BG$3&gt;(A29stdlife+$E449),('PTRM input'!$N$171*(1+rvanilla08)^0.5)-SUM($N449:BF449),('PTRM input'!$N$171*(1+rvanilla08)^0.5)/A29stdlife))</f>
        <v>0</v>
      </c>
      <c r="BH449" s="107">
        <f>IF(A29stdlife="n/a","n/a",IF(BH$3&gt;(A29stdlife+$E449),('PTRM input'!$N$171*(1+rvanilla08)^0.5)-SUM($N449:BG449),('PTRM input'!$N$171*(1+rvanilla08)^0.5)/A29stdlife))</f>
        <v>0</v>
      </c>
      <c r="BI449" s="107">
        <f>IF(A29stdlife="n/a","n/a",IF(BI$3&gt;(A29stdlife+$E449),('PTRM input'!$N$171*(1+rvanilla08)^0.5)-SUM($N449:BH449),('PTRM input'!$N$171*(1+rvanilla08)^0.5)/A29stdlife))</f>
        <v>0</v>
      </c>
      <c r="BJ449" s="237"/>
      <c r="BK449" s="237"/>
      <c r="BL449" s="237"/>
      <c r="BM449" s="237"/>
    </row>
    <row r="450" spans="1:65" s="190" customFormat="1" hidden="1" outlineLevel="2">
      <c r="A450" s="237"/>
      <c r="B450" s="33"/>
      <c r="C450" s="32"/>
      <c r="D450" s="1618"/>
      <c r="E450" s="169">
        <v>9</v>
      </c>
      <c r="F450" s="35"/>
      <c r="G450" s="184"/>
      <c r="H450" s="186"/>
      <c r="I450" s="186"/>
      <c r="J450" s="186"/>
      <c r="K450" s="186"/>
      <c r="L450" s="186"/>
      <c r="M450" s="186"/>
      <c r="N450" s="186"/>
      <c r="O450" s="185"/>
      <c r="P450" s="107">
        <f>IF(A29stdlife="n/a","n/a",IF(P$3&gt;(A29stdlife+$E450),('PTRM input'!$O$171*(1+rvanilla09)^0.5)-SUM($O450:O450),('PTRM input'!$O$171*(1+rvanilla09)^0.5)/A29stdlife))</f>
        <v>0</v>
      </c>
      <c r="Q450" s="107">
        <f>IF(A29stdlife="n/a","n/a",IF(Q$3&gt;(A29stdlife+$E450),('PTRM input'!$O$171*(1+rvanilla09)^0.5)-SUM($O450:P450),('PTRM input'!$O$171*(1+rvanilla09)^0.5)/A29stdlife))</f>
        <v>0</v>
      </c>
      <c r="R450" s="107">
        <f>IF(A29stdlife="n/a","n/a",IF(R$3&gt;(A29stdlife+$E450),('PTRM input'!$O$171*(1+rvanilla09)^0.5)-SUM($O450:Q450),('PTRM input'!$O$171*(1+rvanilla09)^0.5)/A29stdlife))</f>
        <v>0</v>
      </c>
      <c r="S450" s="107">
        <f>IF(A29stdlife="n/a","n/a",IF(S$3&gt;(A29stdlife+$E450),('PTRM input'!$O$171*(1+rvanilla09)^0.5)-SUM($O450:R450),('PTRM input'!$O$171*(1+rvanilla09)^0.5)/A29stdlife))</f>
        <v>0</v>
      </c>
      <c r="T450" s="107">
        <f>IF(A29stdlife="n/a","n/a",IF(T$3&gt;(A29stdlife+$E450),('PTRM input'!$O$171*(1+rvanilla09)^0.5)-SUM($O450:S450),('PTRM input'!$O$171*(1+rvanilla09)^0.5)/A29stdlife))</f>
        <v>0</v>
      </c>
      <c r="U450" s="107">
        <f>IF(A29stdlife="n/a","n/a",IF(U$3&gt;(A29stdlife+$E450),('PTRM input'!$O$171*(1+rvanilla09)^0.5)-SUM($O450:T450),('PTRM input'!$O$171*(1+rvanilla09)^0.5)/A29stdlife))</f>
        <v>0</v>
      </c>
      <c r="V450" s="107">
        <f>IF(A29stdlife="n/a","n/a",IF(V$3&gt;(A29stdlife+$E450),('PTRM input'!$O$171*(1+rvanilla09)^0.5)-SUM($O450:U450),('PTRM input'!$O$171*(1+rvanilla09)^0.5)/A29stdlife))</f>
        <v>0</v>
      </c>
      <c r="W450" s="107">
        <f>IF(A29stdlife="n/a","n/a",IF(W$3&gt;(A29stdlife+$E450),('PTRM input'!$O$171*(1+rvanilla09)^0.5)-SUM($O450:V450),('PTRM input'!$O$171*(1+rvanilla09)^0.5)/A29stdlife))</f>
        <v>0</v>
      </c>
      <c r="X450" s="107">
        <f>IF(A29stdlife="n/a","n/a",IF(X$3&gt;(A29stdlife+$E450),('PTRM input'!$O$171*(1+rvanilla09)^0.5)-SUM($O450:W450),('PTRM input'!$O$171*(1+rvanilla09)^0.5)/A29stdlife))</f>
        <v>0</v>
      </c>
      <c r="Y450" s="107">
        <f>IF(A29stdlife="n/a","n/a",IF(Y$3&gt;(A29stdlife+$E450),('PTRM input'!$O$171*(1+rvanilla09)^0.5)-SUM($O450:X450),('PTRM input'!$O$171*(1+rvanilla09)^0.5)/A29stdlife))</f>
        <v>0</v>
      </c>
      <c r="Z450" s="107">
        <f>IF(A29stdlife="n/a","n/a",IF(Z$3&gt;(A29stdlife+$E450),('PTRM input'!$O$171*(1+rvanilla09)^0.5)-SUM($O450:Y450),('PTRM input'!$O$171*(1+rvanilla09)^0.5)/A29stdlife))</f>
        <v>0</v>
      </c>
      <c r="AA450" s="107">
        <f>IF(A29stdlife="n/a","n/a",IF(AA$3&gt;(A29stdlife+$E450),('PTRM input'!$O$171*(1+rvanilla09)^0.5)-SUM($O450:Z450),('PTRM input'!$O$171*(1+rvanilla09)^0.5)/A29stdlife))</f>
        <v>0</v>
      </c>
      <c r="AB450" s="107">
        <f>IF(A29stdlife="n/a","n/a",IF(AB$3&gt;(A29stdlife+$E450),('PTRM input'!$O$171*(1+rvanilla09)^0.5)-SUM($O450:AA450),('PTRM input'!$O$171*(1+rvanilla09)^0.5)/A29stdlife))</f>
        <v>0</v>
      </c>
      <c r="AC450" s="107">
        <f>IF(A29stdlife="n/a","n/a",IF(AC$3&gt;(A29stdlife+$E450),('PTRM input'!$O$171*(1+rvanilla09)^0.5)-SUM($O450:AB450),('PTRM input'!$O$171*(1+rvanilla09)^0.5)/A29stdlife))</f>
        <v>0</v>
      </c>
      <c r="AD450" s="107">
        <f>IF(A29stdlife="n/a","n/a",IF(AD$3&gt;(A29stdlife+$E450),('PTRM input'!$O$171*(1+rvanilla09)^0.5)-SUM($O450:AC450),('PTRM input'!$O$171*(1+rvanilla09)^0.5)/A29stdlife))</f>
        <v>0</v>
      </c>
      <c r="AE450" s="107">
        <f>IF(A29stdlife="n/a","n/a",IF(AE$3&gt;(A29stdlife+$E450),('PTRM input'!$O$171*(1+rvanilla09)^0.5)-SUM($O450:AD450),('PTRM input'!$O$171*(1+rvanilla09)^0.5)/A29stdlife))</f>
        <v>0</v>
      </c>
      <c r="AF450" s="107">
        <f>IF(A29stdlife="n/a","n/a",IF(AF$3&gt;(A29stdlife+$E450),('PTRM input'!$O$171*(1+rvanilla09)^0.5)-SUM($O450:AE450),('PTRM input'!$O$171*(1+rvanilla09)^0.5)/A29stdlife))</f>
        <v>0</v>
      </c>
      <c r="AG450" s="107">
        <f>IF(A29stdlife="n/a","n/a",IF(AG$3&gt;(A29stdlife+$E450),('PTRM input'!$O$171*(1+rvanilla09)^0.5)-SUM($O450:AF450),('PTRM input'!$O$171*(1+rvanilla09)^0.5)/A29stdlife))</f>
        <v>0</v>
      </c>
      <c r="AH450" s="107">
        <f>IF(A29stdlife="n/a","n/a",IF(AH$3&gt;(A29stdlife+$E450),('PTRM input'!$O$171*(1+rvanilla09)^0.5)-SUM($O450:AG450),('PTRM input'!$O$171*(1+rvanilla09)^0.5)/A29stdlife))</f>
        <v>0</v>
      </c>
      <c r="AI450" s="107">
        <f>IF(A29stdlife="n/a","n/a",IF(AI$3&gt;(A29stdlife+$E450),('PTRM input'!$O$171*(1+rvanilla09)^0.5)-SUM($O450:AH450),('PTRM input'!$O$171*(1+rvanilla09)^0.5)/A29stdlife))</f>
        <v>0</v>
      </c>
      <c r="AJ450" s="107">
        <f>IF(A29stdlife="n/a","n/a",IF(AJ$3&gt;(A29stdlife+$E450),('PTRM input'!$O$171*(1+rvanilla09)^0.5)-SUM($O450:AI450),('PTRM input'!$O$171*(1+rvanilla09)^0.5)/A29stdlife))</f>
        <v>0</v>
      </c>
      <c r="AK450" s="107">
        <f>IF(A29stdlife="n/a","n/a",IF(AK$3&gt;(A29stdlife+$E450),('PTRM input'!$O$171*(1+rvanilla09)^0.5)-SUM($O450:AJ450),('PTRM input'!$O$171*(1+rvanilla09)^0.5)/A29stdlife))</f>
        <v>0</v>
      </c>
      <c r="AL450" s="107">
        <f>IF(A29stdlife="n/a","n/a",IF(AL$3&gt;(A29stdlife+$E450),('PTRM input'!$O$171*(1+rvanilla09)^0.5)-SUM($O450:AK450),('PTRM input'!$O$171*(1+rvanilla09)^0.5)/A29stdlife))</f>
        <v>0</v>
      </c>
      <c r="AM450" s="107">
        <f>IF(A29stdlife="n/a","n/a",IF(AM$3&gt;(A29stdlife+$E450),('PTRM input'!$O$171*(1+rvanilla09)^0.5)-SUM($O450:AL450),('PTRM input'!$O$171*(1+rvanilla09)^0.5)/A29stdlife))</f>
        <v>0</v>
      </c>
      <c r="AN450" s="107">
        <f>IF(A29stdlife="n/a","n/a",IF(AN$3&gt;(A29stdlife+$E450),('PTRM input'!$O$171*(1+rvanilla09)^0.5)-SUM($O450:AM450),('PTRM input'!$O$171*(1+rvanilla09)^0.5)/A29stdlife))</f>
        <v>0</v>
      </c>
      <c r="AO450" s="107">
        <f>IF(A29stdlife="n/a","n/a",IF(AO$3&gt;(A29stdlife+$E450),('PTRM input'!$O$171*(1+rvanilla09)^0.5)-SUM($O450:AN450),('PTRM input'!$O$171*(1+rvanilla09)^0.5)/A29stdlife))</f>
        <v>0</v>
      </c>
      <c r="AP450" s="107">
        <f>IF(A29stdlife="n/a","n/a",IF(AP$3&gt;(A29stdlife+$E450),('PTRM input'!$O$171*(1+rvanilla09)^0.5)-SUM($O450:AO450),('PTRM input'!$O$171*(1+rvanilla09)^0.5)/A29stdlife))</f>
        <v>0</v>
      </c>
      <c r="AQ450" s="107">
        <f>IF(A29stdlife="n/a","n/a",IF(AQ$3&gt;(A29stdlife+$E450),('PTRM input'!$O$171*(1+rvanilla09)^0.5)-SUM($O450:AP450),('PTRM input'!$O$171*(1+rvanilla09)^0.5)/A29stdlife))</f>
        <v>0</v>
      </c>
      <c r="AR450" s="107">
        <f>IF(A29stdlife="n/a","n/a",IF(AR$3&gt;(A29stdlife+$E450),('PTRM input'!$O$171*(1+rvanilla09)^0.5)-SUM($O450:AQ450),('PTRM input'!$O$171*(1+rvanilla09)^0.5)/A29stdlife))</f>
        <v>0</v>
      </c>
      <c r="AS450" s="107">
        <f>IF(A29stdlife="n/a","n/a",IF(AS$3&gt;(A29stdlife+$E450),('PTRM input'!$O$171*(1+rvanilla09)^0.5)-SUM($O450:AR450),('PTRM input'!$O$171*(1+rvanilla09)^0.5)/A29stdlife))</f>
        <v>0</v>
      </c>
      <c r="AT450" s="107">
        <f>IF(A29stdlife="n/a","n/a",IF(AT$3&gt;(A29stdlife+$E450),('PTRM input'!$O$171*(1+rvanilla09)^0.5)-SUM($O450:AS450),('PTRM input'!$O$171*(1+rvanilla09)^0.5)/A29stdlife))</f>
        <v>0</v>
      </c>
      <c r="AU450" s="107">
        <f>IF(A29stdlife="n/a","n/a",IF(AU$3&gt;(A29stdlife+$E450),('PTRM input'!$O$171*(1+rvanilla09)^0.5)-SUM($O450:AT450),('PTRM input'!$O$171*(1+rvanilla09)^0.5)/A29stdlife))</f>
        <v>0</v>
      </c>
      <c r="AV450" s="107">
        <f>IF(A29stdlife="n/a","n/a",IF(AV$3&gt;(A29stdlife+$E450),('PTRM input'!$O$171*(1+rvanilla09)^0.5)-SUM($O450:AU450),('PTRM input'!$O$171*(1+rvanilla09)^0.5)/A29stdlife))</f>
        <v>0</v>
      </c>
      <c r="AW450" s="107">
        <f>IF(A29stdlife="n/a","n/a",IF(AW$3&gt;(A29stdlife+$E450),('PTRM input'!$O$171*(1+rvanilla09)^0.5)-SUM($O450:AV450),('PTRM input'!$O$171*(1+rvanilla09)^0.5)/A29stdlife))</f>
        <v>0</v>
      </c>
      <c r="AX450" s="107">
        <f>IF(A29stdlife="n/a","n/a",IF(AX$3&gt;(A29stdlife+$E450),('PTRM input'!$O$171*(1+rvanilla09)^0.5)-SUM($O450:AW450),('PTRM input'!$O$171*(1+rvanilla09)^0.5)/A29stdlife))</f>
        <v>0</v>
      </c>
      <c r="AY450" s="107">
        <f>IF(A29stdlife="n/a","n/a",IF(AY$3&gt;(A29stdlife+$E450),('PTRM input'!$O$171*(1+rvanilla09)^0.5)-SUM($O450:AX450),('PTRM input'!$O$171*(1+rvanilla09)^0.5)/A29stdlife))</f>
        <v>0</v>
      </c>
      <c r="AZ450" s="107">
        <f>IF(A29stdlife="n/a","n/a",IF(AZ$3&gt;(A29stdlife+$E450),('PTRM input'!$O$171*(1+rvanilla09)^0.5)-SUM($O450:AY450),('PTRM input'!$O$171*(1+rvanilla09)^0.5)/A29stdlife))</f>
        <v>0</v>
      </c>
      <c r="BA450" s="107">
        <f>IF(A29stdlife="n/a","n/a",IF(BA$3&gt;(A29stdlife+$E450),('PTRM input'!$O$171*(1+rvanilla09)^0.5)-SUM($O450:AZ450),('PTRM input'!$O$171*(1+rvanilla09)^0.5)/A29stdlife))</f>
        <v>0</v>
      </c>
      <c r="BB450" s="107">
        <f>IF(A29stdlife="n/a","n/a",IF(BB$3&gt;(A29stdlife+$E450),('PTRM input'!$O$171*(1+rvanilla09)^0.5)-SUM($O450:BA450),('PTRM input'!$O$171*(1+rvanilla09)^0.5)/A29stdlife))</f>
        <v>0</v>
      </c>
      <c r="BC450" s="107">
        <f>IF(A29stdlife="n/a","n/a",IF(BC$3&gt;(A29stdlife+$E450),('PTRM input'!$O$171*(1+rvanilla09)^0.5)-SUM($O450:BB450),('PTRM input'!$O$171*(1+rvanilla09)^0.5)/A29stdlife))</f>
        <v>0</v>
      </c>
      <c r="BD450" s="107">
        <f>IF(A29stdlife="n/a","n/a",IF(BD$3&gt;(A29stdlife+$E450),('PTRM input'!$O$171*(1+rvanilla09)^0.5)-SUM($O450:BC450),('PTRM input'!$O$171*(1+rvanilla09)^0.5)/A29stdlife))</f>
        <v>0</v>
      </c>
      <c r="BE450" s="107">
        <f>IF(A29stdlife="n/a","n/a",IF(BE$3&gt;(A29stdlife+$E450),('PTRM input'!$O$171*(1+rvanilla09)^0.5)-SUM($O450:BD450),('PTRM input'!$O$171*(1+rvanilla09)^0.5)/A29stdlife))</f>
        <v>0</v>
      </c>
      <c r="BF450" s="107">
        <f>IF(A29stdlife="n/a","n/a",IF(BF$3&gt;(A29stdlife+$E450),('PTRM input'!$O$171*(1+rvanilla09)^0.5)-SUM($O450:BE450),('PTRM input'!$O$171*(1+rvanilla09)^0.5)/A29stdlife))</f>
        <v>0</v>
      </c>
      <c r="BG450" s="107">
        <f>IF(A29stdlife="n/a","n/a",IF(BG$3&gt;(A29stdlife+$E450),('PTRM input'!$O$171*(1+rvanilla09)^0.5)-SUM($O450:BF450),('PTRM input'!$O$171*(1+rvanilla09)^0.5)/A29stdlife))</f>
        <v>0</v>
      </c>
      <c r="BH450" s="107">
        <f>IF(A29stdlife="n/a","n/a",IF(BH$3&gt;(A29stdlife+$E450),('PTRM input'!$O$171*(1+rvanilla09)^0.5)-SUM($O450:BG450),('PTRM input'!$O$171*(1+rvanilla09)^0.5)/A29stdlife))</f>
        <v>0</v>
      </c>
      <c r="BI450" s="107">
        <f>IF(A29stdlife="n/a","n/a",IF(BI$3&gt;(A29stdlife+$E450),('PTRM input'!$O$171*(1+rvanilla09)^0.5)-SUM($O450:BH450),('PTRM input'!$O$171*(1+rvanilla09)^0.5)/A29stdlife))</f>
        <v>0</v>
      </c>
      <c r="BJ450" s="237"/>
      <c r="BK450" s="237"/>
      <c r="BL450" s="237"/>
      <c r="BM450" s="237"/>
    </row>
    <row r="451" spans="1:65" s="190" customFormat="1" hidden="1" outlineLevel="2">
      <c r="A451" s="237"/>
      <c r="B451" s="33"/>
      <c r="C451" s="32"/>
      <c r="D451" s="1618"/>
      <c r="E451" s="170">
        <v>10</v>
      </c>
      <c r="F451" s="35"/>
      <c r="G451" s="184"/>
      <c r="H451" s="186"/>
      <c r="I451" s="186"/>
      <c r="J451" s="186"/>
      <c r="K451" s="186"/>
      <c r="L451" s="186"/>
      <c r="M451" s="186"/>
      <c r="N451" s="186"/>
      <c r="O451" s="186"/>
      <c r="P451" s="185"/>
      <c r="Q451" s="107">
        <f>IF(A29stdlife="n/a","n/a",IF(Q$3&gt;(A29stdlife+$E451),('PTRM input'!$P$171*(1+rvanilla10)^0.5)-SUM($P451:P451),('PTRM input'!$P$171*(1+rvanilla10)^0.5)/A29stdlife))</f>
        <v>0</v>
      </c>
      <c r="R451" s="107">
        <f>IF(A29stdlife="n/a","n/a",IF(R$3&gt;(A29stdlife+$E451),('PTRM input'!$P$171*(1+rvanilla10)^0.5)-SUM($P451:Q451),('PTRM input'!$P$171*(1+rvanilla10)^0.5)/A29stdlife))</f>
        <v>0</v>
      </c>
      <c r="S451" s="107">
        <f>IF(A29stdlife="n/a","n/a",IF(S$3&gt;(A29stdlife+$E451),('PTRM input'!$P$171*(1+rvanilla10)^0.5)-SUM($P451:R451),('PTRM input'!$P$171*(1+rvanilla10)^0.5)/A29stdlife))</f>
        <v>0</v>
      </c>
      <c r="T451" s="107">
        <f>IF(A29stdlife="n/a","n/a",IF(T$3&gt;(A29stdlife+$E451),('PTRM input'!$P$171*(1+rvanilla10)^0.5)-SUM($P451:S451),('PTRM input'!$P$171*(1+rvanilla10)^0.5)/A29stdlife))</f>
        <v>0</v>
      </c>
      <c r="U451" s="107">
        <f>IF(A29stdlife="n/a","n/a",IF(U$3&gt;(A29stdlife+$E451),('PTRM input'!$P$171*(1+rvanilla10)^0.5)-SUM($P451:T451),('PTRM input'!$P$171*(1+rvanilla10)^0.5)/A29stdlife))</f>
        <v>0</v>
      </c>
      <c r="V451" s="107">
        <f>IF(A29stdlife="n/a","n/a",IF(V$3&gt;(A29stdlife+$E451),('PTRM input'!$P$171*(1+rvanilla10)^0.5)-SUM($P451:U451),('PTRM input'!$P$171*(1+rvanilla10)^0.5)/A29stdlife))</f>
        <v>0</v>
      </c>
      <c r="W451" s="107">
        <f>IF(A29stdlife="n/a","n/a",IF(W$3&gt;(A29stdlife+$E451),('PTRM input'!$P$171*(1+rvanilla10)^0.5)-SUM($P451:V451),('PTRM input'!$P$171*(1+rvanilla10)^0.5)/A29stdlife))</f>
        <v>0</v>
      </c>
      <c r="X451" s="107">
        <f>IF(A29stdlife="n/a","n/a",IF(X$3&gt;(A29stdlife+$E451),('PTRM input'!$P$171*(1+rvanilla10)^0.5)-SUM($P451:W451),('PTRM input'!$P$171*(1+rvanilla10)^0.5)/A29stdlife))</f>
        <v>0</v>
      </c>
      <c r="Y451" s="107">
        <f>IF(A29stdlife="n/a","n/a",IF(Y$3&gt;(A29stdlife+$E451),('PTRM input'!$P$171*(1+rvanilla10)^0.5)-SUM($P451:X451),('PTRM input'!$P$171*(1+rvanilla10)^0.5)/A29stdlife))</f>
        <v>0</v>
      </c>
      <c r="Z451" s="107">
        <f>IF(A29stdlife="n/a","n/a",IF(Z$3&gt;(A29stdlife+$E451),('PTRM input'!$P$171*(1+rvanilla10)^0.5)-SUM($P451:Y451),('PTRM input'!$P$171*(1+rvanilla10)^0.5)/A29stdlife))</f>
        <v>0</v>
      </c>
      <c r="AA451" s="107">
        <f>IF(A29stdlife="n/a","n/a",IF(AA$3&gt;(A29stdlife+$E451),('PTRM input'!$P$171*(1+rvanilla10)^0.5)-SUM($P451:Z451),('PTRM input'!$P$171*(1+rvanilla10)^0.5)/A29stdlife))</f>
        <v>0</v>
      </c>
      <c r="AB451" s="107">
        <f>IF(A29stdlife="n/a","n/a",IF(AB$3&gt;(A29stdlife+$E451),('PTRM input'!$P$171*(1+rvanilla10)^0.5)-SUM($P451:AA451),('PTRM input'!$P$171*(1+rvanilla10)^0.5)/A29stdlife))</f>
        <v>0</v>
      </c>
      <c r="AC451" s="107">
        <f>IF(A29stdlife="n/a","n/a",IF(AC$3&gt;(A29stdlife+$E451),('PTRM input'!$P$171*(1+rvanilla10)^0.5)-SUM($P451:AB451),('PTRM input'!$P$171*(1+rvanilla10)^0.5)/A29stdlife))</f>
        <v>0</v>
      </c>
      <c r="AD451" s="107">
        <f>IF(A29stdlife="n/a","n/a",IF(AD$3&gt;(A29stdlife+$E451),('PTRM input'!$P$171*(1+rvanilla10)^0.5)-SUM($P451:AC451),('PTRM input'!$P$171*(1+rvanilla10)^0.5)/A29stdlife))</f>
        <v>0</v>
      </c>
      <c r="AE451" s="107">
        <f>IF(A29stdlife="n/a","n/a",IF(AE$3&gt;(A29stdlife+$E451),('PTRM input'!$P$171*(1+rvanilla10)^0.5)-SUM($P451:AD451),('PTRM input'!$P$171*(1+rvanilla10)^0.5)/A29stdlife))</f>
        <v>0</v>
      </c>
      <c r="AF451" s="107">
        <f>IF(A29stdlife="n/a","n/a",IF(AF$3&gt;(A29stdlife+$E451),('PTRM input'!$P$171*(1+rvanilla10)^0.5)-SUM($P451:AE451),('PTRM input'!$P$171*(1+rvanilla10)^0.5)/A29stdlife))</f>
        <v>0</v>
      </c>
      <c r="AG451" s="107">
        <f>IF(A29stdlife="n/a","n/a",IF(AG$3&gt;(A29stdlife+$E451),('PTRM input'!$P$171*(1+rvanilla10)^0.5)-SUM($P451:AF451),('PTRM input'!$P$171*(1+rvanilla10)^0.5)/A29stdlife))</f>
        <v>0</v>
      </c>
      <c r="AH451" s="107">
        <f>IF(A29stdlife="n/a","n/a",IF(AH$3&gt;(A29stdlife+$E451),('PTRM input'!$P$171*(1+rvanilla10)^0.5)-SUM($P451:AG451),('PTRM input'!$P$171*(1+rvanilla10)^0.5)/A29stdlife))</f>
        <v>0</v>
      </c>
      <c r="AI451" s="107">
        <f>IF(A29stdlife="n/a","n/a",IF(AI$3&gt;(A29stdlife+$E451),('PTRM input'!$P$171*(1+rvanilla10)^0.5)-SUM($P451:AH451),('PTRM input'!$P$171*(1+rvanilla10)^0.5)/A29stdlife))</f>
        <v>0</v>
      </c>
      <c r="AJ451" s="107">
        <f>IF(A29stdlife="n/a","n/a",IF(AJ$3&gt;(A29stdlife+$E451),('PTRM input'!$P$171*(1+rvanilla10)^0.5)-SUM($P451:AI451),('PTRM input'!$P$171*(1+rvanilla10)^0.5)/A29stdlife))</f>
        <v>0</v>
      </c>
      <c r="AK451" s="107">
        <f>IF(A29stdlife="n/a","n/a",IF(AK$3&gt;(A29stdlife+$E451),('PTRM input'!$P$171*(1+rvanilla10)^0.5)-SUM($P451:AJ451),('PTRM input'!$P$171*(1+rvanilla10)^0.5)/A29stdlife))</f>
        <v>0</v>
      </c>
      <c r="AL451" s="107">
        <f>IF(A29stdlife="n/a","n/a",IF(AL$3&gt;(A29stdlife+$E451),('PTRM input'!$P$171*(1+rvanilla10)^0.5)-SUM($P451:AK451),('PTRM input'!$P$171*(1+rvanilla10)^0.5)/A29stdlife))</f>
        <v>0</v>
      </c>
      <c r="AM451" s="107">
        <f>IF(A29stdlife="n/a","n/a",IF(AM$3&gt;(A29stdlife+$E451),('PTRM input'!$P$171*(1+rvanilla10)^0.5)-SUM($P451:AL451),('PTRM input'!$P$171*(1+rvanilla10)^0.5)/A29stdlife))</f>
        <v>0</v>
      </c>
      <c r="AN451" s="107">
        <f>IF(A29stdlife="n/a","n/a",IF(AN$3&gt;(A29stdlife+$E451),('PTRM input'!$P$171*(1+rvanilla10)^0.5)-SUM($P451:AM451),('PTRM input'!$P$171*(1+rvanilla10)^0.5)/A29stdlife))</f>
        <v>0</v>
      </c>
      <c r="AO451" s="107">
        <f>IF(A29stdlife="n/a","n/a",IF(AO$3&gt;(A29stdlife+$E451),('PTRM input'!$P$171*(1+rvanilla10)^0.5)-SUM($P451:AN451),('PTRM input'!$P$171*(1+rvanilla10)^0.5)/A29stdlife))</f>
        <v>0</v>
      </c>
      <c r="AP451" s="107">
        <f>IF(A29stdlife="n/a","n/a",IF(AP$3&gt;(A29stdlife+$E451),('PTRM input'!$P$171*(1+rvanilla10)^0.5)-SUM($P451:AO451),('PTRM input'!$P$171*(1+rvanilla10)^0.5)/A29stdlife))</f>
        <v>0</v>
      </c>
      <c r="AQ451" s="107">
        <f>IF(A29stdlife="n/a","n/a",IF(AQ$3&gt;(A29stdlife+$E451),('PTRM input'!$P$171*(1+rvanilla10)^0.5)-SUM($P451:AP451),('PTRM input'!$P$171*(1+rvanilla10)^0.5)/A29stdlife))</f>
        <v>0</v>
      </c>
      <c r="AR451" s="107">
        <f>IF(A29stdlife="n/a","n/a",IF(AR$3&gt;(A29stdlife+$E451),('PTRM input'!$P$171*(1+rvanilla10)^0.5)-SUM($P451:AQ451),('PTRM input'!$P$171*(1+rvanilla10)^0.5)/A29stdlife))</f>
        <v>0</v>
      </c>
      <c r="AS451" s="107">
        <f>IF(A29stdlife="n/a","n/a",IF(AS$3&gt;(A29stdlife+$E451),('PTRM input'!$P$171*(1+rvanilla10)^0.5)-SUM($P451:AR451),('PTRM input'!$P$171*(1+rvanilla10)^0.5)/A29stdlife))</f>
        <v>0</v>
      </c>
      <c r="AT451" s="107">
        <f>IF(A29stdlife="n/a","n/a",IF(AT$3&gt;(A29stdlife+$E451),('PTRM input'!$P$171*(1+rvanilla10)^0.5)-SUM($P451:AS451),('PTRM input'!$P$171*(1+rvanilla10)^0.5)/A29stdlife))</f>
        <v>0</v>
      </c>
      <c r="AU451" s="107">
        <f>IF(A29stdlife="n/a","n/a",IF(AU$3&gt;(A29stdlife+$E451),('PTRM input'!$P$171*(1+rvanilla10)^0.5)-SUM($P451:AT451),('PTRM input'!$P$171*(1+rvanilla10)^0.5)/A29stdlife))</f>
        <v>0</v>
      </c>
      <c r="AV451" s="107">
        <f>IF(A29stdlife="n/a","n/a",IF(AV$3&gt;(A29stdlife+$E451),('PTRM input'!$P$171*(1+rvanilla10)^0.5)-SUM($P451:AU451),('PTRM input'!$P$171*(1+rvanilla10)^0.5)/A29stdlife))</f>
        <v>0</v>
      </c>
      <c r="AW451" s="107">
        <f>IF(A29stdlife="n/a","n/a",IF(AW$3&gt;(A29stdlife+$E451),('PTRM input'!$P$171*(1+rvanilla10)^0.5)-SUM($P451:AV451),('PTRM input'!$P$171*(1+rvanilla10)^0.5)/A29stdlife))</f>
        <v>0</v>
      </c>
      <c r="AX451" s="107">
        <f>IF(A29stdlife="n/a","n/a",IF(AX$3&gt;(A29stdlife+$E451),('PTRM input'!$P$171*(1+rvanilla10)^0.5)-SUM($P451:AW451),('PTRM input'!$P$171*(1+rvanilla10)^0.5)/A29stdlife))</f>
        <v>0</v>
      </c>
      <c r="AY451" s="107">
        <f>IF(A29stdlife="n/a","n/a",IF(AY$3&gt;(A29stdlife+$E451),('PTRM input'!$P$171*(1+rvanilla10)^0.5)-SUM($P451:AX451),('PTRM input'!$P$171*(1+rvanilla10)^0.5)/A29stdlife))</f>
        <v>0</v>
      </c>
      <c r="AZ451" s="107">
        <f>IF(A29stdlife="n/a","n/a",IF(AZ$3&gt;(A29stdlife+$E451),('PTRM input'!$P$171*(1+rvanilla10)^0.5)-SUM($P451:AY451),('PTRM input'!$P$171*(1+rvanilla10)^0.5)/A29stdlife))</f>
        <v>0</v>
      </c>
      <c r="BA451" s="107">
        <f>IF(A29stdlife="n/a","n/a",IF(BA$3&gt;(A29stdlife+$E451),('PTRM input'!$P$171*(1+rvanilla10)^0.5)-SUM($P451:AZ451),('PTRM input'!$P$171*(1+rvanilla10)^0.5)/A29stdlife))</f>
        <v>0</v>
      </c>
      <c r="BB451" s="107">
        <f>IF(A29stdlife="n/a","n/a",IF(BB$3&gt;(A29stdlife+$E451),('PTRM input'!$P$171*(1+rvanilla10)^0.5)-SUM($P451:BA451),('PTRM input'!$P$171*(1+rvanilla10)^0.5)/A29stdlife))</f>
        <v>0</v>
      </c>
      <c r="BC451" s="107">
        <f>IF(A29stdlife="n/a","n/a",IF(BC$3&gt;(A29stdlife+$E451),('PTRM input'!$P$171*(1+rvanilla10)^0.5)-SUM($P451:BB451),('PTRM input'!$P$171*(1+rvanilla10)^0.5)/A29stdlife))</f>
        <v>0</v>
      </c>
      <c r="BD451" s="107">
        <f>IF(A29stdlife="n/a","n/a",IF(BD$3&gt;(A29stdlife+$E451),('PTRM input'!$P$171*(1+rvanilla10)^0.5)-SUM($P451:BC451),('PTRM input'!$P$171*(1+rvanilla10)^0.5)/A29stdlife))</f>
        <v>0</v>
      </c>
      <c r="BE451" s="107">
        <f>IF(A29stdlife="n/a","n/a",IF(BE$3&gt;(A29stdlife+$E451),('PTRM input'!$P$171*(1+rvanilla10)^0.5)-SUM($P451:BD451),('PTRM input'!$P$171*(1+rvanilla10)^0.5)/A29stdlife))</f>
        <v>0</v>
      </c>
      <c r="BF451" s="107">
        <f>IF(A29stdlife="n/a","n/a",IF(BF$3&gt;(A29stdlife+$E451),('PTRM input'!$P$171*(1+rvanilla10)^0.5)-SUM($P451:BE451),('PTRM input'!$P$171*(1+rvanilla10)^0.5)/A29stdlife))</f>
        <v>0</v>
      </c>
      <c r="BG451" s="107">
        <f>IF(A29stdlife="n/a","n/a",IF(BG$3&gt;(A29stdlife+$E451),('PTRM input'!$P$171*(1+rvanilla10)^0.5)-SUM($P451:BF451),('PTRM input'!$P$171*(1+rvanilla10)^0.5)/A29stdlife))</f>
        <v>0</v>
      </c>
      <c r="BH451" s="107">
        <f>IF(A29stdlife="n/a","n/a",IF(BH$3&gt;(A29stdlife+$E451),('PTRM input'!$P$171*(1+rvanilla10)^0.5)-SUM($P451:BG451),('PTRM input'!$P$171*(1+rvanilla10)^0.5)/A29stdlife))</f>
        <v>0</v>
      </c>
      <c r="BI451" s="107">
        <f>IF(A29stdlife="n/a","n/a",IF(BI$3&gt;(A29stdlife+$E451),('PTRM input'!$P$171*(1+rvanilla10)^0.5)-SUM($P451:BH451),('PTRM input'!$P$171*(1+rvanilla10)^0.5)/A29stdlife))</f>
        <v>0</v>
      </c>
      <c r="BJ451" s="237"/>
      <c r="BK451" s="237"/>
      <c r="BL451" s="237"/>
      <c r="BM451" s="237"/>
    </row>
    <row r="452" spans="1:65" s="190" customFormat="1" hidden="1" outlineLevel="1">
      <c r="A452" s="237"/>
      <c r="B452" s="18"/>
      <c r="C452" s="33">
        <f>Asset29</f>
        <v>0</v>
      </c>
      <c r="D452" s="18"/>
      <c r="E452" s="18"/>
      <c r="F452" s="31"/>
      <c r="G452" s="104">
        <f t="shared" ref="G452:AL452" si="93">SUM(G440:G451)</f>
        <v>0</v>
      </c>
      <c r="H452" s="104">
        <f t="shared" si="93"/>
        <v>0</v>
      </c>
      <c r="I452" s="104">
        <f t="shared" si="93"/>
        <v>0</v>
      </c>
      <c r="J452" s="104">
        <f t="shared" si="93"/>
        <v>0</v>
      </c>
      <c r="K452" s="104">
        <f t="shared" si="93"/>
        <v>0</v>
      </c>
      <c r="L452" s="104">
        <f t="shared" si="93"/>
        <v>0</v>
      </c>
      <c r="M452" s="104">
        <f t="shared" si="93"/>
        <v>0</v>
      </c>
      <c r="N452" s="104">
        <f t="shared" si="93"/>
        <v>0</v>
      </c>
      <c r="O452" s="104">
        <f t="shared" si="93"/>
        <v>0</v>
      </c>
      <c r="P452" s="104">
        <f t="shared" si="93"/>
        <v>0</v>
      </c>
      <c r="Q452" s="104">
        <f t="shared" si="93"/>
        <v>0</v>
      </c>
      <c r="R452" s="104">
        <f t="shared" si="93"/>
        <v>0</v>
      </c>
      <c r="S452" s="104">
        <f t="shared" si="93"/>
        <v>0</v>
      </c>
      <c r="T452" s="104">
        <f t="shared" si="93"/>
        <v>0</v>
      </c>
      <c r="U452" s="104">
        <f t="shared" si="93"/>
        <v>0</v>
      </c>
      <c r="V452" s="104">
        <f t="shared" si="93"/>
        <v>0</v>
      </c>
      <c r="W452" s="104">
        <f t="shared" si="93"/>
        <v>0</v>
      </c>
      <c r="X452" s="104">
        <f t="shared" si="93"/>
        <v>0</v>
      </c>
      <c r="Y452" s="104">
        <f t="shared" si="93"/>
        <v>0</v>
      </c>
      <c r="Z452" s="104">
        <f t="shared" si="93"/>
        <v>0</v>
      </c>
      <c r="AA452" s="104">
        <f t="shared" si="93"/>
        <v>0</v>
      </c>
      <c r="AB452" s="104">
        <f t="shared" si="93"/>
        <v>0</v>
      </c>
      <c r="AC452" s="104">
        <f t="shared" si="93"/>
        <v>0</v>
      </c>
      <c r="AD452" s="104">
        <f t="shared" si="93"/>
        <v>0</v>
      </c>
      <c r="AE452" s="104">
        <f t="shared" si="93"/>
        <v>0</v>
      </c>
      <c r="AF452" s="104">
        <f t="shared" si="93"/>
        <v>0</v>
      </c>
      <c r="AG452" s="104">
        <f t="shared" si="93"/>
        <v>0</v>
      </c>
      <c r="AH452" s="104">
        <f t="shared" si="93"/>
        <v>0</v>
      </c>
      <c r="AI452" s="104">
        <f t="shared" si="93"/>
        <v>0</v>
      </c>
      <c r="AJ452" s="104">
        <f t="shared" si="93"/>
        <v>0</v>
      </c>
      <c r="AK452" s="104">
        <f t="shared" si="93"/>
        <v>0</v>
      </c>
      <c r="AL452" s="104">
        <f t="shared" si="93"/>
        <v>0</v>
      </c>
      <c r="AM452" s="104">
        <f t="shared" ref="AM452:BI452" si="94">SUM(AM440:AM451)</f>
        <v>0</v>
      </c>
      <c r="AN452" s="104">
        <f t="shared" si="94"/>
        <v>0</v>
      </c>
      <c r="AO452" s="104">
        <f t="shared" si="94"/>
        <v>0</v>
      </c>
      <c r="AP452" s="104">
        <f t="shared" si="94"/>
        <v>0</v>
      </c>
      <c r="AQ452" s="104">
        <f t="shared" si="94"/>
        <v>0</v>
      </c>
      <c r="AR452" s="104">
        <f t="shared" si="94"/>
        <v>0</v>
      </c>
      <c r="AS452" s="104">
        <f t="shared" si="94"/>
        <v>0</v>
      </c>
      <c r="AT452" s="104">
        <f t="shared" si="94"/>
        <v>0</v>
      </c>
      <c r="AU452" s="104">
        <f t="shared" si="94"/>
        <v>0</v>
      </c>
      <c r="AV452" s="104">
        <f t="shared" si="94"/>
        <v>0</v>
      </c>
      <c r="AW452" s="104">
        <f t="shared" si="94"/>
        <v>0</v>
      </c>
      <c r="AX452" s="104">
        <f t="shared" si="94"/>
        <v>0</v>
      </c>
      <c r="AY452" s="104">
        <f t="shared" si="94"/>
        <v>0</v>
      </c>
      <c r="AZ452" s="104">
        <f t="shared" si="94"/>
        <v>0</v>
      </c>
      <c r="BA452" s="104">
        <f t="shared" si="94"/>
        <v>0</v>
      </c>
      <c r="BB452" s="104">
        <f t="shared" si="94"/>
        <v>0</v>
      </c>
      <c r="BC452" s="104">
        <f t="shared" si="94"/>
        <v>0</v>
      </c>
      <c r="BD452" s="104">
        <f t="shared" si="94"/>
        <v>0</v>
      </c>
      <c r="BE452" s="104">
        <f t="shared" si="94"/>
        <v>0</v>
      </c>
      <c r="BF452" s="104">
        <f t="shared" si="94"/>
        <v>0</v>
      </c>
      <c r="BG452" s="104">
        <f t="shared" si="94"/>
        <v>0</v>
      </c>
      <c r="BH452" s="104">
        <f t="shared" si="94"/>
        <v>0</v>
      </c>
      <c r="BI452" s="104">
        <f t="shared" si="94"/>
        <v>0</v>
      </c>
      <c r="BJ452" s="237"/>
      <c r="BK452" s="237"/>
      <c r="BL452" s="237"/>
      <c r="BM452" s="237"/>
    </row>
    <row r="453" spans="1:65" s="190" customFormat="1" ht="12.75" hidden="1" customHeight="1" outlineLevel="2">
      <c r="A453" s="237"/>
      <c r="B453" s="37" t="str">
        <f>C465</f>
        <v>Equity raising costs</v>
      </c>
      <c r="C453" s="38"/>
      <c r="D453" s="39" t="s">
        <v>58</v>
      </c>
      <c r="E453" s="38"/>
      <c r="F453" s="40"/>
      <c r="G453" s="106">
        <f>IF(G$3&gt;A30remlife,A30value-SUM($F453:F453),IF(A30remlife="N/A","n/a",A30value/A30remlife))</f>
        <v>0</v>
      </c>
      <c r="H453" s="106">
        <f>IF(H$3&gt;A30remlife,A30value-SUM($F453:G453),IF(A30remlife="N/A","n/a",A30value/A30remlife))</f>
        <v>0</v>
      </c>
      <c r="I453" s="106">
        <f>IF(I$3&gt;A30remlife,A30value-SUM($F453:H453),IF(A30remlife="N/A","n/a",A30value/A30remlife))</f>
        <v>0</v>
      </c>
      <c r="J453" s="106">
        <f>IF(J$3&gt;A30remlife,A30value-SUM($F453:I453),IF(A30remlife="N/A","n/a",A30value/A30remlife))</f>
        <v>0</v>
      </c>
      <c r="K453" s="106">
        <f>IF(K$3&gt;A30remlife,A30value-SUM($F453:J453),IF(A30remlife="N/A","n/a",A30value/A30remlife))</f>
        <v>0</v>
      </c>
      <c r="L453" s="106">
        <f>IF(L$3&gt;A30remlife,A30value-SUM($F453:K453),IF(A30remlife="N/A","n/a",A30value/A30remlife))</f>
        <v>0</v>
      </c>
      <c r="M453" s="106">
        <f>IF(M$3&gt;A30remlife,A30value-SUM($F453:L453),IF(A30remlife="N/A","n/a",A30value/A30remlife))</f>
        <v>0</v>
      </c>
      <c r="N453" s="106">
        <f>IF(N$3&gt;A30remlife,A30value-SUM($F453:M453),IF(A30remlife="N/A","n/a",A30value/A30remlife))</f>
        <v>0</v>
      </c>
      <c r="O453" s="106">
        <f>IF(O$3&gt;A30remlife,A30value-SUM($F453:N453),IF(A30remlife="N/A","n/a",A30value/A30remlife))</f>
        <v>0</v>
      </c>
      <c r="P453" s="106">
        <f>IF(P$3&gt;A30remlife,A30value-SUM($F453:O453),IF(A30remlife="N/A","n/a",A30value/A30remlife))</f>
        <v>0</v>
      </c>
      <c r="Q453" s="106">
        <f>IF(Q$3&gt;A30remlife,A30value-SUM($F453:P453),IF(A30remlife="N/A","n/a",A30value/A30remlife))</f>
        <v>0</v>
      </c>
      <c r="R453" s="106">
        <f>IF(R$3&gt;A30remlife,A30value-SUM($F453:Q453),IF(A30remlife="N/A","n/a",A30value/A30remlife))</f>
        <v>0</v>
      </c>
      <c r="S453" s="106">
        <f>IF(S$3&gt;A30remlife,A30value-SUM($F453:R453),IF(A30remlife="N/A","n/a",A30value/A30remlife))</f>
        <v>0</v>
      </c>
      <c r="T453" s="106">
        <f>IF(T$3&gt;A30remlife,A30value-SUM($F453:S453),IF(A30remlife="N/A","n/a",A30value/A30remlife))</f>
        <v>0</v>
      </c>
      <c r="U453" s="106">
        <f>IF(U$3&gt;A30remlife,A30value-SUM($F453:T453),IF(A30remlife="N/A","n/a",A30value/A30remlife))</f>
        <v>0</v>
      </c>
      <c r="V453" s="106">
        <f>IF(V$3&gt;A30remlife,A30value-SUM($F453:U453),IF(A30remlife="N/A","n/a",A30value/A30remlife))</f>
        <v>0</v>
      </c>
      <c r="W453" s="106">
        <f>IF(W$3&gt;A30remlife,A30value-SUM($F453:V453),IF(A30remlife="N/A","n/a",A30value/A30remlife))</f>
        <v>0</v>
      </c>
      <c r="X453" s="106">
        <f>IF(X$3&gt;A30remlife,A30value-SUM($F453:W453),IF(A30remlife="N/A","n/a",A30value/A30remlife))</f>
        <v>0</v>
      </c>
      <c r="Y453" s="106">
        <f>IF(Y$3&gt;A30remlife,A30value-SUM($F453:X453),IF(A30remlife="N/A","n/a",A30value/A30remlife))</f>
        <v>0</v>
      </c>
      <c r="Z453" s="106">
        <f>IF(Z$3&gt;A30remlife,A30value-SUM($F453:Y453),IF(A30remlife="N/A","n/a",A30value/A30remlife))</f>
        <v>0</v>
      </c>
      <c r="AA453" s="106">
        <f>IF(AA$3&gt;A30remlife,A30value-SUM($F453:Z453),IF(A30remlife="N/A","n/a",A30value/A30remlife))</f>
        <v>0</v>
      </c>
      <c r="AB453" s="106">
        <f>IF(AB$3&gt;A30remlife,A30value-SUM($F453:AA453),IF(A30remlife="N/A","n/a",A30value/A30remlife))</f>
        <v>0</v>
      </c>
      <c r="AC453" s="106">
        <f>IF(AC$3&gt;A30remlife,A30value-SUM($F453:AB453),IF(A30remlife="N/A","n/a",A30value/A30remlife))</f>
        <v>0</v>
      </c>
      <c r="AD453" s="106">
        <f>IF(AD$3&gt;A30remlife,A30value-SUM($F453:AC453),IF(A30remlife="N/A","n/a",A30value/A30remlife))</f>
        <v>0</v>
      </c>
      <c r="AE453" s="106">
        <f>IF(AE$3&gt;A30remlife,A30value-SUM($F453:AD453),IF(A30remlife="N/A","n/a",A30value/A30remlife))</f>
        <v>0</v>
      </c>
      <c r="AF453" s="106">
        <f>IF(AF$3&gt;A30remlife,A30value-SUM($F453:AE453),IF(A30remlife="N/A","n/a",A30value/A30remlife))</f>
        <v>0</v>
      </c>
      <c r="AG453" s="106">
        <f>IF(AG$3&gt;A30remlife,A30value-SUM($F453:AF453),IF(A30remlife="N/A","n/a",A30value/A30remlife))</f>
        <v>0</v>
      </c>
      <c r="AH453" s="106">
        <f>IF(AH$3&gt;A30remlife,A30value-SUM($F453:AG453),IF(A30remlife="N/A","n/a",A30value/A30remlife))</f>
        <v>0</v>
      </c>
      <c r="AI453" s="106">
        <f>IF(AI$3&gt;A30remlife,A30value-SUM($F453:AH453),IF(A30remlife="N/A","n/a",A30value/A30remlife))</f>
        <v>0</v>
      </c>
      <c r="AJ453" s="106">
        <f>IF(AJ$3&gt;A30remlife,A30value-SUM($F453:AI453),IF(A30remlife="N/A","n/a",A30value/A30remlife))</f>
        <v>0</v>
      </c>
      <c r="AK453" s="106">
        <f>IF(AK$3&gt;A30remlife,A30value-SUM($F453:AJ453),IF(A30remlife="N/A","n/a",A30value/A30remlife))</f>
        <v>0</v>
      </c>
      <c r="AL453" s="106">
        <f>IF(AL$3&gt;A30remlife,A30value-SUM($F453:AK453),IF(A30remlife="N/A","n/a",A30value/A30remlife))</f>
        <v>0</v>
      </c>
      <c r="AM453" s="106">
        <f>IF(AM$3&gt;A30remlife,A30value-SUM($F453:AL453),IF(A30remlife="N/A","n/a",A30value/A30remlife))</f>
        <v>0</v>
      </c>
      <c r="AN453" s="106">
        <f>IF(AN$3&gt;A30remlife,A30value-SUM($F453:AM453),IF(A30remlife="N/A","n/a",A30value/A30remlife))</f>
        <v>0</v>
      </c>
      <c r="AO453" s="106">
        <f>IF(AO$3&gt;A30remlife,A30value-SUM($F453:AN453),IF(A30remlife="N/A","n/a",A30value/A30remlife))</f>
        <v>0</v>
      </c>
      <c r="AP453" s="106">
        <f>IF(AP$3&gt;A30remlife,A30value-SUM($F453:AO453),IF(A30remlife="N/A","n/a",A30value/A30remlife))</f>
        <v>0</v>
      </c>
      <c r="AQ453" s="106">
        <f>IF(AQ$3&gt;A30remlife,A30value-SUM($F453:AP453),IF(A30remlife="N/A","n/a",A30value/A30remlife))</f>
        <v>0</v>
      </c>
      <c r="AR453" s="106">
        <f>IF(AR$3&gt;A30remlife,A30value-SUM($F453:AQ453),IF(A30remlife="N/A","n/a",A30value/A30remlife))</f>
        <v>0</v>
      </c>
      <c r="AS453" s="106">
        <f>IF(AS$3&gt;A30remlife,A30value-SUM($F453:AR453),IF(A30remlife="N/A","n/a",A30value/A30remlife))</f>
        <v>0</v>
      </c>
      <c r="AT453" s="106">
        <f>IF(AT$3&gt;A30remlife,A30value-SUM($F453:AS453),IF(A30remlife="N/A","n/a",A30value/A30remlife))</f>
        <v>0</v>
      </c>
      <c r="AU453" s="106">
        <f>IF(AU$3&gt;A30remlife,A30value-SUM($F453:AT453),IF(A30remlife="N/A","n/a",A30value/A30remlife))</f>
        <v>0</v>
      </c>
      <c r="AV453" s="106">
        <f>IF(AV$3&gt;A30remlife,A30value-SUM($F453:AU453),IF(A30remlife="N/A","n/a",A30value/A30remlife))</f>
        <v>0</v>
      </c>
      <c r="AW453" s="106">
        <f>IF(AW$3&gt;A30remlife,A30value-SUM($F453:AV453),IF(A30remlife="N/A","n/a",A30value/A30remlife))</f>
        <v>0</v>
      </c>
      <c r="AX453" s="106">
        <f>IF(AX$3&gt;A30remlife,A30value-SUM($F453:AW453),IF(A30remlife="N/A","n/a",A30value/A30remlife))</f>
        <v>0</v>
      </c>
      <c r="AY453" s="106">
        <f>IF(AY$3&gt;A30remlife,A30value-SUM($F453:AX453),IF(A30remlife="N/A","n/a",A30value/A30remlife))</f>
        <v>0</v>
      </c>
      <c r="AZ453" s="106">
        <f>IF(AZ$3&gt;A30remlife,A30value-SUM($F453:AY453),IF(A30remlife="N/A","n/a",A30value/A30remlife))</f>
        <v>0</v>
      </c>
      <c r="BA453" s="106">
        <f>IF(BA$3&gt;A30remlife,A30value-SUM($F453:AZ453),IF(A30remlife="N/A","n/a",A30value/A30remlife))</f>
        <v>0</v>
      </c>
      <c r="BB453" s="106">
        <f>IF(BB$3&gt;A30remlife,A30value-SUM($F453:BA453),IF(A30remlife="N/A","n/a",A30value/A30remlife))</f>
        <v>0</v>
      </c>
      <c r="BC453" s="106">
        <f>IF(BC$3&gt;A30remlife,A30value-SUM($F453:BB453),IF(A30remlife="N/A","n/a",A30value/A30remlife))</f>
        <v>0</v>
      </c>
      <c r="BD453" s="106">
        <f>IF(BD$3&gt;A30remlife,A30value-SUM($F453:BC453),IF(A30remlife="N/A","n/a",A30value/A30remlife))</f>
        <v>0</v>
      </c>
      <c r="BE453" s="106">
        <f>IF(BE$3&gt;A30remlife,A30value-SUM($F453:BD453),IF(A30remlife="N/A","n/a",A30value/A30remlife))</f>
        <v>0</v>
      </c>
      <c r="BF453" s="106">
        <f>IF(BF$3&gt;A30remlife,A30value-SUM($F453:BE453),IF(A30remlife="N/A","n/a",A30value/A30remlife))</f>
        <v>0</v>
      </c>
      <c r="BG453" s="106">
        <f>IF(BG$3&gt;A30remlife,A30value-SUM($F453:BF453),IF(A30remlife="N/A","n/a",A30value/A30remlife))</f>
        <v>0</v>
      </c>
      <c r="BH453" s="106">
        <f>IF(BH$3&gt;A30remlife,A30value-SUM($F453:BG453),IF(A30remlife="N/A","n/a",A30value/A30remlife))</f>
        <v>0</v>
      </c>
      <c r="BI453" s="106">
        <f>IF(BI$3&gt;A30remlife,A30value-SUM($F453:BH453),IF(A30remlife="N/A","n/a",A30value/A30remlife))</f>
        <v>0</v>
      </c>
      <c r="BJ453" s="237"/>
      <c r="BK453" s="237"/>
      <c r="BL453" s="237"/>
      <c r="BM453" s="237"/>
    </row>
    <row r="454" spans="1:65" s="190" customFormat="1" ht="12.75" hidden="1" customHeight="1" outlineLevel="2">
      <c r="A454" s="237"/>
      <c r="B454" s="33"/>
      <c r="C454" s="32"/>
      <c r="D454" s="1618" t="s">
        <v>357</v>
      </c>
      <c r="E454" s="169">
        <v>0</v>
      </c>
      <c r="F454" s="35"/>
      <c r="G454" s="107"/>
      <c r="H454" s="107"/>
      <c r="I454" s="107"/>
      <c r="J454" s="107"/>
      <c r="K454" s="107"/>
      <c r="L454" s="107"/>
      <c r="M454" s="107"/>
      <c r="N454" s="107"/>
      <c r="O454" s="107"/>
      <c r="P454" s="107"/>
      <c r="Q454" s="107"/>
      <c r="R454" s="107"/>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c r="BE454" s="107"/>
      <c r="BF454" s="107"/>
      <c r="BG454" s="107"/>
      <c r="BH454" s="107"/>
      <c r="BI454" s="107"/>
      <c r="BJ454" s="237"/>
      <c r="BK454" s="237"/>
      <c r="BL454" s="237"/>
      <c r="BM454" s="237"/>
    </row>
    <row r="455" spans="1:65" s="190" customFormat="1" hidden="1" outlineLevel="2">
      <c r="A455" s="237"/>
      <c r="B455" s="33"/>
      <c r="C455" s="32"/>
      <c r="D455" s="1618"/>
      <c r="E455" s="169">
        <v>1</v>
      </c>
      <c r="F455" s="35"/>
      <c r="G455" s="183"/>
      <c r="H455" s="107">
        <f>IF(A30stdlife="n/a","n/a",IF(H$3&gt;(A30stdlife+$E455),('PTRM input'!$G$172*(1+rvanilla01)^0.5)-SUM($G455:G455),('PTRM input'!$G$172*(1+rvanilla01)^0.5)/A30stdlife))</f>
        <v>0</v>
      </c>
      <c r="I455" s="107">
        <f>IF(A30stdlife="n/a","n/a",IF(I$3&gt;(A30stdlife+$E455),('PTRM input'!$G$172*(1+rvanilla01)^0.5)-SUM($G455:H455),('PTRM input'!$G$172*(1+rvanilla01)^0.5)/A30stdlife))</f>
        <v>0</v>
      </c>
      <c r="J455" s="107">
        <f>IF(A30stdlife="n/a","n/a",IF(J$3&gt;(A30stdlife+$E455),('PTRM input'!$G$172*(1+rvanilla01)^0.5)-SUM($G455:I455),('PTRM input'!$G$172*(1+rvanilla01)^0.5)/A30stdlife))</f>
        <v>0</v>
      </c>
      <c r="K455" s="107">
        <f>IF(A30stdlife="n/a","n/a",IF(K$3&gt;(A30stdlife+$E455),('PTRM input'!$G$172*(1+rvanilla01)^0.5)-SUM($G455:J455),('PTRM input'!$G$172*(1+rvanilla01)^0.5)/A30stdlife))</f>
        <v>0</v>
      </c>
      <c r="L455" s="107">
        <f>IF(A30stdlife="n/a","n/a",IF(L$3&gt;(A30stdlife+$E455),('PTRM input'!$G$172*(1+rvanilla01)^0.5)-SUM($G455:K455),('PTRM input'!$G$172*(1+rvanilla01)^0.5)/A30stdlife))</f>
        <v>0</v>
      </c>
      <c r="M455" s="107">
        <f>IF(A30stdlife="n/a","n/a",IF(M$3&gt;(A30stdlife+$E455),('PTRM input'!$G$172*(1+rvanilla01)^0.5)-SUM($G455:L455),('PTRM input'!$G$172*(1+rvanilla01)^0.5)/A30stdlife))</f>
        <v>0</v>
      </c>
      <c r="N455" s="107">
        <f>IF(A30stdlife="n/a","n/a",IF(N$3&gt;(A30stdlife+$E455),('PTRM input'!$G$172*(1+rvanilla01)^0.5)-SUM($G455:M455),('PTRM input'!$G$172*(1+rvanilla01)^0.5)/A30stdlife))</f>
        <v>0</v>
      </c>
      <c r="O455" s="107">
        <f>IF(A30stdlife="n/a","n/a",IF(O$3&gt;(A30stdlife+$E455),('PTRM input'!$G$172*(1+rvanilla01)^0.5)-SUM($G455:N455),('PTRM input'!$G$172*(1+rvanilla01)^0.5)/A30stdlife))</f>
        <v>0</v>
      </c>
      <c r="P455" s="107">
        <f>IF(A30stdlife="n/a","n/a",IF(P$3&gt;(A30stdlife+$E455),('PTRM input'!$G$172*(1+rvanilla01)^0.5)-SUM($G455:O455),('PTRM input'!$G$172*(1+rvanilla01)^0.5)/A30stdlife))</f>
        <v>0</v>
      </c>
      <c r="Q455" s="107">
        <f>IF(A30stdlife="n/a","n/a",IF(Q$3&gt;(A30stdlife+$E455),('PTRM input'!$G$172*(1+rvanilla01)^0.5)-SUM($G455:P455),('PTRM input'!$G$172*(1+rvanilla01)^0.5)/A30stdlife))</f>
        <v>0</v>
      </c>
      <c r="R455" s="107">
        <f>IF(A30stdlife="n/a","n/a",IF(R$3&gt;(A30stdlife+$E455),('PTRM input'!$G$172*(1+rvanilla01)^0.5)-SUM($G455:Q455),('PTRM input'!$G$172*(1+rvanilla01)^0.5)/A30stdlife))</f>
        <v>0</v>
      </c>
      <c r="S455" s="107">
        <f>IF(A30stdlife="n/a","n/a",IF(S$3&gt;(A30stdlife+$E455),('PTRM input'!$G$172*(1+rvanilla01)^0.5)-SUM($G455:R455),('PTRM input'!$G$172*(1+rvanilla01)^0.5)/A30stdlife))</f>
        <v>0</v>
      </c>
      <c r="T455" s="107">
        <f>IF(A30stdlife="n/a","n/a",IF(T$3&gt;(A30stdlife+$E455),('PTRM input'!$G$172*(1+rvanilla01)^0.5)-SUM($G455:S455),('PTRM input'!$G$172*(1+rvanilla01)^0.5)/A30stdlife))</f>
        <v>0</v>
      </c>
      <c r="U455" s="107">
        <f>IF(A30stdlife="n/a","n/a",IF(U$3&gt;(A30stdlife+$E455),('PTRM input'!$G$172*(1+rvanilla01)^0.5)-SUM($G455:T455),('PTRM input'!$G$172*(1+rvanilla01)^0.5)/A30stdlife))</f>
        <v>0</v>
      </c>
      <c r="V455" s="107">
        <f>IF(A30stdlife="n/a","n/a",IF(V$3&gt;(A30stdlife+$E455),('PTRM input'!$G$172*(1+rvanilla01)^0.5)-SUM($G455:U455),('PTRM input'!$G$172*(1+rvanilla01)^0.5)/A30stdlife))</f>
        <v>0</v>
      </c>
      <c r="W455" s="107">
        <f>IF(A30stdlife="n/a","n/a",IF(W$3&gt;(A30stdlife+$E455),('PTRM input'!$G$172*(1+rvanilla01)^0.5)-SUM($G455:V455),('PTRM input'!$G$172*(1+rvanilla01)^0.5)/A30stdlife))</f>
        <v>0</v>
      </c>
      <c r="X455" s="107">
        <f>IF(A30stdlife="n/a","n/a",IF(X$3&gt;(A30stdlife+$E455),('PTRM input'!$G$172*(1+rvanilla01)^0.5)-SUM($G455:W455),('PTRM input'!$G$172*(1+rvanilla01)^0.5)/A30stdlife))</f>
        <v>0</v>
      </c>
      <c r="Y455" s="107">
        <f>IF(A30stdlife="n/a","n/a",IF(Y$3&gt;(A30stdlife+$E455),('PTRM input'!$G$172*(1+rvanilla01)^0.5)-SUM($G455:X455),('PTRM input'!$G$172*(1+rvanilla01)^0.5)/A30stdlife))</f>
        <v>0</v>
      </c>
      <c r="Z455" s="107">
        <f>IF(A30stdlife="n/a","n/a",IF(Z$3&gt;(A30stdlife+$E455),('PTRM input'!$G$172*(1+rvanilla01)^0.5)-SUM($G455:Y455),('PTRM input'!$G$172*(1+rvanilla01)^0.5)/A30stdlife))</f>
        <v>0</v>
      </c>
      <c r="AA455" s="107">
        <f>IF(A30stdlife="n/a","n/a",IF(AA$3&gt;(A30stdlife+$E455),('PTRM input'!$G$172*(1+rvanilla01)^0.5)-SUM($G455:Z455),('PTRM input'!$G$172*(1+rvanilla01)^0.5)/A30stdlife))</f>
        <v>0</v>
      </c>
      <c r="AB455" s="107">
        <f>IF(A30stdlife="n/a","n/a",IF(AB$3&gt;(A30stdlife+$E455),('PTRM input'!$G$172*(1+rvanilla01)^0.5)-SUM($G455:AA455),('PTRM input'!$G$172*(1+rvanilla01)^0.5)/A30stdlife))</f>
        <v>0</v>
      </c>
      <c r="AC455" s="107">
        <f>IF(A30stdlife="n/a","n/a",IF(AC$3&gt;(A30stdlife+$E455),('PTRM input'!$G$172*(1+rvanilla01)^0.5)-SUM($G455:AB455),('PTRM input'!$G$172*(1+rvanilla01)^0.5)/A30stdlife))</f>
        <v>0</v>
      </c>
      <c r="AD455" s="107">
        <f>IF(A30stdlife="n/a","n/a",IF(AD$3&gt;(A30stdlife+$E455),('PTRM input'!$G$172*(1+rvanilla01)^0.5)-SUM($G455:AC455),('PTRM input'!$G$172*(1+rvanilla01)^0.5)/A30stdlife))</f>
        <v>0</v>
      </c>
      <c r="AE455" s="107">
        <f>IF(A30stdlife="n/a","n/a",IF(AE$3&gt;(A30stdlife+$E455),('PTRM input'!$G$172*(1+rvanilla01)^0.5)-SUM($G455:AD455),('PTRM input'!$G$172*(1+rvanilla01)^0.5)/A30stdlife))</f>
        <v>0</v>
      </c>
      <c r="AF455" s="107">
        <f>IF(A30stdlife="n/a","n/a",IF(AF$3&gt;(A30stdlife+$E455),('PTRM input'!$G$172*(1+rvanilla01)^0.5)-SUM($G455:AE455),('PTRM input'!$G$172*(1+rvanilla01)^0.5)/A30stdlife))</f>
        <v>0</v>
      </c>
      <c r="AG455" s="107">
        <f>IF(A30stdlife="n/a","n/a",IF(AG$3&gt;(A30stdlife+$E455),('PTRM input'!$G$172*(1+rvanilla01)^0.5)-SUM($G455:AF455),('PTRM input'!$G$172*(1+rvanilla01)^0.5)/A30stdlife))</f>
        <v>0</v>
      </c>
      <c r="AH455" s="107">
        <f>IF(A30stdlife="n/a","n/a",IF(AH$3&gt;(A30stdlife+$E455),('PTRM input'!$G$172*(1+rvanilla01)^0.5)-SUM($G455:AG455),('PTRM input'!$G$172*(1+rvanilla01)^0.5)/A30stdlife))</f>
        <v>0</v>
      </c>
      <c r="AI455" s="107">
        <f>IF(A30stdlife="n/a","n/a",IF(AI$3&gt;(A30stdlife+$E455),('PTRM input'!$G$172*(1+rvanilla01)^0.5)-SUM($G455:AH455),('PTRM input'!$G$172*(1+rvanilla01)^0.5)/A30stdlife))</f>
        <v>0</v>
      </c>
      <c r="AJ455" s="107">
        <f>IF(A30stdlife="n/a","n/a",IF(AJ$3&gt;(A30stdlife+$E455),('PTRM input'!$G$172*(1+rvanilla01)^0.5)-SUM($G455:AI455),('PTRM input'!$G$172*(1+rvanilla01)^0.5)/A30stdlife))</f>
        <v>0</v>
      </c>
      <c r="AK455" s="107">
        <f>IF(A30stdlife="n/a","n/a",IF(AK$3&gt;(A30stdlife+$E455),('PTRM input'!$G$172*(1+rvanilla01)^0.5)-SUM($G455:AJ455),('PTRM input'!$G$172*(1+rvanilla01)^0.5)/A30stdlife))</f>
        <v>0</v>
      </c>
      <c r="AL455" s="107">
        <f>IF(A30stdlife="n/a","n/a",IF(AL$3&gt;(A30stdlife+$E455),('PTRM input'!$G$172*(1+rvanilla01)^0.5)-SUM($G455:AK455),('PTRM input'!$G$172*(1+rvanilla01)^0.5)/A30stdlife))</f>
        <v>0</v>
      </c>
      <c r="AM455" s="107">
        <f>IF(A30stdlife="n/a","n/a",IF(AM$3&gt;(A30stdlife+$E455),('PTRM input'!$G$172*(1+rvanilla01)^0.5)-SUM($G455:AL455),('PTRM input'!$G$172*(1+rvanilla01)^0.5)/A30stdlife))</f>
        <v>0</v>
      </c>
      <c r="AN455" s="107">
        <f>IF(A30stdlife="n/a","n/a",IF(AN$3&gt;(A30stdlife+$E455),('PTRM input'!$G$172*(1+rvanilla01)^0.5)-SUM($G455:AM455),('PTRM input'!$G$172*(1+rvanilla01)^0.5)/A30stdlife))</f>
        <v>0</v>
      </c>
      <c r="AO455" s="107">
        <f>IF(A30stdlife="n/a","n/a",IF(AO$3&gt;(A30stdlife+$E455),('PTRM input'!$G$172*(1+rvanilla01)^0.5)-SUM($G455:AN455),('PTRM input'!$G$172*(1+rvanilla01)^0.5)/A30stdlife))</f>
        <v>0</v>
      </c>
      <c r="AP455" s="107">
        <f>IF(A30stdlife="n/a","n/a",IF(AP$3&gt;(A30stdlife+$E455),('PTRM input'!$G$172*(1+rvanilla01)^0.5)-SUM($G455:AO455),('PTRM input'!$G$172*(1+rvanilla01)^0.5)/A30stdlife))</f>
        <v>0</v>
      </c>
      <c r="AQ455" s="107">
        <f>IF(A30stdlife="n/a","n/a",IF(AQ$3&gt;(A30stdlife+$E455),('PTRM input'!$G$172*(1+rvanilla01)^0.5)-SUM($G455:AP455),('PTRM input'!$G$172*(1+rvanilla01)^0.5)/A30stdlife))</f>
        <v>0</v>
      </c>
      <c r="AR455" s="107">
        <f>IF(A30stdlife="n/a","n/a",IF(AR$3&gt;(A30stdlife+$E455),('PTRM input'!$G$172*(1+rvanilla01)^0.5)-SUM($G455:AQ455),('PTRM input'!$G$172*(1+rvanilla01)^0.5)/A30stdlife))</f>
        <v>0</v>
      </c>
      <c r="AS455" s="107">
        <f>IF(A30stdlife="n/a","n/a",IF(AS$3&gt;(A30stdlife+$E455),('PTRM input'!$G$172*(1+rvanilla01)^0.5)-SUM($G455:AR455),('PTRM input'!$G$172*(1+rvanilla01)^0.5)/A30stdlife))</f>
        <v>0</v>
      </c>
      <c r="AT455" s="107">
        <f>IF(A30stdlife="n/a","n/a",IF(AT$3&gt;(A30stdlife+$E455),('PTRM input'!$G$172*(1+rvanilla01)^0.5)-SUM($G455:AS455),('PTRM input'!$G$172*(1+rvanilla01)^0.5)/A30stdlife))</f>
        <v>0</v>
      </c>
      <c r="AU455" s="107">
        <f>IF(A30stdlife="n/a","n/a",IF(AU$3&gt;(A30stdlife+$E455),('PTRM input'!$G$172*(1+rvanilla01)^0.5)-SUM($G455:AT455),('PTRM input'!$G$172*(1+rvanilla01)^0.5)/A30stdlife))</f>
        <v>0</v>
      </c>
      <c r="AV455" s="107">
        <f>IF(A30stdlife="n/a","n/a",IF(AV$3&gt;(A30stdlife+$E455),('PTRM input'!$G$172*(1+rvanilla01)^0.5)-SUM($G455:AU455),('PTRM input'!$G$172*(1+rvanilla01)^0.5)/A30stdlife))</f>
        <v>0</v>
      </c>
      <c r="AW455" s="107">
        <f>IF(A30stdlife="n/a","n/a",IF(AW$3&gt;(A30stdlife+$E455),('PTRM input'!$G$172*(1+rvanilla01)^0.5)-SUM($G455:AV455),('PTRM input'!$G$172*(1+rvanilla01)^0.5)/A30stdlife))</f>
        <v>0</v>
      </c>
      <c r="AX455" s="107">
        <f>IF(A30stdlife="n/a","n/a",IF(AX$3&gt;(A30stdlife+$E455),('PTRM input'!$G$172*(1+rvanilla01)^0.5)-SUM($G455:AW455),('PTRM input'!$G$172*(1+rvanilla01)^0.5)/A30stdlife))</f>
        <v>0</v>
      </c>
      <c r="AY455" s="107">
        <f>IF(A30stdlife="n/a","n/a",IF(AY$3&gt;(A30stdlife+$E455),('PTRM input'!$G$172*(1+rvanilla01)^0.5)-SUM($G455:AX455),('PTRM input'!$G$172*(1+rvanilla01)^0.5)/A30stdlife))</f>
        <v>0</v>
      </c>
      <c r="AZ455" s="107">
        <f>IF(A30stdlife="n/a","n/a",IF(AZ$3&gt;(A30stdlife+$E455),('PTRM input'!$G$172*(1+rvanilla01)^0.5)-SUM($G455:AY455),('PTRM input'!$G$172*(1+rvanilla01)^0.5)/A30stdlife))</f>
        <v>0</v>
      </c>
      <c r="BA455" s="107">
        <f>IF(A30stdlife="n/a","n/a",IF(BA$3&gt;(A30stdlife+$E455),('PTRM input'!$G$172*(1+rvanilla01)^0.5)-SUM($G455:AZ455),('PTRM input'!$G$172*(1+rvanilla01)^0.5)/A30stdlife))</f>
        <v>0</v>
      </c>
      <c r="BB455" s="107">
        <f>IF(A30stdlife="n/a","n/a",IF(BB$3&gt;(A30stdlife+$E455),('PTRM input'!$G$172*(1+rvanilla01)^0.5)-SUM($G455:BA455),('PTRM input'!$G$172*(1+rvanilla01)^0.5)/A30stdlife))</f>
        <v>0</v>
      </c>
      <c r="BC455" s="107">
        <f>IF(A30stdlife="n/a","n/a",IF(BC$3&gt;(A30stdlife+$E455),('PTRM input'!$G$172*(1+rvanilla01)^0.5)-SUM($G455:BB455),('PTRM input'!$G$172*(1+rvanilla01)^0.5)/A30stdlife))</f>
        <v>0</v>
      </c>
      <c r="BD455" s="107">
        <f>IF(A30stdlife="n/a","n/a",IF(BD$3&gt;(A30stdlife+$E455),('PTRM input'!$G$172*(1+rvanilla01)^0.5)-SUM($G455:BC455),('PTRM input'!$G$172*(1+rvanilla01)^0.5)/A30stdlife))</f>
        <v>0</v>
      </c>
      <c r="BE455" s="107">
        <f>IF(A30stdlife="n/a","n/a",IF(BE$3&gt;(A30stdlife+$E455),('PTRM input'!$G$172*(1+rvanilla01)^0.5)-SUM($G455:BD455),('PTRM input'!$G$172*(1+rvanilla01)^0.5)/A30stdlife))</f>
        <v>0</v>
      </c>
      <c r="BF455" s="107">
        <f>IF(A30stdlife="n/a","n/a",IF(BF$3&gt;(A30stdlife+$E455),('PTRM input'!$G$172*(1+rvanilla01)^0.5)-SUM($G455:BE455),('PTRM input'!$G$172*(1+rvanilla01)^0.5)/A30stdlife))</f>
        <v>0</v>
      </c>
      <c r="BG455" s="107">
        <f>IF(A30stdlife="n/a","n/a",IF(BG$3&gt;(A30stdlife+$E455),('PTRM input'!$G$172*(1+rvanilla01)^0.5)-SUM($G455:BF455),('PTRM input'!$G$172*(1+rvanilla01)^0.5)/A30stdlife))</f>
        <v>0</v>
      </c>
      <c r="BH455" s="107">
        <f>IF(A30stdlife="n/a","n/a",IF(BH$3&gt;(A30stdlife+$E455),('PTRM input'!$G$172*(1+rvanilla01)^0.5)-SUM($G455:BG455),('PTRM input'!$G$172*(1+rvanilla01)^0.5)/A30stdlife))</f>
        <v>0</v>
      </c>
      <c r="BI455" s="107">
        <f>IF(A30stdlife="n/a","n/a",IF(BI$3&gt;(A30stdlife+$E455),('PTRM input'!$G$172*(1+rvanilla01)^0.5)-SUM($G455:BH455),('PTRM input'!$G$172*(1+rvanilla01)^0.5)/A30stdlife))</f>
        <v>0</v>
      </c>
      <c r="BJ455" s="237"/>
      <c r="BK455" s="237"/>
      <c r="BL455" s="237"/>
      <c r="BM455" s="237"/>
    </row>
    <row r="456" spans="1:65" s="190" customFormat="1" hidden="1" outlineLevel="2">
      <c r="A456" s="237"/>
      <c r="B456" s="33"/>
      <c r="C456" s="32"/>
      <c r="D456" s="1618"/>
      <c r="E456" s="169">
        <v>2</v>
      </c>
      <c r="F456" s="35"/>
      <c r="G456" s="184"/>
      <c r="H456" s="185"/>
      <c r="I456" s="107">
        <f>IF(A30stdlife="n/a","n/a",IF(I$3&gt;(A30stdlife+$E456),('PTRM input'!$H$172*(1+rvanilla02)^0.5)-SUM($H456:H456),('PTRM input'!$H$172*(1+rvanilla02)^0.5)/A30stdlife))</f>
        <v>0</v>
      </c>
      <c r="J456" s="107">
        <f>IF(A30stdlife="n/a","n/a",IF(J$3&gt;(A30stdlife+$E456),('PTRM input'!$H$172*(1+rvanilla02)^0.5)-SUM($H456:I456),('PTRM input'!$H$172*(1+rvanilla02)^0.5)/A30stdlife))</f>
        <v>0</v>
      </c>
      <c r="K456" s="107">
        <f>IF(A30stdlife="n/a","n/a",IF(K$3&gt;(A30stdlife+$E456),('PTRM input'!$H$172*(1+rvanilla02)^0.5)-SUM($H456:J456),('PTRM input'!$H$172*(1+rvanilla02)^0.5)/A30stdlife))</f>
        <v>0</v>
      </c>
      <c r="L456" s="107">
        <f>IF(A30stdlife="n/a","n/a",IF(L$3&gt;(A30stdlife+$E456),('PTRM input'!$H$172*(1+rvanilla02)^0.5)-SUM($H456:K456),('PTRM input'!$H$172*(1+rvanilla02)^0.5)/A30stdlife))</f>
        <v>0</v>
      </c>
      <c r="M456" s="107">
        <f>IF(A30stdlife="n/a","n/a",IF(M$3&gt;(A30stdlife+$E456),('PTRM input'!$H$172*(1+rvanilla02)^0.5)-SUM($H456:L456),('PTRM input'!$H$172*(1+rvanilla02)^0.5)/A30stdlife))</f>
        <v>0</v>
      </c>
      <c r="N456" s="107">
        <f>IF(A30stdlife="n/a","n/a",IF(N$3&gt;(A30stdlife+$E456),('PTRM input'!$H$172*(1+rvanilla02)^0.5)-SUM($H456:M456),('PTRM input'!$H$172*(1+rvanilla02)^0.5)/A30stdlife))</f>
        <v>0</v>
      </c>
      <c r="O456" s="107">
        <f>IF(A30stdlife="n/a","n/a",IF(O$3&gt;(A30stdlife+$E456),('PTRM input'!$H$172*(1+rvanilla02)^0.5)-SUM($H456:N456),('PTRM input'!$H$172*(1+rvanilla02)^0.5)/A30stdlife))</f>
        <v>0</v>
      </c>
      <c r="P456" s="107">
        <f>IF(A30stdlife="n/a","n/a",IF(P$3&gt;(A30stdlife+$E456),('PTRM input'!$H$172*(1+rvanilla02)^0.5)-SUM($H456:O456),('PTRM input'!$H$172*(1+rvanilla02)^0.5)/A30stdlife))</f>
        <v>0</v>
      </c>
      <c r="Q456" s="107">
        <f>IF(A30stdlife="n/a","n/a",IF(Q$3&gt;(A30stdlife+$E456),('PTRM input'!$H$172*(1+rvanilla02)^0.5)-SUM($H456:P456),('PTRM input'!$H$172*(1+rvanilla02)^0.5)/A30stdlife))</f>
        <v>0</v>
      </c>
      <c r="R456" s="107">
        <f>IF(A30stdlife="n/a","n/a",IF(R$3&gt;(A30stdlife+$E456),('PTRM input'!$H$172*(1+rvanilla02)^0.5)-SUM($H456:Q456),('PTRM input'!$H$172*(1+rvanilla02)^0.5)/A30stdlife))</f>
        <v>0</v>
      </c>
      <c r="S456" s="107">
        <f>IF(A30stdlife="n/a","n/a",IF(S$3&gt;(A30stdlife+$E456),('PTRM input'!$H$172*(1+rvanilla02)^0.5)-SUM($H456:R456),('PTRM input'!$H$172*(1+rvanilla02)^0.5)/A30stdlife))</f>
        <v>0</v>
      </c>
      <c r="T456" s="107">
        <f>IF(A30stdlife="n/a","n/a",IF(T$3&gt;(A30stdlife+$E456),('PTRM input'!$H$172*(1+rvanilla02)^0.5)-SUM($H456:S456),('PTRM input'!$H$172*(1+rvanilla02)^0.5)/A30stdlife))</f>
        <v>0</v>
      </c>
      <c r="U456" s="107">
        <f>IF(A30stdlife="n/a","n/a",IF(U$3&gt;(A30stdlife+$E456),('PTRM input'!$H$172*(1+rvanilla02)^0.5)-SUM($H456:T456),('PTRM input'!$H$172*(1+rvanilla02)^0.5)/A30stdlife))</f>
        <v>0</v>
      </c>
      <c r="V456" s="107">
        <f>IF(A30stdlife="n/a","n/a",IF(V$3&gt;(A30stdlife+$E456),('PTRM input'!$H$172*(1+rvanilla02)^0.5)-SUM($H456:U456),('PTRM input'!$H$172*(1+rvanilla02)^0.5)/A30stdlife))</f>
        <v>0</v>
      </c>
      <c r="W456" s="107">
        <f>IF(A30stdlife="n/a","n/a",IF(W$3&gt;(A30stdlife+$E456),('PTRM input'!$H$172*(1+rvanilla02)^0.5)-SUM($H456:V456),('PTRM input'!$H$172*(1+rvanilla02)^0.5)/A30stdlife))</f>
        <v>0</v>
      </c>
      <c r="X456" s="107">
        <f>IF(A30stdlife="n/a","n/a",IF(X$3&gt;(A30stdlife+$E456),('PTRM input'!$H$172*(1+rvanilla02)^0.5)-SUM($H456:W456),('PTRM input'!$H$172*(1+rvanilla02)^0.5)/A30stdlife))</f>
        <v>0</v>
      </c>
      <c r="Y456" s="107">
        <f>IF(A30stdlife="n/a","n/a",IF(Y$3&gt;(A30stdlife+$E456),('PTRM input'!$H$172*(1+rvanilla02)^0.5)-SUM($H456:X456),('PTRM input'!$H$172*(1+rvanilla02)^0.5)/A30stdlife))</f>
        <v>0</v>
      </c>
      <c r="Z456" s="107">
        <f>IF(A30stdlife="n/a","n/a",IF(Z$3&gt;(A30stdlife+$E456),('PTRM input'!$H$172*(1+rvanilla02)^0.5)-SUM($H456:Y456),('PTRM input'!$H$172*(1+rvanilla02)^0.5)/A30stdlife))</f>
        <v>0</v>
      </c>
      <c r="AA456" s="107">
        <f>IF(A30stdlife="n/a","n/a",IF(AA$3&gt;(A30stdlife+$E456),('PTRM input'!$H$172*(1+rvanilla02)^0.5)-SUM($H456:Z456),('PTRM input'!$H$172*(1+rvanilla02)^0.5)/A30stdlife))</f>
        <v>0</v>
      </c>
      <c r="AB456" s="107">
        <f>IF(A30stdlife="n/a","n/a",IF(AB$3&gt;(A30stdlife+$E456),('PTRM input'!$H$172*(1+rvanilla02)^0.5)-SUM($H456:AA456),('PTRM input'!$H$172*(1+rvanilla02)^0.5)/A30stdlife))</f>
        <v>0</v>
      </c>
      <c r="AC456" s="107">
        <f>IF(A30stdlife="n/a","n/a",IF(AC$3&gt;(A30stdlife+$E456),('PTRM input'!$H$172*(1+rvanilla02)^0.5)-SUM($H456:AB456),('PTRM input'!$H$172*(1+rvanilla02)^0.5)/A30stdlife))</f>
        <v>0</v>
      </c>
      <c r="AD456" s="107">
        <f>IF(A30stdlife="n/a","n/a",IF(AD$3&gt;(A30stdlife+$E456),('PTRM input'!$H$172*(1+rvanilla02)^0.5)-SUM($H456:AC456),('PTRM input'!$H$172*(1+rvanilla02)^0.5)/A30stdlife))</f>
        <v>0</v>
      </c>
      <c r="AE456" s="107">
        <f>IF(A30stdlife="n/a","n/a",IF(AE$3&gt;(A30stdlife+$E456),('PTRM input'!$H$172*(1+rvanilla02)^0.5)-SUM($H456:AD456),('PTRM input'!$H$172*(1+rvanilla02)^0.5)/A30stdlife))</f>
        <v>0</v>
      </c>
      <c r="AF456" s="107">
        <f>IF(A30stdlife="n/a","n/a",IF(AF$3&gt;(A30stdlife+$E456),('PTRM input'!$H$172*(1+rvanilla02)^0.5)-SUM($H456:AE456),('PTRM input'!$H$172*(1+rvanilla02)^0.5)/A30stdlife))</f>
        <v>0</v>
      </c>
      <c r="AG456" s="107">
        <f>IF(A30stdlife="n/a","n/a",IF(AG$3&gt;(A30stdlife+$E456),('PTRM input'!$H$172*(1+rvanilla02)^0.5)-SUM($H456:AF456),('PTRM input'!$H$172*(1+rvanilla02)^0.5)/A30stdlife))</f>
        <v>0</v>
      </c>
      <c r="AH456" s="107">
        <f>IF(A30stdlife="n/a","n/a",IF(AH$3&gt;(A30stdlife+$E456),('PTRM input'!$H$172*(1+rvanilla02)^0.5)-SUM($H456:AG456),('PTRM input'!$H$172*(1+rvanilla02)^0.5)/A30stdlife))</f>
        <v>0</v>
      </c>
      <c r="AI456" s="107">
        <f>IF(A30stdlife="n/a","n/a",IF(AI$3&gt;(A30stdlife+$E456),('PTRM input'!$H$172*(1+rvanilla02)^0.5)-SUM($H456:AH456),('PTRM input'!$H$172*(1+rvanilla02)^0.5)/A30stdlife))</f>
        <v>0</v>
      </c>
      <c r="AJ456" s="107">
        <f>IF(A30stdlife="n/a","n/a",IF(AJ$3&gt;(A30stdlife+$E456),('PTRM input'!$H$172*(1+rvanilla02)^0.5)-SUM($H456:AI456),('PTRM input'!$H$172*(1+rvanilla02)^0.5)/A30stdlife))</f>
        <v>0</v>
      </c>
      <c r="AK456" s="107">
        <f>IF(A30stdlife="n/a","n/a",IF(AK$3&gt;(A30stdlife+$E456),('PTRM input'!$H$172*(1+rvanilla02)^0.5)-SUM($H456:AJ456),('PTRM input'!$H$172*(1+rvanilla02)^0.5)/A30stdlife))</f>
        <v>0</v>
      </c>
      <c r="AL456" s="107">
        <f>IF(A30stdlife="n/a","n/a",IF(AL$3&gt;(A30stdlife+$E456),('PTRM input'!$H$172*(1+rvanilla02)^0.5)-SUM($H456:AK456),('PTRM input'!$H$172*(1+rvanilla02)^0.5)/A30stdlife))</f>
        <v>0</v>
      </c>
      <c r="AM456" s="107">
        <f>IF(A30stdlife="n/a","n/a",IF(AM$3&gt;(A30stdlife+$E456),('PTRM input'!$H$172*(1+rvanilla02)^0.5)-SUM($H456:AL456),('PTRM input'!$H$172*(1+rvanilla02)^0.5)/A30stdlife))</f>
        <v>0</v>
      </c>
      <c r="AN456" s="107">
        <f>IF(A30stdlife="n/a","n/a",IF(AN$3&gt;(A30stdlife+$E456),('PTRM input'!$H$172*(1+rvanilla02)^0.5)-SUM($H456:AM456),('PTRM input'!$H$172*(1+rvanilla02)^0.5)/A30stdlife))</f>
        <v>0</v>
      </c>
      <c r="AO456" s="107">
        <f>IF(A30stdlife="n/a","n/a",IF(AO$3&gt;(A30stdlife+$E456),('PTRM input'!$H$172*(1+rvanilla02)^0.5)-SUM($H456:AN456),('PTRM input'!$H$172*(1+rvanilla02)^0.5)/A30stdlife))</f>
        <v>0</v>
      </c>
      <c r="AP456" s="107">
        <f>IF(A30stdlife="n/a","n/a",IF(AP$3&gt;(A30stdlife+$E456),('PTRM input'!$H$172*(1+rvanilla02)^0.5)-SUM($H456:AO456),('PTRM input'!$H$172*(1+rvanilla02)^0.5)/A30stdlife))</f>
        <v>0</v>
      </c>
      <c r="AQ456" s="107">
        <f>IF(A30stdlife="n/a","n/a",IF(AQ$3&gt;(A30stdlife+$E456),('PTRM input'!$H$172*(1+rvanilla02)^0.5)-SUM($H456:AP456),('PTRM input'!$H$172*(1+rvanilla02)^0.5)/A30stdlife))</f>
        <v>0</v>
      </c>
      <c r="AR456" s="107">
        <f>IF(A30stdlife="n/a","n/a",IF(AR$3&gt;(A30stdlife+$E456),('PTRM input'!$H$172*(1+rvanilla02)^0.5)-SUM($H456:AQ456),('PTRM input'!$H$172*(1+rvanilla02)^0.5)/A30stdlife))</f>
        <v>0</v>
      </c>
      <c r="AS456" s="107">
        <f>IF(A30stdlife="n/a","n/a",IF(AS$3&gt;(A30stdlife+$E456),('PTRM input'!$H$172*(1+rvanilla02)^0.5)-SUM($H456:AR456),('PTRM input'!$H$172*(1+rvanilla02)^0.5)/A30stdlife))</f>
        <v>0</v>
      </c>
      <c r="AT456" s="107">
        <f>IF(A30stdlife="n/a","n/a",IF(AT$3&gt;(A30stdlife+$E456),('PTRM input'!$H$172*(1+rvanilla02)^0.5)-SUM($H456:AS456),('PTRM input'!$H$172*(1+rvanilla02)^0.5)/A30stdlife))</f>
        <v>0</v>
      </c>
      <c r="AU456" s="107">
        <f>IF(A30stdlife="n/a","n/a",IF(AU$3&gt;(A30stdlife+$E456),('PTRM input'!$H$172*(1+rvanilla02)^0.5)-SUM($H456:AT456),('PTRM input'!$H$172*(1+rvanilla02)^0.5)/A30stdlife))</f>
        <v>0</v>
      </c>
      <c r="AV456" s="107">
        <f>IF(A30stdlife="n/a","n/a",IF(AV$3&gt;(A30stdlife+$E456),('PTRM input'!$H$172*(1+rvanilla02)^0.5)-SUM($H456:AU456),('PTRM input'!$H$172*(1+rvanilla02)^0.5)/A30stdlife))</f>
        <v>0</v>
      </c>
      <c r="AW456" s="107">
        <f>IF(A30stdlife="n/a","n/a",IF(AW$3&gt;(A30stdlife+$E456),('PTRM input'!$H$172*(1+rvanilla02)^0.5)-SUM($H456:AV456),('PTRM input'!$H$172*(1+rvanilla02)^0.5)/A30stdlife))</f>
        <v>0</v>
      </c>
      <c r="AX456" s="107">
        <f>IF(A30stdlife="n/a","n/a",IF(AX$3&gt;(A30stdlife+$E456),('PTRM input'!$H$172*(1+rvanilla02)^0.5)-SUM($H456:AW456),('PTRM input'!$H$172*(1+rvanilla02)^0.5)/A30stdlife))</f>
        <v>0</v>
      </c>
      <c r="AY456" s="107">
        <f>IF(A30stdlife="n/a","n/a",IF(AY$3&gt;(A30stdlife+$E456),('PTRM input'!$H$172*(1+rvanilla02)^0.5)-SUM($H456:AX456),('PTRM input'!$H$172*(1+rvanilla02)^0.5)/A30stdlife))</f>
        <v>0</v>
      </c>
      <c r="AZ456" s="107">
        <f>IF(A30stdlife="n/a","n/a",IF(AZ$3&gt;(A30stdlife+$E456),('PTRM input'!$H$172*(1+rvanilla02)^0.5)-SUM($H456:AY456),('PTRM input'!$H$172*(1+rvanilla02)^0.5)/A30stdlife))</f>
        <v>0</v>
      </c>
      <c r="BA456" s="107">
        <f>IF(A30stdlife="n/a","n/a",IF(BA$3&gt;(A30stdlife+$E456),('PTRM input'!$H$172*(1+rvanilla02)^0.5)-SUM($H456:AZ456),('PTRM input'!$H$172*(1+rvanilla02)^0.5)/A30stdlife))</f>
        <v>0</v>
      </c>
      <c r="BB456" s="107">
        <f>IF(A30stdlife="n/a","n/a",IF(BB$3&gt;(A30stdlife+$E456),('PTRM input'!$H$172*(1+rvanilla02)^0.5)-SUM($H456:BA456),('PTRM input'!$H$172*(1+rvanilla02)^0.5)/A30stdlife))</f>
        <v>0</v>
      </c>
      <c r="BC456" s="107">
        <f>IF(A30stdlife="n/a","n/a",IF(BC$3&gt;(A30stdlife+$E456),('PTRM input'!$H$172*(1+rvanilla02)^0.5)-SUM($H456:BB456),('PTRM input'!$H$172*(1+rvanilla02)^0.5)/A30stdlife))</f>
        <v>0</v>
      </c>
      <c r="BD456" s="107">
        <f>IF(A30stdlife="n/a","n/a",IF(BD$3&gt;(A30stdlife+$E456),('PTRM input'!$H$172*(1+rvanilla02)^0.5)-SUM($H456:BC456),('PTRM input'!$H$172*(1+rvanilla02)^0.5)/A30stdlife))</f>
        <v>0</v>
      </c>
      <c r="BE456" s="107">
        <f>IF(A30stdlife="n/a","n/a",IF(BE$3&gt;(A30stdlife+$E456),('PTRM input'!$H$172*(1+rvanilla02)^0.5)-SUM($H456:BD456),('PTRM input'!$H$172*(1+rvanilla02)^0.5)/A30stdlife))</f>
        <v>0</v>
      </c>
      <c r="BF456" s="107">
        <f>IF(A30stdlife="n/a","n/a",IF(BF$3&gt;(A30stdlife+$E456),('PTRM input'!$H$172*(1+rvanilla02)^0.5)-SUM($H456:BE456),('PTRM input'!$H$172*(1+rvanilla02)^0.5)/A30stdlife))</f>
        <v>0</v>
      </c>
      <c r="BG456" s="107">
        <f>IF(A30stdlife="n/a","n/a",IF(BG$3&gt;(A30stdlife+$E456),('PTRM input'!$H$172*(1+rvanilla02)^0.5)-SUM($H456:BF456),('PTRM input'!$H$172*(1+rvanilla02)^0.5)/A30stdlife))</f>
        <v>0</v>
      </c>
      <c r="BH456" s="107">
        <f>IF(A30stdlife="n/a","n/a",IF(BH$3&gt;(A30stdlife+$E456),('PTRM input'!$H$172*(1+rvanilla02)^0.5)-SUM($H456:BG456),('PTRM input'!$H$172*(1+rvanilla02)^0.5)/A30stdlife))</f>
        <v>0</v>
      </c>
      <c r="BI456" s="107">
        <f>IF(A30stdlife="n/a","n/a",IF(BI$3&gt;(A30stdlife+$E456),('PTRM input'!$H$172*(1+rvanilla02)^0.5)-SUM($H456:BH456),('PTRM input'!$H$172*(1+rvanilla02)^0.5)/A30stdlife))</f>
        <v>0</v>
      </c>
      <c r="BJ456" s="237"/>
      <c r="BK456" s="237"/>
      <c r="BL456" s="237"/>
      <c r="BM456" s="237"/>
    </row>
    <row r="457" spans="1:65" s="190" customFormat="1" hidden="1" outlineLevel="2">
      <c r="A457" s="237"/>
      <c r="B457" s="33"/>
      <c r="C457" s="32"/>
      <c r="D457" s="1618"/>
      <c r="E457" s="169">
        <v>3</v>
      </c>
      <c r="F457" s="35"/>
      <c r="G457" s="184"/>
      <c r="H457" s="186"/>
      <c r="I457" s="185"/>
      <c r="J457" s="107">
        <f>IF(A30stdlife="n/a","n/a",IF(J$3&gt;(A30stdlife+$E457),('PTRM input'!$I$172*(1+rvanilla03)^0.5)-SUM($I457:I457),('PTRM input'!$I$172*(1+rvanilla03)^0.5)/A30stdlife))</f>
        <v>0</v>
      </c>
      <c r="K457" s="107">
        <f>IF(A30stdlife="n/a","n/a",IF(K$3&gt;(A30stdlife+$E457),('PTRM input'!$I$172*(1+rvanilla03)^0.5)-SUM($I457:J457),('PTRM input'!$I$172*(1+rvanilla03)^0.5)/A30stdlife))</f>
        <v>0</v>
      </c>
      <c r="L457" s="107">
        <f>IF(A30stdlife="n/a","n/a",IF(L$3&gt;(A30stdlife+$E457),('PTRM input'!$I$172*(1+rvanilla03)^0.5)-SUM($I457:K457),('PTRM input'!$I$172*(1+rvanilla03)^0.5)/A30stdlife))</f>
        <v>0</v>
      </c>
      <c r="M457" s="107">
        <f>IF(A30stdlife="n/a","n/a",IF(M$3&gt;(A30stdlife+$E457),('PTRM input'!$I$172*(1+rvanilla03)^0.5)-SUM($I457:L457),('PTRM input'!$I$172*(1+rvanilla03)^0.5)/A30stdlife))</f>
        <v>0</v>
      </c>
      <c r="N457" s="107">
        <f>IF(A30stdlife="n/a","n/a",IF(N$3&gt;(A30stdlife+$E457),('PTRM input'!$I$172*(1+rvanilla03)^0.5)-SUM($I457:M457),('PTRM input'!$I$172*(1+rvanilla03)^0.5)/A30stdlife))</f>
        <v>0</v>
      </c>
      <c r="O457" s="107">
        <f>IF(A30stdlife="n/a","n/a",IF(O$3&gt;(A30stdlife+$E457),('PTRM input'!$I$172*(1+rvanilla03)^0.5)-SUM($I457:N457),('PTRM input'!$I$172*(1+rvanilla03)^0.5)/A30stdlife))</f>
        <v>0</v>
      </c>
      <c r="P457" s="107">
        <f>IF(A30stdlife="n/a","n/a",IF(P$3&gt;(A30stdlife+$E457),('PTRM input'!$I$172*(1+rvanilla03)^0.5)-SUM($I457:O457),('PTRM input'!$I$172*(1+rvanilla03)^0.5)/A30stdlife))</f>
        <v>0</v>
      </c>
      <c r="Q457" s="107">
        <f>IF(A30stdlife="n/a","n/a",IF(Q$3&gt;(A30stdlife+$E457),('PTRM input'!$I$172*(1+rvanilla03)^0.5)-SUM($I457:P457),('PTRM input'!$I$172*(1+rvanilla03)^0.5)/A30stdlife))</f>
        <v>0</v>
      </c>
      <c r="R457" s="107">
        <f>IF(A30stdlife="n/a","n/a",IF(R$3&gt;(A30stdlife+$E457),('PTRM input'!$I$172*(1+rvanilla03)^0.5)-SUM($I457:Q457),('PTRM input'!$I$172*(1+rvanilla03)^0.5)/A30stdlife))</f>
        <v>0</v>
      </c>
      <c r="S457" s="107">
        <f>IF(A30stdlife="n/a","n/a",IF(S$3&gt;(A30stdlife+$E457),('PTRM input'!$I$172*(1+rvanilla03)^0.5)-SUM($I457:R457),('PTRM input'!$I$172*(1+rvanilla03)^0.5)/A30stdlife))</f>
        <v>0</v>
      </c>
      <c r="T457" s="107">
        <f>IF(A30stdlife="n/a","n/a",IF(T$3&gt;(A30stdlife+$E457),('PTRM input'!$I$172*(1+rvanilla03)^0.5)-SUM($I457:S457),('PTRM input'!$I$172*(1+rvanilla03)^0.5)/A30stdlife))</f>
        <v>0</v>
      </c>
      <c r="U457" s="107">
        <f>IF(A30stdlife="n/a","n/a",IF(U$3&gt;(A30stdlife+$E457),('PTRM input'!$I$172*(1+rvanilla03)^0.5)-SUM($I457:T457),('PTRM input'!$I$172*(1+rvanilla03)^0.5)/A30stdlife))</f>
        <v>0</v>
      </c>
      <c r="V457" s="107">
        <f>IF(A30stdlife="n/a","n/a",IF(V$3&gt;(A30stdlife+$E457),('PTRM input'!$I$172*(1+rvanilla03)^0.5)-SUM($I457:U457),('PTRM input'!$I$172*(1+rvanilla03)^0.5)/A30stdlife))</f>
        <v>0</v>
      </c>
      <c r="W457" s="107">
        <f>IF(A30stdlife="n/a","n/a",IF(W$3&gt;(A30stdlife+$E457),('PTRM input'!$I$172*(1+rvanilla03)^0.5)-SUM($I457:V457),('PTRM input'!$I$172*(1+rvanilla03)^0.5)/A30stdlife))</f>
        <v>0</v>
      </c>
      <c r="X457" s="107">
        <f>IF(A30stdlife="n/a","n/a",IF(X$3&gt;(A30stdlife+$E457),('PTRM input'!$I$172*(1+rvanilla03)^0.5)-SUM($I457:W457),('PTRM input'!$I$172*(1+rvanilla03)^0.5)/A30stdlife))</f>
        <v>0</v>
      </c>
      <c r="Y457" s="107">
        <f>IF(A30stdlife="n/a","n/a",IF(Y$3&gt;(A30stdlife+$E457),('PTRM input'!$I$172*(1+rvanilla03)^0.5)-SUM($I457:X457),('PTRM input'!$I$172*(1+rvanilla03)^0.5)/A30stdlife))</f>
        <v>0</v>
      </c>
      <c r="Z457" s="107">
        <f>IF(A30stdlife="n/a","n/a",IF(Z$3&gt;(A30stdlife+$E457),('PTRM input'!$I$172*(1+rvanilla03)^0.5)-SUM($I457:Y457),('PTRM input'!$I$172*(1+rvanilla03)^0.5)/A30stdlife))</f>
        <v>0</v>
      </c>
      <c r="AA457" s="107">
        <f>IF(A30stdlife="n/a","n/a",IF(AA$3&gt;(A30stdlife+$E457),('PTRM input'!$I$172*(1+rvanilla03)^0.5)-SUM($I457:Z457),('PTRM input'!$I$172*(1+rvanilla03)^0.5)/A30stdlife))</f>
        <v>0</v>
      </c>
      <c r="AB457" s="107">
        <f>IF(A30stdlife="n/a","n/a",IF(AB$3&gt;(A30stdlife+$E457),('PTRM input'!$I$172*(1+rvanilla03)^0.5)-SUM($I457:AA457),('PTRM input'!$I$172*(1+rvanilla03)^0.5)/A30stdlife))</f>
        <v>0</v>
      </c>
      <c r="AC457" s="107">
        <f>IF(A30stdlife="n/a","n/a",IF(AC$3&gt;(A30stdlife+$E457),('PTRM input'!$I$172*(1+rvanilla03)^0.5)-SUM($I457:AB457),('PTRM input'!$I$172*(1+rvanilla03)^0.5)/A30stdlife))</f>
        <v>0</v>
      </c>
      <c r="AD457" s="107">
        <f>IF(A30stdlife="n/a","n/a",IF(AD$3&gt;(A30stdlife+$E457),('PTRM input'!$I$172*(1+rvanilla03)^0.5)-SUM($I457:AC457),('PTRM input'!$I$172*(1+rvanilla03)^0.5)/A30stdlife))</f>
        <v>0</v>
      </c>
      <c r="AE457" s="107">
        <f>IF(A30stdlife="n/a","n/a",IF(AE$3&gt;(A30stdlife+$E457),('PTRM input'!$I$172*(1+rvanilla03)^0.5)-SUM($I457:AD457),('PTRM input'!$I$172*(1+rvanilla03)^0.5)/A30stdlife))</f>
        <v>0</v>
      </c>
      <c r="AF457" s="107">
        <f>IF(A30stdlife="n/a","n/a",IF(AF$3&gt;(A30stdlife+$E457),('PTRM input'!$I$172*(1+rvanilla03)^0.5)-SUM($I457:AE457),('PTRM input'!$I$172*(1+rvanilla03)^0.5)/A30stdlife))</f>
        <v>0</v>
      </c>
      <c r="AG457" s="107">
        <f>IF(A30stdlife="n/a","n/a",IF(AG$3&gt;(A30stdlife+$E457),('PTRM input'!$I$172*(1+rvanilla03)^0.5)-SUM($I457:AF457),('PTRM input'!$I$172*(1+rvanilla03)^0.5)/A30stdlife))</f>
        <v>0</v>
      </c>
      <c r="AH457" s="107">
        <f>IF(A30stdlife="n/a","n/a",IF(AH$3&gt;(A30stdlife+$E457),('PTRM input'!$I$172*(1+rvanilla03)^0.5)-SUM($I457:AG457),('PTRM input'!$I$172*(1+rvanilla03)^0.5)/A30stdlife))</f>
        <v>0</v>
      </c>
      <c r="AI457" s="107">
        <f>IF(A30stdlife="n/a","n/a",IF(AI$3&gt;(A30stdlife+$E457),('PTRM input'!$I$172*(1+rvanilla03)^0.5)-SUM($I457:AH457),('PTRM input'!$I$172*(1+rvanilla03)^0.5)/A30stdlife))</f>
        <v>0</v>
      </c>
      <c r="AJ457" s="107">
        <f>IF(A30stdlife="n/a","n/a",IF(AJ$3&gt;(A30stdlife+$E457),('PTRM input'!$I$172*(1+rvanilla03)^0.5)-SUM($I457:AI457),('PTRM input'!$I$172*(1+rvanilla03)^0.5)/A30stdlife))</f>
        <v>0</v>
      </c>
      <c r="AK457" s="107">
        <f>IF(A30stdlife="n/a","n/a",IF(AK$3&gt;(A30stdlife+$E457),('PTRM input'!$I$172*(1+rvanilla03)^0.5)-SUM($I457:AJ457),('PTRM input'!$I$172*(1+rvanilla03)^0.5)/A30stdlife))</f>
        <v>0</v>
      </c>
      <c r="AL457" s="107">
        <f>IF(A30stdlife="n/a","n/a",IF(AL$3&gt;(A30stdlife+$E457),('PTRM input'!$I$172*(1+rvanilla03)^0.5)-SUM($I457:AK457),('PTRM input'!$I$172*(1+rvanilla03)^0.5)/A30stdlife))</f>
        <v>0</v>
      </c>
      <c r="AM457" s="107">
        <f>IF(A30stdlife="n/a","n/a",IF(AM$3&gt;(A30stdlife+$E457),('PTRM input'!$I$172*(1+rvanilla03)^0.5)-SUM($I457:AL457),('PTRM input'!$I$172*(1+rvanilla03)^0.5)/A30stdlife))</f>
        <v>0</v>
      </c>
      <c r="AN457" s="107">
        <f>IF(A30stdlife="n/a","n/a",IF(AN$3&gt;(A30stdlife+$E457),('PTRM input'!$I$172*(1+rvanilla03)^0.5)-SUM($I457:AM457),('PTRM input'!$I$172*(1+rvanilla03)^0.5)/A30stdlife))</f>
        <v>0</v>
      </c>
      <c r="AO457" s="107">
        <f>IF(A30stdlife="n/a","n/a",IF(AO$3&gt;(A30stdlife+$E457),('PTRM input'!$I$172*(1+rvanilla03)^0.5)-SUM($I457:AN457),('PTRM input'!$I$172*(1+rvanilla03)^0.5)/A30stdlife))</f>
        <v>0</v>
      </c>
      <c r="AP457" s="107">
        <f>IF(A30stdlife="n/a","n/a",IF(AP$3&gt;(A30stdlife+$E457),('PTRM input'!$I$172*(1+rvanilla03)^0.5)-SUM($I457:AO457),('PTRM input'!$I$172*(1+rvanilla03)^0.5)/A30stdlife))</f>
        <v>0</v>
      </c>
      <c r="AQ457" s="107">
        <f>IF(A30stdlife="n/a","n/a",IF(AQ$3&gt;(A30stdlife+$E457),('PTRM input'!$I$172*(1+rvanilla03)^0.5)-SUM($I457:AP457),('PTRM input'!$I$172*(1+rvanilla03)^0.5)/A30stdlife))</f>
        <v>0</v>
      </c>
      <c r="AR457" s="107">
        <f>IF(A30stdlife="n/a","n/a",IF(AR$3&gt;(A30stdlife+$E457),('PTRM input'!$I$172*(1+rvanilla03)^0.5)-SUM($I457:AQ457),('PTRM input'!$I$172*(1+rvanilla03)^0.5)/A30stdlife))</f>
        <v>0</v>
      </c>
      <c r="AS457" s="107">
        <f>IF(A30stdlife="n/a","n/a",IF(AS$3&gt;(A30stdlife+$E457),('PTRM input'!$I$172*(1+rvanilla03)^0.5)-SUM($I457:AR457),('PTRM input'!$I$172*(1+rvanilla03)^0.5)/A30stdlife))</f>
        <v>0</v>
      </c>
      <c r="AT457" s="107">
        <f>IF(A30stdlife="n/a","n/a",IF(AT$3&gt;(A30stdlife+$E457),('PTRM input'!$I$172*(1+rvanilla03)^0.5)-SUM($I457:AS457),('PTRM input'!$I$172*(1+rvanilla03)^0.5)/A30stdlife))</f>
        <v>0</v>
      </c>
      <c r="AU457" s="107">
        <f>IF(A30stdlife="n/a","n/a",IF(AU$3&gt;(A30stdlife+$E457),('PTRM input'!$I$172*(1+rvanilla03)^0.5)-SUM($I457:AT457),('PTRM input'!$I$172*(1+rvanilla03)^0.5)/A30stdlife))</f>
        <v>0</v>
      </c>
      <c r="AV457" s="107">
        <f>IF(A30stdlife="n/a","n/a",IF(AV$3&gt;(A30stdlife+$E457),('PTRM input'!$I$172*(1+rvanilla03)^0.5)-SUM($I457:AU457),('PTRM input'!$I$172*(1+rvanilla03)^0.5)/A30stdlife))</f>
        <v>0</v>
      </c>
      <c r="AW457" s="107">
        <f>IF(A30stdlife="n/a","n/a",IF(AW$3&gt;(A30stdlife+$E457),('PTRM input'!$I$172*(1+rvanilla03)^0.5)-SUM($I457:AV457),('PTRM input'!$I$172*(1+rvanilla03)^0.5)/A30stdlife))</f>
        <v>0</v>
      </c>
      <c r="AX457" s="107">
        <f>IF(A30stdlife="n/a","n/a",IF(AX$3&gt;(A30stdlife+$E457),('PTRM input'!$I$172*(1+rvanilla03)^0.5)-SUM($I457:AW457),('PTRM input'!$I$172*(1+rvanilla03)^0.5)/A30stdlife))</f>
        <v>0</v>
      </c>
      <c r="AY457" s="107">
        <f>IF(A30stdlife="n/a","n/a",IF(AY$3&gt;(A30stdlife+$E457),('PTRM input'!$I$172*(1+rvanilla03)^0.5)-SUM($I457:AX457),('PTRM input'!$I$172*(1+rvanilla03)^0.5)/A30stdlife))</f>
        <v>0</v>
      </c>
      <c r="AZ457" s="107">
        <f>IF(A30stdlife="n/a","n/a",IF(AZ$3&gt;(A30stdlife+$E457),('PTRM input'!$I$172*(1+rvanilla03)^0.5)-SUM($I457:AY457),('PTRM input'!$I$172*(1+rvanilla03)^0.5)/A30stdlife))</f>
        <v>0</v>
      </c>
      <c r="BA457" s="107">
        <f>IF(A30stdlife="n/a","n/a",IF(BA$3&gt;(A30stdlife+$E457),('PTRM input'!$I$172*(1+rvanilla03)^0.5)-SUM($I457:AZ457),('PTRM input'!$I$172*(1+rvanilla03)^0.5)/A30stdlife))</f>
        <v>0</v>
      </c>
      <c r="BB457" s="107">
        <f>IF(A30stdlife="n/a","n/a",IF(BB$3&gt;(A30stdlife+$E457),('PTRM input'!$I$172*(1+rvanilla03)^0.5)-SUM($I457:BA457),('PTRM input'!$I$172*(1+rvanilla03)^0.5)/A30stdlife))</f>
        <v>0</v>
      </c>
      <c r="BC457" s="107">
        <f>IF(A30stdlife="n/a","n/a",IF(BC$3&gt;(A30stdlife+$E457),('PTRM input'!$I$172*(1+rvanilla03)^0.5)-SUM($I457:BB457),('PTRM input'!$I$172*(1+rvanilla03)^0.5)/A30stdlife))</f>
        <v>0</v>
      </c>
      <c r="BD457" s="107">
        <f>IF(A30stdlife="n/a","n/a",IF(BD$3&gt;(A30stdlife+$E457),('PTRM input'!$I$172*(1+rvanilla03)^0.5)-SUM($I457:BC457),('PTRM input'!$I$172*(1+rvanilla03)^0.5)/A30stdlife))</f>
        <v>0</v>
      </c>
      <c r="BE457" s="107">
        <f>IF(A30stdlife="n/a","n/a",IF(BE$3&gt;(A30stdlife+$E457),('PTRM input'!$I$172*(1+rvanilla03)^0.5)-SUM($I457:BD457),('PTRM input'!$I$172*(1+rvanilla03)^0.5)/A30stdlife))</f>
        <v>0</v>
      </c>
      <c r="BF457" s="107">
        <f>IF(A30stdlife="n/a","n/a",IF(BF$3&gt;(A30stdlife+$E457),('PTRM input'!$I$172*(1+rvanilla03)^0.5)-SUM($I457:BE457),('PTRM input'!$I$172*(1+rvanilla03)^0.5)/A30stdlife))</f>
        <v>0</v>
      </c>
      <c r="BG457" s="107">
        <f>IF(A30stdlife="n/a","n/a",IF(BG$3&gt;(A30stdlife+$E457),('PTRM input'!$I$172*(1+rvanilla03)^0.5)-SUM($I457:BF457),('PTRM input'!$I$172*(1+rvanilla03)^0.5)/A30stdlife))</f>
        <v>0</v>
      </c>
      <c r="BH457" s="107">
        <f>IF(A30stdlife="n/a","n/a",IF(BH$3&gt;(A30stdlife+$E457),('PTRM input'!$I$172*(1+rvanilla03)^0.5)-SUM($I457:BG457),('PTRM input'!$I$172*(1+rvanilla03)^0.5)/A30stdlife))</f>
        <v>0</v>
      </c>
      <c r="BI457" s="107">
        <f>IF(A30stdlife="n/a","n/a",IF(BI$3&gt;(A30stdlife+$E457),('PTRM input'!$I$172*(1+rvanilla03)^0.5)-SUM($I457:BH457),('PTRM input'!$I$172*(1+rvanilla03)^0.5)/A30stdlife))</f>
        <v>0</v>
      </c>
      <c r="BJ457" s="237"/>
      <c r="BK457" s="237"/>
      <c r="BL457" s="237"/>
      <c r="BM457" s="237"/>
    </row>
    <row r="458" spans="1:65" s="190" customFormat="1" hidden="1" outlineLevel="2">
      <c r="A458" s="237"/>
      <c r="B458" s="33"/>
      <c r="C458" s="32"/>
      <c r="D458" s="1618"/>
      <c r="E458" s="169">
        <v>4</v>
      </c>
      <c r="F458" s="35"/>
      <c r="G458" s="184"/>
      <c r="H458" s="186"/>
      <c r="I458" s="186"/>
      <c r="J458" s="185"/>
      <c r="K458" s="107">
        <f>IF(A30stdlife="n/a","n/a",IF(K$3&gt;(A30stdlife+$E458),('PTRM input'!$J$172*(1+rvanilla04)^0.5)-SUM($J458:J458),('PTRM input'!$J$172*(1+rvanilla04)^0.5)/A30stdlife))</f>
        <v>0</v>
      </c>
      <c r="L458" s="107">
        <f>IF(A30stdlife="n/a","n/a",IF(L$3&gt;(A30stdlife+$E458),('PTRM input'!$J$172*(1+rvanilla04)^0.5)-SUM($J458:K458),('PTRM input'!$J$172*(1+rvanilla04)^0.5)/A30stdlife))</f>
        <v>0</v>
      </c>
      <c r="M458" s="107">
        <f>IF(A30stdlife="n/a","n/a",IF(M$3&gt;(A30stdlife+$E458),('PTRM input'!$J$172*(1+rvanilla04)^0.5)-SUM($J458:L458),('PTRM input'!$J$172*(1+rvanilla04)^0.5)/A30stdlife))</f>
        <v>0</v>
      </c>
      <c r="N458" s="107">
        <f>IF(A30stdlife="n/a","n/a",IF(N$3&gt;(A30stdlife+$E458),('PTRM input'!$J$172*(1+rvanilla04)^0.5)-SUM($J458:M458),('PTRM input'!$J$172*(1+rvanilla04)^0.5)/A30stdlife))</f>
        <v>0</v>
      </c>
      <c r="O458" s="107">
        <f>IF(A30stdlife="n/a","n/a",IF(O$3&gt;(A30stdlife+$E458),('PTRM input'!$J$172*(1+rvanilla04)^0.5)-SUM($J458:N458),('PTRM input'!$J$172*(1+rvanilla04)^0.5)/A30stdlife))</f>
        <v>0</v>
      </c>
      <c r="P458" s="107">
        <f>IF(A30stdlife="n/a","n/a",IF(P$3&gt;(A30stdlife+$E458),('PTRM input'!$J$172*(1+rvanilla04)^0.5)-SUM($J458:O458),('PTRM input'!$J$172*(1+rvanilla04)^0.5)/A30stdlife))</f>
        <v>0</v>
      </c>
      <c r="Q458" s="107">
        <f>IF(A30stdlife="n/a","n/a",IF(Q$3&gt;(A30stdlife+$E458),('PTRM input'!$J$172*(1+rvanilla04)^0.5)-SUM($J458:P458),('PTRM input'!$J$172*(1+rvanilla04)^0.5)/A30stdlife))</f>
        <v>0</v>
      </c>
      <c r="R458" s="107">
        <f>IF(A30stdlife="n/a","n/a",IF(R$3&gt;(A30stdlife+$E458),('PTRM input'!$J$172*(1+rvanilla04)^0.5)-SUM($J458:Q458),('PTRM input'!$J$172*(1+rvanilla04)^0.5)/A30stdlife))</f>
        <v>0</v>
      </c>
      <c r="S458" s="107">
        <f>IF(A30stdlife="n/a","n/a",IF(S$3&gt;(A30stdlife+$E458),('PTRM input'!$J$172*(1+rvanilla04)^0.5)-SUM($J458:R458),('PTRM input'!$J$172*(1+rvanilla04)^0.5)/A30stdlife))</f>
        <v>0</v>
      </c>
      <c r="T458" s="107">
        <f>IF(A30stdlife="n/a","n/a",IF(T$3&gt;(A30stdlife+$E458),('PTRM input'!$J$172*(1+rvanilla04)^0.5)-SUM($J458:S458),('PTRM input'!$J$172*(1+rvanilla04)^0.5)/A30stdlife))</f>
        <v>0</v>
      </c>
      <c r="U458" s="107">
        <f>IF(A30stdlife="n/a","n/a",IF(U$3&gt;(A30stdlife+$E458),('PTRM input'!$J$172*(1+rvanilla04)^0.5)-SUM($J458:T458),('PTRM input'!$J$172*(1+rvanilla04)^0.5)/A30stdlife))</f>
        <v>0</v>
      </c>
      <c r="V458" s="107">
        <f>IF(A30stdlife="n/a","n/a",IF(V$3&gt;(A30stdlife+$E458),('PTRM input'!$J$172*(1+rvanilla04)^0.5)-SUM($J458:U458),('PTRM input'!$J$172*(1+rvanilla04)^0.5)/A30stdlife))</f>
        <v>0</v>
      </c>
      <c r="W458" s="107">
        <f>IF(A30stdlife="n/a","n/a",IF(W$3&gt;(A30stdlife+$E458),('PTRM input'!$J$172*(1+rvanilla04)^0.5)-SUM($J458:V458),('PTRM input'!$J$172*(1+rvanilla04)^0.5)/A30stdlife))</f>
        <v>0</v>
      </c>
      <c r="X458" s="107">
        <f>IF(A30stdlife="n/a","n/a",IF(X$3&gt;(A30stdlife+$E458),('PTRM input'!$J$172*(1+rvanilla04)^0.5)-SUM($J458:W458),('PTRM input'!$J$172*(1+rvanilla04)^0.5)/A30stdlife))</f>
        <v>0</v>
      </c>
      <c r="Y458" s="107">
        <f>IF(A30stdlife="n/a","n/a",IF(Y$3&gt;(A30stdlife+$E458),('PTRM input'!$J$172*(1+rvanilla04)^0.5)-SUM($J458:X458),('PTRM input'!$J$172*(1+rvanilla04)^0.5)/A30stdlife))</f>
        <v>0</v>
      </c>
      <c r="Z458" s="107">
        <f>IF(A30stdlife="n/a","n/a",IF(Z$3&gt;(A30stdlife+$E458),('PTRM input'!$J$172*(1+rvanilla04)^0.5)-SUM($J458:Y458),('PTRM input'!$J$172*(1+rvanilla04)^0.5)/A30stdlife))</f>
        <v>0</v>
      </c>
      <c r="AA458" s="107">
        <f>IF(A30stdlife="n/a","n/a",IF(AA$3&gt;(A30stdlife+$E458),('PTRM input'!$J$172*(1+rvanilla04)^0.5)-SUM($J458:Z458),('PTRM input'!$J$172*(1+rvanilla04)^0.5)/A30stdlife))</f>
        <v>0</v>
      </c>
      <c r="AB458" s="107">
        <f>IF(A30stdlife="n/a","n/a",IF(AB$3&gt;(A30stdlife+$E458),('PTRM input'!$J$172*(1+rvanilla04)^0.5)-SUM($J458:AA458),('PTRM input'!$J$172*(1+rvanilla04)^0.5)/A30stdlife))</f>
        <v>0</v>
      </c>
      <c r="AC458" s="107">
        <f>IF(A30stdlife="n/a","n/a",IF(AC$3&gt;(A30stdlife+$E458),('PTRM input'!$J$172*(1+rvanilla04)^0.5)-SUM($J458:AB458),('PTRM input'!$J$172*(1+rvanilla04)^0.5)/A30stdlife))</f>
        <v>0</v>
      </c>
      <c r="AD458" s="107">
        <f>IF(A30stdlife="n/a","n/a",IF(AD$3&gt;(A30stdlife+$E458),('PTRM input'!$J$172*(1+rvanilla04)^0.5)-SUM($J458:AC458),('PTRM input'!$J$172*(1+rvanilla04)^0.5)/A30stdlife))</f>
        <v>0</v>
      </c>
      <c r="AE458" s="107">
        <f>IF(A30stdlife="n/a","n/a",IF(AE$3&gt;(A30stdlife+$E458),('PTRM input'!$J$172*(1+rvanilla04)^0.5)-SUM($J458:AD458),('PTRM input'!$J$172*(1+rvanilla04)^0.5)/A30stdlife))</f>
        <v>0</v>
      </c>
      <c r="AF458" s="107">
        <f>IF(A30stdlife="n/a","n/a",IF(AF$3&gt;(A30stdlife+$E458),('PTRM input'!$J$172*(1+rvanilla04)^0.5)-SUM($J458:AE458),('PTRM input'!$J$172*(1+rvanilla04)^0.5)/A30stdlife))</f>
        <v>0</v>
      </c>
      <c r="AG458" s="107">
        <f>IF(A30stdlife="n/a","n/a",IF(AG$3&gt;(A30stdlife+$E458),('PTRM input'!$J$172*(1+rvanilla04)^0.5)-SUM($J458:AF458),('PTRM input'!$J$172*(1+rvanilla04)^0.5)/A30stdlife))</f>
        <v>0</v>
      </c>
      <c r="AH458" s="107">
        <f>IF(A30stdlife="n/a","n/a",IF(AH$3&gt;(A30stdlife+$E458),('PTRM input'!$J$172*(1+rvanilla04)^0.5)-SUM($J458:AG458),('PTRM input'!$J$172*(1+rvanilla04)^0.5)/A30stdlife))</f>
        <v>0</v>
      </c>
      <c r="AI458" s="107">
        <f>IF(A30stdlife="n/a","n/a",IF(AI$3&gt;(A30stdlife+$E458),('PTRM input'!$J$172*(1+rvanilla04)^0.5)-SUM($J458:AH458),('PTRM input'!$J$172*(1+rvanilla04)^0.5)/A30stdlife))</f>
        <v>0</v>
      </c>
      <c r="AJ458" s="107">
        <f>IF(A30stdlife="n/a","n/a",IF(AJ$3&gt;(A30stdlife+$E458),('PTRM input'!$J$172*(1+rvanilla04)^0.5)-SUM($J458:AI458),('PTRM input'!$J$172*(1+rvanilla04)^0.5)/A30stdlife))</f>
        <v>0</v>
      </c>
      <c r="AK458" s="107">
        <f>IF(A30stdlife="n/a","n/a",IF(AK$3&gt;(A30stdlife+$E458),('PTRM input'!$J$172*(1+rvanilla04)^0.5)-SUM($J458:AJ458),('PTRM input'!$J$172*(1+rvanilla04)^0.5)/A30stdlife))</f>
        <v>0</v>
      </c>
      <c r="AL458" s="107">
        <f>IF(A30stdlife="n/a","n/a",IF(AL$3&gt;(A30stdlife+$E458),('PTRM input'!$J$172*(1+rvanilla04)^0.5)-SUM($J458:AK458),('PTRM input'!$J$172*(1+rvanilla04)^0.5)/A30stdlife))</f>
        <v>0</v>
      </c>
      <c r="AM458" s="107">
        <f>IF(A30stdlife="n/a","n/a",IF(AM$3&gt;(A30stdlife+$E458),('PTRM input'!$J$172*(1+rvanilla04)^0.5)-SUM($J458:AL458),('PTRM input'!$J$172*(1+rvanilla04)^0.5)/A30stdlife))</f>
        <v>0</v>
      </c>
      <c r="AN458" s="107">
        <f>IF(A30stdlife="n/a","n/a",IF(AN$3&gt;(A30stdlife+$E458),('PTRM input'!$J$172*(1+rvanilla04)^0.5)-SUM($J458:AM458),('PTRM input'!$J$172*(1+rvanilla04)^0.5)/A30stdlife))</f>
        <v>0</v>
      </c>
      <c r="AO458" s="107">
        <f>IF(A30stdlife="n/a","n/a",IF(AO$3&gt;(A30stdlife+$E458),('PTRM input'!$J$172*(1+rvanilla04)^0.5)-SUM($J458:AN458),('PTRM input'!$J$172*(1+rvanilla04)^0.5)/A30stdlife))</f>
        <v>0</v>
      </c>
      <c r="AP458" s="107">
        <f>IF(A30stdlife="n/a","n/a",IF(AP$3&gt;(A30stdlife+$E458),('PTRM input'!$J$172*(1+rvanilla04)^0.5)-SUM($J458:AO458),('PTRM input'!$J$172*(1+rvanilla04)^0.5)/A30stdlife))</f>
        <v>0</v>
      </c>
      <c r="AQ458" s="107">
        <f>IF(A30stdlife="n/a","n/a",IF(AQ$3&gt;(A30stdlife+$E458),('PTRM input'!$J$172*(1+rvanilla04)^0.5)-SUM($J458:AP458),('PTRM input'!$J$172*(1+rvanilla04)^0.5)/A30stdlife))</f>
        <v>0</v>
      </c>
      <c r="AR458" s="107">
        <f>IF(A30stdlife="n/a","n/a",IF(AR$3&gt;(A30stdlife+$E458),('PTRM input'!$J$172*(1+rvanilla04)^0.5)-SUM($J458:AQ458),('PTRM input'!$J$172*(1+rvanilla04)^0.5)/A30stdlife))</f>
        <v>0</v>
      </c>
      <c r="AS458" s="107">
        <f>IF(A30stdlife="n/a","n/a",IF(AS$3&gt;(A30stdlife+$E458),('PTRM input'!$J$172*(1+rvanilla04)^0.5)-SUM($J458:AR458),('PTRM input'!$J$172*(1+rvanilla04)^0.5)/A30stdlife))</f>
        <v>0</v>
      </c>
      <c r="AT458" s="107">
        <f>IF(A30stdlife="n/a","n/a",IF(AT$3&gt;(A30stdlife+$E458),('PTRM input'!$J$172*(1+rvanilla04)^0.5)-SUM($J458:AS458),('PTRM input'!$J$172*(1+rvanilla04)^0.5)/A30stdlife))</f>
        <v>0</v>
      </c>
      <c r="AU458" s="107">
        <f>IF(A30stdlife="n/a","n/a",IF(AU$3&gt;(A30stdlife+$E458),('PTRM input'!$J$172*(1+rvanilla04)^0.5)-SUM($J458:AT458),('PTRM input'!$J$172*(1+rvanilla04)^0.5)/A30stdlife))</f>
        <v>0</v>
      </c>
      <c r="AV458" s="107">
        <f>IF(A30stdlife="n/a","n/a",IF(AV$3&gt;(A30stdlife+$E458),('PTRM input'!$J$172*(1+rvanilla04)^0.5)-SUM($J458:AU458),('PTRM input'!$J$172*(1+rvanilla04)^0.5)/A30stdlife))</f>
        <v>0</v>
      </c>
      <c r="AW458" s="107">
        <f>IF(A30stdlife="n/a","n/a",IF(AW$3&gt;(A30stdlife+$E458),('PTRM input'!$J$172*(1+rvanilla04)^0.5)-SUM($J458:AV458),('PTRM input'!$J$172*(1+rvanilla04)^0.5)/A30stdlife))</f>
        <v>0</v>
      </c>
      <c r="AX458" s="107">
        <f>IF(A30stdlife="n/a","n/a",IF(AX$3&gt;(A30stdlife+$E458),('PTRM input'!$J$172*(1+rvanilla04)^0.5)-SUM($J458:AW458),('PTRM input'!$J$172*(1+rvanilla04)^0.5)/A30stdlife))</f>
        <v>0</v>
      </c>
      <c r="AY458" s="107">
        <f>IF(A30stdlife="n/a","n/a",IF(AY$3&gt;(A30stdlife+$E458),('PTRM input'!$J$172*(1+rvanilla04)^0.5)-SUM($J458:AX458),('PTRM input'!$J$172*(1+rvanilla04)^0.5)/A30stdlife))</f>
        <v>0</v>
      </c>
      <c r="AZ458" s="107">
        <f>IF(A30stdlife="n/a","n/a",IF(AZ$3&gt;(A30stdlife+$E458),('PTRM input'!$J$172*(1+rvanilla04)^0.5)-SUM($J458:AY458),('PTRM input'!$J$172*(1+rvanilla04)^0.5)/A30stdlife))</f>
        <v>0</v>
      </c>
      <c r="BA458" s="107">
        <f>IF(A30stdlife="n/a","n/a",IF(BA$3&gt;(A30stdlife+$E458),('PTRM input'!$J$172*(1+rvanilla04)^0.5)-SUM($J458:AZ458),('PTRM input'!$J$172*(1+rvanilla04)^0.5)/A30stdlife))</f>
        <v>0</v>
      </c>
      <c r="BB458" s="107">
        <f>IF(A30stdlife="n/a","n/a",IF(BB$3&gt;(A30stdlife+$E458),('PTRM input'!$J$172*(1+rvanilla04)^0.5)-SUM($J458:BA458),('PTRM input'!$J$172*(1+rvanilla04)^0.5)/A30stdlife))</f>
        <v>0</v>
      </c>
      <c r="BC458" s="107">
        <f>IF(A30stdlife="n/a","n/a",IF(BC$3&gt;(A30stdlife+$E458),('PTRM input'!$J$172*(1+rvanilla04)^0.5)-SUM($J458:BB458),('PTRM input'!$J$172*(1+rvanilla04)^0.5)/A30stdlife))</f>
        <v>0</v>
      </c>
      <c r="BD458" s="107">
        <f>IF(A30stdlife="n/a","n/a",IF(BD$3&gt;(A30stdlife+$E458),('PTRM input'!$J$172*(1+rvanilla04)^0.5)-SUM($J458:BC458),('PTRM input'!$J$172*(1+rvanilla04)^0.5)/A30stdlife))</f>
        <v>0</v>
      </c>
      <c r="BE458" s="107">
        <f>IF(A30stdlife="n/a","n/a",IF(BE$3&gt;(A30stdlife+$E458),('PTRM input'!$J$172*(1+rvanilla04)^0.5)-SUM($J458:BD458),('PTRM input'!$J$172*(1+rvanilla04)^0.5)/A30stdlife))</f>
        <v>0</v>
      </c>
      <c r="BF458" s="107">
        <f>IF(A30stdlife="n/a","n/a",IF(BF$3&gt;(A30stdlife+$E458),('PTRM input'!$J$172*(1+rvanilla04)^0.5)-SUM($J458:BE458),('PTRM input'!$J$172*(1+rvanilla04)^0.5)/A30stdlife))</f>
        <v>0</v>
      </c>
      <c r="BG458" s="107">
        <f>IF(A30stdlife="n/a","n/a",IF(BG$3&gt;(A30stdlife+$E458),('PTRM input'!$J$172*(1+rvanilla04)^0.5)-SUM($J458:BF458),('PTRM input'!$J$172*(1+rvanilla04)^0.5)/A30stdlife))</f>
        <v>0</v>
      </c>
      <c r="BH458" s="107">
        <f>IF(A30stdlife="n/a","n/a",IF(BH$3&gt;(A30stdlife+$E458),('PTRM input'!$J$172*(1+rvanilla04)^0.5)-SUM($J458:BG458),('PTRM input'!$J$172*(1+rvanilla04)^0.5)/A30stdlife))</f>
        <v>0</v>
      </c>
      <c r="BI458" s="107">
        <f>IF(A30stdlife="n/a","n/a",IF(BI$3&gt;(A30stdlife+$E458),('PTRM input'!$J$172*(1+rvanilla04)^0.5)-SUM($J458:BH458),('PTRM input'!$J$172*(1+rvanilla04)^0.5)/A30stdlife))</f>
        <v>0</v>
      </c>
      <c r="BJ458" s="237"/>
      <c r="BK458" s="237"/>
      <c r="BL458" s="237"/>
      <c r="BM458" s="237"/>
    </row>
    <row r="459" spans="1:65" s="190" customFormat="1" hidden="1" outlineLevel="2">
      <c r="A459" s="237"/>
      <c r="B459" s="33"/>
      <c r="C459" s="32"/>
      <c r="D459" s="1618"/>
      <c r="E459" s="169">
        <v>5</v>
      </c>
      <c r="F459" s="35"/>
      <c r="G459" s="184"/>
      <c r="H459" s="186"/>
      <c r="I459" s="186"/>
      <c r="J459" s="186"/>
      <c r="K459" s="185"/>
      <c r="L459" s="107">
        <f>IF(A30stdlife="n/a","n/a",IF(L$3&gt;(A30stdlife+$E459),('PTRM input'!$K$172*(1+rvanilla05)^0.5)-SUM($K459:K459),('PTRM input'!$K$172*(1+rvanilla05)^0.5)/A30stdlife))</f>
        <v>0</v>
      </c>
      <c r="M459" s="107">
        <f>IF(A30stdlife="n/a","n/a",IF(M$3&gt;(A30stdlife+$E459),('PTRM input'!$K$172*(1+rvanilla05)^0.5)-SUM($K459:L459),('PTRM input'!$K$172*(1+rvanilla05)^0.5)/A30stdlife))</f>
        <v>0</v>
      </c>
      <c r="N459" s="107">
        <f>IF(A30stdlife="n/a","n/a",IF(N$3&gt;(A30stdlife+$E459),('PTRM input'!$K$172*(1+rvanilla05)^0.5)-SUM($K459:M459),('PTRM input'!$K$172*(1+rvanilla05)^0.5)/A30stdlife))</f>
        <v>0</v>
      </c>
      <c r="O459" s="107">
        <f>IF(A30stdlife="n/a","n/a",IF(O$3&gt;(A30stdlife+$E459),('PTRM input'!$K$172*(1+rvanilla05)^0.5)-SUM($K459:N459),('PTRM input'!$K$172*(1+rvanilla05)^0.5)/A30stdlife))</f>
        <v>0</v>
      </c>
      <c r="P459" s="107">
        <f>IF(A30stdlife="n/a","n/a",IF(P$3&gt;(A30stdlife+$E459),('PTRM input'!$K$172*(1+rvanilla05)^0.5)-SUM($K459:O459),('PTRM input'!$K$172*(1+rvanilla05)^0.5)/A30stdlife))</f>
        <v>0</v>
      </c>
      <c r="Q459" s="107">
        <f>IF(A30stdlife="n/a","n/a",IF(Q$3&gt;(A30stdlife+$E459),('PTRM input'!$K$172*(1+rvanilla05)^0.5)-SUM($K459:P459),('PTRM input'!$K$172*(1+rvanilla05)^0.5)/A30stdlife))</f>
        <v>0</v>
      </c>
      <c r="R459" s="107">
        <f>IF(A30stdlife="n/a","n/a",IF(R$3&gt;(A30stdlife+$E459),('PTRM input'!$K$172*(1+rvanilla05)^0.5)-SUM($K459:Q459),('PTRM input'!$K$172*(1+rvanilla05)^0.5)/A30stdlife))</f>
        <v>0</v>
      </c>
      <c r="S459" s="107">
        <f>IF(A30stdlife="n/a","n/a",IF(S$3&gt;(A30stdlife+$E459),('PTRM input'!$K$172*(1+rvanilla05)^0.5)-SUM($K459:R459),('PTRM input'!$K$172*(1+rvanilla05)^0.5)/A30stdlife))</f>
        <v>0</v>
      </c>
      <c r="T459" s="107">
        <f>IF(A30stdlife="n/a","n/a",IF(T$3&gt;(A30stdlife+$E459),('PTRM input'!$K$172*(1+rvanilla05)^0.5)-SUM($K459:S459),('PTRM input'!$K$172*(1+rvanilla05)^0.5)/A30stdlife))</f>
        <v>0</v>
      </c>
      <c r="U459" s="107">
        <f>IF(A30stdlife="n/a","n/a",IF(U$3&gt;(A30stdlife+$E459),('PTRM input'!$K$172*(1+rvanilla05)^0.5)-SUM($K459:T459),('PTRM input'!$K$172*(1+rvanilla05)^0.5)/A30stdlife))</f>
        <v>0</v>
      </c>
      <c r="V459" s="107">
        <f>IF(A30stdlife="n/a","n/a",IF(V$3&gt;(A30stdlife+$E459),('PTRM input'!$K$172*(1+rvanilla05)^0.5)-SUM($K459:U459),('PTRM input'!$K$172*(1+rvanilla05)^0.5)/A30stdlife))</f>
        <v>0</v>
      </c>
      <c r="W459" s="107">
        <f>IF(A30stdlife="n/a","n/a",IF(W$3&gt;(A30stdlife+$E459),('PTRM input'!$K$172*(1+rvanilla05)^0.5)-SUM($K459:V459),('PTRM input'!$K$172*(1+rvanilla05)^0.5)/A30stdlife))</f>
        <v>0</v>
      </c>
      <c r="X459" s="107">
        <f>IF(A30stdlife="n/a","n/a",IF(X$3&gt;(A30stdlife+$E459),('PTRM input'!$K$172*(1+rvanilla05)^0.5)-SUM($K459:W459),('PTRM input'!$K$172*(1+rvanilla05)^0.5)/A30stdlife))</f>
        <v>0</v>
      </c>
      <c r="Y459" s="107">
        <f>IF(A30stdlife="n/a","n/a",IF(Y$3&gt;(A30stdlife+$E459),('PTRM input'!$K$172*(1+rvanilla05)^0.5)-SUM($K459:X459),('PTRM input'!$K$172*(1+rvanilla05)^0.5)/A30stdlife))</f>
        <v>0</v>
      </c>
      <c r="Z459" s="107">
        <f>IF(A30stdlife="n/a","n/a",IF(Z$3&gt;(A30stdlife+$E459),('PTRM input'!$K$172*(1+rvanilla05)^0.5)-SUM($K459:Y459),('PTRM input'!$K$172*(1+rvanilla05)^0.5)/A30stdlife))</f>
        <v>0</v>
      </c>
      <c r="AA459" s="107">
        <f>IF(A30stdlife="n/a","n/a",IF(AA$3&gt;(A30stdlife+$E459),('PTRM input'!$K$172*(1+rvanilla05)^0.5)-SUM($K459:Z459),('PTRM input'!$K$172*(1+rvanilla05)^0.5)/A30stdlife))</f>
        <v>0</v>
      </c>
      <c r="AB459" s="107">
        <f>IF(A30stdlife="n/a","n/a",IF(AB$3&gt;(A30stdlife+$E459),('PTRM input'!$K$172*(1+rvanilla05)^0.5)-SUM($K459:AA459),('PTRM input'!$K$172*(1+rvanilla05)^0.5)/A30stdlife))</f>
        <v>0</v>
      </c>
      <c r="AC459" s="107">
        <f>IF(A30stdlife="n/a","n/a",IF(AC$3&gt;(A30stdlife+$E459),('PTRM input'!$K$172*(1+rvanilla05)^0.5)-SUM($K459:AB459),('PTRM input'!$K$172*(1+rvanilla05)^0.5)/A30stdlife))</f>
        <v>0</v>
      </c>
      <c r="AD459" s="107">
        <f>IF(A30stdlife="n/a","n/a",IF(AD$3&gt;(A30stdlife+$E459),('PTRM input'!$K$172*(1+rvanilla05)^0.5)-SUM($K459:AC459),('PTRM input'!$K$172*(1+rvanilla05)^0.5)/A30stdlife))</f>
        <v>0</v>
      </c>
      <c r="AE459" s="107">
        <f>IF(A30stdlife="n/a","n/a",IF(AE$3&gt;(A30stdlife+$E459),('PTRM input'!$K$172*(1+rvanilla05)^0.5)-SUM($K459:AD459),('PTRM input'!$K$172*(1+rvanilla05)^0.5)/A30stdlife))</f>
        <v>0</v>
      </c>
      <c r="AF459" s="107">
        <f>IF(A30stdlife="n/a","n/a",IF(AF$3&gt;(A30stdlife+$E459),('PTRM input'!$K$172*(1+rvanilla05)^0.5)-SUM($K459:AE459),('PTRM input'!$K$172*(1+rvanilla05)^0.5)/A30stdlife))</f>
        <v>0</v>
      </c>
      <c r="AG459" s="107">
        <f>IF(A30stdlife="n/a","n/a",IF(AG$3&gt;(A30stdlife+$E459),('PTRM input'!$K$172*(1+rvanilla05)^0.5)-SUM($K459:AF459),('PTRM input'!$K$172*(1+rvanilla05)^0.5)/A30stdlife))</f>
        <v>0</v>
      </c>
      <c r="AH459" s="107">
        <f>IF(A30stdlife="n/a","n/a",IF(AH$3&gt;(A30stdlife+$E459),('PTRM input'!$K$172*(1+rvanilla05)^0.5)-SUM($K459:AG459),('PTRM input'!$K$172*(1+rvanilla05)^0.5)/A30stdlife))</f>
        <v>0</v>
      </c>
      <c r="AI459" s="107">
        <f>IF(A30stdlife="n/a","n/a",IF(AI$3&gt;(A30stdlife+$E459),('PTRM input'!$K$172*(1+rvanilla05)^0.5)-SUM($K459:AH459),('PTRM input'!$K$172*(1+rvanilla05)^0.5)/A30stdlife))</f>
        <v>0</v>
      </c>
      <c r="AJ459" s="107">
        <f>IF(A30stdlife="n/a","n/a",IF(AJ$3&gt;(A30stdlife+$E459),('PTRM input'!$K$172*(1+rvanilla05)^0.5)-SUM($K459:AI459),('PTRM input'!$K$172*(1+rvanilla05)^0.5)/A30stdlife))</f>
        <v>0</v>
      </c>
      <c r="AK459" s="107">
        <f>IF(A30stdlife="n/a","n/a",IF(AK$3&gt;(A30stdlife+$E459),('PTRM input'!$K$172*(1+rvanilla05)^0.5)-SUM($K459:AJ459),('PTRM input'!$K$172*(1+rvanilla05)^0.5)/A30stdlife))</f>
        <v>0</v>
      </c>
      <c r="AL459" s="107">
        <f>IF(A30stdlife="n/a","n/a",IF(AL$3&gt;(A30stdlife+$E459),('PTRM input'!$K$172*(1+rvanilla05)^0.5)-SUM($K459:AK459),('PTRM input'!$K$172*(1+rvanilla05)^0.5)/A30stdlife))</f>
        <v>0</v>
      </c>
      <c r="AM459" s="107">
        <f>IF(A30stdlife="n/a","n/a",IF(AM$3&gt;(A30stdlife+$E459),('PTRM input'!$K$172*(1+rvanilla05)^0.5)-SUM($K459:AL459),('PTRM input'!$K$172*(1+rvanilla05)^0.5)/A30stdlife))</f>
        <v>0</v>
      </c>
      <c r="AN459" s="107">
        <f>IF(A30stdlife="n/a","n/a",IF(AN$3&gt;(A30stdlife+$E459),('PTRM input'!$K$172*(1+rvanilla05)^0.5)-SUM($K459:AM459),('PTRM input'!$K$172*(1+rvanilla05)^0.5)/A30stdlife))</f>
        <v>0</v>
      </c>
      <c r="AO459" s="107">
        <f>IF(A30stdlife="n/a","n/a",IF(AO$3&gt;(A30stdlife+$E459),('PTRM input'!$K$172*(1+rvanilla05)^0.5)-SUM($K459:AN459),('PTRM input'!$K$172*(1+rvanilla05)^0.5)/A30stdlife))</f>
        <v>0</v>
      </c>
      <c r="AP459" s="107">
        <f>IF(A30stdlife="n/a","n/a",IF(AP$3&gt;(A30stdlife+$E459),('PTRM input'!$K$172*(1+rvanilla05)^0.5)-SUM($K459:AO459),('PTRM input'!$K$172*(1+rvanilla05)^0.5)/A30stdlife))</f>
        <v>0</v>
      </c>
      <c r="AQ459" s="107">
        <f>IF(A30stdlife="n/a","n/a",IF(AQ$3&gt;(A30stdlife+$E459),('PTRM input'!$K$172*(1+rvanilla05)^0.5)-SUM($K459:AP459),('PTRM input'!$K$172*(1+rvanilla05)^0.5)/A30stdlife))</f>
        <v>0</v>
      </c>
      <c r="AR459" s="107">
        <f>IF(A30stdlife="n/a","n/a",IF(AR$3&gt;(A30stdlife+$E459),('PTRM input'!$K$172*(1+rvanilla05)^0.5)-SUM($K459:AQ459),('PTRM input'!$K$172*(1+rvanilla05)^0.5)/A30stdlife))</f>
        <v>0</v>
      </c>
      <c r="AS459" s="107">
        <f>IF(A30stdlife="n/a","n/a",IF(AS$3&gt;(A30stdlife+$E459),('PTRM input'!$K$172*(1+rvanilla05)^0.5)-SUM($K459:AR459),('PTRM input'!$K$172*(1+rvanilla05)^0.5)/A30stdlife))</f>
        <v>0</v>
      </c>
      <c r="AT459" s="107">
        <f>IF(A30stdlife="n/a","n/a",IF(AT$3&gt;(A30stdlife+$E459),('PTRM input'!$K$172*(1+rvanilla05)^0.5)-SUM($K459:AS459),('PTRM input'!$K$172*(1+rvanilla05)^0.5)/A30stdlife))</f>
        <v>0</v>
      </c>
      <c r="AU459" s="107">
        <f>IF(A30stdlife="n/a","n/a",IF(AU$3&gt;(A30stdlife+$E459),('PTRM input'!$K$172*(1+rvanilla05)^0.5)-SUM($K459:AT459),('PTRM input'!$K$172*(1+rvanilla05)^0.5)/A30stdlife))</f>
        <v>0</v>
      </c>
      <c r="AV459" s="107">
        <f>IF(A30stdlife="n/a","n/a",IF(AV$3&gt;(A30stdlife+$E459),('PTRM input'!$K$172*(1+rvanilla05)^0.5)-SUM($K459:AU459),('PTRM input'!$K$172*(1+rvanilla05)^0.5)/A30stdlife))</f>
        <v>0</v>
      </c>
      <c r="AW459" s="107">
        <f>IF(A30stdlife="n/a","n/a",IF(AW$3&gt;(A30stdlife+$E459),('PTRM input'!$K$172*(1+rvanilla05)^0.5)-SUM($K459:AV459),('PTRM input'!$K$172*(1+rvanilla05)^0.5)/A30stdlife))</f>
        <v>0</v>
      </c>
      <c r="AX459" s="107">
        <f>IF(A30stdlife="n/a","n/a",IF(AX$3&gt;(A30stdlife+$E459),('PTRM input'!$K$172*(1+rvanilla05)^0.5)-SUM($K459:AW459),('PTRM input'!$K$172*(1+rvanilla05)^0.5)/A30stdlife))</f>
        <v>0</v>
      </c>
      <c r="AY459" s="107">
        <f>IF(A30stdlife="n/a","n/a",IF(AY$3&gt;(A30stdlife+$E459),('PTRM input'!$K$172*(1+rvanilla05)^0.5)-SUM($K459:AX459),('PTRM input'!$K$172*(1+rvanilla05)^0.5)/A30stdlife))</f>
        <v>0</v>
      </c>
      <c r="AZ459" s="107">
        <f>IF(A30stdlife="n/a","n/a",IF(AZ$3&gt;(A30stdlife+$E459),('PTRM input'!$K$172*(1+rvanilla05)^0.5)-SUM($K459:AY459),('PTRM input'!$K$172*(1+rvanilla05)^0.5)/A30stdlife))</f>
        <v>0</v>
      </c>
      <c r="BA459" s="107">
        <f>IF(A30stdlife="n/a","n/a",IF(BA$3&gt;(A30stdlife+$E459),('PTRM input'!$K$172*(1+rvanilla05)^0.5)-SUM($K459:AZ459),('PTRM input'!$K$172*(1+rvanilla05)^0.5)/A30stdlife))</f>
        <v>0</v>
      </c>
      <c r="BB459" s="107">
        <f>IF(A30stdlife="n/a","n/a",IF(BB$3&gt;(A30stdlife+$E459),('PTRM input'!$K$172*(1+rvanilla05)^0.5)-SUM($K459:BA459),('PTRM input'!$K$172*(1+rvanilla05)^0.5)/A30stdlife))</f>
        <v>0</v>
      </c>
      <c r="BC459" s="107">
        <f>IF(A30stdlife="n/a","n/a",IF(BC$3&gt;(A30stdlife+$E459),('PTRM input'!$K$172*(1+rvanilla05)^0.5)-SUM($K459:BB459),('PTRM input'!$K$172*(1+rvanilla05)^0.5)/A30stdlife))</f>
        <v>0</v>
      </c>
      <c r="BD459" s="107">
        <f>IF(A30stdlife="n/a","n/a",IF(BD$3&gt;(A30stdlife+$E459),('PTRM input'!$K$172*(1+rvanilla05)^0.5)-SUM($K459:BC459),('PTRM input'!$K$172*(1+rvanilla05)^0.5)/A30stdlife))</f>
        <v>0</v>
      </c>
      <c r="BE459" s="107">
        <f>IF(A30stdlife="n/a","n/a",IF(BE$3&gt;(A30stdlife+$E459),('PTRM input'!$K$172*(1+rvanilla05)^0.5)-SUM($K459:BD459),('PTRM input'!$K$172*(1+rvanilla05)^0.5)/A30stdlife))</f>
        <v>0</v>
      </c>
      <c r="BF459" s="107">
        <f>IF(A30stdlife="n/a","n/a",IF(BF$3&gt;(A30stdlife+$E459),('PTRM input'!$K$172*(1+rvanilla05)^0.5)-SUM($K459:BE459),('PTRM input'!$K$172*(1+rvanilla05)^0.5)/A30stdlife))</f>
        <v>0</v>
      </c>
      <c r="BG459" s="107">
        <f>IF(A30stdlife="n/a","n/a",IF(BG$3&gt;(A30stdlife+$E459),('PTRM input'!$K$172*(1+rvanilla05)^0.5)-SUM($K459:BF459),('PTRM input'!$K$172*(1+rvanilla05)^0.5)/A30stdlife))</f>
        <v>0</v>
      </c>
      <c r="BH459" s="107">
        <f>IF(A30stdlife="n/a","n/a",IF(BH$3&gt;(A30stdlife+$E459),('PTRM input'!$K$172*(1+rvanilla05)^0.5)-SUM($K459:BG459),('PTRM input'!$K$172*(1+rvanilla05)^0.5)/A30stdlife))</f>
        <v>0</v>
      </c>
      <c r="BI459" s="107">
        <f>IF(A30stdlife="n/a","n/a",IF(BI$3&gt;(A30stdlife+$E459),('PTRM input'!$K$172*(1+rvanilla05)^0.5)-SUM($K459:BH459),('PTRM input'!$K$172*(1+rvanilla05)^0.5)/A30stdlife))</f>
        <v>0</v>
      </c>
      <c r="BJ459" s="237"/>
      <c r="BK459" s="237"/>
      <c r="BL459" s="237"/>
      <c r="BM459" s="237"/>
    </row>
    <row r="460" spans="1:65" s="190" customFormat="1" hidden="1" outlineLevel="2">
      <c r="A460" s="237"/>
      <c r="B460" s="33"/>
      <c r="C460" s="32"/>
      <c r="D460" s="1618"/>
      <c r="E460" s="169">
        <v>6</v>
      </c>
      <c r="F460" s="35"/>
      <c r="G460" s="184"/>
      <c r="H460" s="186"/>
      <c r="I460" s="186"/>
      <c r="J460" s="186"/>
      <c r="K460" s="186"/>
      <c r="L460" s="185"/>
      <c r="M460" s="107">
        <f>IF(A30stdlife="n/a","n/a",IF(M$3&gt;(A30stdlife+$E460),('PTRM input'!$L$172*(1+rvanilla06)^0.5)-SUM($L460:L460),('PTRM input'!$L$172*(1+rvanilla06)^0.5)/A30stdlife))</f>
        <v>0</v>
      </c>
      <c r="N460" s="107">
        <f>IF(A30stdlife="n/a","n/a",IF(N$3&gt;(A30stdlife+$E460),('PTRM input'!$L$172*(1+rvanilla06)^0.5)-SUM($L460:M460),('PTRM input'!$L$172*(1+rvanilla06)^0.5)/A30stdlife))</f>
        <v>0</v>
      </c>
      <c r="O460" s="107">
        <f>IF(A30stdlife="n/a","n/a",IF(O$3&gt;(A30stdlife+$E460),('PTRM input'!$L$172*(1+rvanilla06)^0.5)-SUM($L460:N460),('PTRM input'!$L$172*(1+rvanilla06)^0.5)/A30stdlife))</f>
        <v>0</v>
      </c>
      <c r="P460" s="107">
        <f>IF(A30stdlife="n/a","n/a",IF(P$3&gt;(A30stdlife+$E460),('PTRM input'!$L$172*(1+rvanilla06)^0.5)-SUM($L460:O460),('PTRM input'!$L$172*(1+rvanilla06)^0.5)/A30stdlife))</f>
        <v>0</v>
      </c>
      <c r="Q460" s="107">
        <f>IF(A30stdlife="n/a","n/a",IF(Q$3&gt;(A30stdlife+$E460),('PTRM input'!$L$172*(1+rvanilla06)^0.5)-SUM($L460:P460),('PTRM input'!$L$172*(1+rvanilla06)^0.5)/A30stdlife))</f>
        <v>0</v>
      </c>
      <c r="R460" s="107">
        <f>IF(A30stdlife="n/a","n/a",IF(R$3&gt;(A30stdlife+$E460),('PTRM input'!$L$172*(1+rvanilla06)^0.5)-SUM($L460:Q460),('PTRM input'!$L$172*(1+rvanilla06)^0.5)/A30stdlife))</f>
        <v>0</v>
      </c>
      <c r="S460" s="107">
        <f>IF(A30stdlife="n/a","n/a",IF(S$3&gt;(A30stdlife+$E460),('PTRM input'!$L$172*(1+rvanilla06)^0.5)-SUM($L460:R460),('PTRM input'!$L$172*(1+rvanilla06)^0.5)/A30stdlife))</f>
        <v>0</v>
      </c>
      <c r="T460" s="107">
        <f>IF(A30stdlife="n/a","n/a",IF(T$3&gt;(A30stdlife+$E460),('PTRM input'!$L$172*(1+rvanilla06)^0.5)-SUM($L460:S460),('PTRM input'!$L$172*(1+rvanilla06)^0.5)/A30stdlife))</f>
        <v>0</v>
      </c>
      <c r="U460" s="107">
        <f>IF(A30stdlife="n/a","n/a",IF(U$3&gt;(A30stdlife+$E460),('PTRM input'!$L$172*(1+rvanilla06)^0.5)-SUM($L460:T460),('PTRM input'!$L$172*(1+rvanilla06)^0.5)/A30stdlife))</f>
        <v>0</v>
      </c>
      <c r="V460" s="107">
        <f>IF(A30stdlife="n/a","n/a",IF(V$3&gt;(A30stdlife+$E460),('PTRM input'!$L$172*(1+rvanilla06)^0.5)-SUM($L460:U460),('PTRM input'!$L$172*(1+rvanilla06)^0.5)/A30stdlife))</f>
        <v>0</v>
      </c>
      <c r="W460" s="107">
        <f>IF(A30stdlife="n/a","n/a",IF(W$3&gt;(A30stdlife+$E460),('PTRM input'!$L$172*(1+rvanilla06)^0.5)-SUM($L460:V460),('PTRM input'!$L$172*(1+rvanilla06)^0.5)/A30stdlife))</f>
        <v>0</v>
      </c>
      <c r="X460" s="107">
        <f>IF(A30stdlife="n/a","n/a",IF(X$3&gt;(A30stdlife+$E460),('PTRM input'!$L$172*(1+rvanilla06)^0.5)-SUM($L460:W460),('PTRM input'!$L$172*(1+rvanilla06)^0.5)/A30stdlife))</f>
        <v>0</v>
      </c>
      <c r="Y460" s="107">
        <f>IF(A30stdlife="n/a","n/a",IF(Y$3&gt;(A30stdlife+$E460),('PTRM input'!$L$172*(1+rvanilla06)^0.5)-SUM($L460:X460),('PTRM input'!$L$172*(1+rvanilla06)^0.5)/A30stdlife))</f>
        <v>0</v>
      </c>
      <c r="Z460" s="107">
        <f>IF(A30stdlife="n/a","n/a",IF(Z$3&gt;(A30stdlife+$E460),('PTRM input'!$L$172*(1+rvanilla06)^0.5)-SUM($L460:Y460),('PTRM input'!$L$172*(1+rvanilla06)^0.5)/A30stdlife))</f>
        <v>0</v>
      </c>
      <c r="AA460" s="107">
        <f>IF(A30stdlife="n/a","n/a",IF(AA$3&gt;(A30stdlife+$E460),('PTRM input'!$L$172*(1+rvanilla06)^0.5)-SUM($L460:Z460),('PTRM input'!$L$172*(1+rvanilla06)^0.5)/A30stdlife))</f>
        <v>0</v>
      </c>
      <c r="AB460" s="107">
        <f>IF(A30stdlife="n/a","n/a",IF(AB$3&gt;(A30stdlife+$E460),('PTRM input'!$L$172*(1+rvanilla06)^0.5)-SUM($L460:AA460),('PTRM input'!$L$172*(1+rvanilla06)^0.5)/A30stdlife))</f>
        <v>0</v>
      </c>
      <c r="AC460" s="107">
        <f>IF(A30stdlife="n/a","n/a",IF(AC$3&gt;(A30stdlife+$E460),('PTRM input'!$L$172*(1+rvanilla06)^0.5)-SUM($L460:AB460),('PTRM input'!$L$172*(1+rvanilla06)^0.5)/A30stdlife))</f>
        <v>0</v>
      </c>
      <c r="AD460" s="107">
        <f>IF(A30stdlife="n/a","n/a",IF(AD$3&gt;(A30stdlife+$E460),('PTRM input'!$L$172*(1+rvanilla06)^0.5)-SUM($L460:AC460),('PTRM input'!$L$172*(1+rvanilla06)^0.5)/A30stdlife))</f>
        <v>0</v>
      </c>
      <c r="AE460" s="107">
        <f>IF(A30stdlife="n/a","n/a",IF(AE$3&gt;(A30stdlife+$E460),('PTRM input'!$L$172*(1+rvanilla06)^0.5)-SUM($L460:AD460),('PTRM input'!$L$172*(1+rvanilla06)^0.5)/A30stdlife))</f>
        <v>0</v>
      </c>
      <c r="AF460" s="107">
        <f>IF(A30stdlife="n/a","n/a",IF(AF$3&gt;(A30stdlife+$E460),('PTRM input'!$L$172*(1+rvanilla06)^0.5)-SUM($L460:AE460),('PTRM input'!$L$172*(1+rvanilla06)^0.5)/A30stdlife))</f>
        <v>0</v>
      </c>
      <c r="AG460" s="107">
        <f>IF(A30stdlife="n/a","n/a",IF(AG$3&gt;(A30stdlife+$E460),('PTRM input'!$L$172*(1+rvanilla06)^0.5)-SUM($L460:AF460),('PTRM input'!$L$172*(1+rvanilla06)^0.5)/A30stdlife))</f>
        <v>0</v>
      </c>
      <c r="AH460" s="107">
        <f>IF(A30stdlife="n/a","n/a",IF(AH$3&gt;(A30stdlife+$E460),('PTRM input'!$L$172*(1+rvanilla06)^0.5)-SUM($L460:AG460),('PTRM input'!$L$172*(1+rvanilla06)^0.5)/A30stdlife))</f>
        <v>0</v>
      </c>
      <c r="AI460" s="107">
        <f>IF(A30stdlife="n/a","n/a",IF(AI$3&gt;(A30stdlife+$E460),('PTRM input'!$L$172*(1+rvanilla06)^0.5)-SUM($L460:AH460),('PTRM input'!$L$172*(1+rvanilla06)^0.5)/A30stdlife))</f>
        <v>0</v>
      </c>
      <c r="AJ460" s="107">
        <f>IF(A30stdlife="n/a","n/a",IF(AJ$3&gt;(A30stdlife+$E460),('PTRM input'!$L$172*(1+rvanilla06)^0.5)-SUM($L460:AI460),('PTRM input'!$L$172*(1+rvanilla06)^0.5)/A30stdlife))</f>
        <v>0</v>
      </c>
      <c r="AK460" s="107">
        <f>IF(A30stdlife="n/a","n/a",IF(AK$3&gt;(A30stdlife+$E460),('PTRM input'!$L$172*(1+rvanilla06)^0.5)-SUM($L460:AJ460),('PTRM input'!$L$172*(1+rvanilla06)^0.5)/A30stdlife))</f>
        <v>0</v>
      </c>
      <c r="AL460" s="107">
        <f>IF(A30stdlife="n/a","n/a",IF(AL$3&gt;(A30stdlife+$E460),('PTRM input'!$L$172*(1+rvanilla06)^0.5)-SUM($L460:AK460),('PTRM input'!$L$172*(1+rvanilla06)^0.5)/A30stdlife))</f>
        <v>0</v>
      </c>
      <c r="AM460" s="107">
        <f>IF(A30stdlife="n/a","n/a",IF(AM$3&gt;(A30stdlife+$E460),('PTRM input'!$L$172*(1+rvanilla06)^0.5)-SUM($L460:AL460),('PTRM input'!$L$172*(1+rvanilla06)^0.5)/A30stdlife))</f>
        <v>0</v>
      </c>
      <c r="AN460" s="107">
        <f>IF(A30stdlife="n/a","n/a",IF(AN$3&gt;(A30stdlife+$E460),('PTRM input'!$L$172*(1+rvanilla06)^0.5)-SUM($L460:AM460),('PTRM input'!$L$172*(1+rvanilla06)^0.5)/A30stdlife))</f>
        <v>0</v>
      </c>
      <c r="AO460" s="107">
        <f>IF(A30stdlife="n/a","n/a",IF(AO$3&gt;(A30stdlife+$E460),('PTRM input'!$L$172*(1+rvanilla06)^0.5)-SUM($L460:AN460),('PTRM input'!$L$172*(1+rvanilla06)^0.5)/A30stdlife))</f>
        <v>0</v>
      </c>
      <c r="AP460" s="107">
        <f>IF(A30stdlife="n/a","n/a",IF(AP$3&gt;(A30stdlife+$E460),('PTRM input'!$L$172*(1+rvanilla06)^0.5)-SUM($L460:AO460),('PTRM input'!$L$172*(1+rvanilla06)^0.5)/A30stdlife))</f>
        <v>0</v>
      </c>
      <c r="AQ460" s="107">
        <f>IF(A30stdlife="n/a","n/a",IF(AQ$3&gt;(A30stdlife+$E460),('PTRM input'!$L$172*(1+rvanilla06)^0.5)-SUM($L460:AP460),('PTRM input'!$L$172*(1+rvanilla06)^0.5)/A30stdlife))</f>
        <v>0</v>
      </c>
      <c r="AR460" s="107">
        <f>IF(A30stdlife="n/a","n/a",IF(AR$3&gt;(A30stdlife+$E460),('PTRM input'!$L$172*(1+rvanilla06)^0.5)-SUM($L460:AQ460),('PTRM input'!$L$172*(1+rvanilla06)^0.5)/A30stdlife))</f>
        <v>0</v>
      </c>
      <c r="AS460" s="107">
        <f>IF(A30stdlife="n/a","n/a",IF(AS$3&gt;(A30stdlife+$E460),('PTRM input'!$L$172*(1+rvanilla06)^0.5)-SUM($L460:AR460),('PTRM input'!$L$172*(1+rvanilla06)^0.5)/A30stdlife))</f>
        <v>0</v>
      </c>
      <c r="AT460" s="107">
        <f>IF(A30stdlife="n/a","n/a",IF(AT$3&gt;(A30stdlife+$E460),('PTRM input'!$L$172*(1+rvanilla06)^0.5)-SUM($L460:AS460),('PTRM input'!$L$172*(1+rvanilla06)^0.5)/A30stdlife))</f>
        <v>0</v>
      </c>
      <c r="AU460" s="107">
        <f>IF(A30stdlife="n/a","n/a",IF(AU$3&gt;(A30stdlife+$E460),('PTRM input'!$L$172*(1+rvanilla06)^0.5)-SUM($L460:AT460),('PTRM input'!$L$172*(1+rvanilla06)^0.5)/A30stdlife))</f>
        <v>0</v>
      </c>
      <c r="AV460" s="107">
        <f>IF(A30stdlife="n/a","n/a",IF(AV$3&gt;(A30stdlife+$E460),('PTRM input'!$L$172*(1+rvanilla06)^0.5)-SUM($L460:AU460),('PTRM input'!$L$172*(1+rvanilla06)^0.5)/A30stdlife))</f>
        <v>0</v>
      </c>
      <c r="AW460" s="107">
        <f>IF(A30stdlife="n/a","n/a",IF(AW$3&gt;(A30stdlife+$E460),('PTRM input'!$L$172*(1+rvanilla06)^0.5)-SUM($L460:AV460),('PTRM input'!$L$172*(1+rvanilla06)^0.5)/A30stdlife))</f>
        <v>0</v>
      </c>
      <c r="AX460" s="107">
        <f>IF(A30stdlife="n/a","n/a",IF(AX$3&gt;(A30stdlife+$E460),('PTRM input'!$L$172*(1+rvanilla06)^0.5)-SUM($L460:AW460),('PTRM input'!$L$172*(1+rvanilla06)^0.5)/A30stdlife))</f>
        <v>0</v>
      </c>
      <c r="AY460" s="107">
        <f>IF(A30stdlife="n/a","n/a",IF(AY$3&gt;(A30stdlife+$E460),('PTRM input'!$L$172*(1+rvanilla06)^0.5)-SUM($L460:AX460),('PTRM input'!$L$172*(1+rvanilla06)^0.5)/A30stdlife))</f>
        <v>0</v>
      </c>
      <c r="AZ460" s="107">
        <f>IF(A30stdlife="n/a","n/a",IF(AZ$3&gt;(A30stdlife+$E460),('PTRM input'!$L$172*(1+rvanilla06)^0.5)-SUM($L460:AY460),('PTRM input'!$L$172*(1+rvanilla06)^0.5)/A30stdlife))</f>
        <v>0</v>
      </c>
      <c r="BA460" s="107">
        <f>IF(A30stdlife="n/a","n/a",IF(BA$3&gt;(A30stdlife+$E460),('PTRM input'!$L$172*(1+rvanilla06)^0.5)-SUM($L460:AZ460),('PTRM input'!$L$172*(1+rvanilla06)^0.5)/A30stdlife))</f>
        <v>0</v>
      </c>
      <c r="BB460" s="107">
        <f>IF(A30stdlife="n/a","n/a",IF(BB$3&gt;(A30stdlife+$E460),('PTRM input'!$L$172*(1+rvanilla06)^0.5)-SUM($L460:BA460),('PTRM input'!$L$172*(1+rvanilla06)^0.5)/A30stdlife))</f>
        <v>0</v>
      </c>
      <c r="BC460" s="107">
        <f>IF(A30stdlife="n/a","n/a",IF(BC$3&gt;(A30stdlife+$E460),('PTRM input'!$L$172*(1+rvanilla06)^0.5)-SUM($L460:BB460),('PTRM input'!$L$172*(1+rvanilla06)^0.5)/A30stdlife))</f>
        <v>0</v>
      </c>
      <c r="BD460" s="107">
        <f>IF(A30stdlife="n/a","n/a",IF(BD$3&gt;(A30stdlife+$E460),('PTRM input'!$L$172*(1+rvanilla06)^0.5)-SUM($L460:BC460),('PTRM input'!$L$172*(1+rvanilla06)^0.5)/A30stdlife))</f>
        <v>0</v>
      </c>
      <c r="BE460" s="107">
        <f>IF(A30stdlife="n/a","n/a",IF(BE$3&gt;(A30stdlife+$E460),('PTRM input'!$L$172*(1+rvanilla06)^0.5)-SUM($L460:BD460),('PTRM input'!$L$172*(1+rvanilla06)^0.5)/A30stdlife))</f>
        <v>0</v>
      </c>
      <c r="BF460" s="107">
        <f>IF(A30stdlife="n/a","n/a",IF(BF$3&gt;(A30stdlife+$E460),('PTRM input'!$L$172*(1+rvanilla06)^0.5)-SUM($L460:BE460),('PTRM input'!$L$172*(1+rvanilla06)^0.5)/A30stdlife))</f>
        <v>0</v>
      </c>
      <c r="BG460" s="107">
        <f>IF(A30stdlife="n/a","n/a",IF(BG$3&gt;(A30stdlife+$E460),('PTRM input'!$L$172*(1+rvanilla06)^0.5)-SUM($L460:BF460),('PTRM input'!$L$172*(1+rvanilla06)^0.5)/A30stdlife))</f>
        <v>0</v>
      </c>
      <c r="BH460" s="107">
        <f>IF(A30stdlife="n/a","n/a",IF(BH$3&gt;(A30stdlife+$E460),('PTRM input'!$L$172*(1+rvanilla06)^0.5)-SUM($L460:BG460),('PTRM input'!$L$172*(1+rvanilla06)^0.5)/A30stdlife))</f>
        <v>0</v>
      </c>
      <c r="BI460" s="107">
        <f>IF(A30stdlife="n/a","n/a",IF(BI$3&gt;(A30stdlife+$E460),('PTRM input'!$L$172*(1+rvanilla06)^0.5)-SUM($L460:BH460),('PTRM input'!$L$172*(1+rvanilla06)^0.5)/A30stdlife))</f>
        <v>0</v>
      </c>
      <c r="BJ460" s="237"/>
      <c r="BK460" s="237"/>
      <c r="BL460" s="237"/>
      <c r="BM460" s="237"/>
    </row>
    <row r="461" spans="1:65" s="190" customFormat="1" hidden="1" outlineLevel="2">
      <c r="A461" s="237"/>
      <c r="B461" s="33"/>
      <c r="C461" s="32"/>
      <c r="D461" s="1618"/>
      <c r="E461" s="169">
        <v>7</v>
      </c>
      <c r="F461" s="35"/>
      <c r="G461" s="184"/>
      <c r="H461" s="186"/>
      <c r="I461" s="186"/>
      <c r="J461" s="186"/>
      <c r="K461" s="186"/>
      <c r="L461" s="186"/>
      <c r="M461" s="185"/>
      <c r="N461" s="107">
        <f>IF(A30stdlife="n/a","n/a",IF(N$3&gt;(A30stdlife+$E461),('PTRM input'!$M$172*(1+rvanilla07)^0.5)-SUM($M461:M461),('PTRM input'!$M$172*(1+rvanilla07)^0.5)/A30stdlife))</f>
        <v>0</v>
      </c>
      <c r="O461" s="107">
        <f>IF(A30stdlife="n/a","n/a",IF(O$3&gt;(A30stdlife+$E461),('PTRM input'!$M$172*(1+rvanilla07)^0.5)-SUM($M461:N461),('PTRM input'!$M$172*(1+rvanilla07)^0.5)/A30stdlife))</f>
        <v>0</v>
      </c>
      <c r="P461" s="107">
        <f>IF(A30stdlife="n/a","n/a",IF(P$3&gt;(A30stdlife+$E461),('PTRM input'!$M$172*(1+rvanilla07)^0.5)-SUM($M461:O461),('PTRM input'!$M$172*(1+rvanilla07)^0.5)/A30stdlife))</f>
        <v>0</v>
      </c>
      <c r="Q461" s="107">
        <f>IF(A30stdlife="n/a","n/a",IF(Q$3&gt;(A30stdlife+$E461),('PTRM input'!$M$172*(1+rvanilla07)^0.5)-SUM($M461:P461),('PTRM input'!$M$172*(1+rvanilla07)^0.5)/A30stdlife))</f>
        <v>0</v>
      </c>
      <c r="R461" s="107">
        <f>IF(A30stdlife="n/a","n/a",IF(R$3&gt;(A30stdlife+$E461),('PTRM input'!$M$172*(1+rvanilla07)^0.5)-SUM($M461:Q461),('PTRM input'!$M$172*(1+rvanilla07)^0.5)/A30stdlife))</f>
        <v>0</v>
      </c>
      <c r="S461" s="107">
        <f>IF(A30stdlife="n/a","n/a",IF(S$3&gt;(A30stdlife+$E461),('PTRM input'!$M$172*(1+rvanilla07)^0.5)-SUM($M461:R461),('PTRM input'!$M$172*(1+rvanilla07)^0.5)/A30stdlife))</f>
        <v>0</v>
      </c>
      <c r="T461" s="107">
        <f>IF(A30stdlife="n/a","n/a",IF(T$3&gt;(A30stdlife+$E461),('PTRM input'!$M$172*(1+rvanilla07)^0.5)-SUM($M461:S461),('PTRM input'!$M$172*(1+rvanilla07)^0.5)/A30stdlife))</f>
        <v>0</v>
      </c>
      <c r="U461" s="107">
        <f>IF(A30stdlife="n/a","n/a",IF(U$3&gt;(A30stdlife+$E461),('PTRM input'!$M$172*(1+rvanilla07)^0.5)-SUM($M461:T461),('PTRM input'!$M$172*(1+rvanilla07)^0.5)/A30stdlife))</f>
        <v>0</v>
      </c>
      <c r="V461" s="107">
        <f>IF(A30stdlife="n/a","n/a",IF(V$3&gt;(A30stdlife+$E461),('PTRM input'!$M$172*(1+rvanilla07)^0.5)-SUM($M461:U461),('PTRM input'!$M$172*(1+rvanilla07)^0.5)/A30stdlife))</f>
        <v>0</v>
      </c>
      <c r="W461" s="107">
        <f>IF(A30stdlife="n/a","n/a",IF(W$3&gt;(A30stdlife+$E461),('PTRM input'!$M$172*(1+rvanilla07)^0.5)-SUM($M461:V461),('PTRM input'!$M$172*(1+rvanilla07)^0.5)/A30stdlife))</f>
        <v>0</v>
      </c>
      <c r="X461" s="107">
        <f>IF(A30stdlife="n/a","n/a",IF(X$3&gt;(A30stdlife+$E461),('PTRM input'!$M$172*(1+rvanilla07)^0.5)-SUM($M461:W461),('PTRM input'!$M$172*(1+rvanilla07)^0.5)/A30stdlife))</f>
        <v>0</v>
      </c>
      <c r="Y461" s="107">
        <f>IF(A30stdlife="n/a","n/a",IF(Y$3&gt;(A30stdlife+$E461),('PTRM input'!$M$172*(1+rvanilla07)^0.5)-SUM($M461:X461),('PTRM input'!$M$172*(1+rvanilla07)^0.5)/A30stdlife))</f>
        <v>0</v>
      </c>
      <c r="Z461" s="107">
        <f>IF(A30stdlife="n/a","n/a",IF(Z$3&gt;(A30stdlife+$E461),('PTRM input'!$M$172*(1+rvanilla07)^0.5)-SUM($M461:Y461),('PTRM input'!$M$172*(1+rvanilla07)^0.5)/A30stdlife))</f>
        <v>0</v>
      </c>
      <c r="AA461" s="107">
        <f>IF(A30stdlife="n/a","n/a",IF(AA$3&gt;(A30stdlife+$E461),('PTRM input'!$M$172*(1+rvanilla07)^0.5)-SUM($M461:Z461),('PTRM input'!$M$172*(1+rvanilla07)^0.5)/A30stdlife))</f>
        <v>0</v>
      </c>
      <c r="AB461" s="107">
        <f>IF(A30stdlife="n/a","n/a",IF(AB$3&gt;(A30stdlife+$E461),('PTRM input'!$M$172*(1+rvanilla07)^0.5)-SUM($M461:AA461),('PTRM input'!$M$172*(1+rvanilla07)^0.5)/A30stdlife))</f>
        <v>0</v>
      </c>
      <c r="AC461" s="107">
        <f>IF(A30stdlife="n/a","n/a",IF(AC$3&gt;(A30stdlife+$E461),('PTRM input'!$M$172*(1+rvanilla07)^0.5)-SUM($M461:AB461),('PTRM input'!$M$172*(1+rvanilla07)^0.5)/A30stdlife))</f>
        <v>0</v>
      </c>
      <c r="AD461" s="107">
        <f>IF(A30stdlife="n/a","n/a",IF(AD$3&gt;(A30stdlife+$E461),('PTRM input'!$M$172*(1+rvanilla07)^0.5)-SUM($M461:AC461),('PTRM input'!$M$172*(1+rvanilla07)^0.5)/A30stdlife))</f>
        <v>0</v>
      </c>
      <c r="AE461" s="107">
        <f>IF(A30stdlife="n/a","n/a",IF(AE$3&gt;(A30stdlife+$E461),('PTRM input'!$M$172*(1+rvanilla07)^0.5)-SUM($M461:AD461),('PTRM input'!$M$172*(1+rvanilla07)^0.5)/A30stdlife))</f>
        <v>0</v>
      </c>
      <c r="AF461" s="107">
        <f>IF(A30stdlife="n/a","n/a",IF(AF$3&gt;(A30stdlife+$E461),('PTRM input'!$M$172*(1+rvanilla07)^0.5)-SUM($M461:AE461),('PTRM input'!$M$172*(1+rvanilla07)^0.5)/A30stdlife))</f>
        <v>0</v>
      </c>
      <c r="AG461" s="107">
        <f>IF(A30stdlife="n/a","n/a",IF(AG$3&gt;(A30stdlife+$E461),('PTRM input'!$M$172*(1+rvanilla07)^0.5)-SUM($M461:AF461),('PTRM input'!$M$172*(1+rvanilla07)^0.5)/A30stdlife))</f>
        <v>0</v>
      </c>
      <c r="AH461" s="107">
        <f>IF(A30stdlife="n/a","n/a",IF(AH$3&gt;(A30stdlife+$E461),('PTRM input'!$M$172*(1+rvanilla07)^0.5)-SUM($M461:AG461),('PTRM input'!$M$172*(1+rvanilla07)^0.5)/A30stdlife))</f>
        <v>0</v>
      </c>
      <c r="AI461" s="107">
        <f>IF(A30stdlife="n/a","n/a",IF(AI$3&gt;(A30stdlife+$E461),('PTRM input'!$M$172*(1+rvanilla07)^0.5)-SUM($M461:AH461),('PTRM input'!$M$172*(1+rvanilla07)^0.5)/A30stdlife))</f>
        <v>0</v>
      </c>
      <c r="AJ461" s="107">
        <f>IF(A30stdlife="n/a","n/a",IF(AJ$3&gt;(A30stdlife+$E461),('PTRM input'!$M$172*(1+rvanilla07)^0.5)-SUM($M461:AI461),('PTRM input'!$M$172*(1+rvanilla07)^0.5)/A30stdlife))</f>
        <v>0</v>
      </c>
      <c r="AK461" s="107">
        <f>IF(A30stdlife="n/a","n/a",IF(AK$3&gt;(A30stdlife+$E461),('PTRM input'!$M$172*(1+rvanilla07)^0.5)-SUM($M461:AJ461),('PTRM input'!$M$172*(1+rvanilla07)^0.5)/A30stdlife))</f>
        <v>0</v>
      </c>
      <c r="AL461" s="107">
        <f>IF(A30stdlife="n/a","n/a",IF(AL$3&gt;(A30stdlife+$E461),('PTRM input'!$M$172*(1+rvanilla07)^0.5)-SUM($M461:AK461),('PTRM input'!$M$172*(1+rvanilla07)^0.5)/A30stdlife))</f>
        <v>0</v>
      </c>
      <c r="AM461" s="107">
        <f>IF(A30stdlife="n/a","n/a",IF(AM$3&gt;(A30stdlife+$E461),('PTRM input'!$M$172*(1+rvanilla07)^0.5)-SUM($M461:AL461),('PTRM input'!$M$172*(1+rvanilla07)^0.5)/A30stdlife))</f>
        <v>0</v>
      </c>
      <c r="AN461" s="107">
        <f>IF(A30stdlife="n/a","n/a",IF(AN$3&gt;(A30stdlife+$E461),('PTRM input'!$M$172*(1+rvanilla07)^0.5)-SUM($M461:AM461),('PTRM input'!$M$172*(1+rvanilla07)^0.5)/A30stdlife))</f>
        <v>0</v>
      </c>
      <c r="AO461" s="107">
        <f>IF(A30stdlife="n/a","n/a",IF(AO$3&gt;(A30stdlife+$E461),('PTRM input'!$M$172*(1+rvanilla07)^0.5)-SUM($M461:AN461),('PTRM input'!$M$172*(1+rvanilla07)^0.5)/A30stdlife))</f>
        <v>0</v>
      </c>
      <c r="AP461" s="107">
        <f>IF(A30stdlife="n/a","n/a",IF(AP$3&gt;(A30stdlife+$E461),('PTRM input'!$M$172*(1+rvanilla07)^0.5)-SUM($M461:AO461),('PTRM input'!$M$172*(1+rvanilla07)^0.5)/A30stdlife))</f>
        <v>0</v>
      </c>
      <c r="AQ461" s="107">
        <f>IF(A30stdlife="n/a","n/a",IF(AQ$3&gt;(A30stdlife+$E461),('PTRM input'!$M$172*(1+rvanilla07)^0.5)-SUM($M461:AP461),('PTRM input'!$M$172*(1+rvanilla07)^0.5)/A30stdlife))</f>
        <v>0</v>
      </c>
      <c r="AR461" s="107">
        <f>IF(A30stdlife="n/a","n/a",IF(AR$3&gt;(A30stdlife+$E461),('PTRM input'!$M$172*(1+rvanilla07)^0.5)-SUM($M461:AQ461),('PTRM input'!$M$172*(1+rvanilla07)^0.5)/A30stdlife))</f>
        <v>0</v>
      </c>
      <c r="AS461" s="107">
        <f>IF(A30stdlife="n/a","n/a",IF(AS$3&gt;(A30stdlife+$E461),('PTRM input'!$M$172*(1+rvanilla07)^0.5)-SUM($M461:AR461),('PTRM input'!$M$172*(1+rvanilla07)^0.5)/A30stdlife))</f>
        <v>0</v>
      </c>
      <c r="AT461" s="107">
        <f>IF(A30stdlife="n/a","n/a",IF(AT$3&gt;(A30stdlife+$E461),('PTRM input'!$M$172*(1+rvanilla07)^0.5)-SUM($M461:AS461),('PTRM input'!$M$172*(1+rvanilla07)^0.5)/A30stdlife))</f>
        <v>0</v>
      </c>
      <c r="AU461" s="107">
        <f>IF(A30stdlife="n/a","n/a",IF(AU$3&gt;(A30stdlife+$E461),('PTRM input'!$M$172*(1+rvanilla07)^0.5)-SUM($M461:AT461),('PTRM input'!$M$172*(1+rvanilla07)^0.5)/A30stdlife))</f>
        <v>0</v>
      </c>
      <c r="AV461" s="107">
        <f>IF(A30stdlife="n/a","n/a",IF(AV$3&gt;(A30stdlife+$E461),('PTRM input'!$M$172*(1+rvanilla07)^0.5)-SUM($M461:AU461),('PTRM input'!$M$172*(1+rvanilla07)^0.5)/A30stdlife))</f>
        <v>0</v>
      </c>
      <c r="AW461" s="107">
        <f>IF(A30stdlife="n/a","n/a",IF(AW$3&gt;(A30stdlife+$E461),('PTRM input'!$M$172*(1+rvanilla07)^0.5)-SUM($M461:AV461),('PTRM input'!$M$172*(1+rvanilla07)^0.5)/A30stdlife))</f>
        <v>0</v>
      </c>
      <c r="AX461" s="107">
        <f>IF(A30stdlife="n/a","n/a",IF(AX$3&gt;(A30stdlife+$E461),('PTRM input'!$M$172*(1+rvanilla07)^0.5)-SUM($M461:AW461),('PTRM input'!$M$172*(1+rvanilla07)^0.5)/A30stdlife))</f>
        <v>0</v>
      </c>
      <c r="AY461" s="107">
        <f>IF(A30stdlife="n/a","n/a",IF(AY$3&gt;(A30stdlife+$E461),('PTRM input'!$M$172*(1+rvanilla07)^0.5)-SUM($M461:AX461),('PTRM input'!$M$172*(1+rvanilla07)^0.5)/A30stdlife))</f>
        <v>0</v>
      </c>
      <c r="AZ461" s="107">
        <f>IF(A30stdlife="n/a","n/a",IF(AZ$3&gt;(A30stdlife+$E461),('PTRM input'!$M$172*(1+rvanilla07)^0.5)-SUM($M461:AY461),('PTRM input'!$M$172*(1+rvanilla07)^0.5)/A30stdlife))</f>
        <v>0</v>
      </c>
      <c r="BA461" s="107">
        <f>IF(A30stdlife="n/a","n/a",IF(BA$3&gt;(A30stdlife+$E461),('PTRM input'!$M$172*(1+rvanilla07)^0.5)-SUM($M461:AZ461),('PTRM input'!$M$172*(1+rvanilla07)^0.5)/A30stdlife))</f>
        <v>0</v>
      </c>
      <c r="BB461" s="107">
        <f>IF(A30stdlife="n/a","n/a",IF(BB$3&gt;(A30stdlife+$E461),('PTRM input'!$M$172*(1+rvanilla07)^0.5)-SUM($M461:BA461),('PTRM input'!$M$172*(1+rvanilla07)^0.5)/A30stdlife))</f>
        <v>0</v>
      </c>
      <c r="BC461" s="107">
        <f>IF(A30stdlife="n/a","n/a",IF(BC$3&gt;(A30stdlife+$E461),('PTRM input'!$M$172*(1+rvanilla07)^0.5)-SUM($M461:BB461),('PTRM input'!$M$172*(1+rvanilla07)^0.5)/A30stdlife))</f>
        <v>0</v>
      </c>
      <c r="BD461" s="107">
        <f>IF(A30stdlife="n/a","n/a",IF(BD$3&gt;(A30stdlife+$E461),('PTRM input'!$M$172*(1+rvanilla07)^0.5)-SUM($M461:BC461),('PTRM input'!$M$172*(1+rvanilla07)^0.5)/A30stdlife))</f>
        <v>0</v>
      </c>
      <c r="BE461" s="107">
        <f>IF(A30stdlife="n/a","n/a",IF(BE$3&gt;(A30stdlife+$E461),('PTRM input'!$M$172*(1+rvanilla07)^0.5)-SUM($M461:BD461),('PTRM input'!$M$172*(1+rvanilla07)^0.5)/A30stdlife))</f>
        <v>0</v>
      </c>
      <c r="BF461" s="107">
        <f>IF(A30stdlife="n/a","n/a",IF(BF$3&gt;(A30stdlife+$E461),('PTRM input'!$M$172*(1+rvanilla07)^0.5)-SUM($M461:BE461),('PTRM input'!$M$172*(1+rvanilla07)^0.5)/A30stdlife))</f>
        <v>0</v>
      </c>
      <c r="BG461" s="107">
        <f>IF(A30stdlife="n/a","n/a",IF(BG$3&gt;(A30stdlife+$E461),('PTRM input'!$M$172*(1+rvanilla07)^0.5)-SUM($M461:BF461),('PTRM input'!$M$172*(1+rvanilla07)^0.5)/A30stdlife))</f>
        <v>0</v>
      </c>
      <c r="BH461" s="107">
        <f>IF(A30stdlife="n/a","n/a",IF(BH$3&gt;(A30stdlife+$E461),('PTRM input'!$M$172*(1+rvanilla07)^0.5)-SUM($M461:BG461),('PTRM input'!$M$172*(1+rvanilla07)^0.5)/A30stdlife))</f>
        <v>0</v>
      </c>
      <c r="BI461" s="107">
        <f>IF(A30stdlife="n/a","n/a",IF(BI$3&gt;(A30stdlife+$E461),('PTRM input'!$M$172*(1+rvanilla07)^0.5)-SUM($M461:BH461),('PTRM input'!$M$172*(1+rvanilla07)^0.5)/A30stdlife))</f>
        <v>0</v>
      </c>
      <c r="BJ461" s="237"/>
      <c r="BK461" s="237"/>
      <c r="BL461" s="237"/>
      <c r="BM461" s="237"/>
    </row>
    <row r="462" spans="1:65" s="190" customFormat="1" hidden="1" outlineLevel="2">
      <c r="A462" s="237"/>
      <c r="B462" s="33"/>
      <c r="C462" s="32"/>
      <c r="D462" s="1618"/>
      <c r="E462" s="169">
        <v>8</v>
      </c>
      <c r="F462" s="35"/>
      <c r="G462" s="184"/>
      <c r="H462" s="186"/>
      <c r="I462" s="186"/>
      <c r="J462" s="186"/>
      <c r="K462" s="186"/>
      <c r="L462" s="186"/>
      <c r="M462" s="186"/>
      <c r="N462" s="185"/>
      <c r="O462" s="107">
        <f>IF(A30stdlife="n/a","n/a",IF(O$3&gt;(A30stdlife+$E462),('PTRM input'!$N$172*(1+rvanilla08)^0.5)-SUM($N462:N462),('PTRM input'!$N$172*(1+rvanilla08)^0.5)/A30stdlife))</f>
        <v>0</v>
      </c>
      <c r="P462" s="107">
        <f>IF(A30stdlife="n/a","n/a",IF(P$3&gt;(A30stdlife+$E462),('PTRM input'!$N$172*(1+rvanilla08)^0.5)-SUM($N462:O462),('PTRM input'!$N$172*(1+rvanilla08)^0.5)/A30stdlife))</f>
        <v>0</v>
      </c>
      <c r="Q462" s="107">
        <f>IF(A30stdlife="n/a","n/a",IF(Q$3&gt;(A30stdlife+$E462),('PTRM input'!$N$172*(1+rvanilla08)^0.5)-SUM($N462:P462),('PTRM input'!$N$172*(1+rvanilla08)^0.5)/A30stdlife))</f>
        <v>0</v>
      </c>
      <c r="R462" s="107">
        <f>IF(A30stdlife="n/a","n/a",IF(R$3&gt;(A30stdlife+$E462),('PTRM input'!$N$172*(1+rvanilla08)^0.5)-SUM($N462:Q462),('PTRM input'!$N$172*(1+rvanilla08)^0.5)/A30stdlife))</f>
        <v>0</v>
      </c>
      <c r="S462" s="107">
        <f>IF(A30stdlife="n/a","n/a",IF(S$3&gt;(A30stdlife+$E462),('PTRM input'!$N$172*(1+rvanilla08)^0.5)-SUM($N462:R462),('PTRM input'!$N$172*(1+rvanilla08)^0.5)/A30stdlife))</f>
        <v>0</v>
      </c>
      <c r="T462" s="107">
        <f>IF(A30stdlife="n/a","n/a",IF(T$3&gt;(A30stdlife+$E462),('PTRM input'!$N$172*(1+rvanilla08)^0.5)-SUM($N462:S462),('PTRM input'!$N$172*(1+rvanilla08)^0.5)/A30stdlife))</f>
        <v>0</v>
      </c>
      <c r="U462" s="107">
        <f>IF(A30stdlife="n/a","n/a",IF(U$3&gt;(A30stdlife+$E462),('PTRM input'!$N$172*(1+rvanilla08)^0.5)-SUM($N462:T462),('PTRM input'!$N$172*(1+rvanilla08)^0.5)/A30stdlife))</f>
        <v>0</v>
      </c>
      <c r="V462" s="107">
        <f>IF(A30stdlife="n/a","n/a",IF(V$3&gt;(A30stdlife+$E462),('PTRM input'!$N$172*(1+rvanilla08)^0.5)-SUM($N462:U462),('PTRM input'!$N$172*(1+rvanilla08)^0.5)/A30stdlife))</f>
        <v>0</v>
      </c>
      <c r="W462" s="107">
        <f>IF(A30stdlife="n/a","n/a",IF(W$3&gt;(A30stdlife+$E462),('PTRM input'!$N$172*(1+rvanilla08)^0.5)-SUM($N462:V462),('PTRM input'!$N$172*(1+rvanilla08)^0.5)/A30stdlife))</f>
        <v>0</v>
      </c>
      <c r="X462" s="107">
        <f>IF(A30stdlife="n/a","n/a",IF(X$3&gt;(A30stdlife+$E462),('PTRM input'!$N$172*(1+rvanilla08)^0.5)-SUM($N462:W462),('PTRM input'!$N$172*(1+rvanilla08)^0.5)/A30stdlife))</f>
        <v>0</v>
      </c>
      <c r="Y462" s="107">
        <f>IF(A30stdlife="n/a","n/a",IF(Y$3&gt;(A30stdlife+$E462),('PTRM input'!$N$172*(1+rvanilla08)^0.5)-SUM($N462:X462),('PTRM input'!$N$172*(1+rvanilla08)^0.5)/A30stdlife))</f>
        <v>0</v>
      </c>
      <c r="Z462" s="107">
        <f>IF(A30stdlife="n/a","n/a",IF(Z$3&gt;(A30stdlife+$E462),('PTRM input'!$N$172*(1+rvanilla08)^0.5)-SUM($N462:Y462),('PTRM input'!$N$172*(1+rvanilla08)^0.5)/A30stdlife))</f>
        <v>0</v>
      </c>
      <c r="AA462" s="107">
        <f>IF(A30stdlife="n/a","n/a",IF(AA$3&gt;(A30stdlife+$E462),('PTRM input'!$N$172*(1+rvanilla08)^0.5)-SUM($N462:Z462),('PTRM input'!$N$172*(1+rvanilla08)^0.5)/A30stdlife))</f>
        <v>0</v>
      </c>
      <c r="AB462" s="107">
        <f>IF(A30stdlife="n/a","n/a",IF(AB$3&gt;(A30stdlife+$E462),('PTRM input'!$N$172*(1+rvanilla08)^0.5)-SUM($N462:AA462),('PTRM input'!$N$172*(1+rvanilla08)^0.5)/A30stdlife))</f>
        <v>0</v>
      </c>
      <c r="AC462" s="107">
        <f>IF(A30stdlife="n/a","n/a",IF(AC$3&gt;(A30stdlife+$E462),('PTRM input'!$N$172*(1+rvanilla08)^0.5)-SUM($N462:AB462),('PTRM input'!$N$172*(1+rvanilla08)^0.5)/A30stdlife))</f>
        <v>0</v>
      </c>
      <c r="AD462" s="107">
        <f>IF(A30stdlife="n/a","n/a",IF(AD$3&gt;(A30stdlife+$E462),('PTRM input'!$N$172*(1+rvanilla08)^0.5)-SUM($N462:AC462),('PTRM input'!$N$172*(1+rvanilla08)^0.5)/A30stdlife))</f>
        <v>0</v>
      </c>
      <c r="AE462" s="107">
        <f>IF(A30stdlife="n/a","n/a",IF(AE$3&gt;(A30stdlife+$E462),('PTRM input'!$N$172*(1+rvanilla08)^0.5)-SUM($N462:AD462),('PTRM input'!$N$172*(1+rvanilla08)^0.5)/A30stdlife))</f>
        <v>0</v>
      </c>
      <c r="AF462" s="107">
        <f>IF(A30stdlife="n/a","n/a",IF(AF$3&gt;(A30stdlife+$E462),('PTRM input'!$N$172*(1+rvanilla08)^0.5)-SUM($N462:AE462),('PTRM input'!$N$172*(1+rvanilla08)^0.5)/A30stdlife))</f>
        <v>0</v>
      </c>
      <c r="AG462" s="107">
        <f>IF(A30stdlife="n/a","n/a",IF(AG$3&gt;(A30stdlife+$E462),('PTRM input'!$N$172*(1+rvanilla08)^0.5)-SUM($N462:AF462),('PTRM input'!$N$172*(1+rvanilla08)^0.5)/A30stdlife))</f>
        <v>0</v>
      </c>
      <c r="AH462" s="107">
        <f>IF(A30stdlife="n/a","n/a",IF(AH$3&gt;(A30stdlife+$E462),('PTRM input'!$N$172*(1+rvanilla08)^0.5)-SUM($N462:AG462),('PTRM input'!$N$172*(1+rvanilla08)^0.5)/A30stdlife))</f>
        <v>0</v>
      </c>
      <c r="AI462" s="107">
        <f>IF(A30stdlife="n/a","n/a",IF(AI$3&gt;(A30stdlife+$E462),('PTRM input'!$N$172*(1+rvanilla08)^0.5)-SUM($N462:AH462),('PTRM input'!$N$172*(1+rvanilla08)^0.5)/A30stdlife))</f>
        <v>0</v>
      </c>
      <c r="AJ462" s="107">
        <f>IF(A30stdlife="n/a","n/a",IF(AJ$3&gt;(A30stdlife+$E462),('PTRM input'!$N$172*(1+rvanilla08)^0.5)-SUM($N462:AI462),('PTRM input'!$N$172*(1+rvanilla08)^0.5)/A30stdlife))</f>
        <v>0</v>
      </c>
      <c r="AK462" s="107">
        <f>IF(A30stdlife="n/a","n/a",IF(AK$3&gt;(A30stdlife+$E462),('PTRM input'!$N$172*(1+rvanilla08)^0.5)-SUM($N462:AJ462),('PTRM input'!$N$172*(1+rvanilla08)^0.5)/A30stdlife))</f>
        <v>0</v>
      </c>
      <c r="AL462" s="107">
        <f>IF(A30stdlife="n/a","n/a",IF(AL$3&gt;(A30stdlife+$E462),('PTRM input'!$N$172*(1+rvanilla08)^0.5)-SUM($N462:AK462),('PTRM input'!$N$172*(1+rvanilla08)^0.5)/A30stdlife))</f>
        <v>0</v>
      </c>
      <c r="AM462" s="107">
        <f>IF(A30stdlife="n/a","n/a",IF(AM$3&gt;(A30stdlife+$E462),('PTRM input'!$N$172*(1+rvanilla08)^0.5)-SUM($N462:AL462),('PTRM input'!$N$172*(1+rvanilla08)^0.5)/A30stdlife))</f>
        <v>0</v>
      </c>
      <c r="AN462" s="107">
        <f>IF(A30stdlife="n/a","n/a",IF(AN$3&gt;(A30stdlife+$E462),('PTRM input'!$N$172*(1+rvanilla08)^0.5)-SUM($N462:AM462),('PTRM input'!$N$172*(1+rvanilla08)^0.5)/A30stdlife))</f>
        <v>0</v>
      </c>
      <c r="AO462" s="107">
        <f>IF(A30stdlife="n/a","n/a",IF(AO$3&gt;(A30stdlife+$E462),('PTRM input'!$N$172*(1+rvanilla08)^0.5)-SUM($N462:AN462),('PTRM input'!$N$172*(1+rvanilla08)^0.5)/A30stdlife))</f>
        <v>0</v>
      </c>
      <c r="AP462" s="107">
        <f>IF(A30stdlife="n/a","n/a",IF(AP$3&gt;(A30stdlife+$E462),('PTRM input'!$N$172*(1+rvanilla08)^0.5)-SUM($N462:AO462),('PTRM input'!$N$172*(1+rvanilla08)^0.5)/A30stdlife))</f>
        <v>0</v>
      </c>
      <c r="AQ462" s="107">
        <f>IF(A30stdlife="n/a","n/a",IF(AQ$3&gt;(A30stdlife+$E462),('PTRM input'!$N$172*(1+rvanilla08)^0.5)-SUM($N462:AP462),('PTRM input'!$N$172*(1+rvanilla08)^0.5)/A30stdlife))</f>
        <v>0</v>
      </c>
      <c r="AR462" s="107">
        <f>IF(A30stdlife="n/a","n/a",IF(AR$3&gt;(A30stdlife+$E462),('PTRM input'!$N$172*(1+rvanilla08)^0.5)-SUM($N462:AQ462),('PTRM input'!$N$172*(1+rvanilla08)^0.5)/A30stdlife))</f>
        <v>0</v>
      </c>
      <c r="AS462" s="107">
        <f>IF(A30stdlife="n/a","n/a",IF(AS$3&gt;(A30stdlife+$E462),('PTRM input'!$N$172*(1+rvanilla08)^0.5)-SUM($N462:AR462),('PTRM input'!$N$172*(1+rvanilla08)^0.5)/A30stdlife))</f>
        <v>0</v>
      </c>
      <c r="AT462" s="107">
        <f>IF(A30stdlife="n/a","n/a",IF(AT$3&gt;(A30stdlife+$E462),('PTRM input'!$N$172*(1+rvanilla08)^0.5)-SUM($N462:AS462),('PTRM input'!$N$172*(1+rvanilla08)^0.5)/A30stdlife))</f>
        <v>0</v>
      </c>
      <c r="AU462" s="107">
        <f>IF(A30stdlife="n/a","n/a",IF(AU$3&gt;(A30stdlife+$E462),('PTRM input'!$N$172*(1+rvanilla08)^0.5)-SUM($N462:AT462),('PTRM input'!$N$172*(1+rvanilla08)^0.5)/A30stdlife))</f>
        <v>0</v>
      </c>
      <c r="AV462" s="107">
        <f>IF(A30stdlife="n/a","n/a",IF(AV$3&gt;(A30stdlife+$E462),('PTRM input'!$N$172*(1+rvanilla08)^0.5)-SUM($N462:AU462),('PTRM input'!$N$172*(1+rvanilla08)^0.5)/A30stdlife))</f>
        <v>0</v>
      </c>
      <c r="AW462" s="107">
        <f>IF(A30stdlife="n/a","n/a",IF(AW$3&gt;(A30stdlife+$E462),('PTRM input'!$N$172*(1+rvanilla08)^0.5)-SUM($N462:AV462),('PTRM input'!$N$172*(1+rvanilla08)^0.5)/A30stdlife))</f>
        <v>0</v>
      </c>
      <c r="AX462" s="107">
        <f>IF(A30stdlife="n/a","n/a",IF(AX$3&gt;(A30stdlife+$E462),('PTRM input'!$N$172*(1+rvanilla08)^0.5)-SUM($N462:AW462),('PTRM input'!$N$172*(1+rvanilla08)^0.5)/A30stdlife))</f>
        <v>0</v>
      </c>
      <c r="AY462" s="107">
        <f>IF(A30stdlife="n/a","n/a",IF(AY$3&gt;(A30stdlife+$E462),('PTRM input'!$N$172*(1+rvanilla08)^0.5)-SUM($N462:AX462),('PTRM input'!$N$172*(1+rvanilla08)^0.5)/A30stdlife))</f>
        <v>0</v>
      </c>
      <c r="AZ462" s="107">
        <f>IF(A30stdlife="n/a","n/a",IF(AZ$3&gt;(A30stdlife+$E462),('PTRM input'!$N$172*(1+rvanilla08)^0.5)-SUM($N462:AY462),('PTRM input'!$N$172*(1+rvanilla08)^0.5)/A30stdlife))</f>
        <v>0</v>
      </c>
      <c r="BA462" s="107">
        <f>IF(A30stdlife="n/a","n/a",IF(BA$3&gt;(A30stdlife+$E462),('PTRM input'!$N$172*(1+rvanilla08)^0.5)-SUM($N462:AZ462),('PTRM input'!$N$172*(1+rvanilla08)^0.5)/A30stdlife))</f>
        <v>0</v>
      </c>
      <c r="BB462" s="107">
        <f>IF(A30stdlife="n/a","n/a",IF(BB$3&gt;(A30stdlife+$E462),('PTRM input'!$N$172*(1+rvanilla08)^0.5)-SUM($N462:BA462),('PTRM input'!$N$172*(1+rvanilla08)^0.5)/A30stdlife))</f>
        <v>0</v>
      </c>
      <c r="BC462" s="107">
        <f>IF(A30stdlife="n/a","n/a",IF(BC$3&gt;(A30stdlife+$E462),('PTRM input'!$N$172*(1+rvanilla08)^0.5)-SUM($N462:BB462),('PTRM input'!$N$172*(1+rvanilla08)^0.5)/A30stdlife))</f>
        <v>0</v>
      </c>
      <c r="BD462" s="107">
        <f>IF(A30stdlife="n/a","n/a",IF(BD$3&gt;(A30stdlife+$E462),('PTRM input'!$N$172*(1+rvanilla08)^0.5)-SUM($N462:BC462),('PTRM input'!$N$172*(1+rvanilla08)^0.5)/A30stdlife))</f>
        <v>0</v>
      </c>
      <c r="BE462" s="107">
        <f>IF(A30stdlife="n/a","n/a",IF(BE$3&gt;(A30stdlife+$E462),('PTRM input'!$N$172*(1+rvanilla08)^0.5)-SUM($N462:BD462),('PTRM input'!$N$172*(1+rvanilla08)^0.5)/A30stdlife))</f>
        <v>0</v>
      </c>
      <c r="BF462" s="107">
        <f>IF(A30stdlife="n/a","n/a",IF(BF$3&gt;(A30stdlife+$E462),('PTRM input'!$N$172*(1+rvanilla08)^0.5)-SUM($N462:BE462),('PTRM input'!$N$172*(1+rvanilla08)^0.5)/A30stdlife))</f>
        <v>0</v>
      </c>
      <c r="BG462" s="107">
        <f>IF(A30stdlife="n/a","n/a",IF(BG$3&gt;(A30stdlife+$E462),('PTRM input'!$N$172*(1+rvanilla08)^0.5)-SUM($N462:BF462),('PTRM input'!$N$172*(1+rvanilla08)^0.5)/A30stdlife))</f>
        <v>0</v>
      </c>
      <c r="BH462" s="107">
        <f>IF(A30stdlife="n/a","n/a",IF(BH$3&gt;(A30stdlife+$E462),('PTRM input'!$N$172*(1+rvanilla08)^0.5)-SUM($N462:BG462),('PTRM input'!$N$172*(1+rvanilla08)^0.5)/A30stdlife))</f>
        <v>0</v>
      </c>
      <c r="BI462" s="107">
        <f>IF(A30stdlife="n/a","n/a",IF(BI$3&gt;(A30stdlife+$E462),('PTRM input'!$N$172*(1+rvanilla08)^0.5)-SUM($N462:BH462),('PTRM input'!$N$172*(1+rvanilla08)^0.5)/A30stdlife))</f>
        <v>0</v>
      </c>
      <c r="BJ462" s="237"/>
      <c r="BK462" s="237"/>
      <c r="BL462" s="237"/>
      <c r="BM462" s="237"/>
    </row>
    <row r="463" spans="1:65" s="190" customFormat="1" hidden="1" outlineLevel="2">
      <c r="A463" s="237"/>
      <c r="B463" s="33"/>
      <c r="C463" s="32"/>
      <c r="D463" s="1618"/>
      <c r="E463" s="169">
        <v>9</v>
      </c>
      <c r="F463" s="35"/>
      <c r="G463" s="184"/>
      <c r="H463" s="186"/>
      <c r="I463" s="186"/>
      <c r="J463" s="186"/>
      <c r="K463" s="186"/>
      <c r="L463" s="186"/>
      <c r="M463" s="186"/>
      <c r="N463" s="186"/>
      <c r="O463" s="185"/>
      <c r="P463" s="107">
        <f>IF(A30stdlife="n/a","n/a",IF(P$3&gt;(A30stdlife+$E463),('PTRM input'!$O$172*(1+rvanilla09)^0.5)-SUM($O463:O463),('PTRM input'!$O$172*(1+rvanilla09)^0.5)/A30stdlife))</f>
        <v>0</v>
      </c>
      <c r="Q463" s="107">
        <f>IF(A30stdlife="n/a","n/a",IF(Q$3&gt;(A30stdlife+$E463),('PTRM input'!$O$172*(1+rvanilla09)^0.5)-SUM($O463:P463),('PTRM input'!$O$172*(1+rvanilla09)^0.5)/A30stdlife))</f>
        <v>0</v>
      </c>
      <c r="R463" s="107">
        <f>IF(A30stdlife="n/a","n/a",IF(R$3&gt;(A30stdlife+$E463),('PTRM input'!$O$172*(1+rvanilla09)^0.5)-SUM($O463:Q463),('PTRM input'!$O$172*(1+rvanilla09)^0.5)/A30stdlife))</f>
        <v>0</v>
      </c>
      <c r="S463" s="107">
        <f>IF(A30stdlife="n/a","n/a",IF(S$3&gt;(A30stdlife+$E463),('PTRM input'!$O$172*(1+rvanilla09)^0.5)-SUM($O463:R463),('PTRM input'!$O$172*(1+rvanilla09)^0.5)/A30stdlife))</f>
        <v>0</v>
      </c>
      <c r="T463" s="107">
        <f>IF(A30stdlife="n/a","n/a",IF(T$3&gt;(A30stdlife+$E463),('PTRM input'!$O$172*(1+rvanilla09)^0.5)-SUM($O463:S463),('PTRM input'!$O$172*(1+rvanilla09)^0.5)/A30stdlife))</f>
        <v>0</v>
      </c>
      <c r="U463" s="107">
        <f>IF(A30stdlife="n/a","n/a",IF(U$3&gt;(A30stdlife+$E463),('PTRM input'!$O$172*(1+rvanilla09)^0.5)-SUM($O463:T463),('PTRM input'!$O$172*(1+rvanilla09)^0.5)/A30stdlife))</f>
        <v>0</v>
      </c>
      <c r="V463" s="107">
        <f>IF(A30stdlife="n/a","n/a",IF(V$3&gt;(A30stdlife+$E463),('PTRM input'!$O$172*(1+rvanilla09)^0.5)-SUM($O463:U463),('PTRM input'!$O$172*(1+rvanilla09)^0.5)/A30stdlife))</f>
        <v>0</v>
      </c>
      <c r="W463" s="107">
        <f>IF(A30stdlife="n/a","n/a",IF(W$3&gt;(A30stdlife+$E463),('PTRM input'!$O$172*(1+rvanilla09)^0.5)-SUM($O463:V463),('PTRM input'!$O$172*(1+rvanilla09)^0.5)/A30stdlife))</f>
        <v>0</v>
      </c>
      <c r="X463" s="107">
        <f>IF(A30stdlife="n/a","n/a",IF(X$3&gt;(A30stdlife+$E463),('PTRM input'!$O$172*(1+rvanilla09)^0.5)-SUM($O463:W463),('PTRM input'!$O$172*(1+rvanilla09)^0.5)/A30stdlife))</f>
        <v>0</v>
      </c>
      <c r="Y463" s="107">
        <f>IF(A30stdlife="n/a","n/a",IF(Y$3&gt;(A30stdlife+$E463),('PTRM input'!$O$172*(1+rvanilla09)^0.5)-SUM($O463:X463),('PTRM input'!$O$172*(1+rvanilla09)^0.5)/A30stdlife))</f>
        <v>0</v>
      </c>
      <c r="Z463" s="107">
        <f>IF(A30stdlife="n/a","n/a",IF(Z$3&gt;(A30stdlife+$E463),('PTRM input'!$O$172*(1+rvanilla09)^0.5)-SUM($O463:Y463),('PTRM input'!$O$172*(1+rvanilla09)^0.5)/A30stdlife))</f>
        <v>0</v>
      </c>
      <c r="AA463" s="107">
        <f>IF(A30stdlife="n/a","n/a",IF(AA$3&gt;(A30stdlife+$E463),('PTRM input'!$O$172*(1+rvanilla09)^0.5)-SUM($O463:Z463),('PTRM input'!$O$172*(1+rvanilla09)^0.5)/A30stdlife))</f>
        <v>0</v>
      </c>
      <c r="AB463" s="107">
        <f>IF(A30stdlife="n/a","n/a",IF(AB$3&gt;(A30stdlife+$E463),('PTRM input'!$O$172*(1+rvanilla09)^0.5)-SUM($O463:AA463),('PTRM input'!$O$172*(1+rvanilla09)^0.5)/A30stdlife))</f>
        <v>0</v>
      </c>
      <c r="AC463" s="107">
        <f>IF(A30stdlife="n/a","n/a",IF(AC$3&gt;(A30stdlife+$E463),('PTRM input'!$O$172*(1+rvanilla09)^0.5)-SUM($O463:AB463),('PTRM input'!$O$172*(1+rvanilla09)^0.5)/A30stdlife))</f>
        <v>0</v>
      </c>
      <c r="AD463" s="107">
        <f>IF(A30stdlife="n/a","n/a",IF(AD$3&gt;(A30stdlife+$E463),('PTRM input'!$O$172*(1+rvanilla09)^0.5)-SUM($O463:AC463),('PTRM input'!$O$172*(1+rvanilla09)^0.5)/A30stdlife))</f>
        <v>0</v>
      </c>
      <c r="AE463" s="107">
        <f>IF(A30stdlife="n/a","n/a",IF(AE$3&gt;(A30stdlife+$E463),('PTRM input'!$O$172*(1+rvanilla09)^0.5)-SUM($O463:AD463),('PTRM input'!$O$172*(1+rvanilla09)^0.5)/A30stdlife))</f>
        <v>0</v>
      </c>
      <c r="AF463" s="107">
        <f>IF(A30stdlife="n/a","n/a",IF(AF$3&gt;(A30stdlife+$E463),('PTRM input'!$O$172*(1+rvanilla09)^0.5)-SUM($O463:AE463),('PTRM input'!$O$172*(1+rvanilla09)^0.5)/A30stdlife))</f>
        <v>0</v>
      </c>
      <c r="AG463" s="107">
        <f>IF(A30stdlife="n/a","n/a",IF(AG$3&gt;(A30stdlife+$E463),('PTRM input'!$O$172*(1+rvanilla09)^0.5)-SUM($O463:AF463),('PTRM input'!$O$172*(1+rvanilla09)^0.5)/A30stdlife))</f>
        <v>0</v>
      </c>
      <c r="AH463" s="107">
        <f>IF(A30stdlife="n/a","n/a",IF(AH$3&gt;(A30stdlife+$E463),('PTRM input'!$O$172*(1+rvanilla09)^0.5)-SUM($O463:AG463),('PTRM input'!$O$172*(1+rvanilla09)^0.5)/A30stdlife))</f>
        <v>0</v>
      </c>
      <c r="AI463" s="107">
        <f>IF(A30stdlife="n/a","n/a",IF(AI$3&gt;(A30stdlife+$E463),('PTRM input'!$O$172*(1+rvanilla09)^0.5)-SUM($O463:AH463),('PTRM input'!$O$172*(1+rvanilla09)^0.5)/A30stdlife))</f>
        <v>0</v>
      </c>
      <c r="AJ463" s="107">
        <f>IF(A30stdlife="n/a","n/a",IF(AJ$3&gt;(A30stdlife+$E463),('PTRM input'!$O$172*(1+rvanilla09)^0.5)-SUM($O463:AI463),('PTRM input'!$O$172*(1+rvanilla09)^0.5)/A30stdlife))</f>
        <v>0</v>
      </c>
      <c r="AK463" s="107">
        <f>IF(A30stdlife="n/a","n/a",IF(AK$3&gt;(A30stdlife+$E463),('PTRM input'!$O$172*(1+rvanilla09)^0.5)-SUM($O463:AJ463),('PTRM input'!$O$172*(1+rvanilla09)^0.5)/A30stdlife))</f>
        <v>0</v>
      </c>
      <c r="AL463" s="107">
        <f>IF(A30stdlife="n/a","n/a",IF(AL$3&gt;(A30stdlife+$E463),('PTRM input'!$O$172*(1+rvanilla09)^0.5)-SUM($O463:AK463),('PTRM input'!$O$172*(1+rvanilla09)^0.5)/A30stdlife))</f>
        <v>0</v>
      </c>
      <c r="AM463" s="107">
        <f>IF(A30stdlife="n/a","n/a",IF(AM$3&gt;(A30stdlife+$E463),('PTRM input'!$O$172*(1+rvanilla09)^0.5)-SUM($O463:AL463),('PTRM input'!$O$172*(1+rvanilla09)^0.5)/A30stdlife))</f>
        <v>0</v>
      </c>
      <c r="AN463" s="107">
        <f>IF(A30stdlife="n/a","n/a",IF(AN$3&gt;(A30stdlife+$E463),('PTRM input'!$O$172*(1+rvanilla09)^0.5)-SUM($O463:AM463),('PTRM input'!$O$172*(1+rvanilla09)^0.5)/A30stdlife))</f>
        <v>0</v>
      </c>
      <c r="AO463" s="107">
        <f>IF(A30stdlife="n/a","n/a",IF(AO$3&gt;(A30stdlife+$E463),('PTRM input'!$O$172*(1+rvanilla09)^0.5)-SUM($O463:AN463),('PTRM input'!$O$172*(1+rvanilla09)^0.5)/A30stdlife))</f>
        <v>0</v>
      </c>
      <c r="AP463" s="107">
        <f>IF(A30stdlife="n/a","n/a",IF(AP$3&gt;(A30stdlife+$E463),('PTRM input'!$O$172*(1+rvanilla09)^0.5)-SUM($O463:AO463),('PTRM input'!$O$172*(1+rvanilla09)^0.5)/A30stdlife))</f>
        <v>0</v>
      </c>
      <c r="AQ463" s="107">
        <f>IF(A30stdlife="n/a","n/a",IF(AQ$3&gt;(A30stdlife+$E463),('PTRM input'!$O$172*(1+rvanilla09)^0.5)-SUM($O463:AP463),('PTRM input'!$O$172*(1+rvanilla09)^0.5)/A30stdlife))</f>
        <v>0</v>
      </c>
      <c r="AR463" s="107">
        <f>IF(A30stdlife="n/a","n/a",IF(AR$3&gt;(A30stdlife+$E463),('PTRM input'!$O$172*(1+rvanilla09)^0.5)-SUM($O463:AQ463),('PTRM input'!$O$172*(1+rvanilla09)^0.5)/A30stdlife))</f>
        <v>0</v>
      </c>
      <c r="AS463" s="107">
        <f>IF(A30stdlife="n/a","n/a",IF(AS$3&gt;(A30stdlife+$E463),('PTRM input'!$O$172*(1+rvanilla09)^0.5)-SUM($O463:AR463),('PTRM input'!$O$172*(1+rvanilla09)^0.5)/A30stdlife))</f>
        <v>0</v>
      </c>
      <c r="AT463" s="107">
        <f>IF(A30stdlife="n/a","n/a",IF(AT$3&gt;(A30stdlife+$E463),('PTRM input'!$O$172*(1+rvanilla09)^0.5)-SUM($O463:AS463),('PTRM input'!$O$172*(1+rvanilla09)^0.5)/A30stdlife))</f>
        <v>0</v>
      </c>
      <c r="AU463" s="107">
        <f>IF(A30stdlife="n/a","n/a",IF(AU$3&gt;(A30stdlife+$E463),('PTRM input'!$O$172*(1+rvanilla09)^0.5)-SUM($O463:AT463),('PTRM input'!$O$172*(1+rvanilla09)^0.5)/A30stdlife))</f>
        <v>0</v>
      </c>
      <c r="AV463" s="107">
        <f>IF(A30stdlife="n/a","n/a",IF(AV$3&gt;(A30stdlife+$E463),('PTRM input'!$O$172*(1+rvanilla09)^0.5)-SUM($O463:AU463),('PTRM input'!$O$172*(1+rvanilla09)^0.5)/A30stdlife))</f>
        <v>0</v>
      </c>
      <c r="AW463" s="107">
        <f>IF(A30stdlife="n/a","n/a",IF(AW$3&gt;(A30stdlife+$E463),('PTRM input'!$O$172*(1+rvanilla09)^0.5)-SUM($O463:AV463),('PTRM input'!$O$172*(1+rvanilla09)^0.5)/A30stdlife))</f>
        <v>0</v>
      </c>
      <c r="AX463" s="107">
        <f>IF(A30stdlife="n/a","n/a",IF(AX$3&gt;(A30stdlife+$E463),('PTRM input'!$O$172*(1+rvanilla09)^0.5)-SUM($O463:AW463),('PTRM input'!$O$172*(1+rvanilla09)^0.5)/A30stdlife))</f>
        <v>0</v>
      </c>
      <c r="AY463" s="107">
        <f>IF(A30stdlife="n/a","n/a",IF(AY$3&gt;(A30stdlife+$E463),('PTRM input'!$O$172*(1+rvanilla09)^0.5)-SUM($O463:AX463),('PTRM input'!$O$172*(1+rvanilla09)^0.5)/A30stdlife))</f>
        <v>0</v>
      </c>
      <c r="AZ463" s="107">
        <f>IF(A30stdlife="n/a","n/a",IF(AZ$3&gt;(A30stdlife+$E463),('PTRM input'!$O$172*(1+rvanilla09)^0.5)-SUM($O463:AY463),('PTRM input'!$O$172*(1+rvanilla09)^0.5)/A30stdlife))</f>
        <v>0</v>
      </c>
      <c r="BA463" s="107">
        <f>IF(A30stdlife="n/a","n/a",IF(BA$3&gt;(A30stdlife+$E463),('PTRM input'!$O$172*(1+rvanilla09)^0.5)-SUM($O463:AZ463),('PTRM input'!$O$172*(1+rvanilla09)^0.5)/A30stdlife))</f>
        <v>0</v>
      </c>
      <c r="BB463" s="107">
        <f>IF(A30stdlife="n/a","n/a",IF(BB$3&gt;(A30stdlife+$E463),('PTRM input'!$O$172*(1+rvanilla09)^0.5)-SUM($O463:BA463),('PTRM input'!$O$172*(1+rvanilla09)^0.5)/A30stdlife))</f>
        <v>0</v>
      </c>
      <c r="BC463" s="107">
        <f>IF(A30stdlife="n/a","n/a",IF(BC$3&gt;(A30stdlife+$E463),('PTRM input'!$O$172*(1+rvanilla09)^0.5)-SUM($O463:BB463),('PTRM input'!$O$172*(1+rvanilla09)^0.5)/A30stdlife))</f>
        <v>0</v>
      </c>
      <c r="BD463" s="107">
        <f>IF(A30stdlife="n/a","n/a",IF(BD$3&gt;(A30stdlife+$E463),('PTRM input'!$O$172*(1+rvanilla09)^0.5)-SUM($O463:BC463),('PTRM input'!$O$172*(1+rvanilla09)^0.5)/A30stdlife))</f>
        <v>0</v>
      </c>
      <c r="BE463" s="107">
        <f>IF(A30stdlife="n/a","n/a",IF(BE$3&gt;(A30stdlife+$E463),('PTRM input'!$O$172*(1+rvanilla09)^0.5)-SUM($O463:BD463),('PTRM input'!$O$172*(1+rvanilla09)^0.5)/A30stdlife))</f>
        <v>0</v>
      </c>
      <c r="BF463" s="107">
        <f>IF(A30stdlife="n/a","n/a",IF(BF$3&gt;(A30stdlife+$E463),('PTRM input'!$O$172*(1+rvanilla09)^0.5)-SUM($O463:BE463),('PTRM input'!$O$172*(1+rvanilla09)^0.5)/A30stdlife))</f>
        <v>0</v>
      </c>
      <c r="BG463" s="107">
        <f>IF(A30stdlife="n/a","n/a",IF(BG$3&gt;(A30stdlife+$E463),('PTRM input'!$O$172*(1+rvanilla09)^0.5)-SUM($O463:BF463),('PTRM input'!$O$172*(1+rvanilla09)^0.5)/A30stdlife))</f>
        <v>0</v>
      </c>
      <c r="BH463" s="107">
        <f>IF(A30stdlife="n/a","n/a",IF(BH$3&gt;(A30stdlife+$E463),('PTRM input'!$O$172*(1+rvanilla09)^0.5)-SUM($O463:BG463),('PTRM input'!$O$172*(1+rvanilla09)^0.5)/A30stdlife))</f>
        <v>0</v>
      </c>
      <c r="BI463" s="107">
        <f>IF(A30stdlife="n/a","n/a",IF(BI$3&gt;(A30stdlife+$E463),('PTRM input'!$O$172*(1+rvanilla09)^0.5)-SUM($O463:BH463),('PTRM input'!$O$172*(1+rvanilla09)^0.5)/A30stdlife))</f>
        <v>0</v>
      </c>
      <c r="BJ463" s="237"/>
      <c r="BK463" s="237"/>
      <c r="BL463" s="237"/>
      <c r="BM463" s="237"/>
    </row>
    <row r="464" spans="1:65" s="190" customFormat="1" hidden="1" outlineLevel="2">
      <c r="A464" s="237"/>
      <c r="B464" s="33"/>
      <c r="C464" s="32"/>
      <c r="D464" s="1618"/>
      <c r="E464" s="170">
        <v>10</v>
      </c>
      <c r="F464" s="35"/>
      <c r="G464" s="184"/>
      <c r="H464" s="186"/>
      <c r="I464" s="186"/>
      <c r="J464" s="186"/>
      <c r="K464" s="186"/>
      <c r="L464" s="186"/>
      <c r="M464" s="186"/>
      <c r="N464" s="186"/>
      <c r="O464" s="186"/>
      <c r="P464" s="185"/>
      <c r="Q464" s="107">
        <f>IF(A30stdlife="n/a","n/a",IF(Q$3&gt;(A30stdlife+$E464),('PTRM input'!$P$172*(1+rvanilla10)^0.5)-SUM($P464:P464),('PTRM input'!$P$172*(1+rvanilla10)^0.5)/A30stdlife))</f>
        <v>0</v>
      </c>
      <c r="R464" s="107">
        <f>IF(A30stdlife="n/a","n/a",IF(R$3&gt;(A30stdlife+$E464),('PTRM input'!$P$172*(1+rvanilla10)^0.5)-SUM($P464:Q464),('PTRM input'!$P$172*(1+rvanilla10)^0.5)/A30stdlife))</f>
        <v>0</v>
      </c>
      <c r="S464" s="107">
        <f>IF(A30stdlife="n/a","n/a",IF(S$3&gt;(A30stdlife+$E464),('PTRM input'!$P$172*(1+rvanilla10)^0.5)-SUM($P464:R464),('PTRM input'!$P$172*(1+rvanilla10)^0.5)/A30stdlife))</f>
        <v>0</v>
      </c>
      <c r="T464" s="107">
        <f>IF(A30stdlife="n/a","n/a",IF(T$3&gt;(A30stdlife+$E464),('PTRM input'!$P$172*(1+rvanilla10)^0.5)-SUM($P464:S464),('PTRM input'!$P$172*(1+rvanilla10)^0.5)/A30stdlife))</f>
        <v>0</v>
      </c>
      <c r="U464" s="107">
        <f>IF(A30stdlife="n/a","n/a",IF(U$3&gt;(A30stdlife+$E464),('PTRM input'!$P$172*(1+rvanilla10)^0.5)-SUM($P464:T464),('PTRM input'!$P$172*(1+rvanilla10)^0.5)/A30stdlife))</f>
        <v>0</v>
      </c>
      <c r="V464" s="107">
        <f>IF(A30stdlife="n/a","n/a",IF(V$3&gt;(A30stdlife+$E464),('PTRM input'!$P$172*(1+rvanilla10)^0.5)-SUM($P464:U464),('PTRM input'!$P$172*(1+rvanilla10)^0.5)/A30stdlife))</f>
        <v>0</v>
      </c>
      <c r="W464" s="107">
        <f>IF(A30stdlife="n/a","n/a",IF(W$3&gt;(A30stdlife+$E464),('PTRM input'!$P$172*(1+rvanilla10)^0.5)-SUM($P464:V464),('PTRM input'!$P$172*(1+rvanilla10)^0.5)/A30stdlife))</f>
        <v>0</v>
      </c>
      <c r="X464" s="107">
        <f>IF(A30stdlife="n/a","n/a",IF(X$3&gt;(A30stdlife+$E464),('PTRM input'!$P$172*(1+rvanilla10)^0.5)-SUM($P464:W464),('PTRM input'!$P$172*(1+rvanilla10)^0.5)/A30stdlife))</f>
        <v>0</v>
      </c>
      <c r="Y464" s="107">
        <f>IF(A30stdlife="n/a","n/a",IF(Y$3&gt;(A30stdlife+$E464),('PTRM input'!$P$172*(1+rvanilla10)^0.5)-SUM($P464:X464),('PTRM input'!$P$172*(1+rvanilla10)^0.5)/A30stdlife))</f>
        <v>0</v>
      </c>
      <c r="Z464" s="107">
        <f>IF(A30stdlife="n/a","n/a",IF(Z$3&gt;(A30stdlife+$E464),('PTRM input'!$P$172*(1+rvanilla10)^0.5)-SUM($P464:Y464),('PTRM input'!$P$172*(1+rvanilla10)^0.5)/A30stdlife))</f>
        <v>0</v>
      </c>
      <c r="AA464" s="107">
        <f>IF(A30stdlife="n/a","n/a",IF(AA$3&gt;(A30stdlife+$E464),('PTRM input'!$P$172*(1+rvanilla10)^0.5)-SUM($P464:Z464),('PTRM input'!$P$172*(1+rvanilla10)^0.5)/A30stdlife))</f>
        <v>0</v>
      </c>
      <c r="AB464" s="107">
        <f>IF(A30stdlife="n/a","n/a",IF(AB$3&gt;(A30stdlife+$E464),('PTRM input'!$P$172*(1+rvanilla10)^0.5)-SUM($P464:AA464),('PTRM input'!$P$172*(1+rvanilla10)^0.5)/A30stdlife))</f>
        <v>0</v>
      </c>
      <c r="AC464" s="107">
        <f>IF(A30stdlife="n/a","n/a",IF(AC$3&gt;(A30stdlife+$E464),('PTRM input'!$P$172*(1+rvanilla10)^0.5)-SUM($P464:AB464),('PTRM input'!$P$172*(1+rvanilla10)^0.5)/A30stdlife))</f>
        <v>0</v>
      </c>
      <c r="AD464" s="107">
        <f>IF(A30stdlife="n/a","n/a",IF(AD$3&gt;(A30stdlife+$E464),('PTRM input'!$P$172*(1+rvanilla10)^0.5)-SUM($P464:AC464),('PTRM input'!$P$172*(1+rvanilla10)^0.5)/A30stdlife))</f>
        <v>0</v>
      </c>
      <c r="AE464" s="107">
        <f>IF(A30stdlife="n/a","n/a",IF(AE$3&gt;(A30stdlife+$E464),('PTRM input'!$P$172*(1+rvanilla10)^0.5)-SUM($P464:AD464),('PTRM input'!$P$172*(1+rvanilla10)^0.5)/A30stdlife))</f>
        <v>0</v>
      </c>
      <c r="AF464" s="107">
        <f>IF(A30stdlife="n/a","n/a",IF(AF$3&gt;(A30stdlife+$E464),('PTRM input'!$P$172*(1+rvanilla10)^0.5)-SUM($P464:AE464),('PTRM input'!$P$172*(1+rvanilla10)^0.5)/A30stdlife))</f>
        <v>0</v>
      </c>
      <c r="AG464" s="107">
        <f>IF(A30stdlife="n/a","n/a",IF(AG$3&gt;(A30stdlife+$E464),('PTRM input'!$P$172*(1+rvanilla10)^0.5)-SUM($P464:AF464),('PTRM input'!$P$172*(1+rvanilla10)^0.5)/A30stdlife))</f>
        <v>0</v>
      </c>
      <c r="AH464" s="107">
        <f>IF(A30stdlife="n/a","n/a",IF(AH$3&gt;(A30stdlife+$E464),('PTRM input'!$P$172*(1+rvanilla10)^0.5)-SUM($P464:AG464),('PTRM input'!$P$172*(1+rvanilla10)^0.5)/A30stdlife))</f>
        <v>0</v>
      </c>
      <c r="AI464" s="107">
        <f>IF(A30stdlife="n/a","n/a",IF(AI$3&gt;(A30stdlife+$E464),('PTRM input'!$P$172*(1+rvanilla10)^0.5)-SUM($P464:AH464),('PTRM input'!$P$172*(1+rvanilla10)^0.5)/A30stdlife))</f>
        <v>0</v>
      </c>
      <c r="AJ464" s="107">
        <f>IF(A30stdlife="n/a","n/a",IF(AJ$3&gt;(A30stdlife+$E464),('PTRM input'!$P$172*(1+rvanilla10)^0.5)-SUM($P464:AI464),('PTRM input'!$P$172*(1+rvanilla10)^0.5)/A30stdlife))</f>
        <v>0</v>
      </c>
      <c r="AK464" s="107">
        <f>IF(A30stdlife="n/a","n/a",IF(AK$3&gt;(A30stdlife+$E464),('PTRM input'!$P$172*(1+rvanilla10)^0.5)-SUM($P464:AJ464),('PTRM input'!$P$172*(1+rvanilla10)^0.5)/A30stdlife))</f>
        <v>0</v>
      </c>
      <c r="AL464" s="107">
        <f>IF(A30stdlife="n/a","n/a",IF(AL$3&gt;(A30stdlife+$E464),('PTRM input'!$P$172*(1+rvanilla10)^0.5)-SUM($P464:AK464),('PTRM input'!$P$172*(1+rvanilla10)^0.5)/A30stdlife))</f>
        <v>0</v>
      </c>
      <c r="AM464" s="107">
        <f>IF(A30stdlife="n/a","n/a",IF(AM$3&gt;(A30stdlife+$E464),('PTRM input'!$P$172*(1+rvanilla10)^0.5)-SUM($P464:AL464),('PTRM input'!$P$172*(1+rvanilla10)^0.5)/A30stdlife))</f>
        <v>0</v>
      </c>
      <c r="AN464" s="107">
        <f>IF(A30stdlife="n/a","n/a",IF(AN$3&gt;(A30stdlife+$E464),('PTRM input'!$P$172*(1+rvanilla10)^0.5)-SUM($P464:AM464),('PTRM input'!$P$172*(1+rvanilla10)^0.5)/A30stdlife))</f>
        <v>0</v>
      </c>
      <c r="AO464" s="107">
        <f>IF(A30stdlife="n/a","n/a",IF(AO$3&gt;(A30stdlife+$E464),('PTRM input'!$P$172*(1+rvanilla10)^0.5)-SUM($P464:AN464),('PTRM input'!$P$172*(1+rvanilla10)^0.5)/A30stdlife))</f>
        <v>0</v>
      </c>
      <c r="AP464" s="107">
        <f>IF(A30stdlife="n/a","n/a",IF(AP$3&gt;(A30stdlife+$E464),('PTRM input'!$P$172*(1+rvanilla10)^0.5)-SUM($P464:AO464),('PTRM input'!$P$172*(1+rvanilla10)^0.5)/A30stdlife))</f>
        <v>0</v>
      </c>
      <c r="AQ464" s="107">
        <f>IF(A30stdlife="n/a","n/a",IF(AQ$3&gt;(A30stdlife+$E464),('PTRM input'!$P$172*(1+rvanilla10)^0.5)-SUM($P464:AP464),('PTRM input'!$P$172*(1+rvanilla10)^0.5)/A30stdlife))</f>
        <v>0</v>
      </c>
      <c r="AR464" s="107">
        <f>IF(A30stdlife="n/a","n/a",IF(AR$3&gt;(A30stdlife+$E464),('PTRM input'!$P$172*(1+rvanilla10)^0.5)-SUM($P464:AQ464),('PTRM input'!$P$172*(1+rvanilla10)^0.5)/A30stdlife))</f>
        <v>0</v>
      </c>
      <c r="AS464" s="107">
        <f>IF(A30stdlife="n/a","n/a",IF(AS$3&gt;(A30stdlife+$E464),('PTRM input'!$P$172*(1+rvanilla10)^0.5)-SUM($P464:AR464),('PTRM input'!$P$172*(1+rvanilla10)^0.5)/A30stdlife))</f>
        <v>0</v>
      </c>
      <c r="AT464" s="107">
        <f>IF(A30stdlife="n/a","n/a",IF(AT$3&gt;(A30stdlife+$E464),('PTRM input'!$P$172*(1+rvanilla10)^0.5)-SUM($P464:AS464),('PTRM input'!$P$172*(1+rvanilla10)^0.5)/A30stdlife))</f>
        <v>0</v>
      </c>
      <c r="AU464" s="107">
        <f>IF(A30stdlife="n/a","n/a",IF(AU$3&gt;(A30stdlife+$E464),('PTRM input'!$P$172*(1+rvanilla10)^0.5)-SUM($P464:AT464),('PTRM input'!$P$172*(1+rvanilla10)^0.5)/A30stdlife))</f>
        <v>0</v>
      </c>
      <c r="AV464" s="107">
        <f>IF(A30stdlife="n/a","n/a",IF(AV$3&gt;(A30stdlife+$E464),('PTRM input'!$P$172*(1+rvanilla10)^0.5)-SUM($P464:AU464),('PTRM input'!$P$172*(1+rvanilla10)^0.5)/A30stdlife))</f>
        <v>0</v>
      </c>
      <c r="AW464" s="107">
        <f>IF(A30stdlife="n/a","n/a",IF(AW$3&gt;(A30stdlife+$E464),('PTRM input'!$P$172*(1+rvanilla10)^0.5)-SUM($P464:AV464),('PTRM input'!$P$172*(1+rvanilla10)^0.5)/A30stdlife))</f>
        <v>0</v>
      </c>
      <c r="AX464" s="107">
        <f>IF(A30stdlife="n/a","n/a",IF(AX$3&gt;(A30stdlife+$E464),('PTRM input'!$P$172*(1+rvanilla10)^0.5)-SUM($P464:AW464),('PTRM input'!$P$172*(1+rvanilla10)^0.5)/A30stdlife))</f>
        <v>0</v>
      </c>
      <c r="AY464" s="107">
        <f>IF(A30stdlife="n/a","n/a",IF(AY$3&gt;(A30stdlife+$E464),('PTRM input'!$P$172*(1+rvanilla10)^0.5)-SUM($P464:AX464),('PTRM input'!$P$172*(1+rvanilla10)^0.5)/A30stdlife))</f>
        <v>0</v>
      </c>
      <c r="AZ464" s="107">
        <f>IF(A30stdlife="n/a","n/a",IF(AZ$3&gt;(A30stdlife+$E464),('PTRM input'!$P$172*(1+rvanilla10)^0.5)-SUM($P464:AY464),('PTRM input'!$P$172*(1+rvanilla10)^0.5)/A30stdlife))</f>
        <v>0</v>
      </c>
      <c r="BA464" s="107">
        <f>IF(A30stdlife="n/a","n/a",IF(BA$3&gt;(A30stdlife+$E464),('PTRM input'!$P$172*(1+rvanilla10)^0.5)-SUM($P464:AZ464),('PTRM input'!$P$172*(1+rvanilla10)^0.5)/A30stdlife))</f>
        <v>0</v>
      </c>
      <c r="BB464" s="107">
        <f>IF(A30stdlife="n/a","n/a",IF(BB$3&gt;(A30stdlife+$E464),('PTRM input'!$P$172*(1+rvanilla10)^0.5)-SUM($P464:BA464),('PTRM input'!$P$172*(1+rvanilla10)^0.5)/A30stdlife))</f>
        <v>0</v>
      </c>
      <c r="BC464" s="107">
        <f>IF(A30stdlife="n/a","n/a",IF(BC$3&gt;(A30stdlife+$E464),('PTRM input'!$P$172*(1+rvanilla10)^0.5)-SUM($P464:BB464),('PTRM input'!$P$172*(1+rvanilla10)^0.5)/A30stdlife))</f>
        <v>0</v>
      </c>
      <c r="BD464" s="107">
        <f>IF(A30stdlife="n/a","n/a",IF(BD$3&gt;(A30stdlife+$E464),('PTRM input'!$P$172*(1+rvanilla10)^0.5)-SUM($P464:BC464),('PTRM input'!$P$172*(1+rvanilla10)^0.5)/A30stdlife))</f>
        <v>0</v>
      </c>
      <c r="BE464" s="107">
        <f>IF(A30stdlife="n/a","n/a",IF(BE$3&gt;(A30stdlife+$E464),('PTRM input'!$P$172*(1+rvanilla10)^0.5)-SUM($P464:BD464),('PTRM input'!$P$172*(1+rvanilla10)^0.5)/A30stdlife))</f>
        <v>0</v>
      </c>
      <c r="BF464" s="107">
        <f>IF(A30stdlife="n/a","n/a",IF(BF$3&gt;(A30stdlife+$E464),('PTRM input'!$P$172*(1+rvanilla10)^0.5)-SUM($P464:BE464),('PTRM input'!$P$172*(1+rvanilla10)^0.5)/A30stdlife))</f>
        <v>0</v>
      </c>
      <c r="BG464" s="107">
        <f>IF(A30stdlife="n/a","n/a",IF(BG$3&gt;(A30stdlife+$E464),('PTRM input'!$P$172*(1+rvanilla10)^0.5)-SUM($P464:BF464),('PTRM input'!$P$172*(1+rvanilla10)^0.5)/A30stdlife))</f>
        <v>0</v>
      </c>
      <c r="BH464" s="107">
        <f>IF(A30stdlife="n/a","n/a",IF(BH$3&gt;(A30stdlife+$E464),('PTRM input'!$P$172*(1+rvanilla10)^0.5)-SUM($P464:BG464),('PTRM input'!$P$172*(1+rvanilla10)^0.5)/A30stdlife))</f>
        <v>0</v>
      </c>
      <c r="BI464" s="107">
        <f>IF(A30stdlife="n/a","n/a",IF(BI$3&gt;(A30stdlife+$E464),('PTRM input'!$P$172*(1+rvanilla10)^0.5)-SUM($P464:BH464),('PTRM input'!$P$172*(1+rvanilla10)^0.5)/A30stdlife))</f>
        <v>0</v>
      </c>
      <c r="BJ464" s="237"/>
      <c r="BK464" s="237"/>
      <c r="BL464" s="237"/>
      <c r="BM464" s="237"/>
    </row>
    <row r="465" spans="1:65" s="190" customFormat="1" hidden="1" outlineLevel="1">
      <c r="A465" s="237"/>
      <c r="B465" s="18"/>
      <c r="C465" s="33" t="str">
        <f>Asset30</f>
        <v>Equity raising costs</v>
      </c>
      <c r="D465" s="18"/>
      <c r="E465" s="18"/>
      <c r="F465" s="31"/>
      <c r="G465" s="104">
        <f t="shared" ref="G465:AL465" si="95">SUM(G453:G464)</f>
        <v>0</v>
      </c>
      <c r="H465" s="104">
        <f t="shared" si="95"/>
        <v>0</v>
      </c>
      <c r="I465" s="104">
        <f t="shared" si="95"/>
        <v>0</v>
      </c>
      <c r="J465" s="104">
        <f t="shared" si="95"/>
        <v>0</v>
      </c>
      <c r="K465" s="104">
        <f t="shared" si="95"/>
        <v>0</v>
      </c>
      <c r="L465" s="104">
        <f t="shared" si="95"/>
        <v>0</v>
      </c>
      <c r="M465" s="104">
        <f t="shared" si="95"/>
        <v>0</v>
      </c>
      <c r="N465" s="104">
        <f t="shared" si="95"/>
        <v>0</v>
      </c>
      <c r="O465" s="104">
        <f t="shared" si="95"/>
        <v>0</v>
      </c>
      <c r="P465" s="104">
        <f t="shared" si="95"/>
        <v>0</v>
      </c>
      <c r="Q465" s="104">
        <f t="shared" si="95"/>
        <v>0</v>
      </c>
      <c r="R465" s="104">
        <f t="shared" si="95"/>
        <v>0</v>
      </c>
      <c r="S465" s="104">
        <f t="shared" si="95"/>
        <v>0</v>
      </c>
      <c r="T465" s="104">
        <f t="shared" si="95"/>
        <v>0</v>
      </c>
      <c r="U465" s="104">
        <f t="shared" si="95"/>
        <v>0</v>
      </c>
      <c r="V465" s="104">
        <f t="shared" si="95"/>
        <v>0</v>
      </c>
      <c r="W465" s="104">
        <f t="shared" si="95"/>
        <v>0</v>
      </c>
      <c r="X465" s="104">
        <f t="shared" si="95"/>
        <v>0</v>
      </c>
      <c r="Y465" s="104">
        <f t="shared" si="95"/>
        <v>0</v>
      </c>
      <c r="Z465" s="104">
        <f t="shared" si="95"/>
        <v>0</v>
      </c>
      <c r="AA465" s="104">
        <f t="shared" si="95"/>
        <v>0</v>
      </c>
      <c r="AB465" s="104">
        <f t="shared" si="95"/>
        <v>0</v>
      </c>
      <c r="AC465" s="104">
        <f t="shared" si="95"/>
        <v>0</v>
      </c>
      <c r="AD465" s="104">
        <f t="shared" si="95"/>
        <v>0</v>
      </c>
      <c r="AE465" s="104">
        <f t="shared" si="95"/>
        <v>0</v>
      </c>
      <c r="AF465" s="104">
        <f t="shared" si="95"/>
        <v>0</v>
      </c>
      <c r="AG465" s="104">
        <f t="shared" si="95"/>
        <v>0</v>
      </c>
      <c r="AH465" s="104">
        <f t="shared" si="95"/>
        <v>0</v>
      </c>
      <c r="AI465" s="104">
        <f t="shared" si="95"/>
        <v>0</v>
      </c>
      <c r="AJ465" s="104">
        <f t="shared" si="95"/>
        <v>0</v>
      </c>
      <c r="AK465" s="104">
        <f t="shared" si="95"/>
        <v>0</v>
      </c>
      <c r="AL465" s="104">
        <f t="shared" si="95"/>
        <v>0</v>
      </c>
      <c r="AM465" s="104">
        <f t="shared" ref="AM465:BI465" si="96">SUM(AM453:AM464)</f>
        <v>0</v>
      </c>
      <c r="AN465" s="104">
        <f t="shared" si="96"/>
        <v>0</v>
      </c>
      <c r="AO465" s="104">
        <f t="shared" si="96"/>
        <v>0</v>
      </c>
      <c r="AP465" s="104">
        <f t="shared" si="96"/>
        <v>0</v>
      </c>
      <c r="AQ465" s="104">
        <f t="shared" si="96"/>
        <v>0</v>
      </c>
      <c r="AR465" s="104">
        <f t="shared" si="96"/>
        <v>0</v>
      </c>
      <c r="AS465" s="104">
        <f t="shared" si="96"/>
        <v>0</v>
      </c>
      <c r="AT465" s="104">
        <f t="shared" si="96"/>
        <v>0</v>
      </c>
      <c r="AU465" s="104">
        <f t="shared" si="96"/>
        <v>0</v>
      </c>
      <c r="AV465" s="104">
        <f t="shared" si="96"/>
        <v>0</v>
      </c>
      <c r="AW465" s="104">
        <f t="shared" si="96"/>
        <v>0</v>
      </c>
      <c r="AX465" s="104">
        <f t="shared" si="96"/>
        <v>0</v>
      </c>
      <c r="AY465" s="104">
        <f t="shared" si="96"/>
        <v>0</v>
      </c>
      <c r="AZ465" s="104">
        <f t="shared" si="96"/>
        <v>0</v>
      </c>
      <c r="BA465" s="104">
        <f t="shared" si="96"/>
        <v>0</v>
      </c>
      <c r="BB465" s="104">
        <f t="shared" si="96"/>
        <v>0</v>
      </c>
      <c r="BC465" s="104">
        <f t="shared" si="96"/>
        <v>0</v>
      </c>
      <c r="BD465" s="104">
        <f t="shared" si="96"/>
        <v>0</v>
      </c>
      <c r="BE465" s="104">
        <f t="shared" si="96"/>
        <v>0</v>
      </c>
      <c r="BF465" s="104">
        <f t="shared" si="96"/>
        <v>0</v>
      </c>
      <c r="BG465" s="104">
        <f t="shared" si="96"/>
        <v>0</v>
      </c>
      <c r="BH465" s="104">
        <f t="shared" si="96"/>
        <v>0</v>
      </c>
      <c r="BI465" s="104">
        <f t="shared" si="96"/>
        <v>0</v>
      </c>
      <c r="BJ465" s="237"/>
      <c r="BK465" s="237"/>
      <c r="BL465" s="237"/>
      <c r="BM465" s="237"/>
    </row>
    <row r="466" spans="1:65" s="190" customFormat="1" collapsed="1">
      <c r="A466" s="237"/>
      <c r="B466" s="237" t="s">
        <v>106</v>
      </c>
      <c r="C466" s="237"/>
      <c r="D466" s="237"/>
      <c r="E466" s="237"/>
      <c r="F466" s="1406">
        <f>F9</f>
        <v>34.786526826130789</v>
      </c>
      <c r="G466" s="561">
        <f>F466-G75+G10</f>
        <v>34.638691778127658</v>
      </c>
      <c r="H466" s="561">
        <f t="shared" ref="H466:AL466" si="97">G466-H75+H10</f>
        <v>34.759824671632323</v>
      </c>
      <c r="I466" s="561">
        <f>H466-I75+I10</f>
        <v>34.786062585541075</v>
      </c>
      <c r="J466" s="561">
        <f t="shared" si="97"/>
        <v>34.201893919505785</v>
      </c>
      <c r="K466" s="561">
        <f t="shared" si="97"/>
        <v>34.227221913777818</v>
      </c>
      <c r="L466" s="561">
        <f t="shared" si="97"/>
        <v>31.121859088331838</v>
      </c>
      <c r="M466" s="561">
        <f t="shared" si="97"/>
        <v>28.016496262885859</v>
      </c>
      <c r="N466" s="561">
        <f t="shared" si="97"/>
        <v>26.50798357596932</v>
      </c>
      <c r="O466" s="561">
        <f t="shared" si="97"/>
        <v>24.999470889052777</v>
      </c>
      <c r="P466" s="561">
        <f t="shared" si="97"/>
        <v>23.490958202136234</v>
      </c>
      <c r="Q466" s="561">
        <f t="shared" si="97"/>
        <v>21.982445515219691</v>
      </c>
      <c r="R466" s="561">
        <f t="shared" si="97"/>
        <v>20.473932828303148</v>
      </c>
      <c r="S466" s="561">
        <f t="shared" si="97"/>
        <v>18.965420141386605</v>
      </c>
      <c r="T466" s="561">
        <f t="shared" si="97"/>
        <v>17.456907454470063</v>
      </c>
      <c r="U466" s="561">
        <f t="shared" si="97"/>
        <v>15.94839476755352</v>
      </c>
      <c r="V466" s="561">
        <f t="shared" si="97"/>
        <v>14.439882080636977</v>
      </c>
      <c r="W466" s="561">
        <f t="shared" si="97"/>
        <v>12.931369393720434</v>
      </c>
      <c r="X466" s="561">
        <f t="shared" si="97"/>
        <v>11.422856706803891</v>
      </c>
      <c r="Y466" s="561">
        <f t="shared" si="97"/>
        <v>9.9143440198873485</v>
      </c>
      <c r="Z466" s="561">
        <f t="shared" si="97"/>
        <v>8.4058313329708056</v>
      </c>
      <c r="AA466" s="561">
        <f t="shared" si="97"/>
        <v>6.8973186460542628</v>
      </c>
      <c r="AB466" s="561">
        <f t="shared" si="97"/>
        <v>5.38880595913772</v>
      </c>
      <c r="AC466" s="561">
        <f t="shared" si="97"/>
        <v>3.8802932722211771</v>
      </c>
      <c r="AD466" s="561">
        <f t="shared" si="97"/>
        <v>3.3961277255949618</v>
      </c>
      <c r="AE466" s="561">
        <f t="shared" si="97"/>
        <v>2.9139868302082128</v>
      </c>
      <c r="AF466" s="561">
        <f t="shared" si="97"/>
        <v>2.4318459348214638</v>
      </c>
      <c r="AG466" s="561">
        <f t="shared" si="97"/>
        <v>1.9497050394347148</v>
      </c>
      <c r="AH466" s="561">
        <f t="shared" si="97"/>
        <v>1.4675641440479659</v>
      </c>
      <c r="AI466" s="561">
        <f t="shared" si="97"/>
        <v>0.98542324866121689</v>
      </c>
      <c r="AJ466" s="561">
        <f t="shared" si="97"/>
        <v>0.59168902763361342</v>
      </c>
      <c r="AK466" s="561">
        <f t="shared" si="97"/>
        <v>0.29912486010326256</v>
      </c>
      <c r="AL466" s="561">
        <f t="shared" si="97"/>
        <v>0.10795485585235237</v>
      </c>
      <c r="AM466" s="561">
        <f t="shared" ref="AM466:BI466" si="98">AL466-AM75+AM10</f>
        <v>7.5911499308745078E-15</v>
      </c>
      <c r="AN466" s="561">
        <f t="shared" si="98"/>
        <v>9.3675067702747583E-15</v>
      </c>
      <c r="AO466" s="561">
        <f t="shared" si="98"/>
        <v>9.3675067702747583E-15</v>
      </c>
      <c r="AP466" s="561">
        <f t="shared" si="98"/>
        <v>9.3675067702747583E-15</v>
      </c>
      <c r="AQ466" s="561">
        <f t="shared" si="98"/>
        <v>9.3675067702747583E-15</v>
      </c>
      <c r="AR466" s="561">
        <f t="shared" si="98"/>
        <v>9.3675067702747583E-15</v>
      </c>
      <c r="AS466" s="561">
        <f t="shared" si="98"/>
        <v>9.3675067702747583E-15</v>
      </c>
      <c r="AT466" s="561">
        <f t="shared" si="98"/>
        <v>9.3675067702747583E-15</v>
      </c>
      <c r="AU466" s="561">
        <f t="shared" si="98"/>
        <v>9.3675067702747583E-15</v>
      </c>
      <c r="AV466" s="561">
        <f t="shared" si="98"/>
        <v>9.3675067702747583E-15</v>
      </c>
      <c r="AW466" s="561">
        <f t="shared" si="98"/>
        <v>9.3675067702747583E-15</v>
      </c>
      <c r="AX466" s="561">
        <f t="shared" si="98"/>
        <v>9.3675067702747583E-15</v>
      </c>
      <c r="AY466" s="561">
        <f t="shared" si="98"/>
        <v>9.3675067702747583E-15</v>
      </c>
      <c r="AZ466" s="561">
        <f t="shared" si="98"/>
        <v>9.3675067702747583E-15</v>
      </c>
      <c r="BA466" s="561">
        <f t="shared" si="98"/>
        <v>9.3675067702747583E-15</v>
      </c>
      <c r="BB466" s="561">
        <f t="shared" si="98"/>
        <v>9.3675067702747583E-15</v>
      </c>
      <c r="BC466" s="561">
        <f t="shared" si="98"/>
        <v>9.3675067702747583E-15</v>
      </c>
      <c r="BD466" s="561">
        <f t="shared" si="98"/>
        <v>9.3675067702747583E-15</v>
      </c>
      <c r="BE466" s="561">
        <f t="shared" si="98"/>
        <v>9.3675067702747583E-15</v>
      </c>
      <c r="BF466" s="561">
        <f t="shared" si="98"/>
        <v>9.3675067702747583E-15</v>
      </c>
      <c r="BG466" s="561">
        <f t="shared" si="98"/>
        <v>9.3675067702747583E-15</v>
      </c>
      <c r="BH466" s="561">
        <f t="shared" si="98"/>
        <v>9.3675067702747583E-15</v>
      </c>
      <c r="BI466" s="561">
        <f t="shared" si="98"/>
        <v>9.3675067702747583E-15</v>
      </c>
      <c r="BJ466" s="237"/>
      <c r="BK466" s="237"/>
      <c r="BL466" s="237"/>
      <c r="BM466" s="237"/>
    </row>
    <row r="467" spans="1:65" s="190" customFormat="1" ht="12.75" customHeight="1">
      <c r="A467" s="237"/>
      <c r="B467" s="237" t="s">
        <v>107</v>
      </c>
      <c r="C467" s="237"/>
      <c r="D467" s="237"/>
      <c r="E467" s="237"/>
      <c r="F467" s="558">
        <v>0</v>
      </c>
      <c r="G467" s="561">
        <f>F466</f>
        <v>34.786526826130789</v>
      </c>
      <c r="H467" s="561">
        <f>G466</f>
        <v>34.638691778127658</v>
      </c>
      <c r="I467" s="561">
        <f t="shared" ref="I467:O467" si="99">H466</f>
        <v>34.759824671632323</v>
      </c>
      <c r="J467" s="561">
        <f t="shared" si="99"/>
        <v>34.786062585541075</v>
      </c>
      <c r="K467" s="561">
        <f t="shared" si="99"/>
        <v>34.201893919505785</v>
      </c>
      <c r="L467" s="561">
        <f t="shared" si="99"/>
        <v>34.227221913777818</v>
      </c>
      <c r="M467" s="561">
        <f t="shared" si="99"/>
        <v>31.121859088331838</v>
      </c>
      <c r="N467" s="561">
        <f t="shared" si="99"/>
        <v>28.016496262885859</v>
      </c>
      <c r="O467" s="561">
        <f t="shared" si="99"/>
        <v>26.50798357596932</v>
      </c>
      <c r="P467" s="561">
        <f t="shared" ref="P467:BH467" si="100">O466</f>
        <v>24.999470889052777</v>
      </c>
      <c r="Q467" s="561">
        <f t="shared" si="100"/>
        <v>23.490958202136234</v>
      </c>
      <c r="R467" s="561">
        <f t="shared" si="100"/>
        <v>21.982445515219691</v>
      </c>
      <c r="S467" s="561">
        <f t="shared" si="100"/>
        <v>20.473932828303148</v>
      </c>
      <c r="T467" s="561">
        <f t="shared" si="100"/>
        <v>18.965420141386605</v>
      </c>
      <c r="U467" s="561">
        <f t="shared" si="100"/>
        <v>17.456907454470063</v>
      </c>
      <c r="V467" s="561">
        <f t="shared" si="100"/>
        <v>15.94839476755352</v>
      </c>
      <c r="W467" s="561">
        <f t="shared" si="100"/>
        <v>14.439882080636977</v>
      </c>
      <c r="X467" s="561">
        <f t="shared" si="100"/>
        <v>12.931369393720434</v>
      </c>
      <c r="Y467" s="561">
        <f t="shared" si="100"/>
        <v>11.422856706803891</v>
      </c>
      <c r="Z467" s="561">
        <f t="shared" si="100"/>
        <v>9.9143440198873485</v>
      </c>
      <c r="AA467" s="561">
        <f t="shared" si="100"/>
        <v>8.4058313329708056</v>
      </c>
      <c r="AB467" s="561">
        <f t="shared" si="100"/>
        <v>6.8973186460542628</v>
      </c>
      <c r="AC467" s="561">
        <f t="shared" si="100"/>
        <v>5.38880595913772</v>
      </c>
      <c r="AD467" s="561">
        <f t="shared" si="100"/>
        <v>3.8802932722211771</v>
      </c>
      <c r="AE467" s="561">
        <f t="shared" si="100"/>
        <v>3.3961277255949618</v>
      </c>
      <c r="AF467" s="561">
        <f t="shared" si="100"/>
        <v>2.9139868302082128</v>
      </c>
      <c r="AG467" s="561">
        <f t="shared" si="100"/>
        <v>2.4318459348214638</v>
      </c>
      <c r="AH467" s="561">
        <f t="shared" si="100"/>
        <v>1.9497050394347148</v>
      </c>
      <c r="AI467" s="561">
        <f t="shared" si="100"/>
        <v>1.4675641440479659</v>
      </c>
      <c r="AJ467" s="561">
        <f t="shared" si="100"/>
        <v>0.98542324866121689</v>
      </c>
      <c r="AK467" s="561">
        <f t="shared" si="100"/>
        <v>0.59168902763361342</v>
      </c>
      <c r="AL467" s="561">
        <f t="shared" si="100"/>
        <v>0.29912486010326256</v>
      </c>
      <c r="AM467" s="561">
        <f t="shared" si="100"/>
        <v>0.10795485585235237</v>
      </c>
      <c r="AN467" s="561">
        <f t="shared" si="100"/>
        <v>7.5911499308745078E-15</v>
      </c>
      <c r="AO467" s="561">
        <f t="shared" si="100"/>
        <v>9.3675067702747583E-15</v>
      </c>
      <c r="AP467" s="561">
        <f t="shared" si="100"/>
        <v>9.3675067702747583E-15</v>
      </c>
      <c r="AQ467" s="561">
        <f t="shared" si="100"/>
        <v>9.3675067702747583E-15</v>
      </c>
      <c r="AR467" s="561">
        <f t="shared" si="100"/>
        <v>9.3675067702747583E-15</v>
      </c>
      <c r="AS467" s="561">
        <f t="shared" si="100"/>
        <v>9.3675067702747583E-15</v>
      </c>
      <c r="AT467" s="561">
        <f t="shared" si="100"/>
        <v>9.3675067702747583E-15</v>
      </c>
      <c r="AU467" s="561">
        <f t="shared" si="100"/>
        <v>9.3675067702747583E-15</v>
      </c>
      <c r="AV467" s="561">
        <f t="shared" si="100"/>
        <v>9.3675067702747583E-15</v>
      </c>
      <c r="AW467" s="561">
        <f t="shared" si="100"/>
        <v>9.3675067702747583E-15</v>
      </c>
      <c r="AX467" s="561">
        <f t="shared" si="100"/>
        <v>9.3675067702747583E-15</v>
      </c>
      <c r="AY467" s="561">
        <f t="shared" si="100"/>
        <v>9.3675067702747583E-15</v>
      </c>
      <c r="AZ467" s="561">
        <f t="shared" si="100"/>
        <v>9.3675067702747583E-15</v>
      </c>
      <c r="BA467" s="561">
        <f t="shared" si="100"/>
        <v>9.3675067702747583E-15</v>
      </c>
      <c r="BB467" s="561">
        <f t="shared" si="100"/>
        <v>9.3675067702747583E-15</v>
      </c>
      <c r="BC467" s="561">
        <f t="shared" si="100"/>
        <v>9.3675067702747583E-15</v>
      </c>
      <c r="BD467" s="561">
        <f t="shared" si="100"/>
        <v>9.3675067702747583E-15</v>
      </c>
      <c r="BE467" s="561">
        <f t="shared" si="100"/>
        <v>9.3675067702747583E-15</v>
      </c>
      <c r="BF467" s="561">
        <f t="shared" si="100"/>
        <v>9.3675067702747583E-15</v>
      </c>
      <c r="BG467" s="561">
        <f t="shared" si="100"/>
        <v>9.3675067702747583E-15</v>
      </c>
      <c r="BH467" s="561">
        <f t="shared" si="100"/>
        <v>9.3675067702747583E-15</v>
      </c>
      <c r="BI467" s="561">
        <f>BH466</f>
        <v>9.3675067702747583E-15</v>
      </c>
      <c r="BJ467" s="237"/>
      <c r="BK467" s="237"/>
      <c r="BL467" s="237"/>
      <c r="BM467" s="237"/>
    </row>
    <row r="468" spans="1:65" s="190" customFormat="1" ht="12.75" customHeight="1">
      <c r="A468" s="237"/>
      <c r="B468" s="237"/>
      <c r="C468" s="237"/>
      <c r="D468" s="237"/>
      <c r="E468" s="237"/>
      <c r="F468" s="558"/>
      <c r="G468" s="562"/>
      <c r="H468" s="562"/>
      <c r="I468" s="562"/>
      <c r="J468" s="562"/>
      <c r="K468" s="562"/>
      <c r="L468" s="562"/>
      <c r="M468" s="562"/>
      <c r="N468" s="562"/>
      <c r="O468" s="562"/>
      <c r="P468" s="562"/>
      <c r="Q468" s="562"/>
      <c r="R468" s="562"/>
      <c r="S468" s="562"/>
      <c r="T468" s="562"/>
      <c r="U468" s="562"/>
      <c r="V468" s="562"/>
      <c r="W468" s="562"/>
      <c r="X468" s="562"/>
      <c r="Y468" s="562"/>
      <c r="Z468" s="562"/>
      <c r="AA468" s="562"/>
      <c r="AB468" s="562"/>
      <c r="AC468" s="562"/>
      <c r="AD468" s="562"/>
      <c r="AE468" s="562"/>
      <c r="AF468" s="562"/>
      <c r="AG468" s="562"/>
      <c r="AH468" s="562"/>
      <c r="AI468" s="562"/>
      <c r="AJ468" s="562"/>
      <c r="AK468" s="562"/>
      <c r="AL468" s="562"/>
      <c r="AM468" s="562"/>
      <c r="AN468" s="562"/>
      <c r="AO468" s="562"/>
      <c r="AP468" s="562"/>
      <c r="AQ468" s="562"/>
      <c r="AR468" s="562"/>
      <c r="AS468" s="562"/>
      <c r="AT468" s="562"/>
      <c r="AU468" s="562"/>
      <c r="AV468" s="562"/>
      <c r="AW468" s="562"/>
      <c r="AX468" s="562"/>
      <c r="AY468" s="562"/>
      <c r="AZ468" s="562"/>
      <c r="BA468" s="562"/>
      <c r="BB468" s="562"/>
      <c r="BC468" s="562"/>
      <c r="BD468" s="562"/>
      <c r="BE468" s="562"/>
      <c r="BF468" s="562"/>
      <c r="BG468" s="562"/>
      <c r="BH468" s="562"/>
      <c r="BI468" s="562"/>
      <c r="BJ468" s="237"/>
      <c r="BK468" s="237"/>
      <c r="BL468" s="237"/>
      <c r="BM468" s="237"/>
    </row>
    <row r="469" spans="1:65" s="190" customFormat="1">
      <c r="A469" s="116"/>
      <c r="B469" s="130" t="s">
        <v>499</v>
      </c>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237"/>
      <c r="BL469" s="237"/>
      <c r="BM469" s="237"/>
    </row>
    <row r="470" spans="1:65" s="190" customFormat="1">
      <c r="A470" s="237"/>
      <c r="B470" s="557"/>
      <c r="C470" s="237"/>
      <c r="D470" s="237"/>
      <c r="E470" s="237"/>
      <c r="F470" s="558"/>
      <c r="G470" s="562"/>
      <c r="H470" s="562"/>
      <c r="I470" s="562"/>
      <c r="J470" s="562"/>
      <c r="K470" s="562"/>
      <c r="L470" s="562"/>
      <c r="M470" s="562"/>
      <c r="N470" s="562"/>
      <c r="O470" s="562"/>
      <c r="P470" s="562"/>
      <c r="Q470" s="562"/>
      <c r="R470" s="562"/>
      <c r="S470" s="562"/>
      <c r="T470" s="562"/>
      <c r="U470" s="562"/>
      <c r="V470" s="562"/>
      <c r="W470" s="562"/>
      <c r="X470" s="562"/>
      <c r="Y470" s="562"/>
      <c r="Z470" s="562"/>
      <c r="AA470" s="562"/>
      <c r="AB470" s="562"/>
      <c r="AC470" s="562"/>
      <c r="AD470" s="562"/>
      <c r="AE470" s="562"/>
      <c r="AF470" s="562"/>
      <c r="AG470" s="562"/>
      <c r="AH470" s="562"/>
      <c r="AI470" s="562"/>
      <c r="AJ470" s="562"/>
      <c r="AK470" s="562"/>
      <c r="AL470" s="562"/>
      <c r="AM470" s="562"/>
      <c r="AN470" s="562"/>
      <c r="AO470" s="562"/>
      <c r="AP470" s="562"/>
      <c r="AQ470" s="562"/>
      <c r="AR470" s="562"/>
      <c r="AS470" s="562"/>
      <c r="AT470" s="562"/>
      <c r="AU470" s="562"/>
      <c r="AV470" s="562"/>
      <c r="AW470" s="562"/>
      <c r="AX470" s="562"/>
      <c r="AY470" s="562"/>
      <c r="AZ470" s="562"/>
      <c r="BA470" s="562"/>
      <c r="BB470" s="562"/>
      <c r="BC470" s="562"/>
      <c r="BD470" s="562"/>
      <c r="BE470" s="562"/>
      <c r="BF470" s="562"/>
      <c r="BG470" s="562"/>
      <c r="BH470" s="562"/>
      <c r="BI470" s="562"/>
      <c r="BJ470" s="237"/>
      <c r="BK470" s="237"/>
      <c r="BL470" s="237"/>
      <c r="BM470" s="237"/>
    </row>
    <row r="471" spans="1:65" s="4" customFormat="1">
      <c r="A471" s="21"/>
      <c r="B471" s="174" t="s">
        <v>102</v>
      </c>
      <c r="C471" s="21"/>
      <c r="D471" s="21"/>
      <c r="E471" s="21"/>
      <c r="F471" s="178"/>
      <c r="G471" s="1406">
        <f>F474*G6</f>
        <v>0.87662047601849591</v>
      </c>
      <c r="H471" s="188">
        <f t="shared" ref="H471:BI471" si="101">G474*H6</f>
        <v>0.89489198763559907</v>
      </c>
      <c r="I471" s="188">
        <f>H474*I6</f>
        <v>0.92065160159637982</v>
      </c>
      <c r="J471" s="188">
        <f t="shared" si="101"/>
        <v>0.94456447399940902</v>
      </c>
      <c r="K471" s="188">
        <f t="shared" si="101"/>
        <v>0.95210552748538158</v>
      </c>
      <c r="L471" s="188">
        <f t="shared" si="101"/>
        <v>0.97682143035717406</v>
      </c>
      <c r="M471" s="188">
        <f t="shared" si="101"/>
        <v>0.91057905783542137</v>
      </c>
      <c r="N471" s="188">
        <f t="shared" si="101"/>
        <v>0.84037774905743834</v>
      </c>
      <c r="O471" s="188">
        <f t="shared" si="101"/>
        <v>0.81516591826770879</v>
      </c>
      <c r="P471" s="188">
        <f t="shared" si="101"/>
        <v>0.7881497377204153</v>
      </c>
      <c r="Q471" s="188">
        <f t="shared" si="101"/>
        <v>0.75925427870880147</v>
      </c>
      <c r="R471" s="188">
        <f t="shared" si="101"/>
        <v>0.72840198195356043</v>
      </c>
      <c r="S471" s="188">
        <f t="shared" si="101"/>
        <v>0.69551257260470389</v>
      </c>
      <c r="T471" s="188">
        <f t="shared" si="101"/>
        <v>0.6605029726300452</v>
      </c>
      <c r="U471" s="188">
        <f t="shared" si="101"/>
        <v>0.62328721051255676</v>
      </c>
      <c r="V471" s="188">
        <f t="shared" si="101"/>
        <v>0.58377632817660807</v>
      </c>
      <c r="W471" s="188">
        <f t="shared" si="101"/>
        <v>0.54187828506076352</v>
      </c>
      <c r="X471" s="188">
        <f t="shared" si="101"/>
        <v>0.49749785925243534</v>
      </c>
      <c r="Y471" s="188">
        <f t="shared" si="101"/>
        <v>0.45053654559722234</v>
      </c>
      <c r="Z471" s="188">
        <f t="shared" si="101"/>
        <v>0.40089245069324692</v>
      </c>
      <c r="AA471" s="188">
        <f t="shared" si="101"/>
        <v>0.34846018467819506</v>
      </c>
      <c r="AB471" s="188">
        <f t="shared" si="101"/>
        <v>0.29313074971409647</v>
      </c>
      <c r="AC471" s="188">
        <f t="shared" si="101"/>
        <v>0.23479142507212925</v>
      </c>
      <c r="AD471" s="188">
        <f t="shared" si="101"/>
        <v>0.17332564871690845</v>
      </c>
      <c r="AE471" s="188">
        <f t="shared" si="101"/>
        <v>0.15552166474677898</v>
      </c>
      <c r="AF471" s="188">
        <f t="shared" si="101"/>
        <v>0.13680534423700391</v>
      </c>
      <c r="AG471" s="188">
        <f t="shared" si="101"/>
        <v>0.1170469586955554</v>
      </c>
      <c r="AH471" s="188">
        <f t="shared" si="101"/>
        <v>9.6205873657013594E-2</v>
      </c>
      <c r="AI471" s="188">
        <f t="shared" si="101"/>
        <v>7.4240068431879275E-2</v>
      </c>
      <c r="AJ471" s="188">
        <f t="shared" si="101"/>
        <v>5.1106092045391037E-2</v>
      </c>
      <c r="AK471" s="188">
        <f t="shared" si="101"/>
        <v>3.1459512022983839E-2</v>
      </c>
      <c r="AL471" s="188">
        <f t="shared" si="101"/>
        <v>1.6304953784798286E-2</v>
      </c>
      <c r="AM471" s="188">
        <f t="shared" si="101"/>
        <v>6.0327849315808708E-3</v>
      </c>
      <c r="AN471" s="188">
        <f t="shared" si="101"/>
        <v>4.3490242355059271E-16</v>
      </c>
      <c r="AO471" s="188">
        <f t="shared" si="101"/>
        <v>5.5019529455437958E-16</v>
      </c>
      <c r="AP471" s="188">
        <f t="shared" si="101"/>
        <v>5.6406021597714987E-16</v>
      </c>
      <c r="AQ471" s="188">
        <f t="shared" si="101"/>
        <v>5.7827453341977395E-16</v>
      </c>
      <c r="AR471" s="188">
        <f t="shared" si="101"/>
        <v>5.9284705166195214E-16</v>
      </c>
      <c r="AS471" s="188">
        <f t="shared" si="101"/>
        <v>6.0778679736383329E-16</v>
      </c>
      <c r="AT471" s="188">
        <f t="shared" si="101"/>
        <v>6.2310302465740191E-16</v>
      </c>
      <c r="AU471" s="188">
        <f t="shared" si="101"/>
        <v>6.3880522087876836E-16</v>
      </c>
      <c r="AV471" s="188">
        <f t="shared" si="101"/>
        <v>6.5490311244491324E-16</v>
      </c>
      <c r="AW471" s="188">
        <f t="shared" si="101"/>
        <v>6.7140667087852501E-16</v>
      </c>
      <c r="AX471" s="188">
        <f t="shared" si="101"/>
        <v>6.8832611898466373E-16</v>
      </c>
      <c r="AY471" s="188">
        <f t="shared" si="101"/>
        <v>7.0567193718307714E-16</v>
      </c>
      <c r="AZ471" s="188">
        <f t="shared" si="101"/>
        <v>7.2345487000009078E-16</v>
      </c>
      <c r="BA471" s="188">
        <f t="shared" si="101"/>
        <v>7.4168593272409277E-16</v>
      </c>
      <c r="BB471" s="188">
        <f t="shared" si="101"/>
        <v>7.6037641822873994E-16</v>
      </c>
      <c r="BC471" s="188">
        <f t="shared" si="101"/>
        <v>7.7953790396810409E-16</v>
      </c>
      <c r="BD471" s="188">
        <f t="shared" si="101"/>
        <v>7.9918225914810012E-16</v>
      </c>
      <c r="BE471" s="188">
        <f t="shared" si="101"/>
        <v>8.1932165207863218E-16</v>
      </c>
      <c r="BF471" s="188">
        <f t="shared" si="101"/>
        <v>8.3996855771101367E-16</v>
      </c>
      <c r="BG471" s="188">
        <f t="shared" si="101"/>
        <v>8.6113576536533105E-16</v>
      </c>
      <c r="BH471" s="188">
        <f t="shared" si="101"/>
        <v>8.828363866525373E-16</v>
      </c>
      <c r="BI471" s="188">
        <f t="shared" si="101"/>
        <v>9.050838635961812E-16</v>
      </c>
      <c r="BJ471" s="18"/>
      <c r="BK471" s="18"/>
      <c r="BL471" s="18"/>
      <c r="BM471" s="18"/>
    </row>
    <row r="472" spans="1:65" s="4" customFormat="1">
      <c r="A472" s="21"/>
      <c r="B472" s="189" t="s">
        <v>103</v>
      </c>
      <c r="C472" s="190"/>
      <c r="D472" s="21"/>
      <c r="E472" s="21"/>
      <c r="F472" s="178"/>
      <c r="G472" s="1406">
        <f>G75*G7</f>
        <v>2.6893271226967239</v>
      </c>
      <c r="H472" s="1406">
        <f t="shared" ref="H472:BI472" si="102">H75*H7</f>
        <v>2.8500166787100132</v>
      </c>
      <c r="I472" s="188">
        <f>I75*I7</f>
        <v>3.0308499686726429</v>
      </c>
      <c r="J472" s="188">
        <f t="shared" si="102"/>
        <v>3.2192349502541338</v>
      </c>
      <c r="K472" s="188">
        <f t="shared" si="102"/>
        <v>3.3946018631415229</v>
      </c>
      <c r="L472" s="188">
        <f t="shared" si="102"/>
        <v>3.6054870066171945</v>
      </c>
      <c r="M472" s="188">
        <f t="shared" si="102"/>
        <v>3.6963452791839475</v>
      </c>
      <c r="N472" s="188">
        <f t="shared" si="102"/>
        <v>1.8408472248403589</v>
      </c>
      <c r="O472" s="188">
        <f t="shared" si="102"/>
        <v>1.8872365749063382</v>
      </c>
      <c r="P472" s="188">
        <f t="shared" si="102"/>
        <v>1.9347949365939778</v>
      </c>
      <c r="Q472" s="188">
        <f t="shared" si="102"/>
        <v>1.9835517689961459</v>
      </c>
      <c r="R472" s="188">
        <f t="shared" si="102"/>
        <v>2.0335372735748489</v>
      </c>
      <c r="S472" s="188">
        <f t="shared" si="102"/>
        <v>2.0847824128689347</v>
      </c>
      <c r="T472" s="188">
        <f t="shared" si="102"/>
        <v>2.1373189296732318</v>
      </c>
      <c r="U472" s="188">
        <f t="shared" si="102"/>
        <v>2.1911793667009971</v>
      </c>
      <c r="V472" s="188">
        <f t="shared" si="102"/>
        <v>2.2463970867418617</v>
      </c>
      <c r="W472" s="188">
        <f t="shared" si="102"/>
        <v>2.3030062933277566</v>
      </c>
      <c r="X472" s="188">
        <f t="shared" si="102"/>
        <v>2.361042051919616</v>
      </c>
      <c r="Y472" s="188">
        <f t="shared" si="102"/>
        <v>2.42054031162799</v>
      </c>
      <c r="Z472" s="188">
        <f t="shared" si="102"/>
        <v>2.481537927481015</v>
      </c>
      <c r="AA472" s="188">
        <f t="shared" si="102"/>
        <v>2.5440726832535363</v>
      </c>
      <c r="AB472" s="188">
        <f t="shared" si="102"/>
        <v>2.6081833148715252</v>
      </c>
      <c r="AC472" s="188">
        <f t="shared" si="102"/>
        <v>2.6739095344062873</v>
      </c>
      <c r="AD472" s="188">
        <f t="shared" si="102"/>
        <v>0.87983294911886933</v>
      </c>
      <c r="AE472" s="188">
        <f t="shared" si="102"/>
        <v>0.89823279608705897</v>
      </c>
      <c r="AF472" s="188">
        <f t="shared" si="102"/>
        <v>0.92086826254845278</v>
      </c>
      <c r="AG472" s="188">
        <f t="shared" si="102"/>
        <v>0.94407414276467372</v>
      </c>
      <c r="AH472" s="188">
        <f t="shared" si="102"/>
        <v>0.96786481116234335</v>
      </c>
      <c r="AI472" s="188">
        <f t="shared" si="102"/>
        <v>0.99225500440363423</v>
      </c>
      <c r="AJ472" s="188">
        <f t="shared" si="102"/>
        <v>0.83073228341075567</v>
      </c>
      <c r="AK472" s="188">
        <f t="shared" si="102"/>
        <v>0.63283087068114041</v>
      </c>
      <c r="AL472" s="188">
        <f t="shared" si="102"/>
        <v>0.42393070192834637</v>
      </c>
      <c r="AM472" s="188">
        <f t="shared" si="102"/>
        <v>0.24542901237524892</v>
      </c>
      <c r="AN472" s="188">
        <f t="shared" si="102"/>
        <v>-4.1402115051711102E-15</v>
      </c>
      <c r="AO472" s="188">
        <f t="shared" si="102"/>
        <v>0</v>
      </c>
      <c r="AP472" s="188">
        <f t="shared" si="102"/>
        <v>0</v>
      </c>
      <c r="AQ472" s="188">
        <f t="shared" si="102"/>
        <v>0</v>
      </c>
      <c r="AR472" s="188">
        <f t="shared" si="102"/>
        <v>0</v>
      </c>
      <c r="AS472" s="188">
        <f t="shared" si="102"/>
        <v>0</v>
      </c>
      <c r="AT472" s="188">
        <f t="shared" si="102"/>
        <v>0</v>
      </c>
      <c r="AU472" s="188">
        <f t="shared" si="102"/>
        <v>0</v>
      </c>
      <c r="AV472" s="188">
        <f t="shared" si="102"/>
        <v>0</v>
      </c>
      <c r="AW472" s="188">
        <f t="shared" si="102"/>
        <v>0</v>
      </c>
      <c r="AX472" s="188">
        <f t="shared" si="102"/>
        <v>0</v>
      </c>
      <c r="AY472" s="188">
        <f t="shared" si="102"/>
        <v>0</v>
      </c>
      <c r="AZ472" s="188">
        <f t="shared" si="102"/>
        <v>0</v>
      </c>
      <c r="BA472" s="188">
        <f t="shared" si="102"/>
        <v>0</v>
      </c>
      <c r="BB472" s="188">
        <f t="shared" si="102"/>
        <v>0</v>
      </c>
      <c r="BC472" s="188">
        <f t="shared" si="102"/>
        <v>0</v>
      </c>
      <c r="BD472" s="188">
        <f t="shared" si="102"/>
        <v>0</v>
      </c>
      <c r="BE472" s="188">
        <f t="shared" si="102"/>
        <v>0</v>
      </c>
      <c r="BF472" s="188">
        <f t="shared" si="102"/>
        <v>0</v>
      </c>
      <c r="BG472" s="188">
        <f t="shared" si="102"/>
        <v>0</v>
      </c>
      <c r="BH472" s="188">
        <f t="shared" si="102"/>
        <v>0</v>
      </c>
      <c r="BI472" s="188">
        <f t="shared" si="102"/>
        <v>0</v>
      </c>
      <c r="BJ472" s="18"/>
      <c r="BK472" s="18"/>
      <c r="BL472" s="18"/>
      <c r="BM472" s="18"/>
    </row>
    <row r="473" spans="1:65" s="4" customFormat="1">
      <c r="A473" s="18"/>
      <c r="B473" s="18" t="s">
        <v>110</v>
      </c>
      <c r="C473" s="18"/>
      <c r="D473" s="18"/>
      <c r="E473" s="18"/>
      <c r="F473" s="31"/>
      <c r="G473" s="1401">
        <f>G472-G471</f>
        <v>1.812706646678228</v>
      </c>
      <c r="H473" s="1401">
        <f t="shared" ref="H473:BI473" si="103">H472-H471</f>
        <v>1.9551246910744142</v>
      </c>
      <c r="I473" s="105">
        <f>I472-I471</f>
        <v>2.1101983670762632</v>
      </c>
      <c r="J473" s="105">
        <f t="shared" si="103"/>
        <v>2.274670476254725</v>
      </c>
      <c r="K473" s="105">
        <f t="shared" si="103"/>
        <v>2.4424963356561413</v>
      </c>
      <c r="L473" s="105">
        <f t="shared" si="103"/>
        <v>2.6286655762600204</v>
      </c>
      <c r="M473" s="105">
        <f t="shared" si="103"/>
        <v>2.7857662213485259</v>
      </c>
      <c r="N473" s="105">
        <f t="shared" si="103"/>
        <v>1.0004694757829204</v>
      </c>
      <c r="O473" s="105">
        <f t="shared" si="103"/>
        <v>1.0720706566386293</v>
      </c>
      <c r="P473" s="105">
        <f t="shared" si="103"/>
        <v>1.1466451988735624</v>
      </c>
      <c r="Q473" s="105">
        <f t="shared" si="103"/>
        <v>1.2242974902873445</v>
      </c>
      <c r="R473" s="105">
        <f t="shared" si="103"/>
        <v>1.3051352916212884</v>
      </c>
      <c r="S473" s="105">
        <f t="shared" si="103"/>
        <v>1.3892698402642307</v>
      </c>
      <c r="T473" s="105">
        <f t="shared" si="103"/>
        <v>1.4768159570431867</v>
      </c>
      <c r="U473" s="105">
        <f t="shared" si="103"/>
        <v>1.5678921561884405</v>
      </c>
      <c r="V473" s="105">
        <f t="shared" si="103"/>
        <v>1.6626207585652537</v>
      </c>
      <c r="W473" s="105">
        <f t="shared" si="103"/>
        <v>1.7611280082669931</v>
      </c>
      <c r="X473" s="105">
        <f t="shared" si="103"/>
        <v>1.8635441926671807</v>
      </c>
      <c r="Y473" s="105">
        <f t="shared" si="103"/>
        <v>1.9700037660307677</v>
      </c>
      <c r="Z473" s="105">
        <f t="shared" si="103"/>
        <v>2.080645476787768</v>
      </c>
      <c r="AA473" s="105">
        <f t="shared" si="103"/>
        <v>2.1956124985753411</v>
      </c>
      <c r="AB473" s="105">
        <f t="shared" si="103"/>
        <v>2.315052565157429</v>
      </c>
      <c r="AC473" s="105">
        <f t="shared" si="103"/>
        <v>2.4391181093341583</v>
      </c>
      <c r="AD473" s="105">
        <f t="shared" si="103"/>
        <v>0.70650730040196086</v>
      </c>
      <c r="AE473" s="105">
        <f t="shared" si="103"/>
        <v>0.74271113134028</v>
      </c>
      <c r="AF473" s="105">
        <f t="shared" si="103"/>
        <v>0.78406291831144892</v>
      </c>
      <c r="AG473" s="105">
        <f t="shared" si="103"/>
        <v>0.82702718406911835</v>
      </c>
      <c r="AH473" s="105">
        <f t="shared" si="103"/>
        <v>0.87165893750532975</v>
      </c>
      <c r="AI473" s="105">
        <f t="shared" si="103"/>
        <v>0.91801493597175499</v>
      </c>
      <c r="AJ473" s="105">
        <f t="shared" si="103"/>
        <v>0.7796261913653646</v>
      </c>
      <c r="AK473" s="105">
        <f t="shared" si="103"/>
        <v>0.60137135865815661</v>
      </c>
      <c r="AL473" s="105">
        <f t="shared" si="103"/>
        <v>0.40762574814354807</v>
      </c>
      <c r="AM473" s="105">
        <f t="shared" si="103"/>
        <v>0.23939622744366804</v>
      </c>
      <c r="AN473" s="105">
        <f t="shared" si="103"/>
        <v>-4.5751139287217034E-15</v>
      </c>
      <c r="AO473" s="105">
        <f t="shared" si="103"/>
        <v>-5.5019529455437958E-16</v>
      </c>
      <c r="AP473" s="105">
        <f t="shared" si="103"/>
        <v>-5.6406021597714987E-16</v>
      </c>
      <c r="AQ473" s="105">
        <f t="shared" si="103"/>
        <v>-5.7827453341977395E-16</v>
      </c>
      <c r="AR473" s="105">
        <f t="shared" si="103"/>
        <v>-5.9284705166195214E-16</v>
      </c>
      <c r="AS473" s="105">
        <f t="shared" si="103"/>
        <v>-6.0778679736383329E-16</v>
      </c>
      <c r="AT473" s="105">
        <f t="shared" si="103"/>
        <v>-6.2310302465740191E-16</v>
      </c>
      <c r="AU473" s="105">
        <f t="shared" si="103"/>
        <v>-6.3880522087876836E-16</v>
      </c>
      <c r="AV473" s="105">
        <f t="shared" si="103"/>
        <v>-6.5490311244491324E-16</v>
      </c>
      <c r="AW473" s="105">
        <f t="shared" si="103"/>
        <v>-6.7140667087852501E-16</v>
      </c>
      <c r="AX473" s="105">
        <f t="shared" si="103"/>
        <v>-6.8832611898466373E-16</v>
      </c>
      <c r="AY473" s="105">
        <f t="shared" si="103"/>
        <v>-7.0567193718307714E-16</v>
      </c>
      <c r="AZ473" s="105">
        <f t="shared" si="103"/>
        <v>-7.2345487000009078E-16</v>
      </c>
      <c r="BA473" s="105">
        <f t="shared" si="103"/>
        <v>-7.4168593272409277E-16</v>
      </c>
      <c r="BB473" s="105">
        <f t="shared" si="103"/>
        <v>-7.6037641822873994E-16</v>
      </c>
      <c r="BC473" s="105">
        <f t="shared" si="103"/>
        <v>-7.7953790396810409E-16</v>
      </c>
      <c r="BD473" s="105">
        <f t="shared" si="103"/>
        <v>-7.9918225914810012E-16</v>
      </c>
      <c r="BE473" s="105">
        <f t="shared" si="103"/>
        <v>-8.1932165207863218E-16</v>
      </c>
      <c r="BF473" s="105">
        <f t="shared" si="103"/>
        <v>-8.3996855771101367E-16</v>
      </c>
      <c r="BG473" s="105">
        <f t="shared" si="103"/>
        <v>-8.6113576536533105E-16</v>
      </c>
      <c r="BH473" s="105">
        <f t="shared" si="103"/>
        <v>-8.828363866525373E-16</v>
      </c>
      <c r="BI473" s="105">
        <f t="shared" si="103"/>
        <v>-9.050838635961812E-16</v>
      </c>
      <c r="BJ473" s="18"/>
      <c r="BK473" s="18"/>
      <c r="BL473" s="18"/>
      <c r="BM473" s="18"/>
    </row>
    <row r="474" spans="1:65" s="4" customFormat="1">
      <c r="A474" s="18"/>
      <c r="B474" s="4" t="s">
        <v>104</v>
      </c>
      <c r="D474" s="18"/>
      <c r="E474" s="18"/>
      <c r="F474" s="1401">
        <f>F$7*F466</f>
        <v>34.786526826130789</v>
      </c>
      <c r="G474" s="105">
        <f>G$7*G466</f>
        <v>35.511586810936471</v>
      </c>
      <c r="H474" s="1401">
        <f t="shared" ref="H474:P474" si="104">H$7*H466</f>
        <v>36.533793714142057</v>
      </c>
      <c r="I474" s="105">
        <f>I$7*I466</f>
        <v>37.482717222198772</v>
      </c>
      <c r="J474" s="105">
        <f t="shared" si="104"/>
        <v>37.781965376404031</v>
      </c>
      <c r="K474" s="1423">
        <f t="shared" si="104"/>
        <v>38.762755172903731</v>
      </c>
      <c r="L474" s="105">
        <f t="shared" si="104"/>
        <v>36.134089596643705</v>
      </c>
      <c r="M474" s="105">
        <f t="shared" si="104"/>
        <v>33.348323375295173</v>
      </c>
      <c r="N474" s="105">
        <f t="shared" si="104"/>
        <v>32.347853899512252</v>
      </c>
      <c r="O474" s="105">
        <f t="shared" si="104"/>
        <v>31.275783242873622</v>
      </c>
      <c r="P474" s="105">
        <f t="shared" si="104"/>
        <v>30.129138044000058</v>
      </c>
      <c r="Q474" s="105">
        <f t="shared" ref="Q474:BI474" si="105">Q$7*Q466</f>
        <v>28.904840553712713</v>
      </c>
      <c r="R474" s="105">
        <f t="shared" si="105"/>
        <v>27.599705262091422</v>
      </c>
      <c r="S474" s="105">
        <f t="shared" si="105"/>
        <v>26.210435421827189</v>
      </c>
      <c r="T474" s="105">
        <f t="shared" si="105"/>
        <v>24.733619464783999</v>
      </c>
      <c r="U474" s="105">
        <f t="shared" si="105"/>
        <v>23.165727308595557</v>
      </c>
      <c r="V474" s="105">
        <f t="shared" si="105"/>
        <v>21.503106550030299</v>
      </c>
      <c r="W474" s="105">
        <f t="shared" si="105"/>
        <v>19.741978541763306</v>
      </c>
      <c r="X474" s="105">
        <f t="shared" si="105"/>
        <v>17.878434349096125</v>
      </c>
      <c r="Y474" s="105">
        <f t="shared" si="105"/>
        <v>15.908430583065353</v>
      </c>
      <c r="Z474" s="105">
        <f t="shared" si="105"/>
        <v>13.827785106277583</v>
      </c>
      <c r="AA474" s="105">
        <f t="shared" si="105"/>
        <v>11.632172607702241</v>
      </c>
      <c r="AB474" s="105">
        <f t="shared" si="105"/>
        <v>9.3171200425448113</v>
      </c>
      <c r="AC474" s="105">
        <f t="shared" si="105"/>
        <v>6.8780019332106521</v>
      </c>
      <c r="AD474" s="105">
        <f t="shared" si="105"/>
        <v>6.1714946328086899</v>
      </c>
      <c r="AE474" s="105">
        <f t="shared" si="105"/>
        <v>5.4287835014684092</v>
      </c>
      <c r="AF474" s="105">
        <f t="shared" si="105"/>
        <v>4.6447205831569605</v>
      </c>
      <c r="AG474" s="105">
        <f t="shared" si="105"/>
        <v>3.8176933990878412</v>
      </c>
      <c r="AH474" s="105">
        <f t="shared" si="105"/>
        <v>2.9460344615825109</v>
      </c>
      <c r="AI474" s="105">
        <f t="shared" si="105"/>
        <v>2.0280195256107554</v>
      </c>
      <c r="AJ474" s="105">
        <f t="shared" si="105"/>
        <v>1.2483933342453903</v>
      </c>
      <c r="AK474" s="105">
        <f t="shared" si="105"/>
        <v>0.64702197558723351</v>
      </c>
      <c r="AL474" s="105">
        <f t="shared" si="105"/>
        <v>0.23939622744368536</v>
      </c>
      <c r="AM474" s="105">
        <f t="shared" si="105"/>
        <v>1.7258032680579076E-14</v>
      </c>
      <c r="AN474" s="105">
        <f t="shared" si="105"/>
        <v>2.1833146609300776E-14</v>
      </c>
      <c r="AO474" s="105">
        <f t="shared" si="105"/>
        <v>2.2383341903855153E-14</v>
      </c>
      <c r="AP474" s="105">
        <f t="shared" si="105"/>
        <v>2.2947402119832298E-14</v>
      </c>
      <c r="AQ474" s="105">
        <f t="shared" si="105"/>
        <v>2.3525676653252069E-14</v>
      </c>
      <c r="AR474" s="105">
        <f t="shared" si="105"/>
        <v>2.411852370491402E-14</v>
      </c>
      <c r="AS474" s="105">
        <f t="shared" si="105"/>
        <v>2.4726310502277852E-14</v>
      </c>
      <c r="AT474" s="105">
        <f t="shared" si="105"/>
        <v>2.5349413526935251E-14</v>
      </c>
      <c r="AU474" s="105">
        <f t="shared" si="105"/>
        <v>2.5988218747814018E-14</v>
      </c>
      <c r="AV474" s="105">
        <f t="shared" si="105"/>
        <v>2.664312186025893E-14</v>
      </c>
      <c r="AW474" s="105">
        <f t="shared" si="105"/>
        <v>2.7314528531137449E-14</v>
      </c>
      <c r="AX474" s="105">
        <f t="shared" si="105"/>
        <v>2.8002854650122109E-14</v>
      </c>
      <c r="AY474" s="105">
        <f t="shared" si="105"/>
        <v>2.8708526587305188E-14</v>
      </c>
      <c r="AZ474" s="105">
        <f t="shared" si="105"/>
        <v>2.943198145730527E-14</v>
      </c>
      <c r="BA474" s="105">
        <f t="shared" si="105"/>
        <v>3.0173667390029361E-14</v>
      </c>
      <c r="BB474" s="105">
        <f t="shared" si="105"/>
        <v>3.0934043808258097E-14</v>
      </c>
      <c r="BC474" s="105">
        <f t="shared" si="105"/>
        <v>3.1713581712226196E-14</v>
      </c>
      <c r="BD474" s="105">
        <f t="shared" si="105"/>
        <v>3.2512763971374295E-14</v>
      </c>
      <c r="BE474" s="105">
        <f t="shared" si="105"/>
        <v>3.3332085623452922E-14</v>
      </c>
      <c r="BF474" s="105">
        <f t="shared" si="105"/>
        <v>3.417205418116393E-14</v>
      </c>
      <c r="BG474" s="105">
        <f t="shared" si="105"/>
        <v>3.5033189946529257E-14</v>
      </c>
      <c r="BH474" s="105">
        <f t="shared" si="105"/>
        <v>3.5916026333181792E-14</v>
      </c>
      <c r="BI474" s="105">
        <f t="shared" si="105"/>
        <v>3.6821110196777967E-14</v>
      </c>
      <c r="BJ474" s="18"/>
      <c r="BK474" s="18"/>
      <c r="BL474" s="18"/>
      <c r="BM474" s="18"/>
    </row>
    <row r="475" spans="1:65" s="4" customFormat="1">
      <c r="A475" s="18"/>
      <c r="B475" s="18" t="s">
        <v>105</v>
      </c>
      <c r="C475" s="18"/>
      <c r="D475" s="18"/>
      <c r="E475" s="18"/>
      <c r="F475" s="31">
        <f>F$7*F467</f>
        <v>0</v>
      </c>
      <c r="G475" s="1401">
        <f t="shared" ref="G475:P475" si="106">G$7*G467</f>
        <v>35.663147302149284</v>
      </c>
      <c r="H475" s="1401">
        <f t="shared" si="106"/>
        <v>36.406478798572067</v>
      </c>
      <c r="I475" s="1401">
        <f>I$7*I467</f>
        <v>37.454445315738425</v>
      </c>
      <c r="J475" s="1401">
        <f t="shared" si="106"/>
        <v>38.427281696198179</v>
      </c>
      <c r="K475" s="105">
        <f t="shared" si="106"/>
        <v>38.73407090388941</v>
      </c>
      <c r="L475" s="105">
        <f t="shared" si="106"/>
        <v>39.739576603260893</v>
      </c>
      <c r="M475" s="105">
        <f t="shared" si="106"/>
        <v>37.044668654479125</v>
      </c>
      <c r="N475" s="105">
        <f t="shared" si="106"/>
        <v>34.188701124352612</v>
      </c>
      <c r="O475" s="105">
        <f t="shared" si="106"/>
        <v>33.163019817779961</v>
      </c>
      <c r="P475" s="105">
        <f t="shared" si="106"/>
        <v>32.063932980594032</v>
      </c>
      <c r="Q475" s="105">
        <f t="shared" ref="Q475:BI475" si="107">Q$7*Q467</f>
        <v>30.888392322708857</v>
      </c>
      <c r="R475" s="105">
        <f t="shared" si="107"/>
        <v>29.63324253566627</v>
      </c>
      <c r="S475" s="105">
        <f t="shared" si="107"/>
        <v>28.295217834696125</v>
      </c>
      <c r="T475" s="105">
        <f t="shared" si="107"/>
        <v>26.87093839445723</v>
      </c>
      <c r="U475" s="105">
        <f t="shared" si="107"/>
        <v>25.356906675296553</v>
      </c>
      <c r="V475" s="105">
        <f t="shared" si="107"/>
        <v>23.749503636772161</v>
      </c>
      <c r="W475" s="105">
        <f t="shared" si="107"/>
        <v>22.044984835091061</v>
      </c>
      <c r="X475" s="105">
        <f t="shared" si="107"/>
        <v>20.23947640101574</v>
      </c>
      <c r="Y475" s="105">
        <f t="shared" si="107"/>
        <v>18.328970894693342</v>
      </c>
      <c r="Z475" s="105">
        <f t="shared" si="107"/>
        <v>16.309323033758599</v>
      </c>
      <c r="AA475" s="105">
        <f t="shared" si="107"/>
        <v>14.176245290955777</v>
      </c>
      <c r="AB475" s="105">
        <f t="shared" si="107"/>
        <v>11.925303357416336</v>
      </c>
      <c r="AC475" s="105">
        <f t="shared" si="107"/>
        <v>9.5519114676169394</v>
      </c>
      <c r="AD475" s="105">
        <f t="shared" si="107"/>
        <v>7.05132758192756</v>
      </c>
      <c r="AE475" s="105">
        <f t="shared" si="107"/>
        <v>6.3270162975554687</v>
      </c>
      <c r="AF475" s="105">
        <f t="shared" si="107"/>
        <v>5.5655888457054132</v>
      </c>
      <c r="AG475" s="105">
        <f t="shared" si="107"/>
        <v>4.7617675418525147</v>
      </c>
      <c r="AH475" s="105">
        <f t="shared" si="107"/>
        <v>3.9138992727448541</v>
      </c>
      <c r="AI475" s="105">
        <f t="shared" si="107"/>
        <v>3.0202745300143894</v>
      </c>
      <c r="AJ475" s="105">
        <f t="shared" si="107"/>
        <v>2.0791256176561457</v>
      </c>
      <c r="AK475" s="105">
        <f t="shared" si="107"/>
        <v>1.279852846268374</v>
      </c>
      <c r="AL475" s="105">
        <f t="shared" si="107"/>
        <v>0.66332692937203175</v>
      </c>
      <c r="AM475" s="105">
        <f t="shared" si="107"/>
        <v>0.24542901237526618</v>
      </c>
      <c r="AN475" s="105">
        <f t="shared" si="107"/>
        <v>1.7692935104129668E-14</v>
      </c>
      <c r="AO475" s="105">
        <f t="shared" si="107"/>
        <v>2.2383341903855153E-14</v>
      </c>
      <c r="AP475" s="105">
        <f t="shared" si="107"/>
        <v>2.2947402119832298E-14</v>
      </c>
      <c r="AQ475" s="105">
        <f t="shared" si="107"/>
        <v>2.3525676653252069E-14</v>
      </c>
      <c r="AR475" s="105">
        <f t="shared" si="107"/>
        <v>2.411852370491402E-14</v>
      </c>
      <c r="AS475" s="105">
        <f t="shared" si="107"/>
        <v>2.4726310502277852E-14</v>
      </c>
      <c r="AT475" s="105">
        <f t="shared" si="107"/>
        <v>2.5349413526935251E-14</v>
      </c>
      <c r="AU475" s="105">
        <f t="shared" si="107"/>
        <v>2.5988218747814018E-14</v>
      </c>
      <c r="AV475" s="105">
        <f t="shared" si="107"/>
        <v>2.664312186025893E-14</v>
      </c>
      <c r="AW475" s="105">
        <f t="shared" si="107"/>
        <v>2.7314528531137449E-14</v>
      </c>
      <c r="AX475" s="105">
        <f t="shared" si="107"/>
        <v>2.8002854650122109E-14</v>
      </c>
      <c r="AY475" s="105">
        <f t="shared" si="107"/>
        <v>2.8708526587305188E-14</v>
      </c>
      <c r="AZ475" s="105">
        <f t="shared" si="107"/>
        <v>2.943198145730527E-14</v>
      </c>
      <c r="BA475" s="105">
        <f t="shared" si="107"/>
        <v>3.0173667390029361E-14</v>
      </c>
      <c r="BB475" s="105">
        <f t="shared" si="107"/>
        <v>3.0934043808258097E-14</v>
      </c>
      <c r="BC475" s="105">
        <f t="shared" si="107"/>
        <v>3.1713581712226196E-14</v>
      </c>
      <c r="BD475" s="105">
        <f t="shared" si="107"/>
        <v>3.2512763971374295E-14</v>
      </c>
      <c r="BE475" s="105">
        <f t="shared" si="107"/>
        <v>3.3332085623452922E-14</v>
      </c>
      <c r="BF475" s="105">
        <f t="shared" si="107"/>
        <v>3.417205418116393E-14</v>
      </c>
      <c r="BG475" s="105">
        <f t="shared" si="107"/>
        <v>3.5033189946529257E-14</v>
      </c>
      <c r="BH475" s="105">
        <f t="shared" si="107"/>
        <v>3.5916026333181792E-14</v>
      </c>
      <c r="BI475" s="105">
        <f t="shared" si="107"/>
        <v>3.6821110196777967E-14</v>
      </c>
      <c r="BJ475" s="18"/>
      <c r="BK475" s="18"/>
      <c r="BL475" s="18"/>
      <c r="BM475" s="18"/>
    </row>
    <row r="476" spans="1:65" s="4" customFormat="1">
      <c r="A476" s="18"/>
      <c r="B476" s="18"/>
      <c r="C476" s="18"/>
      <c r="D476" s="18"/>
      <c r="E476" s="18"/>
      <c r="F476" s="31"/>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18"/>
      <c r="BK476" s="18"/>
      <c r="BL476" s="18"/>
      <c r="BM476" s="18"/>
    </row>
    <row r="477" spans="1:65" s="4" customFormat="1">
      <c r="A477" s="116"/>
      <c r="B477" s="729" t="s">
        <v>500</v>
      </c>
      <c r="C477" s="116"/>
      <c r="D477" s="116"/>
      <c r="E477" s="116"/>
      <c r="F477" s="134"/>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135"/>
      <c r="BB477" s="135"/>
      <c r="BC477" s="135"/>
      <c r="BD477" s="135"/>
      <c r="BE477" s="135"/>
      <c r="BF477" s="135"/>
      <c r="BG477" s="135"/>
      <c r="BH477" s="135"/>
      <c r="BI477" s="135"/>
      <c r="BJ477" s="135"/>
      <c r="BK477" s="18"/>
      <c r="BL477" s="18"/>
      <c r="BM477" s="18"/>
    </row>
    <row r="478" spans="1:65" s="4" customFormat="1">
      <c r="A478" s="21"/>
      <c r="B478" s="27"/>
      <c r="C478" s="21"/>
      <c r="D478" s="21"/>
      <c r="E478" s="21"/>
      <c r="F478" s="178"/>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8"/>
      <c r="BK478" s="18"/>
      <c r="BL478" s="18"/>
      <c r="BM478" s="18"/>
    </row>
    <row r="479" spans="1:65" s="4" customFormat="1">
      <c r="A479" s="21"/>
      <c r="B479" s="18" t="s">
        <v>11</v>
      </c>
      <c r="C479" s="21"/>
      <c r="D479" s="21"/>
      <c r="E479" s="21"/>
      <c r="F479" s="178"/>
      <c r="G479" s="105">
        <f>G492+G505+G518+G531+G544+G557+G570+G583+G596+G609+G622+G635+G648+G661+G674+G687+G700+G713+G726+G739+G752+G765+G778+G791+G804+G817+G830+G843+G856+G869</f>
        <v>1.4411519933120049</v>
      </c>
      <c r="H479" s="1401">
        <f t="shared" ref="H479:BI479" si="108">H492+H505+H518+H531+H544+H557+H570+H583+H596+H609+H622+H635+H648+H661+H674+H687+H700+H713+H726+H739+H752+H765+H778+H791+H804+H817+H830+H843+H856+H869</f>
        <v>1.8968164577817803</v>
      </c>
      <c r="I479" s="105">
        <f t="shared" si="108"/>
        <v>2.3545992979614678</v>
      </c>
      <c r="J479" s="105">
        <f t="shared" si="108"/>
        <v>2.7547083647473967</v>
      </c>
      <c r="K479" s="105">
        <f t="shared" si="108"/>
        <v>3.1790762148316789</v>
      </c>
      <c r="L479" s="105">
        <f t="shared" si="108"/>
        <v>3.543931991075965</v>
      </c>
      <c r="M479" s="105">
        <f t="shared" si="108"/>
        <v>3.543931991075965</v>
      </c>
      <c r="N479" s="105">
        <f t="shared" si="108"/>
        <v>3.543931991075965</v>
      </c>
      <c r="O479" s="105">
        <f t="shared" si="108"/>
        <v>3.543931991075965</v>
      </c>
      <c r="P479" s="105">
        <f t="shared" si="108"/>
        <v>3.543931991075965</v>
      </c>
      <c r="Q479" s="105">
        <f t="shared" si="108"/>
        <v>3.543931991075965</v>
      </c>
      <c r="R479" s="105">
        <f t="shared" si="108"/>
        <v>2.2073747379985718</v>
      </c>
      <c r="S479" s="105">
        <f t="shared" si="108"/>
        <v>2.1027799977639599</v>
      </c>
      <c r="T479" s="105">
        <f t="shared" si="108"/>
        <v>2.1027799977639599</v>
      </c>
      <c r="U479" s="105">
        <f t="shared" si="108"/>
        <v>2.1027799977639599</v>
      </c>
      <c r="V479" s="105">
        <f t="shared" si="108"/>
        <v>2.1027799977639599</v>
      </c>
      <c r="W479" s="105">
        <f t="shared" si="108"/>
        <v>1.6471155332941865</v>
      </c>
      <c r="X479" s="105">
        <f t="shared" si="108"/>
        <v>1.1893326931144954</v>
      </c>
      <c r="Y479" s="105">
        <f t="shared" si="108"/>
        <v>0.78922362632856569</v>
      </c>
      <c r="Z479" s="105">
        <f t="shared" si="108"/>
        <v>0.36485577624428606</v>
      </c>
      <c r="AA479" s="105">
        <f t="shared" si="108"/>
        <v>0</v>
      </c>
      <c r="AB479" s="105">
        <f t="shared" si="108"/>
        <v>0</v>
      </c>
      <c r="AC479" s="105">
        <f t="shared" si="108"/>
        <v>0</v>
      </c>
      <c r="AD479" s="105">
        <f t="shared" si="108"/>
        <v>0</v>
      </c>
      <c r="AE479" s="105">
        <f t="shared" si="108"/>
        <v>0</v>
      </c>
      <c r="AF479" s="105">
        <f t="shared" si="108"/>
        <v>0</v>
      </c>
      <c r="AG479" s="105">
        <f t="shared" si="108"/>
        <v>0</v>
      </c>
      <c r="AH479" s="105">
        <f t="shared" si="108"/>
        <v>0</v>
      </c>
      <c r="AI479" s="105">
        <f t="shared" si="108"/>
        <v>0</v>
      </c>
      <c r="AJ479" s="105">
        <f t="shared" si="108"/>
        <v>0</v>
      </c>
      <c r="AK479" s="105">
        <f t="shared" si="108"/>
        <v>0</v>
      </c>
      <c r="AL479" s="105">
        <f t="shared" si="108"/>
        <v>0</v>
      </c>
      <c r="AM479" s="105">
        <f t="shared" si="108"/>
        <v>0</v>
      </c>
      <c r="AN479" s="105">
        <f t="shared" si="108"/>
        <v>0</v>
      </c>
      <c r="AO479" s="105">
        <f t="shared" si="108"/>
        <v>0</v>
      </c>
      <c r="AP479" s="105">
        <f t="shared" si="108"/>
        <v>0</v>
      </c>
      <c r="AQ479" s="105">
        <f t="shared" si="108"/>
        <v>0</v>
      </c>
      <c r="AR479" s="105">
        <f t="shared" si="108"/>
        <v>0</v>
      </c>
      <c r="AS479" s="105">
        <f t="shared" si="108"/>
        <v>0</v>
      </c>
      <c r="AT479" s="105">
        <f t="shared" si="108"/>
        <v>0</v>
      </c>
      <c r="AU479" s="105">
        <f t="shared" si="108"/>
        <v>0</v>
      </c>
      <c r="AV479" s="105">
        <f t="shared" si="108"/>
        <v>0</v>
      </c>
      <c r="AW479" s="105">
        <f t="shared" si="108"/>
        <v>0</v>
      </c>
      <c r="AX479" s="105">
        <f t="shared" si="108"/>
        <v>0</v>
      </c>
      <c r="AY479" s="105">
        <f t="shared" si="108"/>
        <v>0</v>
      </c>
      <c r="AZ479" s="105">
        <f t="shared" si="108"/>
        <v>0</v>
      </c>
      <c r="BA479" s="105">
        <f t="shared" si="108"/>
        <v>0</v>
      </c>
      <c r="BB479" s="105">
        <f t="shared" si="108"/>
        <v>0</v>
      </c>
      <c r="BC479" s="105">
        <f t="shared" si="108"/>
        <v>0</v>
      </c>
      <c r="BD479" s="105">
        <f t="shared" si="108"/>
        <v>0</v>
      </c>
      <c r="BE479" s="105">
        <f t="shared" si="108"/>
        <v>0</v>
      </c>
      <c r="BF479" s="105">
        <f t="shared" si="108"/>
        <v>0</v>
      </c>
      <c r="BG479" s="105">
        <f t="shared" si="108"/>
        <v>0</v>
      </c>
      <c r="BH479" s="105">
        <f t="shared" si="108"/>
        <v>0</v>
      </c>
      <c r="BI479" s="105">
        <f t="shared" si="108"/>
        <v>0</v>
      </c>
      <c r="BJ479" s="240"/>
      <c r="BK479" s="240"/>
      <c r="BL479" s="240"/>
      <c r="BM479" s="240"/>
    </row>
    <row r="480" spans="1:65" s="4" customFormat="1" hidden="1" outlineLevel="2">
      <c r="A480" s="18"/>
      <c r="B480" s="37" t="str">
        <f>C492</f>
        <v>Pre 1999 Assets</v>
      </c>
      <c r="C480" s="38"/>
      <c r="D480" s="39" t="s">
        <v>58</v>
      </c>
      <c r="E480" s="38"/>
      <c r="F480" s="40"/>
      <c r="G480" s="106">
        <f>IF(G$3&gt;A1taxremlife,A1taxvalue-SUM($F480:F480),IF(A1taxremlife="N/A","n/a",A1taxvalue/A1taxremlife))</f>
        <v>0</v>
      </c>
      <c r="H480" s="1408">
        <f>IF(H$3&gt;A1taxremlife,A1taxvalue-SUM($F480:G480),IF(A1taxremlife="N/A","n/a",A1taxvalue/A1taxremlife))</f>
        <v>0</v>
      </c>
      <c r="I480" s="106">
        <f>IF(I$3&gt;A1taxremlife,A1taxvalue-SUM($F480:H480),IF(A1taxremlife="N/A","n/a",A1taxvalue/A1taxremlife))</f>
        <v>0</v>
      </c>
      <c r="J480" s="106">
        <f>IF(J$3&gt;A1taxremlife,A1taxvalue-SUM($F480:I480),IF(A1taxremlife="N/A","n/a",A1taxvalue/A1taxremlife))</f>
        <v>0</v>
      </c>
      <c r="K480" s="106">
        <f>IF(K$3&gt;A1taxremlife,A1taxvalue-SUM($F480:J480),IF(A1taxremlife="N/A","n/a",A1taxvalue/A1taxremlife))</f>
        <v>0</v>
      </c>
      <c r="L480" s="106">
        <f>IF(L$3&gt;A1taxremlife,A1taxvalue-SUM($F480:K480),IF(A1taxremlife="N/A","n/a",A1taxvalue/A1taxremlife))</f>
        <v>0</v>
      </c>
      <c r="M480" s="106">
        <f>IF(M$3&gt;A1taxremlife,A1taxvalue-SUM($F480:L480),IF(A1taxremlife="N/A","n/a",A1taxvalue/A1taxremlife))</f>
        <v>0</v>
      </c>
      <c r="N480" s="106">
        <f>IF(N$3&gt;A1taxremlife,A1taxvalue-SUM($F480:M480),IF(A1taxremlife="N/A","n/a",A1taxvalue/A1taxremlife))</f>
        <v>0</v>
      </c>
      <c r="O480" s="106">
        <f>IF(O$3&gt;A1taxremlife,A1taxvalue-SUM($F480:N480),IF(A1taxremlife="N/A","n/a",A1taxvalue/A1taxremlife))</f>
        <v>0</v>
      </c>
      <c r="P480" s="106">
        <f>IF(P$3&gt;A1taxremlife,A1taxvalue-SUM($F480:O480),IF(A1taxremlife="N/A","n/a",A1taxvalue/A1taxremlife))</f>
        <v>0</v>
      </c>
      <c r="Q480" s="106">
        <f>IF(Q$3&gt;A1taxremlife,A1taxvalue-SUM($F480:P480),IF(A1taxremlife="N/A","n/a",A1taxvalue/A1taxremlife))</f>
        <v>0</v>
      </c>
      <c r="R480" s="106">
        <f>IF(R$3&gt;A1taxremlife,A1taxvalue-SUM($F480:Q480),IF(A1taxremlife="N/A","n/a",A1taxvalue/A1taxremlife))</f>
        <v>0</v>
      </c>
      <c r="S480" s="106">
        <f>IF(S$3&gt;A1taxremlife,A1taxvalue-SUM($F480:R480),IF(A1taxremlife="N/A","n/a",A1taxvalue/A1taxremlife))</f>
        <v>0</v>
      </c>
      <c r="T480" s="106">
        <f>IF(T$3&gt;A1taxremlife,A1taxvalue-SUM($F480:S480),IF(A1taxremlife="N/A","n/a",A1taxvalue/A1taxremlife))</f>
        <v>0</v>
      </c>
      <c r="U480" s="106">
        <f>IF(U$3&gt;A1taxremlife,A1taxvalue-SUM($F480:T480),IF(A1taxremlife="N/A","n/a",A1taxvalue/A1taxremlife))</f>
        <v>0</v>
      </c>
      <c r="V480" s="106">
        <f>IF(V$3&gt;A1taxremlife,A1taxvalue-SUM($F480:U480),IF(A1taxremlife="N/A","n/a",A1taxvalue/A1taxremlife))</f>
        <v>0</v>
      </c>
      <c r="W480" s="106">
        <f>IF(W$3&gt;A1taxremlife,A1taxvalue-SUM($F480:V480),IF(A1taxremlife="N/A","n/a",A1taxvalue/A1taxremlife))</f>
        <v>0</v>
      </c>
      <c r="X480" s="106">
        <f>IF(X$3&gt;A1taxremlife,A1taxvalue-SUM($F480:W480),IF(A1taxremlife="N/A","n/a",A1taxvalue/A1taxremlife))</f>
        <v>0</v>
      </c>
      <c r="Y480" s="106">
        <f>IF(Y$3&gt;A1taxremlife,A1taxvalue-SUM($F480:X480),IF(A1taxremlife="N/A","n/a",A1taxvalue/A1taxremlife))</f>
        <v>0</v>
      </c>
      <c r="Z480" s="106">
        <f>IF(Z$3&gt;A1taxremlife,A1taxvalue-SUM($F480:Y480),IF(A1taxremlife="N/A","n/a",A1taxvalue/A1taxremlife))</f>
        <v>0</v>
      </c>
      <c r="AA480" s="106">
        <f>IF(AA$3&gt;A1taxremlife,A1taxvalue-SUM($F480:Z480),IF(A1taxremlife="N/A","n/a",A1taxvalue/A1taxremlife))</f>
        <v>0</v>
      </c>
      <c r="AB480" s="106">
        <f>IF(AB$3&gt;A1taxremlife,A1taxvalue-SUM($F480:AA480),IF(A1taxremlife="N/A","n/a",A1taxvalue/A1taxremlife))</f>
        <v>0</v>
      </c>
      <c r="AC480" s="106">
        <f>IF(AC$3&gt;A1taxremlife,A1taxvalue-SUM($F480:AB480),IF(A1taxremlife="N/A","n/a",A1taxvalue/A1taxremlife))</f>
        <v>0</v>
      </c>
      <c r="AD480" s="106">
        <f>IF(AD$3&gt;A1taxremlife,A1taxvalue-SUM($F480:AC480),IF(A1taxremlife="N/A","n/a",A1taxvalue/A1taxremlife))</f>
        <v>0</v>
      </c>
      <c r="AE480" s="106">
        <f>IF(AE$3&gt;A1taxremlife,A1taxvalue-SUM($F480:AD480),IF(A1taxremlife="N/A","n/a",A1taxvalue/A1taxremlife))</f>
        <v>0</v>
      </c>
      <c r="AF480" s="106">
        <f>IF(AF$3&gt;A1taxremlife,A1taxvalue-SUM($F480:AE480),IF(A1taxremlife="N/A","n/a",A1taxvalue/A1taxremlife))</f>
        <v>0</v>
      </c>
      <c r="AG480" s="106">
        <f>IF(AG$3&gt;A1taxremlife,A1taxvalue-SUM($F480:AF480),IF(A1taxremlife="N/A","n/a",A1taxvalue/A1taxremlife))</f>
        <v>0</v>
      </c>
      <c r="AH480" s="106">
        <f>IF(AH$3&gt;A1taxremlife,A1taxvalue-SUM($F480:AG480),IF(A1taxremlife="N/A","n/a",A1taxvalue/A1taxremlife))</f>
        <v>0</v>
      </c>
      <c r="AI480" s="106">
        <f>IF(AI$3&gt;A1taxremlife,A1taxvalue-SUM($F480:AH480),IF(A1taxremlife="N/A","n/a",A1taxvalue/A1taxremlife))</f>
        <v>0</v>
      </c>
      <c r="AJ480" s="106">
        <f>IF(AJ$3&gt;A1taxremlife,A1taxvalue-SUM($F480:AI480),IF(A1taxremlife="N/A","n/a",A1taxvalue/A1taxremlife))</f>
        <v>0</v>
      </c>
      <c r="AK480" s="106">
        <f>IF(AK$3&gt;A1taxremlife,A1taxvalue-SUM($F480:AJ480),IF(A1taxremlife="N/A","n/a",A1taxvalue/A1taxremlife))</f>
        <v>0</v>
      </c>
      <c r="AL480" s="106">
        <f>IF(AL$3&gt;A1taxremlife,A1taxvalue-SUM($F480:AK480),IF(A1taxremlife="N/A","n/a",A1taxvalue/A1taxremlife))</f>
        <v>0</v>
      </c>
      <c r="AM480" s="106">
        <f>IF(AM$3&gt;A1taxremlife,A1taxvalue-SUM($F480:AL480),IF(A1taxremlife="N/A","n/a",A1taxvalue/A1taxremlife))</f>
        <v>0</v>
      </c>
      <c r="AN480" s="106">
        <f>IF(AN$3&gt;A1taxremlife,A1taxvalue-SUM($F480:AM480),IF(A1taxremlife="N/A","n/a",A1taxvalue/A1taxremlife))</f>
        <v>0</v>
      </c>
      <c r="AO480" s="106">
        <f>IF(AO$3&gt;A1taxremlife,A1taxvalue-SUM($F480:AN480),IF(A1taxremlife="N/A","n/a",A1taxvalue/A1taxremlife))</f>
        <v>0</v>
      </c>
      <c r="AP480" s="106">
        <f>IF(AP$3&gt;A1taxremlife,A1taxvalue-SUM($F480:AO480),IF(A1taxremlife="N/A","n/a",A1taxvalue/A1taxremlife))</f>
        <v>0</v>
      </c>
      <c r="AQ480" s="106">
        <f>IF(AQ$3&gt;A1taxremlife,A1taxvalue-SUM($F480:AP480),IF(A1taxremlife="N/A","n/a",A1taxvalue/A1taxremlife))</f>
        <v>0</v>
      </c>
      <c r="AR480" s="106">
        <f>IF(AR$3&gt;A1taxremlife,A1taxvalue-SUM($F480:AQ480),IF(A1taxremlife="N/A","n/a",A1taxvalue/A1taxremlife))</f>
        <v>0</v>
      </c>
      <c r="AS480" s="106">
        <f>IF(AS$3&gt;A1taxremlife,A1taxvalue-SUM($F480:AR480),IF(A1taxremlife="N/A","n/a",A1taxvalue/A1taxremlife))</f>
        <v>0</v>
      </c>
      <c r="AT480" s="106">
        <f>IF(AT$3&gt;A1taxremlife,A1taxvalue-SUM($F480:AS480),IF(A1taxremlife="N/A","n/a",A1taxvalue/A1taxremlife))</f>
        <v>0</v>
      </c>
      <c r="AU480" s="106">
        <f>IF(AU$3&gt;A1taxremlife,A1taxvalue-SUM($F480:AT480),IF(A1taxremlife="N/A","n/a",A1taxvalue/A1taxremlife))</f>
        <v>0</v>
      </c>
      <c r="AV480" s="106">
        <f>IF(AV$3&gt;A1taxremlife,A1taxvalue-SUM($F480:AU480),IF(A1taxremlife="N/A","n/a",A1taxvalue/A1taxremlife))</f>
        <v>0</v>
      </c>
      <c r="AW480" s="106">
        <f>IF(AW$3&gt;A1taxremlife,A1taxvalue-SUM($F480:AV480),IF(A1taxremlife="N/A","n/a",A1taxvalue/A1taxremlife))</f>
        <v>0</v>
      </c>
      <c r="AX480" s="106">
        <f>IF(AX$3&gt;A1taxremlife,A1taxvalue-SUM($F480:AW480),IF(A1taxremlife="N/A","n/a",A1taxvalue/A1taxremlife))</f>
        <v>0</v>
      </c>
      <c r="AY480" s="106">
        <f>IF(AY$3&gt;A1taxremlife,A1taxvalue-SUM($F480:AX480),IF(A1taxremlife="N/A","n/a",A1taxvalue/A1taxremlife))</f>
        <v>0</v>
      </c>
      <c r="AZ480" s="106">
        <f>IF(AZ$3&gt;A1taxremlife,A1taxvalue-SUM($F480:AY480),IF(A1taxremlife="N/A","n/a",A1taxvalue/A1taxremlife))</f>
        <v>0</v>
      </c>
      <c r="BA480" s="106">
        <f>IF(BA$3&gt;A1taxremlife,A1taxvalue-SUM($F480:AZ480),IF(A1taxremlife="N/A","n/a",A1taxvalue/A1taxremlife))</f>
        <v>0</v>
      </c>
      <c r="BB480" s="106">
        <f>IF(BB$3&gt;A1taxremlife,A1taxvalue-SUM($F480:BA480),IF(A1taxremlife="N/A","n/a",A1taxvalue/A1taxremlife))</f>
        <v>0</v>
      </c>
      <c r="BC480" s="106">
        <f>IF(BC$3&gt;A1taxremlife,A1taxvalue-SUM($F480:BB480),IF(A1taxremlife="N/A","n/a",A1taxvalue/A1taxremlife))</f>
        <v>0</v>
      </c>
      <c r="BD480" s="106">
        <f>IF(BD$3&gt;A1taxremlife,A1taxvalue-SUM($F480:BC480),IF(A1taxremlife="N/A","n/a",A1taxvalue/A1taxremlife))</f>
        <v>0</v>
      </c>
      <c r="BE480" s="106">
        <f>IF(BE$3&gt;A1taxremlife,A1taxvalue-SUM($F480:BD480),IF(A1taxremlife="N/A","n/a",A1taxvalue/A1taxremlife))</f>
        <v>0</v>
      </c>
      <c r="BF480" s="106">
        <f>IF(BF$3&gt;A1taxremlife,A1taxvalue-SUM($F480:BE480),IF(A1taxremlife="N/A","n/a",A1taxvalue/A1taxremlife))</f>
        <v>0</v>
      </c>
      <c r="BG480" s="106">
        <f>IF(BG$3&gt;A1taxremlife,A1taxvalue-SUM($F480:BF480),IF(A1taxremlife="N/A","n/a",A1taxvalue/A1taxremlife))</f>
        <v>0</v>
      </c>
      <c r="BH480" s="106">
        <f>IF(BH$3&gt;A1taxremlife,A1taxvalue-SUM($F480:BG480),IF(A1taxremlife="N/A","n/a",A1taxvalue/A1taxremlife))</f>
        <v>0</v>
      </c>
      <c r="BI480" s="106">
        <f>IF(BI$3&gt;A1taxremlife,A1taxvalue-SUM($F480:BH480),IF(A1taxremlife="N/A","n/a",A1taxvalue/A1taxremlife))</f>
        <v>0</v>
      </c>
      <c r="BJ480" s="18"/>
      <c r="BK480" s="18"/>
      <c r="BL480" s="18"/>
      <c r="BM480" s="18"/>
    </row>
    <row r="481" spans="1:65" s="4" customFormat="1" hidden="1" outlineLevel="2">
      <c r="A481" s="18"/>
      <c r="B481" s="33"/>
      <c r="C481" s="32"/>
      <c r="D481" s="1618" t="s">
        <v>357</v>
      </c>
      <c r="E481" s="169">
        <v>0</v>
      </c>
      <c r="F481" s="35"/>
      <c r="G481" s="107"/>
      <c r="H481" s="1410"/>
      <c r="I481" s="107"/>
      <c r="J481" s="107"/>
      <c r="K481" s="107"/>
      <c r="L481" s="107"/>
      <c r="M481" s="107"/>
      <c r="N481" s="107"/>
      <c r="O481" s="107"/>
      <c r="P481" s="107"/>
      <c r="Q481" s="107"/>
      <c r="R481" s="107"/>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c r="BB481" s="107"/>
      <c r="BC481" s="107"/>
      <c r="BD481" s="107"/>
      <c r="BE481" s="107"/>
      <c r="BF481" s="107"/>
      <c r="BG481" s="107"/>
      <c r="BH481" s="107"/>
      <c r="BI481" s="107"/>
      <c r="BJ481" s="18"/>
      <c r="BK481" s="18"/>
      <c r="BL481" s="18"/>
      <c r="BM481" s="18"/>
    </row>
    <row r="482" spans="1:65" s="4" customFormat="1" hidden="1" outlineLevel="2">
      <c r="A482" s="18"/>
      <c r="B482" s="33"/>
      <c r="C482" s="32"/>
      <c r="D482" s="1618"/>
      <c r="E482" s="1441">
        <v>1</v>
      </c>
      <c r="F482" s="35"/>
      <c r="G482" s="1411"/>
      <c r="H482" s="1410">
        <f>IF(A1taxstdlife="n/a","n/a",IF(H$3&gt;(A1taxstdlife+$E482),(('PTRM input'!$G$143+'PTRM input'!$G$109)*$G$7)-SUM($G482:G482),(('PTRM input'!$G$143+'PTRM input'!$G$109)*$G$7)/A1taxstdlife))</f>
        <v>0</v>
      </c>
      <c r="I482" s="107">
        <f>IF(A1taxstdlife="n/a","n/a",IF(I$3&gt;(A1taxstdlife+$E482),(('PTRM input'!$G$143+'PTRM input'!$G$109)*$G$7)-SUM($G482:H482),(('PTRM input'!$G$143+'PTRM input'!$G$109)*$G$7)/A1taxstdlife))</f>
        <v>0</v>
      </c>
      <c r="J482" s="107">
        <f>IF(A1taxstdlife="n/a","n/a",IF(J$3&gt;(A1taxstdlife+$E482),(('PTRM input'!$G$143+'PTRM input'!$G$109)*$G$7)-SUM($G482:I482),(('PTRM input'!$G$143+'PTRM input'!$G$109)*$G$7)/A1taxstdlife))</f>
        <v>0</v>
      </c>
      <c r="K482" s="107">
        <f>IF(A1taxstdlife="n/a","n/a",IF(K$3&gt;(A1taxstdlife+$E482),(('PTRM input'!$G$143+'PTRM input'!$G$109)*$G$7)-SUM($G482:J482),(('PTRM input'!$G$143+'PTRM input'!$G$109)*$G$7)/A1taxstdlife))</f>
        <v>0</v>
      </c>
      <c r="L482" s="107">
        <f>IF(A1taxstdlife="n/a","n/a",IF(L$3&gt;(A1taxstdlife+$E482),(('PTRM input'!$G$143+'PTRM input'!$G$109)*$G$7)-SUM($G482:K482),(('PTRM input'!$G$143+'PTRM input'!$G$109)*$G$7)/A1taxstdlife))</f>
        <v>0</v>
      </c>
      <c r="M482" s="107">
        <f>IF(A1taxstdlife="n/a","n/a",IF(M$3&gt;(A1taxstdlife+$E482),(('PTRM input'!$G$143+'PTRM input'!$G$109)*$G$7)-SUM($G482:L482),(('PTRM input'!$G$143+'PTRM input'!$G$109)*$G$7)/A1taxstdlife))</f>
        <v>0</v>
      </c>
      <c r="N482" s="107">
        <f>IF(A1taxstdlife="n/a","n/a",IF(N$3&gt;(A1taxstdlife+$E482),(('PTRM input'!$G$143+'PTRM input'!$G$109)*$G$7)-SUM($G482:M482),(('PTRM input'!$G$143+'PTRM input'!$G$109)*$G$7)/A1taxstdlife))</f>
        <v>0</v>
      </c>
      <c r="O482" s="107">
        <f>IF(A1taxstdlife="n/a","n/a",IF(O$3&gt;(A1taxstdlife+$E482),(('PTRM input'!$G$143+'PTRM input'!$G$109)*$G$7)-SUM($G482:N482),(('PTRM input'!$G$143+'PTRM input'!$G$109)*$G$7)/A1taxstdlife))</f>
        <v>0</v>
      </c>
      <c r="P482" s="107">
        <f>IF(A1taxstdlife="n/a","n/a",IF(P$3&gt;(A1taxstdlife+$E482),(('PTRM input'!$G$143+'PTRM input'!$G$109)*$G$7)-SUM($G482:O482),(('PTRM input'!$G$143+'PTRM input'!$G$109)*$G$7)/A1taxstdlife))</f>
        <v>0</v>
      </c>
      <c r="Q482" s="107">
        <f>IF(A1taxstdlife="n/a","n/a",IF(Q$3&gt;(A1taxstdlife+$E482),(('PTRM input'!$G$143+'PTRM input'!$G$109)*$G$7)-SUM($G482:P482),(('PTRM input'!$G$143+'PTRM input'!$G$109)*$G$7)/A1taxstdlife))</f>
        <v>0</v>
      </c>
      <c r="R482" s="107">
        <f>IF(A1taxstdlife="n/a","n/a",IF(R$3&gt;(A1taxstdlife+$E482),(('PTRM input'!$G$143+'PTRM input'!$G$109)*$G$7)-SUM($G482:Q482),(('PTRM input'!$G$143+'PTRM input'!$G$109)*$G$7)/A1taxstdlife))</f>
        <v>0</v>
      </c>
      <c r="S482" s="107">
        <f>IF(A1taxstdlife="n/a","n/a",IF(S$3&gt;(A1taxstdlife+$E482),(('PTRM input'!$G$143+'PTRM input'!$G$109)*$G$7)-SUM($G482:R482),(('PTRM input'!$G$143+'PTRM input'!$G$109)*$G$7)/A1taxstdlife))</f>
        <v>0</v>
      </c>
      <c r="T482" s="107">
        <f>IF(A1taxstdlife="n/a","n/a",IF(T$3&gt;(A1taxstdlife+$E482),(('PTRM input'!$G$143+'PTRM input'!$G$109)*$G$7)-SUM($G482:S482),(('PTRM input'!$G$143+'PTRM input'!$G$109)*$G$7)/A1taxstdlife))</f>
        <v>0</v>
      </c>
      <c r="U482" s="107">
        <f>IF(A1taxstdlife="n/a","n/a",IF(U$3&gt;(A1taxstdlife+$E482),(('PTRM input'!$G$143+'PTRM input'!$G$109)*$G$7)-SUM($G482:T482),(('PTRM input'!$G$143+'PTRM input'!$G$109)*$G$7)/A1taxstdlife))</f>
        <v>0</v>
      </c>
      <c r="V482" s="107">
        <f>IF(A1taxstdlife="n/a","n/a",IF(V$3&gt;(A1taxstdlife+$E482),(('PTRM input'!$G$143+'PTRM input'!$G$109)*$G$7)-SUM($G482:U482),(('PTRM input'!$G$143+'PTRM input'!$G$109)*$G$7)/A1taxstdlife))</f>
        <v>0</v>
      </c>
      <c r="W482" s="107">
        <f>IF(A1taxstdlife="n/a","n/a",IF(W$3&gt;(A1taxstdlife+$E482),(('PTRM input'!$G$143+'PTRM input'!$G$109)*$G$7)-SUM($G482:V482),(('PTRM input'!$G$143+'PTRM input'!$G$109)*$G$7)/A1taxstdlife))</f>
        <v>0</v>
      </c>
      <c r="X482" s="107">
        <f>IF(A1taxstdlife="n/a","n/a",IF(X$3&gt;(A1taxstdlife+$E482),(('PTRM input'!$G$143+'PTRM input'!$G$109)*$G$7)-SUM($G482:W482),(('PTRM input'!$G$143+'PTRM input'!$G$109)*$G$7)/A1taxstdlife))</f>
        <v>0</v>
      </c>
      <c r="Y482" s="107">
        <f>IF(A1taxstdlife="n/a","n/a",IF(Y$3&gt;(A1taxstdlife+$E482),(('PTRM input'!$G$143+'PTRM input'!$G$109)*$G$7)-SUM($G482:X482),(('PTRM input'!$G$143+'PTRM input'!$G$109)*$G$7)/A1taxstdlife))</f>
        <v>0</v>
      </c>
      <c r="Z482" s="107">
        <f>IF(A1taxstdlife="n/a","n/a",IF(Z$3&gt;(A1taxstdlife+$E482),(('PTRM input'!$G$143+'PTRM input'!$G$109)*$G$7)-SUM($G482:Y482),(('PTRM input'!$G$143+'PTRM input'!$G$109)*$G$7)/A1taxstdlife))</f>
        <v>0</v>
      </c>
      <c r="AA482" s="107">
        <f>IF(A1taxstdlife="n/a","n/a",IF(AA$3&gt;(A1taxstdlife+$E482),(('PTRM input'!$G$143+'PTRM input'!$G$109)*$G$7)-SUM($G482:Z482),(('PTRM input'!$G$143+'PTRM input'!$G$109)*$G$7)/A1taxstdlife))</f>
        <v>0</v>
      </c>
      <c r="AB482" s="107">
        <f>IF(A1taxstdlife="n/a","n/a",IF(AB$3&gt;(A1taxstdlife+$E482),(('PTRM input'!$G$143+'PTRM input'!$G$109)*$G$7)-SUM($G482:AA482),(('PTRM input'!$G$143+'PTRM input'!$G$109)*$G$7)/A1taxstdlife))</f>
        <v>0</v>
      </c>
      <c r="AC482" s="107">
        <f>IF(A1taxstdlife="n/a","n/a",IF(AC$3&gt;(A1taxstdlife+$E482),(('PTRM input'!$G$143+'PTRM input'!$G$109)*$G$7)-SUM($G482:AB482),(('PTRM input'!$G$143+'PTRM input'!$G$109)*$G$7)/A1taxstdlife))</f>
        <v>0</v>
      </c>
      <c r="AD482" s="107">
        <f>IF(A1taxstdlife="n/a","n/a",IF(AD$3&gt;(A1taxstdlife+$E482),(('PTRM input'!$G$143+'PTRM input'!$G$109)*$G$7)-SUM($G482:AC482),(('PTRM input'!$G$143+'PTRM input'!$G$109)*$G$7)/A1taxstdlife))</f>
        <v>0</v>
      </c>
      <c r="AE482" s="107">
        <f>IF(A1taxstdlife="n/a","n/a",IF(AE$3&gt;(A1taxstdlife+$E482),(('PTRM input'!$G$143+'PTRM input'!$G$109)*$G$7)-SUM($G482:AD482),(('PTRM input'!$G$143+'PTRM input'!$G$109)*$G$7)/A1taxstdlife))</f>
        <v>0</v>
      </c>
      <c r="AF482" s="107">
        <f>IF(A1taxstdlife="n/a","n/a",IF(AF$3&gt;(A1taxstdlife+$E482),(('PTRM input'!$G$143+'PTRM input'!$G$109)*$G$7)-SUM($G482:AE482),(('PTRM input'!$G$143+'PTRM input'!$G$109)*$G$7)/A1taxstdlife))</f>
        <v>0</v>
      </c>
      <c r="AG482" s="107">
        <f>IF(A1taxstdlife="n/a","n/a",IF(AG$3&gt;(A1taxstdlife+$E482),(('PTRM input'!$G$143+'PTRM input'!$G$109)*$G$7)-SUM($G482:AF482),(('PTRM input'!$G$143+'PTRM input'!$G$109)*$G$7)/A1taxstdlife))</f>
        <v>0</v>
      </c>
      <c r="AH482" s="107">
        <f>IF(A1taxstdlife="n/a","n/a",IF(AH$3&gt;(A1taxstdlife+$E482),(('PTRM input'!$G$143+'PTRM input'!$G$109)*$G$7)-SUM($G482:AG482),(('PTRM input'!$G$143+'PTRM input'!$G$109)*$G$7)/A1taxstdlife))</f>
        <v>0</v>
      </c>
      <c r="AI482" s="107">
        <f>IF(A1taxstdlife="n/a","n/a",IF(AI$3&gt;(A1taxstdlife+$E482),(('PTRM input'!$G$143+'PTRM input'!$G$109)*$G$7)-SUM($G482:AH482),(('PTRM input'!$G$143+'PTRM input'!$G$109)*$G$7)/A1taxstdlife))</f>
        <v>0</v>
      </c>
      <c r="AJ482" s="107">
        <f>IF(A1taxstdlife="n/a","n/a",IF(AJ$3&gt;(A1taxstdlife+$E482),(('PTRM input'!$G$143+'PTRM input'!$G$109)*$G$7)-SUM($G482:AI482),(('PTRM input'!$G$143+'PTRM input'!$G$109)*$G$7)/A1taxstdlife))</f>
        <v>0</v>
      </c>
      <c r="AK482" s="107">
        <f>IF(A1taxstdlife="n/a","n/a",IF(AK$3&gt;(A1taxstdlife+$E482),(('PTRM input'!$G$143+'PTRM input'!$G$109)*$G$7)-SUM($G482:AJ482),(('PTRM input'!$G$143+'PTRM input'!$G$109)*$G$7)/A1taxstdlife))</f>
        <v>0</v>
      </c>
      <c r="AL482" s="107">
        <f>IF(A1taxstdlife="n/a","n/a",IF(AL$3&gt;(A1taxstdlife+$E482),(('PTRM input'!$G$143+'PTRM input'!$G$109)*$G$7)-SUM($G482:AK482),(('PTRM input'!$G$143+'PTRM input'!$G$109)*$G$7)/A1taxstdlife))</f>
        <v>0</v>
      </c>
      <c r="AM482" s="107">
        <f>IF(A1taxstdlife="n/a","n/a",IF(AM$3&gt;(A1taxstdlife+$E482),(('PTRM input'!$G$143+'PTRM input'!$G$109)*$G$7)-SUM($G482:AL482),(('PTRM input'!$G$143+'PTRM input'!$G$109)*$G$7)/A1taxstdlife))</f>
        <v>0</v>
      </c>
      <c r="AN482" s="107">
        <f>IF(A1taxstdlife="n/a","n/a",IF(AN$3&gt;(A1taxstdlife+$E482),(('PTRM input'!$G$143+'PTRM input'!$G$109)*$G$7)-SUM($G482:AM482),(('PTRM input'!$G$143+'PTRM input'!$G$109)*$G$7)/A1taxstdlife))</f>
        <v>0</v>
      </c>
      <c r="AO482" s="107">
        <f>IF(A1taxstdlife="n/a","n/a",IF(AO$3&gt;(A1taxstdlife+$E482),(('PTRM input'!$G$143+'PTRM input'!$G$109)*$G$7)-SUM($G482:AN482),(('PTRM input'!$G$143+'PTRM input'!$G$109)*$G$7)/A1taxstdlife))</f>
        <v>0</v>
      </c>
      <c r="AP482" s="107">
        <f>IF(A1taxstdlife="n/a","n/a",IF(AP$3&gt;(A1taxstdlife+$E482),(('PTRM input'!$G$143+'PTRM input'!$G$109)*$G$7)-SUM($G482:AO482),(('PTRM input'!$G$143+'PTRM input'!$G$109)*$G$7)/A1taxstdlife))</f>
        <v>0</v>
      </c>
      <c r="AQ482" s="107">
        <f>IF(A1taxstdlife="n/a","n/a",IF(AQ$3&gt;(A1taxstdlife+$E482),(('PTRM input'!$G$143+'PTRM input'!$G$109)*$G$7)-SUM($G482:AP482),(('PTRM input'!$G$143+'PTRM input'!$G$109)*$G$7)/A1taxstdlife))</f>
        <v>0</v>
      </c>
      <c r="AR482" s="107">
        <f>IF(A1taxstdlife="n/a","n/a",IF(AR$3&gt;(A1taxstdlife+$E482),(('PTRM input'!$G$143+'PTRM input'!$G$109)*$G$7)-SUM($G482:AQ482),(('PTRM input'!$G$143+'PTRM input'!$G$109)*$G$7)/A1taxstdlife))</f>
        <v>0</v>
      </c>
      <c r="AS482" s="107">
        <f>IF(A1taxstdlife="n/a","n/a",IF(AS$3&gt;(A1taxstdlife+$E482),(('PTRM input'!$G$143+'PTRM input'!$G$109)*$G$7)-SUM($G482:AR482),(('PTRM input'!$G$143+'PTRM input'!$G$109)*$G$7)/A1taxstdlife))</f>
        <v>0</v>
      </c>
      <c r="AT482" s="107">
        <f>IF(A1taxstdlife="n/a","n/a",IF(AT$3&gt;(A1taxstdlife+$E482),(('PTRM input'!$G$143+'PTRM input'!$G$109)*$G$7)-SUM($G482:AS482),(('PTRM input'!$G$143+'PTRM input'!$G$109)*$G$7)/A1taxstdlife))</f>
        <v>0</v>
      </c>
      <c r="AU482" s="107">
        <f>IF(A1taxstdlife="n/a","n/a",IF(AU$3&gt;(A1taxstdlife+$E482),(('PTRM input'!$G$143+'PTRM input'!$G$109)*$G$7)-SUM($G482:AT482),(('PTRM input'!$G$143+'PTRM input'!$G$109)*$G$7)/A1taxstdlife))</f>
        <v>0</v>
      </c>
      <c r="AV482" s="107">
        <f>IF(A1taxstdlife="n/a","n/a",IF(AV$3&gt;(A1taxstdlife+$E482),(('PTRM input'!$G$143+'PTRM input'!$G$109)*$G$7)-SUM($G482:AU482),(('PTRM input'!$G$143+'PTRM input'!$G$109)*$G$7)/A1taxstdlife))</f>
        <v>0</v>
      </c>
      <c r="AW482" s="107">
        <f>IF(A1taxstdlife="n/a","n/a",IF(AW$3&gt;(A1taxstdlife+$E482),(('PTRM input'!$G$143+'PTRM input'!$G$109)*$G$7)-SUM($G482:AV482),(('PTRM input'!$G$143+'PTRM input'!$G$109)*$G$7)/A1taxstdlife))</f>
        <v>0</v>
      </c>
      <c r="AX482" s="107">
        <f>IF(A1taxstdlife="n/a","n/a",IF(AX$3&gt;(A1taxstdlife+$E482),(('PTRM input'!$G$143+'PTRM input'!$G$109)*$G$7)-SUM($G482:AW482),(('PTRM input'!$G$143+'PTRM input'!$G$109)*$G$7)/A1taxstdlife))</f>
        <v>0</v>
      </c>
      <c r="AY482" s="107">
        <f>IF(A1taxstdlife="n/a","n/a",IF(AY$3&gt;(A1taxstdlife+$E482),(('PTRM input'!$G$143+'PTRM input'!$G$109)*$G$7)-SUM($G482:AX482),(('PTRM input'!$G$143+'PTRM input'!$G$109)*$G$7)/A1taxstdlife))</f>
        <v>0</v>
      </c>
      <c r="AZ482" s="107">
        <f>IF(A1taxstdlife="n/a","n/a",IF(AZ$3&gt;(A1taxstdlife+$E482),(('PTRM input'!$G$143+'PTRM input'!$G$109)*$G$7)-SUM($G482:AY482),(('PTRM input'!$G$143+'PTRM input'!$G$109)*$G$7)/A1taxstdlife))</f>
        <v>0</v>
      </c>
      <c r="BA482" s="107">
        <f>IF(A1taxstdlife="n/a","n/a",IF(BA$3&gt;(A1taxstdlife+$E482),(('PTRM input'!$G$143+'PTRM input'!$G$109)*$G$7)-SUM($G482:AZ482),(('PTRM input'!$G$143+'PTRM input'!$G$109)*$G$7)/A1taxstdlife))</f>
        <v>0</v>
      </c>
      <c r="BB482" s="107">
        <f>IF(A1taxstdlife="n/a","n/a",IF(BB$3&gt;(A1taxstdlife+$E482),(('PTRM input'!$G$143+'PTRM input'!$G$109)*$G$7)-SUM($G482:BA482),(('PTRM input'!$G$143+'PTRM input'!$G$109)*$G$7)/A1taxstdlife))</f>
        <v>0</v>
      </c>
      <c r="BC482" s="107">
        <f>IF(A1taxstdlife="n/a","n/a",IF(BC$3&gt;(A1taxstdlife+$E482),(('PTRM input'!$G$143+'PTRM input'!$G$109)*$G$7)-SUM($G482:BB482),(('PTRM input'!$G$143+'PTRM input'!$G$109)*$G$7)/A1taxstdlife))</f>
        <v>0</v>
      </c>
      <c r="BD482" s="107">
        <f>IF(A1taxstdlife="n/a","n/a",IF(BD$3&gt;(A1taxstdlife+$E482),(('PTRM input'!$G$143+'PTRM input'!$G$109)*$G$7)-SUM($G482:BC482),(('PTRM input'!$G$143+'PTRM input'!$G$109)*$G$7)/A1taxstdlife))</f>
        <v>0</v>
      </c>
      <c r="BE482" s="107">
        <f>IF(A1taxstdlife="n/a","n/a",IF(BE$3&gt;(A1taxstdlife+$E482),(('PTRM input'!$G$143+'PTRM input'!$G$109)*$G$7)-SUM($G482:BD482),(('PTRM input'!$G$143+'PTRM input'!$G$109)*$G$7)/A1taxstdlife))</f>
        <v>0</v>
      </c>
      <c r="BF482" s="107">
        <f>IF(A1taxstdlife="n/a","n/a",IF(BF$3&gt;(A1taxstdlife+$E482),(('PTRM input'!$G$143+'PTRM input'!$G$109)*$G$7)-SUM($G482:BE482),(('PTRM input'!$G$143+'PTRM input'!$G$109)*$G$7)/A1taxstdlife))</f>
        <v>0</v>
      </c>
      <c r="BG482" s="107">
        <f>IF(A1taxstdlife="n/a","n/a",IF(BG$3&gt;(A1taxstdlife+$E482),(('PTRM input'!$G$143+'PTRM input'!$G$109)*$G$7)-SUM($G482:BF482),(('PTRM input'!$G$143+'PTRM input'!$G$109)*$G$7)/A1taxstdlife))</f>
        <v>0</v>
      </c>
      <c r="BH482" s="107">
        <f>IF(A1taxstdlife="n/a","n/a",IF(BH$3&gt;(A1taxstdlife+$E482),(('PTRM input'!$G$143+'PTRM input'!$G$109)*$G$7)-SUM($G482:BG482),(('PTRM input'!$G$143+'PTRM input'!$G$109)*$G$7)/A1taxstdlife))</f>
        <v>0</v>
      </c>
      <c r="BI482" s="107">
        <f>IF(A1taxstdlife="n/a","n/a",IF(BI$3&gt;(A1taxstdlife+$E482),(('PTRM input'!$G$143+'PTRM input'!$G$109)*$G$7)-SUM($G482:BH482),(('PTRM input'!$G$143+'PTRM input'!$G$109)*$G$7)/A1taxstdlife))</f>
        <v>0</v>
      </c>
      <c r="BJ482" s="18"/>
      <c r="BK482" s="18"/>
      <c r="BL482" s="18"/>
      <c r="BM482" s="18"/>
    </row>
    <row r="483" spans="1:65" s="4" customFormat="1" hidden="1" outlineLevel="2">
      <c r="A483" s="18"/>
      <c r="B483" s="33"/>
      <c r="C483" s="32"/>
      <c r="D483" s="1618"/>
      <c r="E483" s="169">
        <v>2</v>
      </c>
      <c r="F483" s="35"/>
      <c r="G483" s="184"/>
      <c r="H483" s="1442"/>
      <c r="I483" s="107">
        <f>IF(A1taxstdlife="n/a","n/a",IF(I$3&gt;(A1taxstdlife+$E483),(('PTRM input'!$H$143+'PTRM input'!$H$109)*$H$7)-SUM($H483:H483),(('PTRM input'!$H$143+'PTRM input'!$H$109)*$H$7)/A1taxstdlife))</f>
        <v>0</v>
      </c>
      <c r="J483" s="107">
        <f>IF(A1taxstdlife="n/a","n/a",IF(J$3&gt;(A1taxstdlife+$E483),(('PTRM input'!$H$143+'PTRM input'!$H$109)*$H$7)-SUM($H483:I483),(('PTRM input'!$H$143+'PTRM input'!$H$109)*$H$7)/A1taxstdlife))</f>
        <v>0</v>
      </c>
      <c r="K483" s="107">
        <f>IF(A1taxstdlife="n/a","n/a",IF(K$3&gt;(A1taxstdlife+$E483),(('PTRM input'!$H$143+'PTRM input'!$H$109)*$H$7)-SUM($H483:J483),(('PTRM input'!$H$143+'PTRM input'!$H$109)*$H$7)/A1taxstdlife))</f>
        <v>0</v>
      </c>
      <c r="L483" s="107">
        <f>IF(A1taxstdlife="n/a","n/a",IF(L$3&gt;(A1taxstdlife+$E483),(('PTRM input'!$H$143+'PTRM input'!$H$109)*$H$7)-SUM($H483:K483),(('PTRM input'!$H$143+'PTRM input'!$H$109)*$H$7)/A1taxstdlife))</f>
        <v>0</v>
      </c>
      <c r="M483" s="107">
        <f>IF(A1taxstdlife="n/a","n/a",IF(M$3&gt;(A1taxstdlife+$E483),(('PTRM input'!$H$143+'PTRM input'!$H$109)*$H$7)-SUM($H483:L483),(('PTRM input'!$H$143+'PTRM input'!$H$109)*$H$7)/A1taxstdlife))</f>
        <v>0</v>
      </c>
      <c r="N483" s="107">
        <f>IF(A1taxstdlife="n/a","n/a",IF(N$3&gt;(A1taxstdlife+$E483),(('PTRM input'!$H$143+'PTRM input'!$H$109)*$H$7)-SUM($H483:M483),(('PTRM input'!$H$143+'PTRM input'!$H$109)*$H$7)/A1taxstdlife))</f>
        <v>0</v>
      </c>
      <c r="O483" s="107">
        <f>IF(A1taxstdlife="n/a","n/a",IF(O$3&gt;(A1taxstdlife+$E483),(('PTRM input'!$H$143+'PTRM input'!$H$109)*$H$7)-SUM($H483:N483),(('PTRM input'!$H$143+'PTRM input'!$H$109)*$H$7)/A1taxstdlife))</f>
        <v>0</v>
      </c>
      <c r="P483" s="107">
        <f>IF(A1taxstdlife="n/a","n/a",IF(P$3&gt;(A1taxstdlife+$E483),(('PTRM input'!$H$143+'PTRM input'!$H$109)*$H$7)-SUM($H483:O483),(('PTRM input'!$H$143+'PTRM input'!$H$109)*$H$7)/A1taxstdlife))</f>
        <v>0</v>
      </c>
      <c r="Q483" s="107">
        <f>IF(A1taxstdlife="n/a","n/a",IF(Q$3&gt;(A1taxstdlife+$E483),(('PTRM input'!$H$143+'PTRM input'!$H$109)*$H$7)-SUM($H483:P483),(('PTRM input'!$H$143+'PTRM input'!$H$109)*$H$7)/A1taxstdlife))</f>
        <v>0</v>
      </c>
      <c r="R483" s="107">
        <f>IF(A1taxstdlife="n/a","n/a",IF(R$3&gt;(A1taxstdlife+$E483),(('PTRM input'!$H$143+'PTRM input'!$H$109)*$H$7)-SUM($H483:Q483),(('PTRM input'!$H$143+'PTRM input'!$H$109)*$H$7)/A1taxstdlife))</f>
        <v>0</v>
      </c>
      <c r="S483" s="107">
        <f>IF(A1taxstdlife="n/a","n/a",IF(S$3&gt;(A1taxstdlife+$E483),(('PTRM input'!$H$143+'PTRM input'!$H$109)*$H$7)-SUM($H483:R483),(('PTRM input'!$H$143+'PTRM input'!$H$109)*$H$7)/A1taxstdlife))</f>
        <v>0</v>
      </c>
      <c r="T483" s="107">
        <f>IF(A1taxstdlife="n/a","n/a",IF(T$3&gt;(A1taxstdlife+$E483),(('PTRM input'!$H$143+'PTRM input'!$H$109)*$H$7)-SUM($H483:S483),(('PTRM input'!$H$143+'PTRM input'!$H$109)*$H$7)/A1taxstdlife))</f>
        <v>0</v>
      </c>
      <c r="U483" s="107">
        <f>IF(A1taxstdlife="n/a","n/a",IF(U$3&gt;(A1taxstdlife+$E483),(('PTRM input'!$H$143+'PTRM input'!$H$109)*$H$7)-SUM($H483:T483),(('PTRM input'!$H$143+'PTRM input'!$H$109)*$H$7)/A1taxstdlife))</f>
        <v>0</v>
      </c>
      <c r="V483" s="107">
        <f>IF(A1taxstdlife="n/a","n/a",IF(V$3&gt;(A1taxstdlife+$E483),(('PTRM input'!$H$143+'PTRM input'!$H$109)*$H$7)-SUM($H483:U483),(('PTRM input'!$H$143+'PTRM input'!$H$109)*$H$7)/A1taxstdlife))</f>
        <v>0</v>
      </c>
      <c r="W483" s="107">
        <f>IF(A1taxstdlife="n/a","n/a",IF(W$3&gt;(A1taxstdlife+$E483),(('PTRM input'!$H$143+'PTRM input'!$H$109)*$H$7)-SUM($H483:V483),(('PTRM input'!$H$143+'PTRM input'!$H$109)*$H$7)/A1taxstdlife))</f>
        <v>0</v>
      </c>
      <c r="X483" s="107">
        <f>IF(A1taxstdlife="n/a","n/a",IF(X$3&gt;(A1taxstdlife+$E483),(('PTRM input'!$H$143+'PTRM input'!$H$109)*$H$7)-SUM($H483:W483),(('PTRM input'!$H$143+'PTRM input'!$H$109)*$H$7)/A1taxstdlife))</f>
        <v>0</v>
      </c>
      <c r="Y483" s="107">
        <f>IF(A1taxstdlife="n/a","n/a",IF(Y$3&gt;(A1taxstdlife+$E483),(('PTRM input'!$H$143+'PTRM input'!$H$109)*$H$7)-SUM($H483:X483),(('PTRM input'!$H$143+'PTRM input'!$H$109)*$H$7)/A1taxstdlife))</f>
        <v>0</v>
      </c>
      <c r="Z483" s="107">
        <f>IF(A1taxstdlife="n/a","n/a",IF(Z$3&gt;(A1taxstdlife+$E483),(('PTRM input'!$H$143+'PTRM input'!$H$109)*$H$7)-SUM($H483:Y483),(('PTRM input'!$H$143+'PTRM input'!$H$109)*$H$7)/A1taxstdlife))</f>
        <v>0</v>
      </c>
      <c r="AA483" s="107">
        <f>IF(A1taxstdlife="n/a","n/a",IF(AA$3&gt;(A1taxstdlife+$E483),(('PTRM input'!$H$143+'PTRM input'!$H$109)*$H$7)-SUM($H483:Z483),(('PTRM input'!$H$143+'PTRM input'!$H$109)*$H$7)/A1taxstdlife))</f>
        <v>0</v>
      </c>
      <c r="AB483" s="107">
        <f>IF(A1taxstdlife="n/a","n/a",IF(AB$3&gt;(A1taxstdlife+$E483),(('PTRM input'!$H$143+'PTRM input'!$H$109)*$H$7)-SUM($H483:AA483),(('PTRM input'!$H$143+'PTRM input'!$H$109)*$H$7)/A1taxstdlife))</f>
        <v>0</v>
      </c>
      <c r="AC483" s="107">
        <f>IF(A1taxstdlife="n/a","n/a",IF(AC$3&gt;(A1taxstdlife+$E483),(('PTRM input'!$H$143+'PTRM input'!$H$109)*$H$7)-SUM($H483:AB483),(('PTRM input'!$H$143+'PTRM input'!$H$109)*$H$7)/A1taxstdlife))</f>
        <v>0</v>
      </c>
      <c r="AD483" s="107">
        <f>IF(A1taxstdlife="n/a","n/a",IF(AD$3&gt;(A1taxstdlife+$E483),(('PTRM input'!$H$143+'PTRM input'!$H$109)*$H$7)-SUM($H483:AC483),(('PTRM input'!$H$143+'PTRM input'!$H$109)*$H$7)/A1taxstdlife))</f>
        <v>0</v>
      </c>
      <c r="AE483" s="107">
        <f>IF(A1taxstdlife="n/a","n/a",IF(AE$3&gt;(A1taxstdlife+$E483),(('PTRM input'!$H$143+'PTRM input'!$H$109)*$H$7)-SUM($H483:AD483),(('PTRM input'!$H$143+'PTRM input'!$H$109)*$H$7)/A1taxstdlife))</f>
        <v>0</v>
      </c>
      <c r="AF483" s="107">
        <f>IF(A1taxstdlife="n/a","n/a",IF(AF$3&gt;(A1taxstdlife+$E483),(('PTRM input'!$H$143+'PTRM input'!$H$109)*$H$7)-SUM($H483:AE483),(('PTRM input'!$H$143+'PTRM input'!$H$109)*$H$7)/A1taxstdlife))</f>
        <v>0</v>
      </c>
      <c r="AG483" s="107">
        <f>IF(A1taxstdlife="n/a","n/a",IF(AG$3&gt;(A1taxstdlife+$E483),(('PTRM input'!$H$143+'PTRM input'!$H$109)*$H$7)-SUM($H483:AF483),(('PTRM input'!$H$143+'PTRM input'!$H$109)*$H$7)/A1taxstdlife))</f>
        <v>0</v>
      </c>
      <c r="AH483" s="107">
        <f>IF(A1taxstdlife="n/a","n/a",IF(AH$3&gt;(A1taxstdlife+$E483),(('PTRM input'!$H$143+'PTRM input'!$H$109)*$H$7)-SUM($H483:AG483),(('PTRM input'!$H$143+'PTRM input'!$H$109)*$H$7)/A1taxstdlife))</f>
        <v>0</v>
      </c>
      <c r="AI483" s="107">
        <f>IF(A1taxstdlife="n/a","n/a",IF(AI$3&gt;(A1taxstdlife+$E483),(('PTRM input'!$H$143+'PTRM input'!$H$109)*$H$7)-SUM($H483:AH483),(('PTRM input'!$H$143+'PTRM input'!$H$109)*$H$7)/A1taxstdlife))</f>
        <v>0</v>
      </c>
      <c r="AJ483" s="107">
        <f>IF(A1taxstdlife="n/a","n/a",IF(AJ$3&gt;(A1taxstdlife+$E483),(('PTRM input'!$H$143+'PTRM input'!$H$109)*$H$7)-SUM($H483:AI483),(('PTRM input'!$H$143+'PTRM input'!$H$109)*$H$7)/A1taxstdlife))</f>
        <v>0</v>
      </c>
      <c r="AK483" s="107">
        <f>IF(A1taxstdlife="n/a","n/a",IF(AK$3&gt;(A1taxstdlife+$E483),(('PTRM input'!$H$143+'PTRM input'!$H$109)*$H$7)-SUM($H483:AJ483),(('PTRM input'!$H$143+'PTRM input'!$H$109)*$H$7)/A1taxstdlife))</f>
        <v>0</v>
      </c>
      <c r="AL483" s="107">
        <f>IF(A1taxstdlife="n/a","n/a",IF(AL$3&gt;(A1taxstdlife+$E483),(('PTRM input'!$H$143+'PTRM input'!$H$109)*$H$7)-SUM($H483:AK483),(('PTRM input'!$H$143+'PTRM input'!$H$109)*$H$7)/A1taxstdlife))</f>
        <v>0</v>
      </c>
      <c r="AM483" s="107">
        <f>IF(A1taxstdlife="n/a","n/a",IF(AM$3&gt;(A1taxstdlife+$E483),(('PTRM input'!$H$143+'PTRM input'!$H$109)*$H$7)-SUM($H483:AL483),(('PTRM input'!$H$143+'PTRM input'!$H$109)*$H$7)/A1taxstdlife))</f>
        <v>0</v>
      </c>
      <c r="AN483" s="107">
        <f>IF(A1taxstdlife="n/a","n/a",IF(AN$3&gt;(A1taxstdlife+$E483),(('PTRM input'!$H$143+'PTRM input'!$H$109)*$H$7)-SUM($H483:AM483),(('PTRM input'!$H$143+'PTRM input'!$H$109)*$H$7)/A1taxstdlife))</f>
        <v>0</v>
      </c>
      <c r="AO483" s="107">
        <f>IF(A1taxstdlife="n/a","n/a",IF(AO$3&gt;(A1taxstdlife+$E483),(('PTRM input'!$H$143+'PTRM input'!$H$109)*$H$7)-SUM($H483:AN483),(('PTRM input'!$H$143+'PTRM input'!$H$109)*$H$7)/A1taxstdlife))</f>
        <v>0</v>
      </c>
      <c r="AP483" s="107">
        <f>IF(A1taxstdlife="n/a","n/a",IF(AP$3&gt;(A1taxstdlife+$E483),(('PTRM input'!$H$143+'PTRM input'!$H$109)*$H$7)-SUM($H483:AO483),(('PTRM input'!$H$143+'PTRM input'!$H$109)*$H$7)/A1taxstdlife))</f>
        <v>0</v>
      </c>
      <c r="AQ483" s="107">
        <f>IF(A1taxstdlife="n/a","n/a",IF(AQ$3&gt;(A1taxstdlife+$E483),(('PTRM input'!$H$143+'PTRM input'!$H$109)*$H$7)-SUM($H483:AP483),(('PTRM input'!$H$143+'PTRM input'!$H$109)*$H$7)/A1taxstdlife))</f>
        <v>0</v>
      </c>
      <c r="AR483" s="107">
        <f>IF(A1taxstdlife="n/a","n/a",IF(AR$3&gt;(A1taxstdlife+$E483),(('PTRM input'!$H$143+'PTRM input'!$H$109)*$H$7)-SUM($H483:AQ483),(('PTRM input'!$H$143+'PTRM input'!$H$109)*$H$7)/A1taxstdlife))</f>
        <v>0</v>
      </c>
      <c r="AS483" s="107">
        <f>IF(A1taxstdlife="n/a","n/a",IF(AS$3&gt;(A1taxstdlife+$E483),(('PTRM input'!$H$143+'PTRM input'!$H$109)*$H$7)-SUM($H483:AR483),(('PTRM input'!$H$143+'PTRM input'!$H$109)*$H$7)/A1taxstdlife))</f>
        <v>0</v>
      </c>
      <c r="AT483" s="107">
        <f>IF(A1taxstdlife="n/a","n/a",IF(AT$3&gt;(A1taxstdlife+$E483),(('PTRM input'!$H$143+'PTRM input'!$H$109)*$H$7)-SUM($H483:AS483),(('PTRM input'!$H$143+'PTRM input'!$H$109)*$H$7)/A1taxstdlife))</f>
        <v>0</v>
      </c>
      <c r="AU483" s="107">
        <f>IF(A1taxstdlife="n/a","n/a",IF(AU$3&gt;(A1taxstdlife+$E483),(('PTRM input'!$H$143+'PTRM input'!$H$109)*$H$7)-SUM($H483:AT483),(('PTRM input'!$H$143+'PTRM input'!$H$109)*$H$7)/A1taxstdlife))</f>
        <v>0</v>
      </c>
      <c r="AV483" s="107">
        <f>IF(A1taxstdlife="n/a","n/a",IF(AV$3&gt;(A1taxstdlife+$E483),(('PTRM input'!$H$143+'PTRM input'!$H$109)*$H$7)-SUM($H483:AU483),(('PTRM input'!$H$143+'PTRM input'!$H$109)*$H$7)/A1taxstdlife))</f>
        <v>0</v>
      </c>
      <c r="AW483" s="107">
        <f>IF(A1taxstdlife="n/a","n/a",IF(AW$3&gt;(A1taxstdlife+$E483),(('PTRM input'!$H$143+'PTRM input'!$H$109)*$H$7)-SUM($H483:AV483),(('PTRM input'!$H$143+'PTRM input'!$H$109)*$H$7)/A1taxstdlife))</f>
        <v>0</v>
      </c>
      <c r="AX483" s="107">
        <f>IF(A1taxstdlife="n/a","n/a",IF(AX$3&gt;(A1taxstdlife+$E483),(('PTRM input'!$H$143+'PTRM input'!$H$109)*$H$7)-SUM($H483:AW483),(('PTRM input'!$H$143+'PTRM input'!$H$109)*$H$7)/A1taxstdlife))</f>
        <v>0</v>
      </c>
      <c r="AY483" s="107">
        <f>IF(A1taxstdlife="n/a","n/a",IF(AY$3&gt;(A1taxstdlife+$E483),(('PTRM input'!$H$143+'PTRM input'!$H$109)*$H$7)-SUM($H483:AX483),(('PTRM input'!$H$143+'PTRM input'!$H$109)*$H$7)/A1taxstdlife))</f>
        <v>0</v>
      </c>
      <c r="AZ483" s="107">
        <f>IF(A1taxstdlife="n/a","n/a",IF(AZ$3&gt;(A1taxstdlife+$E483),(('PTRM input'!$H$143+'PTRM input'!$H$109)*$H$7)-SUM($H483:AY483),(('PTRM input'!$H$143+'PTRM input'!$H$109)*$H$7)/A1taxstdlife))</f>
        <v>0</v>
      </c>
      <c r="BA483" s="107">
        <f>IF(A1taxstdlife="n/a","n/a",IF(BA$3&gt;(A1taxstdlife+$E483),(('PTRM input'!$H$143+'PTRM input'!$H$109)*$H$7)-SUM($H483:AZ483),(('PTRM input'!$H$143+'PTRM input'!$H$109)*$H$7)/A1taxstdlife))</f>
        <v>0</v>
      </c>
      <c r="BB483" s="107">
        <f>IF(A1taxstdlife="n/a","n/a",IF(BB$3&gt;(A1taxstdlife+$E483),(('PTRM input'!$H$143+'PTRM input'!$H$109)*$H$7)-SUM($H483:BA483),(('PTRM input'!$H$143+'PTRM input'!$H$109)*$H$7)/A1taxstdlife))</f>
        <v>0</v>
      </c>
      <c r="BC483" s="107">
        <f>IF(A1taxstdlife="n/a","n/a",IF(BC$3&gt;(A1taxstdlife+$E483),(('PTRM input'!$H$143+'PTRM input'!$H$109)*$H$7)-SUM($H483:BB483),(('PTRM input'!$H$143+'PTRM input'!$H$109)*$H$7)/A1taxstdlife))</f>
        <v>0</v>
      </c>
      <c r="BD483" s="107">
        <f>IF(A1taxstdlife="n/a","n/a",IF(BD$3&gt;(A1taxstdlife+$E483),(('PTRM input'!$H$143+'PTRM input'!$H$109)*$H$7)-SUM($H483:BC483),(('PTRM input'!$H$143+'PTRM input'!$H$109)*$H$7)/A1taxstdlife))</f>
        <v>0</v>
      </c>
      <c r="BE483" s="107">
        <f>IF(A1taxstdlife="n/a","n/a",IF(BE$3&gt;(A1taxstdlife+$E483),(('PTRM input'!$H$143+'PTRM input'!$H$109)*$H$7)-SUM($H483:BD483),(('PTRM input'!$H$143+'PTRM input'!$H$109)*$H$7)/A1taxstdlife))</f>
        <v>0</v>
      </c>
      <c r="BF483" s="107">
        <f>IF(A1taxstdlife="n/a","n/a",IF(BF$3&gt;(A1taxstdlife+$E483),(('PTRM input'!$H$143+'PTRM input'!$H$109)*$H$7)-SUM($H483:BE483),(('PTRM input'!$H$143+'PTRM input'!$H$109)*$H$7)/A1taxstdlife))</f>
        <v>0</v>
      </c>
      <c r="BG483" s="107">
        <f>IF(A1taxstdlife="n/a","n/a",IF(BG$3&gt;(A1taxstdlife+$E483),(('PTRM input'!$H$143+'PTRM input'!$H$109)*$H$7)-SUM($H483:BF483),(('PTRM input'!$H$143+'PTRM input'!$H$109)*$H$7)/A1taxstdlife))</f>
        <v>0</v>
      </c>
      <c r="BH483" s="107">
        <f>IF(A1taxstdlife="n/a","n/a",IF(BH$3&gt;(A1taxstdlife+$E483),(('PTRM input'!$H$143+'PTRM input'!$H$109)*$H$7)-SUM($H483:BG483),(('PTRM input'!$H$143+'PTRM input'!$H$109)*$H$7)/A1taxstdlife))</f>
        <v>0</v>
      </c>
      <c r="BI483" s="107">
        <f>IF(A1taxstdlife="n/a","n/a",IF(BI$3&gt;(A1taxstdlife+$E483),(('PTRM input'!$H$143+'PTRM input'!$H$109)*$H$7)-SUM($H483:BH483),(('PTRM input'!$H$143+'PTRM input'!$H$109)*$H$7)/A1taxstdlife))</f>
        <v>0</v>
      </c>
      <c r="BJ483" s="18"/>
      <c r="BK483" s="18"/>
      <c r="BL483" s="18"/>
      <c r="BM483" s="18"/>
    </row>
    <row r="484" spans="1:65" s="4" customFormat="1" hidden="1" outlineLevel="2">
      <c r="A484" s="18"/>
      <c r="B484" s="33"/>
      <c r="C484" s="32"/>
      <c r="D484" s="1618"/>
      <c r="E484" s="169">
        <v>3</v>
      </c>
      <c r="F484" s="35"/>
      <c r="G484" s="184"/>
      <c r="H484" s="1443"/>
      <c r="I484" s="185"/>
      <c r="J484" s="107">
        <f>IF(A1taxstdlife="n/a","n/a",IF(J$3&gt;(A1taxstdlife+$E484),(('PTRM input'!$I$143+'PTRM input'!$I$109)*$I$7)-SUM($I484:I484),(('PTRM input'!$I$143+'PTRM input'!$I$109)*$I$7)/A1taxstdlife))</f>
        <v>0</v>
      </c>
      <c r="K484" s="107">
        <f>IF(A1taxstdlife="n/a","n/a",IF(K$3&gt;(A1taxstdlife+$E484),(('PTRM input'!$I$143+'PTRM input'!$I$109)*$I$7)-SUM($I484:J484),(('PTRM input'!$I$143+'PTRM input'!$I$109)*$I$7)/A1taxstdlife))</f>
        <v>0</v>
      </c>
      <c r="L484" s="107">
        <f>IF(A1taxstdlife="n/a","n/a",IF(L$3&gt;(A1taxstdlife+$E484),(('PTRM input'!$I$143+'PTRM input'!$I$109)*$I$7)-SUM($I484:K484),(('PTRM input'!$I$143+'PTRM input'!$I$109)*$I$7)/A1taxstdlife))</f>
        <v>0</v>
      </c>
      <c r="M484" s="107">
        <f>IF(A1taxstdlife="n/a","n/a",IF(M$3&gt;(A1taxstdlife+$E484),(('PTRM input'!$I$143+'PTRM input'!$I$109)*$I$7)-SUM($I484:L484),(('PTRM input'!$I$143+'PTRM input'!$I$109)*$I$7)/A1taxstdlife))</f>
        <v>0</v>
      </c>
      <c r="N484" s="107">
        <f>IF(A1taxstdlife="n/a","n/a",IF(N$3&gt;(A1taxstdlife+$E484),(('PTRM input'!$I$143+'PTRM input'!$I$109)*$I$7)-SUM($I484:M484),(('PTRM input'!$I$143+'PTRM input'!$I$109)*$I$7)/A1taxstdlife))</f>
        <v>0</v>
      </c>
      <c r="O484" s="107">
        <f>IF(A1taxstdlife="n/a","n/a",IF(O$3&gt;(A1taxstdlife+$E484),(('PTRM input'!$I$143+'PTRM input'!$I$109)*$I$7)-SUM($I484:N484),(('PTRM input'!$I$143+'PTRM input'!$I$109)*$I$7)/A1taxstdlife))</f>
        <v>0</v>
      </c>
      <c r="P484" s="107">
        <f>IF(A1taxstdlife="n/a","n/a",IF(P$3&gt;(A1taxstdlife+$E484),(('PTRM input'!$I$143+'PTRM input'!$I$109)*$I$7)-SUM($I484:O484),(('PTRM input'!$I$143+'PTRM input'!$I$109)*$I$7)/A1taxstdlife))</f>
        <v>0</v>
      </c>
      <c r="Q484" s="107">
        <f>IF(A1taxstdlife="n/a","n/a",IF(Q$3&gt;(A1taxstdlife+$E484),(('PTRM input'!$I$143+'PTRM input'!$I$109)*$I$7)-SUM($I484:P484),(('PTRM input'!$I$143+'PTRM input'!$I$109)*$I$7)/A1taxstdlife))</f>
        <v>0</v>
      </c>
      <c r="R484" s="107">
        <f>IF(A1taxstdlife="n/a","n/a",IF(R$3&gt;(A1taxstdlife+$E484),(('PTRM input'!$I$143+'PTRM input'!$I$109)*$I$7)-SUM($I484:Q484),(('PTRM input'!$I$143+'PTRM input'!$I$109)*$I$7)/A1taxstdlife))</f>
        <v>0</v>
      </c>
      <c r="S484" s="107">
        <f>IF(A1taxstdlife="n/a","n/a",IF(S$3&gt;(A1taxstdlife+$E484),(('PTRM input'!$I$143+'PTRM input'!$I$109)*$I$7)-SUM($I484:R484),(('PTRM input'!$I$143+'PTRM input'!$I$109)*$I$7)/A1taxstdlife))</f>
        <v>0</v>
      </c>
      <c r="T484" s="107">
        <f>IF(A1taxstdlife="n/a","n/a",IF(T$3&gt;(A1taxstdlife+$E484),(('PTRM input'!$I$143+'PTRM input'!$I$109)*$I$7)-SUM($I484:S484),(('PTRM input'!$I$143+'PTRM input'!$I$109)*$I$7)/A1taxstdlife))</f>
        <v>0</v>
      </c>
      <c r="U484" s="107">
        <f>IF(A1taxstdlife="n/a","n/a",IF(U$3&gt;(A1taxstdlife+$E484),(('PTRM input'!$I$143+'PTRM input'!$I$109)*$I$7)-SUM($I484:T484),(('PTRM input'!$I$143+'PTRM input'!$I$109)*$I$7)/A1taxstdlife))</f>
        <v>0</v>
      </c>
      <c r="V484" s="107">
        <f>IF(A1taxstdlife="n/a","n/a",IF(V$3&gt;(A1taxstdlife+$E484),(('PTRM input'!$I$143+'PTRM input'!$I$109)*$I$7)-SUM($I484:U484),(('PTRM input'!$I$143+'PTRM input'!$I$109)*$I$7)/A1taxstdlife))</f>
        <v>0</v>
      </c>
      <c r="W484" s="107">
        <f>IF(A1taxstdlife="n/a","n/a",IF(W$3&gt;(A1taxstdlife+$E484),(('PTRM input'!$I$143+'PTRM input'!$I$109)*$I$7)-SUM($I484:V484),(('PTRM input'!$I$143+'PTRM input'!$I$109)*$I$7)/A1taxstdlife))</f>
        <v>0</v>
      </c>
      <c r="X484" s="107">
        <f>IF(A1taxstdlife="n/a","n/a",IF(X$3&gt;(A1taxstdlife+$E484),(('PTRM input'!$I$143+'PTRM input'!$I$109)*$I$7)-SUM($I484:W484),(('PTRM input'!$I$143+'PTRM input'!$I$109)*$I$7)/A1taxstdlife))</f>
        <v>0</v>
      </c>
      <c r="Y484" s="107">
        <f>IF(A1taxstdlife="n/a","n/a",IF(Y$3&gt;(A1taxstdlife+$E484),(('PTRM input'!$I$143+'PTRM input'!$I$109)*$I$7)-SUM($I484:X484),(('PTRM input'!$I$143+'PTRM input'!$I$109)*$I$7)/A1taxstdlife))</f>
        <v>0</v>
      </c>
      <c r="Z484" s="107">
        <f>IF(A1taxstdlife="n/a","n/a",IF(Z$3&gt;(A1taxstdlife+$E484),(('PTRM input'!$I$143+'PTRM input'!$I$109)*$I$7)-SUM($I484:Y484),(('PTRM input'!$I$143+'PTRM input'!$I$109)*$I$7)/A1taxstdlife))</f>
        <v>0</v>
      </c>
      <c r="AA484" s="107">
        <f>IF(A1taxstdlife="n/a","n/a",IF(AA$3&gt;(A1taxstdlife+$E484),(('PTRM input'!$I$143+'PTRM input'!$I$109)*$I$7)-SUM($I484:Z484),(('PTRM input'!$I$143+'PTRM input'!$I$109)*$I$7)/A1taxstdlife))</f>
        <v>0</v>
      </c>
      <c r="AB484" s="107">
        <f>IF(A1taxstdlife="n/a","n/a",IF(AB$3&gt;(A1taxstdlife+$E484),(('PTRM input'!$I$143+'PTRM input'!$I$109)*$I$7)-SUM($I484:AA484),(('PTRM input'!$I$143+'PTRM input'!$I$109)*$I$7)/A1taxstdlife))</f>
        <v>0</v>
      </c>
      <c r="AC484" s="107">
        <f>IF(A1taxstdlife="n/a","n/a",IF(AC$3&gt;(A1taxstdlife+$E484),(('PTRM input'!$I$143+'PTRM input'!$I$109)*$I$7)-SUM($I484:AB484),(('PTRM input'!$I$143+'PTRM input'!$I$109)*$I$7)/A1taxstdlife))</f>
        <v>0</v>
      </c>
      <c r="AD484" s="107">
        <f>IF(A1taxstdlife="n/a","n/a",IF(AD$3&gt;(A1taxstdlife+$E484),(('PTRM input'!$I$143+'PTRM input'!$I$109)*$I$7)-SUM($I484:AC484),(('PTRM input'!$I$143+'PTRM input'!$I$109)*$I$7)/A1taxstdlife))</f>
        <v>0</v>
      </c>
      <c r="AE484" s="107">
        <f>IF(A1taxstdlife="n/a","n/a",IF(AE$3&gt;(A1taxstdlife+$E484),(('PTRM input'!$I$143+'PTRM input'!$I$109)*$I$7)-SUM($I484:AD484),(('PTRM input'!$I$143+'PTRM input'!$I$109)*$I$7)/A1taxstdlife))</f>
        <v>0</v>
      </c>
      <c r="AF484" s="107">
        <f>IF(A1taxstdlife="n/a","n/a",IF(AF$3&gt;(A1taxstdlife+$E484),(('PTRM input'!$I$143+'PTRM input'!$I$109)*$I$7)-SUM($I484:AE484),(('PTRM input'!$I$143+'PTRM input'!$I$109)*$I$7)/A1taxstdlife))</f>
        <v>0</v>
      </c>
      <c r="AG484" s="107">
        <f>IF(A1taxstdlife="n/a","n/a",IF(AG$3&gt;(A1taxstdlife+$E484),(('PTRM input'!$I$143+'PTRM input'!$I$109)*$I$7)-SUM($I484:AF484),(('PTRM input'!$I$143+'PTRM input'!$I$109)*$I$7)/A1taxstdlife))</f>
        <v>0</v>
      </c>
      <c r="AH484" s="107">
        <f>IF(A1taxstdlife="n/a","n/a",IF(AH$3&gt;(A1taxstdlife+$E484),(('PTRM input'!$I$143+'PTRM input'!$I$109)*$I$7)-SUM($I484:AG484),(('PTRM input'!$I$143+'PTRM input'!$I$109)*$I$7)/A1taxstdlife))</f>
        <v>0</v>
      </c>
      <c r="AI484" s="107">
        <f>IF(A1taxstdlife="n/a","n/a",IF(AI$3&gt;(A1taxstdlife+$E484),(('PTRM input'!$I$143+'PTRM input'!$I$109)*$I$7)-SUM($I484:AH484),(('PTRM input'!$I$143+'PTRM input'!$I$109)*$I$7)/A1taxstdlife))</f>
        <v>0</v>
      </c>
      <c r="AJ484" s="107">
        <f>IF(A1taxstdlife="n/a","n/a",IF(AJ$3&gt;(A1taxstdlife+$E484),(('PTRM input'!$I$143+'PTRM input'!$I$109)*$I$7)-SUM($I484:AI484),(('PTRM input'!$I$143+'PTRM input'!$I$109)*$I$7)/A1taxstdlife))</f>
        <v>0</v>
      </c>
      <c r="AK484" s="107">
        <f>IF(A1taxstdlife="n/a","n/a",IF(AK$3&gt;(A1taxstdlife+$E484),(('PTRM input'!$I$143+'PTRM input'!$I$109)*$I$7)-SUM($I484:AJ484),(('PTRM input'!$I$143+'PTRM input'!$I$109)*$I$7)/A1taxstdlife))</f>
        <v>0</v>
      </c>
      <c r="AL484" s="107">
        <f>IF(A1taxstdlife="n/a","n/a",IF(AL$3&gt;(A1taxstdlife+$E484),(('PTRM input'!$I$143+'PTRM input'!$I$109)*$I$7)-SUM($I484:AK484),(('PTRM input'!$I$143+'PTRM input'!$I$109)*$I$7)/A1taxstdlife))</f>
        <v>0</v>
      </c>
      <c r="AM484" s="107">
        <f>IF(A1taxstdlife="n/a","n/a",IF(AM$3&gt;(A1taxstdlife+$E484),(('PTRM input'!$I$143+'PTRM input'!$I$109)*$I$7)-SUM($I484:AL484),(('PTRM input'!$I$143+'PTRM input'!$I$109)*$I$7)/A1taxstdlife))</f>
        <v>0</v>
      </c>
      <c r="AN484" s="107">
        <f>IF(A1taxstdlife="n/a","n/a",IF(AN$3&gt;(A1taxstdlife+$E484),(('PTRM input'!$I$143+'PTRM input'!$I$109)*$I$7)-SUM($I484:AM484),(('PTRM input'!$I$143+'PTRM input'!$I$109)*$I$7)/A1taxstdlife))</f>
        <v>0</v>
      </c>
      <c r="AO484" s="107">
        <f>IF(A1taxstdlife="n/a","n/a",IF(AO$3&gt;(A1taxstdlife+$E484),(('PTRM input'!$I$143+'PTRM input'!$I$109)*$I$7)-SUM($I484:AN484),(('PTRM input'!$I$143+'PTRM input'!$I$109)*$I$7)/A1taxstdlife))</f>
        <v>0</v>
      </c>
      <c r="AP484" s="107">
        <f>IF(A1taxstdlife="n/a","n/a",IF(AP$3&gt;(A1taxstdlife+$E484),(('PTRM input'!$I$143+'PTRM input'!$I$109)*$I$7)-SUM($I484:AO484),(('PTRM input'!$I$143+'PTRM input'!$I$109)*$I$7)/A1taxstdlife))</f>
        <v>0</v>
      </c>
      <c r="AQ484" s="107">
        <f>IF(A1taxstdlife="n/a","n/a",IF(AQ$3&gt;(A1taxstdlife+$E484),(('PTRM input'!$I$143+'PTRM input'!$I$109)*$I$7)-SUM($I484:AP484),(('PTRM input'!$I$143+'PTRM input'!$I$109)*$I$7)/A1taxstdlife))</f>
        <v>0</v>
      </c>
      <c r="AR484" s="107">
        <f>IF(A1taxstdlife="n/a","n/a",IF(AR$3&gt;(A1taxstdlife+$E484),(('PTRM input'!$I$143+'PTRM input'!$I$109)*$I$7)-SUM($I484:AQ484),(('PTRM input'!$I$143+'PTRM input'!$I$109)*$I$7)/A1taxstdlife))</f>
        <v>0</v>
      </c>
      <c r="AS484" s="107">
        <f>IF(A1taxstdlife="n/a","n/a",IF(AS$3&gt;(A1taxstdlife+$E484),(('PTRM input'!$I$143+'PTRM input'!$I$109)*$I$7)-SUM($I484:AR484),(('PTRM input'!$I$143+'PTRM input'!$I$109)*$I$7)/A1taxstdlife))</f>
        <v>0</v>
      </c>
      <c r="AT484" s="107">
        <f>IF(A1taxstdlife="n/a","n/a",IF(AT$3&gt;(A1taxstdlife+$E484),(('PTRM input'!$I$143+'PTRM input'!$I$109)*$I$7)-SUM($I484:AS484),(('PTRM input'!$I$143+'PTRM input'!$I$109)*$I$7)/A1taxstdlife))</f>
        <v>0</v>
      </c>
      <c r="AU484" s="107">
        <f>IF(A1taxstdlife="n/a","n/a",IF(AU$3&gt;(A1taxstdlife+$E484),(('PTRM input'!$I$143+'PTRM input'!$I$109)*$I$7)-SUM($I484:AT484),(('PTRM input'!$I$143+'PTRM input'!$I$109)*$I$7)/A1taxstdlife))</f>
        <v>0</v>
      </c>
      <c r="AV484" s="107">
        <f>IF(A1taxstdlife="n/a","n/a",IF(AV$3&gt;(A1taxstdlife+$E484),(('PTRM input'!$I$143+'PTRM input'!$I$109)*$I$7)-SUM($I484:AU484),(('PTRM input'!$I$143+'PTRM input'!$I$109)*$I$7)/A1taxstdlife))</f>
        <v>0</v>
      </c>
      <c r="AW484" s="107">
        <f>IF(A1taxstdlife="n/a","n/a",IF(AW$3&gt;(A1taxstdlife+$E484),(('PTRM input'!$I$143+'PTRM input'!$I$109)*$I$7)-SUM($I484:AV484),(('PTRM input'!$I$143+'PTRM input'!$I$109)*$I$7)/A1taxstdlife))</f>
        <v>0</v>
      </c>
      <c r="AX484" s="107">
        <f>IF(A1taxstdlife="n/a","n/a",IF(AX$3&gt;(A1taxstdlife+$E484),(('PTRM input'!$I$143+'PTRM input'!$I$109)*$I$7)-SUM($I484:AW484),(('PTRM input'!$I$143+'PTRM input'!$I$109)*$I$7)/A1taxstdlife))</f>
        <v>0</v>
      </c>
      <c r="AY484" s="107">
        <f>IF(A1taxstdlife="n/a","n/a",IF(AY$3&gt;(A1taxstdlife+$E484),(('PTRM input'!$I$143+'PTRM input'!$I$109)*$I$7)-SUM($I484:AX484),(('PTRM input'!$I$143+'PTRM input'!$I$109)*$I$7)/A1taxstdlife))</f>
        <v>0</v>
      </c>
      <c r="AZ484" s="107">
        <f>IF(A1taxstdlife="n/a","n/a",IF(AZ$3&gt;(A1taxstdlife+$E484),(('PTRM input'!$I$143+'PTRM input'!$I$109)*$I$7)-SUM($I484:AY484),(('PTRM input'!$I$143+'PTRM input'!$I$109)*$I$7)/A1taxstdlife))</f>
        <v>0</v>
      </c>
      <c r="BA484" s="107">
        <f>IF(A1taxstdlife="n/a","n/a",IF(BA$3&gt;(A1taxstdlife+$E484),(('PTRM input'!$I$143+'PTRM input'!$I$109)*$I$7)-SUM($I484:AZ484),(('PTRM input'!$I$143+'PTRM input'!$I$109)*$I$7)/A1taxstdlife))</f>
        <v>0</v>
      </c>
      <c r="BB484" s="107">
        <f>IF(A1taxstdlife="n/a","n/a",IF(BB$3&gt;(A1taxstdlife+$E484),(('PTRM input'!$I$143+'PTRM input'!$I$109)*$I$7)-SUM($I484:BA484),(('PTRM input'!$I$143+'PTRM input'!$I$109)*$I$7)/A1taxstdlife))</f>
        <v>0</v>
      </c>
      <c r="BC484" s="107">
        <f>IF(A1taxstdlife="n/a","n/a",IF(BC$3&gt;(A1taxstdlife+$E484),(('PTRM input'!$I$143+'PTRM input'!$I$109)*$I$7)-SUM($I484:BB484),(('PTRM input'!$I$143+'PTRM input'!$I$109)*$I$7)/A1taxstdlife))</f>
        <v>0</v>
      </c>
      <c r="BD484" s="107">
        <f>IF(A1taxstdlife="n/a","n/a",IF(BD$3&gt;(A1taxstdlife+$E484),(('PTRM input'!$I$143+'PTRM input'!$I$109)*$I$7)-SUM($I484:BC484),(('PTRM input'!$I$143+'PTRM input'!$I$109)*$I$7)/A1taxstdlife))</f>
        <v>0</v>
      </c>
      <c r="BE484" s="107">
        <f>IF(A1taxstdlife="n/a","n/a",IF(BE$3&gt;(A1taxstdlife+$E484),(('PTRM input'!$I$143+'PTRM input'!$I$109)*$I$7)-SUM($I484:BD484),(('PTRM input'!$I$143+'PTRM input'!$I$109)*$I$7)/A1taxstdlife))</f>
        <v>0</v>
      </c>
      <c r="BF484" s="107">
        <f>IF(A1taxstdlife="n/a","n/a",IF(BF$3&gt;(A1taxstdlife+$E484),(('PTRM input'!$I$143+'PTRM input'!$I$109)*$I$7)-SUM($I484:BE484),(('PTRM input'!$I$143+'PTRM input'!$I$109)*$I$7)/A1taxstdlife))</f>
        <v>0</v>
      </c>
      <c r="BG484" s="107">
        <f>IF(A1taxstdlife="n/a","n/a",IF(BG$3&gt;(A1taxstdlife+$E484),(('PTRM input'!$I$143+'PTRM input'!$I$109)*$I$7)-SUM($I484:BF484),(('PTRM input'!$I$143+'PTRM input'!$I$109)*$I$7)/A1taxstdlife))</f>
        <v>0</v>
      </c>
      <c r="BH484" s="107">
        <f>IF(A1taxstdlife="n/a","n/a",IF(BH$3&gt;(A1taxstdlife+$E484),(('PTRM input'!$I$143+'PTRM input'!$I$109)*$I$7)-SUM($I484:BG484),(('PTRM input'!$I$143+'PTRM input'!$I$109)*$I$7)/A1taxstdlife))</f>
        <v>0</v>
      </c>
      <c r="BI484" s="107">
        <f>IF(A1taxstdlife="n/a","n/a",IF(BI$3&gt;(A1taxstdlife+$E484),(('PTRM input'!$I$143+'PTRM input'!$I$109)*$I$7)-SUM($I484:BH484),(('PTRM input'!$I$143+'PTRM input'!$I$109)*$I$7)/A1taxstdlife))</f>
        <v>0</v>
      </c>
      <c r="BJ484" s="18"/>
      <c r="BK484" s="18"/>
      <c r="BL484" s="18"/>
      <c r="BM484" s="18"/>
    </row>
    <row r="485" spans="1:65" s="4" customFormat="1" hidden="1" outlineLevel="2">
      <c r="A485" s="18"/>
      <c r="B485" s="33"/>
      <c r="C485" s="32"/>
      <c r="D485" s="1618"/>
      <c r="E485" s="169">
        <v>4</v>
      </c>
      <c r="F485" s="35"/>
      <c r="G485" s="184"/>
      <c r="H485" s="1443"/>
      <c r="I485" s="186"/>
      <c r="J485" s="185"/>
      <c r="K485" s="107">
        <f>IF(A1taxstdlife="n/a","n/a",IF(K$3&gt;(A1taxstdlife+$E485),(('PTRM input'!$J$143+'PTRM input'!$J$109)*$J$7)-SUM($J485:J485),(('PTRM input'!$J$143+'PTRM input'!$J$109)*$J$7)/A1taxstdlife))</f>
        <v>0</v>
      </c>
      <c r="L485" s="107">
        <f>IF(A1taxstdlife="n/a","n/a",IF(L$3&gt;(A1taxstdlife+$E485),(('PTRM input'!$J$143+'PTRM input'!$J$109)*$J$7)-SUM($J485:K485),(('PTRM input'!$J$143+'PTRM input'!$J$109)*$J$7)/A1taxstdlife))</f>
        <v>0</v>
      </c>
      <c r="M485" s="107">
        <f>IF(A1taxstdlife="n/a","n/a",IF(M$3&gt;(A1taxstdlife+$E485),(('PTRM input'!$J$143+'PTRM input'!$J$109)*$J$7)-SUM($J485:L485),(('PTRM input'!$J$143+'PTRM input'!$J$109)*$J$7)/A1taxstdlife))</f>
        <v>0</v>
      </c>
      <c r="N485" s="107">
        <f>IF(A1taxstdlife="n/a","n/a",IF(N$3&gt;(A1taxstdlife+$E485),(('PTRM input'!$J$143+'PTRM input'!$J$109)*$J$7)-SUM($J485:M485),(('PTRM input'!$J$143+'PTRM input'!$J$109)*$J$7)/A1taxstdlife))</f>
        <v>0</v>
      </c>
      <c r="O485" s="107">
        <f>IF(A1taxstdlife="n/a","n/a",IF(O$3&gt;(A1taxstdlife+$E485),(('PTRM input'!$J$143+'PTRM input'!$J$109)*$J$7)-SUM($J485:N485),(('PTRM input'!$J$143+'PTRM input'!$J$109)*$J$7)/A1taxstdlife))</f>
        <v>0</v>
      </c>
      <c r="P485" s="107">
        <f>IF(A1taxstdlife="n/a","n/a",IF(P$3&gt;(A1taxstdlife+$E485),(('PTRM input'!$J$143+'PTRM input'!$J$109)*$J$7)-SUM($J485:O485),(('PTRM input'!$J$143+'PTRM input'!$J$109)*$J$7)/A1taxstdlife))</f>
        <v>0</v>
      </c>
      <c r="Q485" s="107">
        <f>IF(A1taxstdlife="n/a","n/a",IF(Q$3&gt;(A1taxstdlife+$E485),(('PTRM input'!$J$143+'PTRM input'!$J$109)*$J$7)-SUM($J485:P485),(('PTRM input'!$J$143+'PTRM input'!$J$109)*$J$7)/A1taxstdlife))</f>
        <v>0</v>
      </c>
      <c r="R485" s="107">
        <f>IF(A1taxstdlife="n/a","n/a",IF(R$3&gt;(A1taxstdlife+$E485),(('PTRM input'!$J$143+'PTRM input'!$J$109)*$J$7)-SUM($J485:Q485),(('PTRM input'!$J$143+'PTRM input'!$J$109)*$J$7)/A1taxstdlife))</f>
        <v>0</v>
      </c>
      <c r="S485" s="107">
        <f>IF(A1taxstdlife="n/a","n/a",IF(S$3&gt;(A1taxstdlife+$E485),(('PTRM input'!$J$143+'PTRM input'!$J$109)*$J$7)-SUM($J485:R485),(('PTRM input'!$J$143+'PTRM input'!$J$109)*$J$7)/A1taxstdlife))</f>
        <v>0</v>
      </c>
      <c r="T485" s="107">
        <f>IF(A1taxstdlife="n/a","n/a",IF(T$3&gt;(A1taxstdlife+$E485),(('PTRM input'!$J$143+'PTRM input'!$J$109)*$J$7)-SUM($J485:S485),(('PTRM input'!$J$143+'PTRM input'!$J$109)*$J$7)/A1taxstdlife))</f>
        <v>0</v>
      </c>
      <c r="U485" s="107">
        <f>IF(A1taxstdlife="n/a","n/a",IF(U$3&gt;(A1taxstdlife+$E485),(('PTRM input'!$J$143+'PTRM input'!$J$109)*$J$7)-SUM($J485:T485),(('PTRM input'!$J$143+'PTRM input'!$J$109)*$J$7)/A1taxstdlife))</f>
        <v>0</v>
      </c>
      <c r="V485" s="107">
        <f>IF(A1taxstdlife="n/a","n/a",IF(V$3&gt;(A1taxstdlife+$E485),(('PTRM input'!$J$143+'PTRM input'!$J$109)*$J$7)-SUM($J485:U485),(('PTRM input'!$J$143+'PTRM input'!$J$109)*$J$7)/A1taxstdlife))</f>
        <v>0</v>
      </c>
      <c r="W485" s="107">
        <f>IF(A1taxstdlife="n/a","n/a",IF(W$3&gt;(A1taxstdlife+$E485),(('PTRM input'!$J$143+'PTRM input'!$J$109)*$J$7)-SUM($J485:V485),(('PTRM input'!$J$143+'PTRM input'!$J$109)*$J$7)/A1taxstdlife))</f>
        <v>0</v>
      </c>
      <c r="X485" s="107">
        <f>IF(A1taxstdlife="n/a","n/a",IF(X$3&gt;(A1taxstdlife+$E485),(('PTRM input'!$J$143+'PTRM input'!$J$109)*$J$7)-SUM($J485:W485),(('PTRM input'!$J$143+'PTRM input'!$J$109)*$J$7)/A1taxstdlife))</f>
        <v>0</v>
      </c>
      <c r="Y485" s="107">
        <f>IF(A1taxstdlife="n/a","n/a",IF(Y$3&gt;(A1taxstdlife+$E485),(('PTRM input'!$J$143+'PTRM input'!$J$109)*$J$7)-SUM($J485:X485),(('PTRM input'!$J$143+'PTRM input'!$J$109)*$J$7)/A1taxstdlife))</f>
        <v>0</v>
      </c>
      <c r="Z485" s="107">
        <f>IF(A1taxstdlife="n/a","n/a",IF(Z$3&gt;(A1taxstdlife+$E485),(('PTRM input'!$J$143+'PTRM input'!$J$109)*$J$7)-SUM($J485:Y485),(('PTRM input'!$J$143+'PTRM input'!$J$109)*$J$7)/A1taxstdlife))</f>
        <v>0</v>
      </c>
      <c r="AA485" s="107">
        <f>IF(A1taxstdlife="n/a","n/a",IF(AA$3&gt;(A1taxstdlife+$E485),(('PTRM input'!$J$143+'PTRM input'!$J$109)*$J$7)-SUM($J485:Z485),(('PTRM input'!$J$143+'PTRM input'!$J$109)*$J$7)/A1taxstdlife))</f>
        <v>0</v>
      </c>
      <c r="AB485" s="107">
        <f>IF(A1taxstdlife="n/a","n/a",IF(AB$3&gt;(A1taxstdlife+$E485),(('PTRM input'!$J$143+'PTRM input'!$J$109)*$J$7)-SUM($J485:AA485),(('PTRM input'!$J$143+'PTRM input'!$J$109)*$J$7)/A1taxstdlife))</f>
        <v>0</v>
      </c>
      <c r="AC485" s="107">
        <f>IF(A1taxstdlife="n/a","n/a",IF(AC$3&gt;(A1taxstdlife+$E485),(('PTRM input'!$J$143+'PTRM input'!$J$109)*$J$7)-SUM($J485:AB485),(('PTRM input'!$J$143+'PTRM input'!$J$109)*$J$7)/A1taxstdlife))</f>
        <v>0</v>
      </c>
      <c r="AD485" s="107">
        <f>IF(A1taxstdlife="n/a","n/a",IF(AD$3&gt;(A1taxstdlife+$E485),(('PTRM input'!$J$143+'PTRM input'!$J$109)*$J$7)-SUM($J485:AC485),(('PTRM input'!$J$143+'PTRM input'!$J$109)*$J$7)/A1taxstdlife))</f>
        <v>0</v>
      </c>
      <c r="AE485" s="107">
        <f>IF(A1taxstdlife="n/a","n/a",IF(AE$3&gt;(A1taxstdlife+$E485),(('PTRM input'!$J$143+'PTRM input'!$J$109)*$J$7)-SUM($J485:AD485),(('PTRM input'!$J$143+'PTRM input'!$J$109)*$J$7)/A1taxstdlife))</f>
        <v>0</v>
      </c>
      <c r="AF485" s="107">
        <f>IF(A1taxstdlife="n/a","n/a",IF(AF$3&gt;(A1taxstdlife+$E485),(('PTRM input'!$J$143+'PTRM input'!$J$109)*$J$7)-SUM($J485:AE485),(('PTRM input'!$J$143+'PTRM input'!$J$109)*$J$7)/A1taxstdlife))</f>
        <v>0</v>
      </c>
      <c r="AG485" s="107">
        <f>IF(A1taxstdlife="n/a","n/a",IF(AG$3&gt;(A1taxstdlife+$E485),(('PTRM input'!$J$143+'PTRM input'!$J$109)*$J$7)-SUM($J485:AF485),(('PTRM input'!$J$143+'PTRM input'!$J$109)*$J$7)/A1taxstdlife))</f>
        <v>0</v>
      </c>
      <c r="AH485" s="107">
        <f>IF(A1taxstdlife="n/a","n/a",IF(AH$3&gt;(A1taxstdlife+$E485),(('PTRM input'!$J$143+'PTRM input'!$J$109)*$J$7)-SUM($J485:AG485),(('PTRM input'!$J$143+'PTRM input'!$J$109)*$J$7)/A1taxstdlife))</f>
        <v>0</v>
      </c>
      <c r="AI485" s="107">
        <f>IF(A1taxstdlife="n/a","n/a",IF(AI$3&gt;(A1taxstdlife+$E485),(('PTRM input'!$J$143+'PTRM input'!$J$109)*$J$7)-SUM($J485:AH485),(('PTRM input'!$J$143+'PTRM input'!$J$109)*$J$7)/A1taxstdlife))</f>
        <v>0</v>
      </c>
      <c r="AJ485" s="107">
        <f>IF(A1taxstdlife="n/a","n/a",IF(AJ$3&gt;(A1taxstdlife+$E485),(('PTRM input'!$J$143+'PTRM input'!$J$109)*$J$7)-SUM($J485:AI485),(('PTRM input'!$J$143+'PTRM input'!$J$109)*$J$7)/A1taxstdlife))</f>
        <v>0</v>
      </c>
      <c r="AK485" s="107">
        <f>IF(A1taxstdlife="n/a","n/a",IF(AK$3&gt;(A1taxstdlife+$E485),(('PTRM input'!$J$143+'PTRM input'!$J$109)*$J$7)-SUM($J485:AJ485),(('PTRM input'!$J$143+'PTRM input'!$J$109)*$J$7)/A1taxstdlife))</f>
        <v>0</v>
      </c>
      <c r="AL485" s="107">
        <f>IF(A1taxstdlife="n/a","n/a",IF(AL$3&gt;(A1taxstdlife+$E485),(('PTRM input'!$J$143+'PTRM input'!$J$109)*$J$7)-SUM($J485:AK485),(('PTRM input'!$J$143+'PTRM input'!$J$109)*$J$7)/A1taxstdlife))</f>
        <v>0</v>
      </c>
      <c r="AM485" s="107">
        <f>IF(A1taxstdlife="n/a","n/a",IF(AM$3&gt;(A1taxstdlife+$E485),(('PTRM input'!$J$143+'PTRM input'!$J$109)*$J$7)-SUM($J485:AL485),(('PTRM input'!$J$143+'PTRM input'!$J$109)*$J$7)/A1taxstdlife))</f>
        <v>0</v>
      </c>
      <c r="AN485" s="107">
        <f>IF(A1taxstdlife="n/a","n/a",IF(AN$3&gt;(A1taxstdlife+$E485),(('PTRM input'!$J$143+'PTRM input'!$J$109)*$J$7)-SUM($J485:AM485),(('PTRM input'!$J$143+'PTRM input'!$J$109)*$J$7)/A1taxstdlife))</f>
        <v>0</v>
      </c>
      <c r="AO485" s="107">
        <f>IF(A1taxstdlife="n/a","n/a",IF(AO$3&gt;(A1taxstdlife+$E485),(('PTRM input'!$J$143+'PTRM input'!$J$109)*$J$7)-SUM($J485:AN485),(('PTRM input'!$J$143+'PTRM input'!$J$109)*$J$7)/A1taxstdlife))</f>
        <v>0</v>
      </c>
      <c r="AP485" s="107">
        <f>IF(A1taxstdlife="n/a","n/a",IF(AP$3&gt;(A1taxstdlife+$E485),(('PTRM input'!$J$143+'PTRM input'!$J$109)*$J$7)-SUM($J485:AO485),(('PTRM input'!$J$143+'PTRM input'!$J$109)*$J$7)/A1taxstdlife))</f>
        <v>0</v>
      </c>
      <c r="AQ485" s="107">
        <f>IF(A1taxstdlife="n/a","n/a",IF(AQ$3&gt;(A1taxstdlife+$E485),(('PTRM input'!$J$143+'PTRM input'!$J$109)*$J$7)-SUM($J485:AP485),(('PTRM input'!$J$143+'PTRM input'!$J$109)*$J$7)/A1taxstdlife))</f>
        <v>0</v>
      </c>
      <c r="AR485" s="107">
        <f>IF(A1taxstdlife="n/a","n/a",IF(AR$3&gt;(A1taxstdlife+$E485),(('PTRM input'!$J$143+'PTRM input'!$J$109)*$J$7)-SUM($J485:AQ485),(('PTRM input'!$J$143+'PTRM input'!$J$109)*$J$7)/A1taxstdlife))</f>
        <v>0</v>
      </c>
      <c r="AS485" s="107">
        <f>IF(A1taxstdlife="n/a","n/a",IF(AS$3&gt;(A1taxstdlife+$E485),(('PTRM input'!$J$143+'PTRM input'!$J$109)*$J$7)-SUM($J485:AR485),(('PTRM input'!$J$143+'PTRM input'!$J$109)*$J$7)/A1taxstdlife))</f>
        <v>0</v>
      </c>
      <c r="AT485" s="107">
        <f>IF(A1taxstdlife="n/a","n/a",IF(AT$3&gt;(A1taxstdlife+$E485),(('PTRM input'!$J$143+'PTRM input'!$J$109)*$J$7)-SUM($J485:AS485),(('PTRM input'!$J$143+'PTRM input'!$J$109)*$J$7)/A1taxstdlife))</f>
        <v>0</v>
      </c>
      <c r="AU485" s="107">
        <f>IF(A1taxstdlife="n/a","n/a",IF(AU$3&gt;(A1taxstdlife+$E485),(('PTRM input'!$J$143+'PTRM input'!$J$109)*$J$7)-SUM($J485:AT485),(('PTRM input'!$J$143+'PTRM input'!$J$109)*$J$7)/A1taxstdlife))</f>
        <v>0</v>
      </c>
      <c r="AV485" s="107">
        <f>IF(A1taxstdlife="n/a","n/a",IF(AV$3&gt;(A1taxstdlife+$E485),(('PTRM input'!$J$143+'PTRM input'!$J$109)*$J$7)-SUM($J485:AU485),(('PTRM input'!$J$143+'PTRM input'!$J$109)*$J$7)/A1taxstdlife))</f>
        <v>0</v>
      </c>
      <c r="AW485" s="107">
        <f>IF(A1taxstdlife="n/a","n/a",IF(AW$3&gt;(A1taxstdlife+$E485),(('PTRM input'!$J$143+'PTRM input'!$J$109)*$J$7)-SUM($J485:AV485),(('PTRM input'!$J$143+'PTRM input'!$J$109)*$J$7)/A1taxstdlife))</f>
        <v>0</v>
      </c>
      <c r="AX485" s="107">
        <f>IF(A1taxstdlife="n/a","n/a",IF(AX$3&gt;(A1taxstdlife+$E485),(('PTRM input'!$J$143+'PTRM input'!$J$109)*$J$7)-SUM($J485:AW485),(('PTRM input'!$J$143+'PTRM input'!$J$109)*$J$7)/A1taxstdlife))</f>
        <v>0</v>
      </c>
      <c r="AY485" s="107">
        <f>IF(A1taxstdlife="n/a","n/a",IF(AY$3&gt;(A1taxstdlife+$E485),(('PTRM input'!$J$143+'PTRM input'!$J$109)*$J$7)-SUM($J485:AX485),(('PTRM input'!$J$143+'PTRM input'!$J$109)*$J$7)/A1taxstdlife))</f>
        <v>0</v>
      </c>
      <c r="AZ485" s="107">
        <f>IF(A1taxstdlife="n/a","n/a",IF(AZ$3&gt;(A1taxstdlife+$E485),(('PTRM input'!$J$143+'PTRM input'!$J$109)*$J$7)-SUM($J485:AY485),(('PTRM input'!$J$143+'PTRM input'!$J$109)*$J$7)/A1taxstdlife))</f>
        <v>0</v>
      </c>
      <c r="BA485" s="107">
        <f>IF(A1taxstdlife="n/a","n/a",IF(BA$3&gt;(A1taxstdlife+$E485),(('PTRM input'!$J$143+'PTRM input'!$J$109)*$J$7)-SUM($J485:AZ485),(('PTRM input'!$J$143+'PTRM input'!$J$109)*$J$7)/A1taxstdlife))</f>
        <v>0</v>
      </c>
      <c r="BB485" s="107">
        <f>IF(A1taxstdlife="n/a","n/a",IF(BB$3&gt;(A1taxstdlife+$E485),(('PTRM input'!$J$143+'PTRM input'!$J$109)*$J$7)-SUM($J485:BA485),(('PTRM input'!$J$143+'PTRM input'!$J$109)*$J$7)/A1taxstdlife))</f>
        <v>0</v>
      </c>
      <c r="BC485" s="107">
        <f>IF(A1taxstdlife="n/a","n/a",IF(BC$3&gt;(A1taxstdlife+$E485),(('PTRM input'!$J$143+'PTRM input'!$J$109)*$J$7)-SUM($J485:BB485),(('PTRM input'!$J$143+'PTRM input'!$J$109)*$J$7)/A1taxstdlife))</f>
        <v>0</v>
      </c>
      <c r="BD485" s="107">
        <f>IF(A1taxstdlife="n/a","n/a",IF(BD$3&gt;(A1taxstdlife+$E485),(('PTRM input'!$J$143+'PTRM input'!$J$109)*$J$7)-SUM($J485:BC485),(('PTRM input'!$J$143+'PTRM input'!$J$109)*$J$7)/A1taxstdlife))</f>
        <v>0</v>
      </c>
      <c r="BE485" s="107">
        <f>IF(A1taxstdlife="n/a","n/a",IF(BE$3&gt;(A1taxstdlife+$E485),(('PTRM input'!$J$143+'PTRM input'!$J$109)*$J$7)-SUM($J485:BD485),(('PTRM input'!$J$143+'PTRM input'!$J$109)*$J$7)/A1taxstdlife))</f>
        <v>0</v>
      </c>
      <c r="BF485" s="107">
        <f>IF(A1taxstdlife="n/a","n/a",IF(BF$3&gt;(A1taxstdlife+$E485),(('PTRM input'!$J$143+'PTRM input'!$J$109)*$J$7)-SUM($J485:BE485),(('PTRM input'!$J$143+'PTRM input'!$J$109)*$J$7)/A1taxstdlife))</f>
        <v>0</v>
      </c>
      <c r="BG485" s="107">
        <f>IF(A1taxstdlife="n/a","n/a",IF(BG$3&gt;(A1taxstdlife+$E485),(('PTRM input'!$J$143+'PTRM input'!$J$109)*$J$7)-SUM($J485:BF485),(('PTRM input'!$J$143+'PTRM input'!$J$109)*$J$7)/A1taxstdlife))</f>
        <v>0</v>
      </c>
      <c r="BH485" s="107">
        <f>IF(A1taxstdlife="n/a","n/a",IF(BH$3&gt;(A1taxstdlife+$E485),(('PTRM input'!$J$143+'PTRM input'!$J$109)*$J$7)-SUM($J485:BG485),(('PTRM input'!$J$143+'PTRM input'!$J$109)*$J$7)/A1taxstdlife))</f>
        <v>0</v>
      </c>
      <c r="BI485" s="107">
        <f>IF(A1taxstdlife="n/a","n/a",IF(BI$3&gt;(A1taxstdlife+$E485),(('PTRM input'!$J$143+'PTRM input'!$J$109)*$J$7)-SUM($J485:BH485),(('PTRM input'!$J$143+'PTRM input'!$J$109)*$J$7)/A1taxstdlife))</f>
        <v>0</v>
      </c>
      <c r="BJ485" s="18"/>
      <c r="BK485" s="18"/>
      <c r="BL485" s="18"/>
      <c r="BM485" s="18"/>
    </row>
    <row r="486" spans="1:65" s="4" customFormat="1" hidden="1" outlineLevel="2">
      <c r="A486" s="18"/>
      <c r="B486" s="33"/>
      <c r="C486" s="32"/>
      <c r="D486" s="1618"/>
      <c r="E486" s="169">
        <v>5</v>
      </c>
      <c r="F486" s="35"/>
      <c r="G486" s="184"/>
      <c r="H486" s="1443"/>
      <c r="I486" s="186"/>
      <c r="J486" s="186"/>
      <c r="K486" s="185"/>
      <c r="L486" s="107">
        <f>IF(A1taxstdlife="n/a","n/a",IF(L$3&gt;(A1taxstdlife+$E486),(('PTRM input'!$K$143+'PTRM input'!$K$109)*$K$7)-SUM($K486:K486),(('PTRM input'!$K$143+'PTRM input'!$K$109)*$K$7)/A1taxstdlife))</f>
        <v>0</v>
      </c>
      <c r="M486" s="107">
        <f>IF(A1taxstdlife="n/a","n/a",IF(M$3&gt;(A1taxstdlife+$E486),(('PTRM input'!$K$143+'PTRM input'!$K$109)*$K$7)-SUM($K486:L486),(('PTRM input'!$K$143+'PTRM input'!$K$109)*$K$7)/A1taxstdlife))</f>
        <v>0</v>
      </c>
      <c r="N486" s="107">
        <f>IF(A1taxstdlife="n/a","n/a",IF(N$3&gt;(A1taxstdlife+$E486),(('PTRM input'!$K$143+'PTRM input'!$K$109)*$K$7)-SUM($K486:M486),(('PTRM input'!$K$143+'PTRM input'!$K$109)*$K$7)/A1taxstdlife))</f>
        <v>0</v>
      </c>
      <c r="O486" s="107">
        <f>IF(A1taxstdlife="n/a","n/a",IF(O$3&gt;(A1taxstdlife+$E486),(('PTRM input'!$K$143+'PTRM input'!$K$109)*$K$7)-SUM($K486:N486),(('PTRM input'!$K$143+'PTRM input'!$K$109)*$K$7)/A1taxstdlife))</f>
        <v>0</v>
      </c>
      <c r="P486" s="107">
        <f>IF(A1taxstdlife="n/a","n/a",IF(P$3&gt;(A1taxstdlife+$E486),(('PTRM input'!$K$143+'PTRM input'!$K$109)*$K$7)-SUM($K486:O486),(('PTRM input'!$K$143+'PTRM input'!$K$109)*$K$7)/A1taxstdlife))</f>
        <v>0</v>
      </c>
      <c r="Q486" s="107">
        <f>IF(A1taxstdlife="n/a","n/a",IF(Q$3&gt;(A1taxstdlife+$E486),(('PTRM input'!$K$143+'PTRM input'!$K$109)*$K$7)-SUM($K486:P486),(('PTRM input'!$K$143+'PTRM input'!$K$109)*$K$7)/A1taxstdlife))</f>
        <v>0</v>
      </c>
      <c r="R486" s="107">
        <f>IF(A1taxstdlife="n/a","n/a",IF(R$3&gt;(A1taxstdlife+$E486),(('PTRM input'!$K$143+'PTRM input'!$K$109)*$K$7)-SUM($K486:Q486),(('PTRM input'!$K$143+'PTRM input'!$K$109)*$K$7)/A1taxstdlife))</f>
        <v>0</v>
      </c>
      <c r="S486" s="107">
        <f>IF(A1taxstdlife="n/a","n/a",IF(S$3&gt;(A1taxstdlife+$E486),(('PTRM input'!$K$143+'PTRM input'!$K$109)*$K$7)-SUM($K486:R486),(('PTRM input'!$K$143+'PTRM input'!$K$109)*$K$7)/A1taxstdlife))</f>
        <v>0</v>
      </c>
      <c r="T486" s="107">
        <f>IF(A1taxstdlife="n/a","n/a",IF(T$3&gt;(A1taxstdlife+$E486),(('PTRM input'!$K$143+'PTRM input'!$K$109)*$K$7)-SUM($K486:S486),(('PTRM input'!$K$143+'PTRM input'!$K$109)*$K$7)/A1taxstdlife))</f>
        <v>0</v>
      </c>
      <c r="U486" s="107">
        <f>IF(A1taxstdlife="n/a","n/a",IF(U$3&gt;(A1taxstdlife+$E486),(('PTRM input'!$K$143+'PTRM input'!$K$109)*$K$7)-SUM($K486:T486),(('PTRM input'!$K$143+'PTRM input'!$K$109)*$K$7)/A1taxstdlife))</f>
        <v>0</v>
      </c>
      <c r="V486" s="107">
        <f>IF(A1taxstdlife="n/a","n/a",IF(V$3&gt;(A1taxstdlife+$E486),(('PTRM input'!$K$143+'PTRM input'!$K$109)*$K$7)-SUM($K486:U486),(('PTRM input'!$K$143+'PTRM input'!$K$109)*$K$7)/A1taxstdlife))</f>
        <v>0</v>
      </c>
      <c r="W486" s="107">
        <f>IF(A1taxstdlife="n/a","n/a",IF(W$3&gt;(A1taxstdlife+$E486),(('PTRM input'!$K$143+'PTRM input'!$K$109)*$K$7)-SUM($K486:V486),(('PTRM input'!$K$143+'PTRM input'!$K$109)*$K$7)/A1taxstdlife))</f>
        <v>0</v>
      </c>
      <c r="X486" s="107">
        <f>IF(A1taxstdlife="n/a","n/a",IF(X$3&gt;(A1taxstdlife+$E486),(('PTRM input'!$K$143+'PTRM input'!$K$109)*$K$7)-SUM($K486:W486),(('PTRM input'!$K$143+'PTRM input'!$K$109)*$K$7)/A1taxstdlife))</f>
        <v>0</v>
      </c>
      <c r="Y486" s="107">
        <f>IF(A1taxstdlife="n/a","n/a",IF(Y$3&gt;(A1taxstdlife+$E486),(('PTRM input'!$K$143+'PTRM input'!$K$109)*$K$7)-SUM($K486:X486),(('PTRM input'!$K$143+'PTRM input'!$K$109)*$K$7)/A1taxstdlife))</f>
        <v>0</v>
      </c>
      <c r="Z486" s="107">
        <f>IF(A1taxstdlife="n/a","n/a",IF(Z$3&gt;(A1taxstdlife+$E486),(('PTRM input'!$K$143+'PTRM input'!$K$109)*$K$7)-SUM($K486:Y486),(('PTRM input'!$K$143+'PTRM input'!$K$109)*$K$7)/A1taxstdlife))</f>
        <v>0</v>
      </c>
      <c r="AA486" s="107">
        <f>IF(A1taxstdlife="n/a","n/a",IF(AA$3&gt;(A1taxstdlife+$E486),(('PTRM input'!$K$143+'PTRM input'!$K$109)*$K$7)-SUM($K486:Z486),(('PTRM input'!$K$143+'PTRM input'!$K$109)*$K$7)/A1taxstdlife))</f>
        <v>0</v>
      </c>
      <c r="AB486" s="107">
        <f>IF(A1taxstdlife="n/a","n/a",IF(AB$3&gt;(A1taxstdlife+$E486),(('PTRM input'!$K$143+'PTRM input'!$K$109)*$K$7)-SUM($K486:AA486),(('PTRM input'!$K$143+'PTRM input'!$K$109)*$K$7)/A1taxstdlife))</f>
        <v>0</v>
      </c>
      <c r="AC486" s="107">
        <f>IF(A1taxstdlife="n/a","n/a",IF(AC$3&gt;(A1taxstdlife+$E486),(('PTRM input'!$K$143+'PTRM input'!$K$109)*$K$7)-SUM($K486:AB486),(('PTRM input'!$K$143+'PTRM input'!$K$109)*$K$7)/A1taxstdlife))</f>
        <v>0</v>
      </c>
      <c r="AD486" s="107">
        <f>IF(A1taxstdlife="n/a","n/a",IF(AD$3&gt;(A1taxstdlife+$E486),(('PTRM input'!$K$143+'PTRM input'!$K$109)*$K$7)-SUM($K486:AC486),(('PTRM input'!$K$143+'PTRM input'!$K$109)*$K$7)/A1taxstdlife))</f>
        <v>0</v>
      </c>
      <c r="AE486" s="107">
        <f>IF(A1taxstdlife="n/a","n/a",IF(AE$3&gt;(A1taxstdlife+$E486),(('PTRM input'!$K$143+'PTRM input'!$K$109)*$K$7)-SUM($K486:AD486),(('PTRM input'!$K$143+'PTRM input'!$K$109)*$K$7)/A1taxstdlife))</f>
        <v>0</v>
      </c>
      <c r="AF486" s="107">
        <f>IF(A1taxstdlife="n/a","n/a",IF(AF$3&gt;(A1taxstdlife+$E486),(('PTRM input'!$K$143+'PTRM input'!$K$109)*$K$7)-SUM($K486:AE486),(('PTRM input'!$K$143+'PTRM input'!$K$109)*$K$7)/A1taxstdlife))</f>
        <v>0</v>
      </c>
      <c r="AG486" s="107">
        <f>IF(A1taxstdlife="n/a","n/a",IF(AG$3&gt;(A1taxstdlife+$E486),(('PTRM input'!$K$143+'PTRM input'!$K$109)*$K$7)-SUM($K486:AF486),(('PTRM input'!$K$143+'PTRM input'!$K$109)*$K$7)/A1taxstdlife))</f>
        <v>0</v>
      </c>
      <c r="AH486" s="107">
        <f>IF(A1taxstdlife="n/a","n/a",IF(AH$3&gt;(A1taxstdlife+$E486),(('PTRM input'!$K$143+'PTRM input'!$K$109)*$K$7)-SUM($K486:AG486),(('PTRM input'!$K$143+'PTRM input'!$K$109)*$K$7)/A1taxstdlife))</f>
        <v>0</v>
      </c>
      <c r="AI486" s="107">
        <f>IF(A1taxstdlife="n/a","n/a",IF(AI$3&gt;(A1taxstdlife+$E486),(('PTRM input'!$K$143+'PTRM input'!$K$109)*$K$7)-SUM($K486:AH486),(('PTRM input'!$K$143+'PTRM input'!$K$109)*$K$7)/A1taxstdlife))</f>
        <v>0</v>
      </c>
      <c r="AJ486" s="107">
        <f>IF(A1taxstdlife="n/a","n/a",IF(AJ$3&gt;(A1taxstdlife+$E486),(('PTRM input'!$K$143+'PTRM input'!$K$109)*$K$7)-SUM($K486:AI486),(('PTRM input'!$K$143+'PTRM input'!$K$109)*$K$7)/A1taxstdlife))</f>
        <v>0</v>
      </c>
      <c r="AK486" s="107">
        <f>IF(A1taxstdlife="n/a","n/a",IF(AK$3&gt;(A1taxstdlife+$E486),(('PTRM input'!$K$143+'PTRM input'!$K$109)*$K$7)-SUM($K486:AJ486),(('PTRM input'!$K$143+'PTRM input'!$K$109)*$K$7)/A1taxstdlife))</f>
        <v>0</v>
      </c>
      <c r="AL486" s="107">
        <f>IF(A1taxstdlife="n/a","n/a",IF(AL$3&gt;(A1taxstdlife+$E486),(('PTRM input'!$K$143+'PTRM input'!$K$109)*$K$7)-SUM($K486:AK486),(('PTRM input'!$K$143+'PTRM input'!$K$109)*$K$7)/A1taxstdlife))</f>
        <v>0</v>
      </c>
      <c r="AM486" s="107">
        <f>IF(A1taxstdlife="n/a","n/a",IF(AM$3&gt;(A1taxstdlife+$E486),(('PTRM input'!$K$143+'PTRM input'!$K$109)*$K$7)-SUM($K486:AL486),(('PTRM input'!$K$143+'PTRM input'!$K$109)*$K$7)/A1taxstdlife))</f>
        <v>0</v>
      </c>
      <c r="AN486" s="107">
        <f>IF(A1taxstdlife="n/a","n/a",IF(AN$3&gt;(A1taxstdlife+$E486),(('PTRM input'!$K$143+'PTRM input'!$K$109)*$K$7)-SUM($K486:AM486),(('PTRM input'!$K$143+'PTRM input'!$K$109)*$K$7)/A1taxstdlife))</f>
        <v>0</v>
      </c>
      <c r="AO486" s="107">
        <f>IF(A1taxstdlife="n/a","n/a",IF(AO$3&gt;(A1taxstdlife+$E486),(('PTRM input'!$K$143+'PTRM input'!$K$109)*$K$7)-SUM($K486:AN486),(('PTRM input'!$K$143+'PTRM input'!$K$109)*$K$7)/A1taxstdlife))</f>
        <v>0</v>
      </c>
      <c r="AP486" s="107">
        <f>IF(A1taxstdlife="n/a","n/a",IF(AP$3&gt;(A1taxstdlife+$E486),(('PTRM input'!$K$143+'PTRM input'!$K$109)*$K$7)-SUM($K486:AO486),(('PTRM input'!$K$143+'PTRM input'!$K$109)*$K$7)/A1taxstdlife))</f>
        <v>0</v>
      </c>
      <c r="AQ486" s="107">
        <f>IF(A1taxstdlife="n/a","n/a",IF(AQ$3&gt;(A1taxstdlife+$E486),(('PTRM input'!$K$143+'PTRM input'!$K$109)*$K$7)-SUM($K486:AP486),(('PTRM input'!$K$143+'PTRM input'!$K$109)*$K$7)/A1taxstdlife))</f>
        <v>0</v>
      </c>
      <c r="AR486" s="107">
        <f>IF(A1taxstdlife="n/a","n/a",IF(AR$3&gt;(A1taxstdlife+$E486),(('PTRM input'!$K$143+'PTRM input'!$K$109)*$K$7)-SUM($K486:AQ486),(('PTRM input'!$K$143+'PTRM input'!$K$109)*$K$7)/A1taxstdlife))</f>
        <v>0</v>
      </c>
      <c r="AS486" s="107">
        <f>IF(A1taxstdlife="n/a","n/a",IF(AS$3&gt;(A1taxstdlife+$E486),(('PTRM input'!$K$143+'PTRM input'!$K$109)*$K$7)-SUM($K486:AR486),(('PTRM input'!$K$143+'PTRM input'!$K$109)*$K$7)/A1taxstdlife))</f>
        <v>0</v>
      </c>
      <c r="AT486" s="107">
        <f>IF(A1taxstdlife="n/a","n/a",IF(AT$3&gt;(A1taxstdlife+$E486),(('PTRM input'!$K$143+'PTRM input'!$K$109)*$K$7)-SUM($K486:AS486),(('PTRM input'!$K$143+'PTRM input'!$K$109)*$K$7)/A1taxstdlife))</f>
        <v>0</v>
      </c>
      <c r="AU486" s="107">
        <f>IF(A1taxstdlife="n/a","n/a",IF(AU$3&gt;(A1taxstdlife+$E486),(('PTRM input'!$K$143+'PTRM input'!$K$109)*$K$7)-SUM($K486:AT486),(('PTRM input'!$K$143+'PTRM input'!$K$109)*$K$7)/A1taxstdlife))</f>
        <v>0</v>
      </c>
      <c r="AV486" s="107">
        <f>IF(A1taxstdlife="n/a","n/a",IF(AV$3&gt;(A1taxstdlife+$E486),(('PTRM input'!$K$143+'PTRM input'!$K$109)*$K$7)-SUM($K486:AU486),(('PTRM input'!$K$143+'PTRM input'!$K$109)*$K$7)/A1taxstdlife))</f>
        <v>0</v>
      </c>
      <c r="AW486" s="107">
        <f>IF(A1taxstdlife="n/a","n/a",IF(AW$3&gt;(A1taxstdlife+$E486),(('PTRM input'!$K$143+'PTRM input'!$K$109)*$K$7)-SUM($K486:AV486),(('PTRM input'!$K$143+'PTRM input'!$K$109)*$K$7)/A1taxstdlife))</f>
        <v>0</v>
      </c>
      <c r="AX486" s="107">
        <f>IF(A1taxstdlife="n/a","n/a",IF(AX$3&gt;(A1taxstdlife+$E486),(('PTRM input'!$K$143+'PTRM input'!$K$109)*$K$7)-SUM($K486:AW486),(('PTRM input'!$K$143+'PTRM input'!$K$109)*$K$7)/A1taxstdlife))</f>
        <v>0</v>
      </c>
      <c r="AY486" s="107">
        <f>IF(A1taxstdlife="n/a","n/a",IF(AY$3&gt;(A1taxstdlife+$E486),(('PTRM input'!$K$143+'PTRM input'!$K$109)*$K$7)-SUM($K486:AX486),(('PTRM input'!$K$143+'PTRM input'!$K$109)*$K$7)/A1taxstdlife))</f>
        <v>0</v>
      </c>
      <c r="AZ486" s="107">
        <f>IF(A1taxstdlife="n/a","n/a",IF(AZ$3&gt;(A1taxstdlife+$E486),(('PTRM input'!$K$143+'PTRM input'!$K$109)*$K$7)-SUM($K486:AY486),(('PTRM input'!$K$143+'PTRM input'!$K$109)*$K$7)/A1taxstdlife))</f>
        <v>0</v>
      </c>
      <c r="BA486" s="107">
        <f>IF(A1taxstdlife="n/a","n/a",IF(BA$3&gt;(A1taxstdlife+$E486),(('PTRM input'!$K$143+'PTRM input'!$K$109)*$K$7)-SUM($K486:AZ486),(('PTRM input'!$K$143+'PTRM input'!$K$109)*$K$7)/A1taxstdlife))</f>
        <v>0</v>
      </c>
      <c r="BB486" s="107">
        <f>IF(A1taxstdlife="n/a","n/a",IF(BB$3&gt;(A1taxstdlife+$E486),(('PTRM input'!$K$143+'PTRM input'!$K$109)*$K$7)-SUM($K486:BA486),(('PTRM input'!$K$143+'PTRM input'!$K$109)*$K$7)/A1taxstdlife))</f>
        <v>0</v>
      </c>
      <c r="BC486" s="107">
        <f>IF(A1taxstdlife="n/a","n/a",IF(BC$3&gt;(A1taxstdlife+$E486),(('PTRM input'!$K$143+'PTRM input'!$K$109)*$K$7)-SUM($K486:BB486),(('PTRM input'!$K$143+'PTRM input'!$K$109)*$K$7)/A1taxstdlife))</f>
        <v>0</v>
      </c>
      <c r="BD486" s="107">
        <f>IF(A1taxstdlife="n/a","n/a",IF(BD$3&gt;(A1taxstdlife+$E486),(('PTRM input'!$K$143+'PTRM input'!$K$109)*$K$7)-SUM($K486:BC486),(('PTRM input'!$K$143+'PTRM input'!$K$109)*$K$7)/A1taxstdlife))</f>
        <v>0</v>
      </c>
      <c r="BE486" s="107">
        <f>IF(A1taxstdlife="n/a","n/a",IF(BE$3&gt;(A1taxstdlife+$E486),(('PTRM input'!$K$143+'PTRM input'!$K$109)*$K$7)-SUM($K486:BD486),(('PTRM input'!$K$143+'PTRM input'!$K$109)*$K$7)/A1taxstdlife))</f>
        <v>0</v>
      </c>
      <c r="BF486" s="107">
        <f>IF(A1taxstdlife="n/a","n/a",IF(BF$3&gt;(A1taxstdlife+$E486),(('PTRM input'!$K$143+'PTRM input'!$K$109)*$K$7)-SUM($K486:BE486),(('PTRM input'!$K$143+'PTRM input'!$K$109)*$K$7)/A1taxstdlife))</f>
        <v>0</v>
      </c>
      <c r="BG486" s="107">
        <f>IF(A1taxstdlife="n/a","n/a",IF(BG$3&gt;(A1taxstdlife+$E486),(('PTRM input'!$K$143+'PTRM input'!$K$109)*$K$7)-SUM($K486:BF486),(('PTRM input'!$K$143+'PTRM input'!$K$109)*$K$7)/A1taxstdlife))</f>
        <v>0</v>
      </c>
      <c r="BH486" s="107">
        <f>IF(A1taxstdlife="n/a","n/a",IF(BH$3&gt;(A1taxstdlife+$E486),(('PTRM input'!$K$143+'PTRM input'!$K$109)*$K$7)-SUM($K486:BG486),(('PTRM input'!$K$143+'PTRM input'!$K$109)*$K$7)/A1taxstdlife))</f>
        <v>0</v>
      </c>
      <c r="BI486" s="107">
        <f>IF(A1taxstdlife="n/a","n/a",IF(BI$3&gt;(A1taxstdlife+$E486),(('PTRM input'!$K$143+'PTRM input'!$K$109)*$K$7)-SUM($K486:BH486),(('PTRM input'!$K$143+'PTRM input'!$K$109)*$K$7)/A1taxstdlife))</f>
        <v>0</v>
      </c>
      <c r="BJ486" s="18"/>
      <c r="BK486" s="18"/>
      <c r="BL486" s="18"/>
      <c r="BM486" s="18"/>
    </row>
    <row r="487" spans="1:65" s="4" customFormat="1" hidden="1" outlineLevel="2">
      <c r="A487" s="18"/>
      <c r="B487" s="33"/>
      <c r="C487" s="32"/>
      <c r="D487" s="1618"/>
      <c r="E487" s="169">
        <v>6</v>
      </c>
      <c r="F487" s="35"/>
      <c r="G487" s="184"/>
      <c r="H487" s="1443"/>
      <c r="I487" s="186"/>
      <c r="J487" s="186"/>
      <c r="K487" s="186"/>
      <c r="L487" s="185"/>
      <c r="M487" s="107">
        <f>IF(A1taxstdlife="n/a","n/a",IF(M$3&gt;(A1taxstdlife+$E487),(('PTRM input'!$L$143+'PTRM input'!$L$109)*$L$7)-SUM($L487:L487),(('PTRM input'!$L$143+'PTRM input'!$L$109)*$L$7)/A1taxstdlife))</f>
        <v>0</v>
      </c>
      <c r="N487" s="107">
        <f>IF(A1taxstdlife="n/a","n/a",IF(N$3&gt;(A1taxstdlife+$E487),(('PTRM input'!$L$143+'PTRM input'!$L$109)*$L$7)-SUM($L487:M487),(('PTRM input'!$L$143+'PTRM input'!$L$109)*$L$7)/A1taxstdlife))</f>
        <v>0</v>
      </c>
      <c r="O487" s="107">
        <f>IF(A1taxstdlife="n/a","n/a",IF(O$3&gt;(A1taxstdlife+$E487),(('PTRM input'!$L$143+'PTRM input'!$L$109)*$L$7)-SUM($L487:N487),(('PTRM input'!$L$143+'PTRM input'!$L$109)*$L$7)/A1taxstdlife))</f>
        <v>0</v>
      </c>
      <c r="P487" s="107">
        <f>IF(A1taxstdlife="n/a","n/a",IF(P$3&gt;(A1taxstdlife+$E487),(('PTRM input'!$L$143+'PTRM input'!$L$109)*$L$7)-SUM($L487:O487),(('PTRM input'!$L$143+'PTRM input'!$L$109)*$L$7)/A1taxstdlife))</f>
        <v>0</v>
      </c>
      <c r="Q487" s="107">
        <f>IF(A1taxstdlife="n/a","n/a",IF(Q$3&gt;(A1taxstdlife+$E487),(('PTRM input'!$L$143+'PTRM input'!$L$109)*$L$7)-SUM($L487:P487),(('PTRM input'!$L$143+'PTRM input'!$L$109)*$L$7)/A1taxstdlife))</f>
        <v>0</v>
      </c>
      <c r="R487" s="107">
        <f>IF(A1taxstdlife="n/a","n/a",IF(R$3&gt;(A1taxstdlife+$E487),(('PTRM input'!$L$143+'PTRM input'!$L$109)*$L$7)-SUM($L487:Q487),(('PTRM input'!$L$143+'PTRM input'!$L$109)*$L$7)/A1taxstdlife))</f>
        <v>0</v>
      </c>
      <c r="S487" s="107">
        <f>IF(A1taxstdlife="n/a","n/a",IF(S$3&gt;(A1taxstdlife+$E487),(('PTRM input'!$L$143+'PTRM input'!$L$109)*$L$7)-SUM($L487:R487),(('PTRM input'!$L$143+'PTRM input'!$L$109)*$L$7)/A1taxstdlife))</f>
        <v>0</v>
      </c>
      <c r="T487" s="107">
        <f>IF(A1taxstdlife="n/a","n/a",IF(T$3&gt;(A1taxstdlife+$E487),(('PTRM input'!$L$143+'PTRM input'!$L$109)*$L$7)-SUM($L487:S487),(('PTRM input'!$L$143+'PTRM input'!$L$109)*$L$7)/A1taxstdlife))</f>
        <v>0</v>
      </c>
      <c r="U487" s="107">
        <f>IF(A1taxstdlife="n/a","n/a",IF(U$3&gt;(A1taxstdlife+$E487),(('PTRM input'!$L$143+'PTRM input'!$L$109)*$L$7)-SUM($L487:T487),(('PTRM input'!$L$143+'PTRM input'!$L$109)*$L$7)/A1taxstdlife))</f>
        <v>0</v>
      </c>
      <c r="V487" s="107">
        <f>IF(A1taxstdlife="n/a","n/a",IF(V$3&gt;(A1taxstdlife+$E487),(('PTRM input'!$L$143+'PTRM input'!$L$109)*$L$7)-SUM($L487:U487),(('PTRM input'!$L$143+'PTRM input'!$L$109)*$L$7)/A1taxstdlife))</f>
        <v>0</v>
      </c>
      <c r="W487" s="107">
        <f>IF(A1taxstdlife="n/a","n/a",IF(W$3&gt;(A1taxstdlife+$E487),(('PTRM input'!$L$143+'PTRM input'!$L$109)*$L$7)-SUM($L487:V487),(('PTRM input'!$L$143+'PTRM input'!$L$109)*$L$7)/A1taxstdlife))</f>
        <v>0</v>
      </c>
      <c r="X487" s="107">
        <f>IF(A1taxstdlife="n/a","n/a",IF(X$3&gt;(A1taxstdlife+$E487),(('PTRM input'!$L$143+'PTRM input'!$L$109)*$L$7)-SUM($L487:W487),(('PTRM input'!$L$143+'PTRM input'!$L$109)*$L$7)/A1taxstdlife))</f>
        <v>0</v>
      </c>
      <c r="Y487" s="107">
        <f>IF(A1taxstdlife="n/a","n/a",IF(Y$3&gt;(A1taxstdlife+$E487),(('PTRM input'!$L$143+'PTRM input'!$L$109)*$L$7)-SUM($L487:X487),(('PTRM input'!$L$143+'PTRM input'!$L$109)*$L$7)/A1taxstdlife))</f>
        <v>0</v>
      </c>
      <c r="Z487" s="107">
        <f>IF(A1taxstdlife="n/a","n/a",IF(Z$3&gt;(A1taxstdlife+$E487),(('PTRM input'!$L$143+'PTRM input'!$L$109)*$L$7)-SUM($L487:Y487),(('PTRM input'!$L$143+'PTRM input'!$L$109)*$L$7)/A1taxstdlife))</f>
        <v>0</v>
      </c>
      <c r="AA487" s="107">
        <f>IF(A1taxstdlife="n/a","n/a",IF(AA$3&gt;(A1taxstdlife+$E487),(('PTRM input'!$L$143+'PTRM input'!$L$109)*$L$7)-SUM($L487:Z487),(('PTRM input'!$L$143+'PTRM input'!$L$109)*$L$7)/A1taxstdlife))</f>
        <v>0</v>
      </c>
      <c r="AB487" s="107">
        <f>IF(A1taxstdlife="n/a","n/a",IF(AB$3&gt;(A1taxstdlife+$E487),(('PTRM input'!$L$143+'PTRM input'!$L$109)*$L$7)-SUM($L487:AA487),(('PTRM input'!$L$143+'PTRM input'!$L$109)*$L$7)/A1taxstdlife))</f>
        <v>0</v>
      </c>
      <c r="AC487" s="107">
        <f>IF(A1taxstdlife="n/a","n/a",IF(AC$3&gt;(A1taxstdlife+$E487),(('PTRM input'!$L$143+'PTRM input'!$L$109)*$L$7)-SUM($L487:AB487),(('PTRM input'!$L$143+'PTRM input'!$L$109)*$L$7)/A1taxstdlife))</f>
        <v>0</v>
      </c>
      <c r="AD487" s="107">
        <f>IF(A1taxstdlife="n/a","n/a",IF(AD$3&gt;(A1taxstdlife+$E487),(('PTRM input'!$L$143+'PTRM input'!$L$109)*$L$7)-SUM($L487:AC487),(('PTRM input'!$L$143+'PTRM input'!$L$109)*$L$7)/A1taxstdlife))</f>
        <v>0</v>
      </c>
      <c r="AE487" s="107">
        <f>IF(A1taxstdlife="n/a","n/a",IF(AE$3&gt;(A1taxstdlife+$E487),(('PTRM input'!$L$143+'PTRM input'!$L$109)*$L$7)-SUM($L487:AD487),(('PTRM input'!$L$143+'PTRM input'!$L$109)*$L$7)/A1taxstdlife))</f>
        <v>0</v>
      </c>
      <c r="AF487" s="107">
        <f>IF(A1taxstdlife="n/a","n/a",IF(AF$3&gt;(A1taxstdlife+$E487),(('PTRM input'!$L$143+'PTRM input'!$L$109)*$L$7)-SUM($L487:AE487),(('PTRM input'!$L$143+'PTRM input'!$L$109)*$L$7)/A1taxstdlife))</f>
        <v>0</v>
      </c>
      <c r="AG487" s="107">
        <f>IF(A1taxstdlife="n/a","n/a",IF(AG$3&gt;(A1taxstdlife+$E487),(('PTRM input'!$L$143+'PTRM input'!$L$109)*$L$7)-SUM($L487:AF487),(('PTRM input'!$L$143+'PTRM input'!$L$109)*$L$7)/A1taxstdlife))</f>
        <v>0</v>
      </c>
      <c r="AH487" s="107">
        <f>IF(A1taxstdlife="n/a","n/a",IF(AH$3&gt;(A1taxstdlife+$E487),(('PTRM input'!$L$143+'PTRM input'!$L$109)*$L$7)-SUM($L487:AG487),(('PTRM input'!$L$143+'PTRM input'!$L$109)*$L$7)/A1taxstdlife))</f>
        <v>0</v>
      </c>
      <c r="AI487" s="107">
        <f>IF(A1taxstdlife="n/a","n/a",IF(AI$3&gt;(A1taxstdlife+$E487),(('PTRM input'!$L$143+'PTRM input'!$L$109)*$L$7)-SUM($L487:AH487),(('PTRM input'!$L$143+'PTRM input'!$L$109)*$L$7)/A1taxstdlife))</f>
        <v>0</v>
      </c>
      <c r="AJ487" s="107">
        <f>IF(A1taxstdlife="n/a","n/a",IF(AJ$3&gt;(A1taxstdlife+$E487),(('PTRM input'!$L$143+'PTRM input'!$L$109)*$L$7)-SUM($L487:AI487),(('PTRM input'!$L$143+'PTRM input'!$L$109)*$L$7)/A1taxstdlife))</f>
        <v>0</v>
      </c>
      <c r="AK487" s="107">
        <f>IF(A1taxstdlife="n/a","n/a",IF(AK$3&gt;(A1taxstdlife+$E487),(('PTRM input'!$L$143+'PTRM input'!$L$109)*$L$7)-SUM($L487:AJ487),(('PTRM input'!$L$143+'PTRM input'!$L$109)*$L$7)/A1taxstdlife))</f>
        <v>0</v>
      </c>
      <c r="AL487" s="107">
        <f>IF(A1taxstdlife="n/a","n/a",IF(AL$3&gt;(A1taxstdlife+$E487),(('PTRM input'!$L$143+'PTRM input'!$L$109)*$L$7)-SUM($L487:AK487),(('PTRM input'!$L$143+'PTRM input'!$L$109)*$L$7)/A1taxstdlife))</f>
        <v>0</v>
      </c>
      <c r="AM487" s="107">
        <f>IF(A1taxstdlife="n/a","n/a",IF(AM$3&gt;(A1taxstdlife+$E487),(('PTRM input'!$L$143+'PTRM input'!$L$109)*$L$7)-SUM($L487:AL487),(('PTRM input'!$L$143+'PTRM input'!$L$109)*$L$7)/A1taxstdlife))</f>
        <v>0</v>
      </c>
      <c r="AN487" s="107">
        <f>IF(A1taxstdlife="n/a","n/a",IF(AN$3&gt;(A1taxstdlife+$E487),(('PTRM input'!$L$143+'PTRM input'!$L$109)*$L$7)-SUM($L487:AM487),(('PTRM input'!$L$143+'PTRM input'!$L$109)*$L$7)/A1taxstdlife))</f>
        <v>0</v>
      </c>
      <c r="AO487" s="107">
        <f>IF(A1taxstdlife="n/a","n/a",IF(AO$3&gt;(A1taxstdlife+$E487),(('PTRM input'!$L$143+'PTRM input'!$L$109)*$L$7)-SUM($L487:AN487),(('PTRM input'!$L$143+'PTRM input'!$L$109)*$L$7)/A1taxstdlife))</f>
        <v>0</v>
      </c>
      <c r="AP487" s="107">
        <f>IF(A1taxstdlife="n/a","n/a",IF(AP$3&gt;(A1taxstdlife+$E487),(('PTRM input'!$L$143+'PTRM input'!$L$109)*$L$7)-SUM($L487:AO487),(('PTRM input'!$L$143+'PTRM input'!$L$109)*$L$7)/A1taxstdlife))</f>
        <v>0</v>
      </c>
      <c r="AQ487" s="107">
        <f>IF(A1taxstdlife="n/a","n/a",IF(AQ$3&gt;(A1taxstdlife+$E487),(('PTRM input'!$L$143+'PTRM input'!$L$109)*$L$7)-SUM($L487:AP487),(('PTRM input'!$L$143+'PTRM input'!$L$109)*$L$7)/A1taxstdlife))</f>
        <v>0</v>
      </c>
      <c r="AR487" s="107">
        <f>IF(A1taxstdlife="n/a","n/a",IF(AR$3&gt;(A1taxstdlife+$E487),(('PTRM input'!$L$143+'PTRM input'!$L$109)*$L$7)-SUM($L487:AQ487),(('PTRM input'!$L$143+'PTRM input'!$L$109)*$L$7)/A1taxstdlife))</f>
        <v>0</v>
      </c>
      <c r="AS487" s="107">
        <f>IF(A1taxstdlife="n/a","n/a",IF(AS$3&gt;(A1taxstdlife+$E487),(('PTRM input'!$L$143+'PTRM input'!$L$109)*$L$7)-SUM($L487:AR487),(('PTRM input'!$L$143+'PTRM input'!$L$109)*$L$7)/A1taxstdlife))</f>
        <v>0</v>
      </c>
      <c r="AT487" s="107">
        <f>IF(A1taxstdlife="n/a","n/a",IF(AT$3&gt;(A1taxstdlife+$E487),(('PTRM input'!$L$143+'PTRM input'!$L$109)*$L$7)-SUM($L487:AS487),(('PTRM input'!$L$143+'PTRM input'!$L$109)*$L$7)/A1taxstdlife))</f>
        <v>0</v>
      </c>
      <c r="AU487" s="107">
        <f>IF(A1taxstdlife="n/a","n/a",IF(AU$3&gt;(A1taxstdlife+$E487),(('PTRM input'!$L$143+'PTRM input'!$L$109)*$L$7)-SUM($L487:AT487),(('PTRM input'!$L$143+'PTRM input'!$L$109)*$L$7)/A1taxstdlife))</f>
        <v>0</v>
      </c>
      <c r="AV487" s="107">
        <f>IF(A1taxstdlife="n/a","n/a",IF(AV$3&gt;(A1taxstdlife+$E487),(('PTRM input'!$L$143+'PTRM input'!$L$109)*$L$7)-SUM($L487:AU487),(('PTRM input'!$L$143+'PTRM input'!$L$109)*$L$7)/A1taxstdlife))</f>
        <v>0</v>
      </c>
      <c r="AW487" s="107">
        <f>IF(A1taxstdlife="n/a","n/a",IF(AW$3&gt;(A1taxstdlife+$E487),(('PTRM input'!$L$143+'PTRM input'!$L$109)*$L$7)-SUM($L487:AV487),(('PTRM input'!$L$143+'PTRM input'!$L$109)*$L$7)/A1taxstdlife))</f>
        <v>0</v>
      </c>
      <c r="AX487" s="107">
        <f>IF(A1taxstdlife="n/a","n/a",IF(AX$3&gt;(A1taxstdlife+$E487),(('PTRM input'!$L$143+'PTRM input'!$L$109)*$L$7)-SUM($L487:AW487),(('PTRM input'!$L$143+'PTRM input'!$L$109)*$L$7)/A1taxstdlife))</f>
        <v>0</v>
      </c>
      <c r="AY487" s="107">
        <f>IF(A1taxstdlife="n/a","n/a",IF(AY$3&gt;(A1taxstdlife+$E487),(('PTRM input'!$L$143+'PTRM input'!$L$109)*$L$7)-SUM($L487:AX487),(('PTRM input'!$L$143+'PTRM input'!$L$109)*$L$7)/A1taxstdlife))</f>
        <v>0</v>
      </c>
      <c r="AZ487" s="107">
        <f>IF(A1taxstdlife="n/a","n/a",IF(AZ$3&gt;(A1taxstdlife+$E487),(('PTRM input'!$L$143+'PTRM input'!$L$109)*$L$7)-SUM($L487:AY487),(('PTRM input'!$L$143+'PTRM input'!$L$109)*$L$7)/A1taxstdlife))</f>
        <v>0</v>
      </c>
      <c r="BA487" s="107">
        <f>IF(A1taxstdlife="n/a","n/a",IF(BA$3&gt;(A1taxstdlife+$E487),(('PTRM input'!$L$143+'PTRM input'!$L$109)*$L$7)-SUM($L487:AZ487),(('PTRM input'!$L$143+'PTRM input'!$L$109)*$L$7)/A1taxstdlife))</f>
        <v>0</v>
      </c>
      <c r="BB487" s="107">
        <f>IF(A1taxstdlife="n/a","n/a",IF(BB$3&gt;(A1taxstdlife+$E487),(('PTRM input'!$L$143+'PTRM input'!$L$109)*$L$7)-SUM($L487:BA487),(('PTRM input'!$L$143+'PTRM input'!$L$109)*$L$7)/A1taxstdlife))</f>
        <v>0</v>
      </c>
      <c r="BC487" s="107">
        <f>IF(A1taxstdlife="n/a","n/a",IF(BC$3&gt;(A1taxstdlife+$E487),(('PTRM input'!$L$143+'PTRM input'!$L$109)*$L$7)-SUM($L487:BB487),(('PTRM input'!$L$143+'PTRM input'!$L$109)*$L$7)/A1taxstdlife))</f>
        <v>0</v>
      </c>
      <c r="BD487" s="107">
        <f>IF(A1taxstdlife="n/a","n/a",IF(BD$3&gt;(A1taxstdlife+$E487),(('PTRM input'!$L$143+'PTRM input'!$L$109)*$L$7)-SUM($L487:BC487),(('PTRM input'!$L$143+'PTRM input'!$L$109)*$L$7)/A1taxstdlife))</f>
        <v>0</v>
      </c>
      <c r="BE487" s="107">
        <f>IF(A1taxstdlife="n/a","n/a",IF(BE$3&gt;(A1taxstdlife+$E487),(('PTRM input'!$L$143+'PTRM input'!$L$109)*$L$7)-SUM($L487:BD487),(('PTRM input'!$L$143+'PTRM input'!$L$109)*$L$7)/A1taxstdlife))</f>
        <v>0</v>
      </c>
      <c r="BF487" s="107">
        <f>IF(A1taxstdlife="n/a","n/a",IF(BF$3&gt;(A1taxstdlife+$E487),(('PTRM input'!$L$143+'PTRM input'!$L$109)*$L$7)-SUM($L487:BE487),(('PTRM input'!$L$143+'PTRM input'!$L$109)*$L$7)/A1taxstdlife))</f>
        <v>0</v>
      </c>
      <c r="BG487" s="107">
        <f>IF(A1taxstdlife="n/a","n/a",IF(BG$3&gt;(A1taxstdlife+$E487),(('PTRM input'!$L$143+'PTRM input'!$L$109)*$L$7)-SUM($L487:BF487),(('PTRM input'!$L$143+'PTRM input'!$L$109)*$L$7)/A1taxstdlife))</f>
        <v>0</v>
      </c>
      <c r="BH487" s="107">
        <f>IF(A1taxstdlife="n/a","n/a",IF(BH$3&gt;(A1taxstdlife+$E487),(('PTRM input'!$L$143+'PTRM input'!$L$109)*$L$7)-SUM($L487:BG487),(('PTRM input'!$L$143+'PTRM input'!$L$109)*$L$7)/A1taxstdlife))</f>
        <v>0</v>
      </c>
      <c r="BI487" s="107">
        <f>IF(A1taxstdlife="n/a","n/a",IF(BI$3&gt;(A1taxstdlife+$E487),(('PTRM input'!$L$143+'PTRM input'!$L$109)*$L$7)-SUM($L487:BH487),(('PTRM input'!$L$143+'PTRM input'!$L$109)*$L$7)/A1taxstdlife))</f>
        <v>0</v>
      </c>
      <c r="BJ487" s="18"/>
      <c r="BK487" s="18"/>
      <c r="BL487" s="18"/>
      <c r="BM487" s="18"/>
    </row>
    <row r="488" spans="1:65" s="4" customFormat="1" hidden="1" outlineLevel="2">
      <c r="A488" s="18"/>
      <c r="B488" s="33"/>
      <c r="C488" s="32"/>
      <c r="D488" s="1618"/>
      <c r="E488" s="169">
        <v>7</v>
      </c>
      <c r="F488" s="35"/>
      <c r="G488" s="184"/>
      <c r="H488" s="1443"/>
      <c r="I488" s="186"/>
      <c r="J488" s="186"/>
      <c r="K488" s="186"/>
      <c r="L488" s="186"/>
      <c r="M488" s="185"/>
      <c r="N488" s="107">
        <f>IF(A1taxstdlife="n/a","n/a",IF(N$3&gt;(A1taxstdlife+$E488),(('PTRM input'!$M$143+'PTRM input'!$M$109)*$M$7)-SUM($M488:M488),(('PTRM input'!$M$143+'PTRM input'!$M$109)*$M$7)/A1taxstdlife))</f>
        <v>0</v>
      </c>
      <c r="O488" s="107">
        <f>IF(A1taxstdlife="n/a","n/a",IF(O$3&gt;(A1taxstdlife+$E488),(('PTRM input'!$M$143+'PTRM input'!$M$109)*$M$7)-SUM($M488:N488),(('PTRM input'!$M$143+'PTRM input'!$M$109)*$M$7)/A1taxstdlife))</f>
        <v>0</v>
      </c>
      <c r="P488" s="107">
        <f>IF(A1taxstdlife="n/a","n/a",IF(P$3&gt;(A1taxstdlife+$E488),(('PTRM input'!$M$143+'PTRM input'!$M$109)*$M$7)-SUM($M488:O488),(('PTRM input'!$M$143+'PTRM input'!$M$109)*$M$7)/A1taxstdlife))</f>
        <v>0</v>
      </c>
      <c r="Q488" s="107">
        <f>IF(A1taxstdlife="n/a","n/a",IF(Q$3&gt;(A1taxstdlife+$E488),(('PTRM input'!$M$143+'PTRM input'!$M$109)*$M$7)-SUM($M488:P488),(('PTRM input'!$M$143+'PTRM input'!$M$109)*$M$7)/A1taxstdlife))</f>
        <v>0</v>
      </c>
      <c r="R488" s="107">
        <f>IF(A1taxstdlife="n/a","n/a",IF(R$3&gt;(A1taxstdlife+$E488),(('PTRM input'!$M$143+'PTRM input'!$M$109)*$M$7)-SUM($M488:Q488),(('PTRM input'!$M$143+'PTRM input'!$M$109)*$M$7)/A1taxstdlife))</f>
        <v>0</v>
      </c>
      <c r="S488" s="107">
        <f>IF(A1taxstdlife="n/a","n/a",IF(S$3&gt;(A1taxstdlife+$E488),(('PTRM input'!$M$143+'PTRM input'!$M$109)*$M$7)-SUM($M488:R488),(('PTRM input'!$M$143+'PTRM input'!$M$109)*$M$7)/A1taxstdlife))</f>
        <v>0</v>
      </c>
      <c r="T488" s="107">
        <f>IF(A1taxstdlife="n/a","n/a",IF(T$3&gt;(A1taxstdlife+$E488),(('PTRM input'!$M$143+'PTRM input'!$M$109)*$M$7)-SUM($M488:S488),(('PTRM input'!$M$143+'PTRM input'!$M$109)*$M$7)/A1taxstdlife))</f>
        <v>0</v>
      </c>
      <c r="U488" s="107">
        <f>IF(A1taxstdlife="n/a","n/a",IF(U$3&gt;(A1taxstdlife+$E488),(('PTRM input'!$M$143+'PTRM input'!$M$109)*$M$7)-SUM($M488:T488),(('PTRM input'!$M$143+'PTRM input'!$M$109)*$M$7)/A1taxstdlife))</f>
        <v>0</v>
      </c>
      <c r="V488" s="107">
        <f>IF(A1taxstdlife="n/a","n/a",IF(V$3&gt;(A1taxstdlife+$E488),(('PTRM input'!$M$143+'PTRM input'!$M$109)*$M$7)-SUM($M488:U488),(('PTRM input'!$M$143+'PTRM input'!$M$109)*$M$7)/A1taxstdlife))</f>
        <v>0</v>
      </c>
      <c r="W488" s="107">
        <f>IF(A1taxstdlife="n/a","n/a",IF(W$3&gt;(A1taxstdlife+$E488),(('PTRM input'!$M$143+'PTRM input'!$M$109)*$M$7)-SUM($M488:V488),(('PTRM input'!$M$143+'PTRM input'!$M$109)*$M$7)/A1taxstdlife))</f>
        <v>0</v>
      </c>
      <c r="X488" s="107">
        <f>IF(A1taxstdlife="n/a","n/a",IF(X$3&gt;(A1taxstdlife+$E488),(('PTRM input'!$M$143+'PTRM input'!$M$109)*$M$7)-SUM($M488:W488),(('PTRM input'!$M$143+'PTRM input'!$M$109)*$M$7)/A1taxstdlife))</f>
        <v>0</v>
      </c>
      <c r="Y488" s="107">
        <f>IF(A1taxstdlife="n/a","n/a",IF(Y$3&gt;(A1taxstdlife+$E488),(('PTRM input'!$M$143+'PTRM input'!$M$109)*$M$7)-SUM($M488:X488),(('PTRM input'!$M$143+'PTRM input'!$M$109)*$M$7)/A1taxstdlife))</f>
        <v>0</v>
      </c>
      <c r="Z488" s="107">
        <f>IF(A1taxstdlife="n/a","n/a",IF(Z$3&gt;(A1taxstdlife+$E488),(('PTRM input'!$M$143+'PTRM input'!$M$109)*$M$7)-SUM($M488:Y488),(('PTRM input'!$M$143+'PTRM input'!$M$109)*$M$7)/A1taxstdlife))</f>
        <v>0</v>
      </c>
      <c r="AA488" s="107">
        <f>IF(A1taxstdlife="n/a","n/a",IF(AA$3&gt;(A1taxstdlife+$E488),(('PTRM input'!$M$143+'PTRM input'!$M$109)*$M$7)-SUM($M488:Z488),(('PTRM input'!$M$143+'PTRM input'!$M$109)*$M$7)/A1taxstdlife))</f>
        <v>0</v>
      </c>
      <c r="AB488" s="107">
        <f>IF(A1taxstdlife="n/a","n/a",IF(AB$3&gt;(A1taxstdlife+$E488),(('PTRM input'!$M$143+'PTRM input'!$M$109)*$M$7)-SUM($M488:AA488),(('PTRM input'!$M$143+'PTRM input'!$M$109)*$M$7)/A1taxstdlife))</f>
        <v>0</v>
      </c>
      <c r="AC488" s="107">
        <f>IF(A1taxstdlife="n/a","n/a",IF(AC$3&gt;(A1taxstdlife+$E488),(('PTRM input'!$M$143+'PTRM input'!$M$109)*$M$7)-SUM($M488:AB488),(('PTRM input'!$M$143+'PTRM input'!$M$109)*$M$7)/A1taxstdlife))</f>
        <v>0</v>
      </c>
      <c r="AD488" s="107">
        <f>IF(A1taxstdlife="n/a","n/a",IF(AD$3&gt;(A1taxstdlife+$E488),(('PTRM input'!$M$143+'PTRM input'!$M$109)*$M$7)-SUM($M488:AC488),(('PTRM input'!$M$143+'PTRM input'!$M$109)*$M$7)/A1taxstdlife))</f>
        <v>0</v>
      </c>
      <c r="AE488" s="107">
        <f>IF(A1taxstdlife="n/a","n/a",IF(AE$3&gt;(A1taxstdlife+$E488),(('PTRM input'!$M$143+'PTRM input'!$M$109)*$M$7)-SUM($M488:AD488),(('PTRM input'!$M$143+'PTRM input'!$M$109)*$M$7)/A1taxstdlife))</f>
        <v>0</v>
      </c>
      <c r="AF488" s="107">
        <f>IF(A1taxstdlife="n/a","n/a",IF(AF$3&gt;(A1taxstdlife+$E488),(('PTRM input'!$M$143+'PTRM input'!$M$109)*$M$7)-SUM($M488:AE488),(('PTRM input'!$M$143+'PTRM input'!$M$109)*$M$7)/A1taxstdlife))</f>
        <v>0</v>
      </c>
      <c r="AG488" s="107">
        <f>IF(A1taxstdlife="n/a","n/a",IF(AG$3&gt;(A1taxstdlife+$E488),(('PTRM input'!$M$143+'PTRM input'!$M$109)*$M$7)-SUM($M488:AF488),(('PTRM input'!$M$143+'PTRM input'!$M$109)*$M$7)/A1taxstdlife))</f>
        <v>0</v>
      </c>
      <c r="AH488" s="107">
        <f>IF(A1taxstdlife="n/a","n/a",IF(AH$3&gt;(A1taxstdlife+$E488),(('PTRM input'!$M$143+'PTRM input'!$M$109)*$M$7)-SUM($M488:AG488),(('PTRM input'!$M$143+'PTRM input'!$M$109)*$M$7)/A1taxstdlife))</f>
        <v>0</v>
      </c>
      <c r="AI488" s="107">
        <f>IF(A1taxstdlife="n/a","n/a",IF(AI$3&gt;(A1taxstdlife+$E488),(('PTRM input'!$M$143+'PTRM input'!$M$109)*$M$7)-SUM($M488:AH488),(('PTRM input'!$M$143+'PTRM input'!$M$109)*$M$7)/A1taxstdlife))</f>
        <v>0</v>
      </c>
      <c r="AJ488" s="107">
        <f>IF(A1taxstdlife="n/a","n/a",IF(AJ$3&gt;(A1taxstdlife+$E488),(('PTRM input'!$M$143+'PTRM input'!$M$109)*$M$7)-SUM($M488:AI488),(('PTRM input'!$M$143+'PTRM input'!$M$109)*$M$7)/A1taxstdlife))</f>
        <v>0</v>
      </c>
      <c r="AK488" s="107">
        <f>IF(A1taxstdlife="n/a","n/a",IF(AK$3&gt;(A1taxstdlife+$E488),(('PTRM input'!$M$143+'PTRM input'!$M$109)*$M$7)-SUM($M488:AJ488),(('PTRM input'!$M$143+'PTRM input'!$M$109)*$M$7)/A1taxstdlife))</f>
        <v>0</v>
      </c>
      <c r="AL488" s="107">
        <f>IF(A1taxstdlife="n/a","n/a",IF(AL$3&gt;(A1taxstdlife+$E488),(('PTRM input'!$M$143+'PTRM input'!$M$109)*$M$7)-SUM($M488:AK488),(('PTRM input'!$M$143+'PTRM input'!$M$109)*$M$7)/A1taxstdlife))</f>
        <v>0</v>
      </c>
      <c r="AM488" s="107">
        <f>IF(A1taxstdlife="n/a","n/a",IF(AM$3&gt;(A1taxstdlife+$E488),(('PTRM input'!$M$143+'PTRM input'!$M$109)*$M$7)-SUM($M488:AL488),(('PTRM input'!$M$143+'PTRM input'!$M$109)*$M$7)/A1taxstdlife))</f>
        <v>0</v>
      </c>
      <c r="AN488" s="107">
        <f>IF(A1taxstdlife="n/a","n/a",IF(AN$3&gt;(A1taxstdlife+$E488),(('PTRM input'!$M$143+'PTRM input'!$M$109)*$M$7)-SUM($M488:AM488),(('PTRM input'!$M$143+'PTRM input'!$M$109)*$M$7)/A1taxstdlife))</f>
        <v>0</v>
      </c>
      <c r="AO488" s="107">
        <f>IF(A1taxstdlife="n/a","n/a",IF(AO$3&gt;(A1taxstdlife+$E488),(('PTRM input'!$M$143+'PTRM input'!$M$109)*$M$7)-SUM($M488:AN488),(('PTRM input'!$M$143+'PTRM input'!$M$109)*$M$7)/A1taxstdlife))</f>
        <v>0</v>
      </c>
      <c r="AP488" s="107">
        <f>IF(A1taxstdlife="n/a","n/a",IF(AP$3&gt;(A1taxstdlife+$E488),(('PTRM input'!$M$143+'PTRM input'!$M$109)*$M$7)-SUM($M488:AO488),(('PTRM input'!$M$143+'PTRM input'!$M$109)*$M$7)/A1taxstdlife))</f>
        <v>0</v>
      </c>
      <c r="AQ488" s="107">
        <f>IF(A1taxstdlife="n/a","n/a",IF(AQ$3&gt;(A1taxstdlife+$E488),(('PTRM input'!$M$143+'PTRM input'!$M$109)*$M$7)-SUM($M488:AP488),(('PTRM input'!$M$143+'PTRM input'!$M$109)*$M$7)/A1taxstdlife))</f>
        <v>0</v>
      </c>
      <c r="AR488" s="107">
        <f>IF(A1taxstdlife="n/a","n/a",IF(AR$3&gt;(A1taxstdlife+$E488),(('PTRM input'!$M$143+'PTRM input'!$M$109)*$M$7)-SUM($M488:AQ488),(('PTRM input'!$M$143+'PTRM input'!$M$109)*$M$7)/A1taxstdlife))</f>
        <v>0</v>
      </c>
      <c r="AS488" s="107">
        <f>IF(A1taxstdlife="n/a","n/a",IF(AS$3&gt;(A1taxstdlife+$E488),(('PTRM input'!$M$143+'PTRM input'!$M$109)*$M$7)-SUM($M488:AR488),(('PTRM input'!$M$143+'PTRM input'!$M$109)*$M$7)/A1taxstdlife))</f>
        <v>0</v>
      </c>
      <c r="AT488" s="107">
        <f>IF(A1taxstdlife="n/a","n/a",IF(AT$3&gt;(A1taxstdlife+$E488),(('PTRM input'!$M$143+'PTRM input'!$M$109)*$M$7)-SUM($M488:AS488),(('PTRM input'!$M$143+'PTRM input'!$M$109)*$M$7)/A1taxstdlife))</f>
        <v>0</v>
      </c>
      <c r="AU488" s="107">
        <f>IF(A1taxstdlife="n/a","n/a",IF(AU$3&gt;(A1taxstdlife+$E488),(('PTRM input'!$M$143+'PTRM input'!$M$109)*$M$7)-SUM($M488:AT488),(('PTRM input'!$M$143+'PTRM input'!$M$109)*$M$7)/A1taxstdlife))</f>
        <v>0</v>
      </c>
      <c r="AV488" s="107">
        <f>IF(A1taxstdlife="n/a","n/a",IF(AV$3&gt;(A1taxstdlife+$E488),(('PTRM input'!$M$143+'PTRM input'!$M$109)*$M$7)-SUM($M488:AU488),(('PTRM input'!$M$143+'PTRM input'!$M$109)*$M$7)/A1taxstdlife))</f>
        <v>0</v>
      </c>
      <c r="AW488" s="107">
        <f>IF(A1taxstdlife="n/a","n/a",IF(AW$3&gt;(A1taxstdlife+$E488),(('PTRM input'!$M$143+'PTRM input'!$M$109)*$M$7)-SUM($M488:AV488),(('PTRM input'!$M$143+'PTRM input'!$M$109)*$M$7)/A1taxstdlife))</f>
        <v>0</v>
      </c>
      <c r="AX488" s="107">
        <f>IF(A1taxstdlife="n/a","n/a",IF(AX$3&gt;(A1taxstdlife+$E488),(('PTRM input'!$M$143+'PTRM input'!$M$109)*$M$7)-SUM($M488:AW488),(('PTRM input'!$M$143+'PTRM input'!$M$109)*$M$7)/A1taxstdlife))</f>
        <v>0</v>
      </c>
      <c r="AY488" s="107">
        <f>IF(A1taxstdlife="n/a","n/a",IF(AY$3&gt;(A1taxstdlife+$E488),(('PTRM input'!$M$143+'PTRM input'!$M$109)*$M$7)-SUM($M488:AX488),(('PTRM input'!$M$143+'PTRM input'!$M$109)*$M$7)/A1taxstdlife))</f>
        <v>0</v>
      </c>
      <c r="AZ488" s="107">
        <f>IF(A1taxstdlife="n/a","n/a",IF(AZ$3&gt;(A1taxstdlife+$E488),(('PTRM input'!$M$143+'PTRM input'!$M$109)*$M$7)-SUM($M488:AY488),(('PTRM input'!$M$143+'PTRM input'!$M$109)*$M$7)/A1taxstdlife))</f>
        <v>0</v>
      </c>
      <c r="BA488" s="107">
        <f>IF(A1taxstdlife="n/a","n/a",IF(BA$3&gt;(A1taxstdlife+$E488),(('PTRM input'!$M$143+'PTRM input'!$M$109)*$M$7)-SUM($M488:AZ488),(('PTRM input'!$M$143+'PTRM input'!$M$109)*$M$7)/A1taxstdlife))</f>
        <v>0</v>
      </c>
      <c r="BB488" s="107">
        <f>IF(A1taxstdlife="n/a","n/a",IF(BB$3&gt;(A1taxstdlife+$E488),(('PTRM input'!$M$143+'PTRM input'!$M$109)*$M$7)-SUM($M488:BA488),(('PTRM input'!$M$143+'PTRM input'!$M$109)*$M$7)/A1taxstdlife))</f>
        <v>0</v>
      </c>
      <c r="BC488" s="107">
        <f>IF(A1taxstdlife="n/a","n/a",IF(BC$3&gt;(A1taxstdlife+$E488),(('PTRM input'!$M$143+'PTRM input'!$M$109)*$M$7)-SUM($M488:BB488),(('PTRM input'!$M$143+'PTRM input'!$M$109)*$M$7)/A1taxstdlife))</f>
        <v>0</v>
      </c>
      <c r="BD488" s="107">
        <f>IF(A1taxstdlife="n/a","n/a",IF(BD$3&gt;(A1taxstdlife+$E488),(('PTRM input'!$M$143+'PTRM input'!$M$109)*$M$7)-SUM($M488:BC488),(('PTRM input'!$M$143+'PTRM input'!$M$109)*$M$7)/A1taxstdlife))</f>
        <v>0</v>
      </c>
      <c r="BE488" s="107">
        <f>IF(A1taxstdlife="n/a","n/a",IF(BE$3&gt;(A1taxstdlife+$E488),(('PTRM input'!$M$143+'PTRM input'!$M$109)*$M$7)-SUM($M488:BD488),(('PTRM input'!$M$143+'PTRM input'!$M$109)*$M$7)/A1taxstdlife))</f>
        <v>0</v>
      </c>
      <c r="BF488" s="107">
        <f>IF(A1taxstdlife="n/a","n/a",IF(BF$3&gt;(A1taxstdlife+$E488),(('PTRM input'!$M$143+'PTRM input'!$M$109)*$M$7)-SUM($M488:BE488),(('PTRM input'!$M$143+'PTRM input'!$M$109)*$M$7)/A1taxstdlife))</f>
        <v>0</v>
      </c>
      <c r="BG488" s="107">
        <f>IF(A1taxstdlife="n/a","n/a",IF(BG$3&gt;(A1taxstdlife+$E488),(('PTRM input'!$M$143+'PTRM input'!$M$109)*$M$7)-SUM($M488:BF488),(('PTRM input'!$M$143+'PTRM input'!$M$109)*$M$7)/A1taxstdlife))</f>
        <v>0</v>
      </c>
      <c r="BH488" s="107">
        <f>IF(A1taxstdlife="n/a","n/a",IF(BH$3&gt;(A1taxstdlife+$E488),(('PTRM input'!$M$143+'PTRM input'!$M$109)*$M$7)-SUM($M488:BG488),(('PTRM input'!$M$143+'PTRM input'!$M$109)*$M$7)/A1taxstdlife))</f>
        <v>0</v>
      </c>
      <c r="BI488" s="107">
        <f>IF(A1taxstdlife="n/a","n/a",IF(BI$3&gt;(A1taxstdlife+$E488),(('PTRM input'!$M$143+'PTRM input'!$M$109)*$M$7)-SUM($M488:BH488),(('PTRM input'!$M$143+'PTRM input'!$M$109)*$M$7)/A1taxstdlife))</f>
        <v>0</v>
      </c>
      <c r="BJ488" s="18"/>
      <c r="BK488" s="18"/>
      <c r="BL488" s="18"/>
      <c r="BM488" s="18"/>
    </row>
    <row r="489" spans="1:65" s="4" customFormat="1" hidden="1" outlineLevel="2">
      <c r="A489" s="18"/>
      <c r="B489" s="33"/>
      <c r="C489" s="32"/>
      <c r="D489" s="1618"/>
      <c r="E489" s="169">
        <v>8</v>
      </c>
      <c r="F489" s="35"/>
      <c r="G489" s="184"/>
      <c r="H489" s="1443"/>
      <c r="I489" s="186"/>
      <c r="J489" s="186"/>
      <c r="K489" s="186"/>
      <c r="L489" s="186"/>
      <c r="M489" s="186"/>
      <c r="N489" s="185"/>
      <c r="O489" s="107">
        <f>IF(A1taxstdlife="n/a","n/a",IF(O$3&gt;(A1taxstdlife+$E489),(('PTRM input'!$N$143+'PTRM input'!$N$109)*$N$7)-SUM($N489:N489),(('PTRM input'!$N$143+'PTRM input'!$N$109)*$N$7)/A1taxstdlife))</f>
        <v>0</v>
      </c>
      <c r="P489" s="107">
        <f>IF(A1taxstdlife="n/a","n/a",IF(P$3&gt;(A1taxstdlife+$E489),(('PTRM input'!$N$143+'PTRM input'!$N$109)*$N$7)-SUM($N489:O489),(('PTRM input'!$N$143+'PTRM input'!$N$109)*$N$7)/A1taxstdlife))</f>
        <v>0</v>
      </c>
      <c r="Q489" s="107">
        <f>IF(A1taxstdlife="n/a","n/a",IF(Q$3&gt;(A1taxstdlife+$E489),(('PTRM input'!$N$143+'PTRM input'!$N$109)*$N$7)-SUM($N489:P489),(('PTRM input'!$N$143+'PTRM input'!$N$109)*$N$7)/A1taxstdlife))</f>
        <v>0</v>
      </c>
      <c r="R489" s="107">
        <f>IF(A1taxstdlife="n/a","n/a",IF(R$3&gt;(A1taxstdlife+$E489),(('PTRM input'!$N$143+'PTRM input'!$N$109)*$N$7)-SUM($N489:Q489),(('PTRM input'!$N$143+'PTRM input'!$N$109)*$N$7)/A1taxstdlife))</f>
        <v>0</v>
      </c>
      <c r="S489" s="107">
        <f>IF(A1taxstdlife="n/a","n/a",IF(S$3&gt;(A1taxstdlife+$E489),(('PTRM input'!$N$143+'PTRM input'!$N$109)*$N$7)-SUM($N489:R489),(('PTRM input'!$N$143+'PTRM input'!$N$109)*$N$7)/A1taxstdlife))</f>
        <v>0</v>
      </c>
      <c r="T489" s="107">
        <f>IF(A1taxstdlife="n/a","n/a",IF(T$3&gt;(A1taxstdlife+$E489),(('PTRM input'!$N$143+'PTRM input'!$N$109)*$N$7)-SUM($N489:S489),(('PTRM input'!$N$143+'PTRM input'!$N$109)*$N$7)/A1taxstdlife))</f>
        <v>0</v>
      </c>
      <c r="U489" s="107">
        <f>IF(A1taxstdlife="n/a","n/a",IF(U$3&gt;(A1taxstdlife+$E489),(('PTRM input'!$N$143+'PTRM input'!$N$109)*$N$7)-SUM($N489:T489),(('PTRM input'!$N$143+'PTRM input'!$N$109)*$N$7)/A1taxstdlife))</f>
        <v>0</v>
      </c>
      <c r="V489" s="107">
        <f>IF(A1taxstdlife="n/a","n/a",IF(V$3&gt;(A1taxstdlife+$E489),(('PTRM input'!$N$143+'PTRM input'!$N$109)*$N$7)-SUM($N489:U489),(('PTRM input'!$N$143+'PTRM input'!$N$109)*$N$7)/A1taxstdlife))</f>
        <v>0</v>
      </c>
      <c r="W489" s="107">
        <f>IF(A1taxstdlife="n/a","n/a",IF(W$3&gt;(A1taxstdlife+$E489),(('PTRM input'!$N$143+'PTRM input'!$N$109)*$N$7)-SUM($N489:V489),(('PTRM input'!$N$143+'PTRM input'!$N$109)*$N$7)/A1taxstdlife))</f>
        <v>0</v>
      </c>
      <c r="X489" s="107">
        <f>IF(A1taxstdlife="n/a","n/a",IF(X$3&gt;(A1taxstdlife+$E489),(('PTRM input'!$N$143+'PTRM input'!$N$109)*$N$7)-SUM($N489:W489),(('PTRM input'!$N$143+'PTRM input'!$N$109)*$N$7)/A1taxstdlife))</f>
        <v>0</v>
      </c>
      <c r="Y489" s="107">
        <f>IF(A1taxstdlife="n/a","n/a",IF(Y$3&gt;(A1taxstdlife+$E489),(('PTRM input'!$N$143+'PTRM input'!$N$109)*$N$7)-SUM($N489:X489),(('PTRM input'!$N$143+'PTRM input'!$N$109)*$N$7)/A1taxstdlife))</f>
        <v>0</v>
      </c>
      <c r="Z489" s="107">
        <f>IF(A1taxstdlife="n/a","n/a",IF(Z$3&gt;(A1taxstdlife+$E489),(('PTRM input'!$N$143+'PTRM input'!$N$109)*$N$7)-SUM($N489:Y489),(('PTRM input'!$N$143+'PTRM input'!$N$109)*$N$7)/A1taxstdlife))</f>
        <v>0</v>
      </c>
      <c r="AA489" s="107">
        <f>IF(A1taxstdlife="n/a","n/a",IF(AA$3&gt;(A1taxstdlife+$E489),(('PTRM input'!$N$143+'PTRM input'!$N$109)*$N$7)-SUM($N489:Z489),(('PTRM input'!$N$143+'PTRM input'!$N$109)*$N$7)/A1taxstdlife))</f>
        <v>0</v>
      </c>
      <c r="AB489" s="107">
        <f>IF(A1taxstdlife="n/a","n/a",IF(AB$3&gt;(A1taxstdlife+$E489),(('PTRM input'!$N$143+'PTRM input'!$N$109)*$N$7)-SUM($N489:AA489),(('PTRM input'!$N$143+'PTRM input'!$N$109)*$N$7)/A1taxstdlife))</f>
        <v>0</v>
      </c>
      <c r="AC489" s="107">
        <f>IF(A1taxstdlife="n/a","n/a",IF(AC$3&gt;(A1taxstdlife+$E489),(('PTRM input'!$N$143+'PTRM input'!$N$109)*$N$7)-SUM($N489:AB489),(('PTRM input'!$N$143+'PTRM input'!$N$109)*$N$7)/A1taxstdlife))</f>
        <v>0</v>
      </c>
      <c r="AD489" s="107">
        <f>IF(A1taxstdlife="n/a","n/a",IF(AD$3&gt;(A1taxstdlife+$E489),(('PTRM input'!$N$143+'PTRM input'!$N$109)*$N$7)-SUM($N489:AC489),(('PTRM input'!$N$143+'PTRM input'!$N$109)*$N$7)/A1taxstdlife))</f>
        <v>0</v>
      </c>
      <c r="AE489" s="107">
        <f>IF(A1taxstdlife="n/a","n/a",IF(AE$3&gt;(A1taxstdlife+$E489),(('PTRM input'!$N$143+'PTRM input'!$N$109)*$N$7)-SUM($N489:AD489),(('PTRM input'!$N$143+'PTRM input'!$N$109)*$N$7)/A1taxstdlife))</f>
        <v>0</v>
      </c>
      <c r="AF489" s="107">
        <f>IF(A1taxstdlife="n/a","n/a",IF(AF$3&gt;(A1taxstdlife+$E489),(('PTRM input'!$N$143+'PTRM input'!$N$109)*$N$7)-SUM($N489:AE489),(('PTRM input'!$N$143+'PTRM input'!$N$109)*$N$7)/A1taxstdlife))</f>
        <v>0</v>
      </c>
      <c r="AG489" s="107">
        <f>IF(A1taxstdlife="n/a","n/a",IF(AG$3&gt;(A1taxstdlife+$E489),(('PTRM input'!$N$143+'PTRM input'!$N$109)*$N$7)-SUM($N489:AF489),(('PTRM input'!$N$143+'PTRM input'!$N$109)*$N$7)/A1taxstdlife))</f>
        <v>0</v>
      </c>
      <c r="AH489" s="107">
        <f>IF(A1taxstdlife="n/a","n/a",IF(AH$3&gt;(A1taxstdlife+$E489),(('PTRM input'!$N$143+'PTRM input'!$N$109)*$N$7)-SUM($N489:AG489),(('PTRM input'!$N$143+'PTRM input'!$N$109)*$N$7)/A1taxstdlife))</f>
        <v>0</v>
      </c>
      <c r="AI489" s="107">
        <f>IF(A1taxstdlife="n/a","n/a",IF(AI$3&gt;(A1taxstdlife+$E489),(('PTRM input'!$N$143+'PTRM input'!$N$109)*$N$7)-SUM($N489:AH489),(('PTRM input'!$N$143+'PTRM input'!$N$109)*$N$7)/A1taxstdlife))</f>
        <v>0</v>
      </c>
      <c r="AJ489" s="107">
        <f>IF(A1taxstdlife="n/a","n/a",IF(AJ$3&gt;(A1taxstdlife+$E489),(('PTRM input'!$N$143+'PTRM input'!$N$109)*$N$7)-SUM($N489:AI489),(('PTRM input'!$N$143+'PTRM input'!$N$109)*$N$7)/A1taxstdlife))</f>
        <v>0</v>
      </c>
      <c r="AK489" s="107">
        <f>IF(A1taxstdlife="n/a","n/a",IF(AK$3&gt;(A1taxstdlife+$E489),(('PTRM input'!$N$143+'PTRM input'!$N$109)*$N$7)-SUM($N489:AJ489),(('PTRM input'!$N$143+'PTRM input'!$N$109)*$N$7)/A1taxstdlife))</f>
        <v>0</v>
      </c>
      <c r="AL489" s="107">
        <f>IF(A1taxstdlife="n/a","n/a",IF(AL$3&gt;(A1taxstdlife+$E489),(('PTRM input'!$N$143+'PTRM input'!$N$109)*$N$7)-SUM($N489:AK489),(('PTRM input'!$N$143+'PTRM input'!$N$109)*$N$7)/A1taxstdlife))</f>
        <v>0</v>
      </c>
      <c r="AM489" s="107">
        <f>IF(A1taxstdlife="n/a","n/a",IF(AM$3&gt;(A1taxstdlife+$E489),(('PTRM input'!$N$143+'PTRM input'!$N$109)*$N$7)-SUM($N489:AL489),(('PTRM input'!$N$143+'PTRM input'!$N$109)*$N$7)/A1taxstdlife))</f>
        <v>0</v>
      </c>
      <c r="AN489" s="107">
        <f>IF(A1taxstdlife="n/a","n/a",IF(AN$3&gt;(A1taxstdlife+$E489),(('PTRM input'!$N$143+'PTRM input'!$N$109)*$N$7)-SUM($N489:AM489),(('PTRM input'!$N$143+'PTRM input'!$N$109)*$N$7)/A1taxstdlife))</f>
        <v>0</v>
      </c>
      <c r="AO489" s="107">
        <f>IF(A1taxstdlife="n/a","n/a",IF(AO$3&gt;(A1taxstdlife+$E489),(('PTRM input'!$N$143+'PTRM input'!$N$109)*$N$7)-SUM($N489:AN489),(('PTRM input'!$N$143+'PTRM input'!$N$109)*$N$7)/A1taxstdlife))</f>
        <v>0</v>
      </c>
      <c r="AP489" s="107">
        <f>IF(A1taxstdlife="n/a","n/a",IF(AP$3&gt;(A1taxstdlife+$E489),(('PTRM input'!$N$143+'PTRM input'!$N$109)*$N$7)-SUM($N489:AO489),(('PTRM input'!$N$143+'PTRM input'!$N$109)*$N$7)/A1taxstdlife))</f>
        <v>0</v>
      </c>
      <c r="AQ489" s="107">
        <f>IF(A1taxstdlife="n/a","n/a",IF(AQ$3&gt;(A1taxstdlife+$E489),(('PTRM input'!$N$143+'PTRM input'!$N$109)*$N$7)-SUM($N489:AP489),(('PTRM input'!$N$143+'PTRM input'!$N$109)*$N$7)/A1taxstdlife))</f>
        <v>0</v>
      </c>
      <c r="AR489" s="107">
        <f>IF(A1taxstdlife="n/a","n/a",IF(AR$3&gt;(A1taxstdlife+$E489),(('PTRM input'!$N$143+'PTRM input'!$N$109)*$N$7)-SUM($N489:AQ489),(('PTRM input'!$N$143+'PTRM input'!$N$109)*$N$7)/A1taxstdlife))</f>
        <v>0</v>
      </c>
      <c r="AS489" s="107">
        <f>IF(A1taxstdlife="n/a","n/a",IF(AS$3&gt;(A1taxstdlife+$E489),(('PTRM input'!$N$143+'PTRM input'!$N$109)*$N$7)-SUM($N489:AR489),(('PTRM input'!$N$143+'PTRM input'!$N$109)*$N$7)/A1taxstdlife))</f>
        <v>0</v>
      </c>
      <c r="AT489" s="107">
        <f>IF(A1taxstdlife="n/a","n/a",IF(AT$3&gt;(A1taxstdlife+$E489),(('PTRM input'!$N$143+'PTRM input'!$N$109)*$N$7)-SUM($N489:AS489),(('PTRM input'!$N$143+'PTRM input'!$N$109)*$N$7)/A1taxstdlife))</f>
        <v>0</v>
      </c>
      <c r="AU489" s="107">
        <f>IF(A1taxstdlife="n/a","n/a",IF(AU$3&gt;(A1taxstdlife+$E489),(('PTRM input'!$N$143+'PTRM input'!$N$109)*$N$7)-SUM($N489:AT489),(('PTRM input'!$N$143+'PTRM input'!$N$109)*$N$7)/A1taxstdlife))</f>
        <v>0</v>
      </c>
      <c r="AV489" s="107">
        <f>IF(A1taxstdlife="n/a","n/a",IF(AV$3&gt;(A1taxstdlife+$E489),(('PTRM input'!$N$143+'PTRM input'!$N$109)*$N$7)-SUM($N489:AU489),(('PTRM input'!$N$143+'PTRM input'!$N$109)*$N$7)/A1taxstdlife))</f>
        <v>0</v>
      </c>
      <c r="AW489" s="107">
        <f>IF(A1taxstdlife="n/a","n/a",IF(AW$3&gt;(A1taxstdlife+$E489),(('PTRM input'!$N$143+'PTRM input'!$N$109)*$N$7)-SUM($N489:AV489),(('PTRM input'!$N$143+'PTRM input'!$N$109)*$N$7)/A1taxstdlife))</f>
        <v>0</v>
      </c>
      <c r="AX489" s="107">
        <f>IF(A1taxstdlife="n/a","n/a",IF(AX$3&gt;(A1taxstdlife+$E489),(('PTRM input'!$N$143+'PTRM input'!$N$109)*$N$7)-SUM($N489:AW489),(('PTRM input'!$N$143+'PTRM input'!$N$109)*$N$7)/A1taxstdlife))</f>
        <v>0</v>
      </c>
      <c r="AY489" s="107">
        <f>IF(A1taxstdlife="n/a","n/a",IF(AY$3&gt;(A1taxstdlife+$E489),(('PTRM input'!$N$143+'PTRM input'!$N$109)*$N$7)-SUM($N489:AX489),(('PTRM input'!$N$143+'PTRM input'!$N$109)*$N$7)/A1taxstdlife))</f>
        <v>0</v>
      </c>
      <c r="AZ489" s="107">
        <f>IF(A1taxstdlife="n/a","n/a",IF(AZ$3&gt;(A1taxstdlife+$E489),(('PTRM input'!$N$143+'PTRM input'!$N$109)*$N$7)-SUM($N489:AY489),(('PTRM input'!$N$143+'PTRM input'!$N$109)*$N$7)/A1taxstdlife))</f>
        <v>0</v>
      </c>
      <c r="BA489" s="107">
        <f>IF(A1taxstdlife="n/a","n/a",IF(BA$3&gt;(A1taxstdlife+$E489),(('PTRM input'!$N$143+'PTRM input'!$N$109)*$N$7)-SUM($N489:AZ489),(('PTRM input'!$N$143+'PTRM input'!$N$109)*$N$7)/A1taxstdlife))</f>
        <v>0</v>
      </c>
      <c r="BB489" s="107">
        <f>IF(A1taxstdlife="n/a","n/a",IF(BB$3&gt;(A1taxstdlife+$E489),(('PTRM input'!$N$143+'PTRM input'!$N$109)*$N$7)-SUM($N489:BA489),(('PTRM input'!$N$143+'PTRM input'!$N$109)*$N$7)/A1taxstdlife))</f>
        <v>0</v>
      </c>
      <c r="BC489" s="107">
        <f>IF(A1taxstdlife="n/a","n/a",IF(BC$3&gt;(A1taxstdlife+$E489),(('PTRM input'!$N$143+'PTRM input'!$N$109)*$N$7)-SUM($N489:BB489),(('PTRM input'!$N$143+'PTRM input'!$N$109)*$N$7)/A1taxstdlife))</f>
        <v>0</v>
      </c>
      <c r="BD489" s="107">
        <f>IF(A1taxstdlife="n/a","n/a",IF(BD$3&gt;(A1taxstdlife+$E489),(('PTRM input'!$N$143+'PTRM input'!$N$109)*$N$7)-SUM($N489:BC489),(('PTRM input'!$N$143+'PTRM input'!$N$109)*$N$7)/A1taxstdlife))</f>
        <v>0</v>
      </c>
      <c r="BE489" s="107">
        <f>IF(A1taxstdlife="n/a","n/a",IF(BE$3&gt;(A1taxstdlife+$E489),(('PTRM input'!$N$143+'PTRM input'!$N$109)*$N$7)-SUM($N489:BD489),(('PTRM input'!$N$143+'PTRM input'!$N$109)*$N$7)/A1taxstdlife))</f>
        <v>0</v>
      </c>
      <c r="BF489" s="107">
        <f>IF(A1taxstdlife="n/a","n/a",IF(BF$3&gt;(A1taxstdlife+$E489),(('PTRM input'!$N$143+'PTRM input'!$N$109)*$N$7)-SUM($N489:BE489),(('PTRM input'!$N$143+'PTRM input'!$N$109)*$N$7)/A1taxstdlife))</f>
        <v>0</v>
      </c>
      <c r="BG489" s="107">
        <f>IF(A1taxstdlife="n/a","n/a",IF(BG$3&gt;(A1taxstdlife+$E489),(('PTRM input'!$N$143+'PTRM input'!$N$109)*$N$7)-SUM($N489:BF489),(('PTRM input'!$N$143+'PTRM input'!$N$109)*$N$7)/A1taxstdlife))</f>
        <v>0</v>
      </c>
      <c r="BH489" s="107">
        <f>IF(A1taxstdlife="n/a","n/a",IF(BH$3&gt;(A1taxstdlife+$E489),(('PTRM input'!$N$143+'PTRM input'!$N$109)*$N$7)-SUM($N489:BG489),(('PTRM input'!$N$143+'PTRM input'!$N$109)*$N$7)/A1taxstdlife))</f>
        <v>0</v>
      </c>
      <c r="BI489" s="107">
        <f>IF(A1taxstdlife="n/a","n/a",IF(BI$3&gt;(A1taxstdlife+$E489),(('PTRM input'!$N$143+'PTRM input'!$N$109)*$N$7)-SUM($N489:BH489),(('PTRM input'!$N$143+'PTRM input'!$N$109)*$N$7)/A1taxstdlife))</f>
        <v>0</v>
      </c>
      <c r="BJ489" s="18"/>
      <c r="BK489" s="18"/>
      <c r="BL489" s="18"/>
      <c r="BM489" s="18"/>
    </row>
    <row r="490" spans="1:65" s="4" customFormat="1" hidden="1" outlineLevel="2">
      <c r="A490" s="18"/>
      <c r="B490" s="33"/>
      <c r="C490" s="32"/>
      <c r="D490" s="1618"/>
      <c r="E490" s="169">
        <v>9</v>
      </c>
      <c r="F490" s="35"/>
      <c r="G490" s="184"/>
      <c r="H490" s="1443"/>
      <c r="I490" s="186"/>
      <c r="J490" s="186"/>
      <c r="K490" s="186"/>
      <c r="L490" s="186"/>
      <c r="M490" s="186"/>
      <c r="N490" s="186"/>
      <c r="O490" s="185"/>
      <c r="P490" s="107">
        <f>IF(A1taxstdlife="n/a","n/a",IF(P$3&gt;(A1taxstdlife+$E490),(('PTRM input'!$O$143+'PTRM input'!$O$109)*$O$7)-SUM($O490:O490),(('PTRM input'!$O$143+'PTRM input'!$O$109)*$O$7)/A1taxstdlife))</f>
        <v>0</v>
      </c>
      <c r="Q490" s="107">
        <f>IF(A1taxstdlife="n/a","n/a",IF(Q$3&gt;(A1taxstdlife+$E490),(('PTRM input'!$O$143+'PTRM input'!$O$109)*$O$7)-SUM($O490:P490),(('PTRM input'!$O$143+'PTRM input'!$O$109)*$O$7)/A1taxstdlife))</f>
        <v>0</v>
      </c>
      <c r="R490" s="107">
        <f>IF(A1taxstdlife="n/a","n/a",IF(R$3&gt;(A1taxstdlife+$E490),(('PTRM input'!$O$143+'PTRM input'!$O$109)*$O$7)-SUM($O490:Q490),(('PTRM input'!$O$143+'PTRM input'!$O$109)*$O$7)/A1taxstdlife))</f>
        <v>0</v>
      </c>
      <c r="S490" s="107">
        <f>IF(A1taxstdlife="n/a","n/a",IF(S$3&gt;(A1taxstdlife+$E490),(('PTRM input'!$O$143+'PTRM input'!$O$109)*$O$7)-SUM($O490:R490),(('PTRM input'!$O$143+'PTRM input'!$O$109)*$O$7)/A1taxstdlife))</f>
        <v>0</v>
      </c>
      <c r="T490" s="107">
        <f>IF(A1taxstdlife="n/a","n/a",IF(T$3&gt;(A1taxstdlife+$E490),(('PTRM input'!$O$143+'PTRM input'!$O$109)*$O$7)-SUM($O490:S490),(('PTRM input'!$O$143+'PTRM input'!$O$109)*$O$7)/A1taxstdlife))</f>
        <v>0</v>
      </c>
      <c r="U490" s="107">
        <f>IF(A1taxstdlife="n/a","n/a",IF(U$3&gt;(A1taxstdlife+$E490),(('PTRM input'!$O$143+'PTRM input'!$O$109)*$O$7)-SUM($O490:T490),(('PTRM input'!$O$143+'PTRM input'!$O$109)*$O$7)/A1taxstdlife))</f>
        <v>0</v>
      </c>
      <c r="V490" s="107">
        <f>IF(A1taxstdlife="n/a","n/a",IF(V$3&gt;(A1taxstdlife+$E490),(('PTRM input'!$O$143+'PTRM input'!$O$109)*$O$7)-SUM($O490:U490),(('PTRM input'!$O$143+'PTRM input'!$O$109)*$O$7)/A1taxstdlife))</f>
        <v>0</v>
      </c>
      <c r="W490" s="107">
        <f>IF(A1taxstdlife="n/a","n/a",IF(W$3&gt;(A1taxstdlife+$E490),(('PTRM input'!$O$143+'PTRM input'!$O$109)*$O$7)-SUM($O490:V490),(('PTRM input'!$O$143+'PTRM input'!$O$109)*$O$7)/A1taxstdlife))</f>
        <v>0</v>
      </c>
      <c r="X490" s="107">
        <f>IF(A1taxstdlife="n/a","n/a",IF(X$3&gt;(A1taxstdlife+$E490),(('PTRM input'!$O$143+'PTRM input'!$O$109)*$O$7)-SUM($O490:W490),(('PTRM input'!$O$143+'PTRM input'!$O$109)*$O$7)/A1taxstdlife))</f>
        <v>0</v>
      </c>
      <c r="Y490" s="107">
        <f>IF(A1taxstdlife="n/a","n/a",IF(Y$3&gt;(A1taxstdlife+$E490),(('PTRM input'!$O$143+'PTRM input'!$O$109)*$O$7)-SUM($O490:X490),(('PTRM input'!$O$143+'PTRM input'!$O$109)*$O$7)/A1taxstdlife))</f>
        <v>0</v>
      </c>
      <c r="Z490" s="107">
        <f>IF(A1taxstdlife="n/a","n/a",IF(Z$3&gt;(A1taxstdlife+$E490),(('PTRM input'!$O$143+'PTRM input'!$O$109)*$O$7)-SUM($O490:Y490),(('PTRM input'!$O$143+'PTRM input'!$O$109)*$O$7)/A1taxstdlife))</f>
        <v>0</v>
      </c>
      <c r="AA490" s="107">
        <f>IF(A1taxstdlife="n/a","n/a",IF(AA$3&gt;(A1taxstdlife+$E490),(('PTRM input'!$O$143+'PTRM input'!$O$109)*$O$7)-SUM($O490:Z490),(('PTRM input'!$O$143+'PTRM input'!$O$109)*$O$7)/A1taxstdlife))</f>
        <v>0</v>
      </c>
      <c r="AB490" s="107">
        <f>IF(A1taxstdlife="n/a","n/a",IF(AB$3&gt;(A1taxstdlife+$E490),(('PTRM input'!$O$143+'PTRM input'!$O$109)*$O$7)-SUM($O490:AA490),(('PTRM input'!$O$143+'PTRM input'!$O$109)*$O$7)/A1taxstdlife))</f>
        <v>0</v>
      </c>
      <c r="AC490" s="107">
        <f>IF(A1taxstdlife="n/a","n/a",IF(AC$3&gt;(A1taxstdlife+$E490),(('PTRM input'!$O$143+'PTRM input'!$O$109)*$O$7)-SUM($O490:AB490),(('PTRM input'!$O$143+'PTRM input'!$O$109)*$O$7)/A1taxstdlife))</f>
        <v>0</v>
      </c>
      <c r="AD490" s="107">
        <f>IF(A1taxstdlife="n/a","n/a",IF(AD$3&gt;(A1taxstdlife+$E490),(('PTRM input'!$O$143+'PTRM input'!$O$109)*$O$7)-SUM($O490:AC490),(('PTRM input'!$O$143+'PTRM input'!$O$109)*$O$7)/A1taxstdlife))</f>
        <v>0</v>
      </c>
      <c r="AE490" s="107">
        <f>IF(A1taxstdlife="n/a","n/a",IF(AE$3&gt;(A1taxstdlife+$E490),(('PTRM input'!$O$143+'PTRM input'!$O$109)*$O$7)-SUM($O490:AD490),(('PTRM input'!$O$143+'PTRM input'!$O$109)*$O$7)/A1taxstdlife))</f>
        <v>0</v>
      </c>
      <c r="AF490" s="107">
        <f>IF(A1taxstdlife="n/a","n/a",IF(AF$3&gt;(A1taxstdlife+$E490),(('PTRM input'!$O$143+'PTRM input'!$O$109)*$O$7)-SUM($O490:AE490),(('PTRM input'!$O$143+'PTRM input'!$O$109)*$O$7)/A1taxstdlife))</f>
        <v>0</v>
      </c>
      <c r="AG490" s="107">
        <f>IF(A1taxstdlife="n/a","n/a",IF(AG$3&gt;(A1taxstdlife+$E490),(('PTRM input'!$O$143+'PTRM input'!$O$109)*$O$7)-SUM($O490:AF490),(('PTRM input'!$O$143+'PTRM input'!$O$109)*$O$7)/A1taxstdlife))</f>
        <v>0</v>
      </c>
      <c r="AH490" s="107">
        <f>IF(A1taxstdlife="n/a","n/a",IF(AH$3&gt;(A1taxstdlife+$E490),(('PTRM input'!$O$143+'PTRM input'!$O$109)*$O$7)-SUM($O490:AG490),(('PTRM input'!$O$143+'PTRM input'!$O$109)*$O$7)/A1taxstdlife))</f>
        <v>0</v>
      </c>
      <c r="AI490" s="107">
        <f>IF(A1taxstdlife="n/a","n/a",IF(AI$3&gt;(A1taxstdlife+$E490),(('PTRM input'!$O$143+'PTRM input'!$O$109)*$O$7)-SUM($O490:AH490),(('PTRM input'!$O$143+'PTRM input'!$O$109)*$O$7)/A1taxstdlife))</f>
        <v>0</v>
      </c>
      <c r="AJ490" s="107">
        <f>IF(A1taxstdlife="n/a","n/a",IF(AJ$3&gt;(A1taxstdlife+$E490),(('PTRM input'!$O$143+'PTRM input'!$O$109)*$O$7)-SUM($O490:AI490),(('PTRM input'!$O$143+'PTRM input'!$O$109)*$O$7)/A1taxstdlife))</f>
        <v>0</v>
      </c>
      <c r="AK490" s="107">
        <f>IF(A1taxstdlife="n/a","n/a",IF(AK$3&gt;(A1taxstdlife+$E490),(('PTRM input'!$O$143+'PTRM input'!$O$109)*$O$7)-SUM($O490:AJ490),(('PTRM input'!$O$143+'PTRM input'!$O$109)*$O$7)/A1taxstdlife))</f>
        <v>0</v>
      </c>
      <c r="AL490" s="107">
        <f>IF(A1taxstdlife="n/a","n/a",IF(AL$3&gt;(A1taxstdlife+$E490),(('PTRM input'!$O$143+'PTRM input'!$O$109)*$O$7)-SUM($O490:AK490),(('PTRM input'!$O$143+'PTRM input'!$O$109)*$O$7)/A1taxstdlife))</f>
        <v>0</v>
      </c>
      <c r="AM490" s="107">
        <f>IF(A1taxstdlife="n/a","n/a",IF(AM$3&gt;(A1taxstdlife+$E490),(('PTRM input'!$O$143+'PTRM input'!$O$109)*$O$7)-SUM($O490:AL490),(('PTRM input'!$O$143+'PTRM input'!$O$109)*$O$7)/A1taxstdlife))</f>
        <v>0</v>
      </c>
      <c r="AN490" s="107">
        <f>IF(A1taxstdlife="n/a","n/a",IF(AN$3&gt;(A1taxstdlife+$E490),(('PTRM input'!$O$143+'PTRM input'!$O$109)*$O$7)-SUM($O490:AM490),(('PTRM input'!$O$143+'PTRM input'!$O$109)*$O$7)/A1taxstdlife))</f>
        <v>0</v>
      </c>
      <c r="AO490" s="107">
        <f>IF(A1taxstdlife="n/a","n/a",IF(AO$3&gt;(A1taxstdlife+$E490),(('PTRM input'!$O$143+'PTRM input'!$O$109)*$O$7)-SUM($O490:AN490),(('PTRM input'!$O$143+'PTRM input'!$O$109)*$O$7)/A1taxstdlife))</f>
        <v>0</v>
      </c>
      <c r="AP490" s="107">
        <f>IF(A1taxstdlife="n/a","n/a",IF(AP$3&gt;(A1taxstdlife+$E490),(('PTRM input'!$O$143+'PTRM input'!$O$109)*$O$7)-SUM($O490:AO490),(('PTRM input'!$O$143+'PTRM input'!$O$109)*$O$7)/A1taxstdlife))</f>
        <v>0</v>
      </c>
      <c r="AQ490" s="107">
        <f>IF(A1taxstdlife="n/a","n/a",IF(AQ$3&gt;(A1taxstdlife+$E490),(('PTRM input'!$O$143+'PTRM input'!$O$109)*$O$7)-SUM($O490:AP490),(('PTRM input'!$O$143+'PTRM input'!$O$109)*$O$7)/A1taxstdlife))</f>
        <v>0</v>
      </c>
      <c r="AR490" s="107">
        <f>IF(A1taxstdlife="n/a","n/a",IF(AR$3&gt;(A1taxstdlife+$E490),(('PTRM input'!$O$143+'PTRM input'!$O$109)*$O$7)-SUM($O490:AQ490),(('PTRM input'!$O$143+'PTRM input'!$O$109)*$O$7)/A1taxstdlife))</f>
        <v>0</v>
      </c>
      <c r="AS490" s="107">
        <f>IF(A1taxstdlife="n/a","n/a",IF(AS$3&gt;(A1taxstdlife+$E490),(('PTRM input'!$O$143+'PTRM input'!$O$109)*$O$7)-SUM($O490:AR490),(('PTRM input'!$O$143+'PTRM input'!$O$109)*$O$7)/A1taxstdlife))</f>
        <v>0</v>
      </c>
      <c r="AT490" s="107">
        <f>IF(A1taxstdlife="n/a","n/a",IF(AT$3&gt;(A1taxstdlife+$E490),(('PTRM input'!$O$143+'PTRM input'!$O$109)*$O$7)-SUM($O490:AS490),(('PTRM input'!$O$143+'PTRM input'!$O$109)*$O$7)/A1taxstdlife))</f>
        <v>0</v>
      </c>
      <c r="AU490" s="107">
        <f>IF(A1taxstdlife="n/a","n/a",IF(AU$3&gt;(A1taxstdlife+$E490),(('PTRM input'!$O$143+'PTRM input'!$O$109)*$O$7)-SUM($O490:AT490),(('PTRM input'!$O$143+'PTRM input'!$O$109)*$O$7)/A1taxstdlife))</f>
        <v>0</v>
      </c>
      <c r="AV490" s="107">
        <f>IF(A1taxstdlife="n/a","n/a",IF(AV$3&gt;(A1taxstdlife+$E490),(('PTRM input'!$O$143+'PTRM input'!$O$109)*$O$7)-SUM($O490:AU490),(('PTRM input'!$O$143+'PTRM input'!$O$109)*$O$7)/A1taxstdlife))</f>
        <v>0</v>
      </c>
      <c r="AW490" s="107">
        <f>IF(A1taxstdlife="n/a","n/a",IF(AW$3&gt;(A1taxstdlife+$E490),(('PTRM input'!$O$143+'PTRM input'!$O$109)*$O$7)-SUM($O490:AV490),(('PTRM input'!$O$143+'PTRM input'!$O$109)*$O$7)/A1taxstdlife))</f>
        <v>0</v>
      </c>
      <c r="AX490" s="107">
        <f>IF(A1taxstdlife="n/a","n/a",IF(AX$3&gt;(A1taxstdlife+$E490),(('PTRM input'!$O$143+'PTRM input'!$O$109)*$O$7)-SUM($O490:AW490),(('PTRM input'!$O$143+'PTRM input'!$O$109)*$O$7)/A1taxstdlife))</f>
        <v>0</v>
      </c>
      <c r="AY490" s="107">
        <f>IF(A1taxstdlife="n/a","n/a",IF(AY$3&gt;(A1taxstdlife+$E490),(('PTRM input'!$O$143+'PTRM input'!$O$109)*$O$7)-SUM($O490:AX490),(('PTRM input'!$O$143+'PTRM input'!$O$109)*$O$7)/A1taxstdlife))</f>
        <v>0</v>
      </c>
      <c r="AZ490" s="107">
        <f>IF(A1taxstdlife="n/a","n/a",IF(AZ$3&gt;(A1taxstdlife+$E490),(('PTRM input'!$O$143+'PTRM input'!$O$109)*$O$7)-SUM($O490:AY490),(('PTRM input'!$O$143+'PTRM input'!$O$109)*$O$7)/A1taxstdlife))</f>
        <v>0</v>
      </c>
      <c r="BA490" s="107">
        <f>IF(A1taxstdlife="n/a","n/a",IF(BA$3&gt;(A1taxstdlife+$E490),(('PTRM input'!$O$143+'PTRM input'!$O$109)*$O$7)-SUM($O490:AZ490),(('PTRM input'!$O$143+'PTRM input'!$O$109)*$O$7)/A1taxstdlife))</f>
        <v>0</v>
      </c>
      <c r="BB490" s="107">
        <f>IF(A1taxstdlife="n/a","n/a",IF(BB$3&gt;(A1taxstdlife+$E490),(('PTRM input'!$O$143+'PTRM input'!$O$109)*$O$7)-SUM($O490:BA490),(('PTRM input'!$O$143+'PTRM input'!$O$109)*$O$7)/A1taxstdlife))</f>
        <v>0</v>
      </c>
      <c r="BC490" s="107">
        <f>IF(A1taxstdlife="n/a","n/a",IF(BC$3&gt;(A1taxstdlife+$E490),(('PTRM input'!$O$143+'PTRM input'!$O$109)*$O$7)-SUM($O490:BB490),(('PTRM input'!$O$143+'PTRM input'!$O$109)*$O$7)/A1taxstdlife))</f>
        <v>0</v>
      </c>
      <c r="BD490" s="107">
        <f>IF(A1taxstdlife="n/a","n/a",IF(BD$3&gt;(A1taxstdlife+$E490),(('PTRM input'!$O$143+'PTRM input'!$O$109)*$O$7)-SUM($O490:BC490),(('PTRM input'!$O$143+'PTRM input'!$O$109)*$O$7)/A1taxstdlife))</f>
        <v>0</v>
      </c>
      <c r="BE490" s="107">
        <f>IF(A1taxstdlife="n/a","n/a",IF(BE$3&gt;(A1taxstdlife+$E490),(('PTRM input'!$O$143+'PTRM input'!$O$109)*$O$7)-SUM($O490:BD490),(('PTRM input'!$O$143+'PTRM input'!$O$109)*$O$7)/A1taxstdlife))</f>
        <v>0</v>
      </c>
      <c r="BF490" s="107">
        <f>IF(A1taxstdlife="n/a","n/a",IF(BF$3&gt;(A1taxstdlife+$E490),(('PTRM input'!$O$143+'PTRM input'!$O$109)*$O$7)-SUM($O490:BE490),(('PTRM input'!$O$143+'PTRM input'!$O$109)*$O$7)/A1taxstdlife))</f>
        <v>0</v>
      </c>
      <c r="BG490" s="107">
        <f>IF(A1taxstdlife="n/a","n/a",IF(BG$3&gt;(A1taxstdlife+$E490),(('PTRM input'!$O$143+'PTRM input'!$O$109)*$O$7)-SUM($O490:BF490),(('PTRM input'!$O$143+'PTRM input'!$O$109)*$O$7)/A1taxstdlife))</f>
        <v>0</v>
      </c>
      <c r="BH490" s="107">
        <f>IF(A1taxstdlife="n/a","n/a",IF(BH$3&gt;(A1taxstdlife+$E490),(('PTRM input'!$O$143+'PTRM input'!$O$109)*$O$7)-SUM($O490:BG490),(('PTRM input'!$O$143+'PTRM input'!$O$109)*$O$7)/A1taxstdlife))</f>
        <v>0</v>
      </c>
      <c r="BI490" s="107">
        <f>IF(A1taxstdlife="n/a","n/a",IF(BI$3&gt;(A1taxstdlife+$E490),(('PTRM input'!$O$143+'PTRM input'!$O$109)*$O$7)-SUM($O490:BH490),(('PTRM input'!$O$143+'PTRM input'!$O$109)*$O$7)/A1taxstdlife))</f>
        <v>0</v>
      </c>
      <c r="BJ490" s="18"/>
      <c r="BK490" s="18"/>
      <c r="BL490" s="18"/>
      <c r="BM490" s="18"/>
    </row>
    <row r="491" spans="1:65" s="4" customFormat="1" hidden="1" outlineLevel="2">
      <c r="A491" s="18"/>
      <c r="B491" s="33"/>
      <c r="C491" s="32"/>
      <c r="D491" s="1618"/>
      <c r="E491" s="170">
        <v>10</v>
      </c>
      <c r="F491" s="35"/>
      <c r="G491" s="184"/>
      <c r="H491" s="1443"/>
      <c r="I491" s="186"/>
      <c r="J491" s="186"/>
      <c r="K491" s="186"/>
      <c r="L491" s="186"/>
      <c r="M491" s="186"/>
      <c r="N491" s="186"/>
      <c r="O491" s="186"/>
      <c r="P491" s="185"/>
      <c r="Q491" s="107">
        <f>IF(A1taxstdlife="n/a","n/a",IF(Q$3&gt;(A1taxstdlife+$E491),(('PTRM input'!$P$143+'PTRM input'!$P$109)*$P$7)-SUM($P491:P491),(('PTRM input'!$P$143+'PTRM input'!$P$109)*$P$7)/A1taxstdlife))</f>
        <v>0</v>
      </c>
      <c r="R491" s="107">
        <f>IF(A1taxstdlife="n/a","n/a",IF(R$3&gt;(A1taxstdlife+$E491),(('PTRM input'!$P$143+'PTRM input'!$P$109)*$P$7)-SUM($P491:Q491),(('PTRM input'!$P$143+'PTRM input'!$P$109)*$P$7)/A1taxstdlife))</f>
        <v>0</v>
      </c>
      <c r="S491" s="107">
        <f>IF(A1taxstdlife="n/a","n/a",IF(S$3&gt;(A1taxstdlife+$E491),(('PTRM input'!$P$143+'PTRM input'!$P$109)*$P$7)-SUM($P491:R491),(('PTRM input'!$P$143+'PTRM input'!$P$109)*$P$7)/A1taxstdlife))</f>
        <v>0</v>
      </c>
      <c r="T491" s="107">
        <f>IF(A1taxstdlife="n/a","n/a",IF(T$3&gt;(A1taxstdlife+$E491),(('PTRM input'!$P$143+'PTRM input'!$P$109)*$P$7)-SUM($P491:S491),(('PTRM input'!$P$143+'PTRM input'!$P$109)*$P$7)/A1taxstdlife))</f>
        <v>0</v>
      </c>
      <c r="U491" s="107">
        <f>IF(A1taxstdlife="n/a","n/a",IF(U$3&gt;(A1taxstdlife+$E491),(('PTRM input'!$P$143+'PTRM input'!$P$109)*$P$7)-SUM($P491:T491),(('PTRM input'!$P$143+'PTRM input'!$P$109)*$P$7)/A1taxstdlife))</f>
        <v>0</v>
      </c>
      <c r="V491" s="107">
        <f>IF(A1taxstdlife="n/a","n/a",IF(V$3&gt;(A1taxstdlife+$E491),(('PTRM input'!$P$143+'PTRM input'!$P$109)*$P$7)-SUM($P491:U491),(('PTRM input'!$P$143+'PTRM input'!$P$109)*$P$7)/A1taxstdlife))</f>
        <v>0</v>
      </c>
      <c r="W491" s="107">
        <f>IF(A1taxstdlife="n/a","n/a",IF(W$3&gt;(A1taxstdlife+$E491),(('PTRM input'!$P$143+'PTRM input'!$P$109)*$P$7)-SUM($P491:V491),(('PTRM input'!$P$143+'PTRM input'!$P$109)*$P$7)/A1taxstdlife))</f>
        <v>0</v>
      </c>
      <c r="X491" s="107">
        <f>IF(A1taxstdlife="n/a","n/a",IF(X$3&gt;(A1taxstdlife+$E491),(('PTRM input'!$P$143+'PTRM input'!$P$109)*$P$7)-SUM($P491:W491),(('PTRM input'!$P$143+'PTRM input'!$P$109)*$P$7)/A1taxstdlife))</f>
        <v>0</v>
      </c>
      <c r="Y491" s="107">
        <f>IF(A1taxstdlife="n/a","n/a",IF(Y$3&gt;(A1taxstdlife+$E491),(('PTRM input'!$P$143+'PTRM input'!$P$109)*$P$7)-SUM($P491:X491),(('PTRM input'!$P$143+'PTRM input'!$P$109)*$P$7)/A1taxstdlife))</f>
        <v>0</v>
      </c>
      <c r="Z491" s="107">
        <f>IF(A1taxstdlife="n/a","n/a",IF(Z$3&gt;(A1taxstdlife+$E491),(('PTRM input'!$P$143+'PTRM input'!$P$109)*$P$7)-SUM($P491:Y491),(('PTRM input'!$P$143+'PTRM input'!$P$109)*$P$7)/A1taxstdlife))</f>
        <v>0</v>
      </c>
      <c r="AA491" s="107">
        <f>IF(A1taxstdlife="n/a","n/a",IF(AA$3&gt;(A1taxstdlife+$E491),(('PTRM input'!$P$143+'PTRM input'!$P$109)*$P$7)-SUM($P491:Z491),(('PTRM input'!$P$143+'PTRM input'!$P$109)*$P$7)/A1taxstdlife))</f>
        <v>0</v>
      </c>
      <c r="AB491" s="107">
        <f>IF(A1taxstdlife="n/a","n/a",IF(AB$3&gt;(A1taxstdlife+$E491),(('PTRM input'!$P$143+'PTRM input'!$P$109)*$P$7)-SUM($P491:AA491),(('PTRM input'!$P$143+'PTRM input'!$P$109)*$P$7)/A1taxstdlife))</f>
        <v>0</v>
      </c>
      <c r="AC491" s="107">
        <f>IF(A1taxstdlife="n/a","n/a",IF(AC$3&gt;(A1taxstdlife+$E491),(('PTRM input'!$P$143+'PTRM input'!$P$109)*$P$7)-SUM($P491:AB491),(('PTRM input'!$P$143+'PTRM input'!$P$109)*$P$7)/A1taxstdlife))</f>
        <v>0</v>
      </c>
      <c r="AD491" s="107">
        <f>IF(A1taxstdlife="n/a","n/a",IF(AD$3&gt;(A1taxstdlife+$E491),(('PTRM input'!$P$143+'PTRM input'!$P$109)*$P$7)-SUM($P491:AC491),(('PTRM input'!$P$143+'PTRM input'!$P$109)*$P$7)/A1taxstdlife))</f>
        <v>0</v>
      </c>
      <c r="AE491" s="107">
        <f>IF(A1taxstdlife="n/a","n/a",IF(AE$3&gt;(A1taxstdlife+$E491),(('PTRM input'!$P$143+'PTRM input'!$P$109)*$P$7)-SUM($P491:AD491),(('PTRM input'!$P$143+'PTRM input'!$P$109)*$P$7)/A1taxstdlife))</f>
        <v>0</v>
      </c>
      <c r="AF491" s="107">
        <f>IF(A1taxstdlife="n/a","n/a",IF(AF$3&gt;(A1taxstdlife+$E491),(('PTRM input'!$P$143+'PTRM input'!$P$109)*$P$7)-SUM($P491:AE491),(('PTRM input'!$P$143+'PTRM input'!$P$109)*$P$7)/A1taxstdlife))</f>
        <v>0</v>
      </c>
      <c r="AG491" s="107">
        <f>IF(A1taxstdlife="n/a","n/a",IF(AG$3&gt;(A1taxstdlife+$E491),(('PTRM input'!$P$143+'PTRM input'!$P$109)*$P$7)-SUM($P491:AF491),(('PTRM input'!$P$143+'PTRM input'!$P$109)*$P$7)/A1taxstdlife))</f>
        <v>0</v>
      </c>
      <c r="AH491" s="107">
        <f>IF(A1taxstdlife="n/a","n/a",IF(AH$3&gt;(A1taxstdlife+$E491),(('PTRM input'!$P$143+'PTRM input'!$P$109)*$P$7)-SUM($P491:AG491),(('PTRM input'!$P$143+'PTRM input'!$P$109)*$P$7)/A1taxstdlife))</f>
        <v>0</v>
      </c>
      <c r="AI491" s="107">
        <f>IF(A1taxstdlife="n/a","n/a",IF(AI$3&gt;(A1taxstdlife+$E491),(('PTRM input'!$P$143+'PTRM input'!$P$109)*$P$7)-SUM($P491:AH491),(('PTRM input'!$P$143+'PTRM input'!$P$109)*$P$7)/A1taxstdlife))</f>
        <v>0</v>
      </c>
      <c r="AJ491" s="107">
        <f>IF(A1taxstdlife="n/a","n/a",IF(AJ$3&gt;(A1taxstdlife+$E491),(('PTRM input'!$P$143+'PTRM input'!$P$109)*$P$7)-SUM($P491:AI491),(('PTRM input'!$P$143+'PTRM input'!$P$109)*$P$7)/A1taxstdlife))</f>
        <v>0</v>
      </c>
      <c r="AK491" s="107">
        <f>IF(A1taxstdlife="n/a","n/a",IF(AK$3&gt;(A1taxstdlife+$E491),(('PTRM input'!$P$143+'PTRM input'!$P$109)*$P$7)-SUM($P491:AJ491),(('PTRM input'!$P$143+'PTRM input'!$P$109)*$P$7)/A1taxstdlife))</f>
        <v>0</v>
      </c>
      <c r="AL491" s="107">
        <f>IF(A1taxstdlife="n/a","n/a",IF(AL$3&gt;(A1taxstdlife+$E491),(('PTRM input'!$P$143+'PTRM input'!$P$109)*$P$7)-SUM($P491:AK491),(('PTRM input'!$P$143+'PTRM input'!$P$109)*$P$7)/A1taxstdlife))</f>
        <v>0</v>
      </c>
      <c r="AM491" s="107">
        <f>IF(A1taxstdlife="n/a","n/a",IF(AM$3&gt;(A1taxstdlife+$E491),(('PTRM input'!$P$143+'PTRM input'!$P$109)*$P$7)-SUM($P491:AL491),(('PTRM input'!$P$143+'PTRM input'!$P$109)*$P$7)/A1taxstdlife))</f>
        <v>0</v>
      </c>
      <c r="AN491" s="107">
        <f>IF(A1taxstdlife="n/a","n/a",IF(AN$3&gt;(A1taxstdlife+$E491),(('PTRM input'!$P$143+'PTRM input'!$P$109)*$P$7)-SUM($P491:AM491),(('PTRM input'!$P$143+'PTRM input'!$P$109)*$P$7)/A1taxstdlife))</f>
        <v>0</v>
      </c>
      <c r="AO491" s="107">
        <f>IF(A1taxstdlife="n/a","n/a",IF(AO$3&gt;(A1taxstdlife+$E491),(('PTRM input'!$P$143+'PTRM input'!$P$109)*$P$7)-SUM($P491:AN491),(('PTRM input'!$P$143+'PTRM input'!$P$109)*$P$7)/A1taxstdlife))</f>
        <v>0</v>
      </c>
      <c r="AP491" s="107">
        <f>IF(A1taxstdlife="n/a","n/a",IF(AP$3&gt;(A1taxstdlife+$E491),(('PTRM input'!$P$143+'PTRM input'!$P$109)*$P$7)-SUM($P491:AO491),(('PTRM input'!$P$143+'PTRM input'!$P$109)*$P$7)/A1taxstdlife))</f>
        <v>0</v>
      </c>
      <c r="AQ491" s="107">
        <f>IF(A1taxstdlife="n/a","n/a",IF(AQ$3&gt;(A1taxstdlife+$E491),(('PTRM input'!$P$143+'PTRM input'!$P$109)*$P$7)-SUM($P491:AP491),(('PTRM input'!$P$143+'PTRM input'!$P$109)*$P$7)/A1taxstdlife))</f>
        <v>0</v>
      </c>
      <c r="AR491" s="107">
        <f>IF(A1taxstdlife="n/a","n/a",IF(AR$3&gt;(A1taxstdlife+$E491),(('PTRM input'!$P$143+'PTRM input'!$P$109)*$P$7)-SUM($P491:AQ491),(('PTRM input'!$P$143+'PTRM input'!$P$109)*$P$7)/A1taxstdlife))</f>
        <v>0</v>
      </c>
      <c r="AS491" s="107">
        <f>IF(A1taxstdlife="n/a","n/a",IF(AS$3&gt;(A1taxstdlife+$E491),(('PTRM input'!$P$143+'PTRM input'!$P$109)*$P$7)-SUM($P491:AR491),(('PTRM input'!$P$143+'PTRM input'!$P$109)*$P$7)/A1taxstdlife))</f>
        <v>0</v>
      </c>
      <c r="AT491" s="107">
        <f>IF(A1taxstdlife="n/a","n/a",IF(AT$3&gt;(A1taxstdlife+$E491),(('PTRM input'!$P$143+'PTRM input'!$P$109)*$P$7)-SUM($P491:AS491),(('PTRM input'!$P$143+'PTRM input'!$P$109)*$P$7)/A1taxstdlife))</f>
        <v>0</v>
      </c>
      <c r="AU491" s="107">
        <f>IF(A1taxstdlife="n/a","n/a",IF(AU$3&gt;(A1taxstdlife+$E491),(('PTRM input'!$P$143+'PTRM input'!$P$109)*$P$7)-SUM($P491:AT491),(('PTRM input'!$P$143+'PTRM input'!$P$109)*$P$7)/A1taxstdlife))</f>
        <v>0</v>
      </c>
      <c r="AV491" s="107">
        <f>IF(A1taxstdlife="n/a","n/a",IF(AV$3&gt;(A1taxstdlife+$E491),(('PTRM input'!$P$143+'PTRM input'!$P$109)*$P$7)-SUM($P491:AU491),(('PTRM input'!$P$143+'PTRM input'!$P$109)*$P$7)/A1taxstdlife))</f>
        <v>0</v>
      </c>
      <c r="AW491" s="107">
        <f>IF(A1taxstdlife="n/a","n/a",IF(AW$3&gt;(A1taxstdlife+$E491),(('PTRM input'!$P$143+'PTRM input'!$P$109)*$P$7)-SUM($P491:AV491),(('PTRM input'!$P$143+'PTRM input'!$P$109)*$P$7)/A1taxstdlife))</f>
        <v>0</v>
      </c>
      <c r="AX491" s="107">
        <f>IF(A1taxstdlife="n/a","n/a",IF(AX$3&gt;(A1taxstdlife+$E491),(('PTRM input'!$P$143+'PTRM input'!$P$109)*$P$7)-SUM($P491:AW491),(('PTRM input'!$P$143+'PTRM input'!$P$109)*$P$7)/A1taxstdlife))</f>
        <v>0</v>
      </c>
      <c r="AY491" s="107">
        <f>IF(A1taxstdlife="n/a","n/a",IF(AY$3&gt;(A1taxstdlife+$E491),(('PTRM input'!$P$143+'PTRM input'!$P$109)*$P$7)-SUM($P491:AX491),(('PTRM input'!$P$143+'PTRM input'!$P$109)*$P$7)/A1taxstdlife))</f>
        <v>0</v>
      </c>
      <c r="AZ491" s="107">
        <f>IF(A1taxstdlife="n/a","n/a",IF(AZ$3&gt;(A1taxstdlife+$E491),(('PTRM input'!$P$143+'PTRM input'!$P$109)*$P$7)-SUM($P491:AY491),(('PTRM input'!$P$143+'PTRM input'!$P$109)*$P$7)/A1taxstdlife))</f>
        <v>0</v>
      </c>
      <c r="BA491" s="107">
        <f>IF(A1taxstdlife="n/a","n/a",IF(BA$3&gt;(A1taxstdlife+$E491),(('PTRM input'!$P$143+'PTRM input'!$P$109)*$P$7)-SUM($P491:AZ491),(('PTRM input'!$P$143+'PTRM input'!$P$109)*$P$7)/A1taxstdlife))</f>
        <v>0</v>
      </c>
      <c r="BB491" s="107">
        <f>IF(A1taxstdlife="n/a","n/a",IF(BB$3&gt;(A1taxstdlife+$E491),(('PTRM input'!$P$143+'PTRM input'!$P$109)*$P$7)-SUM($P491:BA491),(('PTRM input'!$P$143+'PTRM input'!$P$109)*$P$7)/A1taxstdlife))</f>
        <v>0</v>
      </c>
      <c r="BC491" s="107">
        <f>IF(A1taxstdlife="n/a","n/a",IF(BC$3&gt;(A1taxstdlife+$E491),(('PTRM input'!$P$143+'PTRM input'!$P$109)*$P$7)-SUM($P491:BB491),(('PTRM input'!$P$143+'PTRM input'!$P$109)*$P$7)/A1taxstdlife))</f>
        <v>0</v>
      </c>
      <c r="BD491" s="107">
        <f>IF(A1taxstdlife="n/a","n/a",IF(BD$3&gt;(A1taxstdlife+$E491),(('PTRM input'!$P$143+'PTRM input'!$P$109)*$P$7)-SUM($P491:BC491),(('PTRM input'!$P$143+'PTRM input'!$P$109)*$P$7)/A1taxstdlife))</f>
        <v>0</v>
      </c>
      <c r="BE491" s="107">
        <f>IF(A1taxstdlife="n/a","n/a",IF(BE$3&gt;(A1taxstdlife+$E491),(('PTRM input'!$P$143+'PTRM input'!$P$109)*$P$7)-SUM($P491:BD491),(('PTRM input'!$P$143+'PTRM input'!$P$109)*$P$7)/A1taxstdlife))</f>
        <v>0</v>
      </c>
      <c r="BF491" s="107">
        <f>IF(A1taxstdlife="n/a","n/a",IF(BF$3&gt;(A1taxstdlife+$E491),(('PTRM input'!$P$143+'PTRM input'!$P$109)*$P$7)-SUM($P491:BE491),(('PTRM input'!$P$143+'PTRM input'!$P$109)*$P$7)/A1taxstdlife))</f>
        <v>0</v>
      </c>
      <c r="BG491" s="107">
        <f>IF(A1taxstdlife="n/a","n/a",IF(BG$3&gt;(A1taxstdlife+$E491),(('PTRM input'!$P$143+'PTRM input'!$P$109)*$P$7)-SUM($P491:BF491),(('PTRM input'!$P$143+'PTRM input'!$P$109)*$P$7)/A1taxstdlife))</f>
        <v>0</v>
      </c>
      <c r="BH491" s="107">
        <f>IF(A1taxstdlife="n/a","n/a",IF(BH$3&gt;(A1taxstdlife+$E491),(('PTRM input'!$P$143+'PTRM input'!$P$109)*$P$7)-SUM($P491:BG491),(('PTRM input'!$P$143+'PTRM input'!$P$109)*$P$7)/A1taxstdlife))</f>
        <v>0</v>
      </c>
      <c r="BI491" s="107">
        <f>IF(A1taxstdlife="n/a","n/a",IF(BI$3&gt;(A1taxstdlife+$E491),(('PTRM input'!$P$143+'PTRM input'!$P$109)*$P$7)-SUM($P491:BH491),(('PTRM input'!$P$143+'PTRM input'!$P$109)*$P$7)/A1taxstdlife))</f>
        <v>0</v>
      </c>
      <c r="BJ491" s="18"/>
      <c r="BK491" s="18"/>
      <c r="BL491" s="18"/>
      <c r="BM491" s="18"/>
    </row>
    <row r="492" spans="1:65" s="4" customFormat="1" hidden="1" outlineLevel="1">
      <c r="A492" s="18"/>
      <c r="B492" s="18"/>
      <c r="C492" s="33" t="str">
        <f>Asset1</f>
        <v>Pre 1999 Assets</v>
      </c>
      <c r="D492" s="18"/>
      <c r="E492" s="18"/>
      <c r="F492" s="31"/>
      <c r="G492" s="104">
        <f>SUM(G480:G491)</f>
        <v>0</v>
      </c>
      <c r="H492" s="1407">
        <f>SUM(H480:H491)</f>
        <v>0</v>
      </c>
      <c r="I492" s="104">
        <f t="shared" ref="I492:BI492" si="109">SUM(I480:I491)</f>
        <v>0</v>
      </c>
      <c r="J492" s="104">
        <f t="shared" si="109"/>
        <v>0</v>
      </c>
      <c r="K492" s="104">
        <f t="shared" si="109"/>
        <v>0</v>
      </c>
      <c r="L492" s="104">
        <f t="shared" si="109"/>
        <v>0</v>
      </c>
      <c r="M492" s="104">
        <f t="shared" si="109"/>
        <v>0</v>
      </c>
      <c r="N492" s="104">
        <f t="shared" si="109"/>
        <v>0</v>
      </c>
      <c r="O492" s="104">
        <f t="shared" si="109"/>
        <v>0</v>
      </c>
      <c r="P492" s="104">
        <f t="shared" si="109"/>
        <v>0</v>
      </c>
      <c r="Q492" s="104">
        <f t="shared" si="109"/>
        <v>0</v>
      </c>
      <c r="R492" s="104">
        <f t="shared" si="109"/>
        <v>0</v>
      </c>
      <c r="S492" s="104">
        <f t="shared" si="109"/>
        <v>0</v>
      </c>
      <c r="T492" s="104">
        <f t="shared" si="109"/>
        <v>0</v>
      </c>
      <c r="U492" s="104">
        <f t="shared" si="109"/>
        <v>0</v>
      </c>
      <c r="V492" s="104">
        <f t="shared" si="109"/>
        <v>0</v>
      </c>
      <c r="W492" s="104">
        <f t="shared" si="109"/>
        <v>0</v>
      </c>
      <c r="X492" s="104">
        <f t="shared" si="109"/>
        <v>0</v>
      </c>
      <c r="Y492" s="104">
        <f t="shared" si="109"/>
        <v>0</v>
      </c>
      <c r="Z492" s="104">
        <f t="shared" si="109"/>
        <v>0</v>
      </c>
      <c r="AA492" s="104">
        <f t="shared" si="109"/>
        <v>0</v>
      </c>
      <c r="AB492" s="104">
        <f t="shared" si="109"/>
        <v>0</v>
      </c>
      <c r="AC492" s="104">
        <f t="shared" si="109"/>
        <v>0</v>
      </c>
      <c r="AD492" s="104">
        <f t="shared" si="109"/>
        <v>0</v>
      </c>
      <c r="AE492" s="104">
        <f t="shared" si="109"/>
        <v>0</v>
      </c>
      <c r="AF492" s="104">
        <f t="shared" si="109"/>
        <v>0</v>
      </c>
      <c r="AG492" s="104">
        <f t="shared" si="109"/>
        <v>0</v>
      </c>
      <c r="AH492" s="104">
        <f t="shared" si="109"/>
        <v>0</v>
      </c>
      <c r="AI492" s="104">
        <f t="shared" si="109"/>
        <v>0</v>
      </c>
      <c r="AJ492" s="104">
        <f t="shared" si="109"/>
        <v>0</v>
      </c>
      <c r="AK492" s="104">
        <f t="shared" si="109"/>
        <v>0</v>
      </c>
      <c r="AL492" s="104">
        <f t="shared" si="109"/>
        <v>0</v>
      </c>
      <c r="AM492" s="104">
        <f t="shared" si="109"/>
        <v>0</v>
      </c>
      <c r="AN492" s="104">
        <f t="shared" si="109"/>
        <v>0</v>
      </c>
      <c r="AO492" s="104">
        <f t="shared" si="109"/>
        <v>0</v>
      </c>
      <c r="AP492" s="104">
        <f t="shared" si="109"/>
        <v>0</v>
      </c>
      <c r="AQ492" s="104">
        <f t="shared" si="109"/>
        <v>0</v>
      </c>
      <c r="AR492" s="104">
        <f t="shared" si="109"/>
        <v>0</v>
      </c>
      <c r="AS492" s="104">
        <f t="shared" si="109"/>
        <v>0</v>
      </c>
      <c r="AT492" s="104">
        <f t="shared" si="109"/>
        <v>0</v>
      </c>
      <c r="AU492" s="104">
        <f t="shared" si="109"/>
        <v>0</v>
      </c>
      <c r="AV492" s="104">
        <f t="shared" si="109"/>
        <v>0</v>
      </c>
      <c r="AW492" s="104">
        <f t="shared" si="109"/>
        <v>0</v>
      </c>
      <c r="AX492" s="104">
        <f t="shared" si="109"/>
        <v>0</v>
      </c>
      <c r="AY492" s="104">
        <f t="shared" si="109"/>
        <v>0</v>
      </c>
      <c r="AZ492" s="104">
        <f t="shared" si="109"/>
        <v>0</v>
      </c>
      <c r="BA492" s="104">
        <f t="shared" si="109"/>
        <v>0</v>
      </c>
      <c r="BB492" s="104">
        <f t="shared" si="109"/>
        <v>0</v>
      </c>
      <c r="BC492" s="104">
        <f t="shared" si="109"/>
        <v>0</v>
      </c>
      <c r="BD492" s="104">
        <f t="shared" si="109"/>
        <v>0</v>
      </c>
      <c r="BE492" s="104">
        <f t="shared" si="109"/>
        <v>0</v>
      </c>
      <c r="BF492" s="104">
        <f t="shared" si="109"/>
        <v>0</v>
      </c>
      <c r="BG492" s="104">
        <f t="shared" si="109"/>
        <v>0</v>
      </c>
      <c r="BH492" s="104">
        <f t="shared" si="109"/>
        <v>0</v>
      </c>
      <c r="BI492" s="104">
        <f t="shared" si="109"/>
        <v>0</v>
      </c>
      <c r="BJ492" s="18"/>
      <c r="BK492" s="18"/>
      <c r="BL492" s="18"/>
      <c r="BM492" s="18"/>
    </row>
    <row r="493" spans="1:65" s="4" customFormat="1" hidden="1" outlineLevel="2">
      <c r="A493" s="18"/>
      <c r="B493" s="37" t="str">
        <f>C505</f>
        <v>Post 1999-2010 Assets</v>
      </c>
      <c r="C493" s="38"/>
      <c r="D493" s="39" t="s">
        <v>58</v>
      </c>
      <c r="E493" s="38"/>
      <c r="F493" s="40"/>
      <c r="G493" s="106">
        <f>IF(G$3&gt;A2taxremlife,A2taxvalue-SUM($F493:F493),IF(A2taxremlife="N/A","n/a",A2taxvalue/A2taxremlife))</f>
        <v>1.4411519933120049</v>
      </c>
      <c r="H493" s="106">
        <f>IF(H$3&gt;A2taxremlife,A2taxvalue-SUM($F493:G493),IF(A2taxremlife="N/A","n/a",A2taxvalue/A2taxremlife))</f>
        <v>1.4411519933120049</v>
      </c>
      <c r="I493" s="106">
        <f>IF(I$3&gt;A2taxremlife,A2taxvalue-SUM($F493:H493),IF(A2taxremlife="N/A","n/a",A2taxvalue/A2taxremlife))</f>
        <v>1.4411519933120049</v>
      </c>
      <c r="J493" s="106">
        <f>IF(J$3&gt;A2taxremlife,A2taxvalue-SUM($F493:I493),IF(A2taxremlife="N/A","n/a",A2taxvalue/A2taxremlife))</f>
        <v>1.4411519933120049</v>
      </c>
      <c r="K493" s="106">
        <f>IF(K$3&gt;A2taxremlife,A2taxvalue-SUM($F493:J493),IF(A2taxremlife="N/A","n/a",A2taxvalue/A2taxremlife))</f>
        <v>1.4411519933120049</v>
      </c>
      <c r="L493" s="106">
        <f>IF(L$3&gt;A2taxremlife,A2taxvalue-SUM($F493:K493),IF(A2taxremlife="N/A","n/a",A2taxvalue/A2taxremlife))</f>
        <v>1.4411519933120049</v>
      </c>
      <c r="M493" s="106">
        <f>IF(M$3&gt;A2taxremlife,A2taxvalue-SUM($F493:L493),IF(A2taxremlife="N/A","n/a",A2taxvalue/A2taxremlife))</f>
        <v>1.4411519933120049</v>
      </c>
      <c r="N493" s="106">
        <f>IF(N$3&gt;A2taxremlife,A2taxvalue-SUM($F493:M493),IF(A2taxremlife="N/A","n/a",A2taxvalue/A2taxremlife))</f>
        <v>1.4411519933120049</v>
      </c>
      <c r="O493" s="106">
        <f>IF(O$3&gt;A2taxremlife,A2taxvalue-SUM($F493:N493),IF(A2taxremlife="N/A","n/a",A2taxvalue/A2taxremlife))</f>
        <v>1.4411519933120049</v>
      </c>
      <c r="P493" s="106">
        <f>IF(P$3&gt;A2taxremlife,A2taxvalue-SUM($F493:O493),IF(A2taxremlife="N/A","n/a",A2taxvalue/A2taxremlife))</f>
        <v>1.4411519933120049</v>
      </c>
      <c r="Q493" s="106">
        <f>IF(Q$3&gt;A2taxremlife,A2taxvalue-SUM($F493:P493),IF(A2taxremlife="N/A","n/a",A2taxvalue/A2taxremlife))</f>
        <v>1.4411519933120049</v>
      </c>
      <c r="R493" s="106">
        <f>IF(R$3&gt;A2taxremlife,A2taxvalue-SUM($F493:Q493),IF(A2taxremlife="N/A","n/a",A2taxvalue/A2taxremlife))</f>
        <v>0.1045947402346119</v>
      </c>
      <c r="S493" s="106">
        <f>IF(S$3&gt;A2taxremlife,A2taxvalue-SUM($F493:R493),IF(A2taxremlife="N/A","n/a",A2taxvalue/A2taxremlife))</f>
        <v>0</v>
      </c>
      <c r="T493" s="106">
        <f>IF(T$3&gt;A2taxremlife,A2taxvalue-SUM($F493:S493),IF(A2taxremlife="N/A","n/a",A2taxvalue/A2taxremlife))</f>
        <v>0</v>
      </c>
      <c r="U493" s="106">
        <f>IF(U$3&gt;A2taxremlife,A2taxvalue-SUM($F493:T493),IF(A2taxremlife="N/A","n/a",A2taxvalue/A2taxremlife))</f>
        <v>0</v>
      </c>
      <c r="V493" s="106">
        <f>IF(V$3&gt;A2taxremlife,A2taxvalue-SUM($F493:U493),IF(A2taxremlife="N/A","n/a",A2taxvalue/A2taxremlife))</f>
        <v>0</v>
      </c>
      <c r="W493" s="106">
        <f>IF(W$3&gt;A2taxremlife,A2taxvalue-SUM($F493:V493),IF(A2taxremlife="N/A","n/a",A2taxvalue/A2taxremlife))</f>
        <v>0</v>
      </c>
      <c r="X493" s="106">
        <f>IF(X$3&gt;A2taxremlife,A2taxvalue-SUM($F493:W493),IF(A2taxremlife="N/A","n/a",A2taxvalue/A2taxremlife))</f>
        <v>0</v>
      </c>
      <c r="Y493" s="106">
        <f>IF(Y$3&gt;A2taxremlife,A2taxvalue-SUM($F493:X493),IF(A2taxremlife="N/A","n/a",A2taxvalue/A2taxremlife))</f>
        <v>0</v>
      </c>
      <c r="Z493" s="106">
        <f>IF(Z$3&gt;A2taxremlife,A2taxvalue-SUM($F493:Y493),IF(A2taxremlife="N/A","n/a",A2taxvalue/A2taxremlife))</f>
        <v>0</v>
      </c>
      <c r="AA493" s="106">
        <f>IF(AA$3&gt;A2taxremlife,A2taxvalue-SUM($F493:Z493),IF(A2taxremlife="N/A","n/a",A2taxvalue/A2taxremlife))</f>
        <v>0</v>
      </c>
      <c r="AB493" s="106">
        <f>IF(AB$3&gt;A2taxremlife,A2taxvalue-SUM($F493:AA493),IF(A2taxremlife="N/A","n/a",A2taxvalue/A2taxremlife))</f>
        <v>0</v>
      </c>
      <c r="AC493" s="106">
        <f>IF(AC$3&gt;A2taxremlife,A2taxvalue-SUM($F493:AB493),IF(A2taxremlife="N/A","n/a",A2taxvalue/A2taxremlife))</f>
        <v>0</v>
      </c>
      <c r="AD493" s="106">
        <f>IF(AD$3&gt;A2taxremlife,A2taxvalue-SUM($F493:AC493),IF(A2taxremlife="N/A","n/a",A2taxvalue/A2taxremlife))</f>
        <v>0</v>
      </c>
      <c r="AE493" s="106">
        <f>IF(AE$3&gt;A2taxremlife,A2taxvalue-SUM($F493:AD493),IF(A2taxremlife="N/A","n/a",A2taxvalue/A2taxremlife))</f>
        <v>0</v>
      </c>
      <c r="AF493" s="106">
        <f>IF(AF$3&gt;A2taxremlife,A2taxvalue-SUM($F493:AE493),IF(A2taxremlife="N/A","n/a",A2taxvalue/A2taxremlife))</f>
        <v>0</v>
      </c>
      <c r="AG493" s="106">
        <f>IF(AG$3&gt;A2taxremlife,A2taxvalue-SUM($F493:AF493),IF(A2taxremlife="N/A","n/a",A2taxvalue/A2taxremlife))</f>
        <v>0</v>
      </c>
      <c r="AH493" s="106">
        <f>IF(AH$3&gt;A2taxremlife,A2taxvalue-SUM($F493:AG493),IF(A2taxremlife="N/A","n/a",A2taxvalue/A2taxremlife))</f>
        <v>0</v>
      </c>
      <c r="AI493" s="106">
        <f>IF(AI$3&gt;A2taxremlife,A2taxvalue-SUM($F493:AH493),IF(A2taxremlife="N/A","n/a",A2taxvalue/A2taxremlife))</f>
        <v>0</v>
      </c>
      <c r="AJ493" s="106">
        <f>IF(AJ$3&gt;A2taxremlife,A2taxvalue-SUM($F493:AI493),IF(A2taxremlife="N/A","n/a",A2taxvalue/A2taxremlife))</f>
        <v>0</v>
      </c>
      <c r="AK493" s="106">
        <f>IF(AK$3&gt;A2taxremlife,A2taxvalue-SUM($F493:AJ493),IF(A2taxremlife="N/A","n/a",A2taxvalue/A2taxremlife))</f>
        <v>0</v>
      </c>
      <c r="AL493" s="106">
        <f>IF(AL$3&gt;A2taxremlife,A2taxvalue-SUM($F493:AK493),IF(A2taxremlife="N/A","n/a",A2taxvalue/A2taxremlife))</f>
        <v>0</v>
      </c>
      <c r="AM493" s="106">
        <f>IF(AM$3&gt;A2taxremlife,A2taxvalue-SUM($F493:AL493),IF(A2taxremlife="N/A","n/a",A2taxvalue/A2taxremlife))</f>
        <v>0</v>
      </c>
      <c r="AN493" s="106">
        <f>IF(AN$3&gt;A2taxremlife,A2taxvalue-SUM($F493:AM493),IF(A2taxremlife="N/A","n/a",A2taxvalue/A2taxremlife))</f>
        <v>0</v>
      </c>
      <c r="AO493" s="106">
        <f>IF(AO$3&gt;A2taxremlife,A2taxvalue-SUM($F493:AN493),IF(A2taxremlife="N/A","n/a",A2taxvalue/A2taxremlife))</f>
        <v>0</v>
      </c>
      <c r="AP493" s="106">
        <f>IF(AP$3&gt;A2taxremlife,A2taxvalue-SUM($F493:AO493),IF(A2taxremlife="N/A","n/a",A2taxvalue/A2taxremlife))</f>
        <v>0</v>
      </c>
      <c r="AQ493" s="106">
        <f>IF(AQ$3&gt;A2taxremlife,A2taxvalue-SUM($F493:AP493),IF(A2taxremlife="N/A","n/a",A2taxvalue/A2taxremlife))</f>
        <v>0</v>
      </c>
      <c r="AR493" s="106">
        <f>IF(AR$3&gt;A2taxremlife,A2taxvalue-SUM($F493:AQ493),IF(A2taxremlife="N/A","n/a",A2taxvalue/A2taxremlife))</f>
        <v>0</v>
      </c>
      <c r="AS493" s="106">
        <f>IF(AS$3&gt;A2taxremlife,A2taxvalue-SUM($F493:AR493),IF(A2taxremlife="N/A","n/a",A2taxvalue/A2taxremlife))</f>
        <v>0</v>
      </c>
      <c r="AT493" s="106">
        <f>IF(AT$3&gt;A2taxremlife,A2taxvalue-SUM($F493:AS493),IF(A2taxremlife="N/A","n/a",A2taxvalue/A2taxremlife))</f>
        <v>0</v>
      </c>
      <c r="AU493" s="106">
        <f>IF(AU$3&gt;A2taxremlife,A2taxvalue-SUM($F493:AT493),IF(A2taxremlife="N/A","n/a",A2taxvalue/A2taxremlife))</f>
        <v>0</v>
      </c>
      <c r="AV493" s="106">
        <f>IF(AV$3&gt;A2taxremlife,A2taxvalue-SUM($F493:AU493),IF(A2taxremlife="N/A","n/a",A2taxvalue/A2taxremlife))</f>
        <v>0</v>
      </c>
      <c r="AW493" s="106">
        <f>IF(AW$3&gt;A2taxremlife,A2taxvalue-SUM($F493:AV493),IF(A2taxremlife="N/A","n/a",A2taxvalue/A2taxremlife))</f>
        <v>0</v>
      </c>
      <c r="AX493" s="106">
        <f>IF(AX$3&gt;A2taxremlife,A2taxvalue-SUM($F493:AW493),IF(A2taxremlife="N/A","n/a",A2taxvalue/A2taxremlife))</f>
        <v>0</v>
      </c>
      <c r="AY493" s="106">
        <f>IF(AY$3&gt;A2taxremlife,A2taxvalue-SUM($F493:AX493),IF(A2taxremlife="N/A","n/a",A2taxvalue/A2taxremlife))</f>
        <v>0</v>
      </c>
      <c r="AZ493" s="106">
        <f>IF(AZ$3&gt;A2taxremlife,A2taxvalue-SUM($F493:AY493),IF(A2taxremlife="N/A","n/a",A2taxvalue/A2taxremlife))</f>
        <v>0</v>
      </c>
      <c r="BA493" s="106">
        <f>IF(BA$3&gt;A2taxremlife,A2taxvalue-SUM($F493:AZ493),IF(A2taxremlife="N/A","n/a",A2taxvalue/A2taxremlife))</f>
        <v>0</v>
      </c>
      <c r="BB493" s="106">
        <f>IF(BB$3&gt;A2taxremlife,A2taxvalue-SUM($F493:BA493),IF(A2taxremlife="N/A","n/a",A2taxvalue/A2taxremlife))</f>
        <v>0</v>
      </c>
      <c r="BC493" s="106">
        <f>IF(BC$3&gt;A2taxremlife,A2taxvalue-SUM($F493:BB493),IF(A2taxremlife="N/A","n/a",A2taxvalue/A2taxremlife))</f>
        <v>0</v>
      </c>
      <c r="BD493" s="106">
        <f>IF(BD$3&gt;A2taxremlife,A2taxvalue-SUM($F493:BC493),IF(A2taxremlife="N/A","n/a",A2taxvalue/A2taxremlife))</f>
        <v>0</v>
      </c>
      <c r="BE493" s="106">
        <f>IF(BE$3&gt;A2taxremlife,A2taxvalue-SUM($F493:BD493),IF(A2taxremlife="N/A","n/a",A2taxvalue/A2taxremlife))</f>
        <v>0</v>
      </c>
      <c r="BF493" s="106">
        <f>IF(BF$3&gt;A2taxremlife,A2taxvalue-SUM($F493:BE493),IF(A2taxremlife="N/A","n/a",A2taxvalue/A2taxremlife))</f>
        <v>0</v>
      </c>
      <c r="BG493" s="106">
        <f>IF(BG$3&gt;A2taxremlife,A2taxvalue-SUM($F493:BF493),IF(A2taxremlife="N/A","n/a",A2taxvalue/A2taxremlife))</f>
        <v>0</v>
      </c>
      <c r="BH493" s="106">
        <f>IF(BH$3&gt;A2taxremlife,A2taxvalue-SUM($F493:BG493),IF(A2taxremlife="N/A","n/a",A2taxvalue/A2taxremlife))</f>
        <v>0</v>
      </c>
      <c r="BI493" s="106">
        <f>IF(BI$3&gt;A2taxremlife,A2taxvalue-SUM($F493:BH493),IF(A2taxremlife="N/A","n/a",A2taxvalue/A2taxremlife))</f>
        <v>0</v>
      </c>
      <c r="BJ493" s="18"/>
      <c r="BK493" s="18"/>
      <c r="BL493" s="18"/>
      <c r="BM493" s="18"/>
    </row>
    <row r="494" spans="1:65" s="4" customFormat="1" ht="12.75" hidden="1" customHeight="1" outlineLevel="2">
      <c r="A494" s="18"/>
      <c r="B494" s="18"/>
      <c r="C494" s="33"/>
      <c r="D494" s="1618" t="s">
        <v>357</v>
      </c>
      <c r="E494" s="169">
        <v>0</v>
      </c>
      <c r="F494" s="35"/>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c r="BB494" s="107"/>
      <c r="BC494" s="107"/>
      <c r="BD494" s="107"/>
      <c r="BE494" s="107"/>
      <c r="BF494" s="107"/>
      <c r="BG494" s="107"/>
      <c r="BH494" s="107"/>
      <c r="BI494" s="107"/>
      <c r="BJ494" s="18"/>
      <c r="BK494" s="18"/>
      <c r="BL494" s="18"/>
      <c r="BM494" s="18"/>
    </row>
    <row r="495" spans="1:65" s="4" customFormat="1" hidden="1" outlineLevel="2">
      <c r="A495" s="18"/>
      <c r="B495" s="18"/>
      <c r="C495" s="33"/>
      <c r="D495" s="1618"/>
      <c r="E495" s="169">
        <v>1</v>
      </c>
      <c r="F495" s="35"/>
      <c r="G495" s="183"/>
      <c r="H495" s="107">
        <f>IF(A2taxstdlife="n/a","n/a",IF(H$3&gt;(A2taxstdlife+$E495),(('PTRM input'!$G$144+'PTRM input'!$G$110)*$G$7)-SUM($G495:G495),(('PTRM input'!$G$144+'PTRM input'!$G$110)*$G$7)/A2taxstdlife))</f>
        <v>0</v>
      </c>
      <c r="I495" s="107">
        <f>IF(A2taxstdlife="n/a","n/a",IF(I$3&gt;(A2taxstdlife+$E495),(('PTRM input'!$G$144+'PTRM input'!$G$110)*$G$7)-SUM($G495:H495),(('PTRM input'!$G$144+'PTRM input'!$G$110)*$G$7)/A2taxstdlife))</f>
        <v>0</v>
      </c>
      <c r="J495" s="107">
        <f>IF(A2taxstdlife="n/a","n/a",IF(J$3&gt;(A2taxstdlife+$E495),(('PTRM input'!$G$144+'PTRM input'!$G$110)*$G$7)-SUM($G495:I495),(('PTRM input'!$G$144+'PTRM input'!$G$110)*$G$7)/A2taxstdlife))</f>
        <v>0</v>
      </c>
      <c r="K495" s="107">
        <f>IF(A2taxstdlife="n/a","n/a",IF(K$3&gt;(A2taxstdlife+$E495),(('PTRM input'!$G$144+'PTRM input'!$G$110)*$G$7)-SUM($G495:J495),(('PTRM input'!$G$144+'PTRM input'!$G$110)*$G$7)/A2taxstdlife))</f>
        <v>0</v>
      </c>
      <c r="L495" s="107">
        <f>IF(A2taxstdlife="n/a","n/a",IF(L$3&gt;(A2taxstdlife+$E495),(('PTRM input'!$G$144+'PTRM input'!$G$110)*$G$7)-SUM($G495:K495),(('PTRM input'!$G$144+'PTRM input'!$G$110)*$G$7)/A2taxstdlife))</f>
        <v>0</v>
      </c>
      <c r="M495" s="107">
        <f>IF(A2taxstdlife="n/a","n/a",IF(M$3&gt;(A2taxstdlife+$E495),(('PTRM input'!$G$144+'PTRM input'!$G$110)*$G$7)-SUM($G495:L495),(('PTRM input'!$G$144+'PTRM input'!$G$110)*$G$7)/A2taxstdlife))</f>
        <v>0</v>
      </c>
      <c r="N495" s="107">
        <f>IF(A2taxstdlife="n/a","n/a",IF(N$3&gt;(A2taxstdlife+$E495),(('PTRM input'!$G$144+'PTRM input'!$G$110)*$G$7)-SUM($G495:M495),(('PTRM input'!$G$144+'PTRM input'!$G$110)*$G$7)/A2taxstdlife))</f>
        <v>0</v>
      </c>
      <c r="O495" s="107">
        <f>IF(A2taxstdlife="n/a","n/a",IF(O$3&gt;(A2taxstdlife+$E495),(('PTRM input'!$G$144+'PTRM input'!$G$110)*$G$7)-SUM($G495:N495),(('PTRM input'!$G$144+'PTRM input'!$G$110)*$G$7)/A2taxstdlife))</f>
        <v>0</v>
      </c>
      <c r="P495" s="107">
        <f>IF(A2taxstdlife="n/a","n/a",IF(P$3&gt;(A2taxstdlife+$E495),(('PTRM input'!$G$144+'PTRM input'!$G$110)*$G$7)-SUM($G495:O495),(('PTRM input'!$G$144+'PTRM input'!$G$110)*$G$7)/A2taxstdlife))</f>
        <v>0</v>
      </c>
      <c r="Q495" s="107">
        <f>IF(A2taxstdlife="n/a","n/a",IF(Q$3&gt;(A2taxstdlife+$E495),(('PTRM input'!$G$144+'PTRM input'!$G$110)*$G$7)-SUM($G495:P495),(('PTRM input'!$G$144+'PTRM input'!$G$110)*$G$7)/A2taxstdlife))</f>
        <v>0</v>
      </c>
      <c r="R495" s="107">
        <f>IF(A2taxstdlife="n/a","n/a",IF(R$3&gt;(A2taxstdlife+$E495),(('PTRM input'!$G$144+'PTRM input'!$G$110)*$G$7)-SUM($G495:Q495),(('PTRM input'!$G$144+'PTRM input'!$G$110)*$G$7)/A2taxstdlife))</f>
        <v>0</v>
      </c>
      <c r="S495" s="107">
        <f>IF(A2taxstdlife="n/a","n/a",IF(S$3&gt;(A2taxstdlife+$E495),(('PTRM input'!$G$144+'PTRM input'!$G$110)*$G$7)-SUM($G495:R495),(('PTRM input'!$G$144+'PTRM input'!$G$110)*$G$7)/A2taxstdlife))</f>
        <v>0</v>
      </c>
      <c r="T495" s="107">
        <f>IF(A2taxstdlife="n/a","n/a",IF(T$3&gt;(A2taxstdlife+$E495),(('PTRM input'!$G$144+'PTRM input'!$G$110)*$G$7)-SUM($G495:S495),(('PTRM input'!$G$144+'PTRM input'!$G$110)*$G$7)/A2taxstdlife))</f>
        <v>0</v>
      </c>
      <c r="U495" s="107">
        <f>IF(A2taxstdlife="n/a","n/a",IF(U$3&gt;(A2taxstdlife+$E495),(('PTRM input'!$G$144+'PTRM input'!$G$110)*$G$7)-SUM($G495:T495),(('PTRM input'!$G$144+'PTRM input'!$G$110)*$G$7)/A2taxstdlife))</f>
        <v>0</v>
      </c>
      <c r="V495" s="107">
        <f>IF(A2taxstdlife="n/a","n/a",IF(V$3&gt;(A2taxstdlife+$E495),(('PTRM input'!$G$144+'PTRM input'!$G$110)*$G$7)-SUM($G495:U495),(('PTRM input'!$G$144+'PTRM input'!$G$110)*$G$7)/A2taxstdlife))</f>
        <v>0</v>
      </c>
      <c r="W495" s="107">
        <f>IF(A2taxstdlife="n/a","n/a",IF(W$3&gt;(A2taxstdlife+$E495),(('PTRM input'!$G$144+'PTRM input'!$G$110)*$G$7)-SUM($G495:V495),(('PTRM input'!$G$144+'PTRM input'!$G$110)*$G$7)/A2taxstdlife))</f>
        <v>0</v>
      </c>
      <c r="X495" s="107">
        <f>IF(A2taxstdlife="n/a","n/a",IF(X$3&gt;(A2taxstdlife+$E495),(('PTRM input'!$G$144+'PTRM input'!$G$110)*$G$7)-SUM($G495:W495),(('PTRM input'!$G$144+'PTRM input'!$G$110)*$G$7)/A2taxstdlife))</f>
        <v>0</v>
      </c>
      <c r="Y495" s="107">
        <f>IF(A2taxstdlife="n/a","n/a",IF(Y$3&gt;(A2taxstdlife+$E495),(('PTRM input'!$G$144+'PTRM input'!$G$110)*$G$7)-SUM($G495:X495),(('PTRM input'!$G$144+'PTRM input'!$G$110)*$G$7)/A2taxstdlife))</f>
        <v>0</v>
      </c>
      <c r="Z495" s="107">
        <f>IF(A2taxstdlife="n/a","n/a",IF(Z$3&gt;(A2taxstdlife+$E495),(('PTRM input'!$G$144+'PTRM input'!$G$110)*$G$7)-SUM($G495:Y495),(('PTRM input'!$G$144+'PTRM input'!$G$110)*$G$7)/A2taxstdlife))</f>
        <v>0</v>
      </c>
      <c r="AA495" s="107">
        <f>IF(A2taxstdlife="n/a","n/a",IF(AA$3&gt;(A2taxstdlife+$E495),(('PTRM input'!$G$144+'PTRM input'!$G$110)*$G$7)-SUM($G495:Z495),(('PTRM input'!$G$144+'PTRM input'!$G$110)*$G$7)/A2taxstdlife))</f>
        <v>0</v>
      </c>
      <c r="AB495" s="107">
        <f>IF(A2taxstdlife="n/a","n/a",IF(AB$3&gt;(A2taxstdlife+$E495),(('PTRM input'!$G$144+'PTRM input'!$G$110)*$G$7)-SUM($G495:AA495),(('PTRM input'!$G$144+'PTRM input'!$G$110)*$G$7)/A2taxstdlife))</f>
        <v>0</v>
      </c>
      <c r="AC495" s="107">
        <f>IF(A2taxstdlife="n/a","n/a",IF(AC$3&gt;(A2taxstdlife+$E495),(('PTRM input'!$G$144+'PTRM input'!$G$110)*$G$7)-SUM($G495:AB495),(('PTRM input'!$G$144+'PTRM input'!$G$110)*$G$7)/A2taxstdlife))</f>
        <v>0</v>
      </c>
      <c r="AD495" s="107">
        <f>IF(A2taxstdlife="n/a","n/a",IF(AD$3&gt;(A2taxstdlife+$E495),(('PTRM input'!$G$144+'PTRM input'!$G$110)*$G$7)-SUM($G495:AC495),(('PTRM input'!$G$144+'PTRM input'!$G$110)*$G$7)/A2taxstdlife))</f>
        <v>0</v>
      </c>
      <c r="AE495" s="107">
        <f>IF(A2taxstdlife="n/a","n/a",IF(AE$3&gt;(A2taxstdlife+$E495),(('PTRM input'!$G$144+'PTRM input'!$G$110)*$G$7)-SUM($G495:AD495),(('PTRM input'!$G$144+'PTRM input'!$G$110)*$G$7)/A2taxstdlife))</f>
        <v>0</v>
      </c>
      <c r="AF495" s="107">
        <f>IF(A2taxstdlife="n/a","n/a",IF(AF$3&gt;(A2taxstdlife+$E495),(('PTRM input'!$G$144+'PTRM input'!$G$110)*$G$7)-SUM($G495:AE495),(('PTRM input'!$G$144+'PTRM input'!$G$110)*$G$7)/A2taxstdlife))</f>
        <v>0</v>
      </c>
      <c r="AG495" s="107">
        <f>IF(A2taxstdlife="n/a","n/a",IF(AG$3&gt;(A2taxstdlife+$E495),(('PTRM input'!$G$144+'PTRM input'!$G$110)*$G$7)-SUM($G495:AF495),(('PTRM input'!$G$144+'PTRM input'!$G$110)*$G$7)/A2taxstdlife))</f>
        <v>0</v>
      </c>
      <c r="AH495" s="107">
        <f>IF(A2taxstdlife="n/a","n/a",IF(AH$3&gt;(A2taxstdlife+$E495),(('PTRM input'!$G$144+'PTRM input'!$G$110)*$G$7)-SUM($G495:AG495),(('PTRM input'!$G$144+'PTRM input'!$G$110)*$G$7)/A2taxstdlife))</f>
        <v>0</v>
      </c>
      <c r="AI495" s="107">
        <f>IF(A2taxstdlife="n/a","n/a",IF(AI$3&gt;(A2taxstdlife+$E495),(('PTRM input'!$G$144+'PTRM input'!$G$110)*$G$7)-SUM($G495:AH495),(('PTRM input'!$G$144+'PTRM input'!$G$110)*$G$7)/A2taxstdlife))</f>
        <v>0</v>
      </c>
      <c r="AJ495" s="107">
        <f>IF(A2taxstdlife="n/a","n/a",IF(AJ$3&gt;(A2taxstdlife+$E495),(('PTRM input'!$G$144+'PTRM input'!$G$110)*$G$7)-SUM($G495:AI495),(('PTRM input'!$G$144+'PTRM input'!$G$110)*$G$7)/A2taxstdlife))</f>
        <v>0</v>
      </c>
      <c r="AK495" s="107">
        <f>IF(A2taxstdlife="n/a","n/a",IF(AK$3&gt;(A2taxstdlife+$E495),(('PTRM input'!$G$144+'PTRM input'!$G$110)*$G$7)-SUM($G495:AJ495),(('PTRM input'!$G$144+'PTRM input'!$G$110)*$G$7)/A2taxstdlife))</f>
        <v>0</v>
      </c>
      <c r="AL495" s="107">
        <f>IF(A2taxstdlife="n/a","n/a",IF(AL$3&gt;(A2taxstdlife+$E495),(('PTRM input'!$G$144+'PTRM input'!$G$110)*$G$7)-SUM($G495:AK495),(('PTRM input'!$G$144+'PTRM input'!$G$110)*$G$7)/A2taxstdlife))</f>
        <v>0</v>
      </c>
      <c r="AM495" s="107">
        <f>IF(A2taxstdlife="n/a","n/a",IF(AM$3&gt;(A2taxstdlife+$E495),(('PTRM input'!$G$144+'PTRM input'!$G$110)*$G$7)-SUM($G495:AL495),(('PTRM input'!$G$144+'PTRM input'!$G$110)*$G$7)/A2taxstdlife))</f>
        <v>0</v>
      </c>
      <c r="AN495" s="107">
        <f>IF(A2taxstdlife="n/a","n/a",IF(AN$3&gt;(A2taxstdlife+$E495),(('PTRM input'!$G$144+'PTRM input'!$G$110)*$G$7)-SUM($G495:AM495),(('PTRM input'!$G$144+'PTRM input'!$G$110)*$G$7)/A2taxstdlife))</f>
        <v>0</v>
      </c>
      <c r="AO495" s="107">
        <f>IF(A2taxstdlife="n/a","n/a",IF(AO$3&gt;(A2taxstdlife+$E495),(('PTRM input'!$G$144+'PTRM input'!$G$110)*$G$7)-SUM($G495:AN495),(('PTRM input'!$G$144+'PTRM input'!$G$110)*$G$7)/A2taxstdlife))</f>
        <v>0</v>
      </c>
      <c r="AP495" s="107">
        <f>IF(A2taxstdlife="n/a","n/a",IF(AP$3&gt;(A2taxstdlife+$E495),(('PTRM input'!$G$144+'PTRM input'!$G$110)*$G$7)-SUM($G495:AO495),(('PTRM input'!$G$144+'PTRM input'!$G$110)*$G$7)/A2taxstdlife))</f>
        <v>0</v>
      </c>
      <c r="AQ495" s="107">
        <f>IF(A2taxstdlife="n/a","n/a",IF(AQ$3&gt;(A2taxstdlife+$E495),(('PTRM input'!$G$144+'PTRM input'!$G$110)*$G$7)-SUM($G495:AP495),(('PTRM input'!$G$144+'PTRM input'!$G$110)*$G$7)/A2taxstdlife))</f>
        <v>0</v>
      </c>
      <c r="AR495" s="107">
        <f>IF(A2taxstdlife="n/a","n/a",IF(AR$3&gt;(A2taxstdlife+$E495),(('PTRM input'!$G$144+'PTRM input'!$G$110)*$G$7)-SUM($G495:AQ495),(('PTRM input'!$G$144+'PTRM input'!$G$110)*$G$7)/A2taxstdlife))</f>
        <v>0</v>
      </c>
      <c r="AS495" s="107">
        <f>IF(A2taxstdlife="n/a","n/a",IF(AS$3&gt;(A2taxstdlife+$E495),(('PTRM input'!$G$144+'PTRM input'!$G$110)*$G$7)-SUM($G495:AR495),(('PTRM input'!$G$144+'PTRM input'!$G$110)*$G$7)/A2taxstdlife))</f>
        <v>0</v>
      </c>
      <c r="AT495" s="107">
        <f>IF(A2taxstdlife="n/a","n/a",IF(AT$3&gt;(A2taxstdlife+$E495),(('PTRM input'!$G$144+'PTRM input'!$G$110)*$G$7)-SUM($G495:AS495),(('PTRM input'!$G$144+'PTRM input'!$G$110)*$G$7)/A2taxstdlife))</f>
        <v>0</v>
      </c>
      <c r="AU495" s="107">
        <f>IF(A2taxstdlife="n/a","n/a",IF(AU$3&gt;(A2taxstdlife+$E495),(('PTRM input'!$G$144+'PTRM input'!$G$110)*$G$7)-SUM($G495:AT495),(('PTRM input'!$G$144+'PTRM input'!$G$110)*$G$7)/A2taxstdlife))</f>
        <v>0</v>
      </c>
      <c r="AV495" s="107">
        <f>IF(A2taxstdlife="n/a","n/a",IF(AV$3&gt;(A2taxstdlife+$E495),(('PTRM input'!$G$144+'PTRM input'!$G$110)*$G$7)-SUM($G495:AU495),(('PTRM input'!$G$144+'PTRM input'!$G$110)*$G$7)/A2taxstdlife))</f>
        <v>0</v>
      </c>
      <c r="AW495" s="107">
        <f>IF(A2taxstdlife="n/a","n/a",IF(AW$3&gt;(A2taxstdlife+$E495),(('PTRM input'!$G$144+'PTRM input'!$G$110)*$G$7)-SUM($G495:AV495),(('PTRM input'!$G$144+'PTRM input'!$G$110)*$G$7)/A2taxstdlife))</f>
        <v>0</v>
      </c>
      <c r="AX495" s="107">
        <f>IF(A2taxstdlife="n/a","n/a",IF(AX$3&gt;(A2taxstdlife+$E495),(('PTRM input'!$G$144+'PTRM input'!$G$110)*$G$7)-SUM($G495:AW495),(('PTRM input'!$G$144+'PTRM input'!$G$110)*$G$7)/A2taxstdlife))</f>
        <v>0</v>
      </c>
      <c r="AY495" s="107">
        <f>IF(A2taxstdlife="n/a","n/a",IF(AY$3&gt;(A2taxstdlife+$E495),(('PTRM input'!$G$144+'PTRM input'!$G$110)*$G$7)-SUM($G495:AX495),(('PTRM input'!$G$144+'PTRM input'!$G$110)*$G$7)/A2taxstdlife))</f>
        <v>0</v>
      </c>
      <c r="AZ495" s="107">
        <f>IF(A2taxstdlife="n/a","n/a",IF(AZ$3&gt;(A2taxstdlife+$E495),(('PTRM input'!$G$144+'PTRM input'!$G$110)*$G$7)-SUM($G495:AY495),(('PTRM input'!$G$144+'PTRM input'!$G$110)*$G$7)/A2taxstdlife))</f>
        <v>0</v>
      </c>
      <c r="BA495" s="107">
        <f>IF(A2taxstdlife="n/a","n/a",IF(BA$3&gt;(A2taxstdlife+$E495),(('PTRM input'!$G$144+'PTRM input'!$G$110)*$G$7)-SUM($G495:AZ495),(('PTRM input'!$G$144+'PTRM input'!$G$110)*$G$7)/A2taxstdlife))</f>
        <v>0</v>
      </c>
      <c r="BB495" s="107">
        <f>IF(A2taxstdlife="n/a","n/a",IF(BB$3&gt;(A2taxstdlife+$E495),(('PTRM input'!$G$144+'PTRM input'!$G$110)*$G$7)-SUM($G495:BA495),(('PTRM input'!$G$144+'PTRM input'!$G$110)*$G$7)/A2taxstdlife))</f>
        <v>0</v>
      </c>
      <c r="BC495" s="107">
        <f>IF(A2taxstdlife="n/a","n/a",IF(BC$3&gt;(A2taxstdlife+$E495),(('PTRM input'!$G$144+'PTRM input'!$G$110)*$G$7)-SUM($G495:BB495),(('PTRM input'!$G$144+'PTRM input'!$G$110)*$G$7)/A2taxstdlife))</f>
        <v>0</v>
      </c>
      <c r="BD495" s="107">
        <f>IF(A2taxstdlife="n/a","n/a",IF(BD$3&gt;(A2taxstdlife+$E495),(('PTRM input'!$G$144+'PTRM input'!$G$110)*$G$7)-SUM($G495:BC495),(('PTRM input'!$G$144+'PTRM input'!$G$110)*$G$7)/A2taxstdlife))</f>
        <v>0</v>
      </c>
      <c r="BE495" s="107">
        <f>IF(A2taxstdlife="n/a","n/a",IF(BE$3&gt;(A2taxstdlife+$E495),(('PTRM input'!$G$144+'PTRM input'!$G$110)*$G$7)-SUM($G495:BD495),(('PTRM input'!$G$144+'PTRM input'!$G$110)*$G$7)/A2taxstdlife))</f>
        <v>0</v>
      </c>
      <c r="BF495" s="107">
        <f>IF(A2taxstdlife="n/a","n/a",IF(BF$3&gt;(A2taxstdlife+$E495),(('PTRM input'!$G$144+'PTRM input'!$G$110)*$G$7)-SUM($G495:BE495),(('PTRM input'!$G$144+'PTRM input'!$G$110)*$G$7)/A2taxstdlife))</f>
        <v>0</v>
      </c>
      <c r="BG495" s="107">
        <f>IF(A2taxstdlife="n/a","n/a",IF(BG$3&gt;(A2taxstdlife+$E495),(('PTRM input'!$G$144+'PTRM input'!$G$110)*$G$7)-SUM($G495:BF495),(('PTRM input'!$G$144+'PTRM input'!$G$110)*$G$7)/A2taxstdlife))</f>
        <v>0</v>
      </c>
      <c r="BH495" s="107">
        <f>IF(A2taxstdlife="n/a","n/a",IF(BH$3&gt;(A2taxstdlife+$E495),(('PTRM input'!$G$144+'PTRM input'!$G$110)*$G$7)-SUM($G495:BG495),(('PTRM input'!$G$144+'PTRM input'!$G$110)*$G$7)/A2taxstdlife))</f>
        <v>0</v>
      </c>
      <c r="BI495" s="107">
        <f>IF(A2taxstdlife="n/a","n/a",IF(BI$3&gt;(A2taxstdlife+$E495),(('PTRM input'!$G$144+'PTRM input'!$G$110)*$G$7)-SUM($G495:BH495),(('PTRM input'!$G$144+'PTRM input'!$G$110)*$G$7)/A2taxstdlife))</f>
        <v>0</v>
      </c>
      <c r="BJ495" s="18"/>
      <c r="BK495" s="18"/>
      <c r="BL495" s="18"/>
      <c r="BM495" s="18"/>
    </row>
    <row r="496" spans="1:65" s="4" customFormat="1" hidden="1" outlineLevel="2">
      <c r="A496" s="18"/>
      <c r="B496" s="18"/>
      <c r="C496" s="33"/>
      <c r="D496" s="1618"/>
      <c r="E496" s="169">
        <v>2</v>
      </c>
      <c r="F496" s="35"/>
      <c r="G496" s="184"/>
      <c r="H496" s="185"/>
      <c r="I496" s="107">
        <f>IF(A2taxstdlife="n/a","n/a",IF(I$3&gt;(A2taxstdlife+$E496),(('PTRM input'!$H$144+'PTRM input'!$H$110)*$H$7)-SUM($H496:H496),(('PTRM input'!$H$144+'PTRM input'!$H$110)*$H$7)/A2taxstdlife))</f>
        <v>0</v>
      </c>
      <c r="J496" s="107">
        <f>IF(A2taxstdlife="n/a","n/a",IF(J$3&gt;(A2taxstdlife+$E496),(('PTRM input'!$H$144+'PTRM input'!$H$110)*$H$7)-SUM($H496:I496),(('PTRM input'!$H$144+'PTRM input'!$H$110)*$H$7)/A2taxstdlife))</f>
        <v>0</v>
      </c>
      <c r="K496" s="107">
        <f>IF(A2taxstdlife="n/a","n/a",IF(K$3&gt;(A2taxstdlife+$E496),(('PTRM input'!$H$144+'PTRM input'!$H$110)*$H$7)-SUM($H496:J496),(('PTRM input'!$H$144+'PTRM input'!$H$110)*$H$7)/A2taxstdlife))</f>
        <v>0</v>
      </c>
      <c r="L496" s="107">
        <f>IF(A2taxstdlife="n/a","n/a",IF(L$3&gt;(A2taxstdlife+$E496),(('PTRM input'!$H$144+'PTRM input'!$H$110)*$H$7)-SUM($H496:K496),(('PTRM input'!$H$144+'PTRM input'!$H$110)*$H$7)/A2taxstdlife))</f>
        <v>0</v>
      </c>
      <c r="M496" s="107">
        <f>IF(A2taxstdlife="n/a","n/a",IF(M$3&gt;(A2taxstdlife+$E496),(('PTRM input'!$H$144+'PTRM input'!$H$110)*$H$7)-SUM($H496:L496),(('PTRM input'!$H$144+'PTRM input'!$H$110)*$H$7)/A2taxstdlife))</f>
        <v>0</v>
      </c>
      <c r="N496" s="107">
        <f>IF(A2taxstdlife="n/a","n/a",IF(N$3&gt;(A2taxstdlife+$E496),(('PTRM input'!$H$144+'PTRM input'!$H$110)*$H$7)-SUM($H496:M496),(('PTRM input'!$H$144+'PTRM input'!$H$110)*$H$7)/A2taxstdlife))</f>
        <v>0</v>
      </c>
      <c r="O496" s="107">
        <f>IF(A2taxstdlife="n/a","n/a",IF(O$3&gt;(A2taxstdlife+$E496),(('PTRM input'!$H$144+'PTRM input'!$H$110)*$H$7)-SUM($H496:N496),(('PTRM input'!$H$144+'PTRM input'!$H$110)*$H$7)/A2taxstdlife))</f>
        <v>0</v>
      </c>
      <c r="P496" s="107">
        <f>IF(A2taxstdlife="n/a","n/a",IF(P$3&gt;(A2taxstdlife+$E496),(('PTRM input'!$H$144+'PTRM input'!$H$110)*$H$7)-SUM($H496:O496),(('PTRM input'!$H$144+'PTRM input'!$H$110)*$H$7)/A2taxstdlife))</f>
        <v>0</v>
      </c>
      <c r="Q496" s="107">
        <f>IF(A2taxstdlife="n/a","n/a",IF(Q$3&gt;(A2taxstdlife+$E496),(('PTRM input'!$H$144+'PTRM input'!$H$110)*$H$7)-SUM($H496:P496),(('PTRM input'!$H$144+'PTRM input'!$H$110)*$H$7)/A2taxstdlife))</f>
        <v>0</v>
      </c>
      <c r="R496" s="107">
        <f>IF(A2taxstdlife="n/a","n/a",IF(R$3&gt;(A2taxstdlife+$E496),(('PTRM input'!$H$144+'PTRM input'!$H$110)*$H$7)-SUM($H496:Q496),(('PTRM input'!$H$144+'PTRM input'!$H$110)*$H$7)/A2taxstdlife))</f>
        <v>0</v>
      </c>
      <c r="S496" s="107">
        <f>IF(A2taxstdlife="n/a","n/a",IF(S$3&gt;(A2taxstdlife+$E496),(('PTRM input'!$H$144+'PTRM input'!$H$110)*$H$7)-SUM($H496:R496),(('PTRM input'!$H$144+'PTRM input'!$H$110)*$H$7)/A2taxstdlife))</f>
        <v>0</v>
      </c>
      <c r="T496" s="107">
        <f>IF(A2taxstdlife="n/a","n/a",IF(T$3&gt;(A2taxstdlife+$E496),(('PTRM input'!$H$144+'PTRM input'!$H$110)*$H$7)-SUM($H496:S496),(('PTRM input'!$H$144+'PTRM input'!$H$110)*$H$7)/A2taxstdlife))</f>
        <v>0</v>
      </c>
      <c r="U496" s="107">
        <f>IF(A2taxstdlife="n/a","n/a",IF(U$3&gt;(A2taxstdlife+$E496),(('PTRM input'!$H$144+'PTRM input'!$H$110)*$H$7)-SUM($H496:T496),(('PTRM input'!$H$144+'PTRM input'!$H$110)*$H$7)/A2taxstdlife))</f>
        <v>0</v>
      </c>
      <c r="V496" s="107">
        <f>IF(A2taxstdlife="n/a","n/a",IF(V$3&gt;(A2taxstdlife+$E496),(('PTRM input'!$H$144+'PTRM input'!$H$110)*$H$7)-SUM($H496:U496),(('PTRM input'!$H$144+'PTRM input'!$H$110)*$H$7)/A2taxstdlife))</f>
        <v>0</v>
      </c>
      <c r="W496" s="107">
        <f>IF(A2taxstdlife="n/a","n/a",IF(W$3&gt;(A2taxstdlife+$E496),(('PTRM input'!$H$144+'PTRM input'!$H$110)*$H$7)-SUM($H496:V496),(('PTRM input'!$H$144+'PTRM input'!$H$110)*$H$7)/A2taxstdlife))</f>
        <v>0</v>
      </c>
      <c r="X496" s="107">
        <f>IF(A2taxstdlife="n/a","n/a",IF(X$3&gt;(A2taxstdlife+$E496),(('PTRM input'!$H$144+'PTRM input'!$H$110)*$H$7)-SUM($H496:W496),(('PTRM input'!$H$144+'PTRM input'!$H$110)*$H$7)/A2taxstdlife))</f>
        <v>0</v>
      </c>
      <c r="Y496" s="107">
        <f>IF(A2taxstdlife="n/a","n/a",IF(Y$3&gt;(A2taxstdlife+$E496),(('PTRM input'!$H$144+'PTRM input'!$H$110)*$H$7)-SUM($H496:X496),(('PTRM input'!$H$144+'PTRM input'!$H$110)*$H$7)/A2taxstdlife))</f>
        <v>0</v>
      </c>
      <c r="Z496" s="107">
        <f>IF(A2taxstdlife="n/a","n/a",IF(Z$3&gt;(A2taxstdlife+$E496),(('PTRM input'!$H$144+'PTRM input'!$H$110)*$H$7)-SUM($H496:Y496),(('PTRM input'!$H$144+'PTRM input'!$H$110)*$H$7)/A2taxstdlife))</f>
        <v>0</v>
      </c>
      <c r="AA496" s="107">
        <f>IF(A2taxstdlife="n/a","n/a",IF(AA$3&gt;(A2taxstdlife+$E496),(('PTRM input'!$H$144+'PTRM input'!$H$110)*$H$7)-SUM($H496:Z496),(('PTRM input'!$H$144+'PTRM input'!$H$110)*$H$7)/A2taxstdlife))</f>
        <v>0</v>
      </c>
      <c r="AB496" s="107">
        <f>IF(A2taxstdlife="n/a","n/a",IF(AB$3&gt;(A2taxstdlife+$E496),(('PTRM input'!$H$144+'PTRM input'!$H$110)*$H$7)-SUM($H496:AA496),(('PTRM input'!$H$144+'PTRM input'!$H$110)*$H$7)/A2taxstdlife))</f>
        <v>0</v>
      </c>
      <c r="AC496" s="107">
        <f>IF(A2taxstdlife="n/a","n/a",IF(AC$3&gt;(A2taxstdlife+$E496),(('PTRM input'!$H$144+'PTRM input'!$H$110)*$H$7)-SUM($H496:AB496),(('PTRM input'!$H$144+'PTRM input'!$H$110)*$H$7)/A2taxstdlife))</f>
        <v>0</v>
      </c>
      <c r="AD496" s="107">
        <f>IF(A2taxstdlife="n/a","n/a",IF(AD$3&gt;(A2taxstdlife+$E496),(('PTRM input'!$H$144+'PTRM input'!$H$110)*$H$7)-SUM($H496:AC496),(('PTRM input'!$H$144+'PTRM input'!$H$110)*$H$7)/A2taxstdlife))</f>
        <v>0</v>
      </c>
      <c r="AE496" s="107">
        <f>IF(A2taxstdlife="n/a","n/a",IF(AE$3&gt;(A2taxstdlife+$E496),(('PTRM input'!$H$144+'PTRM input'!$H$110)*$H$7)-SUM($H496:AD496),(('PTRM input'!$H$144+'PTRM input'!$H$110)*$H$7)/A2taxstdlife))</f>
        <v>0</v>
      </c>
      <c r="AF496" s="107">
        <f>IF(A2taxstdlife="n/a","n/a",IF(AF$3&gt;(A2taxstdlife+$E496),(('PTRM input'!$H$144+'PTRM input'!$H$110)*$H$7)-SUM($H496:AE496),(('PTRM input'!$H$144+'PTRM input'!$H$110)*$H$7)/A2taxstdlife))</f>
        <v>0</v>
      </c>
      <c r="AG496" s="107">
        <f>IF(A2taxstdlife="n/a","n/a",IF(AG$3&gt;(A2taxstdlife+$E496),(('PTRM input'!$H$144+'PTRM input'!$H$110)*$H$7)-SUM($H496:AF496),(('PTRM input'!$H$144+'PTRM input'!$H$110)*$H$7)/A2taxstdlife))</f>
        <v>0</v>
      </c>
      <c r="AH496" s="107">
        <f>IF(A2taxstdlife="n/a","n/a",IF(AH$3&gt;(A2taxstdlife+$E496),(('PTRM input'!$H$144+'PTRM input'!$H$110)*$H$7)-SUM($H496:AG496),(('PTRM input'!$H$144+'PTRM input'!$H$110)*$H$7)/A2taxstdlife))</f>
        <v>0</v>
      </c>
      <c r="AI496" s="107">
        <f>IF(A2taxstdlife="n/a","n/a",IF(AI$3&gt;(A2taxstdlife+$E496),(('PTRM input'!$H$144+'PTRM input'!$H$110)*$H$7)-SUM($H496:AH496),(('PTRM input'!$H$144+'PTRM input'!$H$110)*$H$7)/A2taxstdlife))</f>
        <v>0</v>
      </c>
      <c r="AJ496" s="107">
        <f>IF(A2taxstdlife="n/a","n/a",IF(AJ$3&gt;(A2taxstdlife+$E496),(('PTRM input'!$H$144+'PTRM input'!$H$110)*$H$7)-SUM($H496:AI496),(('PTRM input'!$H$144+'PTRM input'!$H$110)*$H$7)/A2taxstdlife))</f>
        <v>0</v>
      </c>
      <c r="AK496" s="107">
        <f>IF(A2taxstdlife="n/a","n/a",IF(AK$3&gt;(A2taxstdlife+$E496),(('PTRM input'!$H$144+'PTRM input'!$H$110)*$H$7)-SUM($H496:AJ496),(('PTRM input'!$H$144+'PTRM input'!$H$110)*$H$7)/A2taxstdlife))</f>
        <v>0</v>
      </c>
      <c r="AL496" s="107">
        <f>IF(A2taxstdlife="n/a","n/a",IF(AL$3&gt;(A2taxstdlife+$E496),(('PTRM input'!$H$144+'PTRM input'!$H$110)*$H$7)-SUM($H496:AK496),(('PTRM input'!$H$144+'PTRM input'!$H$110)*$H$7)/A2taxstdlife))</f>
        <v>0</v>
      </c>
      <c r="AM496" s="107">
        <f>IF(A2taxstdlife="n/a","n/a",IF(AM$3&gt;(A2taxstdlife+$E496),(('PTRM input'!$H$144+'PTRM input'!$H$110)*$H$7)-SUM($H496:AL496),(('PTRM input'!$H$144+'PTRM input'!$H$110)*$H$7)/A2taxstdlife))</f>
        <v>0</v>
      </c>
      <c r="AN496" s="107">
        <f>IF(A2taxstdlife="n/a","n/a",IF(AN$3&gt;(A2taxstdlife+$E496),(('PTRM input'!$H$144+'PTRM input'!$H$110)*$H$7)-SUM($H496:AM496),(('PTRM input'!$H$144+'PTRM input'!$H$110)*$H$7)/A2taxstdlife))</f>
        <v>0</v>
      </c>
      <c r="AO496" s="107">
        <f>IF(A2taxstdlife="n/a","n/a",IF(AO$3&gt;(A2taxstdlife+$E496),(('PTRM input'!$H$144+'PTRM input'!$H$110)*$H$7)-SUM($H496:AN496),(('PTRM input'!$H$144+'PTRM input'!$H$110)*$H$7)/A2taxstdlife))</f>
        <v>0</v>
      </c>
      <c r="AP496" s="107">
        <f>IF(A2taxstdlife="n/a","n/a",IF(AP$3&gt;(A2taxstdlife+$E496),(('PTRM input'!$H$144+'PTRM input'!$H$110)*$H$7)-SUM($H496:AO496),(('PTRM input'!$H$144+'PTRM input'!$H$110)*$H$7)/A2taxstdlife))</f>
        <v>0</v>
      </c>
      <c r="AQ496" s="107">
        <f>IF(A2taxstdlife="n/a","n/a",IF(AQ$3&gt;(A2taxstdlife+$E496),(('PTRM input'!$H$144+'PTRM input'!$H$110)*$H$7)-SUM($H496:AP496),(('PTRM input'!$H$144+'PTRM input'!$H$110)*$H$7)/A2taxstdlife))</f>
        <v>0</v>
      </c>
      <c r="AR496" s="107">
        <f>IF(A2taxstdlife="n/a","n/a",IF(AR$3&gt;(A2taxstdlife+$E496),(('PTRM input'!$H$144+'PTRM input'!$H$110)*$H$7)-SUM($H496:AQ496),(('PTRM input'!$H$144+'PTRM input'!$H$110)*$H$7)/A2taxstdlife))</f>
        <v>0</v>
      </c>
      <c r="AS496" s="107">
        <f>IF(A2taxstdlife="n/a","n/a",IF(AS$3&gt;(A2taxstdlife+$E496),(('PTRM input'!$H$144+'PTRM input'!$H$110)*$H$7)-SUM($H496:AR496),(('PTRM input'!$H$144+'PTRM input'!$H$110)*$H$7)/A2taxstdlife))</f>
        <v>0</v>
      </c>
      <c r="AT496" s="107">
        <f>IF(A2taxstdlife="n/a","n/a",IF(AT$3&gt;(A2taxstdlife+$E496),(('PTRM input'!$H$144+'PTRM input'!$H$110)*$H$7)-SUM($H496:AS496),(('PTRM input'!$H$144+'PTRM input'!$H$110)*$H$7)/A2taxstdlife))</f>
        <v>0</v>
      </c>
      <c r="AU496" s="107">
        <f>IF(A2taxstdlife="n/a","n/a",IF(AU$3&gt;(A2taxstdlife+$E496),(('PTRM input'!$H$144+'PTRM input'!$H$110)*$H$7)-SUM($H496:AT496),(('PTRM input'!$H$144+'PTRM input'!$H$110)*$H$7)/A2taxstdlife))</f>
        <v>0</v>
      </c>
      <c r="AV496" s="107">
        <f>IF(A2taxstdlife="n/a","n/a",IF(AV$3&gt;(A2taxstdlife+$E496),(('PTRM input'!$H$144+'PTRM input'!$H$110)*$H$7)-SUM($H496:AU496),(('PTRM input'!$H$144+'PTRM input'!$H$110)*$H$7)/A2taxstdlife))</f>
        <v>0</v>
      </c>
      <c r="AW496" s="107">
        <f>IF(A2taxstdlife="n/a","n/a",IF(AW$3&gt;(A2taxstdlife+$E496),(('PTRM input'!$H$144+'PTRM input'!$H$110)*$H$7)-SUM($H496:AV496),(('PTRM input'!$H$144+'PTRM input'!$H$110)*$H$7)/A2taxstdlife))</f>
        <v>0</v>
      </c>
      <c r="AX496" s="107">
        <f>IF(A2taxstdlife="n/a","n/a",IF(AX$3&gt;(A2taxstdlife+$E496),(('PTRM input'!$H$144+'PTRM input'!$H$110)*$H$7)-SUM($H496:AW496),(('PTRM input'!$H$144+'PTRM input'!$H$110)*$H$7)/A2taxstdlife))</f>
        <v>0</v>
      </c>
      <c r="AY496" s="107">
        <f>IF(A2taxstdlife="n/a","n/a",IF(AY$3&gt;(A2taxstdlife+$E496),(('PTRM input'!$H$144+'PTRM input'!$H$110)*$H$7)-SUM($H496:AX496),(('PTRM input'!$H$144+'PTRM input'!$H$110)*$H$7)/A2taxstdlife))</f>
        <v>0</v>
      </c>
      <c r="AZ496" s="107">
        <f>IF(A2taxstdlife="n/a","n/a",IF(AZ$3&gt;(A2taxstdlife+$E496),(('PTRM input'!$H$144+'PTRM input'!$H$110)*$H$7)-SUM($H496:AY496),(('PTRM input'!$H$144+'PTRM input'!$H$110)*$H$7)/A2taxstdlife))</f>
        <v>0</v>
      </c>
      <c r="BA496" s="107">
        <f>IF(A2taxstdlife="n/a","n/a",IF(BA$3&gt;(A2taxstdlife+$E496),(('PTRM input'!$H$144+'PTRM input'!$H$110)*$H$7)-SUM($H496:AZ496),(('PTRM input'!$H$144+'PTRM input'!$H$110)*$H$7)/A2taxstdlife))</f>
        <v>0</v>
      </c>
      <c r="BB496" s="107">
        <f>IF(A2taxstdlife="n/a","n/a",IF(BB$3&gt;(A2taxstdlife+$E496),(('PTRM input'!$H$144+'PTRM input'!$H$110)*$H$7)-SUM($H496:BA496),(('PTRM input'!$H$144+'PTRM input'!$H$110)*$H$7)/A2taxstdlife))</f>
        <v>0</v>
      </c>
      <c r="BC496" s="107">
        <f>IF(A2taxstdlife="n/a","n/a",IF(BC$3&gt;(A2taxstdlife+$E496),(('PTRM input'!$H$144+'PTRM input'!$H$110)*$H$7)-SUM($H496:BB496),(('PTRM input'!$H$144+'PTRM input'!$H$110)*$H$7)/A2taxstdlife))</f>
        <v>0</v>
      </c>
      <c r="BD496" s="107">
        <f>IF(A2taxstdlife="n/a","n/a",IF(BD$3&gt;(A2taxstdlife+$E496),(('PTRM input'!$H$144+'PTRM input'!$H$110)*$H$7)-SUM($H496:BC496),(('PTRM input'!$H$144+'PTRM input'!$H$110)*$H$7)/A2taxstdlife))</f>
        <v>0</v>
      </c>
      <c r="BE496" s="107">
        <f>IF(A2taxstdlife="n/a","n/a",IF(BE$3&gt;(A2taxstdlife+$E496),(('PTRM input'!$H$144+'PTRM input'!$H$110)*$H$7)-SUM($H496:BD496),(('PTRM input'!$H$144+'PTRM input'!$H$110)*$H$7)/A2taxstdlife))</f>
        <v>0</v>
      </c>
      <c r="BF496" s="107">
        <f>IF(A2taxstdlife="n/a","n/a",IF(BF$3&gt;(A2taxstdlife+$E496),(('PTRM input'!$H$144+'PTRM input'!$H$110)*$H$7)-SUM($H496:BE496),(('PTRM input'!$H$144+'PTRM input'!$H$110)*$H$7)/A2taxstdlife))</f>
        <v>0</v>
      </c>
      <c r="BG496" s="107">
        <f>IF(A2taxstdlife="n/a","n/a",IF(BG$3&gt;(A2taxstdlife+$E496),(('PTRM input'!$H$144+'PTRM input'!$H$110)*$H$7)-SUM($H496:BF496),(('PTRM input'!$H$144+'PTRM input'!$H$110)*$H$7)/A2taxstdlife))</f>
        <v>0</v>
      </c>
      <c r="BH496" s="107">
        <f>IF(A2taxstdlife="n/a","n/a",IF(BH$3&gt;(A2taxstdlife+$E496),(('PTRM input'!$H$144+'PTRM input'!$H$110)*$H$7)-SUM($H496:BG496),(('PTRM input'!$H$144+'PTRM input'!$H$110)*$H$7)/A2taxstdlife))</f>
        <v>0</v>
      </c>
      <c r="BI496" s="107">
        <f>IF(A2taxstdlife="n/a","n/a",IF(BI$3&gt;(A2taxstdlife+$E496),(('PTRM input'!$H$144+'PTRM input'!$H$110)*$H$7)-SUM($H496:BH496),(('PTRM input'!$H$144+'PTRM input'!$H$110)*$H$7)/A2taxstdlife))</f>
        <v>0</v>
      </c>
      <c r="BJ496" s="107"/>
      <c r="BK496" s="18"/>
      <c r="BL496" s="18"/>
      <c r="BM496" s="18"/>
    </row>
    <row r="497" spans="1:65" s="4" customFormat="1" hidden="1" outlineLevel="2">
      <c r="A497" s="18"/>
      <c r="B497" s="18"/>
      <c r="C497" s="33"/>
      <c r="D497" s="1618"/>
      <c r="E497" s="169">
        <v>3</v>
      </c>
      <c r="F497" s="35"/>
      <c r="G497" s="184"/>
      <c r="H497" s="186"/>
      <c r="I497" s="185"/>
      <c r="J497" s="107">
        <f>IF(A2taxstdlife="n/a","n/a",IF(J$3&gt;(A2taxstdlife+$E497),(('PTRM input'!$I$144+'PTRM input'!$I$110)*$I$7)-SUM($I497:I497),(('PTRM input'!$I$144+'PTRM input'!$I$110)*$I$7)/A2taxstdlife))</f>
        <v>0</v>
      </c>
      <c r="K497" s="107">
        <f>IF(A2taxstdlife="n/a","n/a",IF(K$3&gt;(A2taxstdlife+$E497),(('PTRM input'!$I$144+'PTRM input'!$I$110)*$I$7)-SUM($I497:J497),(('PTRM input'!$I$144+'PTRM input'!$I$110)*$I$7)/A2taxstdlife))</f>
        <v>0</v>
      </c>
      <c r="L497" s="107">
        <f>IF(A2taxstdlife="n/a","n/a",IF(L$3&gt;(A2taxstdlife+$E497),(('PTRM input'!$I$144+'PTRM input'!$I$110)*$I$7)-SUM($I497:K497),(('PTRM input'!$I$144+'PTRM input'!$I$110)*$I$7)/A2taxstdlife))</f>
        <v>0</v>
      </c>
      <c r="M497" s="107">
        <f>IF(A2taxstdlife="n/a","n/a",IF(M$3&gt;(A2taxstdlife+$E497),(('PTRM input'!$I$144+'PTRM input'!$I$110)*$I$7)-SUM($I497:L497),(('PTRM input'!$I$144+'PTRM input'!$I$110)*$I$7)/A2taxstdlife))</f>
        <v>0</v>
      </c>
      <c r="N497" s="107">
        <f>IF(A2taxstdlife="n/a","n/a",IF(N$3&gt;(A2taxstdlife+$E497),(('PTRM input'!$I$144+'PTRM input'!$I$110)*$I$7)-SUM($I497:M497),(('PTRM input'!$I$144+'PTRM input'!$I$110)*$I$7)/A2taxstdlife))</f>
        <v>0</v>
      </c>
      <c r="O497" s="107">
        <f>IF(A2taxstdlife="n/a","n/a",IF(O$3&gt;(A2taxstdlife+$E497),(('PTRM input'!$I$144+'PTRM input'!$I$110)*$I$7)-SUM($I497:N497),(('PTRM input'!$I$144+'PTRM input'!$I$110)*$I$7)/A2taxstdlife))</f>
        <v>0</v>
      </c>
      <c r="P497" s="107">
        <f>IF(A2taxstdlife="n/a","n/a",IF(P$3&gt;(A2taxstdlife+$E497),(('PTRM input'!$I$144+'PTRM input'!$I$110)*$I$7)-SUM($I497:O497),(('PTRM input'!$I$144+'PTRM input'!$I$110)*$I$7)/A2taxstdlife))</f>
        <v>0</v>
      </c>
      <c r="Q497" s="107">
        <f>IF(A2taxstdlife="n/a","n/a",IF(Q$3&gt;(A2taxstdlife+$E497),(('PTRM input'!$I$144+'PTRM input'!$I$110)*$I$7)-SUM($I497:P497),(('PTRM input'!$I$144+'PTRM input'!$I$110)*$I$7)/A2taxstdlife))</f>
        <v>0</v>
      </c>
      <c r="R497" s="107">
        <f>IF(A2taxstdlife="n/a","n/a",IF(R$3&gt;(A2taxstdlife+$E497),(('PTRM input'!$I$144+'PTRM input'!$I$110)*$I$7)-SUM($I497:Q497),(('PTRM input'!$I$144+'PTRM input'!$I$110)*$I$7)/A2taxstdlife))</f>
        <v>0</v>
      </c>
      <c r="S497" s="107">
        <f>IF(A2taxstdlife="n/a","n/a",IF(S$3&gt;(A2taxstdlife+$E497),(('PTRM input'!$I$144+'PTRM input'!$I$110)*$I$7)-SUM($I497:R497),(('PTRM input'!$I$144+'PTRM input'!$I$110)*$I$7)/A2taxstdlife))</f>
        <v>0</v>
      </c>
      <c r="T497" s="107">
        <f>IF(A2taxstdlife="n/a","n/a",IF(T$3&gt;(A2taxstdlife+$E497),(('PTRM input'!$I$144+'PTRM input'!$I$110)*$I$7)-SUM($I497:S497),(('PTRM input'!$I$144+'PTRM input'!$I$110)*$I$7)/A2taxstdlife))</f>
        <v>0</v>
      </c>
      <c r="U497" s="107">
        <f>IF(A2taxstdlife="n/a","n/a",IF(U$3&gt;(A2taxstdlife+$E497),(('PTRM input'!$I$144+'PTRM input'!$I$110)*$I$7)-SUM($I497:T497),(('PTRM input'!$I$144+'PTRM input'!$I$110)*$I$7)/A2taxstdlife))</f>
        <v>0</v>
      </c>
      <c r="V497" s="107">
        <f>IF(A2taxstdlife="n/a","n/a",IF(V$3&gt;(A2taxstdlife+$E497),(('PTRM input'!$I$144+'PTRM input'!$I$110)*$I$7)-SUM($I497:U497),(('PTRM input'!$I$144+'PTRM input'!$I$110)*$I$7)/A2taxstdlife))</f>
        <v>0</v>
      </c>
      <c r="W497" s="107">
        <f>IF(A2taxstdlife="n/a","n/a",IF(W$3&gt;(A2taxstdlife+$E497),(('PTRM input'!$I$144+'PTRM input'!$I$110)*$I$7)-SUM($I497:V497),(('PTRM input'!$I$144+'PTRM input'!$I$110)*$I$7)/A2taxstdlife))</f>
        <v>0</v>
      </c>
      <c r="X497" s="107">
        <f>IF(A2taxstdlife="n/a","n/a",IF(X$3&gt;(A2taxstdlife+$E497),(('PTRM input'!$I$144+'PTRM input'!$I$110)*$I$7)-SUM($I497:W497),(('PTRM input'!$I$144+'PTRM input'!$I$110)*$I$7)/A2taxstdlife))</f>
        <v>0</v>
      </c>
      <c r="Y497" s="107">
        <f>IF(A2taxstdlife="n/a","n/a",IF(Y$3&gt;(A2taxstdlife+$E497),(('PTRM input'!$I$144+'PTRM input'!$I$110)*$I$7)-SUM($I497:X497),(('PTRM input'!$I$144+'PTRM input'!$I$110)*$I$7)/A2taxstdlife))</f>
        <v>0</v>
      </c>
      <c r="Z497" s="107">
        <f>IF(A2taxstdlife="n/a","n/a",IF(Z$3&gt;(A2taxstdlife+$E497),(('PTRM input'!$I$144+'PTRM input'!$I$110)*$I$7)-SUM($I497:Y497),(('PTRM input'!$I$144+'PTRM input'!$I$110)*$I$7)/A2taxstdlife))</f>
        <v>0</v>
      </c>
      <c r="AA497" s="107">
        <f>IF(A2taxstdlife="n/a","n/a",IF(AA$3&gt;(A2taxstdlife+$E497),(('PTRM input'!$I$144+'PTRM input'!$I$110)*$I$7)-SUM($I497:Z497),(('PTRM input'!$I$144+'PTRM input'!$I$110)*$I$7)/A2taxstdlife))</f>
        <v>0</v>
      </c>
      <c r="AB497" s="107">
        <f>IF(A2taxstdlife="n/a","n/a",IF(AB$3&gt;(A2taxstdlife+$E497),(('PTRM input'!$I$144+'PTRM input'!$I$110)*$I$7)-SUM($I497:AA497),(('PTRM input'!$I$144+'PTRM input'!$I$110)*$I$7)/A2taxstdlife))</f>
        <v>0</v>
      </c>
      <c r="AC497" s="107">
        <f>IF(A2taxstdlife="n/a","n/a",IF(AC$3&gt;(A2taxstdlife+$E497),(('PTRM input'!$I$144+'PTRM input'!$I$110)*$I$7)-SUM($I497:AB497),(('PTRM input'!$I$144+'PTRM input'!$I$110)*$I$7)/A2taxstdlife))</f>
        <v>0</v>
      </c>
      <c r="AD497" s="107">
        <f>IF(A2taxstdlife="n/a","n/a",IF(AD$3&gt;(A2taxstdlife+$E497),(('PTRM input'!$I$144+'PTRM input'!$I$110)*$I$7)-SUM($I497:AC497),(('PTRM input'!$I$144+'PTRM input'!$I$110)*$I$7)/A2taxstdlife))</f>
        <v>0</v>
      </c>
      <c r="AE497" s="107">
        <f>IF(A2taxstdlife="n/a","n/a",IF(AE$3&gt;(A2taxstdlife+$E497),(('PTRM input'!$I$144+'PTRM input'!$I$110)*$I$7)-SUM($I497:AD497),(('PTRM input'!$I$144+'PTRM input'!$I$110)*$I$7)/A2taxstdlife))</f>
        <v>0</v>
      </c>
      <c r="AF497" s="107">
        <f>IF(A2taxstdlife="n/a","n/a",IF(AF$3&gt;(A2taxstdlife+$E497),(('PTRM input'!$I$144+'PTRM input'!$I$110)*$I$7)-SUM($I497:AE497),(('PTRM input'!$I$144+'PTRM input'!$I$110)*$I$7)/A2taxstdlife))</f>
        <v>0</v>
      </c>
      <c r="AG497" s="107">
        <f>IF(A2taxstdlife="n/a","n/a",IF(AG$3&gt;(A2taxstdlife+$E497),(('PTRM input'!$I$144+'PTRM input'!$I$110)*$I$7)-SUM($I497:AF497),(('PTRM input'!$I$144+'PTRM input'!$I$110)*$I$7)/A2taxstdlife))</f>
        <v>0</v>
      </c>
      <c r="AH497" s="107">
        <f>IF(A2taxstdlife="n/a","n/a",IF(AH$3&gt;(A2taxstdlife+$E497),(('PTRM input'!$I$144+'PTRM input'!$I$110)*$I$7)-SUM($I497:AG497),(('PTRM input'!$I$144+'PTRM input'!$I$110)*$I$7)/A2taxstdlife))</f>
        <v>0</v>
      </c>
      <c r="AI497" s="107">
        <f>IF(A2taxstdlife="n/a","n/a",IF(AI$3&gt;(A2taxstdlife+$E497),(('PTRM input'!$I$144+'PTRM input'!$I$110)*$I$7)-SUM($I497:AH497),(('PTRM input'!$I$144+'PTRM input'!$I$110)*$I$7)/A2taxstdlife))</f>
        <v>0</v>
      </c>
      <c r="AJ497" s="107">
        <f>IF(A2taxstdlife="n/a","n/a",IF(AJ$3&gt;(A2taxstdlife+$E497),(('PTRM input'!$I$144+'PTRM input'!$I$110)*$I$7)-SUM($I497:AI497),(('PTRM input'!$I$144+'PTRM input'!$I$110)*$I$7)/A2taxstdlife))</f>
        <v>0</v>
      </c>
      <c r="AK497" s="107">
        <f>IF(A2taxstdlife="n/a","n/a",IF(AK$3&gt;(A2taxstdlife+$E497),(('PTRM input'!$I$144+'PTRM input'!$I$110)*$I$7)-SUM($I497:AJ497),(('PTRM input'!$I$144+'PTRM input'!$I$110)*$I$7)/A2taxstdlife))</f>
        <v>0</v>
      </c>
      <c r="AL497" s="107">
        <f>IF(A2taxstdlife="n/a","n/a",IF(AL$3&gt;(A2taxstdlife+$E497),(('PTRM input'!$I$144+'PTRM input'!$I$110)*$I$7)-SUM($I497:AK497),(('PTRM input'!$I$144+'PTRM input'!$I$110)*$I$7)/A2taxstdlife))</f>
        <v>0</v>
      </c>
      <c r="AM497" s="107">
        <f>IF(A2taxstdlife="n/a","n/a",IF(AM$3&gt;(A2taxstdlife+$E497),(('PTRM input'!$I$144+'PTRM input'!$I$110)*$I$7)-SUM($I497:AL497),(('PTRM input'!$I$144+'PTRM input'!$I$110)*$I$7)/A2taxstdlife))</f>
        <v>0</v>
      </c>
      <c r="AN497" s="107">
        <f>IF(A2taxstdlife="n/a","n/a",IF(AN$3&gt;(A2taxstdlife+$E497),(('PTRM input'!$I$144+'PTRM input'!$I$110)*$I$7)-SUM($I497:AM497),(('PTRM input'!$I$144+'PTRM input'!$I$110)*$I$7)/A2taxstdlife))</f>
        <v>0</v>
      </c>
      <c r="AO497" s="107">
        <f>IF(A2taxstdlife="n/a","n/a",IF(AO$3&gt;(A2taxstdlife+$E497),(('PTRM input'!$I$144+'PTRM input'!$I$110)*$I$7)-SUM($I497:AN497),(('PTRM input'!$I$144+'PTRM input'!$I$110)*$I$7)/A2taxstdlife))</f>
        <v>0</v>
      </c>
      <c r="AP497" s="107">
        <f>IF(A2taxstdlife="n/a","n/a",IF(AP$3&gt;(A2taxstdlife+$E497),(('PTRM input'!$I$144+'PTRM input'!$I$110)*$I$7)-SUM($I497:AO497),(('PTRM input'!$I$144+'PTRM input'!$I$110)*$I$7)/A2taxstdlife))</f>
        <v>0</v>
      </c>
      <c r="AQ497" s="107">
        <f>IF(A2taxstdlife="n/a","n/a",IF(AQ$3&gt;(A2taxstdlife+$E497),(('PTRM input'!$I$144+'PTRM input'!$I$110)*$I$7)-SUM($I497:AP497),(('PTRM input'!$I$144+'PTRM input'!$I$110)*$I$7)/A2taxstdlife))</f>
        <v>0</v>
      </c>
      <c r="AR497" s="107">
        <f>IF(A2taxstdlife="n/a","n/a",IF(AR$3&gt;(A2taxstdlife+$E497),(('PTRM input'!$I$144+'PTRM input'!$I$110)*$I$7)-SUM($I497:AQ497),(('PTRM input'!$I$144+'PTRM input'!$I$110)*$I$7)/A2taxstdlife))</f>
        <v>0</v>
      </c>
      <c r="AS497" s="107">
        <f>IF(A2taxstdlife="n/a","n/a",IF(AS$3&gt;(A2taxstdlife+$E497),(('PTRM input'!$I$144+'PTRM input'!$I$110)*$I$7)-SUM($I497:AR497),(('PTRM input'!$I$144+'PTRM input'!$I$110)*$I$7)/A2taxstdlife))</f>
        <v>0</v>
      </c>
      <c r="AT497" s="107">
        <f>IF(A2taxstdlife="n/a","n/a",IF(AT$3&gt;(A2taxstdlife+$E497),(('PTRM input'!$I$144+'PTRM input'!$I$110)*$I$7)-SUM($I497:AS497),(('PTRM input'!$I$144+'PTRM input'!$I$110)*$I$7)/A2taxstdlife))</f>
        <v>0</v>
      </c>
      <c r="AU497" s="107">
        <f>IF(A2taxstdlife="n/a","n/a",IF(AU$3&gt;(A2taxstdlife+$E497),(('PTRM input'!$I$144+'PTRM input'!$I$110)*$I$7)-SUM($I497:AT497),(('PTRM input'!$I$144+'PTRM input'!$I$110)*$I$7)/A2taxstdlife))</f>
        <v>0</v>
      </c>
      <c r="AV497" s="107">
        <f>IF(A2taxstdlife="n/a","n/a",IF(AV$3&gt;(A2taxstdlife+$E497),(('PTRM input'!$I$144+'PTRM input'!$I$110)*$I$7)-SUM($I497:AU497),(('PTRM input'!$I$144+'PTRM input'!$I$110)*$I$7)/A2taxstdlife))</f>
        <v>0</v>
      </c>
      <c r="AW497" s="107">
        <f>IF(A2taxstdlife="n/a","n/a",IF(AW$3&gt;(A2taxstdlife+$E497),(('PTRM input'!$I$144+'PTRM input'!$I$110)*$I$7)-SUM($I497:AV497),(('PTRM input'!$I$144+'PTRM input'!$I$110)*$I$7)/A2taxstdlife))</f>
        <v>0</v>
      </c>
      <c r="AX497" s="107">
        <f>IF(A2taxstdlife="n/a","n/a",IF(AX$3&gt;(A2taxstdlife+$E497),(('PTRM input'!$I$144+'PTRM input'!$I$110)*$I$7)-SUM($I497:AW497),(('PTRM input'!$I$144+'PTRM input'!$I$110)*$I$7)/A2taxstdlife))</f>
        <v>0</v>
      </c>
      <c r="AY497" s="107">
        <f>IF(A2taxstdlife="n/a","n/a",IF(AY$3&gt;(A2taxstdlife+$E497),(('PTRM input'!$I$144+'PTRM input'!$I$110)*$I$7)-SUM($I497:AX497),(('PTRM input'!$I$144+'PTRM input'!$I$110)*$I$7)/A2taxstdlife))</f>
        <v>0</v>
      </c>
      <c r="AZ497" s="107">
        <f>IF(A2taxstdlife="n/a","n/a",IF(AZ$3&gt;(A2taxstdlife+$E497),(('PTRM input'!$I$144+'PTRM input'!$I$110)*$I$7)-SUM($I497:AY497),(('PTRM input'!$I$144+'PTRM input'!$I$110)*$I$7)/A2taxstdlife))</f>
        <v>0</v>
      </c>
      <c r="BA497" s="107">
        <f>IF(A2taxstdlife="n/a","n/a",IF(BA$3&gt;(A2taxstdlife+$E497),(('PTRM input'!$I$144+'PTRM input'!$I$110)*$I$7)-SUM($I497:AZ497),(('PTRM input'!$I$144+'PTRM input'!$I$110)*$I$7)/A2taxstdlife))</f>
        <v>0</v>
      </c>
      <c r="BB497" s="107">
        <f>IF(A2taxstdlife="n/a","n/a",IF(BB$3&gt;(A2taxstdlife+$E497),(('PTRM input'!$I$144+'PTRM input'!$I$110)*$I$7)-SUM($I497:BA497),(('PTRM input'!$I$144+'PTRM input'!$I$110)*$I$7)/A2taxstdlife))</f>
        <v>0</v>
      </c>
      <c r="BC497" s="107">
        <f>IF(A2taxstdlife="n/a","n/a",IF(BC$3&gt;(A2taxstdlife+$E497),(('PTRM input'!$I$144+'PTRM input'!$I$110)*$I$7)-SUM($I497:BB497),(('PTRM input'!$I$144+'PTRM input'!$I$110)*$I$7)/A2taxstdlife))</f>
        <v>0</v>
      </c>
      <c r="BD497" s="107">
        <f>IF(A2taxstdlife="n/a","n/a",IF(BD$3&gt;(A2taxstdlife+$E497),(('PTRM input'!$I$144+'PTRM input'!$I$110)*$I$7)-SUM($I497:BC497),(('PTRM input'!$I$144+'PTRM input'!$I$110)*$I$7)/A2taxstdlife))</f>
        <v>0</v>
      </c>
      <c r="BE497" s="107">
        <f>IF(A2taxstdlife="n/a","n/a",IF(BE$3&gt;(A2taxstdlife+$E497),(('PTRM input'!$I$144+'PTRM input'!$I$110)*$I$7)-SUM($I497:BD497),(('PTRM input'!$I$144+'PTRM input'!$I$110)*$I$7)/A2taxstdlife))</f>
        <v>0</v>
      </c>
      <c r="BF497" s="107">
        <f>IF(A2taxstdlife="n/a","n/a",IF(BF$3&gt;(A2taxstdlife+$E497),(('PTRM input'!$I$144+'PTRM input'!$I$110)*$I$7)-SUM($I497:BE497),(('PTRM input'!$I$144+'PTRM input'!$I$110)*$I$7)/A2taxstdlife))</f>
        <v>0</v>
      </c>
      <c r="BG497" s="107">
        <f>IF(A2taxstdlife="n/a","n/a",IF(BG$3&gt;(A2taxstdlife+$E497),(('PTRM input'!$I$144+'PTRM input'!$I$110)*$I$7)-SUM($I497:BF497),(('PTRM input'!$I$144+'PTRM input'!$I$110)*$I$7)/A2taxstdlife))</f>
        <v>0</v>
      </c>
      <c r="BH497" s="107">
        <f>IF(A2taxstdlife="n/a","n/a",IF(BH$3&gt;(A2taxstdlife+$E497),(('PTRM input'!$I$144+'PTRM input'!$I$110)*$I$7)-SUM($I497:BG497),(('PTRM input'!$I$144+'PTRM input'!$I$110)*$I$7)/A2taxstdlife))</f>
        <v>0</v>
      </c>
      <c r="BI497" s="107">
        <f>IF(A2taxstdlife="n/a","n/a",IF(BI$3&gt;(A2taxstdlife+$E497),(('PTRM input'!$I$144+'PTRM input'!$I$110)*$I$7)-SUM($I497:BH497),(('PTRM input'!$I$144+'PTRM input'!$I$110)*$I$7)/A2taxstdlife))</f>
        <v>0</v>
      </c>
      <c r="BJ497" s="18"/>
      <c r="BK497" s="18"/>
      <c r="BL497" s="18"/>
      <c r="BM497" s="18"/>
    </row>
    <row r="498" spans="1:65" s="4" customFormat="1" hidden="1" outlineLevel="2">
      <c r="A498" s="18"/>
      <c r="B498" s="18"/>
      <c r="C498" s="33"/>
      <c r="D498" s="1618"/>
      <c r="E498" s="169">
        <v>4</v>
      </c>
      <c r="F498" s="35"/>
      <c r="G498" s="184"/>
      <c r="H498" s="186"/>
      <c r="I498" s="186"/>
      <c r="J498" s="185"/>
      <c r="K498" s="107">
        <f>IF(A2taxstdlife="n/a","n/a",IF(K$3&gt;(A2taxstdlife+$E498),(('PTRM input'!$J$144+'PTRM input'!$J$110)*$J$7)-SUM($J498:J498),(('PTRM input'!$J$144+'PTRM input'!$J$110)*$J$7)/A2taxstdlife))</f>
        <v>0</v>
      </c>
      <c r="L498" s="107">
        <f>IF(A2taxstdlife="n/a","n/a",IF(L$3&gt;(A2taxstdlife+$E498),(('PTRM input'!$J$144+'PTRM input'!$J$110)*$J$7)-SUM($J498:K498),(('PTRM input'!$J$144+'PTRM input'!$J$110)*$J$7)/A2taxstdlife))</f>
        <v>0</v>
      </c>
      <c r="M498" s="107">
        <f>IF(A2taxstdlife="n/a","n/a",IF(M$3&gt;(A2taxstdlife+$E498),(('PTRM input'!$J$144+'PTRM input'!$J$110)*$J$7)-SUM($J498:L498),(('PTRM input'!$J$144+'PTRM input'!$J$110)*$J$7)/A2taxstdlife))</f>
        <v>0</v>
      </c>
      <c r="N498" s="107">
        <f>IF(A2taxstdlife="n/a","n/a",IF(N$3&gt;(A2taxstdlife+$E498),(('PTRM input'!$J$144+'PTRM input'!$J$110)*$J$7)-SUM($J498:M498),(('PTRM input'!$J$144+'PTRM input'!$J$110)*$J$7)/A2taxstdlife))</f>
        <v>0</v>
      </c>
      <c r="O498" s="107">
        <f>IF(A2taxstdlife="n/a","n/a",IF(O$3&gt;(A2taxstdlife+$E498),(('PTRM input'!$J$144+'PTRM input'!$J$110)*$J$7)-SUM($J498:N498),(('PTRM input'!$J$144+'PTRM input'!$J$110)*$J$7)/A2taxstdlife))</f>
        <v>0</v>
      </c>
      <c r="P498" s="107">
        <f>IF(A2taxstdlife="n/a","n/a",IF(P$3&gt;(A2taxstdlife+$E498),(('PTRM input'!$J$144+'PTRM input'!$J$110)*$J$7)-SUM($J498:O498),(('PTRM input'!$J$144+'PTRM input'!$J$110)*$J$7)/A2taxstdlife))</f>
        <v>0</v>
      </c>
      <c r="Q498" s="107">
        <f>IF(A2taxstdlife="n/a","n/a",IF(Q$3&gt;(A2taxstdlife+$E498),(('PTRM input'!$J$144+'PTRM input'!$J$110)*$J$7)-SUM($J498:P498),(('PTRM input'!$J$144+'PTRM input'!$J$110)*$J$7)/A2taxstdlife))</f>
        <v>0</v>
      </c>
      <c r="R498" s="107">
        <f>IF(A2taxstdlife="n/a","n/a",IF(R$3&gt;(A2taxstdlife+$E498),(('PTRM input'!$J$144+'PTRM input'!$J$110)*$J$7)-SUM($J498:Q498),(('PTRM input'!$J$144+'PTRM input'!$J$110)*$J$7)/A2taxstdlife))</f>
        <v>0</v>
      </c>
      <c r="S498" s="107">
        <f>IF(A2taxstdlife="n/a","n/a",IF(S$3&gt;(A2taxstdlife+$E498),(('PTRM input'!$J$144+'PTRM input'!$J$110)*$J$7)-SUM($J498:R498),(('PTRM input'!$J$144+'PTRM input'!$J$110)*$J$7)/A2taxstdlife))</f>
        <v>0</v>
      </c>
      <c r="T498" s="107">
        <f>IF(A2taxstdlife="n/a","n/a",IF(T$3&gt;(A2taxstdlife+$E498),(('PTRM input'!$J$144+'PTRM input'!$J$110)*$J$7)-SUM($J498:S498),(('PTRM input'!$J$144+'PTRM input'!$J$110)*$J$7)/A2taxstdlife))</f>
        <v>0</v>
      </c>
      <c r="U498" s="107">
        <f>IF(A2taxstdlife="n/a","n/a",IF(U$3&gt;(A2taxstdlife+$E498),(('PTRM input'!$J$144+'PTRM input'!$J$110)*$J$7)-SUM($J498:T498),(('PTRM input'!$J$144+'PTRM input'!$J$110)*$J$7)/A2taxstdlife))</f>
        <v>0</v>
      </c>
      <c r="V498" s="107">
        <f>IF(A2taxstdlife="n/a","n/a",IF(V$3&gt;(A2taxstdlife+$E498),(('PTRM input'!$J$144+'PTRM input'!$J$110)*$J$7)-SUM($J498:U498),(('PTRM input'!$J$144+'PTRM input'!$J$110)*$J$7)/A2taxstdlife))</f>
        <v>0</v>
      </c>
      <c r="W498" s="107">
        <f>IF(A2taxstdlife="n/a","n/a",IF(W$3&gt;(A2taxstdlife+$E498),(('PTRM input'!$J$144+'PTRM input'!$J$110)*$J$7)-SUM($J498:V498),(('PTRM input'!$J$144+'PTRM input'!$J$110)*$J$7)/A2taxstdlife))</f>
        <v>0</v>
      </c>
      <c r="X498" s="107">
        <f>IF(A2taxstdlife="n/a","n/a",IF(X$3&gt;(A2taxstdlife+$E498),(('PTRM input'!$J$144+'PTRM input'!$J$110)*$J$7)-SUM($J498:W498),(('PTRM input'!$J$144+'PTRM input'!$J$110)*$J$7)/A2taxstdlife))</f>
        <v>0</v>
      </c>
      <c r="Y498" s="107">
        <f>IF(A2taxstdlife="n/a","n/a",IF(Y$3&gt;(A2taxstdlife+$E498),(('PTRM input'!$J$144+'PTRM input'!$J$110)*$J$7)-SUM($J498:X498),(('PTRM input'!$J$144+'PTRM input'!$J$110)*$J$7)/A2taxstdlife))</f>
        <v>0</v>
      </c>
      <c r="Z498" s="107">
        <f>IF(A2taxstdlife="n/a","n/a",IF(Z$3&gt;(A2taxstdlife+$E498),(('PTRM input'!$J$144+'PTRM input'!$J$110)*$J$7)-SUM($J498:Y498),(('PTRM input'!$J$144+'PTRM input'!$J$110)*$J$7)/A2taxstdlife))</f>
        <v>0</v>
      </c>
      <c r="AA498" s="107">
        <f>IF(A2taxstdlife="n/a","n/a",IF(AA$3&gt;(A2taxstdlife+$E498),(('PTRM input'!$J$144+'PTRM input'!$J$110)*$J$7)-SUM($J498:Z498),(('PTRM input'!$J$144+'PTRM input'!$J$110)*$J$7)/A2taxstdlife))</f>
        <v>0</v>
      </c>
      <c r="AB498" s="107">
        <f>IF(A2taxstdlife="n/a","n/a",IF(AB$3&gt;(A2taxstdlife+$E498),(('PTRM input'!$J$144+'PTRM input'!$J$110)*$J$7)-SUM($J498:AA498),(('PTRM input'!$J$144+'PTRM input'!$J$110)*$J$7)/A2taxstdlife))</f>
        <v>0</v>
      </c>
      <c r="AC498" s="107">
        <f>IF(A2taxstdlife="n/a","n/a",IF(AC$3&gt;(A2taxstdlife+$E498),(('PTRM input'!$J$144+'PTRM input'!$J$110)*$J$7)-SUM($J498:AB498),(('PTRM input'!$J$144+'PTRM input'!$J$110)*$J$7)/A2taxstdlife))</f>
        <v>0</v>
      </c>
      <c r="AD498" s="107">
        <f>IF(A2taxstdlife="n/a","n/a",IF(AD$3&gt;(A2taxstdlife+$E498),(('PTRM input'!$J$144+'PTRM input'!$J$110)*$J$7)-SUM($J498:AC498),(('PTRM input'!$J$144+'PTRM input'!$J$110)*$J$7)/A2taxstdlife))</f>
        <v>0</v>
      </c>
      <c r="AE498" s="107">
        <f>IF(A2taxstdlife="n/a","n/a",IF(AE$3&gt;(A2taxstdlife+$E498),(('PTRM input'!$J$144+'PTRM input'!$J$110)*$J$7)-SUM($J498:AD498),(('PTRM input'!$J$144+'PTRM input'!$J$110)*$J$7)/A2taxstdlife))</f>
        <v>0</v>
      </c>
      <c r="AF498" s="107">
        <f>IF(A2taxstdlife="n/a","n/a",IF(AF$3&gt;(A2taxstdlife+$E498),(('PTRM input'!$J$144+'PTRM input'!$J$110)*$J$7)-SUM($J498:AE498),(('PTRM input'!$J$144+'PTRM input'!$J$110)*$J$7)/A2taxstdlife))</f>
        <v>0</v>
      </c>
      <c r="AG498" s="107">
        <f>IF(A2taxstdlife="n/a","n/a",IF(AG$3&gt;(A2taxstdlife+$E498),(('PTRM input'!$J$144+'PTRM input'!$J$110)*$J$7)-SUM($J498:AF498),(('PTRM input'!$J$144+'PTRM input'!$J$110)*$J$7)/A2taxstdlife))</f>
        <v>0</v>
      </c>
      <c r="AH498" s="107">
        <f>IF(A2taxstdlife="n/a","n/a",IF(AH$3&gt;(A2taxstdlife+$E498),(('PTRM input'!$J$144+'PTRM input'!$J$110)*$J$7)-SUM($J498:AG498),(('PTRM input'!$J$144+'PTRM input'!$J$110)*$J$7)/A2taxstdlife))</f>
        <v>0</v>
      </c>
      <c r="AI498" s="107">
        <f>IF(A2taxstdlife="n/a","n/a",IF(AI$3&gt;(A2taxstdlife+$E498),(('PTRM input'!$J$144+'PTRM input'!$J$110)*$J$7)-SUM($J498:AH498),(('PTRM input'!$J$144+'PTRM input'!$J$110)*$J$7)/A2taxstdlife))</f>
        <v>0</v>
      </c>
      <c r="AJ498" s="107">
        <f>IF(A2taxstdlife="n/a","n/a",IF(AJ$3&gt;(A2taxstdlife+$E498),(('PTRM input'!$J$144+'PTRM input'!$J$110)*$J$7)-SUM($J498:AI498),(('PTRM input'!$J$144+'PTRM input'!$J$110)*$J$7)/A2taxstdlife))</f>
        <v>0</v>
      </c>
      <c r="AK498" s="107">
        <f>IF(A2taxstdlife="n/a","n/a",IF(AK$3&gt;(A2taxstdlife+$E498),(('PTRM input'!$J$144+'PTRM input'!$J$110)*$J$7)-SUM($J498:AJ498),(('PTRM input'!$J$144+'PTRM input'!$J$110)*$J$7)/A2taxstdlife))</f>
        <v>0</v>
      </c>
      <c r="AL498" s="107">
        <f>IF(A2taxstdlife="n/a","n/a",IF(AL$3&gt;(A2taxstdlife+$E498),(('PTRM input'!$J$144+'PTRM input'!$J$110)*$J$7)-SUM($J498:AK498),(('PTRM input'!$J$144+'PTRM input'!$J$110)*$J$7)/A2taxstdlife))</f>
        <v>0</v>
      </c>
      <c r="AM498" s="107">
        <f>IF(A2taxstdlife="n/a","n/a",IF(AM$3&gt;(A2taxstdlife+$E498),(('PTRM input'!$J$144+'PTRM input'!$J$110)*$J$7)-SUM($J498:AL498),(('PTRM input'!$J$144+'PTRM input'!$J$110)*$J$7)/A2taxstdlife))</f>
        <v>0</v>
      </c>
      <c r="AN498" s="107">
        <f>IF(A2taxstdlife="n/a","n/a",IF(AN$3&gt;(A2taxstdlife+$E498),(('PTRM input'!$J$144+'PTRM input'!$J$110)*$J$7)-SUM($J498:AM498),(('PTRM input'!$J$144+'PTRM input'!$J$110)*$J$7)/A2taxstdlife))</f>
        <v>0</v>
      </c>
      <c r="AO498" s="107">
        <f>IF(A2taxstdlife="n/a","n/a",IF(AO$3&gt;(A2taxstdlife+$E498),(('PTRM input'!$J$144+'PTRM input'!$J$110)*$J$7)-SUM($J498:AN498),(('PTRM input'!$J$144+'PTRM input'!$J$110)*$J$7)/A2taxstdlife))</f>
        <v>0</v>
      </c>
      <c r="AP498" s="107">
        <f>IF(A2taxstdlife="n/a","n/a",IF(AP$3&gt;(A2taxstdlife+$E498),(('PTRM input'!$J$144+'PTRM input'!$J$110)*$J$7)-SUM($J498:AO498),(('PTRM input'!$J$144+'PTRM input'!$J$110)*$J$7)/A2taxstdlife))</f>
        <v>0</v>
      </c>
      <c r="AQ498" s="107">
        <f>IF(A2taxstdlife="n/a","n/a",IF(AQ$3&gt;(A2taxstdlife+$E498),(('PTRM input'!$J$144+'PTRM input'!$J$110)*$J$7)-SUM($J498:AP498),(('PTRM input'!$J$144+'PTRM input'!$J$110)*$J$7)/A2taxstdlife))</f>
        <v>0</v>
      </c>
      <c r="AR498" s="107">
        <f>IF(A2taxstdlife="n/a","n/a",IF(AR$3&gt;(A2taxstdlife+$E498),(('PTRM input'!$J$144+'PTRM input'!$J$110)*$J$7)-SUM($J498:AQ498),(('PTRM input'!$J$144+'PTRM input'!$J$110)*$J$7)/A2taxstdlife))</f>
        <v>0</v>
      </c>
      <c r="AS498" s="107">
        <f>IF(A2taxstdlife="n/a","n/a",IF(AS$3&gt;(A2taxstdlife+$E498),(('PTRM input'!$J$144+'PTRM input'!$J$110)*$J$7)-SUM($J498:AR498),(('PTRM input'!$J$144+'PTRM input'!$J$110)*$J$7)/A2taxstdlife))</f>
        <v>0</v>
      </c>
      <c r="AT498" s="107">
        <f>IF(A2taxstdlife="n/a","n/a",IF(AT$3&gt;(A2taxstdlife+$E498),(('PTRM input'!$J$144+'PTRM input'!$J$110)*$J$7)-SUM($J498:AS498),(('PTRM input'!$J$144+'PTRM input'!$J$110)*$J$7)/A2taxstdlife))</f>
        <v>0</v>
      </c>
      <c r="AU498" s="107">
        <f>IF(A2taxstdlife="n/a","n/a",IF(AU$3&gt;(A2taxstdlife+$E498),(('PTRM input'!$J$144+'PTRM input'!$J$110)*$J$7)-SUM($J498:AT498),(('PTRM input'!$J$144+'PTRM input'!$J$110)*$J$7)/A2taxstdlife))</f>
        <v>0</v>
      </c>
      <c r="AV498" s="107">
        <f>IF(A2taxstdlife="n/a","n/a",IF(AV$3&gt;(A2taxstdlife+$E498),(('PTRM input'!$J$144+'PTRM input'!$J$110)*$J$7)-SUM($J498:AU498),(('PTRM input'!$J$144+'PTRM input'!$J$110)*$J$7)/A2taxstdlife))</f>
        <v>0</v>
      </c>
      <c r="AW498" s="107">
        <f>IF(A2taxstdlife="n/a","n/a",IF(AW$3&gt;(A2taxstdlife+$E498),(('PTRM input'!$J$144+'PTRM input'!$J$110)*$J$7)-SUM($J498:AV498),(('PTRM input'!$J$144+'PTRM input'!$J$110)*$J$7)/A2taxstdlife))</f>
        <v>0</v>
      </c>
      <c r="AX498" s="107">
        <f>IF(A2taxstdlife="n/a","n/a",IF(AX$3&gt;(A2taxstdlife+$E498),(('PTRM input'!$J$144+'PTRM input'!$J$110)*$J$7)-SUM($J498:AW498),(('PTRM input'!$J$144+'PTRM input'!$J$110)*$J$7)/A2taxstdlife))</f>
        <v>0</v>
      </c>
      <c r="AY498" s="107">
        <f>IF(A2taxstdlife="n/a","n/a",IF(AY$3&gt;(A2taxstdlife+$E498),(('PTRM input'!$J$144+'PTRM input'!$J$110)*$J$7)-SUM($J498:AX498),(('PTRM input'!$J$144+'PTRM input'!$J$110)*$J$7)/A2taxstdlife))</f>
        <v>0</v>
      </c>
      <c r="AZ498" s="107">
        <f>IF(A2taxstdlife="n/a","n/a",IF(AZ$3&gt;(A2taxstdlife+$E498),(('PTRM input'!$J$144+'PTRM input'!$J$110)*$J$7)-SUM($J498:AY498),(('PTRM input'!$J$144+'PTRM input'!$J$110)*$J$7)/A2taxstdlife))</f>
        <v>0</v>
      </c>
      <c r="BA498" s="107">
        <f>IF(A2taxstdlife="n/a","n/a",IF(BA$3&gt;(A2taxstdlife+$E498),(('PTRM input'!$J$144+'PTRM input'!$J$110)*$J$7)-SUM($J498:AZ498),(('PTRM input'!$J$144+'PTRM input'!$J$110)*$J$7)/A2taxstdlife))</f>
        <v>0</v>
      </c>
      <c r="BB498" s="107">
        <f>IF(A2taxstdlife="n/a","n/a",IF(BB$3&gt;(A2taxstdlife+$E498),(('PTRM input'!$J$144+'PTRM input'!$J$110)*$J$7)-SUM($J498:BA498),(('PTRM input'!$J$144+'PTRM input'!$J$110)*$J$7)/A2taxstdlife))</f>
        <v>0</v>
      </c>
      <c r="BC498" s="107">
        <f>IF(A2taxstdlife="n/a","n/a",IF(BC$3&gt;(A2taxstdlife+$E498),(('PTRM input'!$J$144+'PTRM input'!$J$110)*$J$7)-SUM($J498:BB498),(('PTRM input'!$J$144+'PTRM input'!$J$110)*$J$7)/A2taxstdlife))</f>
        <v>0</v>
      </c>
      <c r="BD498" s="107">
        <f>IF(A2taxstdlife="n/a","n/a",IF(BD$3&gt;(A2taxstdlife+$E498),(('PTRM input'!$J$144+'PTRM input'!$J$110)*$J$7)-SUM($J498:BC498),(('PTRM input'!$J$144+'PTRM input'!$J$110)*$J$7)/A2taxstdlife))</f>
        <v>0</v>
      </c>
      <c r="BE498" s="107">
        <f>IF(A2taxstdlife="n/a","n/a",IF(BE$3&gt;(A2taxstdlife+$E498),(('PTRM input'!$J$144+'PTRM input'!$J$110)*$J$7)-SUM($J498:BD498),(('PTRM input'!$J$144+'PTRM input'!$J$110)*$J$7)/A2taxstdlife))</f>
        <v>0</v>
      </c>
      <c r="BF498" s="107">
        <f>IF(A2taxstdlife="n/a","n/a",IF(BF$3&gt;(A2taxstdlife+$E498),(('PTRM input'!$J$144+'PTRM input'!$J$110)*$J$7)-SUM($J498:BE498),(('PTRM input'!$J$144+'PTRM input'!$J$110)*$J$7)/A2taxstdlife))</f>
        <v>0</v>
      </c>
      <c r="BG498" s="107">
        <f>IF(A2taxstdlife="n/a","n/a",IF(BG$3&gt;(A2taxstdlife+$E498),(('PTRM input'!$J$144+'PTRM input'!$J$110)*$J$7)-SUM($J498:BF498),(('PTRM input'!$J$144+'PTRM input'!$J$110)*$J$7)/A2taxstdlife))</f>
        <v>0</v>
      </c>
      <c r="BH498" s="107">
        <f>IF(A2taxstdlife="n/a","n/a",IF(BH$3&gt;(A2taxstdlife+$E498),(('PTRM input'!$J$144+'PTRM input'!$J$110)*$J$7)-SUM($J498:BG498),(('PTRM input'!$J$144+'PTRM input'!$J$110)*$J$7)/A2taxstdlife))</f>
        <v>0</v>
      </c>
      <c r="BI498" s="107">
        <f>IF(A2taxstdlife="n/a","n/a",IF(BI$3&gt;(A2taxstdlife+$E498),(('PTRM input'!$J$144+'PTRM input'!$J$110)*$J$7)-SUM($J498:BH498),(('PTRM input'!$J$144+'PTRM input'!$J$110)*$J$7)/A2taxstdlife))</f>
        <v>0</v>
      </c>
      <c r="BJ498" s="18"/>
      <c r="BK498" s="18"/>
      <c r="BL498" s="18"/>
      <c r="BM498" s="18"/>
    </row>
    <row r="499" spans="1:65" s="4" customFormat="1" hidden="1" outlineLevel="2">
      <c r="A499" s="18"/>
      <c r="B499" s="18"/>
      <c r="C499" s="33"/>
      <c r="D499" s="1618"/>
      <c r="E499" s="169">
        <v>5</v>
      </c>
      <c r="F499" s="35"/>
      <c r="G499" s="184"/>
      <c r="H499" s="186"/>
      <c r="I499" s="186"/>
      <c r="J499" s="186"/>
      <c r="K499" s="185"/>
      <c r="L499" s="107">
        <f>IF(A2taxstdlife="n/a","n/a",IF(L$3&gt;(A2taxstdlife+$E499),(('PTRM input'!$K$144+'PTRM input'!$K$110)*$K$7)-SUM($K499:K499),(('PTRM input'!$K$144+'PTRM input'!$K$110)*$K$7)/A2taxstdlife))</f>
        <v>0</v>
      </c>
      <c r="M499" s="107">
        <f>IF(A2taxstdlife="n/a","n/a",IF(M$3&gt;(A2taxstdlife+$E499),(('PTRM input'!$K$144+'PTRM input'!$K$110)*$K$7)-SUM($K499:L499),(('PTRM input'!$K$144+'PTRM input'!$K$110)*$K$7)/A2taxstdlife))</f>
        <v>0</v>
      </c>
      <c r="N499" s="107">
        <f>IF(A2taxstdlife="n/a","n/a",IF(N$3&gt;(A2taxstdlife+$E499),(('PTRM input'!$K$144+'PTRM input'!$K$110)*$K$7)-SUM($K499:M499),(('PTRM input'!$K$144+'PTRM input'!$K$110)*$K$7)/A2taxstdlife))</f>
        <v>0</v>
      </c>
      <c r="O499" s="107">
        <f>IF(A2taxstdlife="n/a","n/a",IF(O$3&gt;(A2taxstdlife+$E499),(('PTRM input'!$K$144+'PTRM input'!$K$110)*$K$7)-SUM($K499:N499),(('PTRM input'!$K$144+'PTRM input'!$K$110)*$K$7)/A2taxstdlife))</f>
        <v>0</v>
      </c>
      <c r="P499" s="107">
        <f>IF(A2taxstdlife="n/a","n/a",IF(P$3&gt;(A2taxstdlife+$E499),(('PTRM input'!$K$144+'PTRM input'!$K$110)*$K$7)-SUM($K499:O499),(('PTRM input'!$K$144+'PTRM input'!$K$110)*$K$7)/A2taxstdlife))</f>
        <v>0</v>
      </c>
      <c r="Q499" s="107">
        <f>IF(A2taxstdlife="n/a","n/a",IF(Q$3&gt;(A2taxstdlife+$E499),(('PTRM input'!$K$144+'PTRM input'!$K$110)*$K$7)-SUM($K499:P499),(('PTRM input'!$K$144+'PTRM input'!$K$110)*$K$7)/A2taxstdlife))</f>
        <v>0</v>
      </c>
      <c r="R499" s="107">
        <f>IF(A2taxstdlife="n/a","n/a",IF(R$3&gt;(A2taxstdlife+$E499),(('PTRM input'!$K$144+'PTRM input'!$K$110)*$K$7)-SUM($K499:Q499),(('PTRM input'!$K$144+'PTRM input'!$K$110)*$K$7)/A2taxstdlife))</f>
        <v>0</v>
      </c>
      <c r="S499" s="107">
        <f>IF(A2taxstdlife="n/a","n/a",IF(S$3&gt;(A2taxstdlife+$E499),(('PTRM input'!$K$144+'PTRM input'!$K$110)*$K$7)-SUM($K499:R499),(('PTRM input'!$K$144+'PTRM input'!$K$110)*$K$7)/A2taxstdlife))</f>
        <v>0</v>
      </c>
      <c r="T499" s="107">
        <f>IF(A2taxstdlife="n/a","n/a",IF(T$3&gt;(A2taxstdlife+$E499),(('PTRM input'!$K$144+'PTRM input'!$K$110)*$K$7)-SUM($K499:S499),(('PTRM input'!$K$144+'PTRM input'!$K$110)*$K$7)/A2taxstdlife))</f>
        <v>0</v>
      </c>
      <c r="U499" s="107">
        <f>IF(A2taxstdlife="n/a","n/a",IF(U$3&gt;(A2taxstdlife+$E499),(('PTRM input'!$K$144+'PTRM input'!$K$110)*$K$7)-SUM($K499:T499),(('PTRM input'!$K$144+'PTRM input'!$K$110)*$K$7)/A2taxstdlife))</f>
        <v>0</v>
      </c>
      <c r="V499" s="107">
        <f>IF(A2taxstdlife="n/a","n/a",IF(V$3&gt;(A2taxstdlife+$E499),(('PTRM input'!$K$144+'PTRM input'!$K$110)*$K$7)-SUM($K499:U499),(('PTRM input'!$K$144+'PTRM input'!$K$110)*$K$7)/A2taxstdlife))</f>
        <v>0</v>
      </c>
      <c r="W499" s="107">
        <f>IF(A2taxstdlife="n/a","n/a",IF(W$3&gt;(A2taxstdlife+$E499),(('PTRM input'!$K$144+'PTRM input'!$K$110)*$K$7)-SUM($K499:V499),(('PTRM input'!$K$144+'PTRM input'!$K$110)*$K$7)/A2taxstdlife))</f>
        <v>0</v>
      </c>
      <c r="X499" s="107">
        <f>IF(A2taxstdlife="n/a","n/a",IF(X$3&gt;(A2taxstdlife+$E499),(('PTRM input'!$K$144+'PTRM input'!$K$110)*$K$7)-SUM($K499:W499),(('PTRM input'!$K$144+'PTRM input'!$K$110)*$K$7)/A2taxstdlife))</f>
        <v>0</v>
      </c>
      <c r="Y499" s="107">
        <f>IF(A2taxstdlife="n/a","n/a",IF(Y$3&gt;(A2taxstdlife+$E499),(('PTRM input'!$K$144+'PTRM input'!$K$110)*$K$7)-SUM($K499:X499),(('PTRM input'!$K$144+'PTRM input'!$K$110)*$K$7)/A2taxstdlife))</f>
        <v>0</v>
      </c>
      <c r="Z499" s="107">
        <f>IF(A2taxstdlife="n/a","n/a",IF(Z$3&gt;(A2taxstdlife+$E499),(('PTRM input'!$K$144+'PTRM input'!$K$110)*$K$7)-SUM($K499:Y499),(('PTRM input'!$K$144+'PTRM input'!$K$110)*$K$7)/A2taxstdlife))</f>
        <v>0</v>
      </c>
      <c r="AA499" s="107">
        <f>IF(A2taxstdlife="n/a","n/a",IF(AA$3&gt;(A2taxstdlife+$E499),(('PTRM input'!$K$144+'PTRM input'!$K$110)*$K$7)-SUM($K499:Z499),(('PTRM input'!$K$144+'PTRM input'!$K$110)*$K$7)/A2taxstdlife))</f>
        <v>0</v>
      </c>
      <c r="AB499" s="107">
        <f>IF(A2taxstdlife="n/a","n/a",IF(AB$3&gt;(A2taxstdlife+$E499),(('PTRM input'!$K$144+'PTRM input'!$K$110)*$K$7)-SUM($K499:AA499),(('PTRM input'!$K$144+'PTRM input'!$K$110)*$K$7)/A2taxstdlife))</f>
        <v>0</v>
      </c>
      <c r="AC499" s="107">
        <f>IF(A2taxstdlife="n/a","n/a",IF(AC$3&gt;(A2taxstdlife+$E499),(('PTRM input'!$K$144+'PTRM input'!$K$110)*$K$7)-SUM($K499:AB499),(('PTRM input'!$K$144+'PTRM input'!$K$110)*$K$7)/A2taxstdlife))</f>
        <v>0</v>
      </c>
      <c r="AD499" s="107">
        <f>IF(A2taxstdlife="n/a","n/a",IF(AD$3&gt;(A2taxstdlife+$E499),(('PTRM input'!$K$144+'PTRM input'!$K$110)*$K$7)-SUM($K499:AC499),(('PTRM input'!$K$144+'PTRM input'!$K$110)*$K$7)/A2taxstdlife))</f>
        <v>0</v>
      </c>
      <c r="AE499" s="107">
        <f>IF(A2taxstdlife="n/a","n/a",IF(AE$3&gt;(A2taxstdlife+$E499),(('PTRM input'!$K$144+'PTRM input'!$K$110)*$K$7)-SUM($K499:AD499),(('PTRM input'!$K$144+'PTRM input'!$K$110)*$K$7)/A2taxstdlife))</f>
        <v>0</v>
      </c>
      <c r="AF499" s="107">
        <f>IF(A2taxstdlife="n/a","n/a",IF(AF$3&gt;(A2taxstdlife+$E499),(('PTRM input'!$K$144+'PTRM input'!$K$110)*$K$7)-SUM($K499:AE499),(('PTRM input'!$K$144+'PTRM input'!$K$110)*$K$7)/A2taxstdlife))</f>
        <v>0</v>
      </c>
      <c r="AG499" s="107">
        <f>IF(A2taxstdlife="n/a","n/a",IF(AG$3&gt;(A2taxstdlife+$E499),(('PTRM input'!$K$144+'PTRM input'!$K$110)*$K$7)-SUM($K499:AF499),(('PTRM input'!$K$144+'PTRM input'!$K$110)*$K$7)/A2taxstdlife))</f>
        <v>0</v>
      </c>
      <c r="AH499" s="107">
        <f>IF(A2taxstdlife="n/a","n/a",IF(AH$3&gt;(A2taxstdlife+$E499),(('PTRM input'!$K$144+'PTRM input'!$K$110)*$K$7)-SUM($K499:AG499),(('PTRM input'!$K$144+'PTRM input'!$K$110)*$K$7)/A2taxstdlife))</f>
        <v>0</v>
      </c>
      <c r="AI499" s="107">
        <f>IF(A2taxstdlife="n/a","n/a",IF(AI$3&gt;(A2taxstdlife+$E499),(('PTRM input'!$K$144+'PTRM input'!$K$110)*$K$7)-SUM($K499:AH499),(('PTRM input'!$K$144+'PTRM input'!$K$110)*$K$7)/A2taxstdlife))</f>
        <v>0</v>
      </c>
      <c r="AJ499" s="107">
        <f>IF(A2taxstdlife="n/a","n/a",IF(AJ$3&gt;(A2taxstdlife+$E499),(('PTRM input'!$K$144+'PTRM input'!$K$110)*$K$7)-SUM($K499:AI499),(('PTRM input'!$K$144+'PTRM input'!$K$110)*$K$7)/A2taxstdlife))</f>
        <v>0</v>
      </c>
      <c r="AK499" s="107">
        <f>IF(A2taxstdlife="n/a","n/a",IF(AK$3&gt;(A2taxstdlife+$E499),(('PTRM input'!$K$144+'PTRM input'!$K$110)*$K$7)-SUM($K499:AJ499),(('PTRM input'!$K$144+'PTRM input'!$K$110)*$K$7)/A2taxstdlife))</f>
        <v>0</v>
      </c>
      <c r="AL499" s="107">
        <f>IF(A2taxstdlife="n/a","n/a",IF(AL$3&gt;(A2taxstdlife+$E499),(('PTRM input'!$K$144+'PTRM input'!$K$110)*$K$7)-SUM($K499:AK499),(('PTRM input'!$K$144+'PTRM input'!$K$110)*$K$7)/A2taxstdlife))</f>
        <v>0</v>
      </c>
      <c r="AM499" s="107">
        <f>IF(A2taxstdlife="n/a","n/a",IF(AM$3&gt;(A2taxstdlife+$E499),(('PTRM input'!$K$144+'PTRM input'!$K$110)*$K$7)-SUM($K499:AL499),(('PTRM input'!$K$144+'PTRM input'!$K$110)*$K$7)/A2taxstdlife))</f>
        <v>0</v>
      </c>
      <c r="AN499" s="107">
        <f>IF(A2taxstdlife="n/a","n/a",IF(AN$3&gt;(A2taxstdlife+$E499),(('PTRM input'!$K$144+'PTRM input'!$K$110)*$K$7)-SUM($K499:AM499),(('PTRM input'!$K$144+'PTRM input'!$K$110)*$K$7)/A2taxstdlife))</f>
        <v>0</v>
      </c>
      <c r="AO499" s="107">
        <f>IF(A2taxstdlife="n/a","n/a",IF(AO$3&gt;(A2taxstdlife+$E499),(('PTRM input'!$K$144+'PTRM input'!$K$110)*$K$7)-SUM($K499:AN499),(('PTRM input'!$K$144+'PTRM input'!$K$110)*$K$7)/A2taxstdlife))</f>
        <v>0</v>
      </c>
      <c r="AP499" s="107">
        <f>IF(A2taxstdlife="n/a","n/a",IF(AP$3&gt;(A2taxstdlife+$E499),(('PTRM input'!$K$144+'PTRM input'!$K$110)*$K$7)-SUM($K499:AO499),(('PTRM input'!$K$144+'PTRM input'!$K$110)*$K$7)/A2taxstdlife))</f>
        <v>0</v>
      </c>
      <c r="AQ499" s="107">
        <f>IF(A2taxstdlife="n/a","n/a",IF(AQ$3&gt;(A2taxstdlife+$E499),(('PTRM input'!$K$144+'PTRM input'!$K$110)*$K$7)-SUM($K499:AP499),(('PTRM input'!$K$144+'PTRM input'!$K$110)*$K$7)/A2taxstdlife))</f>
        <v>0</v>
      </c>
      <c r="AR499" s="107">
        <f>IF(A2taxstdlife="n/a","n/a",IF(AR$3&gt;(A2taxstdlife+$E499),(('PTRM input'!$K$144+'PTRM input'!$K$110)*$K$7)-SUM($K499:AQ499),(('PTRM input'!$K$144+'PTRM input'!$K$110)*$K$7)/A2taxstdlife))</f>
        <v>0</v>
      </c>
      <c r="AS499" s="107">
        <f>IF(A2taxstdlife="n/a","n/a",IF(AS$3&gt;(A2taxstdlife+$E499),(('PTRM input'!$K$144+'PTRM input'!$K$110)*$K$7)-SUM($K499:AR499),(('PTRM input'!$K$144+'PTRM input'!$K$110)*$K$7)/A2taxstdlife))</f>
        <v>0</v>
      </c>
      <c r="AT499" s="107">
        <f>IF(A2taxstdlife="n/a","n/a",IF(AT$3&gt;(A2taxstdlife+$E499),(('PTRM input'!$K$144+'PTRM input'!$K$110)*$K$7)-SUM($K499:AS499),(('PTRM input'!$K$144+'PTRM input'!$K$110)*$K$7)/A2taxstdlife))</f>
        <v>0</v>
      </c>
      <c r="AU499" s="107">
        <f>IF(A2taxstdlife="n/a","n/a",IF(AU$3&gt;(A2taxstdlife+$E499),(('PTRM input'!$K$144+'PTRM input'!$K$110)*$K$7)-SUM($K499:AT499),(('PTRM input'!$K$144+'PTRM input'!$K$110)*$K$7)/A2taxstdlife))</f>
        <v>0</v>
      </c>
      <c r="AV499" s="107">
        <f>IF(A2taxstdlife="n/a","n/a",IF(AV$3&gt;(A2taxstdlife+$E499),(('PTRM input'!$K$144+'PTRM input'!$K$110)*$K$7)-SUM($K499:AU499),(('PTRM input'!$K$144+'PTRM input'!$K$110)*$K$7)/A2taxstdlife))</f>
        <v>0</v>
      </c>
      <c r="AW499" s="107">
        <f>IF(A2taxstdlife="n/a","n/a",IF(AW$3&gt;(A2taxstdlife+$E499),(('PTRM input'!$K$144+'PTRM input'!$K$110)*$K$7)-SUM($K499:AV499),(('PTRM input'!$K$144+'PTRM input'!$K$110)*$K$7)/A2taxstdlife))</f>
        <v>0</v>
      </c>
      <c r="AX499" s="107">
        <f>IF(A2taxstdlife="n/a","n/a",IF(AX$3&gt;(A2taxstdlife+$E499),(('PTRM input'!$K$144+'PTRM input'!$K$110)*$K$7)-SUM($K499:AW499),(('PTRM input'!$K$144+'PTRM input'!$K$110)*$K$7)/A2taxstdlife))</f>
        <v>0</v>
      </c>
      <c r="AY499" s="107">
        <f>IF(A2taxstdlife="n/a","n/a",IF(AY$3&gt;(A2taxstdlife+$E499),(('PTRM input'!$K$144+'PTRM input'!$K$110)*$K$7)-SUM($K499:AX499),(('PTRM input'!$K$144+'PTRM input'!$K$110)*$K$7)/A2taxstdlife))</f>
        <v>0</v>
      </c>
      <c r="AZ499" s="107">
        <f>IF(A2taxstdlife="n/a","n/a",IF(AZ$3&gt;(A2taxstdlife+$E499),(('PTRM input'!$K$144+'PTRM input'!$K$110)*$K$7)-SUM($K499:AY499),(('PTRM input'!$K$144+'PTRM input'!$K$110)*$K$7)/A2taxstdlife))</f>
        <v>0</v>
      </c>
      <c r="BA499" s="107">
        <f>IF(A2taxstdlife="n/a","n/a",IF(BA$3&gt;(A2taxstdlife+$E499),(('PTRM input'!$K$144+'PTRM input'!$K$110)*$K$7)-SUM($K499:AZ499),(('PTRM input'!$K$144+'PTRM input'!$K$110)*$K$7)/A2taxstdlife))</f>
        <v>0</v>
      </c>
      <c r="BB499" s="107">
        <f>IF(A2taxstdlife="n/a","n/a",IF(BB$3&gt;(A2taxstdlife+$E499),(('PTRM input'!$K$144+'PTRM input'!$K$110)*$K$7)-SUM($K499:BA499),(('PTRM input'!$K$144+'PTRM input'!$K$110)*$K$7)/A2taxstdlife))</f>
        <v>0</v>
      </c>
      <c r="BC499" s="107">
        <f>IF(A2taxstdlife="n/a","n/a",IF(BC$3&gt;(A2taxstdlife+$E499),(('PTRM input'!$K$144+'PTRM input'!$K$110)*$K$7)-SUM($K499:BB499),(('PTRM input'!$K$144+'PTRM input'!$K$110)*$K$7)/A2taxstdlife))</f>
        <v>0</v>
      </c>
      <c r="BD499" s="107">
        <f>IF(A2taxstdlife="n/a","n/a",IF(BD$3&gt;(A2taxstdlife+$E499),(('PTRM input'!$K$144+'PTRM input'!$K$110)*$K$7)-SUM($K499:BC499),(('PTRM input'!$K$144+'PTRM input'!$K$110)*$K$7)/A2taxstdlife))</f>
        <v>0</v>
      </c>
      <c r="BE499" s="107">
        <f>IF(A2taxstdlife="n/a","n/a",IF(BE$3&gt;(A2taxstdlife+$E499),(('PTRM input'!$K$144+'PTRM input'!$K$110)*$K$7)-SUM($K499:BD499),(('PTRM input'!$K$144+'PTRM input'!$K$110)*$K$7)/A2taxstdlife))</f>
        <v>0</v>
      </c>
      <c r="BF499" s="107">
        <f>IF(A2taxstdlife="n/a","n/a",IF(BF$3&gt;(A2taxstdlife+$E499),(('PTRM input'!$K$144+'PTRM input'!$K$110)*$K$7)-SUM($K499:BE499),(('PTRM input'!$K$144+'PTRM input'!$K$110)*$K$7)/A2taxstdlife))</f>
        <v>0</v>
      </c>
      <c r="BG499" s="107">
        <f>IF(A2taxstdlife="n/a","n/a",IF(BG$3&gt;(A2taxstdlife+$E499),(('PTRM input'!$K$144+'PTRM input'!$K$110)*$K$7)-SUM($K499:BF499),(('PTRM input'!$K$144+'PTRM input'!$K$110)*$K$7)/A2taxstdlife))</f>
        <v>0</v>
      </c>
      <c r="BH499" s="107">
        <f>IF(A2taxstdlife="n/a","n/a",IF(BH$3&gt;(A2taxstdlife+$E499),(('PTRM input'!$K$144+'PTRM input'!$K$110)*$K$7)-SUM($K499:BG499),(('PTRM input'!$K$144+'PTRM input'!$K$110)*$K$7)/A2taxstdlife))</f>
        <v>0</v>
      </c>
      <c r="BI499" s="107">
        <f>IF(A2taxstdlife="n/a","n/a",IF(BI$3&gt;(A2taxstdlife+$E499),(('PTRM input'!$K$144+'PTRM input'!$K$110)*$K$7)-SUM($K499:BH499),(('PTRM input'!$K$144+'PTRM input'!$K$110)*$K$7)/A2taxstdlife))</f>
        <v>0</v>
      </c>
      <c r="BJ499" s="18"/>
      <c r="BK499" s="18"/>
      <c r="BL499" s="18"/>
      <c r="BM499" s="18"/>
    </row>
    <row r="500" spans="1:65" s="4" customFormat="1" hidden="1" outlineLevel="2">
      <c r="A500" s="18"/>
      <c r="B500" s="18"/>
      <c r="C500" s="33"/>
      <c r="D500" s="1618"/>
      <c r="E500" s="169">
        <v>6</v>
      </c>
      <c r="F500" s="35"/>
      <c r="G500" s="184"/>
      <c r="H500" s="186"/>
      <c r="I500" s="186"/>
      <c r="J500" s="186"/>
      <c r="K500" s="186"/>
      <c r="L500" s="185"/>
      <c r="M500" s="107">
        <f>IF(A2taxstdlife="n/a","n/a",IF(M$3&gt;(A2taxstdlife+$E500),(('PTRM input'!$L$144+'PTRM input'!$L$110)*$L$7)-SUM($L500:L500),(('PTRM input'!$L$144+'PTRM input'!$L$110)*$L$7)/A2taxstdlife))</f>
        <v>0</v>
      </c>
      <c r="N500" s="107">
        <f>IF(A2taxstdlife="n/a","n/a",IF(N$3&gt;(A2taxstdlife+$E500),(('PTRM input'!$L$144+'PTRM input'!$L$110)*$L$7)-SUM($L500:M500),(('PTRM input'!$L$144+'PTRM input'!$L$110)*$L$7)/A2taxstdlife))</f>
        <v>0</v>
      </c>
      <c r="O500" s="107">
        <f>IF(A2taxstdlife="n/a","n/a",IF(O$3&gt;(A2taxstdlife+$E500),(('PTRM input'!$L$144+'PTRM input'!$L$110)*$L$7)-SUM($L500:N500),(('PTRM input'!$L$144+'PTRM input'!$L$110)*$L$7)/A2taxstdlife))</f>
        <v>0</v>
      </c>
      <c r="P500" s="107">
        <f>IF(A2taxstdlife="n/a","n/a",IF(P$3&gt;(A2taxstdlife+$E500),(('PTRM input'!$L$144+'PTRM input'!$L$110)*$L$7)-SUM($L500:O500),(('PTRM input'!$L$144+'PTRM input'!$L$110)*$L$7)/A2taxstdlife))</f>
        <v>0</v>
      </c>
      <c r="Q500" s="107">
        <f>IF(A2taxstdlife="n/a","n/a",IF(Q$3&gt;(A2taxstdlife+$E500),(('PTRM input'!$L$144+'PTRM input'!$L$110)*$L$7)-SUM($L500:P500),(('PTRM input'!$L$144+'PTRM input'!$L$110)*$L$7)/A2taxstdlife))</f>
        <v>0</v>
      </c>
      <c r="R500" s="107">
        <f>IF(A2taxstdlife="n/a","n/a",IF(R$3&gt;(A2taxstdlife+$E500),(('PTRM input'!$L$144+'PTRM input'!$L$110)*$L$7)-SUM($L500:Q500),(('PTRM input'!$L$144+'PTRM input'!$L$110)*$L$7)/A2taxstdlife))</f>
        <v>0</v>
      </c>
      <c r="S500" s="107">
        <f>IF(A2taxstdlife="n/a","n/a",IF(S$3&gt;(A2taxstdlife+$E500),(('PTRM input'!$L$144+'PTRM input'!$L$110)*$L$7)-SUM($L500:R500),(('PTRM input'!$L$144+'PTRM input'!$L$110)*$L$7)/A2taxstdlife))</f>
        <v>0</v>
      </c>
      <c r="T500" s="107">
        <f>IF(A2taxstdlife="n/a","n/a",IF(T$3&gt;(A2taxstdlife+$E500),(('PTRM input'!$L$144+'PTRM input'!$L$110)*$L$7)-SUM($L500:S500),(('PTRM input'!$L$144+'PTRM input'!$L$110)*$L$7)/A2taxstdlife))</f>
        <v>0</v>
      </c>
      <c r="U500" s="107">
        <f>IF(A2taxstdlife="n/a","n/a",IF(U$3&gt;(A2taxstdlife+$E500),(('PTRM input'!$L$144+'PTRM input'!$L$110)*$L$7)-SUM($L500:T500),(('PTRM input'!$L$144+'PTRM input'!$L$110)*$L$7)/A2taxstdlife))</f>
        <v>0</v>
      </c>
      <c r="V500" s="107">
        <f>IF(A2taxstdlife="n/a","n/a",IF(V$3&gt;(A2taxstdlife+$E500),(('PTRM input'!$L$144+'PTRM input'!$L$110)*$L$7)-SUM($L500:U500),(('PTRM input'!$L$144+'PTRM input'!$L$110)*$L$7)/A2taxstdlife))</f>
        <v>0</v>
      </c>
      <c r="W500" s="107">
        <f>IF(A2taxstdlife="n/a","n/a",IF(W$3&gt;(A2taxstdlife+$E500),(('PTRM input'!$L$144+'PTRM input'!$L$110)*$L$7)-SUM($L500:V500),(('PTRM input'!$L$144+'PTRM input'!$L$110)*$L$7)/A2taxstdlife))</f>
        <v>0</v>
      </c>
      <c r="X500" s="107">
        <f>IF(A2taxstdlife="n/a","n/a",IF(X$3&gt;(A2taxstdlife+$E500),(('PTRM input'!$L$144+'PTRM input'!$L$110)*$L$7)-SUM($L500:W500),(('PTRM input'!$L$144+'PTRM input'!$L$110)*$L$7)/A2taxstdlife))</f>
        <v>0</v>
      </c>
      <c r="Y500" s="107">
        <f>IF(A2taxstdlife="n/a","n/a",IF(Y$3&gt;(A2taxstdlife+$E500),(('PTRM input'!$L$144+'PTRM input'!$L$110)*$L$7)-SUM($L500:X500),(('PTRM input'!$L$144+'PTRM input'!$L$110)*$L$7)/A2taxstdlife))</f>
        <v>0</v>
      </c>
      <c r="Z500" s="107">
        <f>IF(A2taxstdlife="n/a","n/a",IF(Z$3&gt;(A2taxstdlife+$E500),(('PTRM input'!$L$144+'PTRM input'!$L$110)*$L$7)-SUM($L500:Y500),(('PTRM input'!$L$144+'PTRM input'!$L$110)*$L$7)/A2taxstdlife))</f>
        <v>0</v>
      </c>
      <c r="AA500" s="107">
        <f>IF(A2taxstdlife="n/a","n/a",IF(AA$3&gt;(A2taxstdlife+$E500),(('PTRM input'!$L$144+'PTRM input'!$L$110)*$L$7)-SUM($L500:Z500),(('PTRM input'!$L$144+'PTRM input'!$L$110)*$L$7)/A2taxstdlife))</f>
        <v>0</v>
      </c>
      <c r="AB500" s="107">
        <f>IF(A2taxstdlife="n/a","n/a",IF(AB$3&gt;(A2taxstdlife+$E500),(('PTRM input'!$L$144+'PTRM input'!$L$110)*$L$7)-SUM($L500:AA500),(('PTRM input'!$L$144+'PTRM input'!$L$110)*$L$7)/A2taxstdlife))</f>
        <v>0</v>
      </c>
      <c r="AC500" s="107">
        <f>IF(A2taxstdlife="n/a","n/a",IF(AC$3&gt;(A2taxstdlife+$E500),(('PTRM input'!$L$144+'PTRM input'!$L$110)*$L$7)-SUM($L500:AB500),(('PTRM input'!$L$144+'PTRM input'!$L$110)*$L$7)/A2taxstdlife))</f>
        <v>0</v>
      </c>
      <c r="AD500" s="107">
        <f>IF(A2taxstdlife="n/a","n/a",IF(AD$3&gt;(A2taxstdlife+$E500),(('PTRM input'!$L$144+'PTRM input'!$L$110)*$L$7)-SUM($L500:AC500),(('PTRM input'!$L$144+'PTRM input'!$L$110)*$L$7)/A2taxstdlife))</f>
        <v>0</v>
      </c>
      <c r="AE500" s="107">
        <f>IF(A2taxstdlife="n/a","n/a",IF(AE$3&gt;(A2taxstdlife+$E500),(('PTRM input'!$L$144+'PTRM input'!$L$110)*$L$7)-SUM($L500:AD500),(('PTRM input'!$L$144+'PTRM input'!$L$110)*$L$7)/A2taxstdlife))</f>
        <v>0</v>
      </c>
      <c r="AF500" s="107">
        <f>IF(A2taxstdlife="n/a","n/a",IF(AF$3&gt;(A2taxstdlife+$E500),(('PTRM input'!$L$144+'PTRM input'!$L$110)*$L$7)-SUM($L500:AE500),(('PTRM input'!$L$144+'PTRM input'!$L$110)*$L$7)/A2taxstdlife))</f>
        <v>0</v>
      </c>
      <c r="AG500" s="107">
        <f>IF(A2taxstdlife="n/a","n/a",IF(AG$3&gt;(A2taxstdlife+$E500),(('PTRM input'!$L$144+'PTRM input'!$L$110)*$L$7)-SUM($L500:AF500),(('PTRM input'!$L$144+'PTRM input'!$L$110)*$L$7)/A2taxstdlife))</f>
        <v>0</v>
      </c>
      <c r="AH500" s="107">
        <f>IF(A2taxstdlife="n/a","n/a",IF(AH$3&gt;(A2taxstdlife+$E500),(('PTRM input'!$L$144+'PTRM input'!$L$110)*$L$7)-SUM($L500:AG500),(('PTRM input'!$L$144+'PTRM input'!$L$110)*$L$7)/A2taxstdlife))</f>
        <v>0</v>
      </c>
      <c r="AI500" s="107">
        <f>IF(A2taxstdlife="n/a","n/a",IF(AI$3&gt;(A2taxstdlife+$E500),(('PTRM input'!$L$144+'PTRM input'!$L$110)*$L$7)-SUM($L500:AH500),(('PTRM input'!$L$144+'PTRM input'!$L$110)*$L$7)/A2taxstdlife))</f>
        <v>0</v>
      </c>
      <c r="AJ500" s="107">
        <f>IF(A2taxstdlife="n/a","n/a",IF(AJ$3&gt;(A2taxstdlife+$E500),(('PTRM input'!$L$144+'PTRM input'!$L$110)*$L$7)-SUM($L500:AI500),(('PTRM input'!$L$144+'PTRM input'!$L$110)*$L$7)/A2taxstdlife))</f>
        <v>0</v>
      </c>
      <c r="AK500" s="107">
        <f>IF(A2taxstdlife="n/a","n/a",IF(AK$3&gt;(A2taxstdlife+$E500),(('PTRM input'!$L$144+'PTRM input'!$L$110)*$L$7)-SUM($L500:AJ500),(('PTRM input'!$L$144+'PTRM input'!$L$110)*$L$7)/A2taxstdlife))</f>
        <v>0</v>
      </c>
      <c r="AL500" s="107">
        <f>IF(A2taxstdlife="n/a","n/a",IF(AL$3&gt;(A2taxstdlife+$E500),(('PTRM input'!$L$144+'PTRM input'!$L$110)*$L$7)-SUM($L500:AK500),(('PTRM input'!$L$144+'PTRM input'!$L$110)*$L$7)/A2taxstdlife))</f>
        <v>0</v>
      </c>
      <c r="AM500" s="107">
        <f>IF(A2taxstdlife="n/a","n/a",IF(AM$3&gt;(A2taxstdlife+$E500),(('PTRM input'!$L$144+'PTRM input'!$L$110)*$L$7)-SUM($L500:AL500),(('PTRM input'!$L$144+'PTRM input'!$L$110)*$L$7)/A2taxstdlife))</f>
        <v>0</v>
      </c>
      <c r="AN500" s="107">
        <f>IF(A2taxstdlife="n/a","n/a",IF(AN$3&gt;(A2taxstdlife+$E500),(('PTRM input'!$L$144+'PTRM input'!$L$110)*$L$7)-SUM($L500:AM500),(('PTRM input'!$L$144+'PTRM input'!$L$110)*$L$7)/A2taxstdlife))</f>
        <v>0</v>
      </c>
      <c r="AO500" s="107">
        <f>IF(A2taxstdlife="n/a","n/a",IF(AO$3&gt;(A2taxstdlife+$E500),(('PTRM input'!$L$144+'PTRM input'!$L$110)*$L$7)-SUM($L500:AN500),(('PTRM input'!$L$144+'PTRM input'!$L$110)*$L$7)/A2taxstdlife))</f>
        <v>0</v>
      </c>
      <c r="AP500" s="107">
        <f>IF(A2taxstdlife="n/a","n/a",IF(AP$3&gt;(A2taxstdlife+$E500),(('PTRM input'!$L$144+'PTRM input'!$L$110)*$L$7)-SUM($L500:AO500),(('PTRM input'!$L$144+'PTRM input'!$L$110)*$L$7)/A2taxstdlife))</f>
        <v>0</v>
      </c>
      <c r="AQ500" s="107">
        <f>IF(A2taxstdlife="n/a","n/a",IF(AQ$3&gt;(A2taxstdlife+$E500),(('PTRM input'!$L$144+'PTRM input'!$L$110)*$L$7)-SUM($L500:AP500),(('PTRM input'!$L$144+'PTRM input'!$L$110)*$L$7)/A2taxstdlife))</f>
        <v>0</v>
      </c>
      <c r="AR500" s="107">
        <f>IF(A2taxstdlife="n/a","n/a",IF(AR$3&gt;(A2taxstdlife+$E500),(('PTRM input'!$L$144+'PTRM input'!$L$110)*$L$7)-SUM($L500:AQ500),(('PTRM input'!$L$144+'PTRM input'!$L$110)*$L$7)/A2taxstdlife))</f>
        <v>0</v>
      </c>
      <c r="AS500" s="107">
        <f>IF(A2taxstdlife="n/a","n/a",IF(AS$3&gt;(A2taxstdlife+$E500),(('PTRM input'!$L$144+'PTRM input'!$L$110)*$L$7)-SUM($L500:AR500),(('PTRM input'!$L$144+'PTRM input'!$L$110)*$L$7)/A2taxstdlife))</f>
        <v>0</v>
      </c>
      <c r="AT500" s="107">
        <f>IF(A2taxstdlife="n/a","n/a",IF(AT$3&gt;(A2taxstdlife+$E500),(('PTRM input'!$L$144+'PTRM input'!$L$110)*$L$7)-SUM($L500:AS500),(('PTRM input'!$L$144+'PTRM input'!$L$110)*$L$7)/A2taxstdlife))</f>
        <v>0</v>
      </c>
      <c r="AU500" s="107">
        <f>IF(A2taxstdlife="n/a","n/a",IF(AU$3&gt;(A2taxstdlife+$E500),(('PTRM input'!$L$144+'PTRM input'!$L$110)*$L$7)-SUM($L500:AT500),(('PTRM input'!$L$144+'PTRM input'!$L$110)*$L$7)/A2taxstdlife))</f>
        <v>0</v>
      </c>
      <c r="AV500" s="107">
        <f>IF(A2taxstdlife="n/a","n/a",IF(AV$3&gt;(A2taxstdlife+$E500),(('PTRM input'!$L$144+'PTRM input'!$L$110)*$L$7)-SUM($L500:AU500),(('PTRM input'!$L$144+'PTRM input'!$L$110)*$L$7)/A2taxstdlife))</f>
        <v>0</v>
      </c>
      <c r="AW500" s="107">
        <f>IF(A2taxstdlife="n/a","n/a",IF(AW$3&gt;(A2taxstdlife+$E500),(('PTRM input'!$L$144+'PTRM input'!$L$110)*$L$7)-SUM($L500:AV500),(('PTRM input'!$L$144+'PTRM input'!$L$110)*$L$7)/A2taxstdlife))</f>
        <v>0</v>
      </c>
      <c r="AX500" s="107">
        <f>IF(A2taxstdlife="n/a","n/a",IF(AX$3&gt;(A2taxstdlife+$E500),(('PTRM input'!$L$144+'PTRM input'!$L$110)*$L$7)-SUM($L500:AW500),(('PTRM input'!$L$144+'PTRM input'!$L$110)*$L$7)/A2taxstdlife))</f>
        <v>0</v>
      </c>
      <c r="AY500" s="107">
        <f>IF(A2taxstdlife="n/a","n/a",IF(AY$3&gt;(A2taxstdlife+$E500),(('PTRM input'!$L$144+'PTRM input'!$L$110)*$L$7)-SUM($L500:AX500),(('PTRM input'!$L$144+'PTRM input'!$L$110)*$L$7)/A2taxstdlife))</f>
        <v>0</v>
      </c>
      <c r="AZ500" s="107">
        <f>IF(A2taxstdlife="n/a","n/a",IF(AZ$3&gt;(A2taxstdlife+$E500),(('PTRM input'!$L$144+'PTRM input'!$L$110)*$L$7)-SUM($L500:AY500),(('PTRM input'!$L$144+'PTRM input'!$L$110)*$L$7)/A2taxstdlife))</f>
        <v>0</v>
      </c>
      <c r="BA500" s="107">
        <f>IF(A2taxstdlife="n/a","n/a",IF(BA$3&gt;(A2taxstdlife+$E500),(('PTRM input'!$L$144+'PTRM input'!$L$110)*$L$7)-SUM($L500:AZ500),(('PTRM input'!$L$144+'PTRM input'!$L$110)*$L$7)/A2taxstdlife))</f>
        <v>0</v>
      </c>
      <c r="BB500" s="107">
        <f>IF(A2taxstdlife="n/a","n/a",IF(BB$3&gt;(A2taxstdlife+$E500),(('PTRM input'!$L$144+'PTRM input'!$L$110)*$L$7)-SUM($L500:BA500),(('PTRM input'!$L$144+'PTRM input'!$L$110)*$L$7)/A2taxstdlife))</f>
        <v>0</v>
      </c>
      <c r="BC500" s="107">
        <f>IF(A2taxstdlife="n/a","n/a",IF(BC$3&gt;(A2taxstdlife+$E500),(('PTRM input'!$L$144+'PTRM input'!$L$110)*$L$7)-SUM($L500:BB500),(('PTRM input'!$L$144+'PTRM input'!$L$110)*$L$7)/A2taxstdlife))</f>
        <v>0</v>
      </c>
      <c r="BD500" s="107">
        <f>IF(A2taxstdlife="n/a","n/a",IF(BD$3&gt;(A2taxstdlife+$E500),(('PTRM input'!$L$144+'PTRM input'!$L$110)*$L$7)-SUM($L500:BC500),(('PTRM input'!$L$144+'PTRM input'!$L$110)*$L$7)/A2taxstdlife))</f>
        <v>0</v>
      </c>
      <c r="BE500" s="107">
        <f>IF(A2taxstdlife="n/a","n/a",IF(BE$3&gt;(A2taxstdlife+$E500),(('PTRM input'!$L$144+'PTRM input'!$L$110)*$L$7)-SUM($L500:BD500),(('PTRM input'!$L$144+'PTRM input'!$L$110)*$L$7)/A2taxstdlife))</f>
        <v>0</v>
      </c>
      <c r="BF500" s="107">
        <f>IF(A2taxstdlife="n/a","n/a",IF(BF$3&gt;(A2taxstdlife+$E500),(('PTRM input'!$L$144+'PTRM input'!$L$110)*$L$7)-SUM($L500:BE500),(('PTRM input'!$L$144+'PTRM input'!$L$110)*$L$7)/A2taxstdlife))</f>
        <v>0</v>
      </c>
      <c r="BG500" s="107">
        <f>IF(A2taxstdlife="n/a","n/a",IF(BG$3&gt;(A2taxstdlife+$E500),(('PTRM input'!$L$144+'PTRM input'!$L$110)*$L$7)-SUM($L500:BF500),(('PTRM input'!$L$144+'PTRM input'!$L$110)*$L$7)/A2taxstdlife))</f>
        <v>0</v>
      </c>
      <c r="BH500" s="107">
        <f>IF(A2taxstdlife="n/a","n/a",IF(BH$3&gt;(A2taxstdlife+$E500),(('PTRM input'!$L$144+'PTRM input'!$L$110)*$L$7)-SUM($L500:BG500),(('PTRM input'!$L$144+'PTRM input'!$L$110)*$L$7)/A2taxstdlife))</f>
        <v>0</v>
      </c>
      <c r="BI500" s="107">
        <f>IF(A2taxstdlife="n/a","n/a",IF(BI$3&gt;(A2taxstdlife+$E500),(('PTRM input'!$L$144+'PTRM input'!$L$110)*$L$7)-SUM($L500:BH500),(('PTRM input'!$L$144+'PTRM input'!$L$110)*$L$7)/A2taxstdlife))</f>
        <v>0</v>
      </c>
      <c r="BJ500" s="18"/>
      <c r="BK500" s="18"/>
      <c r="BL500" s="18"/>
      <c r="BM500" s="18"/>
    </row>
    <row r="501" spans="1:65" s="4" customFormat="1" hidden="1" outlineLevel="2">
      <c r="A501" s="18"/>
      <c r="B501" s="18"/>
      <c r="C501" s="33"/>
      <c r="D501" s="1618"/>
      <c r="E501" s="169">
        <v>7</v>
      </c>
      <c r="F501" s="35"/>
      <c r="G501" s="184"/>
      <c r="H501" s="186"/>
      <c r="I501" s="186"/>
      <c r="J501" s="186"/>
      <c r="K501" s="186"/>
      <c r="L501" s="186"/>
      <c r="M501" s="185"/>
      <c r="N501" s="107">
        <f>IF(A2taxstdlife="n/a","n/a",IF(N$3&gt;(A2taxstdlife+$E501),(('PTRM input'!$M$144+'PTRM input'!$M$110)*$M$7)-SUM($M501:M501),(('PTRM input'!$M$144+'PTRM input'!$M$110)*$M$7)/A2taxstdlife))</f>
        <v>0</v>
      </c>
      <c r="O501" s="107">
        <f>IF(A2taxstdlife="n/a","n/a",IF(O$3&gt;(A2taxstdlife+$E501),(('PTRM input'!$M$144+'PTRM input'!$M$110)*$M$7)-SUM($M501:N501),(('PTRM input'!$M$144+'PTRM input'!$M$110)*$M$7)/A2taxstdlife))</f>
        <v>0</v>
      </c>
      <c r="P501" s="107">
        <f>IF(A2taxstdlife="n/a","n/a",IF(P$3&gt;(A2taxstdlife+$E501),(('PTRM input'!$M$144+'PTRM input'!$M$110)*$M$7)-SUM($M501:O501),(('PTRM input'!$M$144+'PTRM input'!$M$110)*$M$7)/A2taxstdlife))</f>
        <v>0</v>
      </c>
      <c r="Q501" s="107">
        <f>IF(A2taxstdlife="n/a","n/a",IF(Q$3&gt;(A2taxstdlife+$E501),(('PTRM input'!$M$144+'PTRM input'!$M$110)*$M$7)-SUM($M501:P501),(('PTRM input'!$M$144+'PTRM input'!$M$110)*$M$7)/A2taxstdlife))</f>
        <v>0</v>
      </c>
      <c r="R501" s="107">
        <f>IF(A2taxstdlife="n/a","n/a",IF(R$3&gt;(A2taxstdlife+$E501),(('PTRM input'!$M$144+'PTRM input'!$M$110)*$M$7)-SUM($M501:Q501),(('PTRM input'!$M$144+'PTRM input'!$M$110)*$M$7)/A2taxstdlife))</f>
        <v>0</v>
      </c>
      <c r="S501" s="107">
        <f>IF(A2taxstdlife="n/a","n/a",IF(S$3&gt;(A2taxstdlife+$E501),(('PTRM input'!$M$144+'PTRM input'!$M$110)*$M$7)-SUM($M501:R501),(('PTRM input'!$M$144+'PTRM input'!$M$110)*$M$7)/A2taxstdlife))</f>
        <v>0</v>
      </c>
      <c r="T501" s="107">
        <f>IF(A2taxstdlife="n/a","n/a",IF(T$3&gt;(A2taxstdlife+$E501),(('PTRM input'!$M$144+'PTRM input'!$M$110)*$M$7)-SUM($M501:S501),(('PTRM input'!$M$144+'PTRM input'!$M$110)*$M$7)/A2taxstdlife))</f>
        <v>0</v>
      </c>
      <c r="U501" s="107">
        <f>IF(A2taxstdlife="n/a","n/a",IF(U$3&gt;(A2taxstdlife+$E501),(('PTRM input'!$M$144+'PTRM input'!$M$110)*$M$7)-SUM($M501:T501),(('PTRM input'!$M$144+'PTRM input'!$M$110)*$M$7)/A2taxstdlife))</f>
        <v>0</v>
      </c>
      <c r="V501" s="107">
        <f>IF(A2taxstdlife="n/a","n/a",IF(V$3&gt;(A2taxstdlife+$E501),(('PTRM input'!$M$144+'PTRM input'!$M$110)*$M$7)-SUM($M501:U501),(('PTRM input'!$M$144+'PTRM input'!$M$110)*$M$7)/A2taxstdlife))</f>
        <v>0</v>
      </c>
      <c r="W501" s="107">
        <f>IF(A2taxstdlife="n/a","n/a",IF(W$3&gt;(A2taxstdlife+$E501),(('PTRM input'!$M$144+'PTRM input'!$M$110)*$M$7)-SUM($M501:V501),(('PTRM input'!$M$144+'PTRM input'!$M$110)*$M$7)/A2taxstdlife))</f>
        <v>0</v>
      </c>
      <c r="X501" s="107">
        <f>IF(A2taxstdlife="n/a","n/a",IF(X$3&gt;(A2taxstdlife+$E501),(('PTRM input'!$M$144+'PTRM input'!$M$110)*$M$7)-SUM($M501:W501),(('PTRM input'!$M$144+'PTRM input'!$M$110)*$M$7)/A2taxstdlife))</f>
        <v>0</v>
      </c>
      <c r="Y501" s="107">
        <f>IF(A2taxstdlife="n/a","n/a",IF(Y$3&gt;(A2taxstdlife+$E501),(('PTRM input'!$M$144+'PTRM input'!$M$110)*$M$7)-SUM($M501:X501),(('PTRM input'!$M$144+'PTRM input'!$M$110)*$M$7)/A2taxstdlife))</f>
        <v>0</v>
      </c>
      <c r="Z501" s="107">
        <f>IF(A2taxstdlife="n/a","n/a",IF(Z$3&gt;(A2taxstdlife+$E501),(('PTRM input'!$M$144+'PTRM input'!$M$110)*$M$7)-SUM($M501:Y501),(('PTRM input'!$M$144+'PTRM input'!$M$110)*$M$7)/A2taxstdlife))</f>
        <v>0</v>
      </c>
      <c r="AA501" s="107">
        <f>IF(A2taxstdlife="n/a","n/a",IF(AA$3&gt;(A2taxstdlife+$E501),(('PTRM input'!$M$144+'PTRM input'!$M$110)*$M$7)-SUM($M501:Z501),(('PTRM input'!$M$144+'PTRM input'!$M$110)*$M$7)/A2taxstdlife))</f>
        <v>0</v>
      </c>
      <c r="AB501" s="107">
        <f>IF(A2taxstdlife="n/a","n/a",IF(AB$3&gt;(A2taxstdlife+$E501),(('PTRM input'!$M$144+'PTRM input'!$M$110)*$M$7)-SUM($M501:AA501),(('PTRM input'!$M$144+'PTRM input'!$M$110)*$M$7)/A2taxstdlife))</f>
        <v>0</v>
      </c>
      <c r="AC501" s="107">
        <f>IF(A2taxstdlife="n/a","n/a",IF(AC$3&gt;(A2taxstdlife+$E501),(('PTRM input'!$M$144+'PTRM input'!$M$110)*$M$7)-SUM($M501:AB501),(('PTRM input'!$M$144+'PTRM input'!$M$110)*$M$7)/A2taxstdlife))</f>
        <v>0</v>
      </c>
      <c r="AD501" s="107">
        <f>IF(A2taxstdlife="n/a","n/a",IF(AD$3&gt;(A2taxstdlife+$E501),(('PTRM input'!$M$144+'PTRM input'!$M$110)*$M$7)-SUM($M501:AC501),(('PTRM input'!$M$144+'PTRM input'!$M$110)*$M$7)/A2taxstdlife))</f>
        <v>0</v>
      </c>
      <c r="AE501" s="107">
        <f>IF(A2taxstdlife="n/a","n/a",IF(AE$3&gt;(A2taxstdlife+$E501),(('PTRM input'!$M$144+'PTRM input'!$M$110)*$M$7)-SUM($M501:AD501),(('PTRM input'!$M$144+'PTRM input'!$M$110)*$M$7)/A2taxstdlife))</f>
        <v>0</v>
      </c>
      <c r="AF501" s="107">
        <f>IF(A2taxstdlife="n/a","n/a",IF(AF$3&gt;(A2taxstdlife+$E501),(('PTRM input'!$M$144+'PTRM input'!$M$110)*$M$7)-SUM($M501:AE501),(('PTRM input'!$M$144+'PTRM input'!$M$110)*$M$7)/A2taxstdlife))</f>
        <v>0</v>
      </c>
      <c r="AG501" s="107">
        <f>IF(A2taxstdlife="n/a","n/a",IF(AG$3&gt;(A2taxstdlife+$E501),(('PTRM input'!$M$144+'PTRM input'!$M$110)*$M$7)-SUM($M501:AF501),(('PTRM input'!$M$144+'PTRM input'!$M$110)*$M$7)/A2taxstdlife))</f>
        <v>0</v>
      </c>
      <c r="AH501" s="107">
        <f>IF(A2taxstdlife="n/a","n/a",IF(AH$3&gt;(A2taxstdlife+$E501),(('PTRM input'!$M$144+'PTRM input'!$M$110)*$M$7)-SUM($M501:AG501),(('PTRM input'!$M$144+'PTRM input'!$M$110)*$M$7)/A2taxstdlife))</f>
        <v>0</v>
      </c>
      <c r="AI501" s="107">
        <f>IF(A2taxstdlife="n/a","n/a",IF(AI$3&gt;(A2taxstdlife+$E501),(('PTRM input'!$M$144+'PTRM input'!$M$110)*$M$7)-SUM($M501:AH501),(('PTRM input'!$M$144+'PTRM input'!$M$110)*$M$7)/A2taxstdlife))</f>
        <v>0</v>
      </c>
      <c r="AJ501" s="107">
        <f>IF(A2taxstdlife="n/a","n/a",IF(AJ$3&gt;(A2taxstdlife+$E501),(('PTRM input'!$M$144+'PTRM input'!$M$110)*$M$7)-SUM($M501:AI501),(('PTRM input'!$M$144+'PTRM input'!$M$110)*$M$7)/A2taxstdlife))</f>
        <v>0</v>
      </c>
      <c r="AK501" s="107">
        <f>IF(A2taxstdlife="n/a","n/a",IF(AK$3&gt;(A2taxstdlife+$E501),(('PTRM input'!$M$144+'PTRM input'!$M$110)*$M$7)-SUM($M501:AJ501),(('PTRM input'!$M$144+'PTRM input'!$M$110)*$M$7)/A2taxstdlife))</f>
        <v>0</v>
      </c>
      <c r="AL501" s="107">
        <f>IF(A2taxstdlife="n/a","n/a",IF(AL$3&gt;(A2taxstdlife+$E501),(('PTRM input'!$M$144+'PTRM input'!$M$110)*$M$7)-SUM($M501:AK501),(('PTRM input'!$M$144+'PTRM input'!$M$110)*$M$7)/A2taxstdlife))</f>
        <v>0</v>
      </c>
      <c r="AM501" s="107">
        <f>IF(A2taxstdlife="n/a","n/a",IF(AM$3&gt;(A2taxstdlife+$E501),(('PTRM input'!$M$144+'PTRM input'!$M$110)*$M$7)-SUM($M501:AL501),(('PTRM input'!$M$144+'PTRM input'!$M$110)*$M$7)/A2taxstdlife))</f>
        <v>0</v>
      </c>
      <c r="AN501" s="107">
        <f>IF(A2taxstdlife="n/a","n/a",IF(AN$3&gt;(A2taxstdlife+$E501),(('PTRM input'!$M$144+'PTRM input'!$M$110)*$M$7)-SUM($M501:AM501),(('PTRM input'!$M$144+'PTRM input'!$M$110)*$M$7)/A2taxstdlife))</f>
        <v>0</v>
      </c>
      <c r="AO501" s="107">
        <f>IF(A2taxstdlife="n/a","n/a",IF(AO$3&gt;(A2taxstdlife+$E501),(('PTRM input'!$M$144+'PTRM input'!$M$110)*$M$7)-SUM($M501:AN501),(('PTRM input'!$M$144+'PTRM input'!$M$110)*$M$7)/A2taxstdlife))</f>
        <v>0</v>
      </c>
      <c r="AP501" s="107">
        <f>IF(A2taxstdlife="n/a","n/a",IF(AP$3&gt;(A2taxstdlife+$E501),(('PTRM input'!$M$144+'PTRM input'!$M$110)*$M$7)-SUM($M501:AO501),(('PTRM input'!$M$144+'PTRM input'!$M$110)*$M$7)/A2taxstdlife))</f>
        <v>0</v>
      </c>
      <c r="AQ501" s="107">
        <f>IF(A2taxstdlife="n/a","n/a",IF(AQ$3&gt;(A2taxstdlife+$E501),(('PTRM input'!$M$144+'PTRM input'!$M$110)*$M$7)-SUM($M501:AP501),(('PTRM input'!$M$144+'PTRM input'!$M$110)*$M$7)/A2taxstdlife))</f>
        <v>0</v>
      </c>
      <c r="AR501" s="107">
        <f>IF(A2taxstdlife="n/a","n/a",IF(AR$3&gt;(A2taxstdlife+$E501),(('PTRM input'!$M$144+'PTRM input'!$M$110)*$M$7)-SUM($M501:AQ501),(('PTRM input'!$M$144+'PTRM input'!$M$110)*$M$7)/A2taxstdlife))</f>
        <v>0</v>
      </c>
      <c r="AS501" s="107">
        <f>IF(A2taxstdlife="n/a","n/a",IF(AS$3&gt;(A2taxstdlife+$E501),(('PTRM input'!$M$144+'PTRM input'!$M$110)*$M$7)-SUM($M501:AR501),(('PTRM input'!$M$144+'PTRM input'!$M$110)*$M$7)/A2taxstdlife))</f>
        <v>0</v>
      </c>
      <c r="AT501" s="107">
        <f>IF(A2taxstdlife="n/a","n/a",IF(AT$3&gt;(A2taxstdlife+$E501),(('PTRM input'!$M$144+'PTRM input'!$M$110)*$M$7)-SUM($M501:AS501),(('PTRM input'!$M$144+'PTRM input'!$M$110)*$M$7)/A2taxstdlife))</f>
        <v>0</v>
      </c>
      <c r="AU501" s="107">
        <f>IF(A2taxstdlife="n/a","n/a",IF(AU$3&gt;(A2taxstdlife+$E501),(('PTRM input'!$M$144+'PTRM input'!$M$110)*$M$7)-SUM($M501:AT501),(('PTRM input'!$M$144+'PTRM input'!$M$110)*$M$7)/A2taxstdlife))</f>
        <v>0</v>
      </c>
      <c r="AV501" s="107">
        <f>IF(A2taxstdlife="n/a","n/a",IF(AV$3&gt;(A2taxstdlife+$E501),(('PTRM input'!$M$144+'PTRM input'!$M$110)*$M$7)-SUM($M501:AU501),(('PTRM input'!$M$144+'PTRM input'!$M$110)*$M$7)/A2taxstdlife))</f>
        <v>0</v>
      </c>
      <c r="AW501" s="107">
        <f>IF(A2taxstdlife="n/a","n/a",IF(AW$3&gt;(A2taxstdlife+$E501),(('PTRM input'!$M$144+'PTRM input'!$M$110)*$M$7)-SUM($M501:AV501),(('PTRM input'!$M$144+'PTRM input'!$M$110)*$M$7)/A2taxstdlife))</f>
        <v>0</v>
      </c>
      <c r="AX501" s="107">
        <f>IF(A2taxstdlife="n/a","n/a",IF(AX$3&gt;(A2taxstdlife+$E501),(('PTRM input'!$M$144+'PTRM input'!$M$110)*$M$7)-SUM($M501:AW501),(('PTRM input'!$M$144+'PTRM input'!$M$110)*$M$7)/A2taxstdlife))</f>
        <v>0</v>
      </c>
      <c r="AY501" s="107">
        <f>IF(A2taxstdlife="n/a","n/a",IF(AY$3&gt;(A2taxstdlife+$E501),(('PTRM input'!$M$144+'PTRM input'!$M$110)*$M$7)-SUM($M501:AX501),(('PTRM input'!$M$144+'PTRM input'!$M$110)*$M$7)/A2taxstdlife))</f>
        <v>0</v>
      </c>
      <c r="AZ501" s="107">
        <f>IF(A2taxstdlife="n/a","n/a",IF(AZ$3&gt;(A2taxstdlife+$E501),(('PTRM input'!$M$144+'PTRM input'!$M$110)*$M$7)-SUM($M501:AY501),(('PTRM input'!$M$144+'PTRM input'!$M$110)*$M$7)/A2taxstdlife))</f>
        <v>0</v>
      </c>
      <c r="BA501" s="107">
        <f>IF(A2taxstdlife="n/a","n/a",IF(BA$3&gt;(A2taxstdlife+$E501),(('PTRM input'!$M$144+'PTRM input'!$M$110)*$M$7)-SUM($M501:AZ501),(('PTRM input'!$M$144+'PTRM input'!$M$110)*$M$7)/A2taxstdlife))</f>
        <v>0</v>
      </c>
      <c r="BB501" s="107">
        <f>IF(A2taxstdlife="n/a","n/a",IF(BB$3&gt;(A2taxstdlife+$E501),(('PTRM input'!$M$144+'PTRM input'!$M$110)*$M$7)-SUM($M501:BA501),(('PTRM input'!$M$144+'PTRM input'!$M$110)*$M$7)/A2taxstdlife))</f>
        <v>0</v>
      </c>
      <c r="BC501" s="107">
        <f>IF(A2taxstdlife="n/a","n/a",IF(BC$3&gt;(A2taxstdlife+$E501),(('PTRM input'!$M$144+'PTRM input'!$M$110)*$M$7)-SUM($M501:BB501),(('PTRM input'!$M$144+'PTRM input'!$M$110)*$M$7)/A2taxstdlife))</f>
        <v>0</v>
      </c>
      <c r="BD501" s="107">
        <f>IF(A2taxstdlife="n/a","n/a",IF(BD$3&gt;(A2taxstdlife+$E501),(('PTRM input'!$M$144+'PTRM input'!$M$110)*$M$7)-SUM($M501:BC501),(('PTRM input'!$M$144+'PTRM input'!$M$110)*$M$7)/A2taxstdlife))</f>
        <v>0</v>
      </c>
      <c r="BE501" s="107">
        <f>IF(A2taxstdlife="n/a","n/a",IF(BE$3&gt;(A2taxstdlife+$E501),(('PTRM input'!$M$144+'PTRM input'!$M$110)*$M$7)-SUM($M501:BD501),(('PTRM input'!$M$144+'PTRM input'!$M$110)*$M$7)/A2taxstdlife))</f>
        <v>0</v>
      </c>
      <c r="BF501" s="107">
        <f>IF(A2taxstdlife="n/a","n/a",IF(BF$3&gt;(A2taxstdlife+$E501),(('PTRM input'!$M$144+'PTRM input'!$M$110)*$M$7)-SUM($M501:BE501),(('PTRM input'!$M$144+'PTRM input'!$M$110)*$M$7)/A2taxstdlife))</f>
        <v>0</v>
      </c>
      <c r="BG501" s="107">
        <f>IF(A2taxstdlife="n/a","n/a",IF(BG$3&gt;(A2taxstdlife+$E501),(('PTRM input'!$M$144+'PTRM input'!$M$110)*$M$7)-SUM($M501:BF501),(('PTRM input'!$M$144+'PTRM input'!$M$110)*$M$7)/A2taxstdlife))</f>
        <v>0</v>
      </c>
      <c r="BH501" s="107">
        <f>IF(A2taxstdlife="n/a","n/a",IF(BH$3&gt;(A2taxstdlife+$E501),(('PTRM input'!$M$144+'PTRM input'!$M$110)*$M$7)-SUM($M501:BG501),(('PTRM input'!$M$144+'PTRM input'!$M$110)*$M$7)/A2taxstdlife))</f>
        <v>0</v>
      </c>
      <c r="BI501" s="107">
        <f>IF(A2taxstdlife="n/a","n/a",IF(BI$3&gt;(A2taxstdlife+$E501),(('PTRM input'!$M$144+'PTRM input'!$M$110)*$M$7)-SUM($M501:BH501),(('PTRM input'!$M$144+'PTRM input'!$M$110)*$M$7)/A2taxstdlife))</f>
        <v>0</v>
      </c>
      <c r="BJ501" s="18"/>
      <c r="BK501" s="18"/>
      <c r="BL501" s="18"/>
      <c r="BM501" s="18"/>
    </row>
    <row r="502" spans="1:65" s="4" customFormat="1" hidden="1" outlineLevel="2">
      <c r="A502" s="18"/>
      <c r="B502" s="18"/>
      <c r="C502" s="33"/>
      <c r="D502" s="1618"/>
      <c r="E502" s="169">
        <v>8</v>
      </c>
      <c r="F502" s="35"/>
      <c r="G502" s="184"/>
      <c r="H502" s="186"/>
      <c r="I502" s="186"/>
      <c r="J502" s="186"/>
      <c r="K502" s="186"/>
      <c r="L502" s="186"/>
      <c r="M502" s="186"/>
      <c r="N502" s="185"/>
      <c r="O502" s="107">
        <f>IF(A2taxstdlife="n/a","n/a",IF(O$3&gt;(A2taxstdlife+$E502),(('PTRM input'!$N$144+'PTRM input'!$N$110)*$N$7)-SUM($N502:N502),(('PTRM input'!$N$144+'PTRM input'!$N$110)*$N$7)/A2taxstdlife))</f>
        <v>0</v>
      </c>
      <c r="P502" s="107">
        <f>IF(A2taxstdlife="n/a","n/a",IF(P$3&gt;(A2taxstdlife+$E502),(('PTRM input'!$N$144+'PTRM input'!$N$110)*$N$7)-SUM($N502:O502),(('PTRM input'!$N$144+'PTRM input'!$N$110)*$N$7)/A2taxstdlife))</f>
        <v>0</v>
      </c>
      <c r="Q502" s="107">
        <f>IF(A2taxstdlife="n/a","n/a",IF(Q$3&gt;(A2taxstdlife+$E502),(('PTRM input'!$N$144+'PTRM input'!$N$110)*$N$7)-SUM($N502:P502),(('PTRM input'!$N$144+'PTRM input'!$N$110)*$N$7)/A2taxstdlife))</f>
        <v>0</v>
      </c>
      <c r="R502" s="107">
        <f>IF(A2taxstdlife="n/a","n/a",IF(R$3&gt;(A2taxstdlife+$E502),(('PTRM input'!$N$144+'PTRM input'!$N$110)*$N$7)-SUM($N502:Q502),(('PTRM input'!$N$144+'PTRM input'!$N$110)*$N$7)/A2taxstdlife))</f>
        <v>0</v>
      </c>
      <c r="S502" s="107">
        <f>IF(A2taxstdlife="n/a","n/a",IF(S$3&gt;(A2taxstdlife+$E502),(('PTRM input'!$N$144+'PTRM input'!$N$110)*$N$7)-SUM($N502:R502),(('PTRM input'!$N$144+'PTRM input'!$N$110)*$N$7)/A2taxstdlife))</f>
        <v>0</v>
      </c>
      <c r="T502" s="107">
        <f>IF(A2taxstdlife="n/a","n/a",IF(T$3&gt;(A2taxstdlife+$E502),(('PTRM input'!$N$144+'PTRM input'!$N$110)*$N$7)-SUM($N502:S502),(('PTRM input'!$N$144+'PTRM input'!$N$110)*$N$7)/A2taxstdlife))</f>
        <v>0</v>
      </c>
      <c r="U502" s="107">
        <f>IF(A2taxstdlife="n/a","n/a",IF(U$3&gt;(A2taxstdlife+$E502),(('PTRM input'!$N$144+'PTRM input'!$N$110)*$N$7)-SUM($N502:T502),(('PTRM input'!$N$144+'PTRM input'!$N$110)*$N$7)/A2taxstdlife))</f>
        <v>0</v>
      </c>
      <c r="V502" s="107">
        <f>IF(A2taxstdlife="n/a","n/a",IF(V$3&gt;(A2taxstdlife+$E502),(('PTRM input'!$N$144+'PTRM input'!$N$110)*$N$7)-SUM($N502:U502),(('PTRM input'!$N$144+'PTRM input'!$N$110)*$N$7)/A2taxstdlife))</f>
        <v>0</v>
      </c>
      <c r="W502" s="107">
        <f>IF(A2taxstdlife="n/a","n/a",IF(W$3&gt;(A2taxstdlife+$E502),(('PTRM input'!$N$144+'PTRM input'!$N$110)*$N$7)-SUM($N502:V502),(('PTRM input'!$N$144+'PTRM input'!$N$110)*$N$7)/A2taxstdlife))</f>
        <v>0</v>
      </c>
      <c r="X502" s="107">
        <f>IF(A2taxstdlife="n/a","n/a",IF(X$3&gt;(A2taxstdlife+$E502),(('PTRM input'!$N$144+'PTRM input'!$N$110)*$N$7)-SUM($N502:W502),(('PTRM input'!$N$144+'PTRM input'!$N$110)*$N$7)/A2taxstdlife))</f>
        <v>0</v>
      </c>
      <c r="Y502" s="107">
        <f>IF(A2taxstdlife="n/a","n/a",IF(Y$3&gt;(A2taxstdlife+$E502),(('PTRM input'!$N$144+'PTRM input'!$N$110)*$N$7)-SUM($N502:X502),(('PTRM input'!$N$144+'PTRM input'!$N$110)*$N$7)/A2taxstdlife))</f>
        <v>0</v>
      </c>
      <c r="Z502" s="107">
        <f>IF(A2taxstdlife="n/a","n/a",IF(Z$3&gt;(A2taxstdlife+$E502),(('PTRM input'!$N$144+'PTRM input'!$N$110)*$N$7)-SUM($N502:Y502),(('PTRM input'!$N$144+'PTRM input'!$N$110)*$N$7)/A2taxstdlife))</f>
        <v>0</v>
      </c>
      <c r="AA502" s="107">
        <f>IF(A2taxstdlife="n/a","n/a",IF(AA$3&gt;(A2taxstdlife+$E502),(('PTRM input'!$N$144+'PTRM input'!$N$110)*$N$7)-SUM($N502:Z502),(('PTRM input'!$N$144+'PTRM input'!$N$110)*$N$7)/A2taxstdlife))</f>
        <v>0</v>
      </c>
      <c r="AB502" s="107">
        <f>IF(A2taxstdlife="n/a","n/a",IF(AB$3&gt;(A2taxstdlife+$E502),(('PTRM input'!$N$144+'PTRM input'!$N$110)*$N$7)-SUM($N502:AA502),(('PTRM input'!$N$144+'PTRM input'!$N$110)*$N$7)/A2taxstdlife))</f>
        <v>0</v>
      </c>
      <c r="AC502" s="107">
        <f>IF(A2taxstdlife="n/a","n/a",IF(AC$3&gt;(A2taxstdlife+$E502),(('PTRM input'!$N$144+'PTRM input'!$N$110)*$N$7)-SUM($N502:AB502),(('PTRM input'!$N$144+'PTRM input'!$N$110)*$N$7)/A2taxstdlife))</f>
        <v>0</v>
      </c>
      <c r="AD502" s="107">
        <f>IF(A2taxstdlife="n/a","n/a",IF(AD$3&gt;(A2taxstdlife+$E502),(('PTRM input'!$N$144+'PTRM input'!$N$110)*$N$7)-SUM($N502:AC502),(('PTRM input'!$N$144+'PTRM input'!$N$110)*$N$7)/A2taxstdlife))</f>
        <v>0</v>
      </c>
      <c r="AE502" s="107">
        <f>IF(A2taxstdlife="n/a","n/a",IF(AE$3&gt;(A2taxstdlife+$E502),(('PTRM input'!$N$144+'PTRM input'!$N$110)*$N$7)-SUM($N502:AD502),(('PTRM input'!$N$144+'PTRM input'!$N$110)*$N$7)/A2taxstdlife))</f>
        <v>0</v>
      </c>
      <c r="AF502" s="107">
        <f>IF(A2taxstdlife="n/a","n/a",IF(AF$3&gt;(A2taxstdlife+$E502),(('PTRM input'!$N$144+'PTRM input'!$N$110)*$N$7)-SUM($N502:AE502),(('PTRM input'!$N$144+'PTRM input'!$N$110)*$N$7)/A2taxstdlife))</f>
        <v>0</v>
      </c>
      <c r="AG502" s="107">
        <f>IF(A2taxstdlife="n/a","n/a",IF(AG$3&gt;(A2taxstdlife+$E502),(('PTRM input'!$N$144+'PTRM input'!$N$110)*$N$7)-SUM($N502:AF502),(('PTRM input'!$N$144+'PTRM input'!$N$110)*$N$7)/A2taxstdlife))</f>
        <v>0</v>
      </c>
      <c r="AH502" s="107">
        <f>IF(A2taxstdlife="n/a","n/a",IF(AH$3&gt;(A2taxstdlife+$E502),(('PTRM input'!$N$144+'PTRM input'!$N$110)*$N$7)-SUM($N502:AG502),(('PTRM input'!$N$144+'PTRM input'!$N$110)*$N$7)/A2taxstdlife))</f>
        <v>0</v>
      </c>
      <c r="AI502" s="107">
        <f>IF(A2taxstdlife="n/a","n/a",IF(AI$3&gt;(A2taxstdlife+$E502),(('PTRM input'!$N$144+'PTRM input'!$N$110)*$N$7)-SUM($N502:AH502),(('PTRM input'!$N$144+'PTRM input'!$N$110)*$N$7)/A2taxstdlife))</f>
        <v>0</v>
      </c>
      <c r="AJ502" s="107">
        <f>IF(A2taxstdlife="n/a","n/a",IF(AJ$3&gt;(A2taxstdlife+$E502),(('PTRM input'!$N$144+'PTRM input'!$N$110)*$N$7)-SUM($N502:AI502),(('PTRM input'!$N$144+'PTRM input'!$N$110)*$N$7)/A2taxstdlife))</f>
        <v>0</v>
      </c>
      <c r="AK502" s="107">
        <f>IF(A2taxstdlife="n/a","n/a",IF(AK$3&gt;(A2taxstdlife+$E502),(('PTRM input'!$N$144+'PTRM input'!$N$110)*$N$7)-SUM($N502:AJ502),(('PTRM input'!$N$144+'PTRM input'!$N$110)*$N$7)/A2taxstdlife))</f>
        <v>0</v>
      </c>
      <c r="AL502" s="107">
        <f>IF(A2taxstdlife="n/a","n/a",IF(AL$3&gt;(A2taxstdlife+$E502),(('PTRM input'!$N$144+'PTRM input'!$N$110)*$N$7)-SUM($N502:AK502),(('PTRM input'!$N$144+'PTRM input'!$N$110)*$N$7)/A2taxstdlife))</f>
        <v>0</v>
      </c>
      <c r="AM502" s="107">
        <f>IF(A2taxstdlife="n/a","n/a",IF(AM$3&gt;(A2taxstdlife+$E502),(('PTRM input'!$N$144+'PTRM input'!$N$110)*$N$7)-SUM($N502:AL502),(('PTRM input'!$N$144+'PTRM input'!$N$110)*$N$7)/A2taxstdlife))</f>
        <v>0</v>
      </c>
      <c r="AN502" s="107">
        <f>IF(A2taxstdlife="n/a","n/a",IF(AN$3&gt;(A2taxstdlife+$E502),(('PTRM input'!$N$144+'PTRM input'!$N$110)*$N$7)-SUM($N502:AM502),(('PTRM input'!$N$144+'PTRM input'!$N$110)*$N$7)/A2taxstdlife))</f>
        <v>0</v>
      </c>
      <c r="AO502" s="107">
        <f>IF(A2taxstdlife="n/a","n/a",IF(AO$3&gt;(A2taxstdlife+$E502),(('PTRM input'!$N$144+'PTRM input'!$N$110)*$N$7)-SUM($N502:AN502),(('PTRM input'!$N$144+'PTRM input'!$N$110)*$N$7)/A2taxstdlife))</f>
        <v>0</v>
      </c>
      <c r="AP502" s="107">
        <f>IF(A2taxstdlife="n/a","n/a",IF(AP$3&gt;(A2taxstdlife+$E502),(('PTRM input'!$N$144+'PTRM input'!$N$110)*$N$7)-SUM($N502:AO502),(('PTRM input'!$N$144+'PTRM input'!$N$110)*$N$7)/A2taxstdlife))</f>
        <v>0</v>
      </c>
      <c r="AQ502" s="107">
        <f>IF(A2taxstdlife="n/a","n/a",IF(AQ$3&gt;(A2taxstdlife+$E502),(('PTRM input'!$N$144+'PTRM input'!$N$110)*$N$7)-SUM($N502:AP502),(('PTRM input'!$N$144+'PTRM input'!$N$110)*$N$7)/A2taxstdlife))</f>
        <v>0</v>
      </c>
      <c r="AR502" s="107">
        <f>IF(A2taxstdlife="n/a","n/a",IF(AR$3&gt;(A2taxstdlife+$E502),(('PTRM input'!$N$144+'PTRM input'!$N$110)*$N$7)-SUM($N502:AQ502),(('PTRM input'!$N$144+'PTRM input'!$N$110)*$N$7)/A2taxstdlife))</f>
        <v>0</v>
      </c>
      <c r="AS502" s="107">
        <f>IF(A2taxstdlife="n/a","n/a",IF(AS$3&gt;(A2taxstdlife+$E502),(('PTRM input'!$N$144+'PTRM input'!$N$110)*$N$7)-SUM($N502:AR502),(('PTRM input'!$N$144+'PTRM input'!$N$110)*$N$7)/A2taxstdlife))</f>
        <v>0</v>
      </c>
      <c r="AT502" s="107">
        <f>IF(A2taxstdlife="n/a","n/a",IF(AT$3&gt;(A2taxstdlife+$E502),(('PTRM input'!$N$144+'PTRM input'!$N$110)*$N$7)-SUM($N502:AS502),(('PTRM input'!$N$144+'PTRM input'!$N$110)*$N$7)/A2taxstdlife))</f>
        <v>0</v>
      </c>
      <c r="AU502" s="107">
        <f>IF(A2taxstdlife="n/a","n/a",IF(AU$3&gt;(A2taxstdlife+$E502),(('PTRM input'!$N$144+'PTRM input'!$N$110)*$N$7)-SUM($N502:AT502),(('PTRM input'!$N$144+'PTRM input'!$N$110)*$N$7)/A2taxstdlife))</f>
        <v>0</v>
      </c>
      <c r="AV502" s="107">
        <f>IF(A2taxstdlife="n/a","n/a",IF(AV$3&gt;(A2taxstdlife+$E502),(('PTRM input'!$N$144+'PTRM input'!$N$110)*$N$7)-SUM($N502:AU502),(('PTRM input'!$N$144+'PTRM input'!$N$110)*$N$7)/A2taxstdlife))</f>
        <v>0</v>
      </c>
      <c r="AW502" s="107">
        <f>IF(A2taxstdlife="n/a","n/a",IF(AW$3&gt;(A2taxstdlife+$E502),(('PTRM input'!$N$144+'PTRM input'!$N$110)*$N$7)-SUM($N502:AV502),(('PTRM input'!$N$144+'PTRM input'!$N$110)*$N$7)/A2taxstdlife))</f>
        <v>0</v>
      </c>
      <c r="AX502" s="107">
        <f>IF(A2taxstdlife="n/a","n/a",IF(AX$3&gt;(A2taxstdlife+$E502),(('PTRM input'!$N$144+'PTRM input'!$N$110)*$N$7)-SUM($N502:AW502),(('PTRM input'!$N$144+'PTRM input'!$N$110)*$N$7)/A2taxstdlife))</f>
        <v>0</v>
      </c>
      <c r="AY502" s="107">
        <f>IF(A2taxstdlife="n/a","n/a",IF(AY$3&gt;(A2taxstdlife+$E502),(('PTRM input'!$N$144+'PTRM input'!$N$110)*$N$7)-SUM($N502:AX502),(('PTRM input'!$N$144+'PTRM input'!$N$110)*$N$7)/A2taxstdlife))</f>
        <v>0</v>
      </c>
      <c r="AZ502" s="107">
        <f>IF(A2taxstdlife="n/a","n/a",IF(AZ$3&gt;(A2taxstdlife+$E502),(('PTRM input'!$N$144+'PTRM input'!$N$110)*$N$7)-SUM($N502:AY502),(('PTRM input'!$N$144+'PTRM input'!$N$110)*$N$7)/A2taxstdlife))</f>
        <v>0</v>
      </c>
      <c r="BA502" s="107">
        <f>IF(A2taxstdlife="n/a","n/a",IF(BA$3&gt;(A2taxstdlife+$E502),(('PTRM input'!$N$144+'PTRM input'!$N$110)*$N$7)-SUM($N502:AZ502),(('PTRM input'!$N$144+'PTRM input'!$N$110)*$N$7)/A2taxstdlife))</f>
        <v>0</v>
      </c>
      <c r="BB502" s="107">
        <f>IF(A2taxstdlife="n/a","n/a",IF(BB$3&gt;(A2taxstdlife+$E502),(('PTRM input'!$N$144+'PTRM input'!$N$110)*$N$7)-SUM($N502:BA502),(('PTRM input'!$N$144+'PTRM input'!$N$110)*$N$7)/A2taxstdlife))</f>
        <v>0</v>
      </c>
      <c r="BC502" s="107">
        <f>IF(A2taxstdlife="n/a","n/a",IF(BC$3&gt;(A2taxstdlife+$E502),(('PTRM input'!$N$144+'PTRM input'!$N$110)*$N$7)-SUM($N502:BB502),(('PTRM input'!$N$144+'PTRM input'!$N$110)*$N$7)/A2taxstdlife))</f>
        <v>0</v>
      </c>
      <c r="BD502" s="107">
        <f>IF(A2taxstdlife="n/a","n/a",IF(BD$3&gt;(A2taxstdlife+$E502),(('PTRM input'!$N$144+'PTRM input'!$N$110)*$N$7)-SUM($N502:BC502),(('PTRM input'!$N$144+'PTRM input'!$N$110)*$N$7)/A2taxstdlife))</f>
        <v>0</v>
      </c>
      <c r="BE502" s="107">
        <f>IF(A2taxstdlife="n/a","n/a",IF(BE$3&gt;(A2taxstdlife+$E502),(('PTRM input'!$N$144+'PTRM input'!$N$110)*$N$7)-SUM($N502:BD502),(('PTRM input'!$N$144+'PTRM input'!$N$110)*$N$7)/A2taxstdlife))</f>
        <v>0</v>
      </c>
      <c r="BF502" s="107">
        <f>IF(A2taxstdlife="n/a","n/a",IF(BF$3&gt;(A2taxstdlife+$E502),(('PTRM input'!$N$144+'PTRM input'!$N$110)*$N$7)-SUM($N502:BE502),(('PTRM input'!$N$144+'PTRM input'!$N$110)*$N$7)/A2taxstdlife))</f>
        <v>0</v>
      </c>
      <c r="BG502" s="107">
        <f>IF(A2taxstdlife="n/a","n/a",IF(BG$3&gt;(A2taxstdlife+$E502),(('PTRM input'!$N$144+'PTRM input'!$N$110)*$N$7)-SUM($N502:BF502),(('PTRM input'!$N$144+'PTRM input'!$N$110)*$N$7)/A2taxstdlife))</f>
        <v>0</v>
      </c>
      <c r="BH502" s="107">
        <f>IF(A2taxstdlife="n/a","n/a",IF(BH$3&gt;(A2taxstdlife+$E502),(('PTRM input'!$N$144+'PTRM input'!$N$110)*$N$7)-SUM($N502:BG502),(('PTRM input'!$N$144+'PTRM input'!$N$110)*$N$7)/A2taxstdlife))</f>
        <v>0</v>
      </c>
      <c r="BI502" s="107">
        <f>IF(A2taxstdlife="n/a","n/a",IF(BI$3&gt;(A2taxstdlife+$E502),(('PTRM input'!$N$144+'PTRM input'!$N$110)*$N$7)-SUM($N502:BH502),(('PTRM input'!$N$144+'PTRM input'!$N$110)*$N$7)/A2taxstdlife))</f>
        <v>0</v>
      </c>
      <c r="BJ502" s="18"/>
      <c r="BK502" s="18"/>
      <c r="BL502" s="18"/>
      <c r="BM502" s="18"/>
    </row>
    <row r="503" spans="1:65" s="4" customFormat="1" hidden="1" outlineLevel="2">
      <c r="A503" s="18"/>
      <c r="B503" s="18"/>
      <c r="C503" s="33"/>
      <c r="D503" s="1618"/>
      <c r="E503" s="169">
        <v>9</v>
      </c>
      <c r="F503" s="35"/>
      <c r="G503" s="184"/>
      <c r="H503" s="186"/>
      <c r="I503" s="186"/>
      <c r="J503" s="186"/>
      <c r="K503" s="186"/>
      <c r="L503" s="186"/>
      <c r="M503" s="186"/>
      <c r="N503" s="186"/>
      <c r="O503" s="185"/>
      <c r="P503" s="107">
        <f>IF(A2taxstdlife="n/a","n/a",IF(P$3&gt;(A2taxstdlife+$E503),(('PTRM input'!$O$144+'PTRM input'!$O$110)*$O$7)-SUM($O503:O503),(('PTRM input'!$O$144+'PTRM input'!$O$110)*$O$7)/A2taxstdlife))</f>
        <v>0</v>
      </c>
      <c r="Q503" s="107">
        <f>IF(A2taxstdlife="n/a","n/a",IF(Q$3&gt;(A2taxstdlife+$E503),(('PTRM input'!$O$144+'PTRM input'!$O$110)*$O$7)-SUM($O503:P503),(('PTRM input'!$O$144+'PTRM input'!$O$110)*$O$7)/A2taxstdlife))</f>
        <v>0</v>
      </c>
      <c r="R503" s="107">
        <f>IF(A2taxstdlife="n/a","n/a",IF(R$3&gt;(A2taxstdlife+$E503),(('PTRM input'!$O$144+'PTRM input'!$O$110)*$O$7)-SUM($O503:Q503),(('PTRM input'!$O$144+'PTRM input'!$O$110)*$O$7)/A2taxstdlife))</f>
        <v>0</v>
      </c>
      <c r="S503" s="107">
        <f>IF(A2taxstdlife="n/a","n/a",IF(S$3&gt;(A2taxstdlife+$E503),(('PTRM input'!$O$144+'PTRM input'!$O$110)*$O$7)-SUM($O503:R503),(('PTRM input'!$O$144+'PTRM input'!$O$110)*$O$7)/A2taxstdlife))</f>
        <v>0</v>
      </c>
      <c r="T503" s="107">
        <f>IF(A2taxstdlife="n/a","n/a",IF(T$3&gt;(A2taxstdlife+$E503),(('PTRM input'!$O$144+'PTRM input'!$O$110)*$O$7)-SUM($O503:S503),(('PTRM input'!$O$144+'PTRM input'!$O$110)*$O$7)/A2taxstdlife))</f>
        <v>0</v>
      </c>
      <c r="U503" s="107">
        <f>IF(A2taxstdlife="n/a","n/a",IF(U$3&gt;(A2taxstdlife+$E503),(('PTRM input'!$O$144+'PTRM input'!$O$110)*$O$7)-SUM($O503:T503),(('PTRM input'!$O$144+'PTRM input'!$O$110)*$O$7)/A2taxstdlife))</f>
        <v>0</v>
      </c>
      <c r="V503" s="107">
        <f>IF(A2taxstdlife="n/a","n/a",IF(V$3&gt;(A2taxstdlife+$E503),(('PTRM input'!$O$144+'PTRM input'!$O$110)*$O$7)-SUM($O503:U503),(('PTRM input'!$O$144+'PTRM input'!$O$110)*$O$7)/A2taxstdlife))</f>
        <v>0</v>
      </c>
      <c r="W503" s="107">
        <f>IF(A2taxstdlife="n/a","n/a",IF(W$3&gt;(A2taxstdlife+$E503),(('PTRM input'!$O$144+'PTRM input'!$O$110)*$O$7)-SUM($O503:V503),(('PTRM input'!$O$144+'PTRM input'!$O$110)*$O$7)/A2taxstdlife))</f>
        <v>0</v>
      </c>
      <c r="X503" s="107">
        <f>IF(A2taxstdlife="n/a","n/a",IF(X$3&gt;(A2taxstdlife+$E503),(('PTRM input'!$O$144+'PTRM input'!$O$110)*$O$7)-SUM($O503:W503),(('PTRM input'!$O$144+'PTRM input'!$O$110)*$O$7)/A2taxstdlife))</f>
        <v>0</v>
      </c>
      <c r="Y503" s="107">
        <f>IF(A2taxstdlife="n/a","n/a",IF(Y$3&gt;(A2taxstdlife+$E503),(('PTRM input'!$O$144+'PTRM input'!$O$110)*$O$7)-SUM($O503:X503),(('PTRM input'!$O$144+'PTRM input'!$O$110)*$O$7)/A2taxstdlife))</f>
        <v>0</v>
      </c>
      <c r="Z503" s="107">
        <f>IF(A2taxstdlife="n/a","n/a",IF(Z$3&gt;(A2taxstdlife+$E503),(('PTRM input'!$O$144+'PTRM input'!$O$110)*$O$7)-SUM($O503:Y503),(('PTRM input'!$O$144+'PTRM input'!$O$110)*$O$7)/A2taxstdlife))</f>
        <v>0</v>
      </c>
      <c r="AA503" s="107">
        <f>IF(A2taxstdlife="n/a","n/a",IF(AA$3&gt;(A2taxstdlife+$E503),(('PTRM input'!$O$144+'PTRM input'!$O$110)*$O$7)-SUM($O503:Z503),(('PTRM input'!$O$144+'PTRM input'!$O$110)*$O$7)/A2taxstdlife))</f>
        <v>0</v>
      </c>
      <c r="AB503" s="107">
        <f>IF(A2taxstdlife="n/a","n/a",IF(AB$3&gt;(A2taxstdlife+$E503),(('PTRM input'!$O$144+'PTRM input'!$O$110)*$O$7)-SUM($O503:AA503),(('PTRM input'!$O$144+'PTRM input'!$O$110)*$O$7)/A2taxstdlife))</f>
        <v>0</v>
      </c>
      <c r="AC503" s="107">
        <f>IF(A2taxstdlife="n/a","n/a",IF(AC$3&gt;(A2taxstdlife+$E503),(('PTRM input'!$O$144+'PTRM input'!$O$110)*$O$7)-SUM($O503:AB503),(('PTRM input'!$O$144+'PTRM input'!$O$110)*$O$7)/A2taxstdlife))</f>
        <v>0</v>
      </c>
      <c r="AD503" s="107">
        <f>IF(A2taxstdlife="n/a","n/a",IF(AD$3&gt;(A2taxstdlife+$E503),(('PTRM input'!$O$144+'PTRM input'!$O$110)*$O$7)-SUM($O503:AC503),(('PTRM input'!$O$144+'PTRM input'!$O$110)*$O$7)/A2taxstdlife))</f>
        <v>0</v>
      </c>
      <c r="AE503" s="107">
        <f>IF(A2taxstdlife="n/a","n/a",IF(AE$3&gt;(A2taxstdlife+$E503),(('PTRM input'!$O$144+'PTRM input'!$O$110)*$O$7)-SUM($O503:AD503),(('PTRM input'!$O$144+'PTRM input'!$O$110)*$O$7)/A2taxstdlife))</f>
        <v>0</v>
      </c>
      <c r="AF503" s="107">
        <f>IF(A2taxstdlife="n/a","n/a",IF(AF$3&gt;(A2taxstdlife+$E503),(('PTRM input'!$O$144+'PTRM input'!$O$110)*$O$7)-SUM($O503:AE503),(('PTRM input'!$O$144+'PTRM input'!$O$110)*$O$7)/A2taxstdlife))</f>
        <v>0</v>
      </c>
      <c r="AG503" s="107">
        <f>IF(A2taxstdlife="n/a","n/a",IF(AG$3&gt;(A2taxstdlife+$E503),(('PTRM input'!$O$144+'PTRM input'!$O$110)*$O$7)-SUM($O503:AF503),(('PTRM input'!$O$144+'PTRM input'!$O$110)*$O$7)/A2taxstdlife))</f>
        <v>0</v>
      </c>
      <c r="AH503" s="107">
        <f>IF(A2taxstdlife="n/a","n/a",IF(AH$3&gt;(A2taxstdlife+$E503),(('PTRM input'!$O$144+'PTRM input'!$O$110)*$O$7)-SUM($O503:AG503),(('PTRM input'!$O$144+'PTRM input'!$O$110)*$O$7)/A2taxstdlife))</f>
        <v>0</v>
      </c>
      <c r="AI503" s="107">
        <f>IF(A2taxstdlife="n/a","n/a",IF(AI$3&gt;(A2taxstdlife+$E503),(('PTRM input'!$O$144+'PTRM input'!$O$110)*$O$7)-SUM($O503:AH503),(('PTRM input'!$O$144+'PTRM input'!$O$110)*$O$7)/A2taxstdlife))</f>
        <v>0</v>
      </c>
      <c r="AJ503" s="107">
        <f>IF(A2taxstdlife="n/a","n/a",IF(AJ$3&gt;(A2taxstdlife+$E503),(('PTRM input'!$O$144+'PTRM input'!$O$110)*$O$7)-SUM($O503:AI503),(('PTRM input'!$O$144+'PTRM input'!$O$110)*$O$7)/A2taxstdlife))</f>
        <v>0</v>
      </c>
      <c r="AK503" s="107">
        <f>IF(A2taxstdlife="n/a","n/a",IF(AK$3&gt;(A2taxstdlife+$E503),(('PTRM input'!$O$144+'PTRM input'!$O$110)*$O$7)-SUM($O503:AJ503),(('PTRM input'!$O$144+'PTRM input'!$O$110)*$O$7)/A2taxstdlife))</f>
        <v>0</v>
      </c>
      <c r="AL503" s="107">
        <f>IF(A2taxstdlife="n/a","n/a",IF(AL$3&gt;(A2taxstdlife+$E503),(('PTRM input'!$O$144+'PTRM input'!$O$110)*$O$7)-SUM($O503:AK503),(('PTRM input'!$O$144+'PTRM input'!$O$110)*$O$7)/A2taxstdlife))</f>
        <v>0</v>
      </c>
      <c r="AM503" s="107">
        <f>IF(A2taxstdlife="n/a","n/a",IF(AM$3&gt;(A2taxstdlife+$E503),(('PTRM input'!$O$144+'PTRM input'!$O$110)*$O$7)-SUM($O503:AL503),(('PTRM input'!$O$144+'PTRM input'!$O$110)*$O$7)/A2taxstdlife))</f>
        <v>0</v>
      </c>
      <c r="AN503" s="107">
        <f>IF(A2taxstdlife="n/a","n/a",IF(AN$3&gt;(A2taxstdlife+$E503),(('PTRM input'!$O$144+'PTRM input'!$O$110)*$O$7)-SUM($O503:AM503),(('PTRM input'!$O$144+'PTRM input'!$O$110)*$O$7)/A2taxstdlife))</f>
        <v>0</v>
      </c>
      <c r="AO503" s="107">
        <f>IF(A2taxstdlife="n/a","n/a",IF(AO$3&gt;(A2taxstdlife+$E503),(('PTRM input'!$O$144+'PTRM input'!$O$110)*$O$7)-SUM($O503:AN503),(('PTRM input'!$O$144+'PTRM input'!$O$110)*$O$7)/A2taxstdlife))</f>
        <v>0</v>
      </c>
      <c r="AP503" s="107">
        <f>IF(A2taxstdlife="n/a","n/a",IF(AP$3&gt;(A2taxstdlife+$E503),(('PTRM input'!$O$144+'PTRM input'!$O$110)*$O$7)-SUM($O503:AO503),(('PTRM input'!$O$144+'PTRM input'!$O$110)*$O$7)/A2taxstdlife))</f>
        <v>0</v>
      </c>
      <c r="AQ503" s="107">
        <f>IF(A2taxstdlife="n/a","n/a",IF(AQ$3&gt;(A2taxstdlife+$E503),(('PTRM input'!$O$144+'PTRM input'!$O$110)*$O$7)-SUM($O503:AP503),(('PTRM input'!$O$144+'PTRM input'!$O$110)*$O$7)/A2taxstdlife))</f>
        <v>0</v>
      </c>
      <c r="AR503" s="107">
        <f>IF(A2taxstdlife="n/a","n/a",IF(AR$3&gt;(A2taxstdlife+$E503),(('PTRM input'!$O$144+'PTRM input'!$O$110)*$O$7)-SUM($O503:AQ503),(('PTRM input'!$O$144+'PTRM input'!$O$110)*$O$7)/A2taxstdlife))</f>
        <v>0</v>
      </c>
      <c r="AS503" s="107">
        <f>IF(A2taxstdlife="n/a","n/a",IF(AS$3&gt;(A2taxstdlife+$E503),(('PTRM input'!$O$144+'PTRM input'!$O$110)*$O$7)-SUM($O503:AR503),(('PTRM input'!$O$144+'PTRM input'!$O$110)*$O$7)/A2taxstdlife))</f>
        <v>0</v>
      </c>
      <c r="AT503" s="107">
        <f>IF(A2taxstdlife="n/a","n/a",IF(AT$3&gt;(A2taxstdlife+$E503),(('PTRM input'!$O$144+'PTRM input'!$O$110)*$O$7)-SUM($O503:AS503),(('PTRM input'!$O$144+'PTRM input'!$O$110)*$O$7)/A2taxstdlife))</f>
        <v>0</v>
      </c>
      <c r="AU503" s="107">
        <f>IF(A2taxstdlife="n/a","n/a",IF(AU$3&gt;(A2taxstdlife+$E503),(('PTRM input'!$O$144+'PTRM input'!$O$110)*$O$7)-SUM($O503:AT503),(('PTRM input'!$O$144+'PTRM input'!$O$110)*$O$7)/A2taxstdlife))</f>
        <v>0</v>
      </c>
      <c r="AV503" s="107">
        <f>IF(A2taxstdlife="n/a","n/a",IF(AV$3&gt;(A2taxstdlife+$E503),(('PTRM input'!$O$144+'PTRM input'!$O$110)*$O$7)-SUM($O503:AU503),(('PTRM input'!$O$144+'PTRM input'!$O$110)*$O$7)/A2taxstdlife))</f>
        <v>0</v>
      </c>
      <c r="AW503" s="107">
        <f>IF(A2taxstdlife="n/a","n/a",IF(AW$3&gt;(A2taxstdlife+$E503),(('PTRM input'!$O$144+'PTRM input'!$O$110)*$O$7)-SUM($O503:AV503),(('PTRM input'!$O$144+'PTRM input'!$O$110)*$O$7)/A2taxstdlife))</f>
        <v>0</v>
      </c>
      <c r="AX503" s="107">
        <f>IF(A2taxstdlife="n/a","n/a",IF(AX$3&gt;(A2taxstdlife+$E503),(('PTRM input'!$O$144+'PTRM input'!$O$110)*$O$7)-SUM($O503:AW503),(('PTRM input'!$O$144+'PTRM input'!$O$110)*$O$7)/A2taxstdlife))</f>
        <v>0</v>
      </c>
      <c r="AY503" s="107">
        <f>IF(A2taxstdlife="n/a","n/a",IF(AY$3&gt;(A2taxstdlife+$E503),(('PTRM input'!$O$144+'PTRM input'!$O$110)*$O$7)-SUM($O503:AX503),(('PTRM input'!$O$144+'PTRM input'!$O$110)*$O$7)/A2taxstdlife))</f>
        <v>0</v>
      </c>
      <c r="AZ503" s="107">
        <f>IF(A2taxstdlife="n/a","n/a",IF(AZ$3&gt;(A2taxstdlife+$E503),(('PTRM input'!$O$144+'PTRM input'!$O$110)*$O$7)-SUM($O503:AY503),(('PTRM input'!$O$144+'PTRM input'!$O$110)*$O$7)/A2taxstdlife))</f>
        <v>0</v>
      </c>
      <c r="BA503" s="107">
        <f>IF(A2taxstdlife="n/a","n/a",IF(BA$3&gt;(A2taxstdlife+$E503),(('PTRM input'!$O$144+'PTRM input'!$O$110)*$O$7)-SUM($O503:AZ503),(('PTRM input'!$O$144+'PTRM input'!$O$110)*$O$7)/A2taxstdlife))</f>
        <v>0</v>
      </c>
      <c r="BB503" s="107">
        <f>IF(A2taxstdlife="n/a","n/a",IF(BB$3&gt;(A2taxstdlife+$E503),(('PTRM input'!$O$144+'PTRM input'!$O$110)*$O$7)-SUM($O503:BA503),(('PTRM input'!$O$144+'PTRM input'!$O$110)*$O$7)/A2taxstdlife))</f>
        <v>0</v>
      </c>
      <c r="BC503" s="107">
        <f>IF(A2taxstdlife="n/a","n/a",IF(BC$3&gt;(A2taxstdlife+$E503),(('PTRM input'!$O$144+'PTRM input'!$O$110)*$O$7)-SUM($O503:BB503),(('PTRM input'!$O$144+'PTRM input'!$O$110)*$O$7)/A2taxstdlife))</f>
        <v>0</v>
      </c>
      <c r="BD503" s="107">
        <f>IF(A2taxstdlife="n/a","n/a",IF(BD$3&gt;(A2taxstdlife+$E503),(('PTRM input'!$O$144+'PTRM input'!$O$110)*$O$7)-SUM($O503:BC503),(('PTRM input'!$O$144+'PTRM input'!$O$110)*$O$7)/A2taxstdlife))</f>
        <v>0</v>
      </c>
      <c r="BE503" s="107">
        <f>IF(A2taxstdlife="n/a","n/a",IF(BE$3&gt;(A2taxstdlife+$E503),(('PTRM input'!$O$144+'PTRM input'!$O$110)*$O$7)-SUM($O503:BD503),(('PTRM input'!$O$144+'PTRM input'!$O$110)*$O$7)/A2taxstdlife))</f>
        <v>0</v>
      </c>
      <c r="BF503" s="107">
        <f>IF(A2taxstdlife="n/a","n/a",IF(BF$3&gt;(A2taxstdlife+$E503),(('PTRM input'!$O$144+'PTRM input'!$O$110)*$O$7)-SUM($O503:BE503),(('PTRM input'!$O$144+'PTRM input'!$O$110)*$O$7)/A2taxstdlife))</f>
        <v>0</v>
      </c>
      <c r="BG503" s="107">
        <f>IF(A2taxstdlife="n/a","n/a",IF(BG$3&gt;(A2taxstdlife+$E503),(('PTRM input'!$O$144+'PTRM input'!$O$110)*$O$7)-SUM($O503:BF503),(('PTRM input'!$O$144+'PTRM input'!$O$110)*$O$7)/A2taxstdlife))</f>
        <v>0</v>
      </c>
      <c r="BH503" s="107">
        <f>IF(A2taxstdlife="n/a","n/a",IF(BH$3&gt;(A2taxstdlife+$E503),(('PTRM input'!$O$144+'PTRM input'!$O$110)*$O$7)-SUM($O503:BG503),(('PTRM input'!$O$144+'PTRM input'!$O$110)*$O$7)/A2taxstdlife))</f>
        <v>0</v>
      </c>
      <c r="BI503" s="107">
        <f>IF(A2taxstdlife="n/a","n/a",IF(BI$3&gt;(A2taxstdlife+$E503),(('PTRM input'!$O$144+'PTRM input'!$O$110)*$O$7)-SUM($O503:BH503),(('PTRM input'!$O$144+'PTRM input'!$O$110)*$O$7)/A2taxstdlife))</f>
        <v>0</v>
      </c>
      <c r="BJ503" s="18"/>
      <c r="BK503" s="18"/>
      <c r="BL503" s="18"/>
      <c r="BM503" s="18"/>
    </row>
    <row r="504" spans="1:65" s="4" customFormat="1" hidden="1" outlineLevel="2">
      <c r="A504" s="18"/>
      <c r="B504" s="18"/>
      <c r="C504" s="33"/>
      <c r="D504" s="1618"/>
      <c r="E504" s="170">
        <v>10</v>
      </c>
      <c r="F504" s="35"/>
      <c r="G504" s="184"/>
      <c r="H504" s="186"/>
      <c r="I504" s="186"/>
      <c r="J504" s="186"/>
      <c r="K504" s="186"/>
      <c r="L504" s="186"/>
      <c r="M504" s="186"/>
      <c r="N504" s="186"/>
      <c r="O504" s="186"/>
      <c r="P504" s="185"/>
      <c r="Q504" s="107">
        <f>IF(A2taxstdlife="n/a","n/a",IF(Q$3&gt;(A2taxstdlife+$E504),(('PTRM input'!$P$144+'PTRM input'!$P$110)*$P$7)-SUM($P504:P504),(('PTRM input'!$P$144+'PTRM input'!$P$110)*$P$7)/A2taxstdlife))</f>
        <v>0</v>
      </c>
      <c r="R504" s="107">
        <f>IF(A2taxstdlife="n/a","n/a",IF(R$3&gt;(A2taxstdlife+$E504),(('PTRM input'!$P$144+'PTRM input'!$P$110)*$P$7)-SUM($P504:Q504),(('PTRM input'!$P$144+'PTRM input'!$P$110)*$P$7)/A2taxstdlife))</f>
        <v>0</v>
      </c>
      <c r="S504" s="107">
        <f>IF(A2taxstdlife="n/a","n/a",IF(S$3&gt;(A2taxstdlife+$E504),(('PTRM input'!$P$144+'PTRM input'!$P$110)*$P$7)-SUM($P504:R504),(('PTRM input'!$P$144+'PTRM input'!$P$110)*$P$7)/A2taxstdlife))</f>
        <v>0</v>
      </c>
      <c r="T504" s="107">
        <f>IF(A2taxstdlife="n/a","n/a",IF(T$3&gt;(A2taxstdlife+$E504),(('PTRM input'!$P$144+'PTRM input'!$P$110)*$P$7)-SUM($P504:S504),(('PTRM input'!$P$144+'PTRM input'!$P$110)*$P$7)/A2taxstdlife))</f>
        <v>0</v>
      </c>
      <c r="U504" s="107">
        <f>IF(A2taxstdlife="n/a","n/a",IF(U$3&gt;(A2taxstdlife+$E504),(('PTRM input'!$P$144+'PTRM input'!$P$110)*$P$7)-SUM($P504:T504),(('PTRM input'!$P$144+'PTRM input'!$P$110)*$P$7)/A2taxstdlife))</f>
        <v>0</v>
      </c>
      <c r="V504" s="107">
        <f>IF(A2taxstdlife="n/a","n/a",IF(V$3&gt;(A2taxstdlife+$E504),(('PTRM input'!$P$144+'PTRM input'!$P$110)*$P$7)-SUM($P504:U504),(('PTRM input'!$P$144+'PTRM input'!$P$110)*$P$7)/A2taxstdlife))</f>
        <v>0</v>
      </c>
      <c r="W504" s="107">
        <f>IF(A2taxstdlife="n/a","n/a",IF(W$3&gt;(A2taxstdlife+$E504),(('PTRM input'!$P$144+'PTRM input'!$P$110)*$P$7)-SUM($P504:V504),(('PTRM input'!$P$144+'PTRM input'!$P$110)*$P$7)/A2taxstdlife))</f>
        <v>0</v>
      </c>
      <c r="X504" s="107">
        <f>IF(A2taxstdlife="n/a","n/a",IF(X$3&gt;(A2taxstdlife+$E504),(('PTRM input'!$P$144+'PTRM input'!$P$110)*$P$7)-SUM($P504:W504),(('PTRM input'!$P$144+'PTRM input'!$P$110)*$P$7)/A2taxstdlife))</f>
        <v>0</v>
      </c>
      <c r="Y504" s="107">
        <f>IF(A2taxstdlife="n/a","n/a",IF(Y$3&gt;(A2taxstdlife+$E504),(('PTRM input'!$P$144+'PTRM input'!$P$110)*$P$7)-SUM($P504:X504),(('PTRM input'!$P$144+'PTRM input'!$P$110)*$P$7)/A2taxstdlife))</f>
        <v>0</v>
      </c>
      <c r="Z504" s="107">
        <f>IF(A2taxstdlife="n/a","n/a",IF(Z$3&gt;(A2taxstdlife+$E504),(('PTRM input'!$P$144+'PTRM input'!$P$110)*$P$7)-SUM($P504:Y504),(('PTRM input'!$P$144+'PTRM input'!$P$110)*$P$7)/A2taxstdlife))</f>
        <v>0</v>
      </c>
      <c r="AA504" s="107">
        <f>IF(A2taxstdlife="n/a","n/a",IF(AA$3&gt;(A2taxstdlife+$E504),(('PTRM input'!$P$144+'PTRM input'!$P$110)*$P$7)-SUM($P504:Z504),(('PTRM input'!$P$144+'PTRM input'!$P$110)*$P$7)/A2taxstdlife))</f>
        <v>0</v>
      </c>
      <c r="AB504" s="107">
        <f>IF(A2taxstdlife="n/a","n/a",IF(AB$3&gt;(A2taxstdlife+$E504),(('PTRM input'!$P$144+'PTRM input'!$P$110)*$P$7)-SUM($P504:AA504),(('PTRM input'!$P$144+'PTRM input'!$P$110)*$P$7)/A2taxstdlife))</f>
        <v>0</v>
      </c>
      <c r="AC504" s="107">
        <f>IF(A2taxstdlife="n/a","n/a",IF(AC$3&gt;(A2taxstdlife+$E504),(('PTRM input'!$P$144+'PTRM input'!$P$110)*$P$7)-SUM($P504:AB504),(('PTRM input'!$P$144+'PTRM input'!$P$110)*$P$7)/A2taxstdlife))</f>
        <v>0</v>
      </c>
      <c r="AD504" s="107">
        <f>IF(A2taxstdlife="n/a","n/a",IF(AD$3&gt;(A2taxstdlife+$E504),(('PTRM input'!$P$144+'PTRM input'!$P$110)*$P$7)-SUM($P504:AC504),(('PTRM input'!$P$144+'PTRM input'!$P$110)*$P$7)/A2taxstdlife))</f>
        <v>0</v>
      </c>
      <c r="AE504" s="107">
        <f>IF(A2taxstdlife="n/a","n/a",IF(AE$3&gt;(A2taxstdlife+$E504),(('PTRM input'!$P$144+'PTRM input'!$P$110)*$P$7)-SUM($P504:AD504),(('PTRM input'!$P$144+'PTRM input'!$P$110)*$P$7)/A2taxstdlife))</f>
        <v>0</v>
      </c>
      <c r="AF504" s="107">
        <f>IF(A2taxstdlife="n/a","n/a",IF(AF$3&gt;(A2taxstdlife+$E504),(('PTRM input'!$P$144+'PTRM input'!$P$110)*$P$7)-SUM($P504:AE504),(('PTRM input'!$P$144+'PTRM input'!$P$110)*$P$7)/A2taxstdlife))</f>
        <v>0</v>
      </c>
      <c r="AG504" s="107">
        <f>IF(A2taxstdlife="n/a","n/a",IF(AG$3&gt;(A2taxstdlife+$E504),(('PTRM input'!$P$144+'PTRM input'!$P$110)*$P$7)-SUM($P504:AF504),(('PTRM input'!$P$144+'PTRM input'!$P$110)*$P$7)/A2taxstdlife))</f>
        <v>0</v>
      </c>
      <c r="AH504" s="107">
        <f>IF(A2taxstdlife="n/a","n/a",IF(AH$3&gt;(A2taxstdlife+$E504),(('PTRM input'!$P$144+'PTRM input'!$P$110)*$P$7)-SUM($P504:AG504),(('PTRM input'!$P$144+'PTRM input'!$P$110)*$P$7)/A2taxstdlife))</f>
        <v>0</v>
      </c>
      <c r="AI504" s="107">
        <f>IF(A2taxstdlife="n/a","n/a",IF(AI$3&gt;(A2taxstdlife+$E504),(('PTRM input'!$P$144+'PTRM input'!$P$110)*$P$7)-SUM($P504:AH504),(('PTRM input'!$P$144+'PTRM input'!$P$110)*$P$7)/A2taxstdlife))</f>
        <v>0</v>
      </c>
      <c r="AJ504" s="107">
        <f>IF(A2taxstdlife="n/a","n/a",IF(AJ$3&gt;(A2taxstdlife+$E504),(('PTRM input'!$P$144+'PTRM input'!$P$110)*$P$7)-SUM($P504:AI504),(('PTRM input'!$P$144+'PTRM input'!$P$110)*$P$7)/A2taxstdlife))</f>
        <v>0</v>
      </c>
      <c r="AK504" s="107">
        <f>IF(A2taxstdlife="n/a","n/a",IF(AK$3&gt;(A2taxstdlife+$E504),(('PTRM input'!$P$144+'PTRM input'!$P$110)*$P$7)-SUM($P504:AJ504),(('PTRM input'!$P$144+'PTRM input'!$P$110)*$P$7)/A2taxstdlife))</f>
        <v>0</v>
      </c>
      <c r="AL504" s="107">
        <f>IF(A2taxstdlife="n/a","n/a",IF(AL$3&gt;(A2taxstdlife+$E504),(('PTRM input'!$P$144+'PTRM input'!$P$110)*$P$7)-SUM($P504:AK504),(('PTRM input'!$P$144+'PTRM input'!$P$110)*$P$7)/A2taxstdlife))</f>
        <v>0</v>
      </c>
      <c r="AM504" s="107">
        <f>IF(A2taxstdlife="n/a","n/a",IF(AM$3&gt;(A2taxstdlife+$E504),(('PTRM input'!$P$144+'PTRM input'!$P$110)*$P$7)-SUM($P504:AL504),(('PTRM input'!$P$144+'PTRM input'!$P$110)*$P$7)/A2taxstdlife))</f>
        <v>0</v>
      </c>
      <c r="AN504" s="107">
        <f>IF(A2taxstdlife="n/a","n/a",IF(AN$3&gt;(A2taxstdlife+$E504),(('PTRM input'!$P$144+'PTRM input'!$P$110)*$P$7)-SUM($P504:AM504),(('PTRM input'!$P$144+'PTRM input'!$P$110)*$P$7)/A2taxstdlife))</f>
        <v>0</v>
      </c>
      <c r="AO504" s="107">
        <f>IF(A2taxstdlife="n/a","n/a",IF(AO$3&gt;(A2taxstdlife+$E504),(('PTRM input'!$P$144+'PTRM input'!$P$110)*$P$7)-SUM($P504:AN504),(('PTRM input'!$P$144+'PTRM input'!$P$110)*$P$7)/A2taxstdlife))</f>
        <v>0</v>
      </c>
      <c r="AP504" s="107">
        <f>IF(A2taxstdlife="n/a","n/a",IF(AP$3&gt;(A2taxstdlife+$E504),(('PTRM input'!$P$144+'PTRM input'!$P$110)*$P$7)-SUM($P504:AO504),(('PTRM input'!$P$144+'PTRM input'!$P$110)*$P$7)/A2taxstdlife))</f>
        <v>0</v>
      </c>
      <c r="AQ504" s="107">
        <f>IF(A2taxstdlife="n/a","n/a",IF(AQ$3&gt;(A2taxstdlife+$E504),(('PTRM input'!$P$144+'PTRM input'!$P$110)*$P$7)-SUM($P504:AP504),(('PTRM input'!$P$144+'PTRM input'!$P$110)*$P$7)/A2taxstdlife))</f>
        <v>0</v>
      </c>
      <c r="AR504" s="107">
        <f>IF(A2taxstdlife="n/a","n/a",IF(AR$3&gt;(A2taxstdlife+$E504),(('PTRM input'!$P$144+'PTRM input'!$P$110)*$P$7)-SUM($P504:AQ504),(('PTRM input'!$P$144+'PTRM input'!$P$110)*$P$7)/A2taxstdlife))</f>
        <v>0</v>
      </c>
      <c r="AS504" s="107">
        <f>IF(A2taxstdlife="n/a","n/a",IF(AS$3&gt;(A2taxstdlife+$E504),(('PTRM input'!$P$144+'PTRM input'!$P$110)*$P$7)-SUM($P504:AR504),(('PTRM input'!$P$144+'PTRM input'!$P$110)*$P$7)/A2taxstdlife))</f>
        <v>0</v>
      </c>
      <c r="AT504" s="107">
        <f>IF(A2taxstdlife="n/a","n/a",IF(AT$3&gt;(A2taxstdlife+$E504),(('PTRM input'!$P$144+'PTRM input'!$P$110)*$P$7)-SUM($P504:AS504),(('PTRM input'!$P$144+'PTRM input'!$P$110)*$P$7)/A2taxstdlife))</f>
        <v>0</v>
      </c>
      <c r="AU504" s="107">
        <f>IF(A2taxstdlife="n/a","n/a",IF(AU$3&gt;(A2taxstdlife+$E504),(('PTRM input'!$P$144+'PTRM input'!$P$110)*$P$7)-SUM($P504:AT504),(('PTRM input'!$P$144+'PTRM input'!$P$110)*$P$7)/A2taxstdlife))</f>
        <v>0</v>
      </c>
      <c r="AV504" s="107">
        <f>IF(A2taxstdlife="n/a","n/a",IF(AV$3&gt;(A2taxstdlife+$E504),(('PTRM input'!$P$144+'PTRM input'!$P$110)*$P$7)-SUM($P504:AU504),(('PTRM input'!$P$144+'PTRM input'!$P$110)*$P$7)/A2taxstdlife))</f>
        <v>0</v>
      </c>
      <c r="AW504" s="107">
        <f>IF(A2taxstdlife="n/a","n/a",IF(AW$3&gt;(A2taxstdlife+$E504),(('PTRM input'!$P$144+'PTRM input'!$P$110)*$P$7)-SUM($P504:AV504),(('PTRM input'!$P$144+'PTRM input'!$P$110)*$P$7)/A2taxstdlife))</f>
        <v>0</v>
      </c>
      <c r="AX504" s="107">
        <f>IF(A2taxstdlife="n/a","n/a",IF(AX$3&gt;(A2taxstdlife+$E504),(('PTRM input'!$P$144+'PTRM input'!$P$110)*$P$7)-SUM($P504:AW504),(('PTRM input'!$P$144+'PTRM input'!$P$110)*$P$7)/A2taxstdlife))</f>
        <v>0</v>
      </c>
      <c r="AY504" s="107">
        <f>IF(A2taxstdlife="n/a","n/a",IF(AY$3&gt;(A2taxstdlife+$E504),(('PTRM input'!$P$144+'PTRM input'!$P$110)*$P$7)-SUM($P504:AX504),(('PTRM input'!$P$144+'PTRM input'!$P$110)*$P$7)/A2taxstdlife))</f>
        <v>0</v>
      </c>
      <c r="AZ504" s="107">
        <f>IF(A2taxstdlife="n/a","n/a",IF(AZ$3&gt;(A2taxstdlife+$E504),(('PTRM input'!$P$144+'PTRM input'!$P$110)*$P$7)-SUM($P504:AY504),(('PTRM input'!$P$144+'PTRM input'!$P$110)*$P$7)/A2taxstdlife))</f>
        <v>0</v>
      </c>
      <c r="BA504" s="107">
        <f>IF(A2taxstdlife="n/a","n/a",IF(BA$3&gt;(A2taxstdlife+$E504),(('PTRM input'!$P$144+'PTRM input'!$P$110)*$P$7)-SUM($P504:AZ504),(('PTRM input'!$P$144+'PTRM input'!$P$110)*$P$7)/A2taxstdlife))</f>
        <v>0</v>
      </c>
      <c r="BB504" s="107">
        <f>IF(A2taxstdlife="n/a","n/a",IF(BB$3&gt;(A2taxstdlife+$E504),(('PTRM input'!$P$144+'PTRM input'!$P$110)*$P$7)-SUM($P504:BA504),(('PTRM input'!$P$144+'PTRM input'!$P$110)*$P$7)/A2taxstdlife))</f>
        <v>0</v>
      </c>
      <c r="BC504" s="107">
        <f>IF(A2taxstdlife="n/a","n/a",IF(BC$3&gt;(A2taxstdlife+$E504),(('PTRM input'!$P$144+'PTRM input'!$P$110)*$P$7)-SUM($P504:BB504),(('PTRM input'!$P$144+'PTRM input'!$P$110)*$P$7)/A2taxstdlife))</f>
        <v>0</v>
      </c>
      <c r="BD504" s="107">
        <f>IF(A2taxstdlife="n/a","n/a",IF(BD$3&gt;(A2taxstdlife+$E504),(('PTRM input'!$P$144+'PTRM input'!$P$110)*$P$7)-SUM($P504:BC504),(('PTRM input'!$P$144+'PTRM input'!$P$110)*$P$7)/A2taxstdlife))</f>
        <v>0</v>
      </c>
      <c r="BE504" s="107">
        <f>IF(A2taxstdlife="n/a","n/a",IF(BE$3&gt;(A2taxstdlife+$E504),(('PTRM input'!$P$144+'PTRM input'!$P$110)*$P$7)-SUM($P504:BD504),(('PTRM input'!$P$144+'PTRM input'!$P$110)*$P$7)/A2taxstdlife))</f>
        <v>0</v>
      </c>
      <c r="BF504" s="107">
        <f>IF(A2taxstdlife="n/a","n/a",IF(BF$3&gt;(A2taxstdlife+$E504),(('PTRM input'!$P$144+'PTRM input'!$P$110)*$P$7)-SUM($P504:BE504),(('PTRM input'!$P$144+'PTRM input'!$P$110)*$P$7)/A2taxstdlife))</f>
        <v>0</v>
      </c>
      <c r="BG504" s="107">
        <f>IF(A2taxstdlife="n/a","n/a",IF(BG$3&gt;(A2taxstdlife+$E504),(('PTRM input'!$P$144+'PTRM input'!$P$110)*$P$7)-SUM($P504:BF504),(('PTRM input'!$P$144+'PTRM input'!$P$110)*$P$7)/A2taxstdlife))</f>
        <v>0</v>
      </c>
      <c r="BH504" s="107">
        <f>IF(A2taxstdlife="n/a","n/a",IF(BH$3&gt;(A2taxstdlife+$E504),(('PTRM input'!$P$144+'PTRM input'!$P$110)*$P$7)-SUM($P504:BG504),(('PTRM input'!$P$144+'PTRM input'!$P$110)*$P$7)/A2taxstdlife))</f>
        <v>0</v>
      </c>
      <c r="BI504" s="107">
        <f>IF(A2taxstdlife="n/a","n/a",IF(BI$3&gt;(A2taxstdlife+$E504),(('PTRM input'!$P$144+'PTRM input'!$P$110)*$P$7)-SUM($P504:BH504),(('PTRM input'!$P$144+'PTRM input'!$P$110)*$P$7)/A2taxstdlife))</f>
        <v>0</v>
      </c>
      <c r="BJ504" s="18"/>
      <c r="BK504" s="18"/>
      <c r="BL504" s="18"/>
      <c r="BM504" s="18"/>
    </row>
    <row r="505" spans="1:65" s="4" customFormat="1" hidden="1" outlineLevel="1">
      <c r="A505" s="18"/>
      <c r="B505" s="18"/>
      <c r="C505" s="33" t="str">
        <f>Asset2</f>
        <v>Post 1999-2010 Assets</v>
      </c>
      <c r="D505" s="18"/>
      <c r="E505" s="18"/>
      <c r="F505" s="31"/>
      <c r="G505" s="104">
        <f>SUM(G493:G504)</f>
        <v>1.4411519933120049</v>
      </c>
      <c r="H505" s="104">
        <f t="shared" ref="H505:BI505" si="110">SUM(H493:H504)</f>
        <v>1.4411519933120049</v>
      </c>
      <c r="I505" s="104">
        <f t="shared" si="110"/>
        <v>1.4411519933120049</v>
      </c>
      <c r="J505" s="104">
        <f t="shared" si="110"/>
        <v>1.4411519933120049</v>
      </c>
      <c r="K505" s="104">
        <f t="shared" si="110"/>
        <v>1.4411519933120049</v>
      </c>
      <c r="L505" s="104">
        <f t="shared" si="110"/>
        <v>1.4411519933120049</v>
      </c>
      <c r="M505" s="104">
        <f t="shared" si="110"/>
        <v>1.4411519933120049</v>
      </c>
      <c r="N505" s="104">
        <f t="shared" si="110"/>
        <v>1.4411519933120049</v>
      </c>
      <c r="O505" s="104">
        <f t="shared" si="110"/>
        <v>1.4411519933120049</v>
      </c>
      <c r="P505" s="104">
        <f t="shared" si="110"/>
        <v>1.4411519933120049</v>
      </c>
      <c r="Q505" s="104">
        <f t="shared" si="110"/>
        <v>1.4411519933120049</v>
      </c>
      <c r="R505" s="104">
        <f t="shared" si="110"/>
        <v>0.1045947402346119</v>
      </c>
      <c r="S505" s="104">
        <f t="shared" si="110"/>
        <v>0</v>
      </c>
      <c r="T505" s="104">
        <f t="shared" si="110"/>
        <v>0</v>
      </c>
      <c r="U505" s="104">
        <f t="shared" si="110"/>
        <v>0</v>
      </c>
      <c r="V505" s="104">
        <f t="shared" si="110"/>
        <v>0</v>
      </c>
      <c r="W505" s="104">
        <f t="shared" si="110"/>
        <v>0</v>
      </c>
      <c r="X505" s="104">
        <f t="shared" si="110"/>
        <v>0</v>
      </c>
      <c r="Y505" s="104">
        <f t="shared" si="110"/>
        <v>0</v>
      </c>
      <c r="Z505" s="104">
        <f t="shared" si="110"/>
        <v>0</v>
      </c>
      <c r="AA505" s="104">
        <f t="shared" si="110"/>
        <v>0</v>
      </c>
      <c r="AB505" s="104">
        <f t="shared" si="110"/>
        <v>0</v>
      </c>
      <c r="AC505" s="104">
        <f t="shared" si="110"/>
        <v>0</v>
      </c>
      <c r="AD505" s="104">
        <f t="shared" si="110"/>
        <v>0</v>
      </c>
      <c r="AE505" s="104">
        <f t="shared" si="110"/>
        <v>0</v>
      </c>
      <c r="AF505" s="104">
        <f t="shared" si="110"/>
        <v>0</v>
      </c>
      <c r="AG505" s="104">
        <f t="shared" si="110"/>
        <v>0</v>
      </c>
      <c r="AH505" s="104">
        <f t="shared" si="110"/>
        <v>0</v>
      </c>
      <c r="AI505" s="104">
        <f t="shared" si="110"/>
        <v>0</v>
      </c>
      <c r="AJ505" s="104">
        <f t="shared" si="110"/>
        <v>0</v>
      </c>
      <c r="AK505" s="104">
        <f t="shared" si="110"/>
        <v>0</v>
      </c>
      <c r="AL505" s="104">
        <f t="shared" si="110"/>
        <v>0</v>
      </c>
      <c r="AM505" s="104">
        <f t="shared" si="110"/>
        <v>0</v>
      </c>
      <c r="AN505" s="104">
        <f t="shared" si="110"/>
        <v>0</v>
      </c>
      <c r="AO505" s="104">
        <f t="shared" si="110"/>
        <v>0</v>
      </c>
      <c r="AP505" s="104">
        <f t="shared" si="110"/>
        <v>0</v>
      </c>
      <c r="AQ505" s="104">
        <f t="shared" si="110"/>
        <v>0</v>
      </c>
      <c r="AR505" s="104">
        <f t="shared" si="110"/>
        <v>0</v>
      </c>
      <c r="AS505" s="104">
        <f t="shared" si="110"/>
        <v>0</v>
      </c>
      <c r="AT505" s="104">
        <f t="shared" si="110"/>
        <v>0</v>
      </c>
      <c r="AU505" s="104">
        <f t="shared" si="110"/>
        <v>0</v>
      </c>
      <c r="AV505" s="104">
        <f t="shared" si="110"/>
        <v>0</v>
      </c>
      <c r="AW505" s="104">
        <f t="shared" si="110"/>
        <v>0</v>
      </c>
      <c r="AX505" s="104">
        <f t="shared" si="110"/>
        <v>0</v>
      </c>
      <c r="AY505" s="104">
        <f t="shared" si="110"/>
        <v>0</v>
      </c>
      <c r="AZ505" s="104">
        <f t="shared" si="110"/>
        <v>0</v>
      </c>
      <c r="BA505" s="104">
        <f t="shared" si="110"/>
        <v>0</v>
      </c>
      <c r="BB505" s="104">
        <f t="shared" si="110"/>
        <v>0</v>
      </c>
      <c r="BC505" s="104">
        <f t="shared" si="110"/>
        <v>0</v>
      </c>
      <c r="BD505" s="104">
        <f t="shared" si="110"/>
        <v>0</v>
      </c>
      <c r="BE505" s="104">
        <f t="shared" si="110"/>
        <v>0</v>
      </c>
      <c r="BF505" s="104">
        <f t="shared" si="110"/>
        <v>0</v>
      </c>
      <c r="BG505" s="104">
        <f t="shared" si="110"/>
        <v>0</v>
      </c>
      <c r="BH505" s="104">
        <f t="shared" si="110"/>
        <v>0</v>
      </c>
      <c r="BI505" s="104">
        <f t="shared" si="110"/>
        <v>0</v>
      </c>
      <c r="BJ505" s="18"/>
      <c r="BK505" s="18"/>
      <c r="BL505" s="18"/>
      <c r="BM505" s="18"/>
    </row>
    <row r="506" spans="1:65" s="4" customFormat="1" hidden="1" outlineLevel="2">
      <c r="A506" s="18"/>
      <c r="B506" s="37" t="str">
        <f>C518</f>
        <v>New Capex (Post 2010)</v>
      </c>
      <c r="C506" s="38"/>
      <c r="D506" s="39" t="s">
        <v>58</v>
      </c>
      <c r="E506" s="38"/>
      <c r="F506" s="40"/>
      <c r="G506" s="106">
        <f>IF(G$3&gt;A3taxremlife,A3taxvalue-SUM($F506:F506),IF(A3taxremlife="N/A","n/a",A3taxvalue/A3taxremlife))</f>
        <v>0</v>
      </c>
      <c r="H506" s="1408">
        <f>IF(H$3&gt;A3taxremlife,A3taxvalue-SUM($F506:G506),IF(A3taxremlife="N/A","n/a",A3taxvalue/A3taxremlife))</f>
        <v>0</v>
      </c>
      <c r="I506" s="106">
        <f>IF(I$3&gt;A3taxremlife,A3taxvalue-SUM($F506:H506),IF(A3taxremlife="N/A","n/a",A3taxvalue/A3taxremlife))</f>
        <v>0</v>
      </c>
      <c r="J506" s="106">
        <f>IF(J$3&gt;A3taxremlife,A3taxvalue-SUM($F506:I506),IF(A3taxremlife="N/A","n/a",A3taxvalue/A3taxremlife))</f>
        <v>0</v>
      </c>
      <c r="K506" s="106">
        <f>IF(K$3&gt;A3taxremlife,A3taxvalue-SUM($F506:J506),IF(A3taxremlife="N/A","n/a",A3taxvalue/A3taxremlife))</f>
        <v>0</v>
      </c>
      <c r="L506" s="106">
        <f>IF(L$3&gt;A3taxremlife,A3taxvalue-SUM($F506:K506),IF(A3taxremlife="N/A","n/a",A3taxvalue/A3taxremlife))</f>
        <v>0</v>
      </c>
      <c r="M506" s="106">
        <f>IF(M$3&gt;A3taxremlife,A3taxvalue-SUM($F506:L506),IF(A3taxremlife="N/A","n/a",A3taxvalue/A3taxremlife))</f>
        <v>0</v>
      </c>
      <c r="N506" s="106">
        <f>IF(N$3&gt;A3taxremlife,A3taxvalue-SUM($F506:M506),IF(A3taxremlife="N/A","n/a",A3taxvalue/A3taxremlife))</f>
        <v>0</v>
      </c>
      <c r="O506" s="106">
        <f>IF(O$3&gt;A3taxremlife,A3taxvalue-SUM($F506:N506),IF(A3taxremlife="N/A","n/a",A3taxvalue/A3taxremlife))</f>
        <v>0</v>
      </c>
      <c r="P506" s="106">
        <f>IF(P$3&gt;A3taxremlife,A3taxvalue-SUM($F506:O506),IF(A3taxremlife="N/A","n/a",A3taxvalue/A3taxremlife))</f>
        <v>0</v>
      </c>
      <c r="Q506" s="106">
        <f>IF(Q$3&gt;A3taxremlife,A3taxvalue-SUM($F506:P506),IF(A3taxremlife="N/A","n/a",A3taxvalue/A3taxremlife))</f>
        <v>0</v>
      </c>
      <c r="R506" s="106">
        <f>IF(R$3&gt;A3taxremlife,A3taxvalue-SUM($F506:Q506),IF(A3taxremlife="N/A","n/a",A3taxvalue/A3taxremlife))</f>
        <v>0</v>
      </c>
      <c r="S506" s="106">
        <f>IF(S$3&gt;A3taxremlife,A3taxvalue-SUM($F506:R506),IF(A3taxremlife="N/A","n/a",A3taxvalue/A3taxremlife))</f>
        <v>0</v>
      </c>
      <c r="T506" s="106">
        <f>IF(T$3&gt;A3taxremlife,A3taxvalue-SUM($F506:S506),IF(A3taxremlife="N/A","n/a",A3taxvalue/A3taxremlife))</f>
        <v>0</v>
      </c>
      <c r="U506" s="106">
        <f>IF(U$3&gt;A3taxremlife,A3taxvalue-SUM($F506:T506),IF(A3taxremlife="N/A","n/a",A3taxvalue/A3taxremlife))</f>
        <v>0</v>
      </c>
      <c r="V506" s="106">
        <f>IF(V$3&gt;A3taxremlife,A3taxvalue-SUM($F506:U506),IF(A3taxremlife="N/A","n/a",A3taxvalue/A3taxremlife))</f>
        <v>0</v>
      </c>
      <c r="W506" s="106">
        <f>IF(W$3&gt;A3taxremlife,A3taxvalue-SUM($F506:V506),IF(A3taxremlife="N/A","n/a",A3taxvalue/A3taxremlife))</f>
        <v>0</v>
      </c>
      <c r="X506" s="106">
        <f>IF(X$3&gt;A3taxremlife,A3taxvalue-SUM($F506:W506),IF(A3taxremlife="N/A","n/a",A3taxvalue/A3taxremlife))</f>
        <v>0</v>
      </c>
      <c r="Y506" s="106">
        <f>IF(Y$3&gt;A3taxremlife,A3taxvalue-SUM($F506:X506),IF(A3taxremlife="N/A","n/a",A3taxvalue/A3taxremlife))</f>
        <v>0</v>
      </c>
      <c r="Z506" s="106">
        <f>IF(Z$3&gt;A3taxremlife,A3taxvalue-SUM($F506:Y506),IF(A3taxremlife="N/A","n/a",A3taxvalue/A3taxremlife))</f>
        <v>0</v>
      </c>
      <c r="AA506" s="106">
        <f>IF(AA$3&gt;A3taxremlife,A3taxvalue-SUM($F506:Z506),IF(A3taxremlife="N/A","n/a",A3taxvalue/A3taxremlife))</f>
        <v>0</v>
      </c>
      <c r="AB506" s="106">
        <f>IF(AB$3&gt;A3taxremlife,A3taxvalue-SUM($F506:AA506),IF(A3taxremlife="N/A","n/a",A3taxvalue/A3taxremlife))</f>
        <v>0</v>
      </c>
      <c r="AC506" s="106">
        <f>IF(AC$3&gt;A3taxremlife,A3taxvalue-SUM($F506:AB506),IF(A3taxremlife="N/A","n/a",A3taxvalue/A3taxremlife))</f>
        <v>0</v>
      </c>
      <c r="AD506" s="106">
        <f>IF(AD$3&gt;A3taxremlife,A3taxvalue-SUM($F506:AC506),IF(A3taxremlife="N/A","n/a",A3taxvalue/A3taxremlife))</f>
        <v>0</v>
      </c>
      <c r="AE506" s="106">
        <f>IF(AE$3&gt;A3taxremlife,A3taxvalue-SUM($F506:AD506),IF(A3taxremlife="N/A","n/a",A3taxvalue/A3taxremlife))</f>
        <v>0</v>
      </c>
      <c r="AF506" s="106">
        <f>IF(AF$3&gt;A3taxremlife,A3taxvalue-SUM($F506:AE506),IF(A3taxremlife="N/A","n/a",A3taxvalue/A3taxremlife))</f>
        <v>0</v>
      </c>
      <c r="AG506" s="106">
        <f>IF(AG$3&gt;A3taxremlife,A3taxvalue-SUM($F506:AF506),IF(A3taxremlife="N/A","n/a",A3taxvalue/A3taxremlife))</f>
        <v>0</v>
      </c>
      <c r="AH506" s="106">
        <f>IF(AH$3&gt;A3taxremlife,A3taxvalue-SUM($F506:AG506),IF(A3taxremlife="N/A","n/a",A3taxvalue/A3taxremlife))</f>
        <v>0</v>
      </c>
      <c r="AI506" s="106">
        <f>IF(AI$3&gt;A3taxremlife,A3taxvalue-SUM($F506:AH506),IF(A3taxremlife="N/A","n/a",A3taxvalue/A3taxremlife))</f>
        <v>0</v>
      </c>
      <c r="AJ506" s="106">
        <f>IF(AJ$3&gt;A3taxremlife,A3taxvalue-SUM($F506:AI506),IF(A3taxremlife="N/A","n/a",A3taxvalue/A3taxremlife))</f>
        <v>0</v>
      </c>
      <c r="AK506" s="106">
        <f>IF(AK$3&gt;A3taxremlife,A3taxvalue-SUM($F506:AJ506),IF(A3taxremlife="N/A","n/a",A3taxvalue/A3taxremlife))</f>
        <v>0</v>
      </c>
      <c r="AL506" s="106">
        <f>IF(AL$3&gt;A3taxremlife,A3taxvalue-SUM($F506:AK506),IF(A3taxremlife="N/A","n/a",A3taxvalue/A3taxremlife))</f>
        <v>0</v>
      </c>
      <c r="AM506" s="106">
        <f>IF(AM$3&gt;A3taxremlife,A3taxvalue-SUM($F506:AL506),IF(A3taxremlife="N/A","n/a",A3taxvalue/A3taxremlife))</f>
        <v>0</v>
      </c>
      <c r="AN506" s="106">
        <f>IF(AN$3&gt;A3taxremlife,A3taxvalue-SUM($F506:AM506),IF(A3taxremlife="N/A","n/a",A3taxvalue/A3taxremlife))</f>
        <v>0</v>
      </c>
      <c r="AO506" s="106">
        <f>IF(AO$3&gt;A3taxremlife,A3taxvalue-SUM($F506:AN506),IF(A3taxremlife="N/A","n/a",A3taxvalue/A3taxremlife))</f>
        <v>0</v>
      </c>
      <c r="AP506" s="106">
        <f>IF(AP$3&gt;A3taxremlife,A3taxvalue-SUM($F506:AO506),IF(A3taxremlife="N/A","n/a",A3taxvalue/A3taxremlife))</f>
        <v>0</v>
      </c>
      <c r="AQ506" s="106">
        <f>IF(AQ$3&gt;A3taxremlife,A3taxvalue-SUM($F506:AP506),IF(A3taxremlife="N/A","n/a",A3taxvalue/A3taxremlife))</f>
        <v>0</v>
      </c>
      <c r="AR506" s="106">
        <f>IF(AR$3&gt;A3taxremlife,A3taxvalue-SUM($F506:AQ506),IF(A3taxremlife="N/A","n/a",A3taxvalue/A3taxremlife))</f>
        <v>0</v>
      </c>
      <c r="AS506" s="106">
        <f>IF(AS$3&gt;A3taxremlife,A3taxvalue-SUM($F506:AR506),IF(A3taxremlife="N/A","n/a",A3taxvalue/A3taxremlife))</f>
        <v>0</v>
      </c>
      <c r="AT506" s="106">
        <f>IF(AT$3&gt;A3taxremlife,A3taxvalue-SUM($F506:AS506),IF(A3taxremlife="N/A","n/a",A3taxvalue/A3taxremlife))</f>
        <v>0</v>
      </c>
      <c r="AU506" s="106">
        <f>IF(AU$3&gt;A3taxremlife,A3taxvalue-SUM($F506:AT506),IF(A3taxremlife="N/A","n/a",A3taxvalue/A3taxremlife))</f>
        <v>0</v>
      </c>
      <c r="AV506" s="106">
        <f>IF(AV$3&gt;A3taxremlife,A3taxvalue-SUM($F506:AU506),IF(A3taxremlife="N/A","n/a",A3taxvalue/A3taxremlife))</f>
        <v>0</v>
      </c>
      <c r="AW506" s="106">
        <f>IF(AW$3&gt;A3taxremlife,A3taxvalue-SUM($F506:AV506),IF(A3taxremlife="N/A","n/a",A3taxvalue/A3taxremlife))</f>
        <v>0</v>
      </c>
      <c r="AX506" s="106">
        <f>IF(AX$3&gt;A3taxremlife,A3taxvalue-SUM($F506:AW506),IF(A3taxremlife="N/A","n/a",A3taxvalue/A3taxremlife))</f>
        <v>0</v>
      </c>
      <c r="AY506" s="106">
        <f>IF(AY$3&gt;A3taxremlife,A3taxvalue-SUM($F506:AX506),IF(A3taxremlife="N/A","n/a",A3taxvalue/A3taxremlife))</f>
        <v>0</v>
      </c>
      <c r="AZ506" s="106">
        <f>IF(AZ$3&gt;A3taxremlife,A3taxvalue-SUM($F506:AY506),IF(A3taxremlife="N/A","n/a",A3taxvalue/A3taxremlife))</f>
        <v>0</v>
      </c>
      <c r="BA506" s="106">
        <f>IF(BA$3&gt;A3taxremlife,A3taxvalue-SUM($F506:AZ506),IF(A3taxremlife="N/A","n/a",A3taxvalue/A3taxremlife))</f>
        <v>0</v>
      </c>
      <c r="BB506" s="106">
        <f>IF(BB$3&gt;A3taxremlife,A3taxvalue-SUM($F506:BA506),IF(A3taxremlife="N/A","n/a",A3taxvalue/A3taxremlife))</f>
        <v>0</v>
      </c>
      <c r="BC506" s="106">
        <f>IF(BC$3&gt;A3taxremlife,A3taxvalue-SUM($F506:BB506),IF(A3taxremlife="N/A","n/a",A3taxvalue/A3taxremlife))</f>
        <v>0</v>
      </c>
      <c r="BD506" s="106">
        <f>IF(BD$3&gt;A3taxremlife,A3taxvalue-SUM($F506:BC506),IF(A3taxremlife="N/A","n/a",A3taxvalue/A3taxremlife))</f>
        <v>0</v>
      </c>
      <c r="BE506" s="106">
        <f>IF(BE$3&gt;A3taxremlife,A3taxvalue-SUM($F506:BD506),IF(A3taxremlife="N/A","n/a",A3taxvalue/A3taxremlife))</f>
        <v>0</v>
      </c>
      <c r="BF506" s="106">
        <f>IF(BF$3&gt;A3taxremlife,A3taxvalue-SUM($F506:BE506),IF(A3taxremlife="N/A","n/a",A3taxvalue/A3taxremlife))</f>
        <v>0</v>
      </c>
      <c r="BG506" s="106">
        <f>IF(BG$3&gt;A3taxremlife,A3taxvalue-SUM($F506:BF506),IF(A3taxremlife="N/A","n/a",A3taxvalue/A3taxremlife))</f>
        <v>0</v>
      </c>
      <c r="BH506" s="106">
        <f>IF(BH$3&gt;A3taxremlife,A3taxvalue-SUM($F506:BG506),IF(A3taxremlife="N/A","n/a",A3taxvalue/A3taxremlife))</f>
        <v>0</v>
      </c>
      <c r="BI506" s="106">
        <f>IF(BI$3&gt;A3taxremlife,A3taxvalue-SUM($F506:BH506),IF(A3taxremlife="N/A","n/a",A3taxvalue/A3taxremlife))</f>
        <v>0</v>
      </c>
      <c r="BJ506" s="18"/>
      <c r="BK506" s="18"/>
      <c r="BL506" s="18"/>
      <c r="BM506" s="18"/>
    </row>
    <row r="507" spans="1:65" s="4" customFormat="1" ht="12.75" hidden="1" customHeight="1" outlineLevel="2">
      <c r="A507" s="18"/>
      <c r="B507" s="18"/>
      <c r="C507" s="33"/>
      <c r="D507" s="1618" t="s">
        <v>357</v>
      </c>
      <c r="E507" s="169">
        <v>0</v>
      </c>
      <c r="F507" s="35"/>
      <c r="G507" s="107"/>
      <c r="H507" s="1410"/>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c r="BB507" s="107"/>
      <c r="BC507" s="107"/>
      <c r="BD507" s="107"/>
      <c r="BE507" s="107"/>
      <c r="BF507" s="107"/>
      <c r="BG507" s="107"/>
      <c r="BH507" s="107"/>
      <c r="BI507" s="107"/>
      <c r="BJ507" s="18"/>
      <c r="BK507" s="18"/>
      <c r="BL507" s="18"/>
      <c r="BM507" s="18"/>
    </row>
    <row r="508" spans="1:65" s="4" customFormat="1" hidden="1" outlineLevel="2">
      <c r="A508" s="18"/>
      <c r="B508" s="18"/>
      <c r="C508" s="33"/>
      <c r="D508" s="1618"/>
      <c r="E508" s="169">
        <v>1</v>
      </c>
      <c r="F508" s="35"/>
      <c r="G508" s="183"/>
      <c r="H508" s="1410">
        <f>IF(A3taxstdlife="n/a","n/a",IF(H$3&gt;(A3taxstdlife+$E508),(('PTRM input'!$G$145+'PTRM input'!$G$111)*$G$7)-SUM($G508:G508),(('PTRM input'!$G$145+'PTRM input'!$G$111)*$G$7)/A3taxstdlife))</f>
        <v>0.45566446446977543</v>
      </c>
      <c r="I508" s="1410">
        <f>IF(A3taxstdlife="n/a","n/a",IF(I$3&gt;(A3taxstdlife+$E508),(('PTRM input'!$G$145+'PTRM input'!$G$111)*$G$7)-SUM($G508:H508),(('PTRM input'!$G$145+'PTRM input'!$G$111)*$G$7)/A3taxstdlife))</f>
        <v>0.45566446446977543</v>
      </c>
      <c r="J508" s="1410">
        <f>IF(A3taxstdlife="n/a","n/a",IF(J$3&gt;(A3taxstdlife+$E508),(('PTRM input'!$G$145+'PTRM input'!$G$111)*$G$7)-SUM($G508:I508),(('PTRM input'!$G$145+'PTRM input'!$G$111)*$G$7)/A3taxstdlife))</f>
        <v>0.45566446446977543</v>
      </c>
      <c r="K508" s="1410">
        <f>IF(A3taxstdlife="n/a","n/a",IF(K$3&gt;(A3taxstdlife+$E508),(('PTRM input'!$G$145+'PTRM input'!$G$111)*$G$7)-SUM($G508:J508),(('PTRM input'!$G$145+'PTRM input'!$G$111)*$G$7)/A3taxstdlife))</f>
        <v>0.45566446446977543</v>
      </c>
      <c r="L508" s="1410">
        <f>IF(A3taxstdlife="n/a","n/a",IF(L$3&gt;(A3taxstdlife+$E508),(('PTRM input'!$G$145+'PTRM input'!$G$111)*$G$7)-SUM($G508:K508),(('PTRM input'!$G$145+'PTRM input'!$G$111)*$G$7)/A3taxstdlife))</f>
        <v>0.45566446446977543</v>
      </c>
      <c r="M508" s="1410">
        <f>IF(A3taxstdlife="n/a","n/a",IF(M$3&gt;(A3taxstdlife+$E508),(('PTRM input'!$G$145+'PTRM input'!$G$111)*$G$7)-SUM($G508:L508),(('PTRM input'!$G$145+'PTRM input'!$G$111)*$G$7)/A3taxstdlife))</f>
        <v>0.45566446446977543</v>
      </c>
      <c r="N508" s="1410">
        <f>IF(A3taxstdlife="n/a","n/a",IF(N$3&gt;(A3taxstdlife+$E508),(('PTRM input'!$G$145+'PTRM input'!$G$111)*$G$7)-SUM($G508:M508),(('PTRM input'!$G$145+'PTRM input'!$G$111)*$G$7)/A3taxstdlife))</f>
        <v>0.45566446446977543</v>
      </c>
      <c r="O508" s="1410">
        <f>IF(A3taxstdlife="n/a","n/a",IF(O$3&gt;(A3taxstdlife+$E508),(('PTRM input'!$G$145+'PTRM input'!$G$111)*$G$7)-SUM($G508:N508),(('PTRM input'!$G$145+'PTRM input'!$G$111)*$G$7)/A3taxstdlife))</f>
        <v>0.45566446446977543</v>
      </c>
      <c r="P508" s="1410">
        <f>IF(A3taxstdlife="n/a","n/a",IF(P$3&gt;(A3taxstdlife+$E508),(('PTRM input'!$G$145+'PTRM input'!$G$111)*$G$7)-SUM($G508:O508),(('PTRM input'!$G$145+'PTRM input'!$G$111)*$G$7)/A3taxstdlife))</f>
        <v>0.45566446446977543</v>
      </c>
      <c r="Q508" s="1410">
        <f>IF(A3taxstdlife="n/a","n/a",IF(Q$3&gt;(A3taxstdlife+$E508),(('PTRM input'!$G$145+'PTRM input'!$G$111)*$G$7)-SUM($G508:P508),(('PTRM input'!$G$145+'PTRM input'!$G$111)*$G$7)/A3taxstdlife))</f>
        <v>0.45566446446977543</v>
      </c>
      <c r="R508" s="1410">
        <f>IF(A3taxstdlife="n/a","n/a",IF(R$3&gt;(A3taxstdlife+$E508),(('PTRM input'!$G$145+'PTRM input'!$G$111)*$G$7)-SUM($G508:Q508),(('PTRM input'!$G$145+'PTRM input'!$G$111)*$G$7)/A3taxstdlife))</f>
        <v>0.45566446446977543</v>
      </c>
      <c r="S508" s="1410">
        <f>IF(A3taxstdlife="n/a","n/a",IF(S$3&gt;(A3taxstdlife+$E508),(('PTRM input'!$G$145+'PTRM input'!$G$111)*$G$7)-SUM($G508:R508),(('PTRM input'!$G$145+'PTRM input'!$G$111)*$G$7)/A3taxstdlife))</f>
        <v>0.45566446446977543</v>
      </c>
      <c r="T508" s="1410">
        <f>IF(A3taxstdlife="n/a","n/a",IF(T$3&gt;(A3taxstdlife+$E508),(('PTRM input'!$G$145+'PTRM input'!$G$111)*$G$7)-SUM($G508:S508),(('PTRM input'!$G$145+'PTRM input'!$G$111)*$G$7)/A3taxstdlife))</f>
        <v>0.45566446446977543</v>
      </c>
      <c r="U508" s="1410">
        <f>IF(A3taxstdlife="n/a","n/a",IF(U$3&gt;(A3taxstdlife+$E508),(('PTRM input'!$G$145+'PTRM input'!$G$111)*$G$7)-SUM($G508:T508),(('PTRM input'!$G$145+'PTRM input'!$G$111)*$G$7)/A3taxstdlife))</f>
        <v>0.45566446446977543</v>
      </c>
      <c r="V508" s="1410">
        <f>IF(A3taxstdlife="n/a","n/a",IF(V$3&gt;(A3taxstdlife+$E508),(('PTRM input'!$G$145+'PTRM input'!$G$111)*$G$7)-SUM($G508:U508),(('PTRM input'!$G$145+'PTRM input'!$G$111)*$G$7)/A3taxstdlife))</f>
        <v>0.45566446446977543</v>
      </c>
      <c r="W508" s="1410">
        <f>IF(A3taxstdlife="n/a","n/a",IF(W$3&gt;(A3taxstdlife+$E508),(('PTRM input'!$G$145+'PTRM input'!$G$111)*$G$7)-SUM($G508:V508),(('PTRM input'!$G$145+'PTRM input'!$G$111)*$G$7)/A3taxstdlife))</f>
        <v>1.7763568394002505E-15</v>
      </c>
      <c r="X508" s="1410">
        <f>IF(A3taxstdlife="n/a","n/a",IF(X$3&gt;(A3taxstdlife+$E508),(('PTRM input'!$G$145+'PTRM input'!$G$111)*$G$7)-SUM($G508:W508),(('PTRM input'!$G$145+'PTRM input'!$G$111)*$G$7)/A3taxstdlife))</f>
        <v>0</v>
      </c>
      <c r="Y508" s="1410">
        <f>IF(A3taxstdlife="n/a","n/a",IF(Y$3&gt;(A3taxstdlife+$E508),(('PTRM input'!$G$145+'PTRM input'!$G$111)*$G$7)-SUM($G508:X508),(('PTRM input'!$G$145+'PTRM input'!$G$111)*$G$7)/A3taxstdlife))</f>
        <v>0</v>
      </c>
      <c r="Z508" s="1410">
        <f>IF(A3taxstdlife="n/a","n/a",IF(Z$3&gt;(A3taxstdlife+$E508),(('PTRM input'!$G$145+'PTRM input'!$G$111)*$G$7)-SUM($G508:Y508),(('PTRM input'!$G$145+'PTRM input'!$G$111)*$G$7)/A3taxstdlife))</f>
        <v>0</v>
      </c>
      <c r="AA508" s="1410">
        <f>IF(A3taxstdlife="n/a","n/a",IF(AA$3&gt;(A3taxstdlife+$E508),(('PTRM input'!$G$145+'PTRM input'!$G$111)*$G$7)-SUM($G508:Z508),(('PTRM input'!$G$145+'PTRM input'!$G$111)*$G$7)/A3taxstdlife))</f>
        <v>0</v>
      </c>
      <c r="AB508" s="1410">
        <f>IF(A3taxstdlife="n/a","n/a",IF(AB$3&gt;(A3taxstdlife+$E508),(('PTRM input'!$G$145+'PTRM input'!$G$111)*$G$7)-SUM($G508:AA508),(('PTRM input'!$G$145+'PTRM input'!$G$111)*$G$7)/A3taxstdlife))</f>
        <v>0</v>
      </c>
      <c r="AC508" s="1410">
        <f>IF(A3taxstdlife="n/a","n/a",IF(AC$3&gt;(A3taxstdlife+$E508),(('PTRM input'!$G$145+'PTRM input'!$G$111)*$G$7)-SUM($G508:AB508),(('PTRM input'!$G$145+'PTRM input'!$G$111)*$G$7)/A3taxstdlife))</f>
        <v>0</v>
      </c>
      <c r="AD508" s="1410">
        <f>IF(A3taxstdlife="n/a","n/a",IF(AD$3&gt;(A3taxstdlife+$E508),(('PTRM input'!$G$145+'PTRM input'!$G$111)*$G$7)-SUM($G508:AC508),(('PTRM input'!$G$145+'PTRM input'!$G$111)*$G$7)/A3taxstdlife))</f>
        <v>0</v>
      </c>
      <c r="AE508" s="1410">
        <f>IF(A3taxstdlife="n/a","n/a",IF(AE$3&gt;(A3taxstdlife+$E508),(('PTRM input'!$G$145+'PTRM input'!$G$111)*$G$7)-SUM($G508:AD508),(('PTRM input'!$G$145+'PTRM input'!$G$111)*$G$7)/A3taxstdlife))</f>
        <v>0</v>
      </c>
      <c r="AF508" s="1410">
        <f>IF(A3taxstdlife="n/a","n/a",IF(AF$3&gt;(A3taxstdlife+$E508),(('PTRM input'!$G$145+'PTRM input'!$G$111)*$G$7)-SUM($G508:AE508),(('PTRM input'!$G$145+'PTRM input'!$G$111)*$G$7)/A3taxstdlife))</f>
        <v>0</v>
      </c>
      <c r="AG508" s="1410">
        <f>IF(A3taxstdlife="n/a","n/a",IF(AG$3&gt;(A3taxstdlife+$E508),(('PTRM input'!$G$145+'PTRM input'!$G$111)*$G$7)-SUM($G508:AF508),(('PTRM input'!$G$145+'PTRM input'!$G$111)*$G$7)/A3taxstdlife))</f>
        <v>0</v>
      </c>
      <c r="AH508" s="1410">
        <f>IF(A3taxstdlife="n/a","n/a",IF(AH$3&gt;(A3taxstdlife+$E508),(('PTRM input'!$G$145+'PTRM input'!$G$111)*$G$7)-SUM($G508:AG508),(('PTRM input'!$G$145+'PTRM input'!$G$111)*$G$7)/A3taxstdlife))</f>
        <v>0</v>
      </c>
      <c r="AI508" s="1410">
        <f>IF(A3taxstdlife="n/a","n/a",IF(AI$3&gt;(A3taxstdlife+$E508),(('PTRM input'!$G$145+'PTRM input'!$G$111)*$G$7)-SUM($G508:AH508),(('PTRM input'!$G$145+'PTRM input'!$G$111)*$G$7)/A3taxstdlife))</f>
        <v>0</v>
      </c>
      <c r="AJ508" s="1410">
        <f>IF(A3taxstdlife="n/a","n/a",IF(AJ$3&gt;(A3taxstdlife+$E508),(('PTRM input'!$G$145+'PTRM input'!$G$111)*$G$7)-SUM($G508:AI508),(('PTRM input'!$G$145+'PTRM input'!$G$111)*$G$7)/A3taxstdlife))</f>
        <v>0</v>
      </c>
      <c r="AK508" s="1410">
        <f>IF(A3taxstdlife="n/a","n/a",IF(AK$3&gt;(A3taxstdlife+$E508),(('PTRM input'!$G$145+'PTRM input'!$G$111)*$G$7)-SUM($G508:AJ508),(('PTRM input'!$G$145+'PTRM input'!$G$111)*$G$7)/A3taxstdlife))</f>
        <v>0</v>
      </c>
      <c r="AL508" s="1410">
        <f>IF(A3taxstdlife="n/a","n/a",IF(AL$3&gt;(A3taxstdlife+$E508),(('PTRM input'!$G$145+'PTRM input'!$G$111)*$G$7)-SUM($G508:AK508),(('PTRM input'!$G$145+'PTRM input'!$G$111)*$G$7)/A3taxstdlife))</f>
        <v>0</v>
      </c>
      <c r="AM508" s="1410">
        <f>IF(A3taxstdlife="n/a","n/a",IF(AM$3&gt;(A3taxstdlife+$E508),(('PTRM input'!$G$145+'PTRM input'!$G$111)*$G$7)-SUM($G508:AL508),(('PTRM input'!$G$145+'PTRM input'!$G$111)*$G$7)/A3taxstdlife))</f>
        <v>0</v>
      </c>
      <c r="AN508" s="1410">
        <f>IF(A3taxstdlife="n/a","n/a",IF(AN$3&gt;(A3taxstdlife+$E508),(('PTRM input'!$G$145+'PTRM input'!$G$111)*$G$7)-SUM($G508:AM508),(('PTRM input'!$G$145+'PTRM input'!$G$111)*$G$7)/A3taxstdlife))</f>
        <v>0</v>
      </c>
      <c r="AO508" s="1410">
        <f>IF(A3taxstdlife="n/a","n/a",IF(AO$3&gt;(A3taxstdlife+$E508),(('PTRM input'!$G$145+'PTRM input'!$G$111)*$G$7)-SUM($G508:AN508),(('PTRM input'!$G$145+'PTRM input'!$G$111)*$G$7)/A3taxstdlife))</f>
        <v>0</v>
      </c>
      <c r="AP508" s="1410">
        <f>IF(A3taxstdlife="n/a","n/a",IF(AP$3&gt;(A3taxstdlife+$E508),(('PTRM input'!$G$145+'PTRM input'!$G$111)*$G$7)-SUM($G508:AO508),(('PTRM input'!$G$145+'PTRM input'!$G$111)*$G$7)/A3taxstdlife))</f>
        <v>0</v>
      </c>
      <c r="AQ508" s="1410">
        <f>IF(A3taxstdlife="n/a","n/a",IF(AQ$3&gt;(A3taxstdlife+$E508),(('PTRM input'!$G$145+'PTRM input'!$G$111)*$G$7)-SUM($G508:AP508),(('PTRM input'!$G$145+'PTRM input'!$G$111)*$G$7)/A3taxstdlife))</f>
        <v>0</v>
      </c>
      <c r="AR508" s="1410">
        <f>IF(A3taxstdlife="n/a","n/a",IF(AR$3&gt;(A3taxstdlife+$E508),(('PTRM input'!$G$145+'PTRM input'!$G$111)*$G$7)-SUM($G508:AQ508),(('PTRM input'!$G$145+'PTRM input'!$G$111)*$G$7)/A3taxstdlife))</f>
        <v>0</v>
      </c>
      <c r="AS508" s="1410">
        <f>IF(A3taxstdlife="n/a","n/a",IF(AS$3&gt;(A3taxstdlife+$E508),(('PTRM input'!$G$145+'PTRM input'!$G$111)*$G$7)-SUM($G508:AR508),(('PTRM input'!$G$145+'PTRM input'!$G$111)*$G$7)/A3taxstdlife))</f>
        <v>0</v>
      </c>
      <c r="AT508" s="1410">
        <f>IF(A3taxstdlife="n/a","n/a",IF(AT$3&gt;(A3taxstdlife+$E508),(('PTRM input'!$G$145+'PTRM input'!$G$111)*$G$7)-SUM($G508:AS508),(('PTRM input'!$G$145+'PTRM input'!$G$111)*$G$7)/A3taxstdlife))</f>
        <v>0</v>
      </c>
      <c r="AU508" s="1410">
        <f>IF(A3taxstdlife="n/a","n/a",IF(AU$3&gt;(A3taxstdlife+$E508),(('PTRM input'!$G$145+'PTRM input'!$G$111)*$G$7)-SUM($G508:AT508),(('PTRM input'!$G$145+'PTRM input'!$G$111)*$G$7)/A3taxstdlife))</f>
        <v>0</v>
      </c>
      <c r="AV508" s="1410">
        <f>IF(A3taxstdlife="n/a","n/a",IF(AV$3&gt;(A3taxstdlife+$E508),(('PTRM input'!$G$145+'PTRM input'!$G$111)*$G$7)-SUM($G508:AU508),(('PTRM input'!$G$145+'PTRM input'!$G$111)*$G$7)/A3taxstdlife))</f>
        <v>0</v>
      </c>
      <c r="AW508" s="1410">
        <f>IF(A3taxstdlife="n/a","n/a",IF(AW$3&gt;(A3taxstdlife+$E508),(('PTRM input'!$G$145+'PTRM input'!$G$111)*$G$7)-SUM($G508:AV508),(('PTRM input'!$G$145+'PTRM input'!$G$111)*$G$7)/A3taxstdlife))</f>
        <v>0</v>
      </c>
      <c r="AX508" s="1410">
        <f>IF(A3taxstdlife="n/a","n/a",IF(AX$3&gt;(A3taxstdlife+$E508),(('PTRM input'!$G$145+'PTRM input'!$G$111)*$G$7)-SUM($G508:AW508),(('PTRM input'!$G$145+'PTRM input'!$G$111)*$G$7)/A3taxstdlife))</f>
        <v>0</v>
      </c>
      <c r="AY508" s="1410">
        <f>IF(A3taxstdlife="n/a","n/a",IF(AY$3&gt;(A3taxstdlife+$E508),(('PTRM input'!$G$145+'PTRM input'!$G$111)*$G$7)-SUM($G508:AX508),(('PTRM input'!$G$145+'PTRM input'!$G$111)*$G$7)/A3taxstdlife))</f>
        <v>0</v>
      </c>
      <c r="AZ508" s="1410">
        <f>IF(A3taxstdlife="n/a","n/a",IF(AZ$3&gt;(A3taxstdlife+$E508),(('PTRM input'!$G$145+'PTRM input'!$G$111)*$G$7)-SUM($G508:AY508),(('PTRM input'!$G$145+'PTRM input'!$G$111)*$G$7)/A3taxstdlife))</f>
        <v>0</v>
      </c>
      <c r="BA508" s="1410">
        <f>IF(A3taxstdlife="n/a","n/a",IF(BA$3&gt;(A3taxstdlife+$E508),(('PTRM input'!$G$145+'PTRM input'!$G$111)*$G$7)-SUM($G508:AZ508),(('PTRM input'!$G$145+'PTRM input'!$G$111)*$G$7)/A3taxstdlife))</f>
        <v>0</v>
      </c>
      <c r="BB508" s="1410">
        <f>IF(A3taxstdlife="n/a","n/a",IF(BB$3&gt;(A3taxstdlife+$E508),(('PTRM input'!$G$145+'PTRM input'!$G$111)*$G$7)-SUM($G508:BA508),(('PTRM input'!$G$145+'PTRM input'!$G$111)*$G$7)/A3taxstdlife))</f>
        <v>0</v>
      </c>
      <c r="BC508" s="1410">
        <f>IF(A3taxstdlife="n/a","n/a",IF(BC$3&gt;(A3taxstdlife+$E508),(('PTRM input'!$G$145+'PTRM input'!$G$111)*$G$7)-SUM($G508:BB508),(('PTRM input'!$G$145+'PTRM input'!$G$111)*$G$7)/A3taxstdlife))</f>
        <v>0</v>
      </c>
      <c r="BD508" s="1410">
        <f>IF(A3taxstdlife="n/a","n/a",IF(BD$3&gt;(A3taxstdlife+$E508),(('PTRM input'!$G$145+'PTRM input'!$G$111)*$G$7)-SUM($G508:BC508),(('PTRM input'!$G$145+'PTRM input'!$G$111)*$G$7)/A3taxstdlife))</f>
        <v>0</v>
      </c>
      <c r="BE508" s="1410">
        <f>IF(A3taxstdlife="n/a","n/a",IF(BE$3&gt;(A3taxstdlife+$E508),(('PTRM input'!$G$145+'PTRM input'!$G$111)*$G$7)-SUM($G508:BD508),(('PTRM input'!$G$145+'PTRM input'!$G$111)*$G$7)/A3taxstdlife))</f>
        <v>0</v>
      </c>
      <c r="BF508" s="1410">
        <f>IF(A3taxstdlife="n/a","n/a",IF(BF$3&gt;(A3taxstdlife+$E508),(('PTRM input'!$G$145+'PTRM input'!$G$111)*$G$7)-SUM($G508:BE508),(('PTRM input'!$G$145+'PTRM input'!$G$111)*$G$7)/A3taxstdlife))</f>
        <v>0</v>
      </c>
      <c r="BG508" s="1410">
        <f>IF(A3taxstdlife="n/a","n/a",IF(BG$3&gt;(A3taxstdlife+$E508),(('PTRM input'!$G$145+'PTRM input'!$G$111)*$G$7)-SUM($G508:BF508),(('PTRM input'!$G$145+'PTRM input'!$G$111)*$G$7)/A3taxstdlife))</f>
        <v>0</v>
      </c>
      <c r="BH508" s="1410">
        <f>IF(A3taxstdlife="n/a","n/a",IF(BH$3&gt;(A3taxstdlife+$E508),(('PTRM input'!$G$145+'PTRM input'!$G$111)*$G$7)-SUM($G508:BG508),(('PTRM input'!$G$145+'PTRM input'!$G$111)*$G$7)/A3taxstdlife))</f>
        <v>0</v>
      </c>
      <c r="BI508" s="1410">
        <f>IF(A3taxstdlife="n/a","n/a",IF(BI$3&gt;(A3taxstdlife+$E508),(('PTRM input'!$G$145+'PTRM input'!$G$111)*$G$7)-SUM($G508:BH508),(('PTRM input'!$G$145+'PTRM input'!$G$111)*$G$7)/A3taxstdlife))</f>
        <v>0</v>
      </c>
      <c r="BJ508" s="18"/>
      <c r="BK508" s="18"/>
      <c r="BL508" s="18"/>
      <c r="BM508" s="18"/>
    </row>
    <row r="509" spans="1:65" s="4" customFormat="1" hidden="1" outlineLevel="2">
      <c r="A509" s="18"/>
      <c r="B509" s="18"/>
      <c r="C509" s="33"/>
      <c r="D509" s="1618"/>
      <c r="E509" s="169">
        <v>2</v>
      </c>
      <c r="F509" s="35"/>
      <c r="G509" s="184"/>
      <c r="H509" s="1442"/>
      <c r="I509" s="107">
        <f>IF(A3taxstdlife="n/a","n/a",IF(I$3&gt;(A3taxstdlife+$E509),(('PTRM input'!$H$145+'PTRM input'!$H$111)*$H$7)-SUM($H509:H509),(('PTRM input'!$H$145+'PTRM input'!$H$111)*$H$7)/A3taxstdlife))</f>
        <v>0.45778284017968734</v>
      </c>
      <c r="J509" s="107">
        <f>IF(A3taxstdlife="n/a","n/a",IF(J$3&gt;(A3taxstdlife+$E509),(('PTRM input'!$H$145+'PTRM input'!$H$111)*$H$7)-SUM($H509:I509),(('PTRM input'!$H$145+'PTRM input'!$H$111)*$H$7)/A3taxstdlife))</f>
        <v>0.45778284017968734</v>
      </c>
      <c r="K509" s="107">
        <f>IF(A3taxstdlife="n/a","n/a",IF(K$3&gt;(A3taxstdlife+$E509),(('PTRM input'!$H$145+'PTRM input'!$H$111)*$H$7)-SUM($H509:J509),(('PTRM input'!$H$145+'PTRM input'!$H$111)*$H$7)/A3taxstdlife))</f>
        <v>0.45778284017968734</v>
      </c>
      <c r="L509" s="107">
        <f>IF(A3taxstdlife="n/a","n/a",IF(L$3&gt;(A3taxstdlife+$E509),(('PTRM input'!$H$145+'PTRM input'!$H$111)*$H$7)-SUM($H509:K509),(('PTRM input'!$H$145+'PTRM input'!$H$111)*$H$7)/A3taxstdlife))</f>
        <v>0.45778284017968734</v>
      </c>
      <c r="M509" s="107">
        <f>IF(A3taxstdlife="n/a","n/a",IF(M$3&gt;(A3taxstdlife+$E509),(('PTRM input'!$H$145+'PTRM input'!$H$111)*$H$7)-SUM($H509:L509),(('PTRM input'!$H$145+'PTRM input'!$H$111)*$H$7)/A3taxstdlife))</f>
        <v>0.45778284017968734</v>
      </c>
      <c r="N509" s="107">
        <f>IF(A3taxstdlife="n/a","n/a",IF(N$3&gt;(A3taxstdlife+$E509),(('PTRM input'!$H$145+'PTRM input'!$H$111)*$H$7)-SUM($H509:M509),(('PTRM input'!$H$145+'PTRM input'!$H$111)*$H$7)/A3taxstdlife))</f>
        <v>0.45778284017968734</v>
      </c>
      <c r="O509" s="107">
        <f>IF(A3taxstdlife="n/a","n/a",IF(O$3&gt;(A3taxstdlife+$E509),(('PTRM input'!$H$145+'PTRM input'!$H$111)*$H$7)-SUM($H509:N509),(('PTRM input'!$H$145+'PTRM input'!$H$111)*$H$7)/A3taxstdlife))</f>
        <v>0.45778284017968734</v>
      </c>
      <c r="P509" s="107">
        <f>IF(A3taxstdlife="n/a","n/a",IF(P$3&gt;(A3taxstdlife+$E509),(('PTRM input'!$H$145+'PTRM input'!$H$111)*$H$7)-SUM($H509:O509),(('PTRM input'!$H$145+'PTRM input'!$H$111)*$H$7)/A3taxstdlife))</f>
        <v>0.45778284017968734</v>
      </c>
      <c r="Q509" s="107">
        <f>IF(A3taxstdlife="n/a","n/a",IF(Q$3&gt;(A3taxstdlife+$E509),(('PTRM input'!$H$145+'PTRM input'!$H$111)*$H$7)-SUM($H509:P509),(('PTRM input'!$H$145+'PTRM input'!$H$111)*$H$7)/A3taxstdlife))</f>
        <v>0.45778284017968734</v>
      </c>
      <c r="R509" s="107">
        <f>IF(A3taxstdlife="n/a","n/a",IF(R$3&gt;(A3taxstdlife+$E509),(('PTRM input'!$H$145+'PTRM input'!$H$111)*$H$7)-SUM($H509:Q509),(('PTRM input'!$H$145+'PTRM input'!$H$111)*$H$7)/A3taxstdlife))</f>
        <v>0.45778284017968734</v>
      </c>
      <c r="S509" s="107">
        <f>IF(A3taxstdlife="n/a","n/a",IF(S$3&gt;(A3taxstdlife+$E509),(('PTRM input'!$H$145+'PTRM input'!$H$111)*$H$7)-SUM($H509:R509),(('PTRM input'!$H$145+'PTRM input'!$H$111)*$H$7)/A3taxstdlife))</f>
        <v>0.45778284017968734</v>
      </c>
      <c r="T509" s="107">
        <f>IF(A3taxstdlife="n/a","n/a",IF(T$3&gt;(A3taxstdlife+$E509),(('PTRM input'!$H$145+'PTRM input'!$H$111)*$H$7)-SUM($H509:S509),(('PTRM input'!$H$145+'PTRM input'!$H$111)*$H$7)/A3taxstdlife))</f>
        <v>0.45778284017968734</v>
      </c>
      <c r="U509" s="107">
        <f>IF(A3taxstdlife="n/a","n/a",IF(U$3&gt;(A3taxstdlife+$E509),(('PTRM input'!$H$145+'PTRM input'!$H$111)*$H$7)-SUM($H509:T509),(('PTRM input'!$H$145+'PTRM input'!$H$111)*$H$7)/A3taxstdlife))</f>
        <v>0.45778284017968734</v>
      </c>
      <c r="V509" s="107">
        <f>IF(A3taxstdlife="n/a","n/a",IF(V$3&gt;(A3taxstdlife+$E509),(('PTRM input'!$H$145+'PTRM input'!$H$111)*$H$7)-SUM($H509:U509),(('PTRM input'!$H$145+'PTRM input'!$H$111)*$H$7)/A3taxstdlife))</f>
        <v>0.45778284017968734</v>
      </c>
      <c r="W509" s="107">
        <f>IF(A3taxstdlife="n/a","n/a",IF(W$3&gt;(A3taxstdlife+$E509),(('PTRM input'!$H$145+'PTRM input'!$H$111)*$H$7)-SUM($H509:V509),(('PTRM input'!$H$145+'PTRM input'!$H$111)*$H$7)/A3taxstdlife))</f>
        <v>0.45778284017968734</v>
      </c>
      <c r="X509" s="107">
        <f>IF(A3taxstdlife="n/a","n/a",IF(X$3&gt;(A3taxstdlife+$E509),(('PTRM input'!$H$145+'PTRM input'!$H$111)*$H$7)-SUM($H509:W509),(('PTRM input'!$H$145+'PTRM input'!$H$111)*$H$7)/A3taxstdlife))</f>
        <v>-1.7763568394002505E-15</v>
      </c>
      <c r="Y509" s="107">
        <f>IF(A3taxstdlife="n/a","n/a",IF(Y$3&gt;(A3taxstdlife+$E509),(('PTRM input'!$H$145+'PTRM input'!$H$111)*$H$7)-SUM($H509:X509),(('PTRM input'!$H$145+'PTRM input'!$H$111)*$H$7)/A3taxstdlife))</f>
        <v>0</v>
      </c>
      <c r="Z509" s="107">
        <f>IF(A3taxstdlife="n/a","n/a",IF(Z$3&gt;(A3taxstdlife+$E509),(('PTRM input'!$H$145+'PTRM input'!$H$111)*$H$7)-SUM($H509:Y509),(('PTRM input'!$H$145+'PTRM input'!$H$111)*$H$7)/A3taxstdlife))</f>
        <v>0</v>
      </c>
      <c r="AA509" s="107">
        <f>IF(A3taxstdlife="n/a","n/a",IF(AA$3&gt;(A3taxstdlife+$E509),(('PTRM input'!$H$145+'PTRM input'!$H$111)*$H$7)-SUM($H509:Z509),(('PTRM input'!$H$145+'PTRM input'!$H$111)*$H$7)/A3taxstdlife))</f>
        <v>0</v>
      </c>
      <c r="AB509" s="107">
        <f>IF(A3taxstdlife="n/a","n/a",IF(AB$3&gt;(A3taxstdlife+$E509),(('PTRM input'!$H$145+'PTRM input'!$H$111)*$H$7)-SUM($H509:AA509),(('PTRM input'!$H$145+'PTRM input'!$H$111)*$H$7)/A3taxstdlife))</f>
        <v>0</v>
      </c>
      <c r="AC509" s="107">
        <f>IF(A3taxstdlife="n/a","n/a",IF(AC$3&gt;(A3taxstdlife+$E509),(('PTRM input'!$H$145+'PTRM input'!$H$111)*$H$7)-SUM($H509:AB509),(('PTRM input'!$H$145+'PTRM input'!$H$111)*$H$7)/A3taxstdlife))</f>
        <v>0</v>
      </c>
      <c r="AD509" s="107">
        <f>IF(A3taxstdlife="n/a","n/a",IF(AD$3&gt;(A3taxstdlife+$E509),(('PTRM input'!$H$145+'PTRM input'!$H$111)*$H$7)-SUM($H509:AC509),(('PTRM input'!$H$145+'PTRM input'!$H$111)*$H$7)/A3taxstdlife))</f>
        <v>0</v>
      </c>
      <c r="AE509" s="107">
        <f>IF(A3taxstdlife="n/a","n/a",IF(AE$3&gt;(A3taxstdlife+$E509),(('PTRM input'!$H$145+'PTRM input'!$H$111)*$H$7)-SUM($H509:AD509),(('PTRM input'!$H$145+'PTRM input'!$H$111)*$H$7)/A3taxstdlife))</f>
        <v>0</v>
      </c>
      <c r="AF509" s="107">
        <f>IF(A3taxstdlife="n/a","n/a",IF(AF$3&gt;(A3taxstdlife+$E509),(('PTRM input'!$H$145+'PTRM input'!$H$111)*$H$7)-SUM($H509:AE509),(('PTRM input'!$H$145+'PTRM input'!$H$111)*$H$7)/A3taxstdlife))</f>
        <v>0</v>
      </c>
      <c r="AG509" s="107">
        <f>IF(A3taxstdlife="n/a","n/a",IF(AG$3&gt;(A3taxstdlife+$E509),(('PTRM input'!$H$145+'PTRM input'!$H$111)*$H$7)-SUM($H509:AF509),(('PTRM input'!$H$145+'PTRM input'!$H$111)*$H$7)/A3taxstdlife))</f>
        <v>0</v>
      </c>
      <c r="AH509" s="107">
        <f>IF(A3taxstdlife="n/a","n/a",IF(AH$3&gt;(A3taxstdlife+$E509),(('PTRM input'!$H$145+'PTRM input'!$H$111)*$H$7)-SUM($H509:AG509),(('PTRM input'!$H$145+'PTRM input'!$H$111)*$H$7)/A3taxstdlife))</f>
        <v>0</v>
      </c>
      <c r="AI509" s="107">
        <f>IF(A3taxstdlife="n/a","n/a",IF(AI$3&gt;(A3taxstdlife+$E509),(('PTRM input'!$H$145+'PTRM input'!$H$111)*$H$7)-SUM($H509:AH509),(('PTRM input'!$H$145+'PTRM input'!$H$111)*$H$7)/A3taxstdlife))</f>
        <v>0</v>
      </c>
      <c r="AJ509" s="107">
        <f>IF(A3taxstdlife="n/a","n/a",IF(AJ$3&gt;(A3taxstdlife+$E509),(('PTRM input'!$H$145+'PTRM input'!$H$111)*$H$7)-SUM($H509:AI509),(('PTRM input'!$H$145+'PTRM input'!$H$111)*$H$7)/A3taxstdlife))</f>
        <v>0</v>
      </c>
      <c r="AK509" s="107">
        <f>IF(A3taxstdlife="n/a","n/a",IF(AK$3&gt;(A3taxstdlife+$E509),(('PTRM input'!$H$145+'PTRM input'!$H$111)*$H$7)-SUM($H509:AJ509),(('PTRM input'!$H$145+'PTRM input'!$H$111)*$H$7)/A3taxstdlife))</f>
        <v>0</v>
      </c>
      <c r="AL509" s="107">
        <f>IF(A3taxstdlife="n/a","n/a",IF(AL$3&gt;(A3taxstdlife+$E509),(('PTRM input'!$H$145+'PTRM input'!$H$111)*$H$7)-SUM($H509:AK509),(('PTRM input'!$H$145+'PTRM input'!$H$111)*$H$7)/A3taxstdlife))</f>
        <v>0</v>
      </c>
      <c r="AM509" s="107">
        <f>IF(A3taxstdlife="n/a","n/a",IF(AM$3&gt;(A3taxstdlife+$E509),(('PTRM input'!$H$145+'PTRM input'!$H$111)*$H$7)-SUM($H509:AL509),(('PTRM input'!$H$145+'PTRM input'!$H$111)*$H$7)/A3taxstdlife))</f>
        <v>0</v>
      </c>
      <c r="AN509" s="107">
        <f>IF(A3taxstdlife="n/a","n/a",IF(AN$3&gt;(A3taxstdlife+$E509),(('PTRM input'!$H$145+'PTRM input'!$H$111)*$H$7)-SUM($H509:AM509),(('PTRM input'!$H$145+'PTRM input'!$H$111)*$H$7)/A3taxstdlife))</f>
        <v>0</v>
      </c>
      <c r="AO509" s="107">
        <f>IF(A3taxstdlife="n/a","n/a",IF(AO$3&gt;(A3taxstdlife+$E509),(('PTRM input'!$H$145+'PTRM input'!$H$111)*$H$7)-SUM($H509:AN509),(('PTRM input'!$H$145+'PTRM input'!$H$111)*$H$7)/A3taxstdlife))</f>
        <v>0</v>
      </c>
      <c r="AP509" s="107">
        <f>IF(A3taxstdlife="n/a","n/a",IF(AP$3&gt;(A3taxstdlife+$E509),(('PTRM input'!$H$145+'PTRM input'!$H$111)*$H$7)-SUM($H509:AO509),(('PTRM input'!$H$145+'PTRM input'!$H$111)*$H$7)/A3taxstdlife))</f>
        <v>0</v>
      </c>
      <c r="AQ509" s="107">
        <f>IF(A3taxstdlife="n/a","n/a",IF(AQ$3&gt;(A3taxstdlife+$E509),(('PTRM input'!$H$145+'PTRM input'!$H$111)*$H$7)-SUM($H509:AP509),(('PTRM input'!$H$145+'PTRM input'!$H$111)*$H$7)/A3taxstdlife))</f>
        <v>0</v>
      </c>
      <c r="AR509" s="107">
        <f>IF(A3taxstdlife="n/a","n/a",IF(AR$3&gt;(A3taxstdlife+$E509),(('PTRM input'!$H$145+'PTRM input'!$H$111)*$H$7)-SUM($H509:AQ509),(('PTRM input'!$H$145+'PTRM input'!$H$111)*$H$7)/A3taxstdlife))</f>
        <v>0</v>
      </c>
      <c r="AS509" s="107">
        <f>IF(A3taxstdlife="n/a","n/a",IF(AS$3&gt;(A3taxstdlife+$E509),(('PTRM input'!$H$145+'PTRM input'!$H$111)*$H$7)-SUM($H509:AR509),(('PTRM input'!$H$145+'PTRM input'!$H$111)*$H$7)/A3taxstdlife))</f>
        <v>0</v>
      </c>
      <c r="AT509" s="107">
        <f>IF(A3taxstdlife="n/a","n/a",IF(AT$3&gt;(A3taxstdlife+$E509),(('PTRM input'!$H$145+'PTRM input'!$H$111)*$H$7)-SUM($H509:AS509),(('PTRM input'!$H$145+'PTRM input'!$H$111)*$H$7)/A3taxstdlife))</f>
        <v>0</v>
      </c>
      <c r="AU509" s="107">
        <f>IF(A3taxstdlife="n/a","n/a",IF(AU$3&gt;(A3taxstdlife+$E509),(('PTRM input'!$H$145+'PTRM input'!$H$111)*$H$7)-SUM($H509:AT509),(('PTRM input'!$H$145+'PTRM input'!$H$111)*$H$7)/A3taxstdlife))</f>
        <v>0</v>
      </c>
      <c r="AV509" s="107">
        <f>IF(A3taxstdlife="n/a","n/a",IF(AV$3&gt;(A3taxstdlife+$E509),(('PTRM input'!$H$145+'PTRM input'!$H$111)*$H$7)-SUM($H509:AU509),(('PTRM input'!$H$145+'PTRM input'!$H$111)*$H$7)/A3taxstdlife))</f>
        <v>0</v>
      </c>
      <c r="AW509" s="107">
        <f>IF(A3taxstdlife="n/a","n/a",IF(AW$3&gt;(A3taxstdlife+$E509),(('PTRM input'!$H$145+'PTRM input'!$H$111)*$H$7)-SUM($H509:AV509),(('PTRM input'!$H$145+'PTRM input'!$H$111)*$H$7)/A3taxstdlife))</f>
        <v>0</v>
      </c>
      <c r="AX509" s="107">
        <f>IF(A3taxstdlife="n/a","n/a",IF(AX$3&gt;(A3taxstdlife+$E509),(('PTRM input'!$H$145+'PTRM input'!$H$111)*$H$7)-SUM($H509:AW509),(('PTRM input'!$H$145+'PTRM input'!$H$111)*$H$7)/A3taxstdlife))</f>
        <v>0</v>
      </c>
      <c r="AY509" s="107">
        <f>IF(A3taxstdlife="n/a","n/a",IF(AY$3&gt;(A3taxstdlife+$E509),(('PTRM input'!$H$145+'PTRM input'!$H$111)*$H$7)-SUM($H509:AX509),(('PTRM input'!$H$145+'PTRM input'!$H$111)*$H$7)/A3taxstdlife))</f>
        <v>0</v>
      </c>
      <c r="AZ509" s="107">
        <f>IF(A3taxstdlife="n/a","n/a",IF(AZ$3&gt;(A3taxstdlife+$E509),(('PTRM input'!$H$145+'PTRM input'!$H$111)*$H$7)-SUM($H509:AY509),(('PTRM input'!$H$145+'PTRM input'!$H$111)*$H$7)/A3taxstdlife))</f>
        <v>0</v>
      </c>
      <c r="BA509" s="107">
        <f>IF(A3taxstdlife="n/a","n/a",IF(BA$3&gt;(A3taxstdlife+$E509),(('PTRM input'!$H$145+'PTRM input'!$H$111)*$H$7)-SUM($H509:AZ509),(('PTRM input'!$H$145+'PTRM input'!$H$111)*$H$7)/A3taxstdlife))</f>
        <v>0</v>
      </c>
      <c r="BB509" s="107">
        <f>IF(A3taxstdlife="n/a","n/a",IF(BB$3&gt;(A3taxstdlife+$E509),(('PTRM input'!$H$145+'PTRM input'!$H$111)*$H$7)-SUM($H509:BA509),(('PTRM input'!$H$145+'PTRM input'!$H$111)*$H$7)/A3taxstdlife))</f>
        <v>0</v>
      </c>
      <c r="BC509" s="107">
        <f>IF(A3taxstdlife="n/a","n/a",IF(BC$3&gt;(A3taxstdlife+$E509),(('PTRM input'!$H$145+'PTRM input'!$H$111)*$H$7)-SUM($H509:BB509),(('PTRM input'!$H$145+'PTRM input'!$H$111)*$H$7)/A3taxstdlife))</f>
        <v>0</v>
      </c>
      <c r="BD509" s="107">
        <f>IF(A3taxstdlife="n/a","n/a",IF(BD$3&gt;(A3taxstdlife+$E509),(('PTRM input'!$H$145+'PTRM input'!$H$111)*$H$7)-SUM($H509:BC509),(('PTRM input'!$H$145+'PTRM input'!$H$111)*$H$7)/A3taxstdlife))</f>
        <v>0</v>
      </c>
      <c r="BE509" s="107">
        <f>IF(A3taxstdlife="n/a","n/a",IF(BE$3&gt;(A3taxstdlife+$E509),(('PTRM input'!$H$145+'PTRM input'!$H$111)*$H$7)-SUM($H509:BD509),(('PTRM input'!$H$145+'PTRM input'!$H$111)*$H$7)/A3taxstdlife))</f>
        <v>0</v>
      </c>
      <c r="BF509" s="107">
        <f>IF(A3taxstdlife="n/a","n/a",IF(BF$3&gt;(A3taxstdlife+$E509),(('PTRM input'!$H$145+'PTRM input'!$H$111)*$H$7)-SUM($H509:BE509),(('PTRM input'!$H$145+'PTRM input'!$H$111)*$H$7)/A3taxstdlife))</f>
        <v>0</v>
      </c>
      <c r="BG509" s="107">
        <f>IF(A3taxstdlife="n/a","n/a",IF(BG$3&gt;(A3taxstdlife+$E509),(('PTRM input'!$H$145+'PTRM input'!$H$111)*$H$7)-SUM($H509:BF509),(('PTRM input'!$H$145+'PTRM input'!$H$111)*$H$7)/A3taxstdlife))</f>
        <v>0</v>
      </c>
      <c r="BH509" s="107">
        <f>IF(A3taxstdlife="n/a","n/a",IF(BH$3&gt;(A3taxstdlife+$E509),(('PTRM input'!$H$145+'PTRM input'!$H$111)*$H$7)-SUM($H509:BG509),(('PTRM input'!$H$145+'PTRM input'!$H$111)*$H$7)/A3taxstdlife))</f>
        <v>0</v>
      </c>
      <c r="BI509" s="107">
        <f>IF(A3taxstdlife="n/a","n/a",IF(BI$3&gt;(A3taxstdlife+$E509),(('PTRM input'!$H$145+'PTRM input'!$H$111)*$H$7)-SUM($H509:BH509),(('PTRM input'!$H$145+'PTRM input'!$H$111)*$H$7)/A3taxstdlife))</f>
        <v>0</v>
      </c>
      <c r="BJ509" s="18"/>
      <c r="BK509" s="18"/>
      <c r="BL509" s="18"/>
      <c r="BM509" s="18"/>
    </row>
    <row r="510" spans="1:65" s="4" customFormat="1" hidden="1" outlineLevel="2">
      <c r="A510" s="18"/>
      <c r="B510" s="18"/>
      <c r="C510" s="33"/>
      <c r="D510" s="1618"/>
      <c r="E510" s="169">
        <v>3</v>
      </c>
      <c r="F510" s="35"/>
      <c r="G510" s="184"/>
      <c r="H510" s="1443"/>
      <c r="I510" s="185"/>
      <c r="J510" s="107">
        <f>IF(A3taxstdlife="n/a","n/a",IF(J$3&gt;(A3taxstdlife+$E510),(('PTRM input'!$I$145+'PTRM input'!$I$111)*$I$7)-SUM($I510:I510),(('PTRM input'!$I$145+'PTRM input'!$I$111)*$I$7)/A3taxstdlife))</f>
        <v>0.40010906678592889</v>
      </c>
      <c r="K510" s="107">
        <f>IF(A3taxstdlife="n/a","n/a",IF(K$3&gt;(A3taxstdlife+$E510),(('PTRM input'!$I$145+'PTRM input'!$I$111)*$I$7)-SUM($I510:J510),(('PTRM input'!$I$145+'PTRM input'!$I$111)*$I$7)/A3taxstdlife))</f>
        <v>0.40010906678592889</v>
      </c>
      <c r="L510" s="107">
        <f>IF(A3taxstdlife="n/a","n/a",IF(L$3&gt;(A3taxstdlife+$E510),(('PTRM input'!$I$145+'PTRM input'!$I$111)*$I$7)-SUM($I510:K510),(('PTRM input'!$I$145+'PTRM input'!$I$111)*$I$7)/A3taxstdlife))</f>
        <v>0.40010906678592889</v>
      </c>
      <c r="M510" s="107">
        <f>IF(A3taxstdlife="n/a","n/a",IF(M$3&gt;(A3taxstdlife+$E510),(('PTRM input'!$I$145+'PTRM input'!$I$111)*$I$7)-SUM($I510:L510),(('PTRM input'!$I$145+'PTRM input'!$I$111)*$I$7)/A3taxstdlife))</f>
        <v>0.40010906678592889</v>
      </c>
      <c r="N510" s="107">
        <f>IF(A3taxstdlife="n/a","n/a",IF(N$3&gt;(A3taxstdlife+$E510),(('PTRM input'!$I$145+'PTRM input'!$I$111)*$I$7)-SUM($I510:M510),(('PTRM input'!$I$145+'PTRM input'!$I$111)*$I$7)/A3taxstdlife))</f>
        <v>0.40010906678592889</v>
      </c>
      <c r="O510" s="107">
        <f>IF(A3taxstdlife="n/a","n/a",IF(O$3&gt;(A3taxstdlife+$E510),(('PTRM input'!$I$145+'PTRM input'!$I$111)*$I$7)-SUM($I510:N510),(('PTRM input'!$I$145+'PTRM input'!$I$111)*$I$7)/A3taxstdlife))</f>
        <v>0.40010906678592889</v>
      </c>
      <c r="P510" s="107">
        <f>IF(A3taxstdlife="n/a","n/a",IF(P$3&gt;(A3taxstdlife+$E510),(('PTRM input'!$I$145+'PTRM input'!$I$111)*$I$7)-SUM($I510:O510),(('PTRM input'!$I$145+'PTRM input'!$I$111)*$I$7)/A3taxstdlife))</f>
        <v>0.40010906678592889</v>
      </c>
      <c r="Q510" s="107">
        <f>IF(A3taxstdlife="n/a","n/a",IF(Q$3&gt;(A3taxstdlife+$E510),(('PTRM input'!$I$145+'PTRM input'!$I$111)*$I$7)-SUM($I510:P510),(('PTRM input'!$I$145+'PTRM input'!$I$111)*$I$7)/A3taxstdlife))</f>
        <v>0.40010906678592889</v>
      </c>
      <c r="R510" s="107">
        <f>IF(A3taxstdlife="n/a","n/a",IF(R$3&gt;(A3taxstdlife+$E510),(('PTRM input'!$I$145+'PTRM input'!$I$111)*$I$7)-SUM($I510:Q510),(('PTRM input'!$I$145+'PTRM input'!$I$111)*$I$7)/A3taxstdlife))</f>
        <v>0.40010906678592889</v>
      </c>
      <c r="S510" s="107">
        <f>IF(A3taxstdlife="n/a","n/a",IF(S$3&gt;(A3taxstdlife+$E510),(('PTRM input'!$I$145+'PTRM input'!$I$111)*$I$7)-SUM($I510:R510),(('PTRM input'!$I$145+'PTRM input'!$I$111)*$I$7)/A3taxstdlife))</f>
        <v>0.40010906678592889</v>
      </c>
      <c r="T510" s="107">
        <f>IF(A3taxstdlife="n/a","n/a",IF(T$3&gt;(A3taxstdlife+$E510),(('PTRM input'!$I$145+'PTRM input'!$I$111)*$I$7)-SUM($I510:S510),(('PTRM input'!$I$145+'PTRM input'!$I$111)*$I$7)/A3taxstdlife))</f>
        <v>0.40010906678592889</v>
      </c>
      <c r="U510" s="107">
        <f>IF(A3taxstdlife="n/a","n/a",IF(U$3&gt;(A3taxstdlife+$E510),(('PTRM input'!$I$145+'PTRM input'!$I$111)*$I$7)-SUM($I510:T510),(('PTRM input'!$I$145+'PTRM input'!$I$111)*$I$7)/A3taxstdlife))</f>
        <v>0.40010906678592889</v>
      </c>
      <c r="V510" s="107">
        <f>IF(A3taxstdlife="n/a","n/a",IF(V$3&gt;(A3taxstdlife+$E510),(('PTRM input'!$I$145+'PTRM input'!$I$111)*$I$7)-SUM($I510:U510),(('PTRM input'!$I$145+'PTRM input'!$I$111)*$I$7)/A3taxstdlife))</f>
        <v>0.40010906678592889</v>
      </c>
      <c r="W510" s="107">
        <f>IF(A3taxstdlife="n/a","n/a",IF(W$3&gt;(A3taxstdlife+$E510),(('PTRM input'!$I$145+'PTRM input'!$I$111)*$I$7)-SUM($I510:V510),(('PTRM input'!$I$145+'PTRM input'!$I$111)*$I$7)/A3taxstdlife))</f>
        <v>0.40010906678592889</v>
      </c>
      <c r="X510" s="107">
        <f>IF(A3taxstdlife="n/a","n/a",IF(X$3&gt;(A3taxstdlife+$E510),(('PTRM input'!$I$145+'PTRM input'!$I$111)*$I$7)-SUM($I510:W510),(('PTRM input'!$I$145+'PTRM input'!$I$111)*$I$7)/A3taxstdlife))</f>
        <v>0.40010906678592889</v>
      </c>
      <c r="Y510" s="107">
        <f>IF(A3taxstdlife="n/a","n/a",IF(Y$3&gt;(A3taxstdlife+$E510),(('PTRM input'!$I$145+'PTRM input'!$I$111)*$I$7)-SUM($I510:X510),(('PTRM input'!$I$145+'PTRM input'!$I$111)*$I$7)/A3taxstdlife))</f>
        <v>-2.6645352591003757E-15</v>
      </c>
      <c r="Z510" s="107">
        <f>IF(A3taxstdlife="n/a","n/a",IF(Z$3&gt;(A3taxstdlife+$E510),(('PTRM input'!$I$145+'PTRM input'!$I$111)*$I$7)-SUM($I510:Y510),(('PTRM input'!$I$145+'PTRM input'!$I$111)*$I$7)/A3taxstdlife))</f>
        <v>0</v>
      </c>
      <c r="AA510" s="107">
        <f>IF(A3taxstdlife="n/a","n/a",IF(AA$3&gt;(A3taxstdlife+$E510),(('PTRM input'!$I$145+'PTRM input'!$I$111)*$I$7)-SUM($I510:Z510),(('PTRM input'!$I$145+'PTRM input'!$I$111)*$I$7)/A3taxstdlife))</f>
        <v>0</v>
      </c>
      <c r="AB510" s="107">
        <f>IF(A3taxstdlife="n/a","n/a",IF(AB$3&gt;(A3taxstdlife+$E510),(('PTRM input'!$I$145+'PTRM input'!$I$111)*$I$7)-SUM($I510:AA510),(('PTRM input'!$I$145+'PTRM input'!$I$111)*$I$7)/A3taxstdlife))</f>
        <v>0</v>
      </c>
      <c r="AC510" s="107">
        <f>IF(A3taxstdlife="n/a","n/a",IF(AC$3&gt;(A3taxstdlife+$E510),(('PTRM input'!$I$145+'PTRM input'!$I$111)*$I$7)-SUM($I510:AB510),(('PTRM input'!$I$145+'PTRM input'!$I$111)*$I$7)/A3taxstdlife))</f>
        <v>0</v>
      </c>
      <c r="AD510" s="107">
        <f>IF(A3taxstdlife="n/a","n/a",IF(AD$3&gt;(A3taxstdlife+$E510),(('PTRM input'!$I$145+'PTRM input'!$I$111)*$I$7)-SUM($I510:AC510),(('PTRM input'!$I$145+'PTRM input'!$I$111)*$I$7)/A3taxstdlife))</f>
        <v>0</v>
      </c>
      <c r="AE510" s="107">
        <f>IF(A3taxstdlife="n/a","n/a",IF(AE$3&gt;(A3taxstdlife+$E510),(('PTRM input'!$I$145+'PTRM input'!$I$111)*$I$7)-SUM($I510:AD510),(('PTRM input'!$I$145+'PTRM input'!$I$111)*$I$7)/A3taxstdlife))</f>
        <v>0</v>
      </c>
      <c r="AF510" s="107">
        <f>IF(A3taxstdlife="n/a","n/a",IF(AF$3&gt;(A3taxstdlife+$E510),(('PTRM input'!$I$145+'PTRM input'!$I$111)*$I$7)-SUM($I510:AE510),(('PTRM input'!$I$145+'PTRM input'!$I$111)*$I$7)/A3taxstdlife))</f>
        <v>0</v>
      </c>
      <c r="AG510" s="107">
        <f>IF(A3taxstdlife="n/a","n/a",IF(AG$3&gt;(A3taxstdlife+$E510),(('PTRM input'!$I$145+'PTRM input'!$I$111)*$I$7)-SUM($I510:AF510),(('PTRM input'!$I$145+'PTRM input'!$I$111)*$I$7)/A3taxstdlife))</f>
        <v>0</v>
      </c>
      <c r="AH510" s="107">
        <f>IF(A3taxstdlife="n/a","n/a",IF(AH$3&gt;(A3taxstdlife+$E510),(('PTRM input'!$I$145+'PTRM input'!$I$111)*$I$7)-SUM($I510:AG510),(('PTRM input'!$I$145+'PTRM input'!$I$111)*$I$7)/A3taxstdlife))</f>
        <v>0</v>
      </c>
      <c r="AI510" s="107">
        <f>IF(A3taxstdlife="n/a","n/a",IF(AI$3&gt;(A3taxstdlife+$E510),(('PTRM input'!$I$145+'PTRM input'!$I$111)*$I$7)-SUM($I510:AH510),(('PTRM input'!$I$145+'PTRM input'!$I$111)*$I$7)/A3taxstdlife))</f>
        <v>0</v>
      </c>
      <c r="AJ510" s="107">
        <f>IF(A3taxstdlife="n/a","n/a",IF(AJ$3&gt;(A3taxstdlife+$E510),(('PTRM input'!$I$145+'PTRM input'!$I$111)*$I$7)-SUM($I510:AI510),(('PTRM input'!$I$145+'PTRM input'!$I$111)*$I$7)/A3taxstdlife))</f>
        <v>0</v>
      </c>
      <c r="AK510" s="107">
        <f>IF(A3taxstdlife="n/a","n/a",IF(AK$3&gt;(A3taxstdlife+$E510),(('PTRM input'!$I$145+'PTRM input'!$I$111)*$I$7)-SUM($I510:AJ510),(('PTRM input'!$I$145+'PTRM input'!$I$111)*$I$7)/A3taxstdlife))</f>
        <v>0</v>
      </c>
      <c r="AL510" s="107">
        <f>IF(A3taxstdlife="n/a","n/a",IF(AL$3&gt;(A3taxstdlife+$E510),(('PTRM input'!$I$145+'PTRM input'!$I$111)*$I$7)-SUM($I510:AK510),(('PTRM input'!$I$145+'PTRM input'!$I$111)*$I$7)/A3taxstdlife))</f>
        <v>0</v>
      </c>
      <c r="AM510" s="107">
        <f>IF(A3taxstdlife="n/a","n/a",IF(AM$3&gt;(A3taxstdlife+$E510),(('PTRM input'!$I$145+'PTRM input'!$I$111)*$I$7)-SUM($I510:AL510),(('PTRM input'!$I$145+'PTRM input'!$I$111)*$I$7)/A3taxstdlife))</f>
        <v>0</v>
      </c>
      <c r="AN510" s="107">
        <f>IF(A3taxstdlife="n/a","n/a",IF(AN$3&gt;(A3taxstdlife+$E510),(('PTRM input'!$I$145+'PTRM input'!$I$111)*$I$7)-SUM($I510:AM510),(('PTRM input'!$I$145+'PTRM input'!$I$111)*$I$7)/A3taxstdlife))</f>
        <v>0</v>
      </c>
      <c r="AO510" s="107">
        <f>IF(A3taxstdlife="n/a","n/a",IF(AO$3&gt;(A3taxstdlife+$E510),(('PTRM input'!$I$145+'PTRM input'!$I$111)*$I$7)-SUM($I510:AN510),(('PTRM input'!$I$145+'PTRM input'!$I$111)*$I$7)/A3taxstdlife))</f>
        <v>0</v>
      </c>
      <c r="AP510" s="107">
        <f>IF(A3taxstdlife="n/a","n/a",IF(AP$3&gt;(A3taxstdlife+$E510),(('PTRM input'!$I$145+'PTRM input'!$I$111)*$I$7)-SUM($I510:AO510),(('PTRM input'!$I$145+'PTRM input'!$I$111)*$I$7)/A3taxstdlife))</f>
        <v>0</v>
      </c>
      <c r="AQ510" s="107">
        <f>IF(A3taxstdlife="n/a","n/a",IF(AQ$3&gt;(A3taxstdlife+$E510),(('PTRM input'!$I$145+'PTRM input'!$I$111)*$I$7)-SUM($I510:AP510),(('PTRM input'!$I$145+'PTRM input'!$I$111)*$I$7)/A3taxstdlife))</f>
        <v>0</v>
      </c>
      <c r="AR510" s="107">
        <f>IF(A3taxstdlife="n/a","n/a",IF(AR$3&gt;(A3taxstdlife+$E510),(('PTRM input'!$I$145+'PTRM input'!$I$111)*$I$7)-SUM($I510:AQ510),(('PTRM input'!$I$145+'PTRM input'!$I$111)*$I$7)/A3taxstdlife))</f>
        <v>0</v>
      </c>
      <c r="AS510" s="107">
        <f>IF(A3taxstdlife="n/a","n/a",IF(AS$3&gt;(A3taxstdlife+$E510),(('PTRM input'!$I$145+'PTRM input'!$I$111)*$I$7)-SUM($I510:AR510),(('PTRM input'!$I$145+'PTRM input'!$I$111)*$I$7)/A3taxstdlife))</f>
        <v>0</v>
      </c>
      <c r="AT510" s="107">
        <f>IF(A3taxstdlife="n/a","n/a",IF(AT$3&gt;(A3taxstdlife+$E510),(('PTRM input'!$I$145+'PTRM input'!$I$111)*$I$7)-SUM($I510:AS510),(('PTRM input'!$I$145+'PTRM input'!$I$111)*$I$7)/A3taxstdlife))</f>
        <v>0</v>
      </c>
      <c r="AU510" s="107">
        <f>IF(A3taxstdlife="n/a","n/a",IF(AU$3&gt;(A3taxstdlife+$E510),(('PTRM input'!$I$145+'PTRM input'!$I$111)*$I$7)-SUM($I510:AT510),(('PTRM input'!$I$145+'PTRM input'!$I$111)*$I$7)/A3taxstdlife))</f>
        <v>0</v>
      </c>
      <c r="AV510" s="107">
        <f>IF(A3taxstdlife="n/a","n/a",IF(AV$3&gt;(A3taxstdlife+$E510),(('PTRM input'!$I$145+'PTRM input'!$I$111)*$I$7)-SUM($I510:AU510),(('PTRM input'!$I$145+'PTRM input'!$I$111)*$I$7)/A3taxstdlife))</f>
        <v>0</v>
      </c>
      <c r="AW510" s="107">
        <f>IF(A3taxstdlife="n/a","n/a",IF(AW$3&gt;(A3taxstdlife+$E510),(('PTRM input'!$I$145+'PTRM input'!$I$111)*$I$7)-SUM($I510:AV510),(('PTRM input'!$I$145+'PTRM input'!$I$111)*$I$7)/A3taxstdlife))</f>
        <v>0</v>
      </c>
      <c r="AX510" s="107">
        <f>IF(A3taxstdlife="n/a","n/a",IF(AX$3&gt;(A3taxstdlife+$E510),(('PTRM input'!$I$145+'PTRM input'!$I$111)*$I$7)-SUM($I510:AW510),(('PTRM input'!$I$145+'PTRM input'!$I$111)*$I$7)/A3taxstdlife))</f>
        <v>0</v>
      </c>
      <c r="AY510" s="107">
        <f>IF(A3taxstdlife="n/a","n/a",IF(AY$3&gt;(A3taxstdlife+$E510),(('PTRM input'!$I$145+'PTRM input'!$I$111)*$I$7)-SUM($I510:AX510),(('PTRM input'!$I$145+'PTRM input'!$I$111)*$I$7)/A3taxstdlife))</f>
        <v>0</v>
      </c>
      <c r="AZ510" s="107">
        <f>IF(A3taxstdlife="n/a","n/a",IF(AZ$3&gt;(A3taxstdlife+$E510),(('PTRM input'!$I$145+'PTRM input'!$I$111)*$I$7)-SUM($I510:AY510),(('PTRM input'!$I$145+'PTRM input'!$I$111)*$I$7)/A3taxstdlife))</f>
        <v>0</v>
      </c>
      <c r="BA510" s="107">
        <f>IF(A3taxstdlife="n/a","n/a",IF(BA$3&gt;(A3taxstdlife+$E510),(('PTRM input'!$I$145+'PTRM input'!$I$111)*$I$7)-SUM($I510:AZ510),(('PTRM input'!$I$145+'PTRM input'!$I$111)*$I$7)/A3taxstdlife))</f>
        <v>0</v>
      </c>
      <c r="BB510" s="107">
        <f>IF(A3taxstdlife="n/a","n/a",IF(BB$3&gt;(A3taxstdlife+$E510),(('PTRM input'!$I$145+'PTRM input'!$I$111)*$I$7)-SUM($I510:BA510),(('PTRM input'!$I$145+'PTRM input'!$I$111)*$I$7)/A3taxstdlife))</f>
        <v>0</v>
      </c>
      <c r="BC510" s="107">
        <f>IF(A3taxstdlife="n/a","n/a",IF(BC$3&gt;(A3taxstdlife+$E510),(('PTRM input'!$I$145+'PTRM input'!$I$111)*$I$7)-SUM($I510:BB510),(('PTRM input'!$I$145+'PTRM input'!$I$111)*$I$7)/A3taxstdlife))</f>
        <v>0</v>
      </c>
      <c r="BD510" s="107">
        <f>IF(A3taxstdlife="n/a","n/a",IF(BD$3&gt;(A3taxstdlife+$E510),(('PTRM input'!$I$145+'PTRM input'!$I$111)*$I$7)-SUM($I510:BC510),(('PTRM input'!$I$145+'PTRM input'!$I$111)*$I$7)/A3taxstdlife))</f>
        <v>0</v>
      </c>
      <c r="BE510" s="107">
        <f>IF(A3taxstdlife="n/a","n/a",IF(BE$3&gt;(A3taxstdlife+$E510),(('PTRM input'!$I$145+'PTRM input'!$I$111)*$I$7)-SUM($I510:BD510),(('PTRM input'!$I$145+'PTRM input'!$I$111)*$I$7)/A3taxstdlife))</f>
        <v>0</v>
      </c>
      <c r="BF510" s="107">
        <f>IF(A3taxstdlife="n/a","n/a",IF(BF$3&gt;(A3taxstdlife+$E510),(('PTRM input'!$I$145+'PTRM input'!$I$111)*$I$7)-SUM($I510:BE510),(('PTRM input'!$I$145+'PTRM input'!$I$111)*$I$7)/A3taxstdlife))</f>
        <v>0</v>
      </c>
      <c r="BG510" s="107">
        <f>IF(A3taxstdlife="n/a","n/a",IF(BG$3&gt;(A3taxstdlife+$E510),(('PTRM input'!$I$145+'PTRM input'!$I$111)*$I$7)-SUM($I510:BF510),(('PTRM input'!$I$145+'PTRM input'!$I$111)*$I$7)/A3taxstdlife))</f>
        <v>0</v>
      </c>
      <c r="BH510" s="107">
        <f>IF(A3taxstdlife="n/a","n/a",IF(BH$3&gt;(A3taxstdlife+$E510),(('PTRM input'!$I$145+'PTRM input'!$I$111)*$I$7)-SUM($I510:BG510),(('PTRM input'!$I$145+'PTRM input'!$I$111)*$I$7)/A3taxstdlife))</f>
        <v>0</v>
      </c>
      <c r="BI510" s="107">
        <f>IF(A3taxstdlife="n/a","n/a",IF(BI$3&gt;(A3taxstdlife+$E510),(('PTRM input'!$I$145+'PTRM input'!$I$111)*$I$7)-SUM($I510:BH510),(('PTRM input'!$I$145+'PTRM input'!$I$111)*$I$7)/A3taxstdlife))</f>
        <v>0</v>
      </c>
      <c r="BJ510" s="18"/>
      <c r="BK510" s="18"/>
      <c r="BL510" s="18"/>
      <c r="BM510" s="18"/>
    </row>
    <row r="511" spans="1:65" s="4" customFormat="1" hidden="1" outlineLevel="2">
      <c r="A511" s="18"/>
      <c r="B511" s="18"/>
      <c r="C511" s="33"/>
      <c r="D511" s="1618"/>
      <c r="E511" s="169">
        <v>4</v>
      </c>
      <c r="F511" s="35"/>
      <c r="G511" s="184"/>
      <c r="H511" s="1443"/>
      <c r="I511" s="186"/>
      <c r="J511" s="185"/>
      <c r="K511" s="107">
        <f>IF(A3taxstdlife="n/a","n/a",IF(K$3&gt;(A3taxstdlife+$E511),(('PTRM input'!$J$145+'PTRM input'!$J$111)*$J$7)-SUM($J511:J511),(('PTRM input'!$J$145+'PTRM input'!$J$111)*$J$7)/A3taxstdlife))</f>
        <v>0.42436785008428224</v>
      </c>
      <c r="L511" s="107">
        <f>IF(A3taxstdlife="n/a","n/a",IF(L$3&gt;(A3taxstdlife+$E511),(('PTRM input'!$J$145+'PTRM input'!$J$111)*$J$7)-SUM($J511:K511),(('PTRM input'!$J$145+'PTRM input'!$J$111)*$J$7)/A3taxstdlife))</f>
        <v>0.42436785008428224</v>
      </c>
      <c r="M511" s="107">
        <f>IF(A3taxstdlife="n/a","n/a",IF(M$3&gt;(A3taxstdlife+$E511),(('PTRM input'!$J$145+'PTRM input'!$J$111)*$J$7)-SUM($J511:L511),(('PTRM input'!$J$145+'PTRM input'!$J$111)*$J$7)/A3taxstdlife))</f>
        <v>0.42436785008428224</v>
      </c>
      <c r="N511" s="107">
        <f>IF(A3taxstdlife="n/a","n/a",IF(N$3&gt;(A3taxstdlife+$E511),(('PTRM input'!$J$145+'PTRM input'!$J$111)*$J$7)-SUM($J511:M511),(('PTRM input'!$J$145+'PTRM input'!$J$111)*$J$7)/A3taxstdlife))</f>
        <v>0.42436785008428224</v>
      </c>
      <c r="O511" s="107">
        <f>IF(A3taxstdlife="n/a","n/a",IF(O$3&gt;(A3taxstdlife+$E511),(('PTRM input'!$J$145+'PTRM input'!$J$111)*$J$7)-SUM($J511:N511),(('PTRM input'!$J$145+'PTRM input'!$J$111)*$J$7)/A3taxstdlife))</f>
        <v>0.42436785008428224</v>
      </c>
      <c r="P511" s="107">
        <f>IF(A3taxstdlife="n/a","n/a",IF(P$3&gt;(A3taxstdlife+$E511),(('PTRM input'!$J$145+'PTRM input'!$J$111)*$J$7)-SUM($J511:O511),(('PTRM input'!$J$145+'PTRM input'!$J$111)*$J$7)/A3taxstdlife))</f>
        <v>0.42436785008428224</v>
      </c>
      <c r="Q511" s="107">
        <f>IF(A3taxstdlife="n/a","n/a",IF(Q$3&gt;(A3taxstdlife+$E511),(('PTRM input'!$J$145+'PTRM input'!$J$111)*$J$7)-SUM($J511:P511),(('PTRM input'!$J$145+'PTRM input'!$J$111)*$J$7)/A3taxstdlife))</f>
        <v>0.42436785008428224</v>
      </c>
      <c r="R511" s="107">
        <f>IF(A3taxstdlife="n/a","n/a",IF(R$3&gt;(A3taxstdlife+$E511),(('PTRM input'!$J$145+'PTRM input'!$J$111)*$J$7)-SUM($J511:Q511),(('PTRM input'!$J$145+'PTRM input'!$J$111)*$J$7)/A3taxstdlife))</f>
        <v>0.42436785008428224</v>
      </c>
      <c r="S511" s="107">
        <f>IF(A3taxstdlife="n/a","n/a",IF(S$3&gt;(A3taxstdlife+$E511),(('PTRM input'!$J$145+'PTRM input'!$J$111)*$J$7)-SUM($J511:R511),(('PTRM input'!$J$145+'PTRM input'!$J$111)*$J$7)/A3taxstdlife))</f>
        <v>0.42436785008428224</v>
      </c>
      <c r="T511" s="107">
        <f>IF(A3taxstdlife="n/a","n/a",IF(T$3&gt;(A3taxstdlife+$E511),(('PTRM input'!$J$145+'PTRM input'!$J$111)*$J$7)-SUM($J511:S511),(('PTRM input'!$J$145+'PTRM input'!$J$111)*$J$7)/A3taxstdlife))</f>
        <v>0.42436785008428224</v>
      </c>
      <c r="U511" s="107">
        <f>IF(A3taxstdlife="n/a","n/a",IF(U$3&gt;(A3taxstdlife+$E511),(('PTRM input'!$J$145+'PTRM input'!$J$111)*$J$7)-SUM($J511:T511),(('PTRM input'!$J$145+'PTRM input'!$J$111)*$J$7)/A3taxstdlife))</f>
        <v>0.42436785008428224</v>
      </c>
      <c r="V511" s="107">
        <f>IF(A3taxstdlife="n/a","n/a",IF(V$3&gt;(A3taxstdlife+$E511),(('PTRM input'!$J$145+'PTRM input'!$J$111)*$J$7)-SUM($J511:U511),(('PTRM input'!$J$145+'PTRM input'!$J$111)*$J$7)/A3taxstdlife))</f>
        <v>0.42436785008428224</v>
      </c>
      <c r="W511" s="107">
        <f>IF(A3taxstdlife="n/a","n/a",IF(W$3&gt;(A3taxstdlife+$E511),(('PTRM input'!$J$145+'PTRM input'!$J$111)*$J$7)-SUM($J511:V511),(('PTRM input'!$J$145+'PTRM input'!$J$111)*$J$7)/A3taxstdlife))</f>
        <v>0.42436785008428224</v>
      </c>
      <c r="X511" s="107">
        <f>IF(A3taxstdlife="n/a","n/a",IF(X$3&gt;(A3taxstdlife+$E511),(('PTRM input'!$J$145+'PTRM input'!$J$111)*$J$7)-SUM($J511:W511),(('PTRM input'!$J$145+'PTRM input'!$J$111)*$J$7)/A3taxstdlife))</f>
        <v>0.42436785008428224</v>
      </c>
      <c r="Y511" s="107">
        <f>IF(A3taxstdlife="n/a","n/a",IF(Y$3&gt;(A3taxstdlife+$E511),(('PTRM input'!$J$145+'PTRM input'!$J$111)*$J$7)-SUM($J511:X511),(('PTRM input'!$J$145+'PTRM input'!$J$111)*$J$7)/A3taxstdlife))</f>
        <v>0.42436785008428224</v>
      </c>
      <c r="Z511" s="107">
        <f>IF(A3taxstdlife="n/a","n/a",IF(Z$3&gt;(A3taxstdlife+$E511),(('PTRM input'!$J$145+'PTRM input'!$J$111)*$J$7)-SUM($J511:Y511),(('PTRM input'!$J$145+'PTRM input'!$J$111)*$J$7)/A3taxstdlife))</f>
        <v>0</v>
      </c>
      <c r="AA511" s="107">
        <f>IF(A3taxstdlife="n/a","n/a",IF(AA$3&gt;(A3taxstdlife+$E511),(('PTRM input'!$J$145+'PTRM input'!$J$111)*$J$7)-SUM($J511:Z511),(('PTRM input'!$J$145+'PTRM input'!$J$111)*$J$7)/A3taxstdlife))</f>
        <v>0</v>
      </c>
      <c r="AB511" s="107">
        <f>IF(A3taxstdlife="n/a","n/a",IF(AB$3&gt;(A3taxstdlife+$E511),(('PTRM input'!$J$145+'PTRM input'!$J$111)*$J$7)-SUM($J511:AA511),(('PTRM input'!$J$145+'PTRM input'!$J$111)*$J$7)/A3taxstdlife))</f>
        <v>0</v>
      </c>
      <c r="AC511" s="107">
        <f>IF(A3taxstdlife="n/a","n/a",IF(AC$3&gt;(A3taxstdlife+$E511),(('PTRM input'!$J$145+'PTRM input'!$J$111)*$J$7)-SUM($J511:AB511),(('PTRM input'!$J$145+'PTRM input'!$J$111)*$J$7)/A3taxstdlife))</f>
        <v>0</v>
      </c>
      <c r="AD511" s="107">
        <f>IF(A3taxstdlife="n/a","n/a",IF(AD$3&gt;(A3taxstdlife+$E511),(('PTRM input'!$J$145+'PTRM input'!$J$111)*$J$7)-SUM($J511:AC511),(('PTRM input'!$J$145+'PTRM input'!$J$111)*$J$7)/A3taxstdlife))</f>
        <v>0</v>
      </c>
      <c r="AE511" s="107">
        <f>IF(A3taxstdlife="n/a","n/a",IF(AE$3&gt;(A3taxstdlife+$E511),(('PTRM input'!$J$145+'PTRM input'!$J$111)*$J$7)-SUM($J511:AD511),(('PTRM input'!$J$145+'PTRM input'!$J$111)*$J$7)/A3taxstdlife))</f>
        <v>0</v>
      </c>
      <c r="AF511" s="107">
        <f>IF(A3taxstdlife="n/a","n/a",IF(AF$3&gt;(A3taxstdlife+$E511),(('PTRM input'!$J$145+'PTRM input'!$J$111)*$J$7)-SUM($J511:AE511),(('PTRM input'!$J$145+'PTRM input'!$J$111)*$J$7)/A3taxstdlife))</f>
        <v>0</v>
      </c>
      <c r="AG511" s="107">
        <f>IF(A3taxstdlife="n/a","n/a",IF(AG$3&gt;(A3taxstdlife+$E511),(('PTRM input'!$J$145+'PTRM input'!$J$111)*$J$7)-SUM($J511:AF511),(('PTRM input'!$J$145+'PTRM input'!$J$111)*$J$7)/A3taxstdlife))</f>
        <v>0</v>
      </c>
      <c r="AH511" s="107">
        <f>IF(A3taxstdlife="n/a","n/a",IF(AH$3&gt;(A3taxstdlife+$E511),(('PTRM input'!$J$145+'PTRM input'!$J$111)*$J$7)-SUM($J511:AG511),(('PTRM input'!$J$145+'PTRM input'!$J$111)*$J$7)/A3taxstdlife))</f>
        <v>0</v>
      </c>
      <c r="AI511" s="107">
        <f>IF(A3taxstdlife="n/a","n/a",IF(AI$3&gt;(A3taxstdlife+$E511),(('PTRM input'!$J$145+'PTRM input'!$J$111)*$J$7)-SUM($J511:AH511),(('PTRM input'!$J$145+'PTRM input'!$J$111)*$J$7)/A3taxstdlife))</f>
        <v>0</v>
      </c>
      <c r="AJ511" s="107">
        <f>IF(A3taxstdlife="n/a","n/a",IF(AJ$3&gt;(A3taxstdlife+$E511),(('PTRM input'!$J$145+'PTRM input'!$J$111)*$J$7)-SUM($J511:AI511),(('PTRM input'!$J$145+'PTRM input'!$J$111)*$J$7)/A3taxstdlife))</f>
        <v>0</v>
      </c>
      <c r="AK511" s="107">
        <f>IF(A3taxstdlife="n/a","n/a",IF(AK$3&gt;(A3taxstdlife+$E511),(('PTRM input'!$J$145+'PTRM input'!$J$111)*$J$7)-SUM($J511:AJ511),(('PTRM input'!$J$145+'PTRM input'!$J$111)*$J$7)/A3taxstdlife))</f>
        <v>0</v>
      </c>
      <c r="AL511" s="107">
        <f>IF(A3taxstdlife="n/a","n/a",IF(AL$3&gt;(A3taxstdlife+$E511),(('PTRM input'!$J$145+'PTRM input'!$J$111)*$J$7)-SUM($J511:AK511),(('PTRM input'!$J$145+'PTRM input'!$J$111)*$J$7)/A3taxstdlife))</f>
        <v>0</v>
      </c>
      <c r="AM511" s="107">
        <f>IF(A3taxstdlife="n/a","n/a",IF(AM$3&gt;(A3taxstdlife+$E511),(('PTRM input'!$J$145+'PTRM input'!$J$111)*$J$7)-SUM($J511:AL511),(('PTRM input'!$J$145+'PTRM input'!$J$111)*$J$7)/A3taxstdlife))</f>
        <v>0</v>
      </c>
      <c r="AN511" s="107">
        <f>IF(A3taxstdlife="n/a","n/a",IF(AN$3&gt;(A3taxstdlife+$E511),(('PTRM input'!$J$145+'PTRM input'!$J$111)*$J$7)-SUM($J511:AM511),(('PTRM input'!$J$145+'PTRM input'!$J$111)*$J$7)/A3taxstdlife))</f>
        <v>0</v>
      </c>
      <c r="AO511" s="107">
        <f>IF(A3taxstdlife="n/a","n/a",IF(AO$3&gt;(A3taxstdlife+$E511),(('PTRM input'!$J$145+'PTRM input'!$J$111)*$J$7)-SUM($J511:AN511),(('PTRM input'!$J$145+'PTRM input'!$J$111)*$J$7)/A3taxstdlife))</f>
        <v>0</v>
      </c>
      <c r="AP511" s="107">
        <f>IF(A3taxstdlife="n/a","n/a",IF(AP$3&gt;(A3taxstdlife+$E511),(('PTRM input'!$J$145+'PTRM input'!$J$111)*$J$7)-SUM($J511:AO511),(('PTRM input'!$J$145+'PTRM input'!$J$111)*$J$7)/A3taxstdlife))</f>
        <v>0</v>
      </c>
      <c r="AQ511" s="107">
        <f>IF(A3taxstdlife="n/a","n/a",IF(AQ$3&gt;(A3taxstdlife+$E511),(('PTRM input'!$J$145+'PTRM input'!$J$111)*$J$7)-SUM($J511:AP511),(('PTRM input'!$J$145+'PTRM input'!$J$111)*$J$7)/A3taxstdlife))</f>
        <v>0</v>
      </c>
      <c r="AR511" s="107">
        <f>IF(A3taxstdlife="n/a","n/a",IF(AR$3&gt;(A3taxstdlife+$E511),(('PTRM input'!$J$145+'PTRM input'!$J$111)*$J$7)-SUM($J511:AQ511),(('PTRM input'!$J$145+'PTRM input'!$J$111)*$J$7)/A3taxstdlife))</f>
        <v>0</v>
      </c>
      <c r="AS511" s="107">
        <f>IF(A3taxstdlife="n/a","n/a",IF(AS$3&gt;(A3taxstdlife+$E511),(('PTRM input'!$J$145+'PTRM input'!$J$111)*$J$7)-SUM($J511:AR511),(('PTRM input'!$J$145+'PTRM input'!$J$111)*$J$7)/A3taxstdlife))</f>
        <v>0</v>
      </c>
      <c r="AT511" s="107">
        <f>IF(A3taxstdlife="n/a","n/a",IF(AT$3&gt;(A3taxstdlife+$E511),(('PTRM input'!$J$145+'PTRM input'!$J$111)*$J$7)-SUM($J511:AS511),(('PTRM input'!$J$145+'PTRM input'!$J$111)*$J$7)/A3taxstdlife))</f>
        <v>0</v>
      </c>
      <c r="AU511" s="107">
        <f>IF(A3taxstdlife="n/a","n/a",IF(AU$3&gt;(A3taxstdlife+$E511),(('PTRM input'!$J$145+'PTRM input'!$J$111)*$J$7)-SUM($J511:AT511),(('PTRM input'!$J$145+'PTRM input'!$J$111)*$J$7)/A3taxstdlife))</f>
        <v>0</v>
      </c>
      <c r="AV511" s="107">
        <f>IF(A3taxstdlife="n/a","n/a",IF(AV$3&gt;(A3taxstdlife+$E511),(('PTRM input'!$J$145+'PTRM input'!$J$111)*$J$7)-SUM($J511:AU511),(('PTRM input'!$J$145+'PTRM input'!$J$111)*$J$7)/A3taxstdlife))</f>
        <v>0</v>
      </c>
      <c r="AW511" s="107">
        <f>IF(A3taxstdlife="n/a","n/a",IF(AW$3&gt;(A3taxstdlife+$E511),(('PTRM input'!$J$145+'PTRM input'!$J$111)*$J$7)-SUM($J511:AV511),(('PTRM input'!$J$145+'PTRM input'!$J$111)*$J$7)/A3taxstdlife))</f>
        <v>0</v>
      </c>
      <c r="AX511" s="107">
        <f>IF(A3taxstdlife="n/a","n/a",IF(AX$3&gt;(A3taxstdlife+$E511),(('PTRM input'!$J$145+'PTRM input'!$J$111)*$J$7)-SUM($J511:AW511),(('PTRM input'!$J$145+'PTRM input'!$J$111)*$J$7)/A3taxstdlife))</f>
        <v>0</v>
      </c>
      <c r="AY511" s="107">
        <f>IF(A3taxstdlife="n/a","n/a",IF(AY$3&gt;(A3taxstdlife+$E511),(('PTRM input'!$J$145+'PTRM input'!$J$111)*$J$7)-SUM($J511:AX511),(('PTRM input'!$J$145+'PTRM input'!$J$111)*$J$7)/A3taxstdlife))</f>
        <v>0</v>
      </c>
      <c r="AZ511" s="107">
        <f>IF(A3taxstdlife="n/a","n/a",IF(AZ$3&gt;(A3taxstdlife+$E511),(('PTRM input'!$J$145+'PTRM input'!$J$111)*$J$7)-SUM($J511:AY511),(('PTRM input'!$J$145+'PTRM input'!$J$111)*$J$7)/A3taxstdlife))</f>
        <v>0</v>
      </c>
      <c r="BA511" s="107">
        <f>IF(A3taxstdlife="n/a","n/a",IF(BA$3&gt;(A3taxstdlife+$E511),(('PTRM input'!$J$145+'PTRM input'!$J$111)*$J$7)-SUM($J511:AZ511),(('PTRM input'!$J$145+'PTRM input'!$J$111)*$J$7)/A3taxstdlife))</f>
        <v>0</v>
      </c>
      <c r="BB511" s="107">
        <f>IF(A3taxstdlife="n/a","n/a",IF(BB$3&gt;(A3taxstdlife+$E511),(('PTRM input'!$J$145+'PTRM input'!$J$111)*$J$7)-SUM($J511:BA511),(('PTRM input'!$J$145+'PTRM input'!$J$111)*$J$7)/A3taxstdlife))</f>
        <v>0</v>
      </c>
      <c r="BC511" s="107">
        <f>IF(A3taxstdlife="n/a","n/a",IF(BC$3&gt;(A3taxstdlife+$E511),(('PTRM input'!$J$145+'PTRM input'!$J$111)*$J$7)-SUM($J511:BB511),(('PTRM input'!$J$145+'PTRM input'!$J$111)*$J$7)/A3taxstdlife))</f>
        <v>0</v>
      </c>
      <c r="BD511" s="107">
        <f>IF(A3taxstdlife="n/a","n/a",IF(BD$3&gt;(A3taxstdlife+$E511),(('PTRM input'!$J$145+'PTRM input'!$J$111)*$J$7)-SUM($J511:BC511),(('PTRM input'!$J$145+'PTRM input'!$J$111)*$J$7)/A3taxstdlife))</f>
        <v>0</v>
      </c>
      <c r="BE511" s="107">
        <f>IF(A3taxstdlife="n/a","n/a",IF(BE$3&gt;(A3taxstdlife+$E511),(('PTRM input'!$J$145+'PTRM input'!$J$111)*$J$7)-SUM($J511:BD511),(('PTRM input'!$J$145+'PTRM input'!$J$111)*$J$7)/A3taxstdlife))</f>
        <v>0</v>
      </c>
      <c r="BF511" s="107">
        <f>IF(A3taxstdlife="n/a","n/a",IF(BF$3&gt;(A3taxstdlife+$E511),(('PTRM input'!$J$145+'PTRM input'!$J$111)*$J$7)-SUM($J511:BE511),(('PTRM input'!$J$145+'PTRM input'!$J$111)*$J$7)/A3taxstdlife))</f>
        <v>0</v>
      </c>
      <c r="BG511" s="107">
        <f>IF(A3taxstdlife="n/a","n/a",IF(BG$3&gt;(A3taxstdlife+$E511),(('PTRM input'!$J$145+'PTRM input'!$J$111)*$J$7)-SUM($J511:BF511),(('PTRM input'!$J$145+'PTRM input'!$J$111)*$J$7)/A3taxstdlife))</f>
        <v>0</v>
      </c>
      <c r="BH511" s="107">
        <f>IF(A3taxstdlife="n/a","n/a",IF(BH$3&gt;(A3taxstdlife+$E511),(('PTRM input'!$J$145+'PTRM input'!$J$111)*$J$7)-SUM($J511:BG511),(('PTRM input'!$J$145+'PTRM input'!$J$111)*$J$7)/A3taxstdlife))</f>
        <v>0</v>
      </c>
      <c r="BI511" s="107">
        <f>IF(A3taxstdlife="n/a","n/a",IF(BI$3&gt;(A3taxstdlife+$E511),(('PTRM input'!$J$145+'PTRM input'!$J$111)*$J$7)-SUM($J511:BH511),(('PTRM input'!$J$145+'PTRM input'!$J$111)*$J$7)/A3taxstdlife))</f>
        <v>0</v>
      </c>
      <c r="BJ511" s="18"/>
      <c r="BK511" s="18"/>
      <c r="BL511" s="18"/>
      <c r="BM511" s="18"/>
    </row>
    <row r="512" spans="1:65" s="4" customFormat="1" hidden="1" outlineLevel="2">
      <c r="A512" s="18"/>
      <c r="B512" s="18"/>
      <c r="C512" s="33"/>
      <c r="D512" s="1618"/>
      <c r="E512" s="169">
        <v>5</v>
      </c>
      <c r="F512" s="35"/>
      <c r="G512" s="184"/>
      <c r="H512" s="1443"/>
      <c r="I512" s="186"/>
      <c r="J512" s="186"/>
      <c r="K512" s="185"/>
      <c r="L512" s="107">
        <f>IF(A3taxstdlife="n/a","n/a",IF(L$3&gt;(A3taxstdlife+$E512),(('PTRM input'!$K$145+'PTRM input'!$K$111)*$K$7)-SUM($K512:K512),(('PTRM input'!$K$145+'PTRM input'!$K$111)*$K$7)/A3taxstdlife))</f>
        <v>0.36485577624428606</v>
      </c>
      <c r="M512" s="107">
        <f>IF(A3taxstdlife="n/a","n/a",IF(M$3&gt;(A3taxstdlife+$E512),(('PTRM input'!$K$145+'PTRM input'!$K$111)*$K$7)-SUM($K512:L512),(('PTRM input'!$K$145+'PTRM input'!$K$111)*$K$7)/A3taxstdlife))</f>
        <v>0.36485577624428606</v>
      </c>
      <c r="N512" s="107">
        <f>IF(A3taxstdlife="n/a","n/a",IF(N$3&gt;(A3taxstdlife+$E512),(('PTRM input'!$K$145+'PTRM input'!$K$111)*$K$7)-SUM($K512:M512),(('PTRM input'!$K$145+'PTRM input'!$K$111)*$K$7)/A3taxstdlife))</f>
        <v>0.36485577624428606</v>
      </c>
      <c r="O512" s="107">
        <f>IF(A3taxstdlife="n/a","n/a",IF(O$3&gt;(A3taxstdlife+$E512),(('PTRM input'!$K$145+'PTRM input'!$K$111)*$K$7)-SUM($K512:N512),(('PTRM input'!$K$145+'PTRM input'!$K$111)*$K$7)/A3taxstdlife))</f>
        <v>0.36485577624428606</v>
      </c>
      <c r="P512" s="107">
        <f>IF(A3taxstdlife="n/a","n/a",IF(P$3&gt;(A3taxstdlife+$E512),(('PTRM input'!$K$145+'PTRM input'!$K$111)*$K$7)-SUM($K512:O512),(('PTRM input'!$K$145+'PTRM input'!$K$111)*$K$7)/A3taxstdlife))</f>
        <v>0.36485577624428606</v>
      </c>
      <c r="Q512" s="107">
        <f>IF(A3taxstdlife="n/a","n/a",IF(Q$3&gt;(A3taxstdlife+$E512),(('PTRM input'!$K$145+'PTRM input'!$K$111)*$K$7)-SUM($K512:P512),(('PTRM input'!$K$145+'PTRM input'!$K$111)*$K$7)/A3taxstdlife))</f>
        <v>0.36485577624428606</v>
      </c>
      <c r="R512" s="107">
        <f>IF(A3taxstdlife="n/a","n/a",IF(R$3&gt;(A3taxstdlife+$E512),(('PTRM input'!$K$145+'PTRM input'!$K$111)*$K$7)-SUM($K512:Q512),(('PTRM input'!$K$145+'PTRM input'!$K$111)*$K$7)/A3taxstdlife))</f>
        <v>0.36485577624428606</v>
      </c>
      <c r="S512" s="107">
        <f>IF(A3taxstdlife="n/a","n/a",IF(S$3&gt;(A3taxstdlife+$E512),(('PTRM input'!$K$145+'PTRM input'!$K$111)*$K$7)-SUM($K512:R512),(('PTRM input'!$K$145+'PTRM input'!$K$111)*$K$7)/A3taxstdlife))</f>
        <v>0.36485577624428606</v>
      </c>
      <c r="T512" s="107">
        <f>IF(A3taxstdlife="n/a","n/a",IF(T$3&gt;(A3taxstdlife+$E512),(('PTRM input'!$K$145+'PTRM input'!$K$111)*$K$7)-SUM($K512:S512),(('PTRM input'!$K$145+'PTRM input'!$K$111)*$K$7)/A3taxstdlife))</f>
        <v>0.36485577624428606</v>
      </c>
      <c r="U512" s="107">
        <f>IF(A3taxstdlife="n/a","n/a",IF(U$3&gt;(A3taxstdlife+$E512),(('PTRM input'!$K$145+'PTRM input'!$K$111)*$K$7)-SUM($K512:T512),(('PTRM input'!$K$145+'PTRM input'!$K$111)*$K$7)/A3taxstdlife))</f>
        <v>0.36485577624428606</v>
      </c>
      <c r="V512" s="107">
        <f>IF(A3taxstdlife="n/a","n/a",IF(V$3&gt;(A3taxstdlife+$E512),(('PTRM input'!$K$145+'PTRM input'!$K$111)*$K$7)-SUM($K512:U512),(('PTRM input'!$K$145+'PTRM input'!$K$111)*$K$7)/A3taxstdlife))</f>
        <v>0.36485577624428606</v>
      </c>
      <c r="W512" s="107">
        <f>IF(A3taxstdlife="n/a","n/a",IF(W$3&gt;(A3taxstdlife+$E512),(('PTRM input'!$K$145+'PTRM input'!$K$111)*$K$7)-SUM($K512:V512),(('PTRM input'!$K$145+'PTRM input'!$K$111)*$K$7)/A3taxstdlife))</f>
        <v>0.36485577624428606</v>
      </c>
      <c r="X512" s="107">
        <f>IF(A3taxstdlife="n/a","n/a",IF(X$3&gt;(A3taxstdlife+$E512),(('PTRM input'!$K$145+'PTRM input'!$K$111)*$K$7)-SUM($K512:W512),(('PTRM input'!$K$145+'PTRM input'!$K$111)*$K$7)/A3taxstdlife))</f>
        <v>0.36485577624428606</v>
      </c>
      <c r="Y512" s="107">
        <f>IF(A3taxstdlife="n/a","n/a",IF(Y$3&gt;(A3taxstdlife+$E512),(('PTRM input'!$K$145+'PTRM input'!$K$111)*$K$7)-SUM($K512:X512),(('PTRM input'!$K$145+'PTRM input'!$K$111)*$K$7)/A3taxstdlife))</f>
        <v>0.36485577624428606</v>
      </c>
      <c r="Z512" s="107">
        <f>IF(A3taxstdlife="n/a","n/a",IF(Z$3&gt;(A3taxstdlife+$E512),(('PTRM input'!$K$145+'PTRM input'!$K$111)*$K$7)-SUM($K512:Y512),(('PTRM input'!$K$145+'PTRM input'!$K$111)*$K$7)/A3taxstdlife))</f>
        <v>0.36485577624428606</v>
      </c>
      <c r="AA512" s="107">
        <f>IF(A3taxstdlife="n/a","n/a",IF(AA$3&gt;(A3taxstdlife+$E512),(('PTRM input'!$K$145+'PTRM input'!$K$111)*$K$7)-SUM($K512:Z512),(('PTRM input'!$K$145+'PTRM input'!$K$111)*$K$7)/A3taxstdlife))</f>
        <v>0</v>
      </c>
      <c r="AB512" s="107">
        <f>IF(A3taxstdlife="n/a","n/a",IF(AB$3&gt;(A3taxstdlife+$E512),(('PTRM input'!$K$145+'PTRM input'!$K$111)*$K$7)-SUM($K512:AA512),(('PTRM input'!$K$145+'PTRM input'!$K$111)*$K$7)/A3taxstdlife))</f>
        <v>0</v>
      </c>
      <c r="AC512" s="107">
        <f>IF(A3taxstdlife="n/a","n/a",IF(AC$3&gt;(A3taxstdlife+$E512),(('PTRM input'!$K$145+'PTRM input'!$K$111)*$K$7)-SUM($K512:AB512),(('PTRM input'!$K$145+'PTRM input'!$K$111)*$K$7)/A3taxstdlife))</f>
        <v>0</v>
      </c>
      <c r="AD512" s="107">
        <f>IF(A3taxstdlife="n/a","n/a",IF(AD$3&gt;(A3taxstdlife+$E512),(('PTRM input'!$K$145+'PTRM input'!$K$111)*$K$7)-SUM($K512:AC512),(('PTRM input'!$K$145+'PTRM input'!$K$111)*$K$7)/A3taxstdlife))</f>
        <v>0</v>
      </c>
      <c r="AE512" s="107">
        <f>IF(A3taxstdlife="n/a","n/a",IF(AE$3&gt;(A3taxstdlife+$E512),(('PTRM input'!$K$145+'PTRM input'!$K$111)*$K$7)-SUM($K512:AD512),(('PTRM input'!$K$145+'PTRM input'!$K$111)*$K$7)/A3taxstdlife))</f>
        <v>0</v>
      </c>
      <c r="AF512" s="107">
        <f>IF(A3taxstdlife="n/a","n/a",IF(AF$3&gt;(A3taxstdlife+$E512),(('PTRM input'!$K$145+'PTRM input'!$K$111)*$K$7)-SUM($K512:AE512),(('PTRM input'!$K$145+'PTRM input'!$K$111)*$K$7)/A3taxstdlife))</f>
        <v>0</v>
      </c>
      <c r="AG512" s="107">
        <f>IF(A3taxstdlife="n/a","n/a",IF(AG$3&gt;(A3taxstdlife+$E512),(('PTRM input'!$K$145+'PTRM input'!$K$111)*$K$7)-SUM($K512:AF512),(('PTRM input'!$K$145+'PTRM input'!$K$111)*$K$7)/A3taxstdlife))</f>
        <v>0</v>
      </c>
      <c r="AH512" s="107">
        <f>IF(A3taxstdlife="n/a","n/a",IF(AH$3&gt;(A3taxstdlife+$E512),(('PTRM input'!$K$145+'PTRM input'!$K$111)*$K$7)-SUM($K512:AG512),(('PTRM input'!$K$145+'PTRM input'!$K$111)*$K$7)/A3taxstdlife))</f>
        <v>0</v>
      </c>
      <c r="AI512" s="107">
        <f>IF(A3taxstdlife="n/a","n/a",IF(AI$3&gt;(A3taxstdlife+$E512),(('PTRM input'!$K$145+'PTRM input'!$K$111)*$K$7)-SUM($K512:AH512),(('PTRM input'!$K$145+'PTRM input'!$K$111)*$K$7)/A3taxstdlife))</f>
        <v>0</v>
      </c>
      <c r="AJ512" s="107">
        <f>IF(A3taxstdlife="n/a","n/a",IF(AJ$3&gt;(A3taxstdlife+$E512),(('PTRM input'!$K$145+'PTRM input'!$K$111)*$K$7)-SUM($K512:AI512),(('PTRM input'!$K$145+'PTRM input'!$K$111)*$K$7)/A3taxstdlife))</f>
        <v>0</v>
      </c>
      <c r="AK512" s="107">
        <f>IF(A3taxstdlife="n/a","n/a",IF(AK$3&gt;(A3taxstdlife+$E512),(('PTRM input'!$K$145+'PTRM input'!$K$111)*$K$7)-SUM($K512:AJ512),(('PTRM input'!$K$145+'PTRM input'!$K$111)*$K$7)/A3taxstdlife))</f>
        <v>0</v>
      </c>
      <c r="AL512" s="107">
        <f>IF(A3taxstdlife="n/a","n/a",IF(AL$3&gt;(A3taxstdlife+$E512),(('PTRM input'!$K$145+'PTRM input'!$K$111)*$K$7)-SUM($K512:AK512),(('PTRM input'!$K$145+'PTRM input'!$K$111)*$K$7)/A3taxstdlife))</f>
        <v>0</v>
      </c>
      <c r="AM512" s="107">
        <f>IF(A3taxstdlife="n/a","n/a",IF(AM$3&gt;(A3taxstdlife+$E512),(('PTRM input'!$K$145+'PTRM input'!$K$111)*$K$7)-SUM($K512:AL512),(('PTRM input'!$K$145+'PTRM input'!$K$111)*$K$7)/A3taxstdlife))</f>
        <v>0</v>
      </c>
      <c r="AN512" s="107">
        <f>IF(A3taxstdlife="n/a","n/a",IF(AN$3&gt;(A3taxstdlife+$E512),(('PTRM input'!$K$145+'PTRM input'!$K$111)*$K$7)-SUM($K512:AM512),(('PTRM input'!$K$145+'PTRM input'!$K$111)*$K$7)/A3taxstdlife))</f>
        <v>0</v>
      </c>
      <c r="AO512" s="107">
        <f>IF(A3taxstdlife="n/a","n/a",IF(AO$3&gt;(A3taxstdlife+$E512),(('PTRM input'!$K$145+'PTRM input'!$K$111)*$K$7)-SUM($K512:AN512),(('PTRM input'!$K$145+'PTRM input'!$K$111)*$K$7)/A3taxstdlife))</f>
        <v>0</v>
      </c>
      <c r="AP512" s="107">
        <f>IF(A3taxstdlife="n/a","n/a",IF(AP$3&gt;(A3taxstdlife+$E512),(('PTRM input'!$K$145+'PTRM input'!$K$111)*$K$7)-SUM($K512:AO512),(('PTRM input'!$K$145+'PTRM input'!$K$111)*$K$7)/A3taxstdlife))</f>
        <v>0</v>
      </c>
      <c r="AQ512" s="107">
        <f>IF(A3taxstdlife="n/a","n/a",IF(AQ$3&gt;(A3taxstdlife+$E512),(('PTRM input'!$K$145+'PTRM input'!$K$111)*$K$7)-SUM($K512:AP512),(('PTRM input'!$K$145+'PTRM input'!$K$111)*$K$7)/A3taxstdlife))</f>
        <v>0</v>
      </c>
      <c r="AR512" s="107">
        <f>IF(A3taxstdlife="n/a","n/a",IF(AR$3&gt;(A3taxstdlife+$E512),(('PTRM input'!$K$145+'PTRM input'!$K$111)*$K$7)-SUM($K512:AQ512),(('PTRM input'!$K$145+'PTRM input'!$K$111)*$K$7)/A3taxstdlife))</f>
        <v>0</v>
      </c>
      <c r="AS512" s="107">
        <f>IF(A3taxstdlife="n/a","n/a",IF(AS$3&gt;(A3taxstdlife+$E512),(('PTRM input'!$K$145+'PTRM input'!$K$111)*$K$7)-SUM($K512:AR512),(('PTRM input'!$K$145+'PTRM input'!$K$111)*$K$7)/A3taxstdlife))</f>
        <v>0</v>
      </c>
      <c r="AT512" s="107">
        <f>IF(A3taxstdlife="n/a","n/a",IF(AT$3&gt;(A3taxstdlife+$E512),(('PTRM input'!$K$145+'PTRM input'!$K$111)*$K$7)-SUM($K512:AS512),(('PTRM input'!$K$145+'PTRM input'!$K$111)*$K$7)/A3taxstdlife))</f>
        <v>0</v>
      </c>
      <c r="AU512" s="107">
        <f>IF(A3taxstdlife="n/a","n/a",IF(AU$3&gt;(A3taxstdlife+$E512),(('PTRM input'!$K$145+'PTRM input'!$K$111)*$K$7)-SUM($K512:AT512),(('PTRM input'!$K$145+'PTRM input'!$K$111)*$K$7)/A3taxstdlife))</f>
        <v>0</v>
      </c>
      <c r="AV512" s="107">
        <f>IF(A3taxstdlife="n/a","n/a",IF(AV$3&gt;(A3taxstdlife+$E512),(('PTRM input'!$K$145+'PTRM input'!$K$111)*$K$7)-SUM($K512:AU512),(('PTRM input'!$K$145+'PTRM input'!$K$111)*$K$7)/A3taxstdlife))</f>
        <v>0</v>
      </c>
      <c r="AW512" s="107">
        <f>IF(A3taxstdlife="n/a","n/a",IF(AW$3&gt;(A3taxstdlife+$E512),(('PTRM input'!$K$145+'PTRM input'!$K$111)*$K$7)-SUM($K512:AV512),(('PTRM input'!$K$145+'PTRM input'!$K$111)*$K$7)/A3taxstdlife))</f>
        <v>0</v>
      </c>
      <c r="AX512" s="107">
        <f>IF(A3taxstdlife="n/a","n/a",IF(AX$3&gt;(A3taxstdlife+$E512),(('PTRM input'!$K$145+'PTRM input'!$K$111)*$K$7)-SUM($K512:AW512),(('PTRM input'!$K$145+'PTRM input'!$K$111)*$K$7)/A3taxstdlife))</f>
        <v>0</v>
      </c>
      <c r="AY512" s="107">
        <f>IF(A3taxstdlife="n/a","n/a",IF(AY$3&gt;(A3taxstdlife+$E512),(('PTRM input'!$K$145+'PTRM input'!$K$111)*$K$7)-SUM($K512:AX512),(('PTRM input'!$K$145+'PTRM input'!$K$111)*$K$7)/A3taxstdlife))</f>
        <v>0</v>
      </c>
      <c r="AZ512" s="107">
        <f>IF(A3taxstdlife="n/a","n/a",IF(AZ$3&gt;(A3taxstdlife+$E512),(('PTRM input'!$K$145+'PTRM input'!$K$111)*$K$7)-SUM($K512:AY512),(('PTRM input'!$K$145+'PTRM input'!$K$111)*$K$7)/A3taxstdlife))</f>
        <v>0</v>
      </c>
      <c r="BA512" s="107">
        <f>IF(A3taxstdlife="n/a","n/a",IF(BA$3&gt;(A3taxstdlife+$E512),(('PTRM input'!$K$145+'PTRM input'!$K$111)*$K$7)-SUM($K512:AZ512),(('PTRM input'!$K$145+'PTRM input'!$K$111)*$K$7)/A3taxstdlife))</f>
        <v>0</v>
      </c>
      <c r="BB512" s="107">
        <f>IF(A3taxstdlife="n/a","n/a",IF(BB$3&gt;(A3taxstdlife+$E512),(('PTRM input'!$K$145+'PTRM input'!$K$111)*$K$7)-SUM($K512:BA512),(('PTRM input'!$K$145+'PTRM input'!$K$111)*$K$7)/A3taxstdlife))</f>
        <v>0</v>
      </c>
      <c r="BC512" s="107">
        <f>IF(A3taxstdlife="n/a","n/a",IF(BC$3&gt;(A3taxstdlife+$E512),(('PTRM input'!$K$145+'PTRM input'!$K$111)*$K$7)-SUM($K512:BB512),(('PTRM input'!$K$145+'PTRM input'!$K$111)*$K$7)/A3taxstdlife))</f>
        <v>0</v>
      </c>
      <c r="BD512" s="107">
        <f>IF(A3taxstdlife="n/a","n/a",IF(BD$3&gt;(A3taxstdlife+$E512),(('PTRM input'!$K$145+'PTRM input'!$K$111)*$K$7)-SUM($K512:BC512),(('PTRM input'!$K$145+'PTRM input'!$K$111)*$K$7)/A3taxstdlife))</f>
        <v>0</v>
      </c>
      <c r="BE512" s="107">
        <f>IF(A3taxstdlife="n/a","n/a",IF(BE$3&gt;(A3taxstdlife+$E512),(('PTRM input'!$K$145+'PTRM input'!$K$111)*$K$7)-SUM($K512:BD512),(('PTRM input'!$K$145+'PTRM input'!$K$111)*$K$7)/A3taxstdlife))</f>
        <v>0</v>
      </c>
      <c r="BF512" s="107">
        <f>IF(A3taxstdlife="n/a","n/a",IF(BF$3&gt;(A3taxstdlife+$E512),(('PTRM input'!$K$145+'PTRM input'!$K$111)*$K$7)-SUM($K512:BE512),(('PTRM input'!$K$145+'PTRM input'!$K$111)*$K$7)/A3taxstdlife))</f>
        <v>0</v>
      </c>
      <c r="BG512" s="107">
        <f>IF(A3taxstdlife="n/a","n/a",IF(BG$3&gt;(A3taxstdlife+$E512),(('PTRM input'!$K$145+'PTRM input'!$K$111)*$K$7)-SUM($K512:BF512),(('PTRM input'!$K$145+'PTRM input'!$K$111)*$K$7)/A3taxstdlife))</f>
        <v>0</v>
      </c>
      <c r="BH512" s="107">
        <f>IF(A3taxstdlife="n/a","n/a",IF(BH$3&gt;(A3taxstdlife+$E512),(('PTRM input'!$K$145+'PTRM input'!$K$111)*$K$7)-SUM($K512:BG512),(('PTRM input'!$K$145+'PTRM input'!$K$111)*$K$7)/A3taxstdlife))</f>
        <v>0</v>
      </c>
      <c r="BI512" s="107">
        <f>IF(A3taxstdlife="n/a","n/a",IF(BI$3&gt;(A3taxstdlife+$E512),(('PTRM input'!$K$145+'PTRM input'!$K$111)*$K$7)-SUM($K512:BH512),(('PTRM input'!$K$145+'PTRM input'!$K$111)*$K$7)/A3taxstdlife))</f>
        <v>0</v>
      </c>
      <c r="BJ512" s="18"/>
      <c r="BK512" s="18"/>
      <c r="BL512" s="18"/>
      <c r="BM512" s="18"/>
    </row>
    <row r="513" spans="1:65" s="4" customFormat="1" hidden="1" outlineLevel="2">
      <c r="A513" s="18"/>
      <c r="B513" s="18"/>
      <c r="C513" s="33"/>
      <c r="D513" s="1618"/>
      <c r="E513" s="169">
        <v>6</v>
      </c>
      <c r="F513" s="35"/>
      <c r="G513" s="184"/>
      <c r="H513" s="1443"/>
      <c r="I513" s="186"/>
      <c r="J513" s="186"/>
      <c r="K513" s="186"/>
      <c r="L513" s="185"/>
      <c r="M513" s="107">
        <f>IF(A3taxstdlife="n/a","n/a",IF(M$3&gt;(A3taxstdlife+$E513),(('PTRM input'!$L$145+'PTRM input'!$L$111)*$L$7)-SUM($L513:L513),(('PTRM input'!$L$145+'PTRM input'!$L$111)*$L$7)/A3taxstdlife))</f>
        <v>0</v>
      </c>
      <c r="N513" s="107">
        <f>IF(A3taxstdlife="n/a","n/a",IF(N$3&gt;(A3taxstdlife+$E513),(('PTRM input'!$L$145+'PTRM input'!$L$111)*$L$7)-SUM($L513:M513),(('PTRM input'!$L$145+'PTRM input'!$L$111)*$L$7)/A3taxstdlife))</f>
        <v>0</v>
      </c>
      <c r="O513" s="107">
        <f>IF(A3taxstdlife="n/a","n/a",IF(O$3&gt;(A3taxstdlife+$E513),(('PTRM input'!$L$145+'PTRM input'!$L$111)*$L$7)-SUM($L513:N513),(('PTRM input'!$L$145+'PTRM input'!$L$111)*$L$7)/A3taxstdlife))</f>
        <v>0</v>
      </c>
      <c r="P513" s="107">
        <f>IF(A3taxstdlife="n/a","n/a",IF(P$3&gt;(A3taxstdlife+$E513),(('PTRM input'!$L$145+'PTRM input'!$L$111)*$L$7)-SUM($L513:O513),(('PTRM input'!$L$145+'PTRM input'!$L$111)*$L$7)/A3taxstdlife))</f>
        <v>0</v>
      </c>
      <c r="Q513" s="107">
        <f>IF(A3taxstdlife="n/a","n/a",IF(Q$3&gt;(A3taxstdlife+$E513),(('PTRM input'!$L$145+'PTRM input'!$L$111)*$L$7)-SUM($L513:P513),(('PTRM input'!$L$145+'PTRM input'!$L$111)*$L$7)/A3taxstdlife))</f>
        <v>0</v>
      </c>
      <c r="R513" s="107">
        <f>IF(A3taxstdlife="n/a","n/a",IF(R$3&gt;(A3taxstdlife+$E513),(('PTRM input'!$L$145+'PTRM input'!$L$111)*$L$7)-SUM($L513:Q513),(('PTRM input'!$L$145+'PTRM input'!$L$111)*$L$7)/A3taxstdlife))</f>
        <v>0</v>
      </c>
      <c r="S513" s="107">
        <f>IF(A3taxstdlife="n/a","n/a",IF(S$3&gt;(A3taxstdlife+$E513),(('PTRM input'!$L$145+'PTRM input'!$L$111)*$L$7)-SUM($L513:R513),(('PTRM input'!$L$145+'PTRM input'!$L$111)*$L$7)/A3taxstdlife))</f>
        <v>0</v>
      </c>
      <c r="T513" s="107">
        <f>IF(A3taxstdlife="n/a","n/a",IF(T$3&gt;(A3taxstdlife+$E513),(('PTRM input'!$L$145+'PTRM input'!$L$111)*$L$7)-SUM($L513:S513),(('PTRM input'!$L$145+'PTRM input'!$L$111)*$L$7)/A3taxstdlife))</f>
        <v>0</v>
      </c>
      <c r="U513" s="107">
        <f>IF(A3taxstdlife="n/a","n/a",IF(U$3&gt;(A3taxstdlife+$E513),(('PTRM input'!$L$145+'PTRM input'!$L$111)*$L$7)-SUM($L513:T513),(('PTRM input'!$L$145+'PTRM input'!$L$111)*$L$7)/A3taxstdlife))</f>
        <v>0</v>
      </c>
      <c r="V513" s="107">
        <f>IF(A3taxstdlife="n/a","n/a",IF(V$3&gt;(A3taxstdlife+$E513),(('PTRM input'!$L$145+'PTRM input'!$L$111)*$L$7)-SUM($L513:U513),(('PTRM input'!$L$145+'PTRM input'!$L$111)*$L$7)/A3taxstdlife))</f>
        <v>0</v>
      </c>
      <c r="W513" s="107">
        <f>IF(A3taxstdlife="n/a","n/a",IF(W$3&gt;(A3taxstdlife+$E513),(('PTRM input'!$L$145+'PTRM input'!$L$111)*$L$7)-SUM($L513:V513),(('PTRM input'!$L$145+'PTRM input'!$L$111)*$L$7)/A3taxstdlife))</f>
        <v>0</v>
      </c>
      <c r="X513" s="107">
        <f>IF(A3taxstdlife="n/a","n/a",IF(X$3&gt;(A3taxstdlife+$E513),(('PTRM input'!$L$145+'PTRM input'!$L$111)*$L$7)-SUM($L513:W513),(('PTRM input'!$L$145+'PTRM input'!$L$111)*$L$7)/A3taxstdlife))</f>
        <v>0</v>
      </c>
      <c r="Y513" s="107">
        <f>IF(A3taxstdlife="n/a","n/a",IF(Y$3&gt;(A3taxstdlife+$E513),(('PTRM input'!$L$145+'PTRM input'!$L$111)*$L$7)-SUM($L513:X513),(('PTRM input'!$L$145+'PTRM input'!$L$111)*$L$7)/A3taxstdlife))</f>
        <v>0</v>
      </c>
      <c r="Z513" s="107">
        <f>IF(A3taxstdlife="n/a","n/a",IF(Z$3&gt;(A3taxstdlife+$E513),(('PTRM input'!$L$145+'PTRM input'!$L$111)*$L$7)-SUM($L513:Y513),(('PTRM input'!$L$145+'PTRM input'!$L$111)*$L$7)/A3taxstdlife))</f>
        <v>0</v>
      </c>
      <c r="AA513" s="107">
        <f>IF(A3taxstdlife="n/a","n/a",IF(AA$3&gt;(A3taxstdlife+$E513),(('PTRM input'!$L$145+'PTRM input'!$L$111)*$L$7)-SUM($L513:Z513),(('PTRM input'!$L$145+'PTRM input'!$L$111)*$L$7)/A3taxstdlife))</f>
        <v>0</v>
      </c>
      <c r="AB513" s="107">
        <f>IF(A3taxstdlife="n/a","n/a",IF(AB$3&gt;(A3taxstdlife+$E513),(('PTRM input'!$L$145+'PTRM input'!$L$111)*$L$7)-SUM($L513:AA513),(('PTRM input'!$L$145+'PTRM input'!$L$111)*$L$7)/A3taxstdlife))</f>
        <v>0</v>
      </c>
      <c r="AC513" s="107">
        <f>IF(A3taxstdlife="n/a","n/a",IF(AC$3&gt;(A3taxstdlife+$E513),(('PTRM input'!$L$145+'PTRM input'!$L$111)*$L$7)-SUM($L513:AB513),(('PTRM input'!$L$145+'PTRM input'!$L$111)*$L$7)/A3taxstdlife))</f>
        <v>0</v>
      </c>
      <c r="AD513" s="107">
        <f>IF(A3taxstdlife="n/a","n/a",IF(AD$3&gt;(A3taxstdlife+$E513),(('PTRM input'!$L$145+'PTRM input'!$L$111)*$L$7)-SUM($L513:AC513),(('PTRM input'!$L$145+'PTRM input'!$L$111)*$L$7)/A3taxstdlife))</f>
        <v>0</v>
      </c>
      <c r="AE513" s="107">
        <f>IF(A3taxstdlife="n/a","n/a",IF(AE$3&gt;(A3taxstdlife+$E513),(('PTRM input'!$L$145+'PTRM input'!$L$111)*$L$7)-SUM($L513:AD513),(('PTRM input'!$L$145+'PTRM input'!$L$111)*$L$7)/A3taxstdlife))</f>
        <v>0</v>
      </c>
      <c r="AF513" s="107">
        <f>IF(A3taxstdlife="n/a","n/a",IF(AF$3&gt;(A3taxstdlife+$E513),(('PTRM input'!$L$145+'PTRM input'!$L$111)*$L$7)-SUM($L513:AE513),(('PTRM input'!$L$145+'PTRM input'!$L$111)*$L$7)/A3taxstdlife))</f>
        <v>0</v>
      </c>
      <c r="AG513" s="107">
        <f>IF(A3taxstdlife="n/a","n/a",IF(AG$3&gt;(A3taxstdlife+$E513),(('PTRM input'!$L$145+'PTRM input'!$L$111)*$L$7)-SUM($L513:AF513),(('PTRM input'!$L$145+'PTRM input'!$L$111)*$L$7)/A3taxstdlife))</f>
        <v>0</v>
      </c>
      <c r="AH513" s="107">
        <f>IF(A3taxstdlife="n/a","n/a",IF(AH$3&gt;(A3taxstdlife+$E513),(('PTRM input'!$L$145+'PTRM input'!$L$111)*$L$7)-SUM($L513:AG513),(('PTRM input'!$L$145+'PTRM input'!$L$111)*$L$7)/A3taxstdlife))</f>
        <v>0</v>
      </c>
      <c r="AI513" s="107">
        <f>IF(A3taxstdlife="n/a","n/a",IF(AI$3&gt;(A3taxstdlife+$E513),(('PTRM input'!$L$145+'PTRM input'!$L$111)*$L$7)-SUM($L513:AH513),(('PTRM input'!$L$145+'PTRM input'!$L$111)*$L$7)/A3taxstdlife))</f>
        <v>0</v>
      </c>
      <c r="AJ513" s="107">
        <f>IF(A3taxstdlife="n/a","n/a",IF(AJ$3&gt;(A3taxstdlife+$E513),(('PTRM input'!$L$145+'PTRM input'!$L$111)*$L$7)-SUM($L513:AI513),(('PTRM input'!$L$145+'PTRM input'!$L$111)*$L$7)/A3taxstdlife))</f>
        <v>0</v>
      </c>
      <c r="AK513" s="107">
        <f>IF(A3taxstdlife="n/a","n/a",IF(AK$3&gt;(A3taxstdlife+$E513),(('PTRM input'!$L$145+'PTRM input'!$L$111)*$L$7)-SUM($L513:AJ513),(('PTRM input'!$L$145+'PTRM input'!$L$111)*$L$7)/A3taxstdlife))</f>
        <v>0</v>
      </c>
      <c r="AL513" s="107">
        <f>IF(A3taxstdlife="n/a","n/a",IF(AL$3&gt;(A3taxstdlife+$E513),(('PTRM input'!$L$145+'PTRM input'!$L$111)*$L$7)-SUM($L513:AK513),(('PTRM input'!$L$145+'PTRM input'!$L$111)*$L$7)/A3taxstdlife))</f>
        <v>0</v>
      </c>
      <c r="AM513" s="107">
        <f>IF(A3taxstdlife="n/a","n/a",IF(AM$3&gt;(A3taxstdlife+$E513),(('PTRM input'!$L$145+'PTRM input'!$L$111)*$L$7)-SUM($L513:AL513),(('PTRM input'!$L$145+'PTRM input'!$L$111)*$L$7)/A3taxstdlife))</f>
        <v>0</v>
      </c>
      <c r="AN513" s="107">
        <f>IF(A3taxstdlife="n/a","n/a",IF(AN$3&gt;(A3taxstdlife+$E513),(('PTRM input'!$L$145+'PTRM input'!$L$111)*$L$7)-SUM($L513:AM513),(('PTRM input'!$L$145+'PTRM input'!$L$111)*$L$7)/A3taxstdlife))</f>
        <v>0</v>
      </c>
      <c r="AO513" s="107">
        <f>IF(A3taxstdlife="n/a","n/a",IF(AO$3&gt;(A3taxstdlife+$E513),(('PTRM input'!$L$145+'PTRM input'!$L$111)*$L$7)-SUM($L513:AN513),(('PTRM input'!$L$145+'PTRM input'!$L$111)*$L$7)/A3taxstdlife))</f>
        <v>0</v>
      </c>
      <c r="AP513" s="107">
        <f>IF(A3taxstdlife="n/a","n/a",IF(AP$3&gt;(A3taxstdlife+$E513),(('PTRM input'!$L$145+'PTRM input'!$L$111)*$L$7)-SUM($L513:AO513),(('PTRM input'!$L$145+'PTRM input'!$L$111)*$L$7)/A3taxstdlife))</f>
        <v>0</v>
      </c>
      <c r="AQ513" s="107">
        <f>IF(A3taxstdlife="n/a","n/a",IF(AQ$3&gt;(A3taxstdlife+$E513),(('PTRM input'!$L$145+'PTRM input'!$L$111)*$L$7)-SUM($L513:AP513),(('PTRM input'!$L$145+'PTRM input'!$L$111)*$L$7)/A3taxstdlife))</f>
        <v>0</v>
      </c>
      <c r="AR513" s="107">
        <f>IF(A3taxstdlife="n/a","n/a",IF(AR$3&gt;(A3taxstdlife+$E513),(('PTRM input'!$L$145+'PTRM input'!$L$111)*$L$7)-SUM($L513:AQ513),(('PTRM input'!$L$145+'PTRM input'!$L$111)*$L$7)/A3taxstdlife))</f>
        <v>0</v>
      </c>
      <c r="AS513" s="107">
        <f>IF(A3taxstdlife="n/a","n/a",IF(AS$3&gt;(A3taxstdlife+$E513),(('PTRM input'!$L$145+'PTRM input'!$L$111)*$L$7)-SUM($L513:AR513),(('PTRM input'!$L$145+'PTRM input'!$L$111)*$L$7)/A3taxstdlife))</f>
        <v>0</v>
      </c>
      <c r="AT513" s="107">
        <f>IF(A3taxstdlife="n/a","n/a",IF(AT$3&gt;(A3taxstdlife+$E513),(('PTRM input'!$L$145+'PTRM input'!$L$111)*$L$7)-SUM($L513:AS513),(('PTRM input'!$L$145+'PTRM input'!$L$111)*$L$7)/A3taxstdlife))</f>
        <v>0</v>
      </c>
      <c r="AU513" s="107">
        <f>IF(A3taxstdlife="n/a","n/a",IF(AU$3&gt;(A3taxstdlife+$E513),(('PTRM input'!$L$145+'PTRM input'!$L$111)*$L$7)-SUM($L513:AT513),(('PTRM input'!$L$145+'PTRM input'!$L$111)*$L$7)/A3taxstdlife))</f>
        <v>0</v>
      </c>
      <c r="AV513" s="107">
        <f>IF(A3taxstdlife="n/a","n/a",IF(AV$3&gt;(A3taxstdlife+$E513),(('PTRM input'!$L$145+'PTRM input'!$L$111)*$L$7)-SUM($L513:AU513),(('PTRM input'!$L$145+'PTRM input'!$L$111)*$L$7)/A3taxstdlife))</f>
        <v>0</v>
      </c>
      <c r="AW513" s="107">
        <f>IF(A3taxstdlife="n/a","n/a",IF(AW$3&gt;(A3taxstdlife+$E513),(('PTRM input'!$L$145+'PTRM input'!$L$111)*$L$7)-SUM($L513:AV513),(('PTRM input'!$L$145+'PTRM input'!$L$111)*$L$7)/A3taxstdlife))</f>
        <v>0</v>
      </c>
      <c r="AX513" s="107">
        <f>IF(A3taxstdlife="n/a","n/a",IF(AX$3&gt;(A3taxstdlife+$E513),(('PTRM input'!$L$145+'PTRM input'!$L$111)*$L$7)-SUM($L513:AW513),(('PTRM input'!$L$145+'PTRM input'!$L$111)*$L$7)/A3taxstdlife))</f>
        <v>0</v>
      </c>
      <c r="AY513" s="107">
        <f>IF(A3taxstdlife="n/a","n/a",IF(AY$3&gt;(A3taxstdlife+$E513),(('PTRM input'!$L$145+'PTRM input'!$L$111)*$L$7)-SUM($L513:AX513),(('PTRM input'!$L$145+'PTRM input'!$L$111)*$L$7)/A3taxstdlife))</f>
        <v>0</v>
      </c>
      <c r="AZ513" s="107">
        <f>IF(A3taxstdlife="n/a","n/a",IF(AZ$3&gt;(A3taxstdlife+$E513),(('PTRM input'!$L$145+'PTRM input'!$L$111)*$L$7)-SUM($L513:AY513),(('PTRM input'!$L$145+'PTRM input'!$L$111)*$L$7)/A3taxstdlife))</f>
        <v>0</v>
      </c>
      <c r="BA513" s="107">
        <f>IF(A3taxstdlife="n/a","n/a",IF(BA$3&gt;(A3taxstdlife+$E513),(('PTRM input'!$L$145+'PTRM input'!$L$111)*$L$7)-SUM($L513:AZ513),(('PTRM input'!$L$145+'PTRM input'!$L$111)*$L$7)/A3taxstdlife))</f>
        <v>0</v>
      </c>
      <c r="BB513" s="107">
        <f>IF(A3taxstdlife="n/a","n/a",IF(BB$3&gt;(A3taxstdlife+$E513),(('PTRM input'!$L$145+'PTRM input'!$L$111)*$L$7)-SUM($L513:BA513),(('PTRM input'!$L$145+'PTRM input'!$L$111)*$L$7)/A3taxstdlife))</f>
        <v>0</v>
      </c>
      <c r="BC513" s="107">
        <f>IF(A3taxstdlife="n/a","n/a",IF(BC$3&gt;(A3taxstdlife+$E513),(('PTRM input'!$L$145+'PTRM input'!$L$111)*$L$7)-SUM($L513:BB513),(('PTRM input'!$L$145+'PTRM input'!$L$111)*$L$7)/A3taxstdlife))</f>
        <v>0</v>
      </c>
      <c r="BD513" s="107">
        <f>IF(A3taxstdlife="n/a","n/a",IF(BD$3&gt;(A3taxstdlife+$E513),(('PTRM input'!$L$145+'PTRM input'!$L$111)*$L$7)-SUM($L513:BC513),(('PTRM input'!$L$145+'PTRM input'!$L$111)*$L$7)/A3taxstdlife))</f>
        <v>0</v>
      </c>
      <c r="BE513" s="107">
        <f>IF(A3taxstdlife="n/a","n/a",IF(BE$3&gt;(A3taxstdlife+$E513),(('PTRM input'!$L$145+'PTRM input'!$L$111)*$L$7)-SUM($L513:BD513),(('PTRM input'!$L$145+'PTRM input'!$L$111)*$L$7)/A3taxstdlife))</f>
        <v>0</v>
      </c>
      <c r="BF513" s="107">
        <f>IF(A3taxstdlife="n/a","n/a",IF(BF$3&gt;(A3taxstdlife+$E513),(('PTRM input'!$L$145+'PTRM input'!$L$111)*$L$7)-SUM($L513:BE513),(('PTRM input'!$L$145+'PTRM input'!$L$111)*$L$7)/A3taxstdlife))</f>
        <v>0</v>
      </c>
      <c r="BG513" s="107">
        <f>IF(A3taxstdlife="n/a","n/a",IF(BG$3&gt;(A3taxstdlife+$E513),(('PTRM input'!$L$145+'PTRM input'!$L$111)*$L$7)-SUM($L513:BF513),(('PTRM input'!$L$145+'PTRM input'!$L$111)*$L$7)/A3taxstdlife))</f>
        <v>0</v>
      </c>
      <c r="BH513" s="107">
        <f>IF(A3taxstdlife="n/a","n/a",IF(BH$3&gt;(A3taxstdlife+$E513),(('PTRM input'!$L$145+'PTRM input'!$L$111)*$L$7)-SUM($L513:BG513),(('PTRM input'!$L$145+'PTRM input'!$L$111)*$L$7)/A3taxstdlife))</f>
        <v>0</v>
      </c>
      <c r="BI513" s="107">
        <f>IF(A3taxstdlife="n/a","n/a",IF(BI$3&gt;(A3taxstdlife+$E513),(('PTRM input'!$L$145+'PTRM input'!$L$111)*$L$7)-SUM($L513:BH513),(('PTRM input'!$L$145+'PTRM input'!$L$111)*$L$7)/A3taxstdlife))</f>
        <v>0</v>
      </c>
      <c r="BJ513" s="18"/>
      <c r="BK513" s="18"/>
      <c r="BL513" s="18"/>
      <c r="BM513" s="18"/>
    </row>
    <row r="514" spans="1:65" s="4" customFormat="1" hidden="1" outlineLevel="2">
      <c r="A514" s="18"/>
      <c r="B514" s="18"/>
      <c r="C514" s="33"/>
      <c r="D514" s="1618"/>
      <c r="E514" s="169">
        <v>7</v>
      </c>
      <c r="F514" s="35"/>
      <c r="G514" s="184"/>
      <c r="H514" s="1443"/>
      <c r="I514" s="186"/>
      <c r="J514" s="186"/>
      <c r="K514" s="186"/>
      <c r="L514" s="186"/>
      <c r="M514" s="185"/>
      <c r="N514" s="107">
        <f>IF(A3taxstdlife="n/a","n/a",IF(N$3&gt;(A3taxstdlife+$E514),(('PTRM input'!$M$145+'PTRM input'!$M$111)*$M$7)-SUM($M514:M514),(('PTRM input'!$M$145+'PTRM input'!$M$111)*$M$7)/A3taxstdlife))</f>
        <v>0</v>
      </c>
      <c r="O514" s="107">
        <f>IF(A3taxstdlife="n/a","n/a",IF(O$3&gt;(A3taxstdlife+$E514),(('PTRM input'!$M$145+'PTRM input'!$M$111)*$M$7)-SUM($M514:N514),(('PTRM input'!$M$145+'PTRM input'!$M$111)*$M$7)/A3taxstdlife))</f>
        <v>0</v>
      </c>
      <c r="P514" s="107">
        <f>IF(A3taxstdlife="n/a","n/a",IF(P$3&gt;(A3taxstdlife+$E514),(('PTRM input'!$M$145+'PTRM input'!$M$111)*$M$7)-SUM($M514:O514),(('PTRM input'!$M$145+'PTRM input'!$M$111)*$M$7)/A3taxstdlife))</f>
        <v>0</v>
      </c>
      <c r="Q514" s="107">
        <f>IF(A3taxstdlife="n/a","n/a",IF(Q$3&gt;(A3taxstdlife+$E514),(('PTRM input'!$M$145+'PTRM input'!$M$111)*$M$7)-SUM($M514:P514),(('PTRM input'!$M$145+'PTRM input'!$M$111)*$M$7)/A3taxstdlife))</f>
        <v>0</v>
      </c>
      <c r="R514" s="107">
        <f>IF(A3taxstdlife="n/a","n/a",IF(R$3&gt;(A3taxstdlife+$E514),(('PTRM input'!$M$145+'PTRM input'!$M$111)*$M$7)-SUM($M514:Q514),(('PTRM input'!$M$145+'PTRM input'!$M$111)*$M$7)/A3taxstdlife))</f>
        <v>0</v>
      </c>
      <c r="S514" s="107">
        <f>IF(A3taxstdlife="n/a","n/a",IF(S$3&gt;(A3taxstdlife+$E514),(('PTRM input'!$M$145+'PTRM input'!$M$111)*$M$7)-SUM($M514:R514),(('PTRM input'!$M$145+'PTRM input'!$M$111)*$M$7)/A3taxstdlife))</f>
        <v>0</v>
      </c>
      <c r="T514" s="107">
        <f>IF(A3taxstdlife="n/a","n/a",IF(T$3&gt;(A3taxstdlife+$E514),(('PTRM input'!$M$145+'PTRM input'!$M$111)*$M$7)-SUM($M514:S514),(('PTRM input'!$M$145+'PTRM input'!$M$111)*$M$7)/A3taxstdlife))</f>
        <v>0</v>
      </c>
      <c r="U514" s="107">
        <f>IF(A3taxstdlife="n/a","n/a",IF(U$3&gt;(A3taxstdlife+$E514),(('PTRM input'!$M$145+'PTRM input'!$M$111)*$M$7)-SUM($M514:T514),(('PTRM input'!$M$145+'PTRM input'!$M$111)*$M$7)/A3taxstdlife))</f>
        <v>0</v>
      </c>
      <c r="V514" s="107">
        <f>IF(A3taxstdlife="n/a","n/a",IF(V$3&gt;(A3taxstdlife+$E514),(('PTRM input'!$M$145+'PTRM input'!$M$111)*$M$7)-SUM($M514:U514),(('PTRM input'!$M$145+'PTRM input'!$M$111)*$M$7)/A3taxstdlife))</f>
        <v>0</v>
      </c>
      <c r="W514" s="107">
        <f>IF(A3taxstdlife="n/a","n/a",IF(W$3&gt;(A3taxstdlife+$E514),(('PTRM input'!$M$145+'PTRM input'!$M$111)*$M$7)-SUM($M514:V514),(('PTRM input'!$M$145+'PTRM input'!$M$111)*$M$7)/A3taxstdlife))</f>
        <v>0</v>
      </c>
      <c r="X514" s="107">
        <f>IF(A3taxstdlife="n/a","n/a",IF(X$3&gt;(A3taxstdlife+$E514),(('PTRM input'!$M$145+'PTRM input'!$M$111)*$M$7)-SUM($M514:W514),(('PTRM input'!$M$145+'PTRM input'!$M$111)*$M$7)/A3taxstdlife))</f>
        <v>0</v>
      </c>
      <c r="Y514" s="107">
        <f>IF(A3taxstdlife="n/a","n/a",IF(Y$3&gt;(A3taxstdlife+$E514),(('PTRM input'!$M$145+'PTRM input'!$M$111)*$M$7)-SUM($M514:X514),(('PTRM input'!$M$145+'PTRM input'!$M$111)*$M$7)/A3taxstdlife))</f>
        <v>0</v>
      </c>
      <c r="Z514" s="107">
        <f>IF(A3taxstdlife="n/a","n/a",IF(Z$3&gt;(A3taxstdlife+$E514),(('PTRM input'!$M$145+'PTRM input'!$M$111)*$M$7)-SUM($M514:Y514),(('PTRM input'!$M$145+'PTRM input'!$M$111)*$M$7)/A3taxstdlife))</f>
        <v>0</v>
      </c>
      <c r="AA514" s="107">
        <f>IF(A3taxstdlife="n/a","n/a",IF(AA$3&gt;(A3taxstdlife+$E514),(('PTRM input'!$M$145+'PTRM input'!$M$111)*$M$7)-SUM($M514:Z514),(('PTRM input'!$M$145+'PTRM input'!$M$111)*$M$7)/A3taxstdlife))</f>
        <v>0</v>
      </c>
      <c r="AB514" s="107">
        <f>IF(A3taxstdlife="n/a","n/a",IF(AB$3&gt;(A3taxstdlife+$E514),(('PTRM input'!$M$145+'PTRM input'!$M$111)*$M$7)-SUM($M514:AA514),(('PTRM input'!$M$145+'PTRM input'!$M$111)*$M$7)/A3taxstdlife))</f>
        <v>0</v>
      </c>
      <c r="AC514" s="107">
        <f>IF(A3taxstdlife="n/a","n/a",IF(AC$3&gt;(A3taxstdlife+$E514),(('PTRM input'!$M$145+'PTRM input'!$M$111)*$M$7)-SUM($M514:AB514),(('PTRM input'!$M$145+'PTRM input'!$M$111)*$M$7)/A3taxstdlife))</f>
        <v>0</v>
      </c>
      <c r="AD514" s="107">
        <f>IF(A3taxstdlife="n/a","n/a",IF(AD$3&gt;(A3taxstdlife+$E514),(('PTRM input'!$M$145+'PTRM input'!$M$111)*$M$7)-SUM($M514:AC514),(('PTRM input'!$M$145+'PTRM input'!$M$111)*$M$7)/A3taxstdlife))</f>
        <v>0</v>
      </c>
      <c r="AE514" s="107">
        <f>IF(A3taxstdlife="n/a","n/a",IF(AE$3&gt;(A3taxstdlife+$E514),(('PTRM input'!$M$145+'PTRM input'!$M$111)*$M$7)-SUM($M514:AD514),(('PTRM input'!$M$145+'PTRM input'!$M$111)*$M$7)/A3taxstdlife))</f>
        <v>0</v>
      </c>
      <c r="AF514" s="107">
        <f>IF(A3taxstdlife="n/a","n/a",IF(AF$3&gt;(A3taxstdlife+$E514),(('PTRM input'!$M$145+'PTRM input'!$M$111)*$M$7)-SUM($M514:AE514),(('PTRM input'!$M$145+'PTRM input'!$M$111)*$M$7)/A3taxstdlife))</f>
        <v>0</v>
      </c>
      <c r="AG514" s="107">
        <f>IF(A3taxstdlife="n/a","n/a",IF(AG$3&gt;(A3taxstdlife+$E514),(('PTRM input'!$M$145+'PTRM input'!$M$111)*$M$7)-SUM($M514:AF514),(('PTRM input'!$M$145+'PTRM input'!$M$111)*$M$7)/A3taxstdlife))</f>
        <v>0</v>
      </c>
      <c r="AH514" s="107">
        <f>IF(A3taxstdlife="n/a","n/a",IF(AH$3&gt;(A3taxstdlife+$E514),(('PTRM input'!$M$145+'PTRM input'!$M$111)*$M$7)-SUM($M514:AG514),(('PTRM input'!$M$145+'PTRM input'!$M$111)*$M$7)/A3taxstdlife))</f>
        <v>0</v>
      </c>
      <c r="AI514" s="107">
        <f>IF(A3taxstdlife="n/a","n/a",IF(AI$3&gt;(A3taxstdlife+$E514),(('PTRM input'!$M$145+'PTRM input'!$M$111)*$M$7)-SUM($M514:AH514),(('PTRM input'!$M$145+'PTRM input'!$M$111)*$M$7)/A3taxstdlife))</f>
        <v>0</v>
      </c>
      <c r="AJ514" s="107">
        <f>IF(A3taxstdlife="n/a","n/a",IF(AJ$3&gt;(A3taxstdlife+$E514),(('PTRM input'!$M$145+'PTRM input'!$M$111)*$M$7)-SUM($M514:AI514),(('PTRM input'!$M$145+'PTRM input'!$M$111)*$M$7)/A3taxstdlife))</f>
        <v>0</v>
      </c>
      <c r="AK514" s="107">
        <f>IF(A3taxstdlife="n/a","n/a",IF(AK$3&gt;(A3taxstdlife+$E514),(('PTRM input'!$M$145+'PTRM input'!$M$111)*$M$7)-SUM($M514:AJ514),(('PTRM input'!$M$145+'PTRM input'!$M$111)*$M$7)/A3taxstdlife))</f>
        <v>0</v>
      </c>
      <c r="AL514" s="107">
        <f>IF(A3taxstdlife="n/a","n/a",IF(AL$3&gt;(A3taxstdlife+$E514),(('PTRM input'!$M$145+'PTRM input'!$M$111)*$M$7)-SUM($M514:AK514),(('PTRM input'!$M$145+'PTRM input'!$M$111)*$M$7)/A3taxstdlife))</f>
        <v>0</v>
      </c>
      <c r="AM514" s="107">
        <f>IF(A3taxstdlife="n/a","n/a",IF(AM$3&gt;(A3taxstdlife+$E514),(('PTRM input'!$M$145+'PTRM input'!$M$111)*$M$7)-SUM($M514:AL514),(('PTRM input'!$M$145+'PTRM input'!$M$111)*$M$7)/A3taxstdlife))</f>
        <v>0</v>
      </c>
      <c r="AN514" s="107">
        <f>IF(A3taxstdlife="n/a","n/a",IF(AN$3&gt;(A3taxstdlife+$E514),(('PTRM input'!$M$145+'PTRM input'!$M$111)*$M$7)-SUM($M514:AM514),(('PTRM input'!$M$145+'PTRM input'!$M$111)*$M$7)/A3taxstdlife))</f>
        <v>0</v>
      </c>
      <c r="AO514" s="107">
        <f>IF(A3taxstdlife="n/a","n/a",IF(AO$3&gt;(A3taxstdlife+$E514),(('PTRM input'!$M$145+'PTRM input'!$M$111)*$M$7)-SUM($M514:AN514),(('PTRM input'!$M$145+'PTRM input'!$M$111)*$M$7)/A3taxstdlife))</f>
        <v>0</v>
      </c>
      <c r="AP514" s="107">
        <f>IF(A3taxstdlife="n/a","n/a",IF(AP$3&gt;(A3taxstdlife+$E514),(('PTRM input'!$M$145+'PTRM input'!$M$111)*$M$7)-SUM($M514:AO514),(('PTRM input'!$M$145+'PTRM input'!$M$111)*$M$7)/A3taxstdlife))</f>
        <v>0</v>
      </c>
      <c r="AQ514" s="107">
        <f>IF(A3taxstdlife="n/a","n/a",IF(AQ$3&gt;(A3taxstdlife+$E514),(('PTRM input'!$M$145+'PTRM input'!$M$111)*$M$7)-SUM($M514:AP514),(('PTRM input'!$M$145+'PTRM input'!$M$111)*$M$7)/A3taxstdlife))</f>
        <v>0</v>
      </c>
      <c r="AR514" s="107">
        <f>IF(A3taxstdlife="n/a","n/a",IF(AR$3&gt;(A3taxstdlife+$E514),(('PTRM input'!$M$145+'PTRM input'!$M$111)*$M$7)-SUM($M514:AQ514),(('PTRM input'!$M$145+'PTRM input'!$M$111)*$M$7)/A3taxstdlife))</f>
        <v>0</v>
      </c>
      <c r="AS514" s="107">
        <f>IF(A3taxstdlife="n/a","n/a",IF(AS$3&gt;(A3taxstdlife+$E514),(('PTRM input'!$M$145+'PTRM input'!$M$111)*$M$7)-SUM($M514:AR514),(('PTRM input'!$M$145+'PTRM input'!$M$111)*$M$7)/A3taxstdlife))</f>
        <v>0</v>
      </c>
      <c r="AT514" s="107">
        <f>IF(A3taxstdlife="n/a","n/a",IF(AT$3&gt;(A3taxstdlife+$E514),(('PTRM input'!$M$145+'PTRM input'!$M$111)*$M$7)-SUM($M514:AS514),(('PTRM input'!$M$145+'PTRM input'!$M$111)*$M$7)/A3taxstdlife))</f>
        <v>0</v>
      </c>
      <c r="AU514" s="107">
        <f>IF(A3taxstdlife="n/a","n/a",IF(AU$3&gt;(A3taxstdlife+$E514),(('PTRM input'!$M$145+'PTRM input'!$M$111)*$M$7)-SUM($M514:AT514),(('PTRM input'!$M$145+'PTRM input'!$M$111)*$M$7)/A3taxstdlife))</f>
        <v>0</v>
      </c>
      <c r="AV514" s="107">
        <f>IF(A3taxstdlife="n/a","n/a",IF(AV$3&gt;(A3taxstdlife+$E514),(('PTRM input'!$M$145+'PTRM input'!$M$111)*$M$7)-SUM($M514:AU514),(('PTRM input'!$M$145+'PTRM input'!$M$111)*$M$7)/A3taxstdlife))</f>
        <v>0</v>
      </c>
      <c r="AW514" s="107">
        <f>IF(A3taxstdlife="n/a","n/a",IF(AW$3&gt;(A3taxstdlife+$E514),(('PTRM input'!$M$145+'PTRM input'!$M$111)*$M$7)-SUM($M514:AV514),(('PTRM input'!$M$145+'PTRM input'!$M$111)*$M$7)/A3taxstdlife))</f>
        <v>0</v>
      </c>
      <c r="AX514" s="107">
        <f>IF(A3taxstdlife="n/a","n/a",IF(AX$3&gt;(A3taxstdlife+$E514),(('PTRM input'!$M$145+'PTRM input'!$M$111)*$M$7)-SUM($M514:AW514),(('PTRM input'!$M$145+'PTRM input'!$M$111)*$M$7)/A3taxstdlife))</f>
        <v>0</v>
      </c>
      <c r="AY514" s="107">
        <f>IF(A3taxstdlife="n/a","n/a",IF(AY$3&gt;(A3taxstdlife+$E514),(('PTRM input'!$M$145+'PTRM input'!$M$111)*$M$7)-SUM($M514:AX514),(('PTRM input'!$M$145+'PTRM input'!$M$111)*$M$7)/A3taxstdlife))</f>
        <v>0</v>
      </c>
      <c r="AZ514" s="107">
        <f>IF(A3taxstdlife="n/a","n/a",IF(AZ$3&gt;(A3taxstdlife+$E514),(('PTRM input'!$M$145+'PTRM input'!$M$111)*$M$7)-SUM($M514:AY514),(('PTRM input'!$M$145+'PTRM input'!$M$111)*$M$7)/A3taxstdlife))</f>
        <v>0</v>
      </c>
      <c r="BA514" s="107">
        <f>IF(A3taxstdlife="n/a","n/a",IF(BA$3&gt;(A3taxstdlife+$E514),(('PTRM input'!$M$145+'PTRM input'!$M$111)*$M$7)-SUM($M514:AZ514),(('PTRM input'!$M$145+'PTRM input'!$M$111)*$M$7)/A3taxstdlife))</f>
        <v>0</v>
      </c>
      <c r="BB514" s="107">
        <f>IF(A3taxstdlife="n/a","n/a",IF(BB$3&gt;(A3taxstdlife+$E514),(('PTRM input'!$M$145+'PTRM input'!$M$111)*$M$7)-SUM($M514:BA514),(('PTRM input'!$M$145+'PTRM input'!$M$111)*$M$7)/A3taxstdlife))</f>
        <v>0</v>
      </c>
      <c r="BC514" s="107">
        <f>IF(A3taxstdlife="n/a","n/a",IF(BC$3&gt;(A3taxstdlife+$E514),(('PTRM input'!$M$145+'PTRM input'!$M$111)*$M$7)-SUM($M514:BB514),(('PTRM input'!$M$145+'PTRM input'!$M$111)*$M$7)/A3taxstdlife))</f>
        <v>0</v>
      </c>
      <c r="BD514" s="107">
        <f>IF(A3taxstdlife="n/a","n/a",IF(BD$3&gt;(A3taxstdlife+$E514),(('PTRM input'!$M$145+'PTRM input'!$M$111)*$M$7)-SUM($M514:BC514),(('PTRM input'!$M$145+'PTRM input'!$M$111)*$M$7)/A3taxstdlife))</f>
        <v>0</v>
      </c>
      <c r="BE514" s="107">
        <f>IF(A3taxstdlife="n/a","n/a",IF(BE$3&gt;(A3taxstdlife+$E514),(('PTRM input'!$M$145+'PTRM input'!$M$111)*$M$7)-SUM($M514:BD514),(('PTRM input'!$M$145+'PTRM input'!$M$111)*$M$7)/A3taxstdlife))</f>
        <v>0</v>
      </c>
      <c r="BF514" s="107">
        <f>IF(A3taxstdlife="n/a","n/a",IF(BF$3&gt;(A3taxstdlife+$E514),(('PTRM input'!$M$145+'PTRM input'!$M$111)*$M$7)-SUM($M514:BE514),(('PTRM input'!$M$145+'PTRM input'!$M$111)*$M$7)/A3taxstdlife))</f>
        <v>0</v>
      </c>
      <c r="BG514" s="107">
        <f>IF(A3taxstdlife="n/a","n/a",IF(BG$3&gt;(A3taxstdlife+$E514),(('PTRM input'!$M$145+'PTRM input'!$M$111)*$M$7)-SUM($M514:BF514),(('PTRM input'!$M$145+'PTRM input'!$M$111)*$M$7)/A3taxstdlife))</f>
        <v>0</v>
      </c>
      <c r="BH514" s="107">
        <f>IF(A3taxstdlife="n/a","n/a",IF(BH$3&gt;(A3taxstdlife+$E514),(('PTRM input'!$M$145+'PTRM input'!$M$111)*$M$7)-SUM($M514:BG514),(('PTRM input'!$M$145+'PTRM input'!$M$111)*$M$7)/A3taxstdlife))</f>
        <v>0</v>
      </c>
      <c r="BI514" s="107">
        <f>IF(A3taxstdlife="n/a","n/a",IF(BI$3&gt;(A3taxstdlife+$E514),(('PTRM input'!$M$145+'PTRM input'!$M$111)*$M$7)-SUM($M514:BH514),(('PTRM input'!$M$145+'PTRM input'!$M$111)*$M$7)/A3taxstdlife))</f>
        <v>0</v>
      </c>
      <c r="BJ514" s="18"/>
      <c r="BK514" s="18"/>
      <c r="BL514" s="18"/>
      <c r="BM514" s="18"/>
    </row>
    <row r="515" spans="1:65" s="4" customFormat="1" hidden="1" outlineLevel="2">
      <c r="A515" s="18"/>
      <c r="B515" s="18"/>
      <c r="C515" s="33"/>
      <c r="D515" s="1618"/>
      <c r="E515" s="169">
        <v>8</v>
      </c>
      <c r="F515" s="35"/>
      <c r="G515" s="184"/>
      <c r="H515" s="1443"/>
      <c r="I515" s="186"/>
      <c r="J515" s="186"/>
      <c r="K515" s="186"/>
      <c r="L515" s="186"/>
      <c r="M515" s="186"/>
      <c r="N515" s="185"/>
      <c r="O515" s="107">
        <f>IF(A3taxstdlife="n/a","n/a",IF(O$3&gt;(A3taxstdlife+$E515),(('PTRM input'!$N$145+'PTRM input'!$N$111)*$N$7)-SUM($N515:N515),(('PTRM input'!$N$145+'PTRM input'!$N$111)*$N$7)/A3taxstdlife))</f>
        <v>0</v>
      </c>
      <c r="P515" s="107">
        <f>IF(A3taxstdlife="n/a","n/a",IF(P$3&gt;(A3taxstdlife+$E515),(('PTRM input'!$N$145+'PTRM input'!$N$111)*$N$7)-SUM($N515:O515),(('PTRM input'!$N$145+'PTRM input'!$N$111)*$N$7)/A3taxstdlife))</f>
        <v>0</v>
      </c>
      <c r="Q515" s="107">
        <f>IF(A3taxstdlife="n/a","n/a",IF(Q$3&gt;(A3taxstdlife+$E515),(('PTRM input'!$N$145+'PTRM input'!$N$111)*$N$7)-SUM($N515:P515),(('PTRM input'!$N$145+'PTRM input'!$N$111)*$N$7)/A3taxstdlife))</f>
        <v>0</v>
      </c>
      <c r="R515" s="107">
        <f>IF(A3taxstdlife="n/a","n/a",IF(R$3&gt;(A3taxstdlife+$E515),(('PTRM input'!$N$145+'PTRM input'!$N$111)*$N$7)-SUM($N515:Q515),(('PTRM input'!$N$145+'PTRM input'!$N$111)*$N$7)/A3taxstdlife))</f>
        <v>0</v>
      </c>
      <c r="S515" s="107">
        <f>IF(A3taxstdlife="n/a","n/a",IF(S$3&gt;(A3taxstdlife+$E515),(('PTRM input'!$N$145+'PTRM input'!$N$111)*$N$7)-SUM($N515:R515),(('PTRM input'!$N$145+'PTRM input'!$N$111)*$N$7)/A3taxstdlife))</f>
        <v>0</v>
      </c>
      <c r="T515" s="107">
        <f>IF(A3taxstdlife="n/a","n/a",IF(T$3&gt;(A3taxstdlife+$E515),(('PTRM input'!$N$145+'PTRM input'!$N$111)*$N$7)-SUM($N515:S515),(('PTRM input'!$N$145+'PTRM input'!$N$111)*$N$7)/A3taxstdlife))</f>
        <v>0</v>
      </c>
      <c r="U515" s="107">
        <f>IF(A3taxstdlife="n/a","n/a",IF(U$3&gt;(A3taxstdlife+$E515),(('PTRM input'!$N$145+'PTRM input'!$N$111)*$N$7)-SUM($N515:T515),(('PTRM input'!$N$145+'PTRM input'!$N$111)*$N$7)/A3taxstdlife))</f>
        <v>0</v>
      </c>
      <c r="V515" s="107">
        <f>IF(A3taxstdlife="n/a","n/a",IF(V$3&gt;(A3taxstdlife+$E515),(('PTRM input'!$N$145+'PTRM input'!$N$111)*$N$7)-SUM($N515:U515),(('PTRM input'!$N$145+'PTRM input'!$N$111)*$N$7)/A3taxstdlife))</f>
        <v>0</v>
      </c>
      <c r="W515" s="107">
        <f>IF(A3taxstdlife="n/a","n/a",IF(W$3&gt;(A3taxstdlife+$E515),(('PTRM input'!$N$145+'PTRM input'!$N$111)*$N$7)-SUM($N515:V515),(('PTRM input'!$N$145+'PTRM input'!$N$111)*$N$7)/A3taxstdlife))</f>
        <v>0</v>
      </c>
      <c r="X515" s="107">
        <f>IF(A3taxstdlife="n/a","n/a",IF(X$3&gt;(A3taxstdlife+$E515),(('PTRM input'!$N$145+'PTRM input'!$N$111)*$N$7)-SUM($N515:W515),(('PTRM input'!$N$145+'PTRM input'!$N$111)*$N$7)/A3taxstdlife))</f>
        <v>0</v>
      </c>
      <c r="Y515" s="107">
        <f>IF(A3taxstdlife="n/a","n/a",IF(Y$3&gt;(A3taxstdlife+$E515),(('PTRM input'!$N$145+'PTRM input'!$N$111)*$N$7)-SUM($N515:X515),(('PTRM input'!$N$145+'PTRM input'!$N$111)*$N$7)/A3taxstdlife))</f>
        <v>0</v>
      </c>
      <c r="Z515" s="107">
        <f>IF(A3taxstdlife="n/a","n/a",IF(Z$3&gt;(A3taxstdlife+$E515),(('PTRM input'!$N$145+'PTRM input'!$N$111)*$N$7)-SUM($N515:Y515),(('PTRM input'!$N$145+'PTRM input'!$N$111)*$N$7)/A3taxstdlife))</f>
        <v>0</v>
      </c>
      <c r="AA515" s="107">
        <f>IF(A3taxstdlife="n/a","n/a",IF(AA$3&gt;(A3taxstdlife+$E515),(('PTRM input'!$N$145+'PTRM input'!$N$111)*$N$7)-SUM($N515:Z515),(('PTRM input'!$N$145+'PTRM input'!$N$111)*$N$7)/A3taxstdlife))</f>
        <v>0</v>
      </c>
      <c r="AB515" s="107">
        <f>IF(A3taxstdlife="n/a","n/a",IF(AB$3&gt;(A3taxstdlife+$E515),(('PTRM input'!$N$145+'PTRM input'!$N$111)*$N$7)-SUM($N515:AA515),(('PTRM input'!$N$145+'PTRM input'!$N$111)*$N$7)/A3taxstdlife))</f>
        <v>0</v>
      </c>
      <c r="AC515" s="107">
        <f>IF(A3taxstdlife="n/a","n/a",IF(AC$3&gt;(A3taxstdlife+$E515),(('PTRM input'!$N$145+'PTRM input'!$N$111)*$N$7)-SUM($N515:AB515),(('PTRM input'!$N$145+'PTRM input'!$N$111)*$N$7)/A3taxstdlife))</f>
        <v>0</v>
      </c>
      <c r="AD515" s="107">
        <f>IF(A3taxstdlife="n/a","n/a",IF(AD$3&gt;(A3taxstdlife+$E515),(('PTRM input'!$N$145+'PTRM input'!$N$111)*$N$7)-SUM($N515:AC515),(('PTRM input'!$N$145+'PTRM input'!$N$111)*$N$7)/A3taxstdlife))</f>
        <v>0</v>
      </c>
      <c r="AE515" s="107">
        <f>IF(A3taxstdlife="n/a","n/a",IF(AE$3&gt;(A3taxstdlife+$E515),(('PTRM input'!$N$145+'PTRM input'!$N$111)*$N$7)-SUM($N515:AD515),(('PTRM input'!$N$145+'PTRM input'!$N$111)*$N$7)/A3taxstdlife))</f>
        <v>0</v>
      </c>
      <c r="AF515" s="107">
        <f>IF(A3taxstdlife="n/a","n/a",IF(AF$3&gt;(A3taxstdlife+$E515),(('PTRM input'!$N$145+'PTRM input'!$N$111)*$N$7)-SUM($N515:AE515),(('PTRM input'!$N$145+'PTRM input'!$N$111)*$N$7)/A3taxstdlife))</f>
        <v>0</v>
      </c>
      <c r="AG515" s="107">
        <f>IF(A3taxstdlife="n/a","n/a",IF(AG$3&gt;(A3taxstdlife+$E515),(('PTRM input'!$N$145+'PTRM input'!$N$111)*$N$7)-SUM($N515:AF515),(('PTRM input'!$N$145+'PTRM input'!$N$111)*$N$7)/A3taxstdlife))</f>
        <v>0</v>
      </c>
      <c r="AH515" s="107">
        <f>IF(A3taxstdlife="n/a","n/a",IF(AH$3&gt;(A3taxstdlife+$E515),(('PTRM input'!$N$145+'PTRM input'!$N$111)*$N$7)-SUM($N515:AG515),(('PTRM input'!$N$145+'PTRM input'!$N$111)*$N$7)/A3taxstdlife))</f>
        <v>0</v>
      </c>
      <c r="AI515" s="107">
        <f>IF(A3taxstdlife="n/a","n/a",IF(AI$3&gt;(A3taxstdlife+$E515),(('PTRM input'!$N$145+'PTRM input'!$N$111)*$N$7)-SUM($N515:AH515),(('PTRM input'!$N$145+'PTRM input'!$N$111)*$N$7)/A3taxstdlife))</f>
        <v>0</v>
      </c>
      <c r="AJ515" s="107">
        <f>IF(A3taxstdlife="n/a","n/a",IF(AJ$3&gt;(A3taxstdlife+$E515),(('PTRM input'!$N$145+'PTRM input'!$N$111)*$N$7)-SUM($N515:AI515),(('PTRM input'!$N$145+'PTRM input'!$N$111)*$N$7)/A3taxstdlife))</f>
        <v>0</v>
      </c>
      <c r="AK515" s="107">
        <f>IF(A3taxstdlife="n/a","n/a",IF(AK$3&gt;(A3taxstdlife+$E515),(('PTRM input'!$N$145+'PTRM input'!$N$111)*$N$7)-SUM($N515:AJ515),(('PTRM input'!$N$145+'PTRM input'!$N$111)*$N$7)/A3taxstdlife))</f>
        <v>0</v>
      </c>
      <c r="AL515" s="107">
        <f>IF(A3taxstdlife="n/a","n/a",IF(AL$3&gt;(A3taxstdlife+$E515),(('PTRM input'!$N$145+'PTRM input'!$N$111)*$N$7)-SUM($N515:AK515),(('PTRM input'!$N$145+'PTRM input'!$N$111)*$N$7)/A3taxstdlife))</f>
        <v>0</v>
      </c>
      <c r="AM515" s="107">
        <f>IF(A3taxstdlife="n/a","n/a",IF(AM$3&gt;(A3taxstdlife+$E515),(('PTRM input'!$N$145+'PTRM input'!$N$111)*$N$7)-SUM($N515:AL515),(('PTRM input'!$N$145+'PTRM input'!$N$111)*$N$7)/A3taxstdlife))</f>
        <v>0</v>
      </c>
      <c r="AN515" s="107">
        <f>IF(A3taxstdlife="n/a","n/a",IF(AN$3&gt;(A3taxstdlife+$E515),(('PTRM input'!$N$145+'PTRM input'!$N$111)*$N$7)-SUM($N515:AM515),(('PTRM input'!$N$145+'PTRM input'!$N$111)*$N$7)/A3taxstdlife))</f>
        <v>0</v>
      </c>
      <c r="AO515" s="107">
        <f>IF(A3taxstdlife="n/a","n/a",IF(AO$3&gt;(A3taxstdlife+$E515),(('PTRM input'!$N$145+'PTRM input'!$N$111)*$N$7)-SUM($N515:AN515),(('PTRM input'!$N$145+'PTRM input'!$N$111)*$N$7)/A3taxstdlife))</f>
        <v>0</v>
      </c>
      <c r="AP515" s="107">
        <f>IF(A3taxstdlife="n/a","n/a",IF(AP$3&gt;(A3taxstdlife+$E515),(('PTRM input'!$N$145+'PTRM input'!$N$111)*$N$7)-SUM($N515:AO515),(('PTRM input'!$N$145+'PTRM input'!$N$111)*$N$7)/A3taxstdlife))</f>
        <v>0</v>
      </c>
      <c r="AQ515" s="107">
        <f>IF(A3taxstdlife="n/a","n/a",IF(AQ$3&gt;(A3taxstdlife+$E515),(('PTRM input'!$N$145+'PTRM input'!$N$111)*$N$7)-SUM($N515:AP515),(('PTRM input'!$N$145+'PTRM input'!$N$111)*$N$7)/A3taxstdlife))</f>
        <v>0</v>
      </c>
      <c r="AR515" s="107">
        <f>IF(A3taxstdlife="n/a","n/a",IF(AR$3&gt;(A3taxstdlife+$E515),(('PTRM input'!$N$145+'PTRM input'!$N$111)*$N$7)-SUM($N515:AQ515),(('PTRM input'!$N$145+'PTRM input'!$N$111)*$N$7)/A3taxstdlife))</f>
        <v>0</v>
      </c>
      <c r="AS515" s="107">
        <f>IF(A3taxstdlife="n/a","n/a",IF(AS$3&gt;(A3taxstdlife+$E515),(('PTRM input'!$N$145+'PTRM input'!$N$111)*$N$7)-SUM($N515:AR515),(('PTRM input'!$N$145+'PTRM input'!$N$111)*$N$7)/A3taxstdlife))</f>
        <v>0</v>
      </c>
      <c r="AT515" s="107">
        <f>IF(A3taxstdlife="n/a","n/a",IF(AT$3&gt;(A3taxstdlife+$E515),(('PTRM input'!$N$145+'PTRM input'!$N$111)*$N$7)-SUM($N515:AS515),(('PTRM input'!$N$145+'PTRM input'!$N$111)*$N$7)/A3taxstdlife))</f>
        <v>0</v>
      </c>
      <c r="AU515" s="107">
        <f>IF(A3taxstdlife="n/a","n/a",IF(AU$3&gt;(A3taxstdlife+$E515),(('PTRM input'!$N$145+'PTRM input'!$N$111)*$N$7)-SUM($N515:AT515),(('PTRM input'!$N$145+'PTRM input'!$N$111)*$N$7)/A3taxstdlife))</f>
        <v>0</v>
      </c>
      <c r="AV515" s="107">
        <f>IF(A3taxstdlife="n/a","n/a",IF(AV$3&gt;(A3taxstdlife+$E515),(('PTRM input'!$N$145+'PTRM input'!$N$111)*$N$7)-SUM($N515:AU515),(('PTRM input'!$N$145+'PTRM input'!$N$111)*$N$7)/A3taxstdlife))</f>
        <v>0</v>
      </c>
      <c r="AW515" s="107">
        <f>IF(A3taxstdlife="n/a","n/a",IF(AW$3&gt;(A3taxstdlife+$E515),(('PTRM input'!$N$145+'PTRM input'!$N$111)*$N$7)-SUM($N515:AV515),(('PTRM input'!$N$145+'PTRM input'!$N$111)*$N$7)/A3taxstdlife))</f>
        <v>0</v>
      </c>
      <c r="AX515" s="107">
        <f>IF(A3taxstdlife="n/a","n/a",IF(AX$3&gt;(A3taxstdlife+$E515),(('PTRM input'!$N$145+'PTRM input'!$N$111)*$N$7)-SUM($N515:AW515),(('PTRM input'!$N$145+'PTRM input'!$N$111)*$N$7)/A3taxstdlife))</f>
        <v>0</v>
      </c>
      <c r="AY515" s="107">
        <f>IF(A3taxstdlife="n/a","n/a",IF(AY$3&gt;(A3taxstdlife+$E515),(('PTRM input'!$N$145+'PTRM input'!$N$111)*$N$7)-SUM($N515:AX515),(('PTRM input'!$N$145+'PTRM input'!$N$111)*$N$7)/A3taxstdlife))</f>
        <v>0</v>
      </c>
      <c r="AZ515" s="107">
        <f>IF(A3taxstdlife="n/a","n/a",IF(AZ$3&gt;(A3taxstdlife+$E515),(('PTRM input'!$N$145+'PTRM input'!$N$111)*$N$7)-SUM($N515:AY515),(('PTRM input'!$N$145+'PTRM input'!$N$111)*$N$7)/A3taxstdlife))</f>
        <v>0</v>
      </c>
      <c r="BA515" s="107">
        <f>IF(A3taxstdlife="n/a","n/a",IF(BA$3&gt;(A3taxstdlife+$E515),(('PTRM input'!$N$145+'PTRM input'!$N$111)*$N$7)-SUM($N515:AZ515),(('PTRM input'!$N$145+'PTRM input'!$N$111)*$N$7)/A3taxstdlife))</f>
        <v>0</v>
      </c>
      <c r="BB515" s="107">
        <f>IF(A3taxstdlife="n/a","n/a",IF(BB$3&gt;(A3taxstdlife+$E515),(('PTRM input'!$N$145+'PTRM input'!$N$111)*$N$7)-SUM($N515:BA515),(('PTRM input'!$N$145+'PTRM input'!$N$111)*$N$7)/A3taxstdlife))</f>
        <v>0</v>
      </c>
      <c r="BC515" s="107">
        <f>IF(A3taxstdlife="n/a","n/a",IF(BC$3&gt;(A3taxstdlife+$E515),(('PTRM input'!$N$145+'PTRM input'!$N$111)*$N$7)-SUM($N515:BB515),(('PTRM input'!$N$145+'PTRM input'!$N$111)*$N$7)/A3taxstdlife))</f>
        <v>0</v>
      </c>
      <c r="BD515" s="107">
        <f>IF(A3taxstdlife="n/a","n/a",IF(BD$3&gt;(A3taxstdlife+$E515),(('PTRM input'!$N$145+'PTRM input'!$N$111)*$N$7)-SUM($N515:BC515),(('PTRM input'!$N$145+'PTRM input'!$N$111)*$N$7)/A3taxstdlife))</f>
        <v>0</v>
      </c>
      <c r="BE515" s="107">
        <f>IF(A3taxstdlife="n/a","n/a",IF(BE$3&gt;(A3taxstdlife+$E515),(('PTRM input'!$N$145+'PTRM input'!$N$111)*$N$7)-SUM($N515:BD515),(('PTRM input'!$N$145+'PTRM input'!$N$111)*$N$7)/A3taxstdlife))</f>
        <v>0</v>
      </c>
      <c r="BF515" s="107">
        <f>IF(A3taxstdlife="n/a","n/a",IF(BF$3&gt;(A3taxstdlife+$E515),(('PTRM input'!$N$145+'PTRM input'!$N$111)*$N$7)-SUM($N515:BE515),(('PTRM input'!$N$145+'PTRM input'!$N$111)*$N$7)/A3taxstdlife))</f>
        <v>0</v>
      </c>
      <c r="BG515" s="107">
        <f>IF(A3taxstdlife="n/a","n/a",IF(BG$3&gt;(A3taxstdlife+$E515),(('PTRM input'!$N$145+'PTRM input'!$N$111)*$N$7)-SUM($N515:BF515),(('PTRM input'!$N$145+'PTRM input'!$N$111)*$N$7)/A3taxstdlife))</f>
        <v>0</v>
      </c>
      <c r="BH515" s="107">
        <f>IF(A3taxstdlife="n/a","n/a",IF(BH$3&gt;(A3taxstdlife+$E515),(('PTRM input'!$N$145+'PTRM input'!$N$111)*$N$7)-SUM($N515:BG515),(('PTRM input'!$N$145+'PTRM input'!$N$111)*$N$7)/A3taxstdlife))</f>
        <v>0</v>
      </c>
      <c r="BI515" s="107">
        <f>IF(A3taxstdlife="n/a","n/a",IF(BI$3&gt;(A3taxstdlife+$E515),(('PTRM input'!$N$145+'PTRM input'!$N$111)*$N$7)-SUM($N515:BH515),(('PTRM input'!$N$145+'PTRM input'!$N$111)*$N$7)/A3taxstdlife))</f>
        <v>0</v>
      </c>
      <c r="BJ515" s="18"/>
      <c r="BK515" s="18"/>
      <c r="BL515" s="18"/>
      <c r="BM515" s="18"/>
    </row>
    <row r="516" spans="1:65" s="4" customFormat="1" hidden="1" outlineLevel="2">
      <c r="A516" s="18"/>
      <c r="B516" s="18"/>
      <c r="C516" s="33"/>
      <c r="D516" s="1618"/>
      <c r="E516" s="169">
        <v>9</v>
      </c>
      <c r="F516" s="35"/>
      <c r="G516" s="184"/>
      <c r="H516" s="1443"/>
      <c r="I516" s="186"/>
      <c r="J516" s="186"/>
      <c r="K516" s="186"/>
      <c r="L516" s="186"/>
      <c r="M516" s="186"/>
      <c r="N516" s="186"/>
      <c r="O516" s="185"/>
      <c r="P516" s="107">
        <f>IF(A3taxstdlife="n/a","n/a",IF(P$3&gt;(A3taxstdlife+$E516),(('PTRM input'!$O$145+'PTRM input'!$O$111)*$O$7)-SUM($O516:O516),(('PTRM input'!$O$145+'PTRM input'!$O$111)*$O$7)/A3taxstdlife))</f>
        <v>0</v>
      </c>
      <c r="Q516" s="107">
        <f>IF(A3taxstdlife="n/a","n/a",IF(Q$3&gt;(A3taxstdlife+$E516),(('PTRM input'!$O$145+'PTRM input'!$O$111)*$O$7)-SUM($O516:P516),(('PTRM input'!$O$145+'PTRM input'!$O$111)*$O$7)/A3taxstdlife))</f>
        <v>0</v>
      </c>
      <c r="R516" s="107">
        <f>IF(A3taxstdlife="n/a","n/a",IF(R$3&gt;(A3taxstdlife+$E516),(('PTRM input'!$O$145+'PTRM input'!$O$111)*$O$7)-SUM($O516:Q516),(('PTRM input'!$O$145+'PTRM input'!$O$111)*$O$7)/A3taxstdlife))</f>
        <v>0</v>
      </c>
      <c r="S516" s="107">
        <f>IF(A3taxstdlife="n/a","n/a",IF(S$3&gt;(A3taxstdlife+$E516),(('PTRM input'!$O$145+'PTRM input'!$O$111)*$O$7)-SUM($O516:R516),(('PTRM input'!$O$145+'PTRM input'!$O$111)*$O$7)/A3taxstdlife))</f>
        <v>0</v>
      </c>
      <c r="T516" s="107">
        <f>IF(A3taxstdlife="n/a","n/a",IF(T$3&gt;(A3taxstdlife+$E516),(('PTRM input'!$O$145+'PTRM input'!$O$111)*$O$7)-SUM($O516:S516),(('PTRM input'!$O$145+'PTRM input'!$O$111)*$O$7)/A3taxstdlife))</f>
        <v>0</v>
      </c>
      <c r="U516" s="107">
        <f>IF(A3taxstdlife="n/a","n/a",IF(U$3&gt;(A3taxstdlife+$E516),(('PTRM input'!$O$145+'PTRM input'!$O$111)*$O$7)-SUM($O516:T516),(('PTRM input'!$O$145+'PTRM input'!$O$111)*$O$7)/A3taxstdlife))</f>
        <v>0</v>
      </c>
      <c r="V516" s="107">
        <f>IF(A3taxstdlife="n/a","n/a",IF(V$3&gt;(A3taxstdlife+$E516),(('PTRM input'!$O$145+'PTRM input'!$O$111)*$O$7)-SUM($O516:U516),(('PTRM input'!$O$145+'PTRM input'!$O$111)*$O$7)/A3taxstdlife))</f>
        <v>0</v>
      </c>
      <c r="W516" s="107">
        <f>IF(A3taxstdlife="n/a","n/a",IF(W$3&gt;(A3taxstdlife+$E516),(('PTRM input'!$O$145+'PTRM input'!$O$111)*$O$7)-SUM($O516:V516),(('PTRM input'!$O$145+'PTRM input'!$O$111)*$O$7)/A3taxstdlife))</f>
        <v>0</v>
      </c>
      <c r="X516" s="107">
        <f>IF(A3taxstdlife="n/a","n/a",IF(X$3&gt;(A3taxstdlife+$E516),(('PTRM input'!$O$145+'PTRM input'!$O$111)*$O$7)-SUM($O516:W516),(('PTRM input'!$O$145+'PTRM input'!$O$111)*$O$7)/A3taxstdlife))</f>
        <v>0</v>
      </c>
      <c r="Y516" s="107">
        <f>IF(A3taxstdlife="n/a","n/a",IF(Y$3&gt;(A3taxstdlife+$E516),(('PTRM input'!$O$145+'PTRM input'!$O$111)*$O$7)-SUM($O516:X516),(('PTRM input'!$O$145+'PTRM input'!$O$111)*$O$7)/A3taxstdlife))</f>
        <v>0</v>
      </c>
      <c r="Z516" s="107">
        <f>IF(A3taxstdlife="n/a","n/a",IF(Z$3&gt;(A3taxstdlife+$E516),(('PTRM input'!$O$145+'PTRM input'!$O$111)*$O$7)-SUM($O516:Y516),(('PTRM input'!$O$145+'PTRM input'!$O$111)*$O$7)/A3taxstdlife))</f>
        <v>0</v>
      </c>
      <c r="AA516" s="107">
        <f>IF(A3taxstdlife="n/a","n/a",IF(AA$3&gt;(A3taxstdlife+$E516),(('PTRM input'!$O$145+'PTRM input'!$O$111)*$O$7)-SUM($O516:Z516),(('PTRM input'!$O$145+'PTRM input'!$O$111)*$O$7)/A3taxstdlife))</f>
        <v>0</v>
      </c>
      <c r="AB516" s="107">
        <f>IF(A3taxstdlife="n/a","n/a",IF(AB$3&gt;(A3taxstdlife+$E516),(('PTRM input'!$O$145+'PTRM input'!$O$111)*$O$7)-SUM($O516:AA516),(('PTRM input'!$O$145+'PTRM input'!$O$111)*$O$7)/A3taxstdlife))</f>
        <v>0</v>
      </c>
      <c r="AC516" s="107">
        <f>IF(A3taxstdlife="n/a","n/a",IF(AC$3&gt;(A3taxstdlife+$E516),(('PTRM input'!$O$145+'PTRM input'!$O$111)*$O$7)-SUM($O516:AB516),(('PTRM input'!$O$145+'PTRM input'!$O$111)*$O$7)/A3taxstdlife))</f>
        <v>0</v>
      </c>
      <c r="AD516" s="107">
        <f>IF(A3taxstdlife="n/a","n/a",IF(AD$3&gt;(A3taxstdlife+$E516),(('PTRM input'!$O$145+'PTRM input'!$O$111)*$O$7)-SUM($O516:AC516),(('PTRM input'!$O$145+'PTRM input'!$O$111)*$O$7)/A3taxstdlife))</f>
        <v>0</v>
      </c>
      <c r="AE516" s="107">
        <f>IF(A3taxstdlife="n/a","n/a",IF(AE$3&gt;(A3taxstdlife+$E516),(('PTRM input'!$O$145+'PTRM input'!$O$111)*$O$7)-SUM($O516:AD516),(('PTRM input'!$O$145+'PTRM input'!$O$111)*$O$7)/A3taxstdlife))</f>
        <v>0</v>
      </c>
      <c r="AF516" s="107">
        <f>IF(A3taxstdlife="n/a","n/a",IF(AF$3&gt;(A3taxstdlife+$E516),(('PTRM input'!$O$145+'PTRM input'!$O$111)*$O$7)-SUM($O516:AE516),(('PTRM input'!$O$145+'PTRM input'!$O$111)*$O$7)/A3taxstdlife))</f>
        <v>0</v>
      </c>
      <c r="AG516" s="107">
        <f>IF(A3taxstdlife="n/a","n/a",IF(AG$3&gt;(A3taxstdlife+$E516),(('PTRM input'!$O$145+'PTRM input'!$O$111)*$O$7)-SUM($O516:AF516),(('PTRM input'!$O$145+'PTRM input'!$O$111)*$O$7)/A3taxstdlife))</f>
        <v>0</v>
      </c>
      <c r="AH516" s="107">
        <f>IF(A3taxstdlife="n/a","n/a",IF(AH$3&gt;(A3taxstdlife+$E516),(('PTRM input'!$O$145+'PTRM input'!$O$111)*$O$7)-SUM($O516:AG516),(('PTRM input'!$O$145+'PTRM input'!$O$111)*$O$7)/A3taxstdlife))</f>
        <v>0</v>
      </c>
      <c r="AI516" s="107">
        <f>IF(A3taxstdlife="n/a","n/a",IF(AI$3&gt;(A3taxstdlife+$E516),(('PTRM input'!$O$145+'PTRM input'!$O$111)*$O$7)-SUM($O516:AH516),(('PTRM input'!$O$145+'PTRM input'!$O$111)*$O$7)/A3taxstdlife))</f>
        <v>0</v>
      </c>
      <c r="AJ516" s="107">
        <f>IF(A3taxstdlife="n/a","n/a",IF(AJ$3&gt;(A3taxstdlife+$E516),(('PTRM input'!$O$145+'PTRM input'!$O$111)*$O$7)-SUM($O516:AI516),(('PTRM input'!$O$145+'PTRM input'!$O$111)*$O$7)/A3taxstdlife))</f>
        <v>0</v>
      </c>
      <c r="AK516" s="107">
        <f>IF(A3taxstdlife="n/a","n/a",IF(AK$3&gt;(A3taxstdlife+$E516),(('PTRM input'!$O$145+'PTRM input'!$O$111)*$O$7)-SUM($O516:AJ516),(('PTRM input'!$O$145+'PTRM input'!$O$111)*$O$7)/A3taxstdlife))</f>
        <v>0</v>
      </c>
      <c r="AL516" s="107">
        <f>IF(A3taxstdlife="n/a","n/a",IF(AL$3&gt;(A3taxstdlife+$E516),(('PTRM input'!$O$145+'PTRM input'!$O$111)*$O$7)-SUM($O516:AK516),(('PTRM input'!$O$145+'PTRM input'!$O$111)*$O$7)/A3taxstdlife))</f>
        <v>0</v>
      </c>
      <c r="AM516" s="107">
        <f>IF(A3taxstdlife="n/a","n/a",IF(AM$3&gt;(A3taxstdlife+$E516),(('PTRM input'!$O$145+'PTRM input'!$O$111)*$O$7)-SUM($O516:AL516),(('PTRM input'!$O$145+'PTRM input'!$O$111)*$O$7)/A3taxstdlife))</f>
        <v>0</v>
      </c>
      <c r="AN516" s="107">
        <f>IF(A3taxstdlife="n/a","n/a",IF(AN$3&gt;(A3taxstdlife+$E516),(('PTRM input'!$O$145+'PTRM input'!$O$111)*$O$7)-SUM($O516:AM516),(('PTRM input'!$O$145+'PTRM input'!$O$111)*$O$7)/A3taxstdlife))</f>
        <v>0</v>
      </c>
      <c r="AO516" s="107">
        <f>IF(A3taxstdlife="n/a","n/a",IF(AO$3&gt;(A3taxstdlife+$E516),(('PTRM input'!$O$145+'PTRM input'!$O$111)*$O$7)-SUM($O516:AN516),(('PTRM input'!$O$145+'PTRM input'!$O$111)*$O$7)/A3taxstdlife))</f>
        <v>0</v>
      </c>
      <c r="AP516" s="107">
        <f>IF(A3taxstdlife="n/a","n/a",IF(AP$3&gt;(A3taxstdlife+$E516),(('PTRM input'!$O$145+'PTRM input'!$O$111)*$O$7)-SUM($O516:AO516),(('PTRM input'!$O$145+'PTRM input'!$O$111)*$O$7)/A3taxstdlife))</f>
        <v>0</v>
      </c>
      <c r="AQ516" s="107">
        <f>IF(A3taxstdlife="n/a","n/a",IF(AQ$3&gt;(A3taxstdlife+$E516),(('PTRM input'!$O$145+'PTRM input'!$O$111)*$O$7)-SUM($O516:AP516),(('PTRM input'!$O$145+'PTRM input'!$O$111)*$O$7)/A3taxstdlife))</f>
        <v>0</v>
      </c>
      <c r="AR516" s="107">
        <f>IF(A3taxstdlife="n/a","n/a",IF(AR$3&gt;(A3taxstdlife+$E516),(('PTRM input'!$O$145+'PTRM input'!$O$111)*$O$7)-SUM($O516:AQ516),(('PTRM input'!$O$145+'PTRM input'!$O$111)*$O$7)/A3taxstdlife))</f>
        <v>0</v>
      </c>
      <c r="AS516" s="107">
        <f>IF(A3taxstdlife="n/a","n/a",IF(AS$3&gt;(A3taxstdlife+$E516),(('PTRM input'!$O$145+'PTRM input'!$O$111)*$O$7)-SUM($O516:AR516),(('PTRM input'!$O$145+'PTRM input'!$O$111)*$O$7)/A3taxstdlife))</f>
        <v>0</v>
      </c>
      <c r="AT516" s="107">
        <f>IF(A3taxstdlife="n/a","n/a",IF(AT$3&gt;(A3taxstdlife+$E516),(('PTRM input'!$O$145+'PTRM input'!$O$111)*$O$7)-SUM($O516:AS516),(('PTRM input'!$O$145+'PTRM input'!$O$111)*$O$7)/A3taxstdlife))</f>
        <v>0</v>
      </c>
      <c r="AU516" s="107">
        <f>IF(A3taxstdlife="n/a","n/a",IF(AU$3&gt;(A3taxstdlife+$E516),(('PTRM input'!$O$145+'PTRM input'!$O$111)*$O$7)-SUM($O516:AT516),(('PTRM input'!$O$145+'PTRM input'!$O$111)*$O$7)/A3taxstdlife))</f>
        <v>0</v>
      </c>
      <c r="AV516" s="107">
        <f>IF(A3taxstdlife="n/a","n/a",IF(AV$3&gt;(A3taxstdlife+$E516),(('PTRM input'!$O$145+'PTRM input'!$O$111)*$O$7)-SUM($O516:AU516),(('PTRM input'!$O$145+'PTRM input'!$O$111)*$O$7)/A3taxstdlife))</f>
        <v>0</v>
      </c>
      <c r="AW516" s="107">
        <f>IF(A3taxstdlife="n/a","n/a",IF(AW$3&gt;(A3taxstdlife+$E516),(('PTRM input'!$O$145+'PTRM input'!$O$111)*$O$7)-SUM($O516:AV516),(('PTRM input'!$O$145+'PTRM input'!$O$111)*$O$7)/A3taxstdlife))</f>
        <v>0</v>
      </c>
      <c r="AX516" s="107">
        <f>IF(A3taxstdlife="n/a","n/a",IF(AX$3&gt;(A3taxstdlife+$E516),(('PTRM input'!$O$145+'PTRM input'!$O$111)*$O$7)-SUM($O516:AW516),(('PTRM input'!$O$145+'PTRM input'!$O$111)*$O$7)/A3taxstdlife))</f>
        <v>0</v>
      </c>
      <c r="AY516" s="107">
        <f>IF(A3taxstdlife="n/a","n/a",IF(AY$3&gt;(A3taxstdlife+$E516),(('PTRM input'!$O$145+'PTRM input'!$O$111)*$O$7)-SUM($O516:AX516),(('PTRM input'!$O$145+'PTRM input'!$O$111)*$O$7)/A3taxstdlife))</f>
        <v>0</v>
      </c>
      <c r="AZ516" s="107">
        <f>IF(A3taxstdlife="n/a","n/a",IF(AZ$3&gt;(A3taxstdlife+$E516),(('PTRM input'!$O$145+'PTRM input'!$O$111)*$O$7)-SUM($O516:AY516),(('PTRM input'!$O$145+'PTRM input'!$O$111)*$O$7)/A3taxstdlife))</f>
        <v>0</v>
      </c>
      <c r="BA516" s="107">
        <f>IF(A3taxstdlife="n/a","n/a",IF(BA$3&gt;(A3taxstdlife+$E516),(('PTRM input'!$O$145+'PTRM input'!$O$111)*$O$7)-SUM($O516:AZ516),(('PTRM input'!$O$145+'PTRM input'!$O$111)*$O$7)/A3taxstdlife))</f>
        <v>0</v>
      </c>
      <c r="BB516" s="107">
        <f>IF(A3taxstdlife="n/a","n/a",IF(BB$3&gt;(A3taxstdlife+$E516),(('PTRM input'!$O$145+'PTRM input'!$O$111)*$O$7)-SUM($O516:BA516),(('PTRM input'!$O$145+'PTRM input'!$O$111)*$O$7)/A3taxstdlife))</f>
        <v>0</v>
      </c>
      <c r="BC516" s="107">
        <f>IF(A3taxstdlife="n/a","n/a",IF(BC$3&gt;(A3taxstdlife+$E516),(('PTRM input'!$O$145+'PTRM input'!$O$111)*$O$7)-SUM($O516:BB516),(('PTRM input'!$O$145+'PTRM input'!$O$111)*$O$7)/A3taxstdlife))</f>
        <v>0</v>
      </c>
      <c r="BD516" s="107">
        <f>IF(A3taxstdlife="n/a","n/a",IF(BD$3&gt;(A3taxstdlife+$E516),(('PTRM input'!$O$145+'PTRM input'!$O$111)*$O$7)-SUM($O516:BC516),(('PTRM input'!$O$145+'PTRM input'!$O$111)*$O$7)/A3taxstdlife))</f>
        <v>0</v>
      </c>
      <c r="BE516" s="107">
        <f>IF(A3taxstdlife="n/a","n/a",IF(BE$3&gt;(A3taxstdlife+$E516),(('PTRM input'!$O$145+'PTRM input'!$O$111)*$O$7)-SUM($O516:BD516),(('PTRM input'!$O$145+'PTRM input'!$O$111)*$O$7)/A3taxstdlife))</f>
        <v>0</v>
      </c>
      <c r="BF516" s="107">
        <f>IF(A3taxstdlife="n/a","n/a",IF(BF$3&gt;(A3taxstdlife+$E516),(('PTRM input'!$O$145+'PTRM input'!$O$111)*$O$7)-SUM($O516:BE516),(('PTRM input'!$O$145+'PTRM input'!$O$111)*$O$7)/A3taxstdlife))</f>
        <v>0</v>
      </c>
      <c r="BG516" s="107">
        <f>IF(A3taxstdlife="n/a","n/a",IF(BG$3&gt;(A3taxstdlife+$E516),(('PTRM input'!$O$145+'PTRM input'!$O$111)*$O$7)-SUM($O516:BF516),(('PTRM input'!$O$145+'PTRM input'!$O$111)*$O$7)/A3taxstdlife))</f>
        <v>0</v>
      </c>
      <c r="BH516" s="107">
        <f>IF(A3taxstdlife="n/a","n/a",IF(BH$3&gt;(A3taxstdlife+$E516),(('PTRM input'!$O$145+'PTRM input'!$O$111)*$O$7)-SUM($O516:BG516),(('PTRM input'!$O$145+'PTRM input'!$O$111)*$O$7)/A3taxstdlife))</f>
        <v>0</v>
      </c>
      <c r="BI516" s="107">
        <f>IF(A3taxstdlife="n/a","n/a",IF(BI$3&gt;(A3taxstdlife+$E516),(('PTRM input'!$O$145+'PTRM input'!$O$111)*$O$7)-SUM($O516:BH516),(('PTRM input'!$O$145+'PTRM input'!$O$111)*$O$7)/A3taxstdlife))</f>
        <v>0</v>
      </c>
      <c r="BJ516" s="18"/>
      <c r="BK516" s="18"/>
      <c r="BL516" s="18"/>
      <c r="BM516" s="18"/>
    </row>
    <row r="517" spans="1:65" s="4" customFormat="1" hidden="1" outlineLevel="2">
      <c r="A517" s="18"/>
      <c r="B517" s="18"/>
      <c r="C517" s="33"/>
      <c r="D517" s="1618"/>
      <c r="E517" s="170">
        <v>10</v>
      </c>
      <c r="F517" s="35"/>
      <c r="G517" s="184"/>
      <c r="H517" s="1443"/>
      <c r="I517" s="186"/>
      <c r="J517" s="186"/>
      <c r="K517" s="186"/>
      <c r="L517" s="186"/>
      <c r="M517" s="186"/>
      <c r="N517" s="186"/>
      <c r="O517" s="186"/>
      <c r="P517" s="185"/>
      <c r="Q517" s="107">
        <f>IF(A3taxstdlife="n/a","n/a",IF(Q$3&gt;(A3taxstdlife+$E517),(('PTRM input'!$P$145+'PTRM input'!$P$111)*$P$7)-SUM($P517:P517),(('PTRM input'!$P$145+'PTRM input'!$P$111)*$P$7)/A3taxstdlife))</f>
        <v>0</v>
      </c>
      <c r="R517" s="107">
        <f>IF(A3taxstdlife="n/a","n/a",IF(R$3&gt;(A3taxstdlife+$E517),(('PTRM input'!$P$145+'PTRM input'!$P$111)*$P$7)-SUM($P517:Q517),(('PTRM input'!$P$145+'PTRM input'!$P$111)*$P$7)/A3taxstdlife))</f>
        <v>0</v>
      </c>
      <c r="S517" s="107">
        <f>IF(A3taxstdlife="n/a","n/a",IF(S$3&gt;(A3taxstdlife+$E517),(('PTRM input'!$P$145+'PTRM input'!$P$111)*$P$7)-SUM($P517:R517),(('PTRM input'!$P$145+'PTRM input'!$P$111)*$P$7)/A3taxstdlife))</f>
        <v>0</v>
      </c>
      <c r="T517" s="107">
        <f>IF(A3taxstdlife="n/a","n/a",IF(T$3&gt;(A3taxstdlife+$E517),(('PTRM input'!$P$145+'PTRM input'!$P$111)*$P$7)-SUM($P517:S517),(('PTRM input'!$P$145+'PTRM input'!$P$111)*$P$7)/A3taxstdlife))</f>
        <v>0</v>
      </c>
      <c r="U517" s="107">
        <f>IF(A3taxstdlife="n/a","n/a",IF(U$3&gt;(A3taxstdlife+$E517),(('PTRM input'!$P$145+'PTRM input'!$P$111)*$P$7)-SUM($P517:T517),(('PTRM input'!$P$145+'PTRM input'!$P$111)*$P$7)/A3taxstdlife))</f>
        <v>0</v>
      </c>
      <c r="V517" s="107">
        <f>IF(A3taxstdlife="n/a","n/a",IF(V$3&gt;(A3taxstdlife+$E517),(('PTRM input'!$P$145+'PTRM input'!$P$111)*$P$7)-SUM($P517:U517),(('PTRM input'!$P$145+'PTRM input'!$P$111)*$P$7)/A3taxstdlife))</f>
        <v>0</v>
      </c>
      <c r="W517" s="107">
        <f>IF(A3taxstdlife="n/a","n/a",IF(W$3&gt;(A3taxstdlife+$E517),(('PTRM input'!$P$145+'PTRM input'!$P$111)*$P$7)-SUM($P517:V517),(('PTRM input'!$P$145+'PTRM input'!$P$111)*$P$7)/A3taxstdlife))</f>
        <v>0</v>
      </c>
      <c r="X517" s="107">
        <f>IF(A3taxstdlife="n/a","n/a",IF(X$3&gt;(A3taxstdlife+$E517),(('PTRM input'!$P$145+'PTRM input'!$P$111)*$P$7)-SUM($P517:W517),(('PTRM input'!$P$145+'PTRM input'!$P$111)*$P$7)/A3taxstdlife))</f>
        <v>0</v>
      </c>
      <c r="Y517" s="107">
        <f>IF(A3taxstdlife="n/a","n/a",IF(Y$3&gt;(A3taxstdlife+$E517),(('PTRM input'!$P$145+'PTRM input'!$P$111)*$P$7)-SUM($P517:X517),(('PTRM input'!$P$145+'PTRM input'!$P$111)*$P$7)/A3taxstdlife))</f>
        <v>0</v>
      </c>
      <c r="Z517" s="107">
        <f>IF(A3taxstdlife="n/a","n/a",IF(Z$3&gt;(A3taxstdlife+$E517),(('PTRM input'!$P$145+'PTRM input'!$P$111)*$P$7)-SUM($P517:Y517),(('PTRM input'!$P$145+'PTRM input'!$P$111)*$P$7)/A3taxstdlife))</f>
        <v>0</v>
      </c>
      <c r="AA517" s="107">
        <f>IF(A3taxstdlife="n/a","n/a",IF(AA$3&gt;(A3taxstdlife+$E517),(('PTRM input'!$P$145+'PTRM input'!$P$111)*$P$7)-SUM($P517:Z517),(('PTRM input'!$P$145+'PTRM input'!$P$111)*$P$7)/A3taxstdlife))</f>
        <v>0</v>
      </c>
      <c r="AB517" s="107">
        <f>IF(A3taxstdlife="n/a","n/a",IF(AB$3&gt;(A3taxstdlife+$E517),(('PTRM input'!$P$145+'PTRM input'!$P$111)*$P$7)-SUM($P517:AA517),(('PTRM input'!$P$145+'PTRM input'!$P$111)*$P$7)/A3taxstdlife))</f>
        <v>0</v>
      </c>
      <c r="AC517" s="107">
        <f>IF(A3taxstdlife="n/a","n/a",IF(AC$3&gt;(A3taxstdlife+$E517),(('PTRM input'!$P$145+'PTRM input'!$P$111)*$P$7)-SUM($P517:AB517),(('PTRM input'!$P$145+'PTRM input'!$P$111)*$P$7)/A3taxstdlife))</f>
        <v>0</v>
      </c>
      <c r="AD517" s="107">
        <f>IF(A3taxstdlife="n/a","n/a",IF(AD$3&gt;(A3taxstdlife+$E517),(('PTRM input'!$P$145+'PTRM input'!$P$111)*$P$7)-SUM($P517:AC517),(('PTRM input'!$P$145+'PTRM input'!$P$111)*$P$7)/A3taxstdlife))</f>
        <v>0</v>
      </c>
      <c r="AE517" s="107">
        <f>IF(A3taxstdlife="n/a","n/a",IF(AE$3&gt;(A3taxstdlife+$E517),(('PTRM input'!$P$145+'PTRM input'!$P$111)*$P$7)-SUM($P517:AD517),(('PTRM input'!$P$145+'PTRM input'!$P$111)*$P$7)/A3taxstdlife))</f>
        <v>0</v>
      </c>
      <c r="AF517" s="107">
        <f>IF(A3taxstdlife="n/a","n/a",IF(AF$3&gt;(A3taxstdlife+$E517),(('PTRM input'!$P$145+'PTRM input'!$P$111)*$P$7)-SUM($P517:AE517),(('PTRM input'!$P$145+'PTRM input'!$P$111)*$P$7)/A3taxstdlife))</f>
        <v>0</v>
      </c>
      <c r="AG517" s="107">
        <f>IF(A3taxstdlife="n/a","n/a",IF(AG$3&gt;(A3taxstdlife+$E517),(('PTRM input'!$P$145+'PTRM input'!$P$111)*$P$7)-SUM($P517:AF517),(('PTRM input'!$P$145+'PTRM input'!$P$111)*$P$7)/A3taxstdlife))</f>
        <v>0</v>
      </c>
      <c r="AH517" s="107">
        <f>IF(A3taxstdlife="n/a","n/a",IF(AH$3&gt;(A3taxstdlife+$E517),(('PTRM input'!$P$145+'PTRM input'!$P$111)*$P$7)-SUM($P517:AG517),(('PTRM input'!$P$145+'PTRM input'!$P$111)*$P$7)/A3taxstdlife))</f>
        <v>0</v>
      </c>
      <c r="AI517" s="107">
        <f>IF(A3taxstdlife="n/a","n/a",IF(AI$3&gt;(A3taxstdlife+$E517),(('PTRM input'!$P$145+'PTRM input'!$P$111)*$P$7)-SUM($P517:AH517),(('PTRM input'!$P$145+'PTRM input'!$P$111)*$P$7)/A3taxstdlife))</f>
        <v>0</v>
      </c>
      <c r="AJ517" s="107">
        <f>IF(A3taxstdlife="n/a","n/a",IF(AJ$3&gt;(A3taxstdlife+$E517),(('PTRM input'!$P$145+'PTRM input'!$P$111)*$P$7)-SUM($P517:AI517),(('PTRM input'!$P$145+'PTRM input'!$P$111)*$P$7)/A3taxstdlife))</f>
        <v>0</v>
      </c>
      <c r="AK517" s="107">
        <f>IF(A3taxstdlife="n/a","n/a",IF(AK$3&gt;(A3taxstdlife+$E517),(('PTRM input'!$P$145+'PTRM input'!$P$111)*$P$7)-SUM($P517:AJ517),(('PTRM input'!$P$145+'PTRM input'!$P$111)*$P$7)/A3taxstdlife))</f>
        <v>0</v>
      </c>
      <c r="AL517" s="107">
        <f>IF(A3taxstdlife="n/a","n/a",IF(AL$3&gt;(A3taxstdlife+$E517),(('PTRM input'!$P$145+'PTRM input'!$P$111)*$P$7)-SUM($P517:AK517),(('PTRM input'!$P$145+'PTRM input'!$P$111)*$P$7)/A3taxstdlife))</f>
        <v>0</v>
      </c>
      <c r="AM517" s="107">
        <f>IF(A3taxstdlife="n/a","n/a",IF(AM$3&gt;(A3taxstdlife+$E517),(('PTRM input'!$P$145+'PTRM input'!$P$111)*$P$7)-SUM($P517:AL517),(('PTRM input'!$P$145+'PTRM input'!$P$111)*$P$7)/A3taxstdlife))</f>
        <v>0</v>
      </c>
      <c r="AN517" s="107">
        <f>IF(A3taxstdlife="n/a","n/a",IF(AN$3&gt;(A3taxstdlife+$E517),(('PTRM input'!$P$145+'PTRM input'!$P$111)*$P$7)-SUM($P517:AM517),(('PTRM input'!$P$145+'PTRM input'!$P$111)*$P$7)/A3taxstdlife))</f>
        <v>0</v>
      </c>
      <c r="AO517" s="107">
        <f>IF(A3taxstdlife="n/a","n/a",IF(AO$3&gt;(A3taxstdlife+$E517),(('PTRM input'!$P$145+'PTRM input'!$P$111)*$P$7)-SUM($P517:AN517),(('PTRM input'!$P$145+'PTRM input'!$P$111)*$P$7)/A3taxstdlife))</f>
        <v>0</v>
      </c>
      <c r="AP517" s="107">
        <f>IF(A3taxstdlife="n/a","n/a",IF(AP$3&gt;(A3taxstdlife+$E517),(('PTRM input'!$P$145+'PTRM input'!$P$111)*$P$7)-SUM($P517:AO517),(('PTRM input'!$P$145+'PTRM input'!$P$111)*$P$7)/A3taxstdlife))</f>
        <v>0</v>
      </c>
      <c r="AQ517" s="107">
        <f>IF(A3taxstdlife="n/a","n/a",IF(AQ$3&gt;(A3taxstdlife+$E517),(('PTRM input'!$P$145+'PTRM input'!$P$111)*$P$7)-SUM($P517:AP517),(('PTRM input'!$P$145+'PTRM input'!$P$111)*$P$7)/A3taxstdlife))</f>
        <v>0</v>
      </c>
      <c r="AR517" s="107">
        <f>IF(A3taxstdlife="n/a","n/a",IF(AR$3&gt;(A3taxstdlife+$E517),(('PTRM input'!$P$145+'PTRM input'!$P$111)*$P$7)-SUM($P517:AQ517),(('PTRM input'!$P$145+'PTRM input'!$P$111)*$P$7)/A3taxstdlife))</f>
        <v>0</v>
      </c>
      <c r="AS517" s="107">
        <f>IF(A3taxstdlife="n/a","n/a",IF(AS$3&gt;(A3taxstdlife+$E517),(('PTRM input'!$P$145+'PTRM input'!$P$111)*$P$7)-SUM($P517:AR517),(('PTRM input'!$P$145+'PTRM input'!$P$111)*$P$7)/A3taxstdlife))</f>
        <v>0</v>
      </c>
      <c r="AT517" s="107">
        <f>IF(A3taxstdlife="n/a","n/a",IF(AT$3&gt;(A3taxstdlife+$E517),(('PTRM input'!$P$145+'PTRM input'!$P$111)*$P$7)-SUM($P517:AS517),(('PTRM input'!$P$145+'PTRM input'!$P$111)*$P$7)/A3taxstdlife))</f>
        <v>0</v>
      </c>
      <c r="AU517" s="107">
        <f>IF(A3taxstdlife="n/a","n/a",IF(AU$3&gt;(A3taxstdlife+$E517),(('PTRM input'!$P$145+'PTRM input'!$P$111)*$P$7)-SUM($P517:AT517),(('PTRM input'!$P$145+'PTRM input'!$P$111)*$P$7)/A3taxstdlife))</f>
        <v>0</v>
      </c>
      <c r="AV517" s="107">
        <f>IF(A3taxstdlife="n/a","n/a",IF(AV$3&gt;(A3taxstdlife+$E517),(('PTRM input'!$P$145+'PTRM input'!$P$111)*$P$7)-SUM($P517:AU517),(('PTRM input'!$P$145+'PTRM input'!$P$111)*$P$7)/A3taxstdlife))</f>
        <v>0</v>
      </c>
      <c r="AW517" s="107">
        <f>IF(A3taxstdlife="n/a","n/a",IF(AW$3&gt;(A3taxstdlife+$E517),(('PTRM input'!$P$145+'PTRM input'!$P$111)*$P$7)-SUM($P517:AV517),(('PTRM input'!$P$145+'PTRM input'!$P$111)*$P$7)/A3taxstdlife))</f>
        <v>0</v>
      </c>
      <c r="AX517" s="107">
        <f>IF(A3taxstdlife="n/a","n/a",IF(AX$3&gt;(A3taxstdlife+$E517),(('PTRM input'!$P$145+'PTRM input'!$P$111)*$P$7)-SUM($P517:AW517),(('PTRM input'!$P$145+'PTRM input'!$P$111)*$P$7)/A3taxstdlife))</f>
        <v>0</v>
      </c>
      <c r="AY517" s="107">
        <f>IF(A3taxstdlife="n/a","n/a",IF(AY$3&gt;(A3taxstdlife+$E517),(('PTRM input'!$P$145+'PTRM input'!$P$111)*$P$7)-SUM($P517:AX517),(('PTRM input'!$P$145+'PTRM input'!$P$111)*$P$7)/A3taxstdlife))</f>
        <v>0</v>
      </c>
      <c r="AZ517" s="107">
        <f>IF(A3taxstdlife="n/a","n/a",IF(AZ$3&gt;(A3taxstdlife+$E517),(('PTRM input'!$P$145+'PTRM input'!$P$111)*$P$7)-SUM($P517:AY517),(('PTRM input'!$P$145+'PTRM input'!$P$111)*$P$7)/A3taxstdlife))</f>
        <v>0</v>
      </c>
      <c r="BA517" s="107">
        <f>IF(A3taxstdlife="n/a","n/a",IF(BA$3&gt;(A3taxstdlife+$E517),(('PTRM input'!$P$145+'PTRM input'!$P$111)*$P$7)-SUM($P517:AZ517),(('PTRM input'!$P$145+'PTRM input'!$P$111)*$P$7)/A3taxstdlife))</f>
        <v>0</v>
      </c>
      <c r="BB517" s="107">
        <f>IF(A3taxstdlife="n/a","n/a",IF(BB$3&gt;(A3taxstdlife+$E517),(('PTRM input'!$P$145+'PTRM input'!$P$111)*$P$7)-SUM($P517:BA517),(('PTRM input'!$P$145+'PTRM input'!$P$111)*$P$7)/A3taxstdlife))</f>
        <v>0</v>
      </c>
      <c r="BC517" s="107">
        <f>IF(A3taxstdlife="n/a","n/a",IF(BC$3&gt;(A3taxstdlife+$E517),(('PTRM input'!$P$145+'PTRM input'!$P$111)*$P$7)-SUM($P517:BB517),(('PTRM input'!$P$145+'PTRM input'!$P$111)*$P$7)/A3taxstdlife))</f>
        <v>0</v>
      </c>
      <c r="BD517" s="107">
        <f>IF(A3taxstdlife="n/a","n/a",IF(BD$3&gt;(A3taxstdlife+$E517),(('PTRM input'!$P$145+'PTRM input'!$P$111)*$P$7)-SUM($P517:BC517),(('PTRM input'!$P$145+'PTRM input'!$P$111)*$P$7)/A3taxstdlife))</f>
        <v>0</v>
      </c>
      <c r="BE517" s="107">
        <f>IF(A3taxstdlife="n/a","n/a",IF(BE$3&gt;(A3taxstdlife+$E517),(('PTRM input'!$P$145+'PTRM input'!$P$111)*$P$7)-SUM($P517:BD517),(('PTRM input'!$P$145+'PTRM input'!$P$111)*$P$7)/A3taxstdlife))</f>
        <v>0</v>
      </c>
      <c r="BF517" s="107">
        <f>IF(A3taxstdlife="n/a","n/a",IF(BF$3&gt;(A3taxstdlife+$E517),(('PTRM input'!$P$145+'PTRM input'!$P$111)*$P$7)-SUM($P517:BE517),(('PTRM input'!$P$145+'PTRM input'!$P$111)*$P$7)/A3taxstdlife))</f>
        <v>0</v>
      </c>
      <c r="BG517" s="107">
        <f>IF(A3taxstdlife="n/a","n/a",IF(BG$3&gt;(A3taxstdlife+$E517),(('PTRM input'!$P$145+'PTRM input'!$P$111)*$P$7)-SUM($P517:BF517),(('PTRM input'!$P$145+'PTRM input'!$P$111)*$P$7)/A3taxstdlife))</f>
        <v>0</v>
      </c>
      <c r="BH517" s="107">
        <f>IF(A3taxstdlife="n/a","n/a",IF(BH$3&gt;(A3taxstdlife+$E517),(('PTRM input'!$P$145+'PTRM input'!$P$111)*$P$7)-SUM($P517:BG517),(('PTRM input'!$P$145+'PTRM input'!$P$111)*$P$7)/A3taxstdlife))</f>
        <v>0</v>
      </c>
      <c r="BI517" s="107">
        <f>IF(A3taxstdlife="n/a","n/a",IF(BI$3&gt;(A3taxstdlife+$E517),(('PTRM input'!$P$145+'PTRM input'!$P$111)*$P$7)-SUM($P517:BH517),(('PTRM input'!$P$145+'PTRM input'!$P$111)*$P$7)/A3taxstdlife))</f>
        <v>0</v>
      </c>
      <c r="BJ517" s="18"/>
      <c r="BK517" s="18"/>
      <c r="BL517" s="18"/>
      <c r="BM517" s="18"/>
    </row>
    <row r="518" spans="1:65" s="4" customFormat="1" hidden="1" outlineLevel="1">
      <c r="A518" s="18"/>
      <c r="B518" s="18"/>
      <c r="C518" s="33" t="str">
        <f>Asset3</f>
        <v>New Capex (Post 2010)</v>
      </c>
      <c r="D518" s="18"/>
      <c r="E518" s="18"/>
      <c r="F518" s="31"/>
      <c r="G518" s="104">
        <f>SUM(G506:G517)</f>
        <v>0</v>
      </c>
      <c r="H518" s="1407">
        <f>SUM(H506:H517)</f>
        <v>0.45566446446977543</v>
      </c>
      <c r="I518" s="104">
        <f t="shared" ref="I518:BH518" si="111">SUM(I506:I517)</f>
        <v>0.91344730464946278</v>
      </c>
      <c r="J518" s="104">
        <f t="shared" si="111"/>
        <v>1.3135563714353917</v>
      </c>
      <c r="K518" s="104">
        <f t="shared" si="111"/>
        <v>1.737924221519674</v>
      </c>
      <c r="L518" s="104">
        <f t="shared" si="111"/>
        <v>2.1027799977639599</v>
      </c>
      <c r="M518" s="104">
        <f t="shared" si="111"/>
        <v>2.1027799977639599</v>
      </c>
      <c r="N518" s="104">
        <f t="shared" si="111"/>
        <v>2.1027799977639599</v>
      </c>
      <c r="O518" s="104">
        <f t="shared" si="111"/>
        <v>2.1027799977639599</v>
      </c>
      <c r="P518" s="104">
        <f t="shared" si="111"/>
        <v>2.1027799977639599</v>
      </c>
      <c r="Q518" s="104">
        <f t="shared" si="111"/>
        <v>2.1027799977639599</v>
      </c>
      <c r="R518" s="104">
        <f t="shared" si="111"/>
        <v>2.1027799977639599</v>
      </c>
      <c r="S518" s="104">
        <f t="shared" si="111"/>
        <v>2.1027799977639599</v>
      </c>
      <c r="T518" s="104">
        <f t="shared" si="111"/>
        <v>2.1027799977639599</v>
      </c>
      <c r="U518" s="104">
        <f t="shared" si="111"/>
        <v>2.1027799977639599</v>
      </c>
      <c r="V518" s="104">
        <f t="shared" si="111"/>
        <v>2.1027799977639599</v>
      </c>
      <c r="W518" s="104">
        <f t="shared" si="111"/>
        <v>1.6471155332941865</v>
      </c>
      <c r="X518" s="104">
        <f t="shared" si="111"/>
        <v>1.1893326931144954</v>
      </c>
      <c r="Y518" s="104">
        <f t="shared" si="111"/>
        <v>0.78922362632856569</v>
      </c>
      <c r="Z518" s="104">
        <f t="shared" si="111"/>
        <v>0.36485577624428606</v>
      </c>
      <c r="AA518" s="104">
        <f t="shared" si="111"/>
        <v>0</v>
      </c>
      <c r="AB518" s="104">
        <f t="shared" si="111"/>
        <v>0</v>
      </c>
      <c r="AC518" s="104">
        <f t="shared" si="111"/>
        <v>0</v>
      </c>
      <c r="AD518" s="104">
        <f t="shared" si="111"/>
        <v>0</v>
      </c>
      <c r="AE518" s="104">
        <f t="shared" si="111"/>
        <v>0</v>
      </c>
      <c r="AF518" s="104">
        <f t="shared" si="111"/>
        <v>0</v>
      </c>
      <c r="AG518" s="104">
        <f t="shared" si="111"/>
        <v>0</v>
      </c>
      <c r="AH518" s="104">
        <f t="shared" si="111"/>
        <v>0</v>
      </c>
      <c r="AI518" s="104">
        <f t="shared" si="111"/>
        <v>0</v>
      </c>
      <c r="AJ518" s="104">
        <f t="shared" si="111"/>
        <v>0</v>
      </c>
      <c r="AK518" s="104">
        <f t="shared" si="111"/>
        <v>0</v>
      </c>
      <c r="AL518" s="104">
        <f t="shared" si="111"/>
        <v>0</v>
      </c>
      <c r="AM518" s="104">
        <f t="shared" si="111"/>
        <v>0</v>
      </c>
      <c r="AN518" s="104">
        <f t="shared" si="111"/>
        <v>0</v>
      </c>
      <c r="AO518" s="104">
        <f t="shared" si="111"/>
        <v>0</v>
      </c>
      <c r="AP518" s="104">
        <f t="shared" si="111"/>
        <v>0</v>
      </c>
      <c r="AQ518" s="104">
        <f t="shared" si="111"/>
        <v>0</v>
      </c>
      <c r="AR518" s="104">
        <f t="shared" si="111"/>
        <v>0</v>
      </c>
      <c r="AS518" s="104">
        <f t="shared" si="111"/>
        <v>0</v>
      </c>
      <c r="AT518" s="104">
        <f t="shared" si="111"/>
        <v>0</v>
      </c>
      <c r="AU518" s="104">
        <f t="shared" si="111"/>
        <v>0</v>
      </c>
      <c r="AV518" s="104">
        <f t="shared" si="111"/>
        <v>0</v>
      </c>
      <c r="AW518" s="104">
        <f t="shared" si="111"/>
        <v>0</v>
      </c>
      <c r="AX518" s="104">
        <f t="shared" si="111"/>
        <v>0</v>
      </c>
      <c r="AY518" s="104">
        <f t="shared" si="111"/>
        <v>0</v>
      </c>
      <c r="AZ518" s="104">
        <f t="shared" si="111"/>
        <v>0</v>
      </c>
      <c r="BA518" s="104">
        <f t="shared" si="111"/>
        <v>0</v>
      </c>
      <c r="BB518" s="104">
        <f t="shared" si="111"/>
        <v>0</v>
      </c>
      <c r="BC518" s="104">
        <f t="shared" si="111"/>
        <v>0</v>
      </c>
      <c r="BD518" s="104">
        <f t="shared" si="111"/>
        <v>0</v>
      </c>
      <c r="BE518" s="104">
        <f t="shared" si="111"/>
        <v>0</v>
      </c>
      <c r="BF518" s="104">
        <f t="shared" si="111"/>
        <v>0</v>
      </c>
      <c r="BG518" s="104">
        <f t="shared" si="111"/>
        <v>0</v>
      </c>
      <c r="BH518" s="104">
        <f t="shared" si="111"/>
        <v>0</v>
      </c>
      <c r="BI518" s="104">
        <f>SUM(BI506:BI517)</f>
        <v>0</v>
      </c>
      <c r="BJ518" s="18"/>
      <c r="BK518" s="18"/>
      <c r="BL518" s="18"/>
      <c r="BM518" s="18"/>
    </row>
    <row r="519" spans="1:65" s="4" customFormat="1" hidden="1" outlineLevel="2">
      <c r="A519" s="18"/>
      <c r="B519" s="37">
        <f>C531</f>
        <v>0</v>
      </c>
      <c r="C519" s="38"/>
      <c r="D519" s="39" t="s">
        <v>58</v>
      </c>
      <c r="E519" s="38"/>
      <c r="F519" s="40"/>
      <c r="G519" s="106">
        <f>IF(G$3&gt;A4taxremlife,A4taxvalue-SUM($F519:F519),IF(A4taxremlife="N/A","n/a",A4taxvalue/A4taxremlife))</f>
        <v>0</v>
      </c>
      <c r="H519" s="106">
        <f>IF(H$3&gt;A4taxremlife,A4taxvalue-SUM($F519:G519),IF(A4taxremlife="N/A","n/a",A4taxvalue/A4taxremlife))</f>
        <v>0</v>
      </c>
      <c r="I519" s="106">
        <f>IF(I$3&gt;A4taxremlife,A4taxvalue-SUM($F519:H519),IF(A4taxremlife="N/A","n/a",A4taxvalue/A4taxremlife))</f>
        <v>0</v>
      </c>
      <c r="J519" s="106">
        <f>IF(J$3&gt;A4taxremlife,A4taxvalue-SUM($F519:I519),IF(A4taxremlife="N/A","n/a",A4taxvalue/A4taxremlife))</f>
        <v>0</v>
      </c>
      <c r="K519" s="106">
        <f>IF(K$3&gt;A4taxremlife,A4taxvalue-SUM($F519:J519),IF(A4taxremlife="N/A","n/a",A4taxvalue/A4taxremlife))</f>
        <v>0</v>
      </c>
      <c r="L519" s="106">
        <f>IF(L$3&gt;A4taxremlife,A4taxvalue-SUM($F519:K519),IF(A4taxremlife="N/A","n/a",A4taxvalue/A4taxremlife))</f>
        <v>0</v>
      </c>
      <c r="M519" s="106">
        <f>IF(M$3&gt;A4taxremlife,A4taxvalue-SUM($F519:L519),IF(A4taxremlife="N/A","n/a",A4taxvalue/A4taxremlife))</f>
        <v>0</v>
      </c>
      <c r="N519" s="106">
        <f>IF(N$3&gt;A4taxremlife,A4taxvalue-SUM($F519:M519),IF(A4taxremlife="N/A","n/a",A4taxvalue/A4taxremlife))</f>
        <v>0</v>
      </c>
      <c r="O519" s="106">
        <f>IF(O$3&gt;A4taxremlife,A4taxvalue-SUM($F519:N519),IF(A4taxremlife="N/A","n/a",A4taxvalue/A4taxremlife))</f>
        <v>0</v>
      </c>
      <c r="P519" s="106">
        <f>IF(P$3&gt;A4taxremlife,A4taxvalue-SUM($F519:O519),IF(A4taxremlife="N/A","n/a",A4taxvalue/A4taxremlife))</f>
        <v>0</v>
      </c>
      <c r="Q519" s="106">
        <f>IF(Q$3&gt;A4taxremlife,A4taxvalue-SUM($F519:P519),IF(A4taxremlife="N/A","n/a",A4taxvalue/A4taxremlife))</f>
        <v>0</v>
      </c>
      <c r="R519" s="106">
        <f>IF(R$3&gt;A4taxremlife,A4taxvalue-SUM($F519:Q519),IF(A4taxremlife="N/A","n/a",A4taxvalue/A4taxremlife))</f>
        <v>0</v>
      </c>
      <c r="S519" s="106">
        <f>IF(S$3&gt;A4taxremlife,A4taxvalue-SUM($F519:R519),IF(A4taxremlife="N/A","n/a",A4taxvalue/A4taxremlife))</f>
        <v>0</v>
      </c>
      <c r="T519" s="106">
        <f>IF(T$3&gt;A4taxremlife,A4taxvalue-SUM($F519:S519),IF(A4taxremlife="N/A","n/a",A4taxvalue/A4taxremlife))</f>
        <v>0</v>
      </c>
      <c r="U519" s="106">
        <f>IF(U$3&gt;A4taxremlife,A4taxvalue-SUM($F519:T519),IF(A4taxremlife="N/A","n/a",A4taxvalue/A4taxremlife))</f>
        <v>0</v>
      </c>
      <c r="V519" s="106">
        <f>IF(V$3&gt;A4taxremlife,A4taxvalue-SUM($F519:U519),IF(A4taxremlife="N/A","n/a",A4taxvalue/A4taxremlife))</f>
        <v>0</v>
      </c>
      <c r="W519" s="106">
        <f>IF(W$3&gt;A4taxremlife,A4taxvalue-SUM($F519:V519),IF(A4taxremlife="N/A","n/a",A4taxvalue/A4taxremlife))</f>
        <v>0</v>
      </c>
      <c r="X519" s="106">
        <f>IF(X$3&gt;A4taxremlife,A4taxvalue-SUM($F519:W519),IF(A4taxremlife="N/A","n/a",A4taxvalue/A4taxremlife))</f>
        <v>0</v>
      </c>
      <c r="Y519" s="106">
        <f>IF(Y$3&gt;A4taxremlife,A4taxvalue-SUM($F519:X519),IF(A4taxremlife="N/A","n/a",A4taxvalue/A4taxremlife))</f>
        <v>0</v>
      </c>
      <c r="Z519" s="106">
        <f>IF(Z$3&gt;A4taxremlife,A4taxvalue-SUM($F519:Y519),IF(A4taxremlife="N/A","n/a",A4taxvalue/A4taxremlife))</f>
        <v>0</v>
      </c>
      <c r="AA519" s="106">
        <f>IF(AA$3&gt;A4taxremlife,A4taxvalue-SUM($F519:Z519),IF(A4taxremlife="N/A","n/a",A4taxvalue/A4taxremlife))</f>
        <v>0</v>
      </c>
      <c r="AB519" s="106">
        <f>IF(AB$3&gt;A4taxremlife,A4taxvalue-SUM($F519:AA519),IF(A4taxremlife="N/A","n/a",A4taxvalue/A4taxremlife))</f>
        <v>0</v>
      </c>
      <c r="AC519" s="106">
        <f>IF(AC$3&gt;A4taxremlife,A4taxvalue-SUM($F519:AB519),IF(A4taxremlife="N/A","n/a",A4taxvalue/A4taxremlife))</f>
        <v>0</v>
      </c>
      <c r="AD519" s="106">
        <f>IF(AD$3&gt;A4taxremlife,A4taxvalue-SUM($F519:AC519),IF(A4taxremlife="N/A","n/a",A4taxvalue/A4taxremlife))</f>
        <v>0</v>
      </c>
      <c r="AE519" s="106">
        <f>IF(AE$3&gt;A4taxremlife,A4taxvalue-SUM($F519:AD519),IF(A4taxremlife="N/A","n/a",A4taxvalue/A4taxremlife))</f>
        <v>0</v>
      </c>
      <c r="AF519" s="106">
        <f>IF(AF$3&gt;A4taxremlife,A4taxvalue-SUM($F519:AE519),IF(A4taxremlife="N/A","n/a",A4taxvalue/A4taxremlife))</f>
        <v>0</v>
      </c>
      <c r="AG519" s="106">
        <f>IF(AG$3&gt;A4taxremlife,A4taxvalue-SUM($F519:AF519),IF(A4taxremlife="N/A","n/a",A4taxvalue/A4taxremlife))</f>
        <v>0</v>
      </c>
      <c r="AH519" s="106">
        <f>IF(AH$3&gt;A4taxremlife,A4taxvalue-SUM($F519:AG519),IF(A4taxremlife="N/A","n/a",A4taxvalue/A4taxremlife))</f>
        <v>0</v>
      </c>
      <c r="AI519" s="106">
        <f>IF(AI$3&gt;A4taxremlife,A4taxvalue-SUM($F519:AH519),IF(A4taxremlife="N/A","n/a",A4taxvalue/A4taxremlife))</f>
        <v>0</v>
      </c>
      <c r="AJ519" s="106">
        <f>IF(AJ$3&gt;A4taxremlife,A4taxvalue-SUM($F519:AI519),IF(A4taxremlife="N/A","n/a",A4taxvalue/A4taxremlife))</f>
        <v>0</v>
      </c>
      <c r="AK519" s="106">
        <f>IF(AK$3&gt;A4taxremlife,A4taxvalue-SUM($F519:AJ519),IF(A4taxremlife="N/A","n/a",A4taxvalue/A4taxremlife))</f>
        <v>0</v>
      </c>
      <c r="AL519" s="106">
        <f>IF(AL$3&gt;A4taxremlife,A4taxvalue-SUM($F519:AK519),IF(A4taxremlife="N/A","n/a",A4taxvalue/A4taxremlife))</f>
        <v>0</v>
      </c>
      <c r="AM519" s="106">
        <f>IF(AM$3&gt;A4taxremlife,A4taxvalue-SUM($F519:AL519),IF(A4taxremlife="N/A","n/a",A4taxvalue/A4taxremlife))</f>
        <v>0</v>
      </c>
      <c r="AN519" s="106">
        <f>IF(AN$3&gt;A4taxremlife,A4taxvalue-SUM($F519:AM519),IF(A4taxremlife="N/A","n/a",A4taxvalue/A4taxremlife))</f>
        <v>0</v>
      </c>
      <c r="AO519" s="106">
        <f>IF(AO$3&gt;A4taxremlife,A4taxvalue-SUM($F519:AN519),IF(A4taxremlife="N/A","n/a",A4taxvalue/A4taxremlife))</f>
        <v>0</v>
      </c>
      <c r="AP519" s="106">
        <f>IF(AP$3&gt;A4taxremlife,A4taxvalue-SUM($F519:AO519),IF(A4taxremlife="N/A","n/a",A4taxvalue/A4taxremlife))</f>
        <v>0</v>
      </c>
      <c r="AQ519" s="106">
        <f>IF(AQ$3&gt;A4taxremlife,A4taxvalue-SUM($F519:AP519),IF(A4taxremlife="N/A","n/a",A4taxvalue/A4taxremlife))</f>
        <v>0</v>
      </c>
      <c r="AR519" s="106">
        <f>IF(AR$3&gt;A4taxremlife,A4taxvalue-SUM($F519:AQ519),IF(A4taxremlife="N/A","n/a",A4taxvalue/A4taxremlife))</f>
        <v>0</v>
      </c>
      <c r="AS519" s="106">
        <f>IF(AS$3&gt;A4taxremlife,A4taxvalue-SUM($F519:AR519),IF(A4taxremlife="N/A","n/a",A4taxvalue/A4taxremlife))</f>
        <v>0</v>
      </c>
      <c r="AT519" s="106">
        <f>IF(AT$3&gt;A4taxremlife,A4taxvalue-SUM($F519:AS519),IF(A4taxremlife="N/A","n/a",A4taxvalue/A4taxremlife))</f>
        <v>0</v>
      </c>
      <c r="AU519" s="106">
        <f>IF(AU$3&gt;A4taxremlife,A4taxvalue-SUM($F519:AT519),IF(A4taxremlife="N/A","n/a",A4taxvalue/A4taxremlife))</f>
        <v>0</v>
      </c>
      <c r="AV519" s="106">
        <f>IF(AV$3&gt;A4taxremlife,A4taxvalue-SUM($F519:AU519),IF(A4taxremlife="N/A","n/a",A4taxvalue/A4taxremlife))</f>
        <v>0</v>
      </c>
      <c r="AW519" s="106">
        <f>IF(AW$3&gt;A4taxremlife,A4taxvalue-SUM($F519:AV519),IF(A4taxremlife="N/A","n/a",A4taxvalue/A4taxremlife))</f>
        <v>0</v>
      </c>
      <c r="AX519" s="106">
        <f>IF(AX$3&gt;A4taxremlife,A4taxvalue-SUM($F519:AW519),IF(A4taxremlife="N/A","n/a",A4taxvalue/A4taxremlife))</f>
        <v>0</v>
      </c>
      <c r="AY519" s="106">
        <f>IF(AY$3&gt;A4taxremlife,A4taxvalue-SUM($F519:AX519),IF(A4taxremlife="N/A","n/a",A4taxvalue/A4taxremlife))</f>
        <v>0</v>
      </c>
      <c r="AZ519" s="106">
        <f>IF(AZ$3&gt;A4taxremlife,A4taxvalue-SUM($F519:AY519),IF(A4taxremlife="N/A","n/a",A4taxvalue/A4taxremlife))</f>
        <v>0</v>
      </c>
      <c r="BA519" s="106">
        <f>IF(BA$3&gt;A4taxremlife,A4taxvalue-SUM($F519:AZ519),IF(A4taxremlife="N/A","n/a",A4taxvalue/A4taxremlife))</f>
        <v>0</v>
      </c>
      <c r="BB519" s="106">
        <f>IF(BB$3&gt;A4taxremlife,A4taxvalue-SUM($F519:BA519),IF(A4taxremlife="N/A","n/a",A4taxvalue/A4taxremlife))</f>
        <v>0</v>
      </c>
      <c r="BC519" s="106">
        <f>IF(BC$3&gt;A4taxremlife,A4taxvalue-SUM($F519:BB519),IF(A4taxremlife="N/A","n/a",A4taxvalue/A4taxremlife))</f>
        <v>0</v>
      </c>
      <c r="BD519" s="106">
        <f>IF(BD$3&gt;A4taxremlife,A4taxvalue-SUM($F519:BC519),IF(A4taxremlife="N/A","n/a",A4taxvalue/A4taxremlife))</f>
        <v>0</v>
      </c>
      <c r="BE519" s="106">
        <f>IF(BE$3&gt;A4taxremlife,A4taxvalue-SUM($F519:BD519),IF(A4taxremlife="N/A","n/a",A4taxvalue/A4taxremlife))</f>
        <v>0</v>
      </c>
      <c r="BF519" s="106">
        <f>IF(BF$3&gt;A4taxremlife,A4taxvalue-SUM($F519:BE519),IF(A4taxremlife="N/A","n/a",A4taxvalue/A4taxremlife))</f>
        <v>0</v>
      </c>
      <c r="BG519" s="106">
        <f>IF(BG$3&gt;A4taxremlife,A4taxvalue-SUM($F519:BF519),IF(A4taxremlife="N/A","n/a",A4taxvalue/A4taxremlife))</f>
        <v>0</v>
      </c>
      <c r="BH519" s="106">
        <f>IF(BH$3&gt;A4taxremlife,A4taxvalue-SUM($F519:BG519),IF(A4taxremlife="N/A","n/a",A4taxvalue/A4taxremlife))</f>
        <v>0</v>
      </c>
      <c r="BI519" s="106">
        <f>IF(BI$3&gt;A4taxremlife,A4taxvalue-SUM($F519:BH519),IF(A4taxremlife="N/A","n/a",A4taxvalue/A4taxremlife))</f>
        <v>0</v>
      </c>
      <c r="BJ519" s="18"/>
      <c r="BK519" s="18"/>
      <c r="BL519" s="18"/>
      <c r="BM519" s="18"/>
    </row>
    <row r="520" spans="1:65" s="4" customFormat="1" ht="12.75" hidden="1" customHeight="1" outlineLevel="2">
      <c r="A520" s="18"/>
      <c r="B520" s="18"/>
      <c r="C520" s="33"/>
      <c r="D520" s="1618" t="s">
        <v>357</v>
      </c>
      <c r="E520" s="169">
        <v>0</v>
      </c>
      <c r="F520" s="35"/>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c r="BE520" s="107"/>
      <c r="BF520" s="107"/>
      <c r="BG520" s="107"/>
      <c r="BH520" s="107"/>
      <c r="BI520" s="107"/>
      <c r="BJ520" s="18"/>
      <c r="BK520" s="18"/>
      <c r="BL520" s="18"/>
      <c r="BM520" s="18"/>
    </row>
    <row r="521" spans="1:65" s="4" customFormat="1" hidden="1" outlineLevel="2">
      <c r="A521" s="18"/>
      <c r="B521" s="18"/>
      <c r="C521" s="33"/>
      <c r="D521" s="1618"/>
      <c r="E521" s="169">
        <v>1</v>
      </c>
      <c r="F521" s="35"/>
      <c r="G521" s="183"/>
      <c r="H521" s="107">
        <f>IF(A4taxstdlife="n/a","n/a",IF(H$3&gt;(A4taxstdlife+$E521),(('PTRM input'!$G$146+'PTRM input'!$G$112)*$G$7)-SUM($G521:G521),(('PTRM input'!$G$146+'PTRM input'!$G$112)*$G$7)/A4taxstdlife))</f>
        <v>0</v>
      </c>
      <c r="I521" s="107">
        <f>IF(A4taxstdlife="n/a","n/a",IF(I$3&gt;(A4taxstdlife+$E521),(('PTRM input'!$G$146+'PTRM input'!$G$112)*$G$7)-SUM($G521:H521),(('PTRM input'!$G$146+'PTRM input'!$G$112)*$G$7)/A4taxstdlife))</f>
        <v>0</v>
      </c>
      <c r="J521" s="107">
        <f>IF(A4taxstdlife="n/a","n/a",IF(J$3&gt;(A4taxstdlife+$E521),(('PTRM input'!$G$146+'PTRM input'!$G$112)*$G$7)-SUM($G521:I521),(('PTRM input'!$G$146+'PTRM input'!$G$112)*$G$7)/A4taxstdlife))</f>
        <v>0</v>
      </c>
      <c r="K521" s="107">
        <f>IF(A4taxstdlife="n/a","n/a",IF(K$3&gt;(A4taxstdlife+$E521),(('PTRM input'!$G$146+'PTRM input'!$G$112)*$G$7)-SUM($G521:J521),(('PTRM input'!$G$146+'PTRM input'!$G$112)*$G$7)/A4taxstdlife))</f>
        <v>0</v>
      </c>
      <c r="L521" s="107">
        <f>IF(A4taxstdlife="n/a","n/a",IF(L$3&gt;(A4taxstdlife+$E521),(('PTRM input'!$G$146+'PTRM input'!$G$112)*$G$7)-SUM($G521:K521),(('PTRM input'!$G$146+'PTRM input'!$G$112)*$G$7)/A4taxstdlife))</f>
        <v>0</v>
      </c>
      <c r="M521" s="107">
        <f>IF(A4taxstdlife="n/a","n/a",IF(M$3&gt;(A4taxstdlife+$E521),(('PTRM input'!$G$146+'PTRM input'!$G$112)*$G$7)-SUM($G521:L521),(('PTRM input'!$G$146+'PTRM input'!$G$112)*$G$7)/A4taxstdlife))</f>
        <v>0</v>
      </c>
      <c r="N521" s="107">
        <f>IF(A4taxstdlife="n/a","n/a",IF(N$3&gt;(A4taxstdlife+$E521),(('PTRM input'!$G$146+'PTRM input'!$G$112)*$G$7)-SUM($G521:M521),(('PTRM input'!$G$146+'PTRM input'!$G$112)*$G$7)/A4taxstdlife))</f>
        <v>0</v>
      </c>
      <c r="O521" s="107">
        <f>IF(A4taxstdlife="n/a","n/a",IF(O$3&gt;(A4taxstdlife+$E521),(('PTRM input'!$G$146+'PTRM input'!$G$112)*$G$7)-SUM($G521:N521),(('PTRM input'!$G$146+'PTRM input'!$G$112)*$G$7)/A4taxstdlife))</f>
        <v>0</v>
      </c>
      <c r="P521" s="107">
        <f>IF(A4taxstdlife="n/a","n/a",IF(P$3&gt;(A4taxstdlife+$E521),(('PTRM input'!$G$146+'PTRM input'!$G$112)*$G$7)-SUM($G521:O521),(('PTRM input'!$G$146+'PTRM input'!$G$112)*$G$7)/A4taxstdlife))</f>
        <v>0</v>
      </c>
      <c r="Q521" s="107">
        <f>IF(A4taxstdlife="n/a","n/a",IF(Q$3&gt;(A4taxstdlife+$E521),(('PTRM input'!$G$146+'PTRM input'!$G$112)*$G$7)-SUM($G521:P521),(('PTRM input'!$G$146+'PTRM input'!$G$112)*$G$7)/A4taxstdlife))</f>
        <v>0</v>
      </c>
      <c r="R521" s="107">
        <f>IF(A4taxstdlife="n/a","n/a",IF(R$3&gt;(A4taxstdlife+$E521),(('PTRM input'!$G$146+'PTRM input'!$G$112)*$G$7)-SUM($G521:Q521),(('PTRM input'!$G$146+'PTRM input'!$G$112)*$G$7)/A4taxstdlife))</f>
        <v>0</v>
      </c>
      <c r="S521" s="107">
        <f>IF(A4taxstdlife="n/a","n/a",IF(S$3&gt;(A4taxstdlife+$E521),(('PTRM input'!$G$146+'PTRM input'!$G$112)*$G$7)-SUM($G521:R521),(('PTRM input'!$G$146+'PTRM input'!$G$112)*$G$7)/A4taxstdlife))</f>
        <v>0</v>
      </c>
      <c r="T521" s="107">
        <f>IF(A4taxstdlife="n/a","n/a",IF(T$3&gt;(A4taxstdlife+$E521),(('PTRM input'!$G$146+'PTRM input'!$G$112)*$G$7)-SUM($G521:S521),(('PTRM input'!$G$146+'PTRM input'!$G$112)*$G$7)/A4taxstdlife))</f>
        <v>0</v>
      </c>
      <c r="U521" s="107">
        <f>IF(A4taxstdlife="n/a","n/a",IF(U$3&gt;(A4taxstdlife+$E521),(('PTRM input'!$G$146+'PTRM input'!$G$112)*$G$7)-SUM($G521:T521),(('PTRM input'!$G$146+'PTRM input'!$G$112)*$G$7)/A4taxstdlife))</f>
        <v>0</v>
      </c>
      <c r="V521" s="107">
        <f>IF(A4taxstdlife="n/a","n/a",IF(V$3&gt;(A4taxstdlife+$E521),(('PTRM input'!$G$146+'PTRM input'!$G$112)*$G$7)-SUM($G521:U521),(('PTRM input'!$G$146+'PTRM input'!$G$112)*$G$7)/A4taxstdlife))</f>
        <v>0</v>
      </c>
      <c r="W521" s="107">
        <f>IF(A4taxstdlife="n/a","n/a",IF(W$3&gt;(A4taxstdlife+$E521),(('PTRM input'!$G$146+'PTRM input'!$G$112)*$G$7)-SUM($G521:V521),(('PTRM input'!$G$146+'PTRM input'!$G$112)*$G$7)/A4taxstdlife))</f>
        <v>0</v>
      </c>
      <c r="X521" s="107">
        <f>IF(A4taxstdlife="n/a","n/a",IF(X$3&gt;(A4taxstdlife+$E521),(('PTRM input'!$G$146+'PTRM input'!$G$112)*$G$7)-SUM($G521:W521),(('PTRM input'!$G$146+'PTRM input'!$G$112)*$G$7)/A4taxstdlife))</f>
        <v>0</v>
      </c>
      <c r="Y521" s="107">
        <f>IF(A4taxstdlife="n/a","n/a",IF(Y$3&gt;(A4taxstdlife+$E521),(('PTRM input'!$G$146+'PTRM input'!$G$112)*$G$7)-SUM($G521:X521),(('PTRM input'!$G$146+'PTRM input'!$G$112)*$G$7)/A4taxstdlife))</f>
        <v>0</v>
      </c>
      <c r="Z521" s="107">
        <f>IF(A4taxstdlife="n/a","n/a",IF(Z$3&gt;(A4taxstdlife+$E521),(('PTRM input'!$G$146+'PTRM input'!$G$112)*$G$7)-SUM($G521:Y521),(('PTRM input'!$G$146+'PTRM input'!$G$112)*$G$7)/A4taxstdlife))</f>
        <v>0</v>
      </c>
      <c r="AA521" s="107">
        <f>IF(A4taxstdlife="n/a","n/a",IF(AA$3&gt;(A4taxstdlife+$E521),(('PTRM input'!$G$146+'PTRM input'!$G$112)*$G$7)-SUM($G521:Z521),(('PTRM input'!$G$146+'PTRM input'!$G$112)*$G$7)/A4taxstdlife))</f>
        <v>0</v>
      </c>
      <c r="AB521" s="107">
        <f>IF(A4taxstdlife="n/a","n/a",IF(AB$3&gt;(A4taxstdlife+$E521),(('PTRM input'!$G$146+'PTRM input'!$G$112)*$G$7)-SUM($G521:AA521),(('PTRM input'!$G$146+'PTRM input'!$G$112)*$G$7)/A4taxstdlife))</f>
        <v>0</v>
      </c>
      <c r="AC521" s="107">
        <f>IF(A4taxstdlife="n/a","n/a",IF(AC$3&gt;(A4taxstdlife+$E521),(('PTRM input'!$G$146+'PTRM input'!$G$112)*$G$7)-SUM($G521:AB521),(('PTRM input'!$G$146+'PTRM input'!$G$112)*$G$7)/A4taxstdlife))</f>
        <v>0</v>
      </c>
      <c r="AD521" s="107">
        <f>IF(A4taxstdlife="n/a","n/a",IF(AD$3&gt;(A4taxstdlife+$E521),(('PTRM input'!$G$146+'PTRM input'!$G$112)*$G$7)-SUM($G521:AC521),(('PTRM input'!$G$146+'PTRM input'!$G$112)*$G$7)/A4taxstdlife))</f>
        <v>0</v>
      </c>
      <c r="AE521" s="107">
        <f>IF(A4taxstdlife="n/a","n/a",IF(AE$3&gt;(A4taxstdlife+$E521),(('PTRM input'!$G$146+'PTRM input'!$G$112)*$G$7)-SUM($G521:AD521),(('PTRM input'!$G$146+'PTRM input'!$G$112)*$G$7)/A4taxstdlife))</f>
        <v>0</v>
      </c>
      <c r="AF521" s="107">
        <f>IF(A4taxstdlife="n/a","n/a",IF(AF$3&gt;(A4taxstdlife+$E521),(('PTRM input'!$G$146+'PTRM input'!$G$112)*$G$7)-SUM($G521:AE521),(('PTRM input'!$G$146+'PTRM input'!$G$112)*$G$7)/A4taxstdlife))</f>
        <v>0</v>
      </c>
      <c r="AG521" s="107">
        <f>IF(A4taxstdlife="n/a","n/a",IF(AG$3&gt;(A4taxstdlife+$E521),(('PTRM input'!$G$146+'PTRM input'!$G$112)*$G$7)-SUM($G521:AF521),(('PTRM input'!$G$146+'PTRM input'!$G$112)*$G$7)/A4taxstdlife))</f>
        <v>0</v>
      </c>
      <c r="AH521" s="107">
        <f>IF(A4taxstdlife="n/a","n/a",IF(AH$3&gt;(A4taxstdlife+$E521),(('PTRM input'!$G$146+'PTRM input'!$G$112)*$G$7)-SUM($G521:AG521),(('PTRM input'!$G$146+'PTRM input'!$G$112)*$G$7)/A4taxstdlife))</f>
        <v>0</v>
      </c>
      <c r="AI521" s="107">
        <f>IF(A4taxstdlife="n/a","n/a",IF(AI$3&gt;(A4taxstdlife+$E521),(('PTRM input'!$G$146+'PTRM input'!$G$112)*$G$7)-SUM($G521:AH521),(('PTRM input'!$G$146+'PTRM input'!$G$112)*$G$7)/A4taxstdlife))</f>
        <v>0</v>
      </c>
      <c r="AJ521" s="107">
        <f>IF(A4taxstdlife="n/a","n/a",IF(AJ$3&gt;(A4taxstdlife+$E521),(('PTRM input'!$G$146+'PTRM input'!$G$112)*$G$7)-SUM($G521:AI521),(('PTRM input'!$G$146+'PTRM input'!$G$112)*$G$7)/A4taxstdlife))</f>
        <v>0</v>
      </c>
      <c r="AK521" s="107">
        <f>IF(A4taxstdlife="n/a","n/a",IF(AK$3&gt;(A4taxstdlife+$E521),(('PTRM input'!$G$146+'PTRM input'!$G$112)*$G$7)-SUM($G521:AJ521),(('PTRM input'!$G$146+'PTRM input'!$G$112)*$G$7)/A4taxstdlife))</f>
        <v>0</v>
      </c>
      <c r="AL521" s="107">
        <f>IF(A4taxstdlife="n/a","n/a",IF(AL$3&gt;(A4taxstdlife+$E521),(('PTRM input'!$G$146+'PTRM input'!$G$112)*$G$7)-SUM($G521:AK521),(('PTRM input'!$G$146+'PTRM input'!$G$112)*$G$7)/A4taxstdlife))</f>
        <v>0</v>
      </c>
      <c r="AM521" s="107">
        <f>IF(A4taxstdlife="n/a","n/a",IF(AM$3&gt;(A4taxstdlife+$E521),(('PTRM input'!$G$146+'PTRM input'!$G$112)*$G$7)-SUM($G521:AL521),(('PTRM input'!$G$146+'PTRM input'!$G$112)*$G$7)/A4taxstdlife))</f>
        <v>0</v>
      </c>
      <c r="AN521" s="107">
        <f>IF(A4taxstdlife="n/a","n/a",IF(AN$3&gt;(A4taxstdlife+$E521),(('PTRM input'!$G$146+'PTRM input'!$G$112)*$G$7)-SUM($G521:AM521),(('PTRM input'!$G$146+'PTRM input'!$G$112)*$G$7)/A4taxstdlife))</f>
        <v>0</v>
      </c>
      <c r="AO521" s="107">
        <f>IF(A4taxstdlife="n/a","n/a",IF(AO$3&gt;(A4taxstdlife+$E521),(('PTRM input'!$G$146+'PTRM input'!$G$112)*$G$7)-SUM($G521:AN521),(('PTRM input'!$G$146+'PTRM input'!$G$112)*$G$7)/A4taxstdlife))</f>
        <v>0</v>
      </c>
      <c r="AP521" s="107">
        <f>IF(A4taxstdlife="n/a","n/a",IF(AP$3&gt;(A4taxstdlife+$E521),(('PTRM input'!$G$146+'PTRM input'!$G$112)*$G$7)-SUM($G521:AO521),(('PTRM input'!$G$146+'PTRM input'!$G$112)*$G$7)/A4taxstdlife))</f>
        <v>0</v>
      </c>
      <c r="AQ521" s="107">
        <f>IF(A4taxstdlife="n/a","n/a",IF(AQ$3&gt;(A4taxstdlife+$E521),(('PTRM input'!$G$146+'PTRM input'!$G$112)*$G$7)-SUM($G521:AP521),(('PTRM input'!$G$146+'PTRM input'!$G$112)*$G$7)/A4taxstdlife))</f>
        <v>0</v>
      </c>
      <c r="AR521" s="107">
        <f>IF(A4taxstdlife="n/a","n/a",IF(AR$3&gt;(A4taxstdlife+$E521),(('PTRM input'!$G$146+'PTRM input'!$G$112)*$G$7)-SUM($G521:AQ521),(('PTRM input'!$G$146+'PTRM input'!$G$112)*$G$7)/A4taxstdlife))</f>
        <v>0</v>
      </c>
      <c r="AS521" s="107">
        <f>IF(A4taxstdlife="n/a","n/a",IF(AS$3&gt;(A4taxstdlife+$E521),(('PTRM input'!$G$146+'PTRM input'!$G$112)*$G$7)-SUM($G521:AR521),(('PTRM input'!$G$146+'PTRM input'!$G$112)*$G$7)/A4taxstdlife))</f>
        <v>0</v>
      </c>
      <c r="AT521" s="107">
        <f>IF(A4taxstdlife="n/a","n/a",IF(AT$3&gt;(A4taxstdlife+$E521),(('PTRM input'!$G$146+'PTRM input'!$G$112)*$G$7)-SUM($G521:AS521),(('PTRM input'!$G$146+'PTRM input'!$G$112)*$G$7)/A4taxstdlife))</f>
        <v>0</v>
      </c>
      <c r="AU521" s="107">
        <f>IF(A4taxstdlife="n/a","n/a",IF(AU$3&gt;(A4taxstdlife+$E521),(('PTRM input'!$G$146+'PTRM input'!$G$112)*$G$7)-SUM($G521:AT521),(('PTRM input'!$G$146+'PTRM input'!$G$112)*$G$7)/A4taxstdlife))</f>
        <v>0</v>
      </c>
      <c r="AV521" s="107">
        <f>IF(A4taxstdlife="n/a","n/a",IF(AV$3&gt;(A4taxstdlife+$E521),(('PTRM input'!$G$146+'PTRM input'!$G$112)*$G$7)-SUM($G521:AU521),(('PTRM input'!$G$146+'PTRM input'!$G$112)*$G$7)/A4taxstdlife))</f>
        <v>0</v>
      </c>
      <c r="AW521" s="107">
        <f>IF(A4taxstdlife="n/a","n/a",IF(AW$3&gt;(A4taxstdlife+$E521),(('PTRM input'!$G$146+'PTRM input'!$G$112)*$G$7)-SUM($G521:AV521),(('PTRM input'!$G$146+'PTRM input'!$G$112)*$G$7)/A4taxstdlife))</f>
        <v>0</v>
      </c>
      <c r="AX521" s="107">
        <f>IF(A4taxstdlife="n/a","n/a",IF(AX$3&gt;(A4taxstdlife+$E521),(('PTRM input'!$G$146+'PTRM input'!$G$112)*$G$7)-SUM($G521:AW521),(('PTRM input'!$G$146+'PTRM input'!$G$112)*$G$7)/A4taxstdlife))</f>
        <v>0</v>
      </c>
      <c r="AY521" s="107">
        <f>IF(A4taxstdlife="n/a","n/a",IF(AY$3&gt;(A4taxstdlife+$E521),(('PTRM input'!$G$146+'PTRM input'!$G$112)*$G$7)-SUM($G521:AX521),(('PTRM input'!$G$146+'PTRM input'!$G$112)*$G$7)/A4taxstdlife))</f>
        <v>0</v>
      </c>
      <c r="AZ521" s="107">
        <f>IF(A4taxstdlife="n/a","n/a",IF(AZ$3&gt;(A4taxstdlife+$E521),(('PTRM input'!$G$146+'PTRM input'!$G$112)*$G$7)-SUM($G521:AY521),(('PTRM input'!$G$146+'PTRM input'!$G$112)*$G$7)/A4taxstdlife))</f>
        <v>0</v>
      </c>
      <c r="BA521" s="107">
        <f>IF(A4taxstdlife="n/a","n/a",IF(BA$3&gt;(A4taxstdlife+$E521),(('PTRM input'!$G$146+'PTRM input'!$G$112)*$G$7)-SUM($G521:AZ521),(('PTRM input'!$G$146+'PTRM input'!$G$112)*$G$7)/A4taxstdlife))</f>
        <v>0</v>
      </c>
      <c r="BB521" s="107">
        <f>IF(A4taxstdlife="n/a","n/a",IF(BB$3&gt;(A4taxstdlife+$E521),(('PTRM input'!$G$146+'PTRM input'!$G$112)*$G$7)-SUM($G521:BA521),(('PTRM input'!$G$146+'PTRM input'!$G$112)*$G$7)/A4taxstdlife))</f>
        <v>0</v>
      </c>
      <c r="BC521" s="107">
        <f>IF(A4taxstdlife="n/a","n/a",IF(BC$3&gt;(A4taxstdlife+$E521),(('PTRM input'!$G$146+'PTRM input'!$G$112)*$G$7)-SUM($G521:BB521),(('PTRM input'!$G$146+'PTRM input'!$G$112)*$G$7)/A4taxstdlife))</f>
        <v>0</v>
      </c>
      <c r="BD521" s="107">
        <f>IF(A4taxstdlife="n/a","n/a",IF(BD$3&gt;(A4taxstdlife+$E521),(('PTRM input'!$G$146+'PTRM input'!$G$112)*$G$7)-SUM($G521:BC521),(('PTRM input'!$G$146+'PTRM input'!$G$112)*$G$7)/A4taxstdlife))</f>
        <v>0</v>
      </c>
      <c r="BE521" s="107">
        <f>IF(A4taxstdlife="n/a","n/a",IF(BE$3&gt;(A4taxstdlife+$E521),(('PTRM input'!$G$146+'PTRM input'!$G$112)*$G$7)-SUM($G521:BD521),(('PTRM input'!$G$146+'PTRM input'!$G$112)*$G$7)/A4taxstdlife))</f>
        <v>0</v>
      </c>
      <c r="BF521" s="107">
        <f>IF(A4taxstdlife="n/a","n/a",IF(BF$3&gt;(A4taxstdlife+$E521),(('PTRM input'!$G$146+'PTRM input'!$G$112)*$G$7)-SUM($G521:BE521),(('PTRM input'!$G$146+'PTRM input'!$G$112)*$G$7)/A4taxstdlife))</f>
        <v>0</v>
      </c>
      <c r="BG521" s="107">
        <f>IF(A4taxstdlife="n/a","n/a",IF(BG$3&gt;(A4taxstdlife+$E521),(('PTRM input'!$G$146+'PTRM input'!$G$112)*$G$7)-SUM($G521:BF521),(('PTRM input'!$G$146+'PTRM input'!$G$112)*$G$7)/A4taxstdlife))</f>
        <v>0</v>
      </c>
      <c r="BH521" s="107">
        <f>IF(A4taxstdlife="n/a","n/a",IF(BH$3&gt;(A4taxstdlife+$E521),(('PTRM input'!$G$146+'PTRM input'!$G$112)*$G$7)-SUM($G521:BG521),(('PTRM input'!$G$146+'PTRM input'!$G$112)*$G$7)/A4taxstdlife))</f>
        <v>0</v>
      </c>
      <c r="BI521" s="107">
        <f>IF(A4taxstdlife="n/a","n/a",IF(BI$3&gt;(A4taxstdlife+$E521),(('PTRM input'!$G$146+'PTRM input'!$G$112)*$G$7)-SUM($G521:BH521),(('PTRM input'!$G$146+'PTRM input'!$G$112)*$G$7)/A4taxstdlife))</f>
        <v>0</v>
      </c>
      <c r="BJ521" s="18"/>
      <c r="BK521" s="18"/>
      <c r="BL521" s="18"/>
      <c r="BM521" s="18"/>
    </row>
    <row r="522" spans="1:65" s="4" customFormat="1" hidden="1" outlineLevel="2">
      <c r="A522" s="18"/>
      <c r="B522" s="18"/>
      <c r="C522" s="33"/>
      <c r="D522" s="1618"/>
      <c r="E522" s="169">
        <v>2</v>
      </c>
      <c r="F522" s="35"/>
      <c r="G522" s="184"/>
      <c r="H522" s="185"/>
      <c r="I522" s="107">
        <f>IF(A4taxstdlife="n/a","n/a",IF(I$3&gt;(A4taxstdlife+$E522),(('PTRM input'!$H$146+'PTRM input'!$H$112)*$H$7)-SUM($H522:H522),(('PTRM input'!$H$146+'PTRM input'!$H$112)*$H$7)/A4taxstdlife))</f>
        <v>0</v>
      </c>
      <c r="J522" s="107">
        <f>IF(A4taxstdlife="n/a","n/a",IF(J$3&gt;(A4taxstdlife+$E522),(('PTRM input'!$H$146+'PTRM input'!$H$112)*$H$7)-SUM($H522:I522),(('PTRM input'!$H$146+'PTRM input'!$H$112)*$H$7)/A4taxstdlife))</f>
        <v>0</v>
      </c>
      <c r="K522" s="107">
        <f>IF(A4taxstdlife="n/a","n/a",IF(K$3&gt;(A4taxstdlife+$E522),(('PTRM input'!$H$146+'PTRM input'!$H$112)*$H$7)-SUM($H522:J522),(('PTRM input'!$H$146+'PTRM input'!$H$112)*$H$7)/A4taxstdlife))</f>
        <v>0</v>
      </c>
      <c r="L522" s="107">
        <f>IF(A4taxstdlife="n/a","n/a",IF(L$3&gt;(A4taxstdlife+$E522),(('PTRM input'!$H$146+'PTRM input'!$H$112)*$H$7)-SUM($H522:K522),(('PTRM input'!$H$146+'PTRM input'!$H$112)*$H$7)/A4taxstdlife))</f>
        <v>0</v>
      </c>
      <c r="M522" s="107">
        <f>IF(A4taxstdlife="n/a","n/a",IF(M$3&gt;(A4taxstdlife+$E522),(('PTRM input'!$H$146+'PTRM input'!$H$112)*$H$7)-SUM($H522:L522),(('PTRM input'!$H$146+'PTRM input'!$H$112)*$H$7)/A4taxstdlife))</f>
        <v>0</v>
      </c>
      <c r="N522" s="107">
        <f>IF(A4taxstdlife="n/a","n/a",IF(N$3&gt;(A4taxstdlife+$E522),(('PTRM input'!$H$146+'PTRM input'!$H$112)*$H$7)-SUM($H522:M522),(('PTRM input'!$H$146+'PTRM input'!$H$112)*$H$7)/A4taxstdlife))</f>
        <v>0</v>
      </c>
      <c r="O522" s="107">
        <f>IF(A4taxstdlife="n/a","n/a",IF(O$3&gt;(A4taxstdlife+$E522),(('PTRM input'!$H$146+'PTRM input'!$H$112)*$H$7)-SUM($H522:N522),(('PTRM input'!$H$146+'PTRM input'!$H$112)*$H$7)/A4taxstdlife))</f>
        <v>0</v>
      </c>
      <c r="P522" s="107">
        <f>IF(A4taxstdlife="n/a","n/a",IF(P$3&gt;(A4taxstdlife+$E522),(('PTRM input'!$H$146+'PTRM input'!$H$112)*$H$7)-SUM($H522:O522),(('PTRM input'!$H$146+'PTRM input'!$H$112)*$H$7)/A4taxstdlife))</f>
        <v>0</v>
      </c>
      <c r="Q522" s="107">
        <f>IF(A4taxstdlife="n/a","n/a",IF(Q$3&gt;(A4taxstdlife+$E522),(('PTRM input'!$H$146+'PTRM input'!$H$112)*$H$7)-SUM($H522:P522),(('PTRM input'!$H$146+'PTRM input'!$H$112)*$H$7)/A4taxstdlife))</f>
        <v>0</v>
      </c>
      <c r="R522" s="107">
        <f>IF(A4taxstdlife="n/a","n/a",IF(R$3&gt;(A4taxstdlife+$E522),(('PTRM input'!$H$146+'PTRM input'!$H$112)*$H$7)-SUM($H522:Q522),(('PTRM input'!$H$146+'PTRM input'!$H$112)*$H$7)/A4taxstdlife))</f>
        <v>0</v>
      </c>
      <c r="S522" s="107">
        <f>IF(A4taxstdlife="n/a","n/a",IF(S$3&gt;(A4taxstdlife+$E522),(('PTRM input'!$H$146+'PTRM input'!$H$112)*$H$7)-SUM($H522:R522),(('PTRM input'!$H$146+'PTRM input'!$H$112)*$H$7)/A4taxstdlife))</f>
        <v>0</v>
      </c>
      <c r="T522" s="107">
        <f>IF(A4taxstdlife="n/a","n/a",IF(T$3&gt;(A4taxstdlife+$E522),(('PTRM input'!$H$146+'PTRM input'!$H$112)*$H$7)-SUM($H522:S522),(('PTRM input'!$H$146+'PTRM input'!$H$112)*$H$7)/A4taxstdlife))</f>
        <v>0</v>
      </c>
      <c r="U522" s="107">
        <f>IF(A4taxstdlife="n/a","n/a",IF(U$3&gt;(A4taxstdlife+$E522),(('PTRM input'!$H$146+'PTRM input'!$H$112)*$H$7)-SUM($H522:T522),(('PTRM input'!$H$146+'PTRM input'!$H$112)*$H$7)/A4taxstdlife))</f>
        <v>0</v>
      </c>
      <c r="V522" s="107">
        <f>IF(A4taxstdlife="n/a","n/a",IF(V$3&gt;(A4taxstdlife+$E522),(('PTRM input'!$H$146+'PTRM input'!$H$112)*$H$7)-SUM($H522:U522),(('PTRM input'!$H$146+'PTRM input'!$H$112)*$H$7)/A4taxstdlife))</f>
        <v>0</v>
      </c>
      <c r="W522" s="107">
        <f>IF(A4taxstdlife="n/a","n/a",IF(W$3&gt;(A4taxstdlife+$E522),(('PTRM input'!$H$146+'PTRM input'!$H$112)*$H$7)-SUM($H522:V522),(('PTRM input'!$H$146+'PTRM input'!$H$112)*$H$7)/A4taxstdlife))</f>
        <v>0</v>
      </c>
      <c r="X522" s="107">
        <f>IF(A4taxstdlife="n/a","n/a",IF(X$3&gt;(A4taxstdlife+$E522),(('PTRM input'!$H$146+'PTRM input'!$H$112)*$H$7)-SUM($H522:W522),(('PTRM input'!$H$146+'PTRM input'!$H$112)*$H$7)/A4taxstdlife))</f>
        <v>0</v>
      </c>
      <c r="Y522" s="107">
        <f>IF(A4taxstdlife="n/a","n/a",IF(Y$3&gt;(A4taxstdlife+$E522),(('PTRM input'!$H$146+'PTRM input'!$H$112)*$H$7)-SUM($H522:X522),(('PTRM input'!$H$146+'PTRM input'!$H$112)*$H$7)/A4taxstdlife))</f>
        <v>0</v>
      </c>
      <c r="Z522" s="107">
        <f>IF(A4taxstdlife="n/a","n/a",IF(Z$3&gt;(A4taxstdlife+$E522),(('PTRM input'!$H$146+'PTRM input'!$H$112)*$H$7)-SUM($H522:Y522),(('PTRM input'!$H$146+'PTRM input'!$H$112)*$H$7)/A4taxstdlife))</f>
        <v>0</v>
      </c>
      <c r="AA522" s="107">
        <f>IF(A4taxstdlife="n/a","n/a",IF(AA$3&gt;(A4taxstdlife+$E522),(('PTRM input'!$H$146+'PTRM input'!$H$112)*$H$7)-SUM($H522:Z522),(('PTRM input'!$H$146+'PTRM input'!$H$112)*$H$7)/A4taxstdlife))</f>
        <v>0</v>
      </c>
      <c r="AB522" s="107">
        <f>IF(A4taxstdlife="n/a","n/a",IF(AB$3&gt;(A4taxstdlife+$E522),(('PTRM input'!$H$146+'PTRM input'!$H$112)*$H$7)-SUM($H522:AA522),(('PTRM input'!$H$146+'PTRM input'!$H$112)*$H$7)/A4taxstdlife))</f>
        <v>0</v>
      </c>
      <c r="AC522" s="107">
        <f>IF(A4taxstdlife="n/a","n/a",IF(AC$3&gt;(A4taxstdlife+$E522),(('PTRM input'!$H$146+'PTRM input'!$H$112)*$H$7)-SUM($H522:AB522),(('PTRM input'!$H$146+'PTRM input'!$H$112)*$H$7)/A4taxstdlife))</f>
        <v>0</v>
      </c>
      <c r="AD522" s="107">
        <f>IF(A4taxstdlife="n/a","n/a",IF(AD$3&gt;(A4taxstdlife+$E522),(('PTRM input'!$H$146+'PTRM input'!$H$112)*$H$7)-SUM($H522:AC522),(('PTRM input'!$H$146+'PTRM input'!$H$112)*$H$7)/A4taxstdlife))</f>
        <v>0</v>
      </c>
      <c r="AE522" s="107">
        <f>IF(A4taxstdlife="n/a","n/a",IF(AE$3&gt;(A4taxstdlife+$E522),(('PTRM input'!$H$146+'PTRM input'!$H$112)*$H$7)-SUM($H522:AD522),(('PTRM input'!$H$146+'PTRM input'!$H$112)*$H$7)/A4taxstdlife))</f>
        <v>0</v>
      </c>
      <c r="AF522" s="107">
        <f>IF(A4taxstdlife="n/a","n/a",IF(AF$3&gt;(A4taxstdlife+$E522),(('PTRM input'!$H$146+'PTRM input'!$H$112)*$H$7)-SUM($H522:AE522),(('PTRM input'!$H$146+'PTRM input'!$H$112)*$H$7)/A4taxstdlife))</f>
        <v>0</v>
      </c>
      <c r="AG522" s="107">
        <f>IF(A4taxstdlife="n/a","n/a",IF(AG$3&gt;(A4taxstdlife+$E522),(('PTRM input'!$H$146+'PTRM input'!$H$112)*$H$7)-SUM($H522:AF522),(('PTRM input'!$H$146+'PTRM input'!$H$112)*$H$7)/A4taxstdlife))</f>
        <v>0</v>
      </c>
      <c r="AH522" s="107">
        <f>IF(A4taxstdlife="n/a","n/a",IF(AH$3&gt;(A4taxstdlife+$E522),(('PTRM input'!$H$146+'PTRM input'!$H$112)*$H$7)-SUM($H522:AG522),(('PTRM input'!$H$146+'PTRM input'!$H$112)*$H$7)/A4taxstdlife))</f>
        <v>0</v>
      </c>
      <c r="AI522" s="107">
        <f>IF(A4taxstdlife="n/a","n/a",IF(AI$3&gt;(A4taxstdlife+$E522),(('PTRM input'!$H$146+'PTRM input'!$H$112)*$H$7)-SUM($H522:AH522),(('PTRM input'!$H$146+'PTRM input'!$H$112)*$H$7)/A4taxstdlife))</f>
        <v>0</v>
      </c>
      <c r="AJ522" s="107">
        <f>IF(A4taxstdlife="n/a","n/a",IF(AJ$3&gt;(A4taxstdlife+$E522),(('PTRM input'!$H$146+'PTRM input'!$H$112)*$H$7)-SUM($H522:AI522),(('PTRM input'!$H$146+'PTRM input'!$H$112)*$H$7)/A4taxstdlife))</f>
        <v>0</v>
      </c>
      <c r="AK522" s="107">
        <f>IF(A4taxstdlife="n/a","n/a",IF(AK$3&gt;(A4taxstdlife+$E522),(('PTRM input'!$H$146+'PTRM input'!$H$112)*$H$7)-SUM($H522:AJ522),(('PTRM input'!$H$146+'PTRM input'!$H$112)*$H$7)/A4taxstdlife))</f>
        <v>0</v>
      </c>
      <c r="AL522" s="107">
        <f>IF(A4taxstdlife="n/a","n/a",IF(AL$3&gt;(A4taxstdlife+$E522),(('PTRM input'!$H$146+'PTRM input'!$H$112)*$H$7)-SUM($H522:AK522),(('PTRM input'!$H$146+'PTRM input'!$H$112)*$H$7)/A4taxstdlife))</f>
        <v>0</v>
      </c>
      <c r="AM522" s="107">
        <f>IF(A4taxstdlife="n/a","n/a",IF(AM$3&gt;(A4taxstdlife+$E522),(('PTRM input'!$H$146+'PTRM input'!$H$112)*$H$7)-SUM($H522:AL522),(('PTRM input'!$H$146+'PTRM input'!$H$112)*$H$7)/A4taxstdlife))</f>
        <v>0</v>
      </c>
      <c r="AN522" s="107">
        <f>IF(A4taxstdlife="n/a","n/a",IF(AN$3&gt;(A4taxstdlife+$E522),(('PTRM input'!$H$146+'PTRM input'!$H$112)*$H$7)-SUM($H522:AM522),(('PTRM input'!$H$146+'PTRM input'!$H$112)*$H$7)/A4taxstdlife))</f>
        <v>0</v>
      </c>
      <c r="AO522" s="107">
        <f>IF(A4taxstdlife="n/a","n/a",IF(AO$3&gt;(A4taxstdlife+$E522),(('PTRM input'!$H$146+'PTRM input'!$H$112)*$H$7)-SUM($H522:AN522),(('PTRM input'!$H$146+'PTRM input'!$H$112)*$H$7)/A4taxstdlife))</f>
        <v>0</v>
      </c>
      <c r="AP522" s="107">
        <f>IF(A4taxstdlife="n/a","n/a",IF(AP$3&gt;(A4taxstdlife+$E522),(('PTRM input'!$H$146+'PTRM input'!$H$112)*$H$7)-SUM($H522:AO522),(('PTRM input'!$H$146+'PTRM input'!$H$112)*$H$7)/A4taxstdlife))</f>
        <v>0</v>
      </c>
      <c r="AQ522" s="107">
        <f>IF(A4taxstdlife="n/a","n/a",IF(AQ$3&gt;(A4taxstdlife+$E522),(('PTRM input'!$H$146+'PTRM input'!$H$112)*$H$7)-SUM($H522:AP522),(('PTRM input'!$H$146+'PTRM input'!$H$112)*$H$7)/A4taxstdlife))</f>
        <v>0</v>
      </c>
      <c r="AR522" s="107">
        <f>IF(A4taxstdlife="n/a","n/a",IF(AR$3&gt;(A4taxstdlife+$E522),(('PTRM input'!$H$146+'PTRM input'!$H$112)*$H$7)-SUM($H522:AQ522),(('PTRM input'!$H$146+'PTRM input'!$H$112)*$H$7)/A4taxstdlife))</f>
        <v>0</v>
      </c>
      <c r="AS522" s="107">
        <f>IF(A4taxstdlife="n/a","n/a",IF(AS$3&gt;(A4taxstdlife+$E522),(('PTRM input'!$H$146+'PTRM input'!$H$112)*$H$7)-SUM($H522:AR522),(('PTRM input'!$H$146+'PTRM input'!$H$112)*$H$7)/A4taxstdlife))</f>
        <v>0</v>
      </c>
      <c r="AT522" s="107">
        <f>IF(A4taxstdlife="n/a","n/a",IF(AT$3&gt;(A4taxstdlife+$E522),(('PTRM input'!$H$146+'PTRM input'!$H$112)*$H$7)-SUM($H522:AS522),(('PTRM input'!$H$146+'PTRM input'!$H$112)*$H$7)/A4taxstdlife))</f>
        <v>0</v>
      </c>
      <c r="AU522" s="107">
        <f>IF(A4taxstdlife="n/a","n/a",IF(AU$3&gt;(A4taxstdlife+$E522),(('PTRM input'!$H$146+'PTRM input'!$H$112)*$H$7)-SUM($H522:AT522),(('PTRM input'!$H$146+'PTRM input'!$H$112)*$H$7)/A4taxstdlife))</f>
        <v>0</v>
      </c>
      <c r="AV522" s="107">
        <f>IF(A4taxstdlife="n/a","n/a",IF(AV$3&gt;(A4taxstdlife+$E522),(('PTRM input'!$H$146+'PTRM input'!$H$112)*$H$7)-SUM($H522:AU522),(('PTRM input'!$H$146+'PTRM input'!$H$112)*$H$7)/A4taxstdlife))</f>
        <v>0</v>
      </c>
      <c r="AW522" s="107">
        <f>IF(A4taxstdlife="n/a","n/a",IF(AW$3&gt;(A4taxstdlife+$E522),(('PTRM input'!$H$146+'PTRM input'!$H$112)*$H$7)-SUM($H522:AV522),(('PTRM input'!$H$146+'PTRM input'!$H$112)*$H$7)/A4taxstdlife))</f>
        <v>0</v>
      </c>
      <c r="AX522" s="107">
        <f>IF(A4taxstdlife="n/a","n/a",IF(AX$3&gt;(A4taxstdlife+$E522),(('PTRM input'!$H$146+'PTRM input'!$H$112)*$H$7)-SUM($H522:AW522),(('PTRM input'!$H$146+'PTRM input'!$H$112)*$H$7)/A4taxstdlife))</f>
        <v>0</v>
      </c>
      <c r="AY522" s="107">
        <f>IF(A4taxstdlife="n/a","n/a",IF(AY$3&gt;(A4taxstdlife+$E522),(('PTRM input'!$H$146+'PTRM input'!$H$112)*$H$7)-SUM($H522:AX522),(('PTRM input'!$H$146+'PTRM input'!$H$112)*$H$7)/A4taxstdlife))</f>
        <v>0</v>
      </c>
      <c r="AZ522" s="107">
        <f>IF(A4taxstdlife="n/a","n/a",IF(AZ$3&gt;(A4taxstdlife+$E522),(('PTRM input'!$H$146+'PTRM input'!$H$112)*$H$7)-SUM($H522:AY522),(('PTRM input'!$H$146+'PTRM input'!$H$112)*$H$7)/A4taxstdlife))</f>
        <v>0</v>
      </c>
      <c r="BA522" s="107">
        <f>IF(A4taxstdlife="n/a","n/a",IF(BA$3&gt;(A4taxstdlife+$E522),(('PTRM input'!$H$146+'PTRM input'!$H$112)*$H$7)-SUM($H522:AZ522),(('PTRM input'!$H$146+'PTRM input'!$H$112)*$H$7)/A4taxstdlife))</f>
        <v>0</v>
      </c>
      <c r="BB522" s="107">
        <f>IF(A4taxstdlife="n/a","n/a",IF(BB$3&gt;(A4taxstdlife+$E522),(('PTRM input'!$H$146+'PTRM input'!$H$112)*$H$7)-SUM($H522:BA522),(('PTRM input'!$H$146+'PTRM input'!$H$112)*$H$7)/A4taxstdlife))</f>
        <v>0</v>
      </c>
      <c r="BC522" s="107">
        <f>IF(A4taxstdlife="n/a","n/a",IF(BC$3&gt;(A4taxstdlife+$E522),(('PTRM input'!$H$146+'PTRM input'!$H$112)*$H$7)-SUM($H522:BB522),(('PTRM input'!$H$146+'PTRM input'!$H$112)*$H$7)/A4taxstdlife))</f>
        <v>0</v>
      </c>
      <c r="BD522" s="107">
        <f>IF(A4taxstdlife="n/a","n/a",IF(BD$3&gt;(A4taxstdlife+$E522),(('PTRM input'!$H$146+'PTRM input'!$H$112)*$H$7)-SUM($H522:BC522),(('PTRM input'!$H$146+'PTRM input'!$H$112)*$H$7)/A4taxstdlife))</f>
        <v>0</v>
      </c>
      <c r="BE522" s="107">
        <f>IF(A4taxstdlife="n/a","n/a",IF(BE$3&gt;(A4taxstdlife+$E522),(('PTRM input'!$H$146+'PTRM input'!$H$112)*$H$7)-SUM($H522:BD522),(('PTRM input'!$H$146+'PTRM input'!$H$112)*$H$7)/A4taxstdlife))</f>
        <v>0</v>
      </c>
      <c r="BF522" s="107">
        <f>IF(A4taxstdlife="n/a","n/a",IF(BF$3&gt;(A4taxstdlife+$E522),(('PTRM input'!$H$146+'PTRM input'!$H$112)*$H$7)-SUM($H522:BE522),(('PTRM input'!$H$146+'PTRM input'!$H$112)*$H$7)/A4taxstdlife))</f>
        <v>0</v>
      </c>
      <c r="BG522" s="107">
        <f>IF(A4taxstdlife="n/a","n/a",IF(BG$3&gt;(A4taxstdlife+$E522),(('PTRM input'!$H$146+'PTRM input'!$H$112)*$H$7)-SUM($H522:BF522),(('PTRM input'!$H$146+'PTRM input'!$H$112)*$H$7)/A4taxstdlife))</f>
        <v>0</v>
      </c>
      <c r="BH522" s="107">
        <f>IF(A4taxstdlife="n/a","n/a",IF(BH$3&gt;(A4taxstdlife+$E522),(('PTRM input'!$H$146+'PTRM input'!$H$112)*$H$7)-SUM($H522:BG522),(('PTRM input'!$H$146+'PTRM input'!$H$112)*$H$7)/A4taxstdlife))</f>
        <v>0</v>
      </c>
      <c r="BI522" s="107">
        <f>IF(A4taxstdlife="n/a","n/a",IF(BI$3&gt;(A4taxstdlife+$E522),(('PTRM input'!$H$146+'PTRM input'!$H$112)*$H$7)-SUM($H522:BH522),(('PTRM input'!$H$146+'PTRM input'!$H$112)*$H$7)/A4taxstdlife))</f>
        <v>0</v>
      </c>
      <c r="BJ522" s="18"/>
      <c r="BK522" s="18"/>
      <c r="BL522" s="18"/>
      <c r="BM522" s="18"/>
    </row>
    <row r="523" spans="1:65" s="4" customFormat="1" hidden="1" outlineLevel="2">
      <c r="A523" s="18"/>
      <c r="B523" s="18"/>
      <c r="C523" s="33"/>
      <c r="D523" s="1618"/>
      <c r="E523" s="169">
        <v>3</v>
      </c>
      <c r="F523" s="35"/>
      <c r="G523" s="184"/>
      <c r="H523" s="186"/>
      <c r="I523" s="185"/>
      <c r="J523" s="107">
        <f>IF(A4taxstdlife="n/a","n/a",IF(J$3&gt;(A4taxstdlife+$E523),(('PTRM input'!$I$146+'PTRM input'!$I$112)*$I$7)-SUM($I523:I523),(('PTRM input'!$I$146+'PTRM input'!$I$112)*$I$7)/A4taxstdlife))</f>
        <v>0</v>
      </c>
      <c r="K523" s="107">
        <f>IF(A4taxstdlife="n/a","n/a",IF(K$3&gt;(A4taxstdlife+$E523),(('PTRM input'!$I$146+'PTRM input'!$I$112)*$I$7)-SUM($I523:J523),(('PTRM input'!$I$146+'PTRM input'!$I$112)*$I$7)/A4taxstdlife))</f>
        <v>0</v>
      </c>
      <c r="L523" s="107">
        <f>IF(A4taxstdlife="n/a","n/a",IF(L$3&gt;(A4taxstdlife+$E523),(('PTRM input'!$I$146+'PTRM input'!$I$112)*$I$7)-SUM($I523:K523),(('PTRM input'!$I$146+'PTRM input'!$I$112)*$I$7)/A4taxstdlife))</f>
        <v>0</v>
      </c>
      <c r="M523" s="107">
        <f>IF(A4taxstdlife="n/a","n/a",IF(M$3&gt;(A4taxstdlife+$E523),(('PTRM input'!$I$146+'PTRM input'!$I$112)*$I$7)-SUM($I523:L523),(('PTRM input'!$I$146+'PTRM input'!$I$112)*$I$7)/A4taxstdlife))</f>
        <v>0</v>
      </c>
      <c r="N523" s="107">
        <f>IF(A4taxstdlife="n/a","n/a",IF(N$3&gt;(A4taxstdlife+$E523),(('PTRM input'!$I$146+'PTRM input'!$I$112)*$I$7)-SUM($I523:M523),(('PTRM input'!$I$146+'PTRM input'!$I$112)*$I$7)/A4taxstdlife))</f>
        <v>0</v>
      </c>
      <c r="O523" s="107">
        <f>IF(A4taxstdlife="n/a","n/a",IF(O$3&gt;(A4taxstdlife+$E523),(('PTRM input'!$I$146+'PTRM input'!$I$112)*$I$7)-SUM($I523:N523),(('PTRM input'!$I$146+'PTRM input'!$I$112)*$I$7)/A4taxstdlife))</f>
        <v>0</v>
      </c>
      <c r="P523" s="107">
        <f>IF(A4taxstdlife="n/a","n/a",IF(P$3&gt;(A4taxstdlife+$E523),(('PTRM input'!$I$146+'PTRM input'!$I$112)*$I$7)-SUM($I523:O523),(('PTRM input'!$I$146+'PTRM input'!$I$112)*$I$7)/A4taxstdlife))</f>
        <v>0</v>
      </c>
      <c r="Q523" s="107">
        <f>IF(A4taxstdlife="n/a","n/a",IF(Q$3&gt;(A4taxstdlife+$E523),(('PTRM input'!$I$146+'PTRM input'!$I$112)*$I$7)-SUM($I523:P523),(('PTRM input'!$I$146+'PTRM input'!$I$112)*$I$7)/A4taxstdlife))</f>
        <v>0</v>
      </c>
      <c r="R523" s="107">
        <f>IF(A4taxstdlife="n/a","n/a",IF(R$3&gt;(A4taxstdlife+$E523),(('PTRM input'!$I$146+'PTRM input'!$I$112)*$I$7)-SUM($I523:Q523),(('PTRM input'!$I$146+'PTRM input'!$I$112)*$I$7)/A4taxstdlife))</f>
        <v>0</v>
      </c>
      <c r="S523" s="107">
        <f>IF(A4taxstdlife="n/a","n/a",IF(S$3&gt;(A4taxstdlife+$E523),(('PTRM input'!$I$146+'PTRM input'!$I$112)*$I$7)-SUM($I523:R523),(('PTRM input'!$I$146+'PTRM input'!$I$112)*$I$7)/A4taxstdlife))</f>
        <v>0</v>
      </c>
      <c r="T523" s="107">
        <f>IF(A4taxstdlife="n/a","n/a",IF(T$3&gt;(A4taxstdlife+$E523),(('PTRM input'!$I$146+'PTRM input'!$I$112)*$I$7)-SUM($I523:S523),(('PTRM input'!$I$146+'PTRM input'!$I$112)*$I$7)/A4taxstdlife))</f>
        <v>0</v>
      </c>
      <c r="U523" s="107">
        <f>IF(A4taxstdlife="n/a","n/a",IF(U$3&gt;(A4taxstdlife+$E523),(('PTRM input'!$I$146+'PTRM input'!$I$112)*$I$7)-SUM($I523:T523),(('PTRM input'!$I$146+'PTRM input'!$I$112)*$I$7)/A4taxstdlife))</f>
        <v>0</v>
      </c>
      <c r="V523" s="107">
        <f>IF(A4taxstdlife="n/a","n/a",IF(V$3&gt;(A4taxstdlife+$E523),(('PTRM input'!$I$146+'PTRM input'!$I$112)*$I$7)-SUM($I523:U523),(('PTRM input'!$I$146+'PTRM input'!$I$112)*$I$7)/A4taxstdlife))</f>
        <v>0</v>
      </c>
      <c r="W523" s="107">
        <f>IF(A4taxstdlife="n/a","n/a",IF(W$3&gt;(A4taxstdlife+$E523),(('PTRM input'!$I$146+'PTRM input'!$I$112)*$I$7)-SUM($I523:V523),(('PTRM input'!$I$146+'PTRM input'!$I$112)*$I$7)/A4taxstdlife))</f>
        <v>0</v>
      </c>
      <c r="X523" s="107">
        <f>IF(A4taxstdlife="n/a","n/a",IF(X$3&gt;(A4taxstdlife+$E523),(('PTRM input'!$I$146+'PTRM input'!$I$112)*$I$7)-SUM($I523:W523),(('PTRM input'!$I$146+'PTRM input'!$I$112)*$I$7)/A4taxstdlife))</f>
        <v>0</v>
      </c>
      <c r="Y523" s="107">
        <f>IF(A4taxstdlife="n/a","n/a",IF(Y$3&gt;(A4taxstdlife+$E523),(('PTRM input'!$I$146+'PTRM input'!$I$112)*$I$7)-SUM($I523:X523),(('PTRM input'!$I$146+'PTRM input'!$I$112)*$I$7)/A4taxstdlife))</f>
        <v>0</v>
      </c>
      <c r="Z523" s="107">
        <f>IF(A4taxstdlife="n/a","n/a",IF(Z$3&gt;(A4taxstdlife+$E523),(('PTRM input'!$I$146+'PTRM input'!$I$112)*$I$7)-SUM($I523:Y523),(('PTRM input'!$I$146+'PTRM input'!$I$112)*$I$7)/A4taxstdlife))</f>
        <v>0</v>
      </c>
      <c r="AA523" s="107">
        <f>IF(A4taxstdlife="n/a","n/a",IF(AA$3&gt;(A4taxstdlife+$E523),(('PTRM input'!$I$146+'PTRM input'!$I$112)*$I$7)-SUM($I523:Z523),(('PTRM input'!$I$146+'PTRM input'!$I$112)*$I$7)/A4taxstdlife))</f>
        <v>0</v>
      </c>
      <c r="AB523" s="107">
        <f>IF(A4taxstdlife="n/a","n/a",IF(AB$3&gt;(A4taxstdlife+$E523),(('PTRM input'!$I$146+'PTRM input'!$I$112)*$I$7)-SUM($I523:AA523),(('PTRM input'!$I$146+'PTRM input'!$I$112)*$I$7)/A4taxstdlife))</f>
        <v>0</v>
      </c>
      <c r="AC523" s="107">
        <f>IF(A4taxstdlife="n/a","n/a",IF(AC$3&gt;(A4taxstdlife+$E523),(('PTRM input'!$I$146+'PTRM input'!$I$112)*$I$7)-SUM($I523:AB523),(('PTRM input'!$I$146+'PTRM input'!$I$112)*$I$7)/A4taxstdlife))</f>
        <v>0</v>
      </c>
      <c r="AD523" s="107">
        <f>IF(A4taxstdlife="n/a","n/a",IF(AD$3&gt;(A4taxstdlife+$E523),(('PTRM input'!$I$146+'PTRM input'!$I$112)*$I$7)-SUM($I523:AC523),(('PTRM input'!$I$146+'PTRM input'!$I$112)*$I$7)/A4taxstdlife))</f>
        <v>0</v>
      </c>
      <c r="AE523" s="107">
        <f>IF(A4taxstdlife="n/a","n/a",IF(AE$3&gt;(A4taxstdlife+$E523),(('PTRM input'!$I$146+'PTRM input'!$I$112)*$I$7)-SUM($I523:AD523),(('PTRM input'!$I$146+'PTRM input'!$I$112)*$I$7)/A4taxstdlife))</f>
        <v>0</v>
      </c>
      <c r="AF523" s="107">
        <f>IF(A4taxstdlife="n/a","n/a",IF(AF$3&gt;(A4taxstdlife+$E523),(('PTRM input'!$I$146+'PTRM input'!$I$112)*$I$7)-SUM($I523:AE523),(('PTRM input'!$I$146+'PTRM input'!$I$112)*$I$7)/A4taxstdlife))</f>
        <v>0</v>
      </c>
      <c r="AG523" s="107">
        <f>IF(A4taxstdlife="n/a","n/a",IF(AG$3&gt;(A4taxstdlife+$E523),(('PTRM input'!$I$146+'PTRM input'!$I$112)*$I$7)-SUM($I523:AF523),(('PTRM input'!$I$146+'PTRM input'!$I$112)*$I$7)/A4taxstdlife))</f>
        <v>0</v>
      </c>
      <c r="AH523" s="107">
        <f>IF(A4taxstdlife="n/a","n/a",IF(AH$3&gt;(A4taxstdlife+$E523),(('PTRM input'!$I$146+'PTRM input'!$I$112)*$I$7)-SUM($I523:AG523),(('PTRM input'!$I$146+'PTRM input'!$I$112)*$I$7)/A4taxstdlife))</f>
        <v>0</v>
      </c>
      <c r="AI523" s="107">
        <f>IF(A4taxstdlife="n/a","n/a",IF(AI$3&gt;(A4taxstdlife+$E523),(('PTRM input'!$I$146+'PTRM input'!$I$112)*$I$7)-SUM($I523:AH523),(('PTRM input'!$I$146+'PTRM input'!$I$112)*$I$7)/A4taxstdlife))</f>
        <v>0</v>
      </c>
      <c r="AJ523" s="107">
        <f>IF(A4taxstdlife="n/a","n/a",IF(AJ$3&gt;(A4taxstdlife+$E523),(('PTRM input'!$I$146+'PTRM input'!$I$112)*$I$7)-SUM($I523:AI523),(('PTRM input'!$I$146+'PTRM input'!$I$112)*$I$7)/A4taxstdlife))</f>
        <v>0</v>
      </c>
      <c r="AK523" s="107">
        <f>IF(A4taxstdlife="n/a","n/a",IF(AK$3&gt;(A4taxstdlife+$E523),(('PTRM input'!$I$146+'PTRM input'!$I$112)*$I$7)-SUM($I523:AJ523),(('PTRM input'!$I$146+'PTRM input'!$I$112)*$I$7)/A4taxstdlife))</f>
        <v>0</v>
      </c>
      <c r="AL523" s="107">
        <f>IF(A4taxstdlife="n/a","n/a",IF(AL$3&gt;(A4taxstdlife+$E523),(('PTRM input'!$I$146+'PTRM input'!$I$112)*$I$7)-SUM($I523:AK523),(('PTRM input'!$I$146+'PTRM input'!$I$112)*$I$7)/A4taxstdlife))</f>
        <v>0</v>
      </c>
      <c r="AM523" s="107">
        <f>IF(A4taxstdlife="n/a","n/a",IF(AM$3&gt;(A4taxstdlife+$E523),(('PTRM input'!$I$146+'PTRM input'!$I$112)*$I$7)-SUM($I523:AL523),(('PTRM input'!$I$146+'PTRM input'!$I$112)*$I$7)/A4taxstdlife))</f>
        <v>0</v>
      </c>
      <c r="AN523" s="107">
        <f>IF(A4taxstdlife="n/a","n/a",IF(AN$3&gt;(A4taxstdlife+$E523),(('PTRM input'!$I$146+'PTRM input'!$I$112)*$I$7)-SUM($I523:AM523),(('PTRM input'!$I$146+'PTRM input'!$I$112)*$I$7)/A4taxstdlife))</f>
        <v>0</v>
      </c>
      <c r="AO523" s="107">
        <f>IF(A4taxstdlife="n/a","n/a",IF(AO$3&gt;(A4taxstdlife+$E523),(('PTRM input'!$I$146+'PTRM input'!$I$112)*$I$7)-SUM($I523:AN523),(('PTRM input'!$I$146+'PTRM input'!$I$112)*$I$7)/A4taxstdlife))</f>
        <v>0</v>
      </c>
      <c r="AP523" s="107">
        <f>IF(A4taxstdlife="n/a","n/a",IF(AP$3&gt;(A4taxstdlife+$E523),(('PTRM input'!$I$146+'PTRM input'!$I$112)*$I$7)-SUM($I523:AO523),(('PTRM input'!$I$146+'PTRM input'!$I$112)*$I$7)/A4taxstdlife))</f>
        <v>0</v>
      </c>
      <c r="AQ523" s="107">
        <f>IF(A4taxstdlife="n/a","n/a",IF(AQ$3&gt;(A4taxstdlife+$E523),(('PTRM input'!$I$146+'PTRM input'!$I$112)*$I$7)-SUM($I523:AP523),(('PTRM input'!$I$146+'PTRM input'!$I$112)*$I$7)/A4taxstdlife))</f>
        <v>0</v>
      </c>
      <c r="AR523" s="107">
        <f>IF(A4taxstdlife="n/a","n/a",IF(AR$3&gt;(A4taxstdlife+$E523),(('PTRM input'!$I$146+'PTRM input'!$I$112)*$I$7)-SUM($I523:AQ523),(('PTRM input'!$I$146+'PTRM input'!$I$112)*$I$7)/A4taxstdlife))</f>
        <v>0</v>
      </c>
      <c r="AS523" s="107">
        <f>IF(A4taxstdlife="n/a","n/a",IF(AS$3&gt;(A4taxstdlife+$E523),(('PTRM input'!$I$146+'PTRM input'!$I$112)*$I$7)-SUM($I523:AR523),(('PTRM input'!$I$146+'PTRM input'!$I$112)*$I$7)/A4taxstdlife))</f>
        <v>0</v>
      </c>
      <c r="AT523" s="107">
        <f>IF(A4taxstdlife="n/a","n/a",IF(AT$3&gt;(A4taxstdlife+$E523),(('PTRM input'!$I$146+'PTRM input'!$I$112)*$I$7)-SUM($I523:AS523),(('PTRM input'!$I$146+'PTRM input'!$I$112)*$I$7)/A4taxstdlife))</f>
        <v>0</v>
      </c>
      <c r="AU523" s="107">
        <f>IF(A4taxstdlife="n/a","n/a",IF(AU$3&gt;(A4taxstdlife+$E523),(('PTRM input'!$I$146+'PTRM input'!$I$112)*$I$7)-SUM($I523:AT523),(('PTRM input'!$I$146+'PTRM input'!$I$112)*$I$7)/A4taxstdlife))</f>
        <v>0</v>
      </c>
      <c r="AV523" s="107">
        <f>IF(A4taxstdlife="n/a","n/a",IF(AV$3&gt;(A4taxstdlife+$E523),(('PTRM input'!$I$146+'PTRM input'!$I$112)*$I$7)-SUM($I523:AU523),(('PTRM input'!$I$146+'PTRM input'!$I$112)*$I$7)/A4taxstdlife))</f>
        <v>0</v>
      </c>
      <c r="AW523" s="107">
        <f>IF(A4taxstdlife="n/a","n/a",IF(AW$3&gt;(A4taxstdlife+$E523),(('PTRM input'!$I$146+'PTRM input'!$I$112)*$I$7)-SUM($I523:AV523),(('PTRM input'!$I$146+'PTRM input'!$I$112)*$I$7)/A4taxstdlife))</f>
        <v>0</v>
      </c>
      <c r="AX523" s="107">
        <f>IF(A4taxstdlife="n/a","n/a",IF(AX$3&gt;(A4taxstdlife+$E523),(('PTRM input'!$I$146+'PTRM input'!$I$112)*$I$7)-SUM($I523:AW523),(('PTRM input'!$I$146+'PTRM input'!$I$112)*$I$7)/A4taxstdlife))</f>
        <v>0</v>
      </c>
      <c r="AY523" s="107">
        <f>IF(A4taxstdlife="n/a","n/a",IF(AY$3&gt;(A4taxstdlife+$E523),(('PTRM input'!$I$146+'PTRM input'!$I$112)*$I$7)-SUM($I523:AX523),(('PTRM input'!$I$146+'PTRM input'!$I$112)*$I$7)/A4taxstdlife))</f>
        <v>0</v>
      </c>
      <c r="AZ523" s="107">
        <f>IF(A4taxstdlife="n/a","n/a",IF(AZ$3&gt;(A4taxstdlife+$E523),(('PTRM input'!$I$146+'PTRM input'!$I$112)*$I$7)-SUM($I523:AY523),(('PTRM input'!$I$146+'PTRM input'!$I$112)*$I$7)/A4taxstdlife))</f>
        <v>0</v>
      </c>
      <c r="BA523" s="107">
        <f>IF(A4taxstdlife="n/a","n/a",IF(BA$3&gt;(A4taxstdlife+$E523),(('PTRM input'!$I$146+'PTRM input'!$I$112)*$I$7)-SUM($I523:AZ523),(('PTRM input'!$I$146+'PTRM input'!$I$112)*$I$7)/A4taxstdlife))</f>
        <v>0</v>
      </c>
      <c r="BB523" s="107">
        <f>IF(A4taxstdlife="n/a","n/a",IF(BB$3&gt;(A4taxstdlife+$E523),(('PTRM input'!$I$146+'PTRM input'!$I$112)*$I$7)-SUM($I523:BA523),(('PTRM input'!$I$146+'PTRM input'!$I$112)*$I$7)/A4taxstdlife))</f>
        <v>0</v>
      </c>
      <c r="BC523" s="107">
        <f>IF(A4taxstdlife="n/a","n/a",IF(BC$3&gt;(A4taxstdlife+$E523),(('PTRM input'!$I$146+'PTRM input'!$I$112)*$I$7)-SUM($I523:BB523),(('PTRM input'!$I$146+'PTRM input'!$I$112)*$I$7)/A4taxstdlife))</f>
        <v>0</v>
      </c>
      <c r="BD523" s="107">
        <f>IF(A4taxstdlife="n/a","n/a",IF(BD$3&gt;(A4taxstdlife+$E523),(('PTRM input'!$I$146+'PTRM input'!$I$112)*$I$7)-SUM($I523:BC523),(('PTRM input'!$I$146+'PTRM input'!$I$112)*$I$7)/A4taxstdlife))</f>
        <v>0</v>
      </c>
      <c r="BE523" s="107">
        <f>IF(A4taxstdlife="n/a","n/a",IF(BE$3&gt;(A4taxstdlife+$E523),(('PTRM input'!$I$146+'PTRM input'!$I$112)*$I$7)-SUM($I523:BD523),(('PTRM input'!$I$146+'PTRM input'!$I$112)*$I$7)/A4taxstdlife))</f>
        <v>0</v>
      </c>
      <c r="BF523" s="107">
        <f>IF(A4taxstdlife="n/a","n/a",IF(BF$3&gt;(A4taxstdlife+$E523),(('PTRM input'!$I$146+'PTRM input'!$I$112)*$I$7)-SUM($I523:BE523),(('PTRM input'!$I$146+'PTRM input'!$I$112)*$I$7)/A4taxstdlife))</f>
        <v>0</v>
      </c>
      <c r="BG523" s="107">
        <f>IF(A4taxstdlife="n/a","n/a",IF(BG$3&gt;(A4taxstdlife+$E523),(('PTRM input'!$I$146+'PTRM input'!$I$112)*$I$7)-SUM($I523:BF523),(('PTRM input'!$I$146+'PTRM input'!$I$112)*$I$7)/A4taxstdlife))</f>
        <v>0</v>
      </c>
      <c r="BH523" s="107">
        <f>IF(A4taxstdlife="n/a","n/a",IF(BH$3&gt;(A4taxstdlife+$E523),(('PTRM input'!$I$146+'PTRM input'!$I$112)*$I$7)-SUM($I523:BG523),(('PTRM input'!$I$146+'PTRM input'!$I$112)*$I$7)/A4taxstdlife))</f>
        <v>0</v>
      </c>
      <c r="BI523" s="107">
        <f>IF(A4taxstdlife="n/a","n/a",IF(BI$3&gt;(A4taxstdlife+$E523),(('PTRM input'!$I$146+'PTRM input'!$I$112)*$I$7)-SUM($I523:BH523),(('PTRM input'!$I$146+'PTRM input'!$I$112)*$I$7)/A4taxstdlife))</f>
        <v>0</v>
      </c>
      <c r="BJ523" s="18"/>
      <c r="BK523" s="18"/>
      <c r="BL523" s="18"/>
      <c r="BM523" s="18"/>
    </row>
    <row r="524" spans="1:65" s="4" customFormat="1" hidden="1" outlineLevel="2">
      <c r="A524" s="18"/>
      <c r="B524" s="18"/>
      <c r="C524" s="33"/>
      <c r="D524" s="1618"/>
      <c r="E524" s="169">
        <v>4</v>
      </c>
      <c r="F524" s="35"/>
      <c r="G524" s="184"/>
      <c r="H524" s="186"/>
      <c r="I524" s="186"/>
      <c r="J524" s="185"/>
      <c r="K524" s="107">
        <f>IF(A4taxstdlife="n/a","n/a",IF(K$3&gt;(A4taxstdlife+$E524),(('PTRM input'!$J$146+'PTRM input'!$J$112)*$J$7)-SUM($J524:J524),(('PTRM input'!$J$146+'PTRM input'!$J$112)*$J$7)/A4taxstdlife))</f>
        <v>0</v>
      </c>
      <c r="L524" s="107">
        <f>IF(A4taxstdlife="n/a","n/a",IF(L$3&gt;(A4taxstdlife+$E524),(('PTRM input'!$J$146+'PTRM input'!$J$112)*$J$7)-SUM($J524:K524),(('PTRM input'!$J$146+'PTRM input'!$J$112)*$J$7)/A4taxstdlife))</f>
        <v>0</v>
      </c>
      <c r="M524" s="107">
        <f>IF(A4taxstdlife="n/a","n/a",IF(M$3&gt;(A4taxstdlife+$E524),(('PTRM input'!$J$146+'PTRM input'!$J$112)*$J$7)-SUM($J524:L524),(('PTRM input'!$J$146+'PTRM input'!$J$112)*$J$7)/A4taxstdlife))</f>
        <v>0</v>
      </c>
      <c r="N524" s="107">
        <f>IF(A4taxstdlife="n/a","n/a",IF(N$3&gt;(A4taxstdlife+$E524),(('PTRM input'!$J$146+'PTRM input'!$J$112)*$J$7)-SUM($J524:M524),(('PTRM input'!$J$146+'PTRM input'!$J$112)*$J$7)/A4taxstdlife))</f>
        <v>0</v>
      </c>
      <c r="O524" s="107">
        <f>IF(A4taxstdlife="n/a","n/a",IF(O$3&gt;(A4taxstdlife+$E524),(('PTRM input'!$J$146+'PTRM input'!$J$112)*$J$7)-SUM($J524:N524),(('PTRM input'!$J$146+'PTRM input'!$J$112)*$J$7)/A4taxstdlife))</f>
        <v>0</v>
      </c>
      <c r="P524" s="107">
        <f>IF(A4taxstdlife="n/a","n/a",IF(P$3&gt;(A4taxstdlife+$E524),(('PTRM input'!$J$146+'PTRM input'!$J$112)*$J$7)-SUM($J524:O524),(('PTRM input'!$J$146+'PTRM input'!$J$112)*$J$7)/A4taxstdlife))</f>
        <v>0</v>
      </c>
      <c r="Q524" s="107">
        <f>IF(A4taxstdlife="n/a","n/a",IF(Q$3&gt;(A4taxstdlife+$E524),(('PTRM input'!$J$146+'PTRM input'!$J$112)*$J$7)-SUM($J524:P524),(('PTRM input'!$J$146+'PTRM input'!$J$112)*$J$7)/A4taxstdlife))</f>
        <v>0</v>
      </c>
      <c r="R524" s="107">
        <f>IF(A4taxstdlife="n/a","n/a",IF(R$3&gt;(A4taxstdlife+$E524),(('PTRM input'!$J$146+'PTRM input'!$J$112)*$J$7)-SUM($J524:Q524),(('PTRM input'!$J$146+'PTRM input'!$J$112)*$J$7)/A4taxstdlife))</f>
        <v>0</v>
      </c>
      <c r="S524" s="107">
        <f>IF(A4taxstdlife="n/a","n/a",IF(S$3&gt;(A4taxstdlife+$E524),(('PTRM input'!$J$146+'PTRM input'!$J$112)*$J$7)-SUM($J524:R524),(('PTRM input'!$J$146+'PTRM input'!$J$112)*$J$7)/A4taxstdlife))</f>
        <v>0</v>
      </c>
      <c r="T524" s="107">
        <f>IF(A4taxstdlife="n/a","n/a",IF(T$3&gt;(A4taxstdlife+$E524),(('PTRM input'!$J$146+'PTRM input'!$J$112)*$J$7)-SUM($J524:S524),(('PTRM input'!$J$146+'PTRM input'!$J$112)*$J$7)/A4taxstdlife))</f>
        <v>0</v>
      </c>
      <c r="U524" s="107">
        <f>IF(A4taxstdlife="n/a","n/a",IF(U$3&gt;(A4taxstdlife+$E524),(('PTRM input'!$J$146+'PTRM input'!$J$112)*$J$7)-SUM($J524:T524),(('PTRM input'!$J$146+'PTRM input'!$J$112)*$J$7)/A4taxstdlife))</f>
        <v>0</v>
      </c>
      <c r="V524" s="107">
        <f>IF(A4taxstdlife="n/a","n/a",IF(V$3&gt;(A4taxstdlife+$E524),(('PTRM input'!$J$146+'PTRM input'!$J$112)*$J$7)-SUM($J524:U524),(('PTRM input'!$J$146+'PTRM input'!$J$112)*$J$7)/A4taxstdlife))</f>
        <v>0</v>
      </c>
      <c r="W524" s="107">
        <f>IF(A4taxstdlife="n/a","n/a",IF(W$3&gt;(A4taxstdlife+$E524),(('PTRM input'!$J$146+'PTRM input'!$J$112)*$J$7)-SUM($J524:V524),(('PTRM input'!$J$146+'PTRM input'!$J$112)*$J$7)/A4taxstdlife))</f>
        <v>0</v>
      </c>
      <c r="X524" s="107">
        <f>IF(A4taxstdlife="n/a","n/a",IF(X$3&gt;(A4taxstdlife+$E524),(('PTRM input'!$J$146+'PTRM input'!$J$112)*$J$7)-SUM($J524:W524),(('PTRM input'!$J$146+'PTRM input'!$J$112)*$J$7)/A4taxstdlife))</f>
        <v>0</v>
      </c>
      <c r="Y524" s="107">
        <f>IF(A4taxstdlife="n/a","n/a",IF(Y$3&gt;(A4taxstdlife+$E524),(('PTRM input'!$J$146+'PTRM input'!$J$112)*$J$7)-SUM($J524:X524),(('PTRM input'!$J$146+'PTRM input'!$J$112)*$J$7)/A4taxstdlife))</f>
        <v>0</v>
      </c>
      <c r="Z524" s="107">
        <f>IF(A4taxstdlife="n/a","n/a",IF(Z$3&gt;(A4taxstdlife+$E524),(('PTRM input'!$J$146+'PTRM input'!$J$112)*$J$7)-SUM($J524:Y524),(('PTRM input'!$J$146+'PTRM input'!$J$112)*$J$7)/A4taxstdlife))</f>
        <v>0</v>
      </c>
      <c r="AA524" s="107">
        <f>IF(A4taxstdlife="n/a","n/a",IF(AA$3&gt;(A4taxstdlife+$E524),(('PTRM input'!$J$146+'PTRM input'!$J$112)*$J$7)-SUM($J524:Z524),(('PTRM input'!$J$146+'PTRM input'!$J$112)*$J$7)/A4taxstdlife))</f>
        <v>0</v>
      </c>
      <c r="AB524" s="107">
        <f>IF(A4taxstdlife="n/a","n/a",IF(AB$3&gt;(A4taxstdlife+$E524),(('PTRM input'!$J$146+'PTRM input'!$J$112)*$J$7)-SUM($J524:AA524),(('PTRM input'!$J$146+'PTRM input'!$J$112)*$J$7)/A4taxstdlife))</f>
        <v>0</v>
      </c>
      <c r="AC524" s="107">
        <f>IF(A4taxstdlife="n/a","n/a",IF(AC$3&gt;(A4taxstdlife+$E524),(('PTRM input'!$J$146+'PTRM input'!$J$112)*$J$7)-SUM($J524:AB524),(('PTRM input'!$J$146+'PTRM input'!$J$112)*$J$7)/A4taxstdlife))</f>
        <v>0</v>
      </c>
      <c r="AD524" s="107">
        <f>IF(A4taxstdlife="n/a","n/a",IF(AD$3&gt;(A4taxstdlife+$E524),(('PTRM input'!$J$146+'PTRM input'!$J$112)*$J$7)-SUM($J524:AC524),(('PTRM input'!$J$146+'PTRM input'!$J$112)*$J$7)/A4taxstdlife))</f>
        <v>0</v>
      </c>
      <c r="AE524" s="107">
        <f>IF(A4taxstdlife="n/a","n/a",IF(AE$3&gt;(A4taxstdlife+$E524),(('PTRM input'!$J$146+'PTRM input'!$J$112)*$J$7)-SUM($J524:AD524),(('PTRM input'!$J$146+'PTRM input'!$J$112)*$J$7)/A4taxstdlife))</f>
        <v>0</v>
      </c>
      <c r="AF524" s="107">
        <f>IF(A4taxstdlife="n/a","n/a",IF(AF$3&gt;(A4taxstdlife+$E524),(('PTRM input'!$J$146+'PTRM input'!$J$112)*$J$7)-SUM($J524:AE524),(('PTRM input'!$J$146+'PTRM input'!$J$112)*$J$7)/A4taxstdlife))</f>
        <v>0</v>
      </c>
      <c r="AG524" s="107">
        <f>IF(A4taxstdlife="n/a","n/a",IF(AG$3&gt;(A4taxstdlife+$E524),(('PTRM input'!$J$146+'PTRM input'!$J$112)*$J$7)-SUM($J524:AF524),(('PTRM input'!$J$146+'PTRM input'!$J$112)*$J$7)/A4taxstdlife))</f>
        <v>0</v>
      </c>
      <c r="AH524" s="107">
        <f>IF(A4taxstdlife="n/a","n/a",IF(AH$3&gt;(A4taxstdlife+$E524),(('PTRM input'!$J$146+'PTRM input'!$J$112)*$J$7)-SUM($J524:AG524),(('PTRM input'!$J$146+'PTRM input'!$J$112)*$J$7)/A4taxstdlife))</f>
        <v>0</v>
      </c>
      <c r="AI524" s="107">
        <f>IF(A4taxstdlife="n/a","n/a",IF(AI$3&gt;(A4taxstdlife+$E524),(('PTRM input'!$J$146+'PTRM input'!$J$112)*$J$7)-SUM($J524:AH524),(('PTRM input'!$J$146+'PTRM input'!$J$112)*$J$7)/A4taxstdlife))</f>
        <v>0</v>
      </c>
      <c r="AJ524" s="107">
        <f>IF(A4taxstdlife="n/a","n/a",IF(AJ$3&gt;(A4taxstdlife+$E524),(('PTRM input'!$J$146+'PTRM input'!$J$112)*$J$7)-SUM($J524:AI524),(('PTRM input'!$J$146+'PTRM input'!$J$112)*$J$7)/A4taxstdlife))</f>
        <v>0</v>
      </c>
      <c r="AK524" s="107">
        <f>IF(A4taxstdlife="n/a","n/a",IF(AK$3&gt;(A4taxstdlife+$E524),(('PTRM input'!$J$146+'PTRM input'!$J$112)*$J$7)-SUM($J524:AJ524),(('PTRM input'!$J$146+'PTRM input'!$J$112)*$J$7)/A4taxstdlife))</f>
        <v>0</v>
      </c>
      <c r="AL524" s="107">
        <f>IF(A4taxstdlife="n/a","n/a",IF(AL$3&gt;(A4taxstdlife+$E524),(('PTRM input'!$J$146+'PTRM input'!$J$112)*$J$7)-SUM($J524:AK524),(('PTRM input'!$J$146+'PTRM input'!$J$112)*$J$7)/A4taxstdlife))</f>
        <v>0</v>
      </c>
      <c r="AM524" s="107">
        <f>IF(A4taxstdlife="n/a","n/a",IF(AM$3&gt;(A4taxstdlife+$E524),(('PTRM input'!$J$146+'PTRM input'!$J$112)*$J$7)-SUM($J524:AL524),(('PTRM input'!$J$146+'PTRM input'!$J$112)*$J$7)/A4taxstdlife))</f>
        <v>0</v>
      </c>
      <c r="AN524" s="107">
        <f>IF(A4taxstdlife="n/a","n/a",IF(AN$3&gt;(A4taxstdlife+$E524),(('PTRM input'!$J$146+'PTRM input'!$J$112)*$J$7)-SUM($J524:AM524),(('PTRM input'!$J$146+'PTRM input'!$J$112)*$J$7)/A4taxstdlife))</f>
        <v>0</v>
      </c>
      <c r="AO524" s="107">
        <f>IF(A4taxstdlife="n/a","n/a",IF(AO$3&gt;(A4taxstdlife+$E524),(('PTRM input'!$J$146+'PTRM input'!$J$112)*$J$7)-SUM($J524:AN524),(('PTRM input'!$J$146+'PTRM input'!$J$112)*$J$7)/A4taxstdlife))</f>
        <v>0</v>
      </c>
      <c r="AP524" s="107">
        <f>IF(A4taxstdlife="n/a","n/a",IF(AP$3&gt;(A4taxstdlife+$E524),(('PTRM input'!$J$146+'PTRM input'!$J$112)*$J$7)-SUM($J524:AO524),(('PTRM input'!$J$146+'PTRM input'!$J$112)*$J$7)/A4taxstdlife))</f>
        <v>0</v>
      </c>
      <c r="AQ524" s="107">
        <f>IF(A4taxstdlife="n/a","n/a",IF(AQ$3&gt;(A4taxstdlife+$E524),(('PTRM input'!$J$146+'PTRM input'!$J$112)*$J$7)-SUM($J524:AP524),(('PTRM input'!$J$146+'PTRM input'!$J$112)*$J$7)/A4taxstdlife))</f>
        <v>0</v>
      </c>
      <c r="AR524" s="107">
        <f>IF(A4taxstdlife="n/a","n/a",IF(AR$3&gt;(A4taxstdlife+$E524),(('PTRM input'!$J$146+'PTRM input'!$J$112)*$J$7)-SUM($J524:AQ524),(('PTRM input'!$J$146+'PTRM input'!$J$112)*$J$7)/A4taxstdlife))</f>
        <v>0</v>
      </c>
      <c r="AS524" s="107">
        <f>IF(A4taxstdlife="n/a","n/a",IF(AS$3&gt;(A4taxstdlife+$E524),(('PTRM input'!$J$146+'PTRM input'!$J$112)*$J$7)-SUM($J524:AR524),(('PTRM input'!$J$146+'PTRM input'!$J$112)*$J$7)/A4taxstdlife))</f>
        <v>0</v>
      </c>
      <c r="AT524" s="107">
        <f>IF(A4taxstdlife="n/a","n/a",IF(AT$3&gt;(A4taxstdlife+$E524),(('PTRM input'!$J$146+'PTRM input'!$J$112)*$J$7)-SUM($J524:AS524),(('PTRM input'!$J$146+'PTRM input'!$J$112)*$J$7)/A4taxstdlife))</f>
        <v>0</v>
      </c>
      <c r="AU524" s="107">
        <f>IF(A4taxstdlife="n/a","n/a",IF(AU$3&gt;(A4taxstdlife+$E524),(('PTRM input'!$J$146+'PTRM input'!$J$112)*$J$7)-SUM($J524:AT524),(('PTRM input'!$J$146+'PTRM input'!$J$112)*$J$7)/A4taxstdlife))</f>
        <v>0</v>
      </c>
      <c r="AV524" s="107">
        <f>IF(A4taxstdlife="n/a","n/a",IF(AV$3&gt;(A4taxstdlife+$E524),(('PTRM input'!$J$146+'PTRM input'!$J$112)*$J$7)-SUM($J524:AU524),(('PTRM input'!$J$146+'PTRM input'!$J$112)*$J$7)/A4taxstdlife))</f>
        <v>0</v>
      </c>
      <c r="AW524" s="107">
        <f>IF(A4taxstdlife="n/a","n/a",IF(AW$3&gt;(A4taxstdlife+$E524),(('PTRM input'!$J$146+'PTRM input'!$J$112)*$J$7)-SUM($J524:AV524),(('PTRM input'!$J$146+'PTRM input'!$J$112)*$J$7)/A4taxstdlife))</f>
        <v>0</v>
      </c>
      <c r="AX524" s="107">
        <f>IF(A4taxstdlife="n/a","n/a",IF(AX$3&gt;(A4taxstdlife+$E524),(('PTRM input'!$J$146+'PTRM input'!$J$112)*$J$7)-SUM($J524:AW524),(('PTRM input'!$J$146+'PTRM input'!$J$112)*$J$7)/A4taxstdlife))</f>
        <v>0</v>
      </c>
      <c r="AY524" s="107">
        <f>IF(A4taxstdlife="n/a","n/a",IF(AY$3&gt;(A4taxstdlife+$E524),(('PTRM input'!$J$146+'PTRM input'!$J$112)*$J$7)-SUM($J524:AX524),(('PTRM input'!$J$146+'PTRM input'!$J$112)*$J$7)/A4taxstdlife))</f>
        <v>0</v>
      </c>
      <c r="AZ524" s="107">
        <f>IF(A4taxstdlife="n/a","n/a",IF(AZ$3&gt;(A4taxstdlife+$E524),(('PTRM input'!$J$146+'PTRM input'!$J$112)*$J$7)-SUM($J524:AY524),(('PTRM input'!$J$146+'PTRM input'!$J$112)*$J$7)/A4taxstdlife))</f>
        <v>0</v>
      </c>
      <c r="BA524" s="107">
        <f>IF(A4taxstdlife="n/a","n/a",IF(BA$3&gt;(A4taxstdlife+$E524),(('PTRM input'!$J$146+'PTRM input'!$J$112)*$J$7)-SUM($J524:AZ524),(('PTRM input'!$J$146+'PTRM input'!$J$112)*$J$7)/A4taxstdlife))</f>
        <v>0</v>
      </c>
      <c r="BB524" s="107">
        <f>IF(A4taxstdlife="n/a","n/a",IF(BB$3&gt;(A4taxstdlife+$E524),(('PTRM input'!$J$146+'PTRM input'!$J$112)*$J$7)-SUM($J524:BA524),(('PTRM input'!$J$146+'PTRM input'!$J$112)*$J$7)/A4taxstdlife))</f>
        <v>0</v>
      </c>
      <c r="BC524" s="107">
        <f>IF(A4taxstdlife="n/a","n/a",IF(BC$3&gt;(A4taxstdlife+$E524),(('PTRM input'!$J$146+'PTRM input'!$J$112)*$J$7)-SUM($J524:BB524),(('PTRM input'!$J$146+'PTRM input'!$J$112)*$J$7)/A4taxstdlife))</f>
        <v>0</v>
      </c>
      <c r="BD524" s="107">
        <f>IF(A4taxstdlife="n/a","n/a",IF(BD$3&gt;(A4taxstdlife+$E524),(('PTRM input'!$J$146+'PTRM input'!$J$112)*$J$7)-SUM($J524:BC524),(('PTRM input'!$J$146+'PTRM input'!$J$112)*$J$7)/A4taxstdlife))</f>
        <v>0</v>
      </c>
      <c r="BE524" s="107">
        <f>IF(A4taxstdlife="n/a","n/a",IF(BE$3&gt;(A4taxstdlife+$E524),(('PTRM input'!$J$146+'PTRM input'!$J$112)*$J$7)-SUM($J524:BD524),(('PTRM input'!$J$146+'PTRM input'!$J$112)*$J$7)/A4taxstdlife))</f>
        <v>0</v>
      </c>
      <c r="BF524" s="107">
        <f>IF(A4taxstdlife="n/a","n/a",IF(BF$3&gt;(A4taxstdlife+$E524),(('PTRM input'!$J$146+'PTRM input'!$J$112)*$J$7)-SUM($J524:BE524),(('PTRM input'!$J$146+'PTRM input'!$J$112)*$J$7)/A4taxstdlife))</f>
        <v>0</v>
      </c>
      <c r="BG524" s="107">
        <f>IF(A4taxstdlife="n/a","n/a",IF(BG$3&gt;(A4taxstdlife+$E524),(('PTRM input'!$J$146+'PTRM input'!$J$112)*$J$7)-SUM($J524:BF524),(('PTRM input'!$J$146+'PTRM input'!$J$112)*$J$7)/A4taxstdlife))</f>
        <v>0</v>
      </c>
      <c r="BH524" s="107">
        <f>IF(A4taxstdlife="n/a","n/a",IF(BH$3&gt;(A4taxstdlife+$E524),(('PTRM input'!$J$146+'PTRM input'!$J$112)*$J$7)-SUM($J524:BG524),(('PTRM input'!$J$146+'PTRM input'!$J$112)*$J$7)/A4taxstdlife))</f>
        <v>0</v>
      </c>
      <c r="BI524" s="107">
        <f>IF(A4taxstdlife="n/a","n/a",IF(BI$3&gt;(A4taxstdlife+$E524),(('PTRM input'!$J$146+'PTRM input'!$J$112)*$J$7)-SUM($J524:BH524),(('PTRM input'!$J$146+'PTRM input'!$J$112)*$J$7)/A4taxstdlife))</f>
        <v>0</v>
      </c>
      <c r="BJ524" s="18"/>
      <c r="BK524" s="18"/>
      <c r="BL524" s="18"/>
      <c r="BM524" s="18"/>
    </row>
    <row r="525" spans="1:65" s="4" customFormat="1" hidden="1" outlineLevel="2">
      <c r="A525" s="18"/>
      <c r="B525" s="18"/>
      <c r="C525" s="33"/>
      <c r="D525" s="1618"/>
      <c r="E525" s="169">
        <v>5</v>
      </c>
      <c r="F525" s="35"/>
      <c r="G525" s="184"/>
      <c r="H525" s="186"/>
      <c r="I525" s="186"/>
      <c r="J525" s="186"/>
      <c r="K525" s="185"/>
      <c r="L525" s="107">
        <f>IF(A4taxstdlife="n/a","n/a",IF(L$3&gt;(A4taxstdlife+$E525),(('PTRM input'!$K$146+'PTRM input'!$K$112)*$K$7)-SUM($K525:K525),(('PTRM input'!$K$146+'PTRM input'!$K$112)*$K$7)/A4taxstdlife))</f>
        <v>0</v>
      </c>
      <c r="M525" s="107">
        <f>IF(A4taxstdlife="n/a","n/a",IF(M$3&gt;(A4taxstdlife+$E525),(('PTRM input'!$K$146+'PTRM input'!$K$112)*$K$7)-SUM($K525:L525),(('PTRM input'!$K$146+'PTRM input'!$K$112)*$K$7)/A4taxstdlife))</f>
        <v>0</v>
      </c>
      <c r="N525" s="107">
        <f>IF(A4taxstdlife="n/a","n/a",IF(N$3&gt;(A4taxstdlife+$E525),(('PTRM input'!$K$146+'PTRM input'!$K$112)*$K$7)-SUM($K525:M525),(('PTRM input'!$K$146+'PTRM input'!$K$112)*$K$7)/A4taxstdlife))</f>
        <v>0</v>
      </c>
      <c r="O525" s="107">
        <f>IF(A4taxstdlife="n/a","n/a",IF(O$3&gt;(A4taxstdlife+$E525),(('PTRM input'!$K$146+'PTRM input'!$K$112)*$K$7)-SUM($K525:N525),(('PTRM input'!$K$146+'PTRM input'!$K$112)*$K$7)/A4taxstdlife))</f>
        <v>0</v>
      </c>
      <c r="P525" s="107">
        <f>IF(A4taxstdlife="n/a","n/a",IF(P$3&gt;(A4taxstdlife+$E525),(('PTRM input'!$K$146+'PTRM input'!$K$112)*$K$7)-SUM($K525:O525),(('PTRM input'!$K$146+'PTRM input'!$K$112)*$K$7)/A4taxstdlife))</f>
        <v>0</v>
      </c>
      <c r="Q525" s="107">
        <f>IF(A4taxstdlife="n/a","n/a",IF(Q$3&gt;(A4taxstdlife+$E525),(('PTRM input'!$K$146+'PTRM input'!$K$112)*$K$7)-SUM($K525:P525),(('PTRM input'!$K$146+'PTRM input'!$K$112)*$K$7)/A4taxstdlife))</f>
        <v>0</v>
      </c>
      <c r="R525" s="107">
        <f>IF(A4taxstdlife="n/a","n/a",IF(R$3&gt;(A4taxstdlife+$E525),(('PTRM input'!$K$146+'PTRM input'!$K$112)*$K$7)-SUM($K525:Q525),(('PTRM input'!$K$146+'PTRM input'!$K$112)*$K$7)/A4taxstdlife))</f>
        <v>0</v>
      </c>
      <c r="S525" s="107">
        <f>IF(A4taxstdlife="n/a","n/a",IF(S$3&gt;(A4taxstdlife+$E525),(('PTRM input'!$K$146+'PTRM input'!$K$112)*$K$7)-SUM($K525:R525),(('PTRM input'!$K$146+'PTRM input'!$K$112)*$K$7)/A4taxstdlife))</f>
        <v>0</v>
      </c>
      <c r="T525" s="107">
        <f>IF(A4taxstdlife="n/a","n/a",IF(T$3&gt;(A4taxstdlife+$E525),(('PTRM input'!$K$146+'PTRM input'!$K$112)*$K$7)-SUM($K525:S525),(('PTRM input'!$K$146+'PTRM input'!$K$112)*$K$7)/A4taxstdlife))</f>
        <v>0</v>
      </c>
      <c r="U525" s="107">
        <f>IF(A4taxstdlife="n/a","n/a",IF(U$3&gt;(A4taxstdlife+$E525),(('PTRM input'!$K$146+'PTRM input'!$K$112)*$K$7)-SUM($K525:T525),(('PTRM input'!$K$146+'PTRM input'!$K$112)*$K$7)/A4taxstdlife))</f>
        <v>0</v>
      </c>
      <c r="V525" s="107">
        <f>IF(A4taxstdlife="n/a","n/a",IF(V$3&gt;(A4taxstdlife+$E525),(('PTRM input'!$K$146+'PTRM input'!$K$112)*$K$7)-SUM($K525:U525),(('PTRM input'!$K$146+'PTRM input'!$K$112)*$K$7)/A4taxstdlife))</f>
        <v>0</v>
      </c>
      <c r="W525" s="107">
        <f>IF(A4taxstdlife="n/a","n/a",IF(W$3&gt;(A4taxstdlife+$E525),(('PTRM input'!$K$146+'PTRM input'!$K$112)*$K$7)-SUM($K525:V525),(('PTRM input'!$K$146+'PTRM input'!$K$112)*$K$7)/A4taxstdlife))</f>
        <v>0</v>
      </c>
      <c r="X525" s="107">
        <f>IF(A4taxstdlife="n/a","n/a",IF(X$3&gt;(A4taxstdlife+$E525),(('PTRM input'!$K$146+'PTRM input'!$K$112)*$K$7)-SUM($K525:W525),(('PTRM input'!$K$146+'PTRM input'!$K$112)*$K$7)/A4taxstdlife))</f>
        <v>0</v>
      </c>
      <c r="Y525" s="107">
        <f>IF(A4taxstdlife="n/a","n/a",IF(Y$3&gt;(A4taxstdlife+$E525),(('PTRM input'!$K$146+'PTRM input'!$K$112)*$K$7)-SUM($K525:X525),(('PTRM input'!$K$146+'PTRM input'!$K$112)*$K$7)/A4taxstdlife))</f>
        <v>0</v>
      </c>
      <c r="Z525" s="107">
        <f>IF(A4taxstdlife="n/a","n/a",IF(Z$3&gt;(A4taxstdlife+$E525),(('PTRM input'!$K$146+'PTRM input'!$K$112)*$K$7)-SUM($K525:Y525),(('PTRM input'!$K$146+'PTRM input'!$K$112)*$K$7)/A4taxstdlife))</f>
        <v>0</v>
      </c>
      <c r="AA525" s="107">
        <f>IF(A4taxstdlife="n/a","n/a",IF(AA$3&gt;(A4taxstdlife+$E525),(('PTRM input'!$K$146+'PTRM input'!$K$112)*$K$7)-SUM($K525:Z525),(('PTRM input'!$K$146+'PTRM input'!$K$112)*$K$7)/A4taxstdlife))</f>
        <v>0</v>
      </c>
      <c r="AB525" s="107">
        <f>IF(A4taxstdlife="n/a","n/a",IF(AB$3&gt;(A4taxstdlife+$E525),(('PTRM input'!$K$146+'PTRM input'!$K$112)*$K$7)-SUM($K525:AA525),(('PTRM input'!$K$146+'PTRM input'!$K$112)*$K$7)/A4taxstdlife))</f>
        <v>0</v>
      </c>
      <c r="AC525" s="107">
        <f>IF(A4taxstdlife="n/a","n/a",IF(AC$3&gt;(A4taxstdlife+$E525),(('PTRM input'!$K$146+'PTRM input'!$K$112)*$K$7)-SUM($K525:AB525),(('PTRM input'!$K$146+'PTRM input'!$K$112)*$K$7)/A4taxstdlife))</f>
        <v>0</v>
      </c>
      <c r="AD525" s="107">
        <f>IF(A4taxstdlife="n/a","n/a",IF(AD$3&gt;(A4taxstdlife+$E525),(('PTRM input'!$K$146+'PTRM input'!$K$112)*$K$7)-SUM($K525:AC525),(('PTRM input'!$K$146+'PTRM input'!$K$112)*$K$7)/A4taxstdlife))</f>
        <v>0</v>
      </c>
      <c r="AE525" s="107">
        <f>IF(A4taxstdlife="n/a","n/a",IF(AE$3&gt;(A4taxstdlife+$E525),(('PTRM input'!$K$146+'PTRM input'!$K$112)*$K$7)-SUM($K525:AD525),(('PTRM input'!$K$146+'PTRM input'!$K$112)*$K$7)/A4taxstdlife))</f>
        <v>0</v>
      </c>
      <c r="AF525" s="107">
        <f>IF(A4taxstdlife="n/a","n/a",IF(AF$3&gt;(A4taxstdlife+$E525),(('PTRM input'!$K$146+'PTRM input'!$K$112)*$K$7)-SUM($K525:AE525),(('PTRM input'!$K$146+'PTRM input'!$K$112)*$K$7)/A4taxstdlife))</f>
        <v>0</v>
      </c>
      <c r="AG525" s="107">
        <f>IF(A4taxstdlife="n/a","n/a",IF(AG$3&gt;(A4taxstdlife+$E525),(('PTRM input'!$K$146+'PTRM input'!$K$112)*$K$7)-SUM($K525:AF525),(('PTRM input'!$K$146+'PTRM input'!$K$112)*$K$7)/A4taxstdlife))</f>
        <v>0</v>
      </c>
      <c r="AH525" s="107">
        <f>IF(A4taxstdlife="n/a","n/a",IF(AH$3&gt;(A4taxstdlife+$E525),(('PTRM input'!$K$146+'PTRM input'!$K$112)*$K$7)-SUM($K525:AG525),(('PTRM input'!$K$146+'PTRM input'!$K$112)*$K$7)/A4taxstdlife))</f>
        <v>0</v>
      </c>
      <c r="AI525" s="107">
        <f>IF(A4taxstdlife="n/a","n/a",IF(AI$3&gt;(A4taxstdlife+$E525),(('PTRM input'!$K$146+'PTRM input'!$K$112)*$K$7)-SUM($K525:AH525),(('PTRM input'!$K$146+'PTRM input'!$K$112)*$K$7)/A4taxstdlife))</f>
        <v>0</v>
      </c>
      <c r="AJ525" s="107">
        <f>IF(A4taxstdlife="n/a","n/a",IF(AJ$3&gt;(A4taxstdlife+$E525),(('PTRM input'!$K$146+'PTRM input'!$K$112)*$K$7)-SUM($K525:AI525),(('PTRM input'!$K$146+'PTRM input'!$K$112)*$K$7)/A4taxstdlife))</f>
        <v>0</v>
      </c>
      <c r="AK525" s="107">
        <f>IF(A4taxstdlife="n/a","n/a",IF(AK$3&gt;(A4taxstdlife+$E525),(('PTRM input'!$K$146+'PTRM input'!$K$112)*$K$7)-SUM($K525:AJ525),(('PTRM input'!$K$146+'PTRM input'!$K$112)*$K$7)/A4taxstdlife))</f>
        <v>0</v>
      </c>
      <c r="AL525" s="107">
        <f>IF(A4taxstdlife="n/a","n/a",IF(AL$3&gt;(A4taxstdlife+$E525),(('PTRM input'!$K$146+'PTRM input'!$K$112)*$K$7)-SUM($K525:AK525),(('PTRM input'!$K$146+'PTRM input'!$K$112)*$K$7)/A4taxstdlife))</f>
        <v>0</v>
      </c>
      <c r="AM525" s="107">
        <f>IF(A4taxstdlife="n/a","n/a",IF(AM$3&gt;(A4taxstdlife+$E525),(('PTRM input'!$K$146+'PTRM input'!$K$112)*$K$7)-SUM($K525:AL525),(('PTRM input'!$K$146+'PTRM input'!$K$112)*$K$7)/A4taxstdlife))</f>
        <v>0</v>
      </c>
      <c r="AN525" s="107">
        <f>IF(A4taxstdlife="n/a","n/a",IF(AN$3&gt;(A4taxstdlife+$E525),(('PTRM input'!$K$146+'PTRM input'!$K$112)*$K$7)-SUM($K525:AM525),(('PTRM input'!$K$146+'PTRM input'!$K$112)*$K$7)/A4taxstdlife))</f>
        <v>0</v>
      </c>
      <c r="AO525" s="107">
        <f>IF(A4taxstdlife="n/a","n/a",IF(AO$3&gt;(A4taxstdlife+$E525),(('PTRM input'!$K$146+'PTRM input'!$K$112)*$K$7)-SUM($K525:AN525),(('PTRM input'!$K$146+'PTRM input'!$K$112)*$K$7)/A4taxstdlife))</f>
        <v>0</v>
      </c>
      <c r="AP525" s="107">
        <f>IF(A4taxstdlife="n/a","n/a",IF(AP$3&gt;(A4taxstdlife+$E525),(('PTRM input'!$K$146+'PTRM input'!$K$112)*$K$7)-SUM($K525:AO525),(('PTRM input'!$K$146+'PTRM input'!$K$112)*$K$7)/A4taxstdlife))</f>
        <v>0</v>
      </c>
      <c r="AQ525" s="107">
        <f>IF(A4taxstdlife="n/a","n/a",IF(AQ$3&gt;(A4taxstdlife+$E525),(('PTRM input'!$K$146+'PTRM input'!$K$112)*$K$7)-SUM($K525:AP525),(('PTRM input'!$K$146+'PTRM input'!$K$112)*$K$7)/A4taxstdlife))</f>
        <v>0</v>
      </c>
      <c r="AR525" s="107">
        <f>IF(A4taxstdlife="n/a","n/a",IF(AR$3&gt;(A4taxstdlife+$E525),(('PTRM input'!$K$146+'PTRM input'!$K$112)*$K$7)-SUM($K525:AQ525),(('PTRM input'!$K$146+'PTRM input'!$K$112)*$K$7)/A4taxstdlife))</f>
        <v>0</v>
      </c>
      <c r="AS525" s="107">
        <f>IF(A4taxstdlife="n/a","n/a",IF(AS$3&gt;(A4taxstdlife+$E525),(('PTRM input'!$K$146+'PTRM input'!$K$112)*$K$7)-SUM($K525:AR525),(('PTRM input'!$K$146+'PTRM input'!$K$112)*$K$7)/A4taxstdlife))</f>
        <v>0</v>
      </c>
      <c r="AT525" s="107">
        <f>IF(A4taxstdlife="n/a","n/a",IF(AT$3&gt;(A4taxstdlife+$E525),(('PTRM input'!$K$146+'PTRM input'!$K$112)*$K$7)-SUM($K525:AS525),(('PTRM input'!$K$146+'PTRM input'!$K$112)*$K$7)/A4taxstdlife))</f>
        <v>0</v>
      </c>
      <c r="AU525" s="107">
        <f>IF(A4taxstdlife="n/a","n/a",IF(AU$3&gt;(A4taxstdlife+$E525),(('PTRM input'!$K$146+'PTRM input'!$K$112)*$K$7)-SUM($K525:AT525),(('PTRM input'!$K$146+'PTRM input'!$K$112)*$K$7)/A4taxstdlife))</f>
        <v>0</v>
      </c>
      <c r="AV525" s="107">
        <f>IF(A4taxstdlife="n/a","n/a",IF(AV$3&gt;(A4taxstdlife+$E525),(('PTRM input'!$K$146+'PTRM input'!$K$112)*$K$7)-SUM($K525:AU525),(('PTRM input'!$K$146+'PTRM input'!$K$112)*$K$7)/A4taxstdlife))</f>
        <v>0</v>
      </c>
      <c r="AW525" s="107">
        <f>IF(A4taxstdlife="n/a","n/a",IF(AW$3&gt;(A4taxstdlife+$E525),(('PTRM input'!$K$146+'PTRM input'!$K$112)*$K$7)-SUM($K525:AV525),(('PTRM input'!$K$146+'PTRM input'!$K$112)*$K$7)/A4taxstdlife))</f>
        <v>0</v>
      </c>
      <c r="AX525" s="107">
        <f>IF(A4taxstdlife="n/a","n/a",IF(AX$3&gt;(A4taxstdlife+$E525),(('PTRM input'!$K$146+'PTRM input'!$K$112)*$K$7)-SUM($K525:AW525),(('PTRM input'!$K$146+'PTRM input'!$K$112)*$K$7)/A4taxstdlife))</f>
        <v>0</v>
      </c>
      <c r="AY525" s="107">
        <f>IF(A4taxstdlife="n/a","n/a",IF(AY$3&gt;(A4taxstdlife+$E525),(('PTRM input'!$K$146+'PTRM input'!$K$112)*$K$7)-SUM($K525:AX525),(('PTRM input'!$K$146+'PTRM input'!$K$112)*$K$7)/A4taxstdlife))</f>
        <v>0</v>
      </c>
      <c r="AZ525" s="107">
        <f>IF(A4taxstdlife="n/a","n/a",IF(AZ$3&gt;(A4taxstdlife+$E525),(('PTRM input'!$K$146+'PTRM input'!$K$112)*$K$7)-SUM($K525:AY525),(('PTRM input'!$K$146+'PTRM input'!$K$112)*$K$7)/A4taxstdlife))</f>
        <v>0</v>
      </c>
      <c r="BA525" s="107">
        <f>IF(A4taxstdlife="n/a","n/a",IF(BA$3&gt;(A4taxstdlife+$E525),(('PTRM input'!$K$146+'PTRM input'!$K$112)*$K$7)-SUM($K525:AZ525),(('PTRM input'!$K$146+'PTRM input'!$K$112)*$K$7)/A4taxstdlife))</f>
        <v>0</v>
      </c>
      <c r="BB525" s="107">
        <f>IF(A4taxstdlife="n/a","n/a",IF(BB$3&gt;(A4taxstdlife+$E525),(('PTRM input'!$K$146+'PTRM input'!$K$112)*$K$7)-SUM($K525:BA525),(('PTRM input'!$K$146+'PTRM input'!$K$112)*$K$7)/A4taxstdlife))</f>
        <v>0</v>
      </c>
      <c r="BC525" s="107">
        <f>IF(A4taxstdlife="n/a","n/a",IF(BC$3&gt;(A4taxstdlife+$E525),(('PTRM input'!$K$146+'PTRM input'!$K$112)*$K$7)-SUM($K525:BB525),(('PTRM input'!$K$146+'PTRM input'!$K$112)*$K$7)/A4taxstdlife))</f>
        <v>0</v>
      </c>
      <c r="BD525" s="107">
        <f>IF(A4taxstdlife="n/a","n/a",IF(BD$3&gt;(A4taxstdlife+$E525),(('PTRM input'!$K$146+'PTRM input'!$K$112)*$K$7)-SUM($K525:BC525),(('PTRM input'!$K$146+'PTRM input'!$K$112)*$K$7)/A4taxstdlife))</f>
        <v>0</v>
      </c>
      <c r="BE525" s="107">
        <f>IF(A4taxstdlife="n/a","n/a",IF(BE$3&gt;(A4taxstdlife+$E525),(('PTRM input'!$K$146+'PTRM input'!$K$112)*$K$7)-SUM($K525:BD525),(('PTRM input'!$K$146+'PTRM input'!$K$112)*$K$7)/A4taxstdlife))</f>
        <v>0</v>
      </c>
      <c r="BF525" s="107">
        <f>IF(A4taxstdlife="n/a","n/a",IF(BF$3&gt;(A4taxstdlife+$E525),(('PTRM input'!$K$146+'PTRM input'!$K$112)*$K$7)-SUM($K525:BE525),(('PTRM input'!$K$146+'PTRM input'!$K$112)*$K$7)/A4taxstdlife))</f>
        <v>0</v>
      </c>
      <c r="BG525" s="107">
        <f>IF(A4taxstdlife="n/a","n/a",IF(BG$3&gt;(A4taxstdlife+$E525),(('PTRM input'!$K$146+'PTRM input'!$K$112)*$K$7)-SUM($K525:BF525),(('PTRM input'!$K$146+'PTRM input'!$K$112)*$K$7)/A4taxstdlife))</f>
        <v>0</v>
      </c>
      <c r="BH525" s="107">
        <f>IF(A4taxstdlife="n/a","n/a",IF(BH$3&gt;(A4taxstdlife+$E525),(('PTRM input'!$K$146+'PTRM input'!$K$112)*$K$7)-SUM($K525:BG525),(('PTRM input'!$K$146+'PTRM input'!$K$112)*$K$7)/A4taxstdlife))</f>
        <v>0</v>
      </c>
      <c r="BI525" s="107">
        <f>IF(A4taxstdlife="n/a","n/a",IF(BI$3&gt;(A4taxstdlife+$E525),(('PTRM input'!$K$146+'PTRM input'!$K$112)*$K$7)-SUM($K525:BH525),(('PTRM input'!$K$146+'PTRM input'!$K$112)*$K$7)/A4taxstdlife))</f>
        <v>0</v>
      </c>
      <c r="BJ525" s="18"/>
      <c r="BK525" s="18"/>
      <c r="BL525" s="18"/>
      <c r="BM525" s="18"/>
    </row>
    <row r="526" spans="1:65" s="4" customFormat="1" hidden="1" outlineLevel="2">
      <c r="A526" s="18"/>
      <c r="B526" s="18"/>
      <c r="C526" s="33"/>
      <c r="D526" s="1618"/>
      <c r="E526" s="169">
        <v>6</v>
      </c>
      <c r="F526" s="35"/>
      <c r="G526" s="184"/>
      <c r="H526" s="186"/>
      <c r="I526" s="186"/>
      <c r="J526" s="186"/>
      <c r="K526" s="186"/>
      <c r="L526" s="185"/>
      <c r="M526" s="107">
        <f>IF(A4taxstdlife="n/a","n/a",IF(M$3&gt;(A4taxstdlife+$E526),(('PTRM input'!$L$146+'PTRM input'!$L$112)*$L$7)-SUM($L526:L526),(('PTRM input'!$L$146+'PTRM input'!$L$112)*$L$7)/A4taxstdlife))</f>
        <v>0</v>
      </c>
      <c r="N526" s="107">
        <f>IF(A4taxstdlife="n/a","n/a",IF(N$3&gt;(A4taxstdlife+$E526),(('PTRM input'!$L$146+'PTRM input'!$L$112)*$L$7)-SUM($L526:M526),(('PTRM input'!$L$146+'PTRM input'!$L$112)*$L$7)/A4taxstdlife))</f>
        <v>0</v>
      </c>
      <c r="O526" s="107">
        <f>IF(A4taxstdlife="n/a","n/a",IF(O$3&gt;(A4taxstdlife+$E526),(('PTRM input'!$L$146+'PTRM input'!$L$112)*$L$7)-SUM($L526:N526),(('PTRM input'!$L$146+'PTRM input'!$L$112)*$L$7)/A4taxstdlife))</f>
        <v>0</v>
      </c>
      <c r="P526" s="107">
        <f>IF(A4taxstdlife="n/a","n/a",IF(P$3&gt;(A4taxstdlife+$E526),(('PTRM input'!$L$146+'PTRM input'!$L$112)*$L$7)-SUM($L526:O526),(('PTRM input'!$L$146+'PTRM input'!$L$112)*$L$7)/A4taxstdlife))</f>
        <v>0</v>
      </c>
      <c r="Q526" s="107">
        <f>IF(A4taxstdlife="n/a","n/a",IF(Q$3&gt;(A4taxstdlife+$E526),(('PTRM input'!$L$146+'PTRM input'!$L$112)*$L$7)-SUM($L526:P526),(('PTRM input'!$L$146+'PTRM input'!$L$112)*$L$7)/A4taxstdlife))</f>
        <v>0</v>
      </c>
      <c r="R526" s="107">
        <f>IF(A4taxstdlife="n/a","n/a",IF(R$3&gt;(A4taxstdlife+$E526),(('PTRM input'!$L$146+'PTRM input'!$L$112)*$L$7)-SUM($L526:Q526),(('PTRM input'!$L$146+'PTRM input'!$L$112)*$L$7)/A4taxstdlife))</f>
        <v>0</v>
      </c>
      <c r="S526" s="107">
        <f>IF(A4taxstdlife="n/a","n/a",IF(S$3&gt;(A4taxstdlife+$E526),(('PTRM input'!$L$146+'PTRM input'!$L$112)*$L$7)-SUM($L526:R526),(('PTRM input'!$L$146+'PTRM input'!$L$112)*$L$7)/A4taxstdlife))</f>
        <v>0</v>
      </c>
      <c r="T526" s="107">
        <f>IF(A4taxstdlife="n/a","n/a",IF(T$3&gt;(A4taxstdlife+$E526),(('PTRM input'!$L$146+'PTRM input'!$L$112)*$L$7)-SUM($L526:S526),(('PTRM input'!$L$146+'PTRM input'!$L$112)*$L$7)/A4taxstdlife))</f>
        <v>0</v>
      </c>
      <c r="U526" s="107">
        <f>IF(A4taxstdlife="n/a","n/a",IF(U$3&gt;(A4taxstdlife+$E526),(('PTRM input'!$L$146+'PTRM input'!$L$112)*$L$7)-SUM($L526:T526),(('PTRM input'!$L$146+'PTRM input'!$L$112)*$L$7)/A4taxstdlife))</f>
        <v>0</v>
      </c>
      <c r="V526" s="107">
        <f>IF(A4taxstdlife="n/a","n/a",IF(V$3&gt;(A4taxstdlife+$E526),(('PTRM input'!$L$146+'PTRM input'!$L$112)*$L$7)-SUM($L526:U526),(('PTRM input'!$L$146+'PTRM input'!$L$112)*$L$7)/A4taxstdlife))</f>
        <v>0</v>
      </c>
      <c r="W526" s="107">
        <f>IF(A4taxstdlife="n/a","n/a",IF(W$3&gt;(A4taxstdlife+$E526),(('PTRM input'!$L$146+'PTRM input'!$L$112)*$L$7)-SUM($L526:V526),(('PTRM input'!$L$146+'PTRM input'!$L$112)*$L$7)/A4taxstdlife))</f>
        <v>0</v>
      </c>
      <c r="X526" s="107">
        <f>IF(A4taxstdlife="n/a","n/a",IF(X$3&gt;(A4taxstdlife+$E526),(('PTRM input'!$L$146+'PTRM input'!$L$112)*$L$7)-SUM($L526:W526),(('PTRM input'!$L$146+'PTRM input'!$L$112)*$L$7)/A4taxstdlife))</f>
        <v>0</v>
      </c>
      <c r="Y526" s="107">
        <f>IF(A4taxstdlife="n/a","n/a",IF(Y$3&gt;(A4taxstdlife+$E526),(('PTRM input'!$L$146+'PTRM input'!$L$112)*$L$7)-SUM($L526:X526),(('PTRM input'!$L$146+'PTRM input'!$L$112)*$L$7)/A4taxstdlife))</f>
        <v>0</v>
      </c>
      <c r="Z526" s="107">
        <f>IF(A4taxstdlife="n/a","n/a",IF(Z$3&gt;(A4taxstdlife+$E526),(('PTRM input'!$L$146+'PTRM input'!$L$112)*$L$7)-SUM($L526:Y526),(('PTRM input'!$L$146+'PTRM input'!$L$112)*$L$7)/A4taxstdlife))</f>
        <v>0</v>
      </c>
      <c r="AA526" s="107">
        <f>IF(A4taxstdlife="n/a","n/a",IF(AA$3&gt;(A4taxstdlife+$E526),(('PTRM input'!$L$146+'PTRM input'!$L$112)*$L$7)-SUM($L526:Z526),(('PTRM input'!$L$146+'PTRM input'!$L$112)*$L$7)/A4taxstdlife))</f>
        <v>0</v>
      </c>
      <c r="AB526" s="107">
        <f>IF(A4taxstdlife="n/a","n/a",IF(AB$3&gt;(A4taxstdlife+$E526),(('PTRM input'!$L$146+'PTRM input'!$L$112)*$L$7)-SUM($L526:AA526),(('PTRM input'!$L$146+'PTRM input'!$L$112)*$L$7)/A4taxstdlife))</f>
        <v>0</v>
      </c>
      <c r="AC526" s="107">
        <f>IF(A4taxstdlife="n/a","n/a",IF(AC$3&gt;(A4taxstdlife+$E526),(('PTRM input'!$L$146+'PTRM input'!$L$112)*$L$7)-SUM($L526:AB526),(('PTRM input'!$L$146+'PTRM input'!$L$112)*$L$7)/A4taxstdlife))</f>
        <v>0</v>
      </c>
      <c r="AD526" s="107">
        <f>IF(A4taxstdlife="n/a","n/a",IF(AD$3&gt;(A4taxstdlife+$E526),(('PTRM input'!$L$146+'PTRM input'!$L$112)*$L$7)-SUM($L526:AC526),(('PTRM input'!$L$146+'PTRM input'!$L$112)*$L$7)/A4taxstdlife))</f>
        <v>0</v>
      </c>
      <c r="AE526" s="107">
        <f>IF(A4taxstdlife="n/a","n/a",IF(AE$3&gt;(A4taxstdlife+$E526),(('PTRM input'!$L$146+'PTRM input'!$L$112)*$L$7)-SUM($L526:AD526),(('PTRM input'!$L$146+'PTRM input'!$L$112)*$L$7)/A4taxstdlife))</f>
        <v>0</v>
      </c>
      <c r="AF526" s="107">
        <f>IF(A4taxstdlife="n/a","n/a",IF(AF$3&gt;(A4taxstdlife+$E526),(('PTRM input'!$L$146+'PTRM input'!$L$112)*$L$7)-SUM($L526:AE526),(('PTRM input'!$L$146+'PTRM input'!$L$112)*$L$7)/A4taxstdlife))</f>
        <v>0</v>
      </c>
      <c r="AG526" s="107">
        <f>IF(A4taxstdlife="n/a","n/a",IF(AG$3&gt;(A4taxstdlife+$E526),(('PTRM input'!$L$146+'PTRM input'!$L$112)*$L$7)-SUM($L526:AF526),(('PTRM input'!$L$146+'PTRM input'!$L$112)*$L$7)/A4taxstdlife))</f>
        <v>0</v>
      </c>
      <c r="AH526" s="107">
        <f>IF(A4taxstdlife="n/a","n/a",IF(AH$3&gt;(A4taxstdlife+$E526),(('PTRM input'!$L$146+'PTRM input'!$L$112)*$L$7)-SUM($L526:AG526),(('PTRM input'!$L$146+'PTRM input'!$L$112)*$L$7)/A4taxstdlife))</f>
        <v>0</v>
      </c>
      <c r="AI526" s="107">
        <f>IF(A4taxstdlife="n/a","n/a",IF(AI$3&gt;(A4taxstdlife+$E526),(('PTRM input'!$L$146+'PTRM input'!$L$112)*$L$7)-SUM($L526:AH526),(('PTRM input'!$L$146+'PTRM input'!$L$112)*$L$7)/A4taxstdlife))</f>
        <v>0</v>
      </c>
      <c r="AJ526" s="107">
        <f>IF(A4taxstdlife="n/a","n/a",IF(AJ$3&gt;(A4taxstdlife+$E526),(('PTRM input'!$L$146+'PTRM input'!$L$112)*$L$7)-SUM($L526:AI526),(('PTRM input'!$L$146+'PTRM input'!$L$112)*$L$7)/A4taxstdlife))</f>
        <v>0</v>
      </c>
      <c r="AK526" s="107">
        <f>IF(A4taxstdlife="n/a","n/a",IF(AK$3&gt;(A4taxstdlife+$E526),(('PTRM input'!$L$146+'PTRM input'!$L$112)*$L$7)-SUM($L526:AJ526),(('PTRM input'!$L$146+'PTRM input'!$L$112)*$L$7)/A4taxstdlife))</f>
        <v>0</v>
      </c>
      <c r="AL526" s="107">
        <f>IF(A4taxstdlife="n/a","n/a",IF(AL$3&gt;(A4taxstdlife+$E526),(('PTRM input'!$L$146+'PTRM input'!$L$112)*$L$7)-SUM($L526:AK526),(('PTRM input'!$L$146+'PTRM input'!$L$112)*$L$7)/A4taxstdlife))</f>
        <v>0</v>
      </c>
      <c r="AM526" s="107">
        <f>IF(A4taxstdlife="n/a","n/a",IF(AM$3&gt;(A4taxstdlife+$E526),(('PTRM input'!$L$146+'PTRM input'!$L$112)*$L$7)-SUM($L526:AL526),(('PTRM input'!$L$146+'PTRM input'!$L$112)*$L$7)/A4taxstdlife))</f>
        <v>0</v>
      </c>
      <c r="AN526" s="107">
        <f>IF(A4taxstdlife="n/a","n/a",IF(AN$3&gt;(A4taxstdlife+$E526),(('PTRM input'!$L$146+'PTRM input'!$L$112)*$L$7)-SUM($L526:AM526),(('PTRM input'!$L$146+'PTRM input'!$L$112)*$L$7)/A4taxstdlife))</f>
        <v>0</v>
      </c>
      <c r="AO526" s="107">
        <f>IF(A4taxstdlife="n/a","n/a",IF(AO$3&gt;(A4taxstdlife+$E526),(('PTRM input'!$L$146+'PTRM input'!$L$112)*$L$7)-SUM($L526:AN526),(('PTRM input'!$L$146+'PTRM input'!$L$112)*$L$7)/A4taxstdlife))</f>
        <v>0</v>
      </c>
      <c r="AP526" s="107">
        <f>IF(A4taxstdlife="n/a","n/a",IF(AP$3&gt;(A4taxstdlife+$E526),(('PTRM input'!$L$146+'PTRM input'!$L$112)*$L$7)-SUM($L526:AO526),(('PTRM input'!$L$146+'PTRM input'!$L$112)*$L$7)/A4taxstdlife))</f>
        <v>0</v>
      </c>
      <c r="AQ526" s="107">
        <f>IF(A4taxstdlife="n/a","n/a",IF(AQ$3&gt;(A4taxstdlife+$E526),(('PTRM input'!$L$146+'PTRM input'!$L$112)*$L$7)-SUM($L526:AP526),(('PTRM input'!$L$146+'PTRM input'!$L$112)*$L$7)/A4taxstdlife))</f>
        <v>0</v>
      </c>
      <c r="AR526" s="107">
        <f>IF(A4taxstdlife="n/a","n/a",IF(AR$3&gt;(A4taxstdlife+$E526),(('PTRM input'!$L$146+'PTRM input'!$L$112)*$L$7)-SUM($L526:AQ526),(('PTRM input'!$L$146+'PTRM input'!$L$112)*$L$7)/A4taxstdlife))</f>
        <v>0</v>
      </c>
      <c r="AS526" s="107">
        <f>IF(A4taxstdlife="n/a","n/a",IF(AS$3&gt;(A4taxstdlife+$E526),(('PTRM input'!$L$146+'PTRM input'!$L$112)*$L$7)-SUM($L526:AR526),(('PTRM input'!$L$146+'PTRM input'!$L$112)*$L$7)/A4taxstdlife))</f>
        <v>0</v>
      </c>
      <c r="AT526" s="107">
        <f>IF(A4taxstdlife="n/a","n/a",IF(AT$3&gt;(A4taxstdlife+$E526),(('PTRM input'!$L$146+'PTRM input'!$L$112)*$L$7)-SUM($L526:AS526),(('PTRM input'!$L$146+'PTRM input'!$L$112)*$L$7)/A4taxstdlife))</f>
        <v>0</v>
      </c>
      <c r="AU526" s="107">
        <f>IF(A4taxstdlife="n/a","n/a",IF(AU$3&gt;(A4taxstdlife+$E526),(('PTRM input'!$L$146+'PTRM input'!$L$112)*$L$7)-SUM($L526:AT526),(('PTRM input'!$L$146+'PTRM input'!$L$112)*$L$7)/A4taxstdlife))</f>
        <v>0</v>
      </c>
      <c r="AV526" s="107">
        <f>IF(A4taxstdlife="n/a","n/a",IF(AV$3&gt;(A4taxstdlife+$E526),(('PTRM input'!$L$146+'PTRM input'!$L$112)*$L$7)-SUM($L526:AU526),(('PTRM input'!$L$146+'PTRM input'!$L$112)*$L$7)/A4taxstdlife))</f>
        <v>0</v>
      </c>
      <c r="AW526" s="107">
        <f>IF(A4taxstdlife="n/a","n/a",IF(AW$3&gt;(A4taxstdlife+$E526),(('PTRM input'!$L$146+'PTRM input'!$L$112)*$L$7)-SUM($L526:AV526),(('PTRM input'!$L$146+'PTRM input'!$L$112)*$L$7)/A4taxstdlife))</f>
        <v>0</v>
      </c>
      <c r="AX526" s="107">
        <f>IF(A4taxstdlife="n/a","n/a",IF(AX$3&gt;(A4taxstdlife+$E526),(('PTRM input'!$L$146+'PTRM input'!$L$112)*$L$7)-SUM($L526:AW526),(('PTRM input'!$L$146+'PTRM input'!$L$112)*$L$7)/A4taxstdlife))</f>
        <v>0</v>
      </c>
      <c r="AY526" s="107">
        <f>IF(A4taxstdlife="n/a","n/a",IF(AY$3&gt;(A4taxstdlife+$E526),(('PTRM input'!$L$146+'PTRM input'!$L$112)*$L$7)-SUM($L526:AX526),(('PTRM input'!$L$146+'PTRM input'!$L$112)*$L$7)/A4taxstdlife))</f>
        <v>0</v>
      </c>
      <c r="AZ526" s="107">
        <f>IF(A4taxstdlife="n/a","n/a",IF(AZ$3&gt;(A4taxstdlife+$E526),(('PTRM input'!$L$146+'PTRM input'!$L$112)*$L$7)-SUM($L526:AY526),(('PTRM input'!$L$146+'PTRM input'!$L$112)*$L$7)/A4taxstdlife))</f>
        <v>0</v>
      </c>
      <c r="BA526" s="107">
        <f>IF(A4taxstdlife="n/a","n/a",IF(BA$3&gt;(A4taxstdlife+$E526),(('PTRM input'!$L$146+'PTRM input'!$L$112)*$L$7)-SUM($L526:AZ526),(('PTRM input'!$L$146+'PTRM input'!$L$112)*$L$7)/A4taxstdlife))</f>
        <v>0</v>
      </c>
      <c r="BB526" s="107">
        <f>IF(A4taxstdlife="n/a","n/a",IF(BB$3&gt;(A4taxstdlife+$E526),(('PTRM input'!$L$146+'PTRM input'!$L$112)*$L$7)-SUM($L526:BA526),(('PTRM input'!$L$146+'PTRM input'!$L$112)*$L$7)/A4taxstdlife))</f>
        <v>0</v>
      </c>
      <c r="BC526" s="107">
        <f>IF(A4taxstdlife="n/a","n/a",IF(BC$3&gt;(A4taxstdlife+$E526),(('PTRM input'!$L$146+'PTRM input'!$L$112)*$L$7)-SUM($L526:BB526),(('PTRM input'!$L$146+'PTRM input'!$L$112)*$L$7)/A4taxstdlife))</f>
        <v>0</v>
      </c>
      <c r="BD526" s="107">
        <f>IF(A4taxstdlife="n/a","n/a",IF(BD$3&gt;(A4taxstdlife+$E526),(('PTRM input'!$L$146+'PTRM input'!$L$112)*$L$7)-SUM($L526:BC526),(('PTRM input'!$L$146+'PTRM input'!$L$112)*$L$7)/A4taxstdlife))</f>
        <v>0</v>
      </c>
      <c r="BE526" s="107">
        <f>IF(A4taxstdlife="n/a","n/a",IF(BE$3&gt;(A4taxstdlife+$E526),(('PTRM input'!$L$146+'PTRM input'!$L$112)*$L$7)-SUM($L526:BD526),(('PTRM input'!$L$146+'PTRM input'!$L$112)*$L$7)/A4taxstdlife))</f>
        <v>0</v>
      </c>
      <c r="BF526" s="107">
        <f>IF(A4taxstdlife="n/a","n/a",IF(BF$3&gt;(A4taxstdlife+$E526),(('PTRM input'!$L$146+'PTRM input'!$L$112)*$L$7)-SUM($L526:BE526),(('PTRM input'!$L$146+'PTRM input'!$L$112)*$L$7)/A4taxstdlife))</f>
        <v>0</v>
      </c>
      <c r="BG526" s="107">
        <f>IF(A4taxstdlife="n/a","n/a",IF(BG$3&gt;(A4taxstdlife+$E526),(('PTRM input'!$L$146+'PTRM input'!$L$112)*$L$7)-SUM($L526:BF526),(('PTRM input'!$L$146+'PTRM input'!$L$112)*$L$7)/A4taxstdlife))</f>
        <v>0</v>
      </c>
      <c r="BH526" s="107">
        <f>IF(A4taxstdlife="n/a","n/a",IF(BH$3&gt;(A4taxstdlife+$E526),(('PTRM input'!$L$146+'PTRM input'!$L$112)*$L$7)-SUM($L526:BG526),(('PTRM input'!$L$146+'PTRM input'!$L$112)*$L$7)/A4taxstdlife))</f>
        <v>0</v>
      </c>
      <c r="BI526" s="107">
        <f>IF(A4taxstdlife="n/a","n/a",IF(BI$3&gt;(A4taxstdlife+$E526),(('PTRM input'!$L$146+'PTRM input'!$L$112)*$L$7)-SUM($L526:BH526),(('PTRM input'!$L$146+'PTRM input'!$L$112)*$L$7)/A4taxstdlife))</f>
        <v>0</v>
      </c>
      <c r="BJ526" s="18"/>
      <c r="BK526" s="18"/>
      <c r="BL526" s="18"/>
      <c r="BM526" s="18"/>
    </row>
    <row r="527" spans="1:65" s="4" customFormat="1" hidden="1" outlineLevel="2">
      <c r="A527" s="18"/>
      <c r="B527" s="18"/>
      <c r="C527" s="33"/>
      <c r="D527" s="1618"/>
      <c r="E527" s="169">
        <v>7</v>
      </c>
      <c r="F527" s="35"/>
      <c r="G527" s="184"/>
      <c r="H527" s="186"/>
      <c r="I527" s="186"/>
      <c r="J527" s="186"/>
      <c r="K527" s="186"/>
      <c r="L527" s="186"/>
      <c r="M527" s="185"/>
      <c r="N527" s="107">
        <f>IF(A4taxstdlife="n/a","n/a",IF(N$3&gt;(A4taxstdlife+$E527),(('PTRM input'!$M$146+'PTRM input'!$M$112)*$M$7)-SUM($M527:M527),(('PTRM input'!$M$146+'PTRM input'!$M$112)*$M$7)/A4taxstdlife))</f>
        <v>0</v>
      </c>
      <c r="O527" s="107">
        <f>IF(A4taxstdlife="n/a","n/a",IF(O$3&gt;(A4taxstdlife+$E527),(('PTRM input'!$M$146+'PTRM input'!$M$112)*$M$7)-SUM($M527:N527),(('PTRM input'!$M$146+'PTRM input'!$M$112)*$M$7)/A4taxstdlife))</f>
        <v>0</v>
      </c>
      <c r="P527" s="107">
        <f>IF(A4taxstdlife="n/a","n/a",IF(P$3&gt;(A4taxstdlife+$E527),(('PTRM input'!$M$146+'PTRM input'!$M$112)*$M$7)-SUM($M527:O527),(('PTRM input'!$M$146+'PTRM input'!$M$112)*$M$7)/A4taxstdlife))</f>
        <v>0</v>
      </c>
      <c r="Q527" s="107">
        <f>IF(A4taxstdlife="n/a","n/a",IF(Q$3&gt;(A4taxstdlife+$E527),(('PTRM input'!$M$146+'PTRM input'!$M$112)*$M$7)-SUM($M527:P527),(('PTRM input'!$M$146+'PTRM input'!$M$112)*$M$7)/A4taxstdlife))</f>
        <v>0</v>
      </c>
      <c r="R527" s="107">
        <f>IF(A4taxstdlife="n/a","n/a",IF(R$3&gt;(A4taxstdlife+$E527),(('PTRM input'!$M$146+'PTRM input'!$M$112)*$M$7)-SUM($M527:Q527),(('PTRM input'!$M$146+'PTRM input'!$M$112)*$M$7)/A4taxstdlife))</f>
        <v>0</v>
      </c>
      <c r="S527" s="107">
        <f>IF(A4taxstdlife="n/a","n/a",IF(S$3&gt;(A4taxstdlife+$E527),(('PTRM input'!$M$146+'PTRM input'!$M$112)*$M$7)-SUM($M527:R527),(('PTRM input'!$M$146+'PTRM input'!$M$112)*$M$7)/A4taxstdlife))</f>
        <v>0</v>
      </c>
      <c r="T527" s="107">
        <f>IF(A4taxstdlife="n/a","n/a",IF(T$3&gt;(A4taxstdlife+$E527),(('PTRM input'!$M$146+'PTRM input'!$M$112)*$M$7)-SUM($M527:S527),(('PTRM input'!$M$146+'PTRM input'!$M$112)*$M$7)/A4taxstdlife))</f>
        <v>0</v>
      </c>
      <c r="U527" s="107">
        <f>IF(A4taxstdlife="n/a","n/a",IF(U$3&gt;(A4taxstdlife+$E527),(('PTRM input'!$M$146+'PTRM input'!$M$112)*$M$7)-SUM($M527:T527),(('PTRM input'!$M$146+'PTRM input'!$M$112)*$M$7)/A4taxstdlife))</f>
        <v>0</v>
      </c>
      <c r="V527" s="107">
        <f>IF(A4taxstdlife="n/a","n/a",IF(V$3&gt;(A4taxstdlife+$E527),(('PTRM input'!$M$146+'PTRM input'!$M$112)*$M$7)-SUM($M527:U527),(('PTRM input'!$M$146+'PTRM input'!$M$112)*$M$7)/A4taxstdlife))</f>
        <v>0</v>
      </c>
      <c r="W527" s="107">
        <f>IF(A4taxstdlife="n/a","n/a",IF(W$3&gt;(A4taxstdlife+$E527),(('PTRM input'!$M$146+'PTRM input'!$M$112)*$M$7)-SUM($M527:V527),(('PTRM input'!$M$146+'PTRM input'!$M$112)*$M$7)/A4taxstdlife))</f>
        <v>0</v>
      </c>
      <c r="X527" s="107">
        <f>IF(A4taxstdlife="n/a","n/a",IF(X$3&gt;(A4taxstdlife+$E527),(('PTRM input'!$M$146+'PTRM input'!$M$112)*$M$7)-SUM($M527:W527),(('PTRM input'!$M$146+'PTRM input'!$M$112)*$M$7)/A4taxstdlife))</f>
        <v>0</v>
      </c>
      <c r="Y527" s="107">
        <f>IF(A4taxstdlife="n/a","n/a",IF(Y$3&gt;(A4taxstdlife+$E527),(('PTRM input'!$M$146+'PTRM input'!$M$112)*$M$7)-SUM($M527:X527),(('PTRM input'!$M$146+'PTRM input'!$M$112)*$M$7)/A4taxstdlife))</f>
        <v>0</v>
      </c>
      <c r="Z527" s="107">
        <f>IF(A4taxstdlife="n/a","n/a",IF(Z$3&gt;(A4taxstdlife+$E527),(('PTRM input'!$M$146+'PTRM input'!$M$112)*$M$7)-SUM($M527:Y527),(('PTRM input'!$M$146+'PTRM input'!$M$112)*$M$7)/A4taxstdlife))</f>
        <v>0</v>
      </c>
      <c r="AA527" s="107">
        <f>IF(A4taxstdlife="n/a","n/a",IF(AA$3&gt;(A4taxstdlife+$E527),(('PTRM input'!$M$146+'PTRM input'!$M$112)*$M$7)-SUM($M527:Z527),(('PTRM input'!$M$146+'PTRM input'!$M$112)*$M$7)/A4taxstdlife))</f>
        <v>0</v>
      </c>
      <c r="AB527" s="107">
        <f>IF(A4taxstdlife="n/a","n/a",IF(AB$3&gt;(A4taxstdlife+$E527),(('PTRM input'!$M$146+'PTRM input'!$M$112)*$M$7)-SUM($M527:AA527),(('PTRM input'!$M$146+'PTRM input'!$M$112)*$M$7)/A4taxstdlife))</f>
        <v>0</v>
      </c>
      <c r="AC527" s="107">
        <f>IF(A4taxstdlife="n/a","n/a",IF(AC$3&gt;(A4taxstdlife+$E527),(('PTRM input'!$M$146+'PTRM input'!$M$112)*$M$7)-SUM($M527:AB527),(('PTRM input'!$M$146+'PTRM input'!$M$112)*$M$7)/A4taxstdlife))</f>
        <v>0</v>
      </c>
      <c r="AD527" s="107">
        <f>IF(A4taxstdlife="n/a","n/a",IF(AD$3&gt;(A4taxstdlife+$E527),(('PTRM input'!$M$146+'PTRM input'!$M$112)*$M$7)-SUM($M527:AC527),(('PTRM input'!$M$146+'PTRM input'!$M$112)*$M$7)/A4taxstdlife))</f>
        <v>0</v>
      </c>
      <c r="AE527" s="107">
        <f>IF(A4taxstdlife="n/a","n/a",IF(AE$3&gt;(A4taxstdlife+$E527),(('PTRM input'!$M$146+'PTRM input'!$M$112)*$M$7)-SUM($M527:AD527),(('PTRM input'!$M$146+'PTRM input'!$M$112)*$M$7)/A4taxstdlife))</f>
        <v>0</v>
      </c>
      <c r="AF527" s="107">
        <f>IF(A4taxstdlife="n/a","n/a",IF(AF$3&gt;(A4taxstdlife+$E527),(('PTRM input'!$M$146+'PTRM input'!$M$112)*$M$7)-SUM($M527:AE527),(('PTRM input'!$M$146+'PTRM input'!$M$112)*$M$7)/A4taxstdlife))</f>
        <v>0</v>
      </c>
      <c r="AG527" s="107">
        <f>IF(A4taxstdlife="n/a","n/a",IF(AG$3&gt;(A4taxstdlife+$E527),(('PTRM input'!$M$146+'PTRM input'!$M$112)*$M$7)-SUM($M527:AF527),(('PTRM input'!$M$146+'PTRM input'!$M$112)*$M$7)/A4taxstdlife))</f>
        <v>0</v>
      </c>
      <c r="AH527" s="107">
        <f>IF(A4taxstdlife="n/a","n/a",IF(AH$3&gt;(A4taxstdlife+$E527),(('PTRM input'!$M$146+'PTRM input'!$M$112)*$M$7)-SUM($M527:AG527),(('PTRM input'!$M$146+'PTRM input'!$M$112)*$M$7)/A4taxstdlife))</f>
        <v>0</v>
      </c>
      <c r="AI527" s="107">
        <f>IF(A4taxstdlife="n/a","n/a",IF(AI$3&gt;(A4taxstdlife+$E527),(('PTRM input'!$M$146+'PTRM input'!$M$112)*$M$7)-SUM($M527:AH527),(('PTRM input'!$M$146+'PTRM input'!$M$112)*$M$7)/A4taxstdlife))</f>
        <v>0</v>
      </c>
      <c r="AJ527" s="107">
        <f>IF(A4taxstdlife="n/a","n/a",IF(AJ$3&gt;(A4taxstdlife+$E527),(('PTRM input'!$M$146+'PTRM input'!$M$112)*$M$7)-SUM($M527:AI527),(('PTRM input'!$M$146+'PTRM input'!$M$112)*$M$7)/A4taxstdlife))</f>
        <v>0</v>
      </c>
      <c r="AK527" s="107">
        <f>IF(A4taxstdlife="n/a","n/a",IF(AK$3&gt;(A4taxstdlife+$E527),(('PTRM input'!$M$146+'PTRM input'!$M$112)*$M$7)-SUM($M527:AJ527),(('PTRM input'!$M$146+'PTRM input'!$M$112)*$M$7)/A4taxstdlife))</f>
        <v>0</v>
      </c>
      <c r="AL527" s="107">
        <f>IF(A4taxstdlife="n/a","n/a",IF(AL$3&gt;(A4taxstdlife+$E527),(('PTRM input'!$M$146+'PTRM input'!$M$112)*$M$7)-SUM($M527:AK527),(('PTRM input'!$M$146+'PTRM input'!$M$112)*$M$7)/A4taxstdlife))</f>
        <v>0</v>
      </c>
      <c r="AM527" s="107">
        <f>IF(A4taxstdlife="n/a","n/a",IF(AM$3&gt;(A4taxstdlife+$E527),(('PTRM input'!$M$146+'PTRM input'!$M$112)*$M$7)-SUM($M527:AL527),(('PTRM input'!$M$146+'PTRM input'!$M$112)*$M$7)/A4taxstdlife))</f>
        <v>0</v>
      </c>
      <c r="AN527" s="107">
        <f>IF(A4taxstdlife="n/a","n/a",IF(AN$3&gt;(A4taxstdlife+$E527),(('PTRM input'!$M$146+'PTRM input'!$M$112)*$M$7)-SUM($M527:AM527),(('PTRM input'!$M$146+'PTRM input'!$M$112)*$M$7)/A4taxstdlife))</f>
        <v>0</v>
      </c>
      <c r="AO527" s="107">
        <f>IF(A4taxstdlife="n/a","n/a",IF(AO$3&gt;(A4taxstdlife+$E527),(('PTRM input'!$M$146+'PTRM input'!$M$112)*$M$7)-SUM($M527:AN527),(('PTRM input'!$M$146+'PTRM input'!$M$112)*$M$7)/A4taxstdlife))</f>
        <v>0</v>
      </c>
      <c r="AP527" s="107">
        <f>IF(A4taxstdlife="n/a","n/a",IF(AP$3&gt;(A4taxstdlife+$E527),(('PTRM input'!$M$146+'PTRM input'!$M$112)*$M$7)-SUM($M527:AO527),(('PTRM input'!$M$146+'PTRM input'!$M$112)*$M$7)/A4taxstdlife))</f>
        <v>0</v>
      </c>
      <c r="AQ527" s="107">
        <f>IF(A4taxstdlife="n/a","n/a",IF(AQ$3&gt;(A4taxstdlife+$E527),(('PTRM input'!$M$146+'PTRM input'!$M$112)*$M$7)-SUM($M527:AP527),(('PTRM input'!$M$146+'PTRM input'!$M$112)*$M$7)/A4taxstdlife))</f>
        <v>0</v>
      </c>
      <c r="AR527" s="107">
        <f>IF(A4taxstdlife="n/a","n/a",IF(AR$3&gt;(A4taxstdlife+$E527),(('PTRM input'!$M$146+'PTRM input'!$M$112)*$M$7)-SUM($M527:AQ527),(('PTRM input'!$M$146+'PTRM input'!$M$112)*$M$7)/A4taxstdlife))</f>
        <v>0</v>
      </c>
      <c r="AS527" s="107">
        <f>IF(A4taxstdlife="n/a","n/a",IF(AS$3&gt;(A4taxstdlife+$E527),(('PTRM input'!$M$146+'PTRM input'!$M$112)*$M$7)-SUM($M527:AR527),(('PTRM input'!$M$146+'PTRM input'!$M$112)*$M$7)/A4taxstdlife))</f>
        <v>0</v>
      </c>
      <c r="AT527" s="107">
        <f>IF(A4taxstdlife="n/a","n/a",IF(AT$3&gt;(A4taxstdlife+$E527),(('PTRM input'!$M$146+'PTRM input'!$M$112)*$M$7)-SUM($M527:AS527),(('PTRM input'!$M$146+'PTRM input'!$M$112)*$M$7)/A4taxstdlife))</f>
        <v>0</v>
      </c>
      <c r="AU527" s="107">
        <f>IF(A4taxstdlife="n/a","n/a",IF(AU$3&gt;(A4taxstdlife+$E527),(('PTRM input'!$M$146+'PTRM input'!$M$112)*$M$7)-SUM($M527:AT527),(('PTRM input'!$M$146+'PTRM input'!$M$112)*$M$7)/A4taxstdlife))</f>
        <v>0</v>
      </c>
      <c r="AV527" s="107">
        <f>IF(A4taxstdlife="n/a","n/a",IF(AV$3&gt;(A4taxstdlife+$E527),(('PTRM input'!$M$146+'PTRM input'!$M$112)*$M$7)-SUM($M527:AU527),(('PTRM input'!$M$146+'PTRM input'!$M$112)*$M$7)/A4taxstdlife))</f>
        <v>0</v>
      </c>
      <c r="AW527" s="107">
        <f>IF(A4taxstdlife="n/a","n/a",IF(AW$3&gt;(A4taxstdlife+$E527),(('PTRM input'!$M$146+'PTRM input'!$M$112)*$M$7)-SUM($M527:AV527),(('PTRM input'!$M$146+'PTRM input'!$M$112)*$M$7)/A4taxstdlife))</f>
        <v>0</v>
      </c>
      <c r="AX527" s="107">
        <f>IF(A4taxstdlife="n/a","n/a",IF(AX$3&gt;(A4taxstdlife+$E527),(('PTRM input'!$M$146+'PTRM input'!$M$112)*$M$7)-SUM($M527:AW527),(('PTRM input'!$M$146+'PTRM input'!$M$112)*$M$7)/A4taxstdlife))</f>
        <v>0</v>
      </c>
      <c r="AY527" s="107">
        <f>IF(A4taxstdlife="n/a","n/a",IF(AY$3&gt;(A4taxstdlife+$E527),(('PTRM input'!$M$146+'PTRM input'!$M$112)*$M$7)-SUM($M527:AX527),(('PTRM input'!$M$146+'PTRM input'!$M$112)*$M$7)/A4taxstdlife))</f>
        <v>0</v>
      </c>
      <c r="AZ527" s="107">
        <f>IF(A4taxstdlife="n/a","n/a",IF(AZ$3&gt;(A4taxstdlife+$E527),(('PTRM input'!$M$146+'PTRM input'!$M$112)*$M$7)-SUM($M527:AY527),(('PTRM input'!$M$146+'PTRM input'!$M$112)*$M$7)/A4taxstdlife))</f>
        <v>0</v>
      </c>
      <c r="BA527" s="107">
        <f>IF(A4taxstdlife="n/a","n/a",IF(BA$3&gt;(A4taxstdlife+$E527),(('PTRM input'!$M$146+'PTRM input'!$M$112)*$M$7)-SUM($M527:AZ527),(('PTRM input'!$M$146+'PTRM input'!$M$112)*$M$7)/A4taxstdlife))</f>
        <v>0</v>
      </c>
      <c r="BB527" s="107">
        <f>IF(A4taxstdlife="n/a","n/a",IF(BB$3&gt;(A4taxstdlife+$E527),(('PTRM input'!$M$146+'PTRM input'!$M$112)*$M$7)-SUM($M527:BA527),(('PTRM input'!$M$146+'PTRM input'!$M$112)*$M$7)/A4taxstdlife))</f>
        <v>0</v>
      </c>
      <c r="BC527" s="107">
        <f>IF(A4taxstdlife="n/a","n/a",IF(BC$3&gt;(A4taxstdlife+$E527),(('PTRM input'!$M$146+'PTRM input'!$M$112)*$M$7)-SUM($M527:BB527),(('PTRM input'!$M$146+'PTRM input'!$M$112)*$M$7)/A4taxstdlife))</f>
        <v>0</v>
      </c>
      <c r="BD527" s="107">
        <f>IF(A4taxstdlife="n/a","n/a",IF(BD$3&gt;(A4taxstdlife+$E527),(('PTRM input'!$M$146+'PTRM input'!$M$112)*$M$7)-SUM($M527:BC527),(('PTRM input'!$M$146+'PTRM input'!$M$112)*$M$7)/A4taxstdlife))</f>
        <v>0</v>
      </c>
      <c r="BE527" s="107">
        <f>IF(A4taxstdlife="n/a","n/a",IF(BE$3&gt;(A4taxstdlife+$E527),(('PTRM input'!$M$146+'PTRM input'!$M$112)*$M$7)-SUM($M527:BD527),(('PTRM input'!$M$146+'PTRM input'!$M$112)*$M$7)/A4taxstdlife))</f>
        <v>0</v>
      </c>
      <c r="BF527" s="107">
        <f>IF(A4taxstdlife="n/a","n/a",IF(BF$3&gt;(A4taxstdlife+$E527),(('PTRM input'!$M$146+'PTRM input'!$M$112)*$M$7)-SUM($M527:BE527),(('PTRM input'!$M$146+'PTRM input'!$M$112)*$M$7)/A4taxstdlife))</f>
        <v>0</v>
      </c>
      <c r="BG527" s="107">
        <f>IF(A4taxstdlife="n/a","n/a",IF(BG$3&gt;(A4taxstdlife+$E527),(('PTRM input'!$M$146+'PTRM input'!$M$112)*$M$7)-SUM($M527:BF527),(('PTRM input'!$M$146+'PTRM input'!$M$112)*$M$7)/A4taxstdlife))</f>
        <v>0</v>
      </c>
      <c r="BH527" s="107">
        <f>IF(A4taxstdlife="n/a","n/a",IF(BH$3&gt;(A4taxstdlife+$E527),(('PTRM input'!$M$146+'PTRM input'!$M$112)*$M$7)-SUM($M527:BG527),(('PTRM input'!$M$146+'PTRM input'!$M$112)*$M$7)/A4taxstdlife))</f>
        <v>0</v>
      </c>
      <c r="BI527" s="107">
        <f>IF(A4taxstdlife="n/a","n/a",IF(BI$3&gt;(A4taxstdlife+$E527),(('PTRM input'!$M$146+'PTRM input'!$M$112)*$M$7)-SUM($M527:BH527),(('PTRM input'!$M$146+'PTRM input'!$M$112)*$M$7)/A4taxstdlife))</f>
        <v>0</v>
      </c>
      <c r="BJ527" s="18"/>
      <c r="BK527" s="18"/>
      <c r="BL527" s="18"/>
      <c r="BM527" s="18"/>
    </row>
    <row r="528" spans="1:65" s="4" customFormat="1" hidden="1" outlineLevel="2">
      <c r="A528" s="18"/>
      <c r="B528" s="18"/>
      <c r="C528" s="33"/>
      <c r="D528" s="1618"/>
      <c r="E528" s="169">
        <v>8</v>
      </c>
      <c r="F528" s="35"/>
      <c r="G528" s="184"/>
      <c r="H528" s="186"/>
      <c r="I528" s="186"/>
      <c r="J528" s="186"/>
      <c r="K528" s="186"/>
      <c r="L528" s="186"/>
      <c r="M528" s="186"/>
      <c r="N528" s="185"/>
      <c r="O528" s="107">
        <f>IF(A4taxstdlife="n/a","n/a",IF(O$3&gt;(A4taxstdlife+$E528),(('PTRM input'!$N$146+'PTRM input'!$N$112)*$N$7)-SUM($N528:N528),(('PTRM input'!$N$146+'PTRM input'!$N$112)*$N$7)/A4taxstdlife))</f>
        <v>0</v>
      </c>
      <c r="P528" s="107">
        <f>IF(A4taxstdlife="n/a","n/a",IF(P$3&gt;(A4taxstdlife+$E528),(('PTRM input'!$N$146+'PTRM input'!$N$112)*$N$7)-SUM($N528:O528),(('PTRM input'!$N$146+'PTRM input'!$N$112)*$N$7)/A4taxstdlife))</f>
        <v>0</v>
      </c>
      <c r="Q528" s="107">
        <f>IF(A4taxstdlife="n/a","n/a",IF(Q$3&gt;(A4taxstdlife+$E528),(('PTRM input'!$N$146+'PTRM input'!$N$112)*$N$7)-SUM($N528:P528),(('PTRM input'!$N$146+'PTRM input'!$N$112)*$N$7)/A4taxstdlife))</f>
        <v>0</v>
      </c>
      <c r="R528" s="107">
        <f>IF(A4taxstdlife="n/a","n/a",IF(R$3&gt;(A4taxstdlife+$E528),(('PTRM input'!$N$146+'PTRM input'!$N$112)*$N$7)-SUM($N528:Q528),(('PTRM input'!$N$146+'PTRM input'!$N$112)*$N$7)/A4taxstdlife))</f>
        <v>0</v>
      </c>
      <c r="S528" s="107">
        <f>IF(A4taxstdlife="n/a","n/a",IF(S$3&gt;(A4taxstdlife+$E528),(('PTRM input'!$N$146+'PTRM input'!$N$112)*$N$7)-SUM($N528:R528),(('PTRM input'!$N$146+'PTRM input'!$N$112)*$N$7)/A4taxstdlife))</f>
        <v>0</v>
      </c>
      <c r="T528" s="107">
        <f>IF(A4taxstdlife="n/a","n/a",IF(T$3&gt;(A4taxstdlife+$E528),(('PTRM input'!$N$146+'PTRM input'!$N$112)*$N$7)-SUM($N528:S528),(('PTRM input'!$N$146+'PTRM input'!$N$112)*$N$7)/A4taxstdlife))</f>
        <v>0</v>
      </c>
      <c r="U528" s="107">
        <f>IF(A4taxstdlife="n/a","n/a",IF(U$3&gt;(A4taxstdlife+$E528),(('PTRM input'!$N$146+'PTRM input'!$N$112)*$N$7)-SUM($N528:T528),(('PTRM input'!$N$146+'PTRM input'!$N$112)*$N$7)/A4taxstdlife))</f>
        <v>0</v>
      </c>
      <c r="V528" s="107">
        <f>IF(A4taxstdlife="n/a","n/a",IF(V$3&gt;(A4taxstdlife+$E528),(('PTRM input'!$N$146+'PTRM input'!$N$112)*$N$7)-SUM($N528:U528),(('PTRM input'!$N$146+'PTRM input'!$N$112)*$N$7)/A4taxstdlife))</f>
        <v>0</v>
      </c>
      <c r="W528" s="107">
        <f>IF(A4taxstdlife="n/a","n/a",IF(W$3&gt;(A4taxstdlife+$E528),(('PTRM input'!$N$146+'PTRM input'!$N$112)*$N$7)-SUM($N528:V528),(('PTRM input'!$N$146+'PTRM input'!$N$112)*$N$7)/A4taxstdlife))</f>
        <v>0</v>
      </c>
      <c r="X528" s="107">
        <f>IF(A4taxstdlife="n/a","n/a",IF(X$3&gt;(A4taxstdlife+$E528),(('PTRM input'!$N$146+'PTRM input'!$N$112)*$N$7)-SUM($N528:W528),(('PTRM input'!$N$146+'PTRM input'!$N$112)*$N$7)/A4taxstdlife))</f>
        <v>0</v>
      </c>
      <c r="Y528" s="107">
        <f>IF(A4taxstdlife="n/a","n/a",IF(Y$3&gt;(A4taxstdlife+$E528),(('PTRM input'!$N$146+'PTRM input'!$N$112)*$N$7)-SUM($N528:X528),(('PTRM input'!$N$146+'PTRM input'!$N$112)*$N$7)/A4taxstdlife))</f>
        <v>0</v>
      </c>
      <c r="Z528" s="107">
        <f>IF(A4taxstdlife="n/a","n/a",IF(Z$3&gt;(A4taxstdlife+$E528),(('PTRM input'!$N$146+'PTRM input'!$N$112)*$N$7)-SUM($N528:Y528),(('PTRM input'!$N$146+'PTRM input'!$N$112)*$N$7)/A4taxstdlife))</f>
        <v>0</v>
      </c>
      <c r="AA528" s="107">
        <f>IF(A4taxstdlife="n/a","n/a",IF(AA$3&gt;(A4taxstdlife+$E528),(('PTRM input'!$N$146+'PTRM input'!$N$112)*$N$7)-SUM($N528:Z528),(('PTRM input'!$N$146+'PTRM input'!$N$112)*$N$7)/A4taxstdlife))</f>
        <v>0</v>
      </c>
      <c r="AB528" s="107">
        <f>IF(A4taxstdlife="n/a","n/a",IF(AB$3&gt;(A4taxstdlife+$E528),(('PTRM input'!$N$146+'PTRM input'!$N$112)*$N$7)-SUM($N528:AA528),(('PTRM input'!$N$146+'PTRM input'!$N$112)*$N$7)/A4taxstdlife))</f>
        <v>0</v>
      </c>
      <c r="AC528" s="107">
        <f>IF(A4taxstdlife="n/a","n/a",IF(AC$3&gt;(A4taxstdlife+$E528),(('PTRM input'!$N$146+'PTRM input'!$N$112)*$N$7)-SUM($N528:AB528),(('PTRM input'!$N$146+'PTRM input'!$N$112)*$N$7)/A4taxstdlife))</f>
        <v>0</v>
      </c>
      <c r="AD528" s="107">
        <f>IF(A4taxstdlife="n/a","n/a",IF(AD$3&gt;(A4taxstdlife+$E528),(('PTRM input'!$N$146+'PTRM input'!$N$112)*$N$7)-SUM($N528:AC528),(('PTRM input'!$N$146+'PTRM input'!$N$112)*$N$7)/A4taxstdlife))</f>
        <v>0</v>
      </c>
      <c r="AE528" s="107">
        <f>IF(A4taxstdlife="n/a","n/a",IF(AE$3&gt;(A4taxstdlife+$E528),(('PTRM input'!$N$146+'PTRM input'!$N$112)*$N$7)-SUM($N528:AD528),(('PTRM input'!$N$146+'PTRM input'!$N$112)*$N$7)/A4taxstdlife))</f>
        <v>0</v>
      </c>
      <c r="AF528" s="107">
        <f>IF(A4taxstdlife="n/a","n/a",IF(AF$3&gt;(A4taxstdlife+$E528),(('PTRM input'!$N$146+'PTRM input'!$N$112)*$N$7)-SUM($N528:AE528),(('PTRM input'!$N$146+'PTRM input'!$N$112)*$N$7)/A4taxstdlife))</f>
        <v>0</v>
      </c>
      <c r="AG528" s="107">
        <f>IF(A4taxstdlife="n/a","n/a",IF(AG$3&gt;(A4taxstdlife+$E528),(('PTRM input'!$N$146+'PTRM input'!$N$112)*$N$7)-SUM($N528:AF528),(('PTRM input'!$N$146+'PTRM input'!$N$112)*$N$7)/A4taxstdlife))</f>
        <v>0</v>
      </c>
      <c r="AH528" s="107">
        <f>IF(A4taxstdlife="n/a","n/a",IF(AH$3&gt;(A4taxstdlife+$E528),(('PTRM input'!$N$146+'PTRM input'!$N$112)*$N$7)-SUM($N528:AG528),(('PTRM input'!$N$146+'PTRM input'!$N$112)*$N$7)/A4taxstdlife))</f>
        <v>0</v>
      </c>
      <c r="AI528" s="107">
        <f>IF(A4taxstdlife="n/a","n/a",IF(AI$3&gt;(A4taxstdlife+$E528),(('PTRM input'!$N$146+'PTRM input'!$N$112)*$N$7)-SUM($N528:AH528),(('PTRM input'!$N$146+'PTRM input'!$N$112)*$N$7)/A4taxstdlife))</f>
        <v>0</v>
      </c>
      <c r="AJ528" s="107">
        <f>IF(A4taxstdlife="n/a","n/a",IF(AJ$3&gt;(A4taxstdlife+$E528),(('PTRM input'!$N$146+'PTRM input'!$N$112)*$N$7)-SUM($N528:AI528),(('PTRM input'!$N$146+'PTRM input'!$N$112)*$N$7)/A4taxstdlife))</f>
        <v>0</v>
      </c>
      <c r="AK528" s="107">
        <f>IF(A4taxstdlife="n/a","n/a",IF(AK$3&gt;(A4taxstdlife+$E528),(('PTRM input'!$N$146+'PTRM input'!$N$112)*$N$7)-SUM($N528:AJ528),(('PTRM input'!$N$146+'PTRM input'!$N$112)*$N$7)/A4taxstdlife))</f>
        <v>0</v>
      </c>
      <c r="AL528" s="107">
        <f>IF(A4taxstdlife="n/a","n/a",IF(AL$3&gt;(A4taxstdlife+$E528),(('PTRM input'!$N$146+'PTRM input'!$N$112)*$N$7)-SUM($N528:AK528),(('PTRM input'!$N$146+'PTRM input'!$N$112)*$N$7)/A4taxstdlife))</f>
        <v>0</v>
      </c>
      <c r="AM528" s="107">
        <f>IF(A4taxstdlife="n/a","n/a",IF(AM$3&gt;(A4taxstdlife+$E528),(('PTRM input'!$N$146+'PTRM input'!$N$112)*$N$7)-SUM($N528:AL528),(('PTRM input'!$N$146+'PTRM input'!$N$112)*$N$7)/A4taxstdlife))</f>
        <v>0</v>
      </c>
      <c r="AN528" s="107">
        <f>IF(A4taxstdlife="n/a","n/a",IF(AN$3&gt;(A4taxstdlife+$E528),(('PTRM input'!$N$146+'PTRM input'!$N$112)*$N$7)-SUM($N528:AM528),(('PTRM input'!$N$146+'PTRM input'!$N$112)*$N$7)/A4taxstdlife))</f>
        <v>0</v>
      </c>
      <c r="AO528" s="107">
        <f>IF(A4taxstdlife="n/a","n/a",IF(AO$3&gt;(A4taxstdlife+$E528),(('PTRM input'!$N$146+'PTRM input'!$N$112)*$N$7)-SUM($N528:AN528),(('PTRM input'!$N$146+'PTRM input'!$N$112)*$N$7)/A4taxstdlife))</f>
        <v>0</v>
      </c>
      <c r="AP528" s="107">
        <f>IF(A4taxstdlife="n/a","n/a",IF(AP$3&gt;(A4taxstdlife+$E528),(('PTRM input'!$N$146+'PTRM input'!$N$112)*$N$7)-SUM($N528:AO528),(('PTRM input'!$N$146+'PTRM input'!$N$112)*$N$7)/A4taxstdlife))</f>
        <v>0</v>
      </c>
      <c r="AQ528" s="107">
        <f>IF(A4taxstdlife="n/a","n/a",IF(AQ$3&gt;(A4taxstdlife+$E528),(('PTRM input'!$N$146+'PTRM input'!$N$112)*$N$7)-SUM($N528:AP528),(('PTRM input'!$N$146+'PTRM input'!$N$112)*$N$7)/A4taxstdlife))</f>
        <v>0</v>
      </c>
      <c r="AR528" s="107">
        <f>IF(A4taxstdlife="n/a","n/a",IF(AR$3&gt;(A4taxstdlife+$E528),(('PTRM input'!$N$146+'PTRM input'!$N$112)*$N$7)-SUM($N528:AQ528),(('PTRM input'!$N$146+'PTRM input'!$N$112)*$N$7)/A4taxstdlife))</f>
        <v>0</v>
      </c>
      <c r="AS528" s="107">
        <f>IF(A4taxstdlife="n/a","n/a",IF(AS$3&gt;(A4taxstdlife+$E528),(('PTRM input'!$N$146+'PTRM input'!$N$112)*$N$7)-SUM($N528:AR528),(('PTRM input'!$N$146+'PTRM input'!$N$112)*$N$7)/A4taxstdlife))</f>
        <v>0</v>
      </c>
      <c r="AT528" s="107">
        <f>IF(A4taxstdlife="n/a","n/a",IF(AT$3&gt;(A4taxstdlife+$E528),(('PTRM input'!$N$146+'PTRM input'!$N$112)*$N$7)-SUM($N528:AS528),(('PTRM input'!$N$146+'PTRM input'!$N$112)*$N$7)/A4taxstdlife))</f>
        <v>0</v>
      </c>
      <c r="AU528" s="107">
        <f>IF(A4taxstdlife="n/a","n/a",IF(AU$3&gt;(A4taxstdlife+$E528),(('PTRM input'!$N$146+'PTRM input'!$N$112)*$N$7)-SUM($N528:AT528),(('PTRM input'!$N$146+'PTRM input'!$N$112)*$N$7)/A4taxstdlife))</f>
        <v>0</v>
      </c>
      <c r="AV528" s="107">
        <f>IF(A4taxstdlife="n/a","n/a",IF(AV$3&gt;(A4taxstdlife+$E528),(('PTRM input'!$N$146+'PTRM input'!$N$112)*$N$7)-SUM($N528:AU528),(('PTRM input'!$N$146+'PTRM input'!$N$112)*$N$7)/A4taxstdlife))</f>
        <v>0</v>
      </c>
      <c r="AW528" s="107">
        <f>IF(A4taxstdlife="n/a","n/a",IF(AW$3&gt;(A4taxstdlife+$E528),(('PTRM input'!$N$146+'PTRM input'!$N$112)*$N$7)-SUM($N528:AV528),(('PTRM input'!$N$146+'PTRM input'!$N$112)*$N$7)/A4taxstdlife))</f>
        <v>0</v>
      </c>
      <c r="AX528" s="107">
        <f>IF(A4taxstdlife="n/a","n/a",IF(AX$3&gt;(A4taxstdlife+$E528),(('PTRM input'!$N$146+'PTRM input'!$N$112)*$N$7)-SUM($N528:AW528),(('PTRM input'!$N$146+'PTRM input'!$N$112)*$N$7)/A4taxstdlife))</f>
        <v>0</v>
      </c>
      <c r="AY528" s="107">
        <f>IF(A4taxstdlife="n/a","n/a",IF(AY$3&gt;(A4taxstdlife+$E528),(('PTRM input'!$N$146+'PTRM input'!$N$112)*$N$7)-SUM($N528:AX528),(('PTRM input'!$N$146+'PTRM input'!$N$112)*$N$7)/A4taxstdlife))</f>
        <v>0</v>
      </c>
      <c r="AZ528" s="107">
        <f>IF(A4taxstdlife="n/a","n/a",IF(AZ$3&gt;(A4taxstdlife+$E528),(('PTRM input'!$N$146+'PTRM input'!$N$112)*$N$7)-SUM($N528:AY528),(('PTRM input'!$N$146+'PTRM input'!$N$112)*$N$7)/A4taxstdlife))</f>
        <v>0</v>
      </c>
      <c r="BA528" s="107">
        <f>IF(A4taxstdlife="n/a","n/a",IF(BA$3&gt;(A4taxstdlife+$E528),(('PTRM input'!$N$146+'PTRM input'!$N$112)*$N$7)-SUM($N528:AZ528),(('PTRM input'!$N$146+'PTRM input'!$N$112)*$N$7)/A4taxstdlife))</f>
        <v>0</v>
      </c>
      <c r="BB528" s="107">
        <f>IF(A4taxstdlife="n/a","n/a",IF(BB$3&gt;(A4taxstdlife+$E528),(('PTRM input'!$N$146+'PTRM input'!$N$112)*$N$7)-SUM($N528:BA528),(('PTRM input'!$N$146+'PTRM input'!$N$112)*$N$7)/A4taxstdlife))</f>
        <v>0</v>
      </c>
      <c r="BC528" s="107">
        <f>IF(A4taxstdlife="n/a","n/a",IF(BC$3&gt;(A4taxstdlife+$E528),(('PTRM input'!$N$146+'PTRM input'!$N$112)*$N$7)-SUM($N528:BB528),(('PTRM input'!$N$146+'PTRM input'!$N$112)*$N$7)/A4taxstdlife))</f>
        <v>0</v>
      </c>
      <c r="BD528" s="107">
        <f>IF(A4taxstdlife="n/a","n/a",IF(BD$3&gt;(A4taxstdlife+$E528),(('PTRM input'!$N$146+'PTRM input'!$N$112)*$N$7)-SUM($N528:BC528),(('PTRM input'!$N$146+'PTRM input'!$N$112)*$N$7)/A4taxstdlife))</f>
        <v>0</v>
      </c>
      <c r="BE528" s="107">
        <f>IF(A4taxstdlife="n/a","n/a",IF(BE$3&gt;(A4taxstdlife+$E528),(('PTRM input'!$N$146+'PTRM input'!$N$112)*$N$7)-SUM($N528:BD528),(('PTRM input'!$N$146+'PTRM input'!$N$112)*$N$7)/A4taxstdlife))</f>
        <v>0</v>
      </c>
      <c r="BF528" s="107">
        <f>IF(A4taxstdlife="n/a","n/a",IF(BF$3&gt;(A4taxstdlife+$E528),(('PTRM input'!$N$146+'PTRM input'!$N$112)*$N$7)-SUM($N528:BE528),(('PTRM input'!$N$146+'PTRM input'!$N$112)*$N$7)/A4taxstdlife))</f>
        <v>0</v>
      </c>
      <c r="BG528" s="107">
        <f>IF(A4taxstdlife="n/a","n/a",IF(BG$3&gt;(A4taxstdlife+$E528),(('PTRM input'!$N$146+'PTRM input'!$N$112)*$N$7)-SUM($N528:BF528),(('PTRM input'!$N$146+'PTRM input'!$N$112)*$N$7)/A4taxstdlife))</f>
        <v>0</v>
      </c>
      <c r="BH528" s="107">
        <f>IF(A4taxstdlife="n/a","n/a",IF(BH$3&gt;(A4taxstdlife+$E528),(('PTRM input'!$N$146+'PTRM input'!$N$112)*$N$7)-SUM($N528:BG528),(('PTRM input'!$N$146+'PTRM input'!$N$112)*$N$7)/A4taxstdlife))</f>
        <v>0</v>
      </c>
      <c r="BI528" s="107">
        <f>IF(A4taxstdlife="n/a","n/a",IF(BI$3&gt;(A4taxstdlife+$E528),(('PTRM input'!$N$146+'PTRM input'!$N$112)*$N$7)-SUM($N528:BH528),(('PTRM input'!$N$146+'PTRM input'!$N$112)*$N$7)/A4taxstdlife))</f>
        <v>0</v>
      </c>
      <c r="BJ528" s="18"/>
      <c r="BK528" s="18"/>
      <c r="BL528" s="18"/>
      <c r="BM528" s="18"/>
    </row>
    <row r="529" spans="1:65" s="4" customFormat="1" hidden="1" outlineLevel="2">
      <c r="A529" s="18"/>
      <c r="B529" s="18"/>
      <c r="C529" s="33"/>
      <c r="D529" s="1618"/>
      <c r="E529" s="169">
        <v>9</v>
      </c>
      <c r="F529" s="35"/>
      <c r="G529" s="184"/>
      <c r="H529" s="186"/>
      <c r="I529" s="186"/>
      <c r="J529" s="186"/>
      <c r="K529" s="186"/>
      <c r="L529" s="186"/>
      <c r="M529" s="186"/>
      <c r="N529" s="186"/>
      <c r="O529" s="185"/>
      <c r="P529" s="107">
        <f>IF(A4taxstdlife="n/a","n/a",IF(P$3&gt;(A4taxstdlife+$E529),(('PTRM input'!$O$146+'PTRM input'!$O$112)*$O$7)-SUM($O529:O529),(('PTRM input'!$O$146+'PTRM input'!$O$112)*$O$7)/A4taxstdlife))</f>
        <v>0</v>
      </c>
      <c r="Q529" s="107">
        <f>IF(A4taxstdlife="n/a","n/a",IF(Q$3&gt;(A4taxstdlife+$E529),(('PTRM input'!$O$146+'PTRM input'!$O$112)*$O$7)-SUM($O529:P529),(('PTRM input'!$O$146+'PTRM input'!$O$112)*$O$7)/A4taxstdlife))</f>
        <v>0</v>
      </c>
      <c r="R529" s="107">
        <f>IF(A4taxstdlife="n/a","n/a",IF(R$3&gt;(A4taxstdlife+$E529),(('PTRM input'!$O$146+'PTRM input'!$O$112)*$O$7)-SUM($O529:Q529),(('PTRM input'!$O$146+'PTRM input'!$O$112)*$O$7)/A4taxstdlife))</f>
        <v>0</v>
      </c>
      <c r="S529" s="107">
        <f>IF(A4taxstdlife="n/a","n/a",IF(S$3&gt;(A4taxstdlife+$E529),(('PTRM input'!$O$146+'PTRM input'!$O$112)*$O$7)-SUM($O529:R529),(('PTRM input'!$O$146+'PTRM input'!$O$112)*$O$7)/A4taxstdlife))</f>
        <v>0</v>
      </c>
      <c r="T529" s="107">
        <f>IF(A4taxstdlife="n/a","n/a",IF(T$3&gt;(A4taxstdlife+$E529),(('PTRM input'!$O$146+'PTRM input'!$O$112)*$O$7)-SUM($O529:S529),(('PTRM input'!$O$146+'PTRM input'!$O$112)*$O$7)/A4taxstdlife))</f>
        <v>0</v>
      </c>
      <c r="U529" s="107">
        <f>IF(A4taxstdlife="n/a","n/a",IF(U$3&gt;(A4taxstdlife+$E529),(('PTRM input'!$O$146+'PTRM input'!$O$112)*$O$7)-SUM($O529:T529),(('PTRM input'!$O$146+'PTRM input'!$O$112)*$O$7)/A4taxstdlife))</f>
        <v>0</v>
      </c>
      <c r="V529" s="107">
        <f>IF(A4taxstdlife="n/a","n/a",IF(V$3&gt;(A4taxstdlife+$E529),(('PTRM input'!$O$146+'PTRM input'!$O$112)*$O$7)-SUM($O529:U529),(('PTRM input'!$O$146+'PTRM input'!$O$112)*$O$7)/A4taxstdlife))</f>
        <v>0</v>
      </c>
      <c r="W529" s="107">
        <f>IF(A4taxstdlife="n/a","n/a",IF(W$3&gt;(A4taxstdlife+$E529),(('PTRM input'!$O$146+'PTRM input'!$O$112)*$O$7)-SUM($O529:V529),(('PTRM input'!$O$146+'PTRM input'!$O$112)*$O$7)/A4taxstdlife))</f>
        <v>0</v>
      </c>
      <c r="X529" s="107">
        <f>IF(A4taxstdlife="n/a","n/a",IF(X$3&gt;(A4taxstdlife+$E529),(('PTRM input'!$O$146+'PTRM input'!$O$112)*$O$7)-SUM($O529:W529),(('PTRM input'!$O$146+'PTRM input'!$O$112)*$O$7)/A4taxstdlife))</f>
        <v>0</v>
      </c>
      <c r="Y529" s="107">
        <f>IF(A4taxstdlife="n/a","n/a",IF(Y$3&gt;(A4taxstdlife+$E529),(('PTRM input'!$O$146+'PTRM input'!$O$112)*$O$7)-SUM($O529:X529),(('PTRM input'!$O$146+'PTRM input'!$O$112)*$O$7)/A4taxstdlife))</f>
        <v>0</v>
      </c>
      <c r="Z529" s="107">
        <f>IF(A4taxstdlife="n/a","n/a",IF(Z$3&gt;(A4taxstdlife+$E529),(('PTRM input'!$O$146+'PTRM input'!$O$112)*$O$7)-SUM($O529:Y529),(('PTRM input'!$O$146+'PTRM input'!$O$112)*$O$7)/A4taxstdlife))</f>
        <v>0</v>
      </c>
      <c r="AA529" s="107">
        <f>IF(A4taxstdlife="n/a","n/a",IF(AA$3&gt;(A4taxstdlife+$E529),(('PTRM input'!$O$146+'PTRM input'!$O$112)*$O$7)-SUM($O529:Z529),(('PTRM input'!$O$146+'PTRM input'!$O$112)*$O$7)/A4taxstdlife))</f>
        <v>0</v>
      </c>
      <c r="AB529" s="107">
        <f>IF(A4taxstdlife="n/a","n/a",IF(AB$3&gt;(A4taxstdlife+$E529),(('PTRM input'!$O$146+'PTRM input'!$O$112)*$O$7)-SUM($O529:AA529),(('PTRM input'!$O$146+'PTRM input'!$O$112)*$O$7)/A4taxstdlife))</f>
        <v>0</v>
      </c>
      <c r="AC529" s="107">
        <f>IF(A4taxstdlife="n/a","n/a",IF(AC$3&gt;(A4taxstdlife+$E529),(('PTRM input'!$O$146+'PTRM input'!$O$112)*$O$7)-SUM($O529:AB529),(('PTRM input'!$O$146+'PTRM input'!$O$112)*$O$7)/A4taxstdlife))</f>
        <v>0</v>
      </c>
      <c r="AD529" s="107">
        <f>IF(A4taxstdlife="n/a","n/a",IF(AD$3&gt;(A4taxstdlife+$E529),(('PTRM input'!$O$146+'PTRM input'!$O$112)*$O$7)-SUM($O529:AC529),(('PTRM input'!$O$146+'PTRM input'!$O$112)*$O$7)/A4taxstdlife))</f>
        <v>0</v>
      </c>
      <c r="AE529" s="107">
        <f>IF(A4taxstdlife="n/a","n/a",IF(AE$3&gt;(A4taxstdlife+$E529),(('PTRM input'!$O$146+'PTRM input'!$O$112)*$O$7)-SUM($O529:AD529),(('PTRM input'!$O$146+'PTRM input'!$O$112)*$O$7)/A4taxstdlife))</f>
        <v>0</v>
      </c>
      <c r="AF529" s="107">
        <f>IF(A4taxstdlife="n/a","n/a",IF(AF$3&gt;(A4taxstdlife+$E529),(('PTRM input'!$O$146+'PTRM input'!$O$112)*$O$7)-SUM($O529:AE529),(('PTRM input'!$O$146+'PTRM input'!$O$112)*$O$7)/A4taxstdlife))</f>
        <v>0</v>
      </c>
      <c r="AG529" s="107">
        <f>IF(A4taxstdlife="n/a","n/a",IF(AG$3&gt;(A4taxstdlife+$E529),(('PTRM input'!$O$146+'PTRM input'!$O$112)*$O$7)-SUM($O529:AF529),(('PTRM input'!$O$146+'PTRM input'!$O$112)*$O$7)/A4taxstdlife))</f>
        <v>0</v>
      </c>
      <c r="AH529" s="107">
        <f>IF(A4taxstdlife="n/a","n/a",IF(AH$3&gt;(A4taxstdlife+$E529),(('PTRM input'!$O$146+'PTRM input'!$O$112)*$O$7)-SUM($O529:AG529),(('PTRM input'!$O$146+'PTRM input'!$O$112)*$O$7)/A4taxstdlife))</f>
        <v>0</v>
      </c>
      <c r="AI529" s="107">
        <f>IF(A4taxstdlife="n/a","n/a",IF(AI$3&gt;(A4taxstdlife+$E529),(('PTRM input'!$O$146+'PTRM input'!$O$112)*$O$7)-SUM($O529:AH529),(('PTRM input'!$O$146+'PTRM input'!$O$112)*$O$7)/A4taxstdlife))</f>
        <v>0</v>
      </c>
      <c r="AJ529" s="107">
        <f>IF(A4taxstdlife="n/a","n/a",IF(AJ$3&gt;(A4taxstdlife+$E529),(('PTRM input'!$O$146+'PTRM input'!$O$112)*$O$7)-SUM($O529:AI529),(('PTRM input'!$O$146+'PTRM input'!$O$112)*$O$7)/A4taxstdlife))</f>
        <v>0</v>
      </c>
      <c r="AK529" s="107">
        <f>IF(A4taxstdlife="n/a","n/a",IF(AK$3&gt;(A4taxstdlife+$E529),(('PTRM input'!$O$146+'PTRM input'!$O$112)*$O$7)-SUM($O529:AJ529),(('PTRM input'!$O$146+'PTRM input'!$O$112)*$O$7)/A4taxstdlife))</f>
        <v>0</v>
      </c>
      <c r="AL529" s="107">
        <f>IF(A4taxstdlife="n/a","n/a",IF(AL$3&gt;(A4taxstdlife+$E529),(('PTRM input'!$O$146+'PTRM input'!$O$112)*$O$7)-SUM($O529:AK529),(('PTRM input'!$O$146+'PTRM input'!$O$112)*$O$7)/A4taxstdlife))</f>
        <v>0</v>
      </c>
      <c r="AM529" s="107">
        <f>IF(A4taxstdlife="n/a","n/a",IF(AM$3&gt;(A4taxstdlife+$E529),(('PTRM input'!$O$146+'PTRM input'!$O$112)*$O$7)-SUM($O529:AL529),(('PTRM input'!$O$146+'PTRM input'!$O$112)*$O$7)/A4taxstdlife))</f>
        <v>0</v>
      </c>
      <c r="AN529" s="107">
        <f>IF(A4taxstdlife="n/a","n/a",IF(AN$3&gt;(A4taxstdlife+$E529),(('PTRM input'!$O$146+'PTRM input'!$O$112)*$O$7)-SUM($O529:AM529),(('PTRM input'!$O$146+'PTRM input'!$O$112)*$O$7)/A4taxstdlife))</f>
        <v>0</v>
      </c>
      <c r="AO529" s="107">
        <f>IF(A4taxstdlife="n/a","n/a",IF(AO$3&gt;(A4taxstdlife+$E529),(('PTRM input'!$O$146+'PTRM input'!$O$112)*$O$7)-SUM($O529:AN529),(('PTRM input'!$O$146+'PTRM input'!$O$112)*$O$7)/A4taxstdlife))</f>
        <v>0</v>
      </c>
      <c r="AP529" s="107">
        <f>IF(A4taxstdlife="n/a","n/a",IF(AP$3&gt;(A4taxstdlife+$E529),(('PTRM input'!$O$146+'PTRM input'!$O$112)*$O$7)-SUM($O529:AO529),(('PTRM input'!$O$146+'PTRM input'!$O$112)*$O$7)/A4taxstdlife))</f>
        <v>0</v>
      </c>
      <c r="AQ529" s="107">
        <f>IF(A4taxstdlife="n/a","n/a",IF(AQ$3&gt;(A4taxstdlife+$E529),(('PTRM input'!$O$146+'PTRM input'!$O$112)*$O$7)-SUM($O529:AP529),(('PTRM input'!$O$146+'PTRM input'!$O$112)*$O$7)/A4taxstdlife))</f>
        <v>0</v>
      </c>
      <c r="AR529" s="107">
        <f>IF(A4taxstdlife="n/a","n/a",IF(AR$3&gt;(A4taxstdlife+$E529),(('PTRM input'!$O$146+'PTRM input'!$O$112)*$O$7)-SUM($O529:AQ529),(('PTRM input'!$O$146+'PTRM input'!$O$112)*$O$7)/A4taxstdlife))</f>
        <v>0</v>
      </c>
      <c r="AS529" s="107">
        <f>IF(A4taxstdlife="n/a","n/a",IF(AS$3&gt;(A4taxstdlife+$E529),(('PTRM input'!$O$146+'PTRM input'!$O$112)*$O$7)-SUM($O529:AR529),(('PTRM input'!$O$146+'PTRM input'!$O$112)*$O$7)/A4taxstdlife))</f>
        <v>0</v>
      </c>
      <c r="AT529" s="107">
        <f>IF(A4taxstdlife="n/a","n/a",IF(AT$3&gt;(A4taxstdlife+$E529),(('PTRM input'!$O$146+'PTRM input'!$O$112)*$O$7)-SUM($O529:AS529),(('PTRM input'!$O$146+'PTRM input'!$O$112)*$O$7)/A4taxstdlife))</f>
        <v>0</v>
      </c>
      <c r="AU529" s="107">
        <f>IF(A4taxstdlife="n/a","n/a",IF(AU$3&gt;(A4taxstdlife+$E529),(('PTRM input'!$O$146+'PTRM input'!$O$112)*$O$7)-SUM($O529:AT529),(('PTRM input'!$O$146+'PTRM input'!$O$112)*$O$7)/A4taxstdlife))</f>
        <v>0</v>
      </c>
      <c r="AV529" s="107">
        <f>IF(A4taxstdlife="n/a","n/a",IF(AV$3&gt;(A4taxstdlife+$E529),(('PTRM input'!$O$146+'PTRM input'!$O$112)*$O$7)-SUM($O529:AU529),(('PTRM input'!$O$146+'PTRM input'!$O$112)*$O$7)/A4taxstdlife))</f>
        <v>0</v>
      </c>
      <c r="AW529" s="107">
        <f>IF(A4taxstdlife="n/a","n/a",IF(AW$3&gt;(A4taxstdlife+$E529),(('PTRM input'!$O$146+'PTRM input'!$O$112)*$O$7)-SUM($O529:AV529),(('PTRM input'!$O$146+'PTRM input'!$O$112)*$O$7)/A4taxstdlife))</f>
        <v>0</v>
      </c>
      <c r="AX529" s="107">
        <f>IF(A4taxstdlife="n/a","n/a",IF(AX$3&gt;(A4taxstdlife+$E529),(('PTRM input'!$O$146+'PTRM input'!$O$112)*$O$7)-SUM($O529:AW529),(('PTRM input'!$O$146+'PTRM input'!$O$112)*$O$7)/A4taxstdlife))</f>
        <v>0</v>
      </c>
      <c r="AY529" s="107">
        <f>IF(A4taxstdlife="n/a","n/a",IF(AY$3&gt;(A4taxstdlife+$E529),(('PTRM input'!$O$146+'PTRM input'!$O$112)*$O$7)-SUM($O529:AX529),(('PTRM input'!$O$146+'PTRM input'!$O$112)*$O$7)/A4taxstdlife))</f>
        <v>0</v>
      </c>
      <c r="AZ529" s="107">
        <f>IF(A4taxstdlife="n/a","n/a",IF(AZ$3&gt;(A4taxstdlife+$E529),(('PTRM input'!$O$146+'PTRM input'!$O$112)*$O$7)-SUM($O529:AY529),(('PTRM input'!$O$146+'PTRM input'!$O$112)*$O$7)/A4taxstdlife))</f>
        <v>0</v>
      </c>
      <c r="BA529" s="107">
        <f>IF(A4taxstdlife="n/a","n/a",IF(BA$3&gt;(A4taxstdlife+$E529),(('PTRM input'!$O$146+'PTRM input'!$O$112)*$O$7)-SUM($O529:AZ529),(('PTRM input'!$O$146+'PTRM input'!$O$112)*$O$7)/A4taxstdlife))</f>
        <v>0</v>
      </c>
      <c r="BB529" s="107">
        <f>IF(A4taxstdlife="n/a","n/a",IF(BB$3&gt;(A4taxstdlife+$E529),(('PTRM input'!$O$146+'PTRM input'!$O$112)*$O$7)-SUM($O529:BA529),(('PTRM input'!$O$146+'PTRM input'!$O$112)*$O$7)/A4taxstdlife))</f>
        <v>0</v>
      </c>
      <c r="BC529" s="107">
        <f>IF(A4taxstdlife="n/a","n/a",IF(BC$3&gt;(A4taxstdlife+$E529),(('PTRM input'!$O$146+'PTRM input'!$O$112)*$O$7)-SUM($O529:BB529),(('PTRM input'!$O$146+'PTRM input'!$O$112)*$O$7)/A4taxstdlife))</f>
        <v>0</v>
      </c>
      <c r="BD529" s="107">
        <f>IF(A4taxstdlife="n/a","n/a",IF(BD$3&gt;(A4taxstdlife+$E529),(('PTRM input'!$O$146+'PTRM input'!$O$112)*$O$7)-SUM($O529:BC529),(('PTRM input'!$O$146+'PTRM input'!$O$112)*$O$7)/A4taxstdlife))</f>
        <v>0</v>
      </c>
      <c r="BE529" s="107">
        <f>IF(A4taxstdlife="n/a","n/a",IF(BE$3&gt;(A4taxstdlife+$E529),(('PTRM input'!$O$146+'PTRM input'!$O$112)*$O$7)-SUM($O529:BD529),(('PTRM input'!$O$146+'PTRM input'!$O$112)*$O$7)/A4taxstdlife))</f>
        <v>0</v>
      </c>
      <c r="BF529" s="107">
        <f>IF(A4taxstdlife="n/a","n/a",IF(BF$3&gt;(A4taxstdlife+$E529),(('PTRM input'!$O$146+'PTRM input'!$O$112)*$O$7)-SUM($O529:BE529),(('PTRM input'!$O$146+'PTRM input'!$O$112)*$O$7)/A4taxstdlife))</f>
        <v>0</v>
      </c>
      <c r="BG529" s="107">
        <f>IF(A4taxstdlife="n/a","n/a",IF(BG$3&gt;(A4taxstdlife+$E529),(('PTRM input'!$O$146+'PTRM input'!$O$112)*$O$7)-SUM($O529:BF529),(('PTRM input'!$O$146+'PTRM input'!$O$112)*$O$7)/A4taxstdlife))</f>
        <v>0</v>
      </c>
      <c r="BH529" s="107">
        <f>IF(A4taxstdlife="n/a","n/a",IF(BH$3&gt;(A4taxstdlife+$E529),(('PTRM input'!$O$146+'PTRM input'!$O$112)*$O$7)-SUM($O529:BG529),(('PTRM input'!$O$146+'PTRM input'!$O$112)*$O$7)/A4taxstdlife))</f>
        <v>0</v>
      </c>
      <c r="BI529" s="107">
        <f>IF(A4taxstdlife="n/a","n/a",IF(BI$3&gt;(A4taxstdlife+$E529),(('PTRM input'!$O$146+'PTRM input'!$O$112)*$O$7)-SUM($O529:BH529),(('PTRM input'!$O$146+'PTRM input'!$O$112)*$O$7)/A4taxstdlife))</f>
        <v>0</v>
      </c>
      <c r="BJ529" s="18"/>
      <c r="BK529" s="18"/>
      <c r="BL529" s="18"/>
      <c r="BM529" s="18"/>
    </row>
    <row r="530" spans="1:65" s="4" customFormat="1" hidden="1" outlineLevel="2">
      <c r="A530" s="18"/>
      <c r="B530" s="18"/>
      <c r="C530" s="33"/>
      <c r="D530" s="1618"/>
      <c r="E530" s="170">
        <v>10</v>
      </c>
      <c r="F530" s="35"/>
      <c r="G530" s="184"/>
      <c r="H530" s="186"/>
      <c r="I530" s="186"/>
      <c r="J530" s="186"/>
      <c r="K530" s="186"/>
      <c r="L530" s="186"/>
      <c r="M530" s="186"/>
      <c r="N530" s="186"/>
      <c r="O530" s="186"/>
      <c r="P530" s="185"/>
      <c r="Q530" s="107">
        <f>IF(A4taxstdlife="n/a","n/a",IF(Q$3&gt;(A4taxstdlife+$E530),(('PTRM input'!$P$146+'PTRM input'!$P$112)*$P$7)-SUM($P530:P530),(('PTRM input'!$P$146+'PTRM input'!$P$112)*$P$7)/A4taxstdlife))</f>
        <v>0</v>
      </c>
      <c r="R530" s="107">
        <f>IF(A4taxstdlife="n/a","n/a",IF(R$3&gt;(A4taxstdlife+$E530),(('PTRM input'!$P$146+'PTRM input'!$P$112)*$P$7)-SUM($P530:Q530),(('PTRM input'!$P$146+'PTRM input'!$P$112)*$P$7)/A4taxstdlife))</f>
        <v>0</v>
      </c>
      <c r="S530" s="107">
        <f>IF(A4taxstdlife="n/a","n/a",IF(S$3&gt;(A4taxstdlife+$E530),(('PTRM input'!$P$146+'PTRM input'!$P$112)*$P$7)-SUM($P530:R530),(('PTRM input'!$P$146+'PTRM input'!$P$112)*$P$7)/A4taxstdlife))</f>
        <v>0</v>
      </c>
      <c r="T530" s="107">
        <f>IF(A4taxstdlife="n/a","n/a",IF(T$3&gt;(A4taxstdlife+$E530),(('PTRM input'!$P$146+'PTRM input'!$P$112)*$P$7)-SUM($P530:S530),(('PTRM input'!$P$146+'PTRM input'!$P$112)*$P$7)/A4taxstdlife))</f>
        <v>0</v>
      </c>
      <c r="U530" s="107">
        <f>IF(A4taxstdlife="n/a","n/a",IF(U$3&gt;(A4taxstdlife+$E530),(('PTRM input'!$P$146+'PTRM input'!$P$112)*$P$7)-SUM($P530:T530),(('PTRM input'!$P$146+'PTRM input'!$P$112)*$P$7)/A4taxstdlife))</f>
        <v>0</v>
      </c>
      <c r="V530" s="107">
        <f>IF(A4taxstdlife="n/a","n/a",IF(V$3&gt;(A4taxstdlife+$E530),(('PTRM input'!$P$146+'PTRM input'!$P$112)*$P$7)-SUM($P530:U530),(('PTRM input'!$P$146+'PTRM input'!$P$112)*$P$7)/A4taxstdlife))</f>
        <v>0</v>
      </c>
      <c r="W530" s="107">
        <f>IF(A4taxstdlife="n/a","n/a",IF(W$3&gt;(A4taxstdlife+$E530),(('PTRM input'!$P$146+'PTRM input'!$P$112)*$P$7)-SUM($P530:V530),(('PTRM input'!$P$146+'PTRM input'!$P$112)*$P$7)/A4taxstdlife))</f>
        <v>0</v>
      </c>
      <c r="X530" s="107">
        <f>IF(A4taxstdlife="n/a","n/a",IF(X$3&gt;(A4taxstdlife+$E530),(('PTRM input'!$P$146+'PTRM input'!$P$112)*$P$7)-SUM($P530:W530),(('PTRM input'!$P$146+'PTRM input'!$P$112)*$P$7)/A4taxstdlife))</f>
        <v>0</v>
      </c>
      <c r="Y530" s="107">
        <f>IF(A4taxstdlife="n/a","n/a",IF(Y$3&gt;(A4taxstdlife+$E530),(('PTRM input'!$P$146+'PTRM input'!$P$112)*$P$7)-SUM($P530:X530),(('PTRM input'!$P$146+'PTRM input'!$P$112)*$P$7)/A4taxstdlife))</f>
        <v>0</v>
      </c>
      <c r="Z530" s="107">
        <f>IF(A4taxstdlife="n/a","n/a",IF(Z$3&gt;(A4taxstdlife+$E530),(('PTRM input'!$P$146+'PTRM input'!$P$112)*$P$7)-SUM($P530:Y530),(('PTRM input'!$P$146+'PTRM input'!$P$112)*$P$7)/A4taxstdlife))</f>
        <v>0</v>
      </c>
      <c r="AA530" s="107">
        <f>IF(A4taxstdlife="n/a","n/a",IF(AA$3&gt;(A4taxstdlife+$E530),(('PTRM input'!$P$146+'PTRM input'!$P$112)*$P$7)-SUM($P530:Z530),(('PTRM input'!$P$146+'PTRM input'!$P$112)*$P$7)/A4taxstdlife))</f>
        <v>0</v>
      </c>
      <c r="AB530" s="107">
        <f>IF(A4taxstdlife="n/a","n/a",IF(AB$3&gt;(A4taxstdlife+$E530),(('PTRM input'!$P$146+'PTRM input'!$P$112)*$P$7)-SUM($P530:AA530),(('PTRM input'!$P$146+'PTRM input'!$P$112)*$P$7)/A4taxstdlife))</f>
        <v>0</v>
      </c>
      <c r="AC530" s="107">
        <f>IF(A4taxstdlife="n/a","n/a",IF(AC$3&gt;(A4taxstdlife+$E530),(('PTRM input'!$P$146+'PTRM input'!$P$112)*$P$7)-SUM($P530:AB530),(('PTRM input'!$P$146+'PTRM input'!$P$112)*$P$7)/A4taxstdlife))</f>
        <v>0</v>
      </c>
      <c r="AD530" s="107">
        <f>IF(A4taxstdlife="n/a","n/a",IF(AD$3&gt;(A4taxstdlife+$E530),(('PTRM input'!$P$146+'PTRM input'!$P$112)*$P$7)-SUM($P530:AC530),(('PTRM input'!$P$146+'PTRM input'!$P$112)*$P$7)/A4taxstdlife))</f>
        <v>0</v>
      </c>
      <c r="AE530" s="107">
        <f>IF(A4taxstdlife="n/a","n/a",IF(AE$3&gt;(A4taxstdlife+$E530),(('PTRM input'!$P$146+'PTRM input'!$P$112)*$P$7)-SUM($P530:AD530),(('PTRM input'!$P$146+'PTRM input'!$P$112)*$P$7)/A4taxstdlife))</f>
        <v>0</v>
      </c>
      <c r="AF530" s="107">
        <f>IF(A4taxstdlife="n/a","n/a",IF(AF$3&gt;(A4taxstdlife+$E530),(('PTRM input'!$P$146+'PTRM input'!$P$112)*$P$7)-SUM($P530:AE530),(('PTRM input'!$P$146+'PTRM input'!$P$112)*$P$7)/A4taxstdlife))</f>
        <v>0</v>
      </c>
      <c r="AG530" s="107">
        <f>IF(A4taxstdlife="n/a","n/a",IF(AG$3&gt;(A4taxstdlife+$E530),(('PTRM input'!$P$146+'PTRM input'!$P$112)*$P$7)-SUM($P530:AF530),(('PTRM input'!$P$146+'PTRM input'!$P$112)*$P$7)/A4taxstdlife))</f>
        <v>0</v>
      </c>
      <c r="AH530" s="107">
        <f>IF(A4taxstdlife="n/a","n/a",IF(AH$3&gt;(A4taxstdlife+$E530),(('PTRM input'!$P$146+'PTRM input'!$P$112)*$P$7)-SUM($P530:AG530),(('PTRM input'!$P$146+'PTRM input'!$P$112)*$P$7)/A4taxstdlife))</f>
        <v>0</v>
      </c>
      <c r="AI530" s="107">
        <f>IF(A4taxstdlife="n/a","n/a",IF(AI$3&gt;(A4taxstdlife+$E530),(('PTRM input'!$P$146+'PTRM input'!$P$112)*$P$7)-SUM($P530:AH530),(('PTRM input'!$P$146+'PTRM input'!$P$112)*$P$7)/A4taxstdlife))</f>
        <v>0</v>
      </c>
      <c r="AJ530" s="107">
        <f>IF(A4taxstdlife="n/a","n/a",IF(AJ$3&gt;(A4taxstdlife+$E530),(('PTRM input'!$P$146+'PTRM input'!$P$112)*$P$7)-SUM($P530:AI530),(('PTRM input'!$P$146+'PTRM input'!$P$112)*$P$7)/A4taxstdlife))</f>
        <v>0</v>
      </c>
      <c r="AK530" s="107">
        <f>IF(A4taxstdlife="n/a","n/a",IF(AK$3&gt;(A4taxstdlife+$E530),(('PTRM input'!$P$146+'PTRM input'!$P$112)*$P$7)-SUM($P530:AJ530),(('PTRM input'!$P$146+'PTRM input'!$P$112)*$P$7)/A4taxstdlife))</f>
        <v>0</v>
      </c>
      <c r="AL530" s="107">
        <f>IF(A4taxstdlife="n/a","n/a",IF(AL$3&gt;(A4taxstdlife+$E530),(('PTRM input'!$P$146+'PTRM input'!$P$112)*$P$7)-SUM($P530:AK530),(('PTRM input'!$P$146+'PTRM input'!$P$112)*$P$7)/A4taxstdlife))</f>
        <v>0</v>
      </c>
      <c r="AM530" s="107">
        <f>IF(A4taxstdlife="n/a","n/a",IF(AM$3&gt;(A4taxstdlife+$E530),(('PTRM input'!$P$146+'PTRM input'!$P$112)*$P$7)-SUM($P530:AL530),(('PTRM input'!$P$146+'PTRM input'!$P$112)*$P$7)/A4taxstdlife))</f>
        <v>0</v>
      </c>
      <c r="AN530" s="107">
        <f>IF(A4taxstdlife="n/a","n/a",IF(AN$3&gt;(A4taxstdlife+$E530),(('PTRM input'!$P$146+'PTRM input'!$P$112)*$P$7)-SUM($P530:AM530),(('PTRM input'!$P$146+'PTRM input'!$P$112)*$P$7)/A4taxstdlife))</f>
        <v>0</v>
      </c>
      <c r="AO530" s="107">
        <f>IF(A4taxstdlife="n/a","n/a",IF(AO$3&gt;(A4taxstdlife+$E530),(('PTRM input'!$P$146+'PTRM input'!$P$112)*$P$7)-SUM($P530:AN530),(('PTRM input'!$P$146+'PTRM input'!$P$112)*$P$7)/A4taxstdlife))</f>
        <v>0</v>
      </c>
      <c r="AP530" s="107">
        <f>IF(A4taxstdlife="n/a","n/a",IF(AP$3&gt;(A4taxstdlife+$E530),(('PTRM input'!$P$146+'PTRM input'!$P$112)*$P$7)-SUM($P530:AO530),(('PTRM input'!$P$146+'PTRM input'!$P$112)*$P$7)/A4taxstdlife))</f>
        <v>0</v>
      </c>
      <c r="AQ530" s="107">
        <f>IF(A4taxstdlife="n/a","n/a",IF(AQ$3&gt;(A4taxstdlife+$E530),(('PTRM input'!$P$146+'PTRM input'!$P$112)*$P$7)-SUM($P530:AP530),(('PTRM input'!$P$146+'PTRM input'!$P$112)*$P$7)/A4taxstdlife))</f>
        <v>0</v>
      </c>
      <c r="AR530" s="107">
        <f>IF(A4taxstdlife="n/a","n/a",IF(AR$3&gt;(A4taxstdlife+$E530),(('PTRM input'!$P$146+'PTRM input'!$P$112)*$P$7)-SUM($P530:AQ530),(('PTRM input'!$P$146+'PTRM input'!$P$112)*$P$7)/A4taxstdlife))</f>
        <v>0</v>
      </c>
      <c r="AS530" s="107">
        <f>IF(A4taxstdlife="n/a","n/a",IF(AS$3&gt;(A4taxstdlife+$E530),(('PTRM input'!$P$146+'PTRM input'!$P$112)*$P$7)-SUM($P530:AR530),(('PTRM input'!$P$146+'PTRM input'!$P$112)*$P$7)/A4taxstdlife))</f>
        <v>0</v>
      </c>
      <c r="AT530" s="107">
        <f>IF(A4taxstdlife="n/a","n/a",IF(AT$3&gt;(A4taxstdlife+$E530),(('PTRM input'!$P$146+'PTRM input'!$P$112)*$P$7)-SUM($P530:AS530),(('PTRM input'!$P$146+'PTRM input'!$P$112)*$P$7)/A4taxstdlife))</f>
        <v>0</v>
      </c>
      <c r="AU530" s="107">
        <f>IF(A4taxstdlife="n/a","n/a",IF(AU$3&gt;(A4taxstdlife+$E530),(('PTRM input'!$P$146+'PTRM input'!$P$112)*$P$7)-SUM($P530:AT530),(('PTRM input'!$P$146+'PTRM input'!$P$112)*$P$7)/A4taxstdlife))</f>
        <v>0</v>
      </c>
      <c r="AV530" s="107">
        <f>IF(A4taxstdlife="n/a","n/a",IF(AV$3&gt;(A4taxstdlife+$E530),(('PTRM input'!$P$146+'PTRM input'!$P$112)*$P$7)-SUM($P530:AU530),(('PTRM input'!$P$146+'PTRM input'!$P$112)*$P$7)/A4taxstdlife))</f>
        <v>0</v>
      </c>
      <c r="AW530" s="107">
        <f>IF(A4taxstdlife="n/a","n/a",IF(AW$3&gt;(A4taxstdlife+$E530),(('PTRM input'!$P$146+'PTRM input'!$P$112)*$P$7)-SUM($P530:AV530),(('PTRM input'!$P$146+'PTRM input'!$P$112)*$P$7)/A4taxstdlife))</f>
        <v>0</v>
      </c>
      <c r="AX530" s="107">
        <f>IF(A4taxstdlife="n/a","n/a",IF(AX$3&gt;(A4taxstdlife+$E530),(('PTRM input'!$P$146+'PTRM input'!$P$112)*$P$7)-SUM($P530:AW530),(('PTRM input'!$P$146+'PTRM input'!$P$112)*$P$7)/A4taxstdlife))</f>
        <v>0</v>
      </c>
      <c r="AY530" s="107">
        <f>IF(A4taxstdlife="n/a","n/a",IF(AY$3&gt;(A4taxstdlife+$E530),(('PTRM input'!$P$146+'PTRM input'!$P$112)*$P$7)-SUM($P530:AX530),(('PTRM input'!$P$146+'PTRM input'!$P$112)*$P$7)/A4taxstdlife))</f>
        <v>0</v>
      </c>
      <c r="AZ530" s="107">
        <f>IF(A4taxstdlife="n/a","n/a",IF(AZ$3&gt;(A4taxstdlife+$E530),(('PTRM input'!$P$146+'PTRM input'!$P$112)*$P$7)-SUM($P530:AY530),(('PTRM input'!$P$146+'PTRM input'!$P$112)*$P$7)/A4taxstdlife))</f>
        <v>0</v>
      </c>
      <c r="BA530" s="107">
        <f>IF(A4taxstdlife="n/a","n/a",IF(BA$3&gt;(A4taxstdlife+$E530),(('PTRM input'!$P$146+'PTRM input'!$P$112)*$P$7)-SUM($P530:AZ530),(('PTRM input'!$P$146+'PTRM input'!$P$112)*$P$7)/A4taxstdlife))</f>
        <v>0</v>
      </c>
      <c r="BB530" s="107">
        <f>IF(A4taxstdlife="n/a","n/a",IF(BB$3&gt;(A4taxstdlife+$E530),(('PTRM input'!$P$146+'PTRM input'!$P$112)*$P$7)-SUM($P530:BA530),(('PTRM input'!$P$146+'PTRM input'!$P$112)*$P$7)/A4taxstdlife))</f>
        <v>0</v>
      </c>
      <c r="BC530" s="107">
        <f>IF(A4taxstdlife="n/a","n/a",IF(BC$3&gt;(A4taxstdlife+$E530),(('PTRM input'!$P$146+'PTRM input'!$P$112)*$P$7)-SUM($P530:BB530),(('PTRM input'!$P$146+'PTRM input'!$P$112)*$P$7)/A4taxstdlife))</f>
        <v>0</v>
      </c>
      <c r="BD530" s="107">
        <f>IF(A4taxstdlife="n/a","n/a",IF(BD$3&gt;(A4taxstdlife+$E530),(('PTRM input'!$P$146+'PTRM input'!$P$112)*$P$7)-SUM($P530:BC530),(('PTRM input'!$P$146+'PTRM input'!$P$112)*$P$7)/A4taxstdlife))</f>
        <v>0</v>
      </c>
      <c r="BE530" s="107">
        <f>IF(A4taxstdlife="n/a","n/a",IF(BE$3&gt;(A4taxstdlife+$E530),(('PTRM input'!$P$146+'PTRM input'!$P$112)*$P$7)-SUM($P530:BD530),(('PTRM input'!$P$146+'PTRM input'!$P$112)*$P$7)/A4taxstdlife))</f>
        <v>0</v>
      </c>
      <c r="BF530" s="107">
        <f>IF(A4taxstdlife="n/a","n/a",IF(BF$3&gt;(A4taxstdlife+$E530),(('PTRM input'!$P$146+'PTRM input'!$P$112)*$P$7)-SUM($P530:BE530),(('PTRM input'!$P$146+'PTRM input'!$P$112)*$P$7)/A4taxstdlife))</f>
        <v>0</v>
      </c>
      <c r="BG530" s="107">
        <f>IF(A4taxstdlife="n/a","n/a",IF(BG$3&gt;(A4taxstdlife+$E530),(('PTRM input'!$P$146+'PTRM input'!$P$112)*$P$7)-SUM($P530:BF530),(('PTRM input'!$P$146+'PTRM input'!$P$112)*$P$7)/A4taxstdlife))</f>
        <v>0</v>
      </c>
      <c r="BH530" s="107">
        <f>IF(A4taxstdlife="n/a","n/a",IF(BH$3&gt;(A4taxstdlife+$E530),(('PTRM input'!$P$146+'PTRM input'!$P$112)*$P$7)-SUM($P530:BG530),(('PTRM input'!$P$146+'PTRM input'!$P$112)*$P$7)/A4taxstdlife))</f>
        <v>0</v>
      </c>
      <c r="BI530" s="107">
        <f>IF(A4taxstdlife="n/a","n/a",IF(BI$3&gt;(A4taxstdlife+$E530),(('PTRM input'!$P$146+'PTRM input'!$P$112)*$P$7)-SUM($P530:BH530),(('PTRM input'!$P$146+'PTRM input'!$P$112)*$P$7)/A4taxstdlife))</f>
        <v>0</v>
      </c>
      <c r="BJ530" s="18"/>
      <c r="BK530" s="18"/>
      <c r="BL530" s="18"/>
      <c r="BM530" s="18"/>
    </row>
    <row r="531" spans="1:65" s="4" customFormat="1" hidden="1" outlineLevel="1">
      <c r="A531" s="18"/>
      <c r="B531" s="18"/>
      <c r="C531" s="33">
        <f>Asset4</f>
        <v>0</v>
      </c>
      <c r="D531" s="18"/>
      <c r="E531" s="18"/>
      <c r="F531" s="31"/>
      <c r="G531" s="104">
        <f t="shared" ref="G531:AL531" si="112">SUM(G519:G530)</f>
        <v>0</v>
      </c>
      <c r="H531" s="104">
        <f t="shared" si="112"/>
        <v>0</v>
      </c>
      <c r="I531" s="104">
        <f t="shared" si="112"/>
        <v>0</v>
      </c>
      <c r="J531" s="104">
        <f t="shared" si="112"/>
        <v>0</v>
      </c>
      <c r="K531" s="104">
        <f t="shared" si="112"/>
        <v>0</v>
      </c>
      <c r="L531" s="104">
        <f t="shared" si="112"/>
        <v>0</v>
      </c>
      <c r="M531" s="104">
        <f t="shared" si="112"/>
        <v>0</v>
      </c>
      <c r="N531" s="104">
        <f t="shared" si="112"/>
        <v>0</v>
      </c>
      <c r="O531" s="104">
        <f t="shared" si="112"/>
        <v>0</v>
      </c>
      <c r="P531" s="104">
        <f t="shared" si="112"/>
        <v>0</v>
      </c>
      <c r="Q531" s="104">
        <f t="shared" si="112"/>
        <v>0</v>
      </c>
      <c r="R531" s="104">
        <f t="shared" si="112"/>
        <v>0</v>
      </c>
      <c r="S531" s="104">
        <f t="shared" si="112"/>
        <v>0</v>
      </c>
      <c r="T531" s="104">
        <f t="shared" si="112"/>
        <v>0</v>
      </c>
      <c r="U531" s="104">
        <f t="shared" si="112"/>
        <v>0</v>
      </c>
      <c r="V531" s="104">
        <f t="shared" si="112"/>
        <v>0</v>
      </c>
      <c r="W531" s="104">
        <f t="shared" si="112"/>
        <v>0</v>
      </c>
      <c r="X531" s="104">
        <f t="shared" si="112"/>
        <v>0</v>
      </c>
      <c r="Y531" s="104">
        <f t="shared" si="112"/>
        <v>0</v>
      </c>
      <c r="Z531" s="104">
        <f t="shared" si="112"/>
        <v>0</v>
      </c>
      <c r="AA531" s="104">
        <f t="shared" si="112"/>
        <v>0</v>
      </c>
      <c r="AB531" s="104">
        <f t="shared" si="112"/>
        <v>0</v>
      </c>
      <c r="AC531" s="104">
        <f t="shared" si="112"/>
        <v>0</v>
      </c>
      <c r="AD531" s="104">
        <f t="shared" si="112"/>
        <v>0</v>
      </c>
      <c r="AE531" s="104">
        <f t="shared" si="112"/>
        <v>0</v>
      </c>
      <c r="AF531" s="104">
        <f t="shared" si="112"/>
        <v>0</v>
      </c>
      <c r="AG531" s="104">
        <f t="shared" si="112"/>
        <v>0</v>
      </c>
      <c r="AH531" s="104">
        <f t="shared" si="112"/>
        <v>0</v>
      </c>
      <c r="AI531" s="104">
        <f t="shared" si="112"/>
        <v>0</v>
      </c>
      <c r="AJ531" s="104">
        <f t="shared" si="112"/>
        <v>0</v>
      </c>
      <c r="AK531" s="104">
        <f t="shared" si="112"/>
        <v>0</v>
      </c>
      <c r="AL531" s="104">
        <f t="shared" si="112"/>
        <v>0</v>
      </c>
      <c r="AM531" s="104">
        <f t="shared" ref="AM531:BI531" si="113">SUM(AM519:AM530)</f>
        <v>0</v>
      </c>
      <c r="AN531" s="104">
        <f t="shared" si="113"/>
        <v>0</v>
      </c>
      <c r="AO531" s="104">
        <f t="shared" si="113"/>
        <v>0</v>
      </c>
      <c r="AP531" s="104">
        <f t="shared" si="113"/>
        <v>0</v>
      </c>
      <c r="AQ531" s="104">
        <f t="shared" si="113"/>
        <v>0</v>
      </c>
      <c r="AR531" s="104">
        <f t="shared" si="113"/>
        <v>0</v>
      </c>
      <c r="AS531" s="104">
        <f t="shared" si="113"/>
        <v>0</v>
      </c>
      <c r="AT531" s="104">
        <f t="shared" si="113"/>
        <v>0</v>
      </c>
      <c r="AU531" s="104">
        <f t="shared" si="113"/>
        <v>0</v>
      </c>
      <c r="AV531" s="104">
        <f t="shared" si="113"/>
        <v>0</v>
      </c>
      <c r="AW531" s="104">
        <f t="shared" si="113"/>
        <v>0</v>
      </c>
      <c r="AX531" s="104">
        <f t="shared" si="113"/>
        <v>0</v>
      </c>
      <c r="AY531" s="104">
        <f t="shared" si="113"/>
        <v>0</v>
      </c>
      <c r="AZ531" s="104">
        <f t="shared" si="113"/>
        <v>0</v>
      </c>
      <c r="BA531" s="104">
        <f t="shared" si="113"/>
        <v>0</v>
      </c>
      <c r="BB531" s="104">
        <f t="shared" si="113"/>
        <v>0</v>
      </c>
      <c r="BC531" s="104">
        <f t="shared" si="113"/>
        <v>0</v>
      </c>
      <c r="BD531" s="104">
        <f t="shared" si="113"/>
        <v>0</v>
      </c>
      <c r="BE531" s="104">
        <f t="shared" si="113"/>
        <v>0</v>
      </c>
      <c r="BF531" s="104">
        <f t="shared" si="113"/>
        <v>0</v>
      </c>
      <c r="BG531" s="104">
        <f t="shared" si="113"/>
        <v>0</v>
      </c>
      <c r="BH531" s="104">
        <f t="shared" si="113"/>
        <v>0</v>
      </c>
      <c r="BI531" s="104">
        <f t="shared" si="113"/>
        <v>0</v>
      </c>
      <c r="BJ531" s="18"/>
      <c r="BK531" s="18"/>
      <c r="BL531" s="18"/>
      <c r="BM531" s="18"/>
    </row>
    <row r="532" spans="1:65" s="4" customFormat="1" hidden="1" outlineLevel="2">
      <c r="A532" s="18"/>
      <c r="B532" s="89">
        <f>C544</f>
        <v>0</v>
      </c>
      <c r="C532" s="38"/>
      <c r="D532" s="39" t="s">
        <v>58</v>
      </c>
      <c r="E532" s="38"/>
      <c r="F532" s="40"/>
      <c r="G532" s="106">
        <f>IF(G$3&gt;A5taxremlife,A5taxvalue-SUM($F532:F532),IF(A5taxremlife="N/A","n/a",A5taxvalue/A5taxremlife))</f>
        <v>0</v>
      </c>
      <c r="H532" s="106">
        <f>IF(H$3&gt;A5taxremlife,A5taxvalue-SUM($F532:G532),IF(A5taxremlife="N/A","n/a",A5taxvalue/A5taxremlife))</f>
        <v>0</v>
      </c>
      <c r="I532" s="106">
        <f>IF(I$3&gt;A5taxremlife,A5taxvalue-SUM($F532:H532),IF(A5taxremlife="N/A","n/a",A5taxvalue/A5taxremlife))</f>
        <v>0</v>
      </c>
      <c r="J532" s="106">
        <f>IF(J$3&gt;A5taxremlife,A5taxvalue-SUM($F532:I532),IF(A5taxremlife="N/A","n/a",A5taxvalue/A5taxremlife))</f>
        <v>0</v>
      </c>
      <c r="K532" s="106">
        <f>IF(K$3&gt;A5taxremlife,A5taxvalue-SUM($F532:J532),IF(A5taxremlife="N/A","n/a",A5taxvalue/A5taxremlife))</f>
        <v>0</v>
      </c>
      <c r="L532" s="106">
        <f>IF(L$3&gt;A5taxremlife,A5taxvalue-SUM($F532:K532),IF(A5taxremlife="N/A","n/a",A5taxvalue/A5taxremlife))</f>
        <v>0</v>
      </c>
      <c r="M532" s="106">
        <f>IF(M$3&gt;A5taxremlife,A5taxvalue-SUM($F532:L532),IF(A5taxremlife="N/A","n/a",A5taxvalue/A5taxremlife))</f>
        <v>0</v>
      </c>
      <c r="N532" s="106">
        <f>IF(N$3&gt;A5taxremlife,A5taxvalue-SUM($F532:M532),IF(A5taxremlife="N/A","n/a",A5taxvalue/A5taxremlife))</f>
        <v>0</v>
      </c>
      <c r="O532" s="106">
        <f>IF(O$3&gt;A5taxremlife,A5taxvalue-SUM($F532:N532),IF(A5taxremlife="N/A","n/a",A5taxvalue/A5taxremlife))</f>
        <v>0</v>
      </c>
      <c r="P532" s="106">
        <f>IF(P$3&gt;A5taxremlife,A5taxvalue-SUM($F532:O532),IF(A5taxremlife="N/A","n/a",A5taxvalue/A5taxremlife))</f>
        <v>0</v>
      </c>
      <c r="Q532" s="106">
        <f>IF(Q$3&gt;A5taxremlife,A5taxvalue-SUM($F532:P532),IF(A5taxremlife="N/A","n/a",A5taxvalue/A5taxremlife))</f>
        <v>0</v>
      </c>
      <c r="R532" s="106">
        <f>IF(R$3&gt;A5taxremlife,A5taxvalue-SUM($F532:Q532),IF(A5taxremlife="N/A","n/a",A5taxvalue/A5taxremlife))</f>
        <v>0</v>
      </c>
      <c r="S532" s="106">
        <f>IF(S$3&gt;A5taxremlife,A5taxvalue-SUM($F532:R532),IF(A5taxremlife="N/A","n/a",A5taxvalue/A5taxremlife))</f>
        <v>0</v>
      </c>
      <c r="T532" s="106">
        <f>IF(T$3&gt;A5taxremlife,A5taxvalue-SUM($F532:S532),IF(A5taxremlife="N/A","n/a",A5taxvalue/A5taxremlife))</f>
        <v>0</v>
      </c>
      <c r="U532" s="106">
        <f>IF(U$3&gt;A5taxremlife,A5taxvalue-SUM($F532:T532),IF(A5taxremlife="N/A","n/a",A5taxvalue/A5taxremlife))</f>
        <v>0</v>
      </c>
      <c r="V532" s="106">
        <f>IF(V$3&gt;A5taxremlife,A5taxvalue-SUM($F532:U532),IF(A5taxremlife="N/A","n/a",A5taxvalue/A5taxremlife))</f>
        <v>0</v>
      </c>
      <c r="W532" s="106">
        <f>IF(W$3&gt;A5taxremlife,A5taxvalue-SUM($F532:V532),IF(A5taxremlife="N/A","n/a",A5taxvalue/A5taxremlife))</f>
        <v>0</v>
      </c>
      <c r="X532" s="106">
        <f>IF(X$3&gt;A5taxremlife,A5taxvalue-SUM($F532:W532),IF(A5taxremlife="N/A","n/a",A5taxvalue/A5taxremlife))</f>
        <v>0</v>
      </c>
      <c r="Y532" s="106">
        <f>IF(Y$3&gt;A5taxremlife,A5taxvalue-SUM($F532:X532),IF(A5taxremlife="N/A","n/a",A5taxvalue/A5taxremlife))</f>
        <v>0</v>
      </c>
      <c r="Z532" s="106">
        <f>IF(Z$3&gt;A5taxremlife,A5taxvalue-SUM($F532:Y532),IF(A5taxremlife="N/A","n/a",A5taxvalue/A5taxremlife))</f>
        <v>0</v>
      </c>
      <c r="AA532" s="106">
        <f>IF(AA$3&gt;A5taxremlife,A5taxvalue-SUM($F532:Z532),IF(A5taxremlife="N/A","n/a",A5taxvalue/A5taxremlife))</f>
        <v>0</v>
      </c>
      <c r="AB532" s="106">
        <f>IF(AB$3&gt;A5taxremlife,A5taxvalue-SUM($F532:AA532),IF(A5taxremlife="N/A","n/a",A5taxvalue/A5taxremlife))</f>
        <v>0</v>
      </c>
      <c r="AC532" s="106">
        <f>IF(AC$3&gt;A5taxremlife,A5taxvalue-SUM($F532:AB532),IF(A5taxremlife="N/A","n/a",A5taxvalue/A5taxremlife))</f>
        <v>0</v>
      </c>
      <c r="AD532" s="106">
        <f>IF(AD$3&gt;A5taxremlife,A5taxvalue-SUM($F532:AC532),IF(A5taxremlife="N/A","n/a",A5taxvalue/A5taxremlife))</f>
        <v>0</v>
      </c>
      <c r="AE532" s="106">
        <f>IF(AE$3&gt;A5taxremlife,A5taxvalue-SUM($F532:AD532),IF(A5taxremlife="N/A","n/a",A5taxvalue/A5taxremlife))</f>
        <v>0</v>
      </c>
      <c r="AF532" s="106">
        <f>IF(AF$3&gt;A5taxremlife,A5taxvalue-SUM($F532:AE532),IF(A5taxremlife="N/A","n/a",A5taxvalue/A5taxremlife))</f>
        <v>0</v>
      </c>
      <c r="AG532" s="106">
        <f>IF(AG$3&gt;A5taxremlife,A5taxvalue-SUM($F532:AF532),IF(A5taxremlife="N/A","n/a",A5taxvalue/A5taxremlife))</f>
        <v>0</v>
      </c>
      <c r="AH532" s="106">
        <f>IF(AH$3&gt;A5taxremlife,A5taxvalue-SUM($F532:AG532),IF(A5taxremlife="N/A","n/a",A5taxvalue/A5taxremlife))</f>
        <v>0</v>
      </c>
      <c r="AI532" s="106">
        <f>IF(AI$3&gt;A5taxremlife,A5taxvalue-SUM($F532:AH532),IF(A5taxremlife="N/A","n/a",A5taxvalue/A5taxremlife))</f>
        <v>0</v>
      </c>
      <c r="AJ532" s="106">
        <f>IF(AJ$3&gt;A5taxremlife,A5taxvalue-SUM($F532:AI532),IF(A5taxremlife="N/A","n/a",A5taxvalue/A5taxremlife))</f>
        <v>0</v>
      </c>
      <c r="AK532" s="106">
        <f>IF(AK$3&gt;A5taxremlife,A5taxvalue-SUM($F532:AJ532),IF(A5taxremlife="N/A","n/a",A5taxvalue/A5taxremlife))</f>
        <v>0</v>
      </c>
      <c r="AL532" s="106">
        <f>IF(AL$3&gt;A5taxremlife,A5taxvalue-SUM($F532:AK532),IF(A5taxremlife="N/A","n/a",A5taxvalue/A5taxremlife))</f>
        <v>0</v>
      </c>
      <c r="AM532" s="106">
        <f>IF(AM$3&gt;A5taxremlife,A5taxvalue-SUM($F532:AL532),IF(A5taxremlife="N/A","n/a",A5taxvalue/A5taxremlife))</f>
        <v>0</v>
      </c>
      <c r="AN532" s="106">
        <f>IF(AN$3&gt;A5taxremlife,A5taxvalue-SUM($F532:AM532),IF(A5taxremlife="N/A","n/a",A5taxvalue/A5taxremlife))</f>
        <v>0</v>
      </c>
      <c r="AO532" s="106">
        <f>IF(AO$3&gt;A5taxremlife,A5taxvalue-SUM($F532:AN532),IF(A5taxremlife="N/A","n/a",A5taxvalue/A5taxremlife))</f>
        <v>0</v>
      </c>
      <c r="AP532" s="106">
        <f>IF(AP$3&gt;A5taxremlife,A5taxvalue-SUM($F532:AO532),IF(A5taxremlife="N/A","n/a",A5taxvalue/A5taxremlife))</f>
        <v>0</v>
      </c>
      <c r="AQ532" s="106">
        <f>IF(AQ$3&gt;A5taxremlife,A5taxvalue-SUM($F532:AP532),IF(A5taxremlife="N/A","n/a",A5taxvalue/A5taxremlife))</f>
        <v>0</v>
      </c>
      <c r="AR532" s="106">
        <f>IF(AR$3&gt;A5taxremlife,A5taxvalue-SUM($F532:AQ532),IF(A5taxremlife="N/A","n/a",A5taxvalue/A5taxremlife))</f>
        <v>0</v>
      </c>
      <c r="AS532" s="106">
        <f>IF(AS$3&gt;A5taxremlife,A5taxvalue-SUM($F532:AR532),IF(A5taxremlife="N/A","n/a",A5taxvalue/A5taxremlife))</f>
        <v>0</v>
      </c>
      <c r="AT532" s="106">
        <f>IF(AT$3&gt;A5taxremlife,A5taxvalue-SUM($F532:AS532),IF(A5taxremlife="N/A","n/a",A5taxvalue/A5taxremlife))</f>
        <v>0</v>
      </c>
      <c r="AU532" s="106">
        <f>IF(AU$3&gt;A5taxremlife,A5taxvalue-SUM($F532:AT532),IF(A5taxremlife="N/A","n/a",A5taxvalue/A5taxremlife))</f>
        <v>0</v>
      </c>
      <c r="AV532" s="106">
        <f>IF(AV$3&gt;A5taxremlife,A5taxvalue-SUM($F532:AU532),IF(A5taxremlife="N/A","n/a",A5taxvalue/A5taxremlife))</f>
        <v>0</v>
      </c>
      <c r="AW532" s="106">
        <f>IF(AW$3&gt;A5taxremlife,A5taxvalue-SUM($F532:AV532),IF(A5taxremlife="N/A","n/a",A5taxvalue/A5taxremlife))</f>
        <v>0</v>
      </c>
      <c r="AX532" s="106">
        <f>IF(AX$3&gt;A5taxremlife,A5taxvalue-SUM($F532:AW532),IF(A5taxremlife="N/A","n/a",A5taxvalue/A5taxremlife))</f>
        <v>0</v>
      </c>
      <c r="AY532" s="106">
        <f>IF(AY$3&gt;A5taxremlife,A5taxvalue-SUM($F532:AX532),IF(A5taxremlife="N/A","n/a",A5taxvalue/A5taxremlife))</f>
        <v>0</v>
      </c>
      <c r="AZ532" s="106">
        <f>IF(AZ$3&gt;A5taxremlife,A5taxvalue-SUM($F532:AY532),IF(A5taxremlife="N/A","n/a",A5taxvalue/A5taxremlife))</f>
        <v>0</v>
      </c>
      <c r="BA532" s="106">
        <f>IF(BA$3&gt;A5taxremlife,A5taxvalue-SUM($F532:AZ532),IF(A5taxremlife="N/A","n/a",A5taxvalue/A5taxremlife))</f>
        <v>0</v>
      </c>
      <c r="BB532" s="106">
        <f>IF(BB$3&gt;A5taxremlife,A5taxvalue-SUM($F532:BA532),IF(A5taxremlife="N/A","n/a",A5taxvalue/A5taxremlife))</f>
        <v>0</v>
      </c>
      <c r="BC532" s="106">
        <f>IF(BC$3&gt;A5taxremlife,A5taxvalue-SUM($F532:BB532),IF(A5taxremlife="N/A","n/a",A5taxvalue/A5taxremlife))</f>
        <v>0</v>
      </c>
      <c r="BD532" s="106">
        <f>IF(BD$3&gt;A5taxremlife,A5taxvalue-SUM($F532:BC532),IF(A5taxremlife="N/A","n/a",A5taxvalue/A5taxremlife))</f>
        <v>0</v>
      </c>
      <c r="BE532" s="106">
        <f>IF(BE$3&gt;A5taxremlife,A5taxvalue-SUM($F532:BD532),IF(A5taxremlife="N/A","n/a",A5taxvalue/A5taxremlife))</f>
        <v>0</v>
      </c>
      <c r="BF532" s="106">
        <f>IF(BF$3&gt;A5taxremlife,A5taxvalue-SUM($F532:BE532),IF(A5taxremlife="N/A","n/a",A5taxvalue/A5taxremlife))</f>
        <v>0</v>
      </c>
      <c r="BG532" s="106">
        <f>IF(BG$3&gt;A5taxremlife,A5taxvalue-SUM($F532:BF532),IF(A5taxremlife="N/A","n/a",A5taxvalue/A5taxremlife))</f>
        <v>0</v>
      </c>
      <c r="BH532" s="106">
        <f>IF(BH$3&gt;A5taxremlife,A5taxvalue-SUM($F532:BG532),IF(A5taxremlife="N/A","n/a",A5taxvalue/A5taxremlife))</f>
        <v>0</v>
      </c>
      <c r="BI532" s="106">
        <f>IF(BI$3&gt;A5taxremlife,A5taxvalue-SUM($F532:BH532),IF(A5taxremlife="N/A","n/a",A5taxvalue/A5taxremlife))</f>
        <v>0</v>
      </c>
      <c r="BJ532" s="18"/>
      <c r="BK532" s="18"/>
      <c r="BL532" s="18"/>
      <c r="BM532" s="18"/>
    </row>
    <row r="533" spans="1:65" s="4" customFormat="1" ht="12.75" hidden="1" customHeight="1" outlineLevel="2">
      <c r="A533" s="240"/>
      <c r="B533" s="240"/>
      <c r="C533" s="595"/>
      <c r="D533" s="1618" t="s">
        <v>357</v>
      </c>
      <c r="E533" s="169">
        <v>0</v>
      </c>
      <c r="F533" s="35"/>
      <c r="G533" s="107"/>
      <c r="H533" s="107"/>
      <c r="I533" s="107"/>
      <c r="J533" s="107"/>
      <c r="K533" s="107"/>
      <c r="L533" s="107"/>
      <c r="M533" s="107"/>
      <c r="N533" s="107"/>
      <c r="O533" s="107"/>
      <c r="P533" s="107"/>
      <c r="Q533" s="107"/>
      <c r="R533" s="107"/>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c r="AS533" s="107"/>
      <c r="AT533" s="107"/>
      <c r="AU533" s="107"/>
      <c r="AV533" s="107"/>
      <c r="AW533" s="107"/>
      <c r="AX533" s="107"/>
      <c r="AY533" s="107"/>
      <c r="AZ533" s="107"/>
      <c r="BA533" s="107"/>
      <c r="BB533" s="107"/>
      <c r="BC533" s="107"/>
      <c r="BD533" s="107"/>
      <c r="BE533" s="107"/>
      <c r="BF533" s="107"/>
      <c r="BG533" s="107"/>
      <c r="BH533" s="107"/>
      <c r="BI533" s="107"/>
      <c r="BJ533" s="18"/>
      <c r="BK533" s="18"/>
      <c r="BL533" s="18"/>
      <c r="BM533" s="18"/>
    </row>
    <row r="534" spans="1:65" s="4" customFormat="1" hidden="1" outlineLevel="2">
      <c r="A534" s="240"/>
      <c r="B534" s="240"/>
      <c r="C534" s="595"/>
      <c r="D534" s="1618"/>
      <c r="E534" s="169">
        <v>1</v>
      </c>
      <c r="F534" s="35"/>
      <c r="G534" s="183"/>
      <c r="H534" s="107">
        <f>IF(A5taxstdlife="n/a","n/a",IF(H$3&gt;(A5taxstdlife+$E534),(('PTRM input'!$G$147+'PTRM input'!$G$113)*$G$7)-SUM($G534:G534),(('PTRM input'!$G$147+'PTRM input'!$G$113)*$G$7)/A5taxstdlife))</f>
        <v>0</v>
      </c>
      <c r="I534" s="107">
        <f>IF(A5taxstdlife="n/a","n/a",IF(I$3&gt;(A5taxstdlife+$E534),(('PTRM input'!$G$147+'PTRM input'!$G$113)*$G$7)-SUM($G534:H534),(('PTRM input'!$G$147+'PTRM input'!$G$113)*$G$7)/A5taxstdlife))</f>
        <v>0</v>
      </c>
      <c r="J534" s="107">
        <f>IF(A5taxstdlife="n/a","n/a",IF(J$3&gt;(A5taxstdlife+$E534),(('PTRM input'!$G$147+'PTRM input'!$G$113)*$G$7)-SUM($G534:I534),(('PTRM input'!$G$147+'PTRM input'!$G$113)*$G$7)/A5taxstdlife))</f>
        <v>0</v>
      </c>
      <c r="K534" s="107">
        <f>IF(A5taxstdlife="n/a","n/a",IF(K$3&gt;(A5taxstdlife+$E534),(('PTRM input'!$G$147+'PTRM input'!$G$113)*$G$7)-SUM($G534:J534),(('PTRM input'!$G$147+'PTRM input'!$G$113)*$G$7)/A5taxstdlife))</f>
        <v>0</v>
      </c>
      <c r="L534" s="107">
        <f>IF(A5taxstdlife="n/a","n/a",IF(L$3&gt;(A5taxstdlife+$E534),(('PTRM input'!$G$147+'PTRM input'!$G$113)*$G$7)-SUM($G534:K534),(('PTRM input'!$G$147+'PTRM input'!$G$113)*$G$7)/A5taxstdlife))</f>
        <v>0</v>
      </c>
      <c r="M534" s="107">
        <f>IF(A5taxstdlife="n/a","n/a",IF(M$3&gt;(A5taxstdlife+$E534),(('PTRM input'!$G$147+'PTRM input'!$G$113)*$G$7)-SUM($G534:L534),(('PTRM input'!$G$147+'PTRM input'!$G$113)*$G$7)/A5taxstdlife))</f>
        <v>0</v>
      </c>
      <c r="N534" s="107">
        <f>IF(A5taxstdlife="n/a","n/a",IF(N$3&gt;(A5taxstdlife+$E534),(('PTRM input'!$G$147+'PTRM input'!$G$113)*$G$7)-SUM($G534:M534),(('PTRM input'!$G$147+'PTRM input'!$G$113)*$G$7)/A5taxstdlife))</f>
        <v>0</v>
      </c>
      <c r="O534" s="107">
        <f>IF(A5taxstdlife="n/a","n/a",IF(O$3&gt;(A5taxstdlife+$E534),(('PTRM input'!$G$147+'PTRM input'!$G$113)*$G$7)-SUM($G534:N534),(('PTRM input'!$G$147+'PTRM input'!$G$113)*$G$7)/A5taxstdlife))</f>
        <v>0</v>
      </c>
      <c r="P534" s="107">
        <f>IF(A5taxstdlife="n/a","n/a",IF(P$3&gt;(A5taxstdlife+$E534),(('PTRM input'!$G$147+'PTRM input'!$G$113)*$G$7)-SUM($G534:O534),(('PTRM input'!$G$147+'PTRM input'!$G$113)*$G$7)/A5taxstdlife))</f>
        <v>0</v>
      </c>
      <c r="Q534" s="107">
        <f>IF(A5taxstdlife="n/a","n/a",IF(Q$3&gt;(A5taxstdlife+$E534),(('PTRM input'!$G$147+'PTRM input'!$G$113)*$G$7)-SUM($G534:P534),(('PTRM input'!$G$147+'PTRM input'!$G$113)*$G$7)/A5taxstdlife))</f>
        <v>0</v>
      </c>
      <c r="R534" s="107">
        <f>IF(A5taxstdlife="n/a","n/a",IF(R$3&gt;(A5taxstdlife+$E534),(('PTRM input'!$G$147+'PTRM input'!$G$113)*$G$7)-SUM($G534:Q534),(('PTRM input'!$G$147+'PTRM input'!$G$113)*$G$7)/A5taxstdlife))</f>
        <v>0</v>
      </c>
      <c r="S534" s="107">
        <f>IF(A5taxstdlife="n/a","n/a",IF(S$3&gt;(A5taxstdlife+$E534),(('PTRM input'!$G$147+'PTRM input'!$G$113)*$G$7)-SUM($G534:R534),(('PTRM input'!$G$147+'PTRM input'!$G$113)*$G$7)/A5taxstdlife))</f>
        <v>0</v>
      </c>
      <c r="T534" s="107">
        <f>IF(A5taxstdlife="n/a","n/a",IF(T$3&gt;(A5taxstdlife+$E534),(('PTRM input'!$G$147+'PTRM input'!$G$113)*$G$7)-SUM($G534:S534),(('PTRM input'!$G$147+'PTRM input'!$G$113)*$G$7)/A5taxstdlife))</f>
        <v>0</v>
      </c>
      <c r="U534" s="107">
        <f>IF(A5taxstdlife="n/a","n/a",IF(U$3&gt;(A5taxstdlife+$E534),(('PTRM input'!$G$147+'PTRM input'!$G$113)*$G$7)-SUM($G534:T534),(('PTRM input'!$G$147+'PTRM input'!$G$113)*$G$7)/A5taxstdlife))</f>
        <v>0</v>
      </c>
      <c r="V534" s="107">
        <f>IF(A5taxstdlife="n/a","n/a",IF(V$3&gt;(A5taxstdlife+$E534),(('PTRM input'!$G$147+'PTRM input'!$G$113)*$G$7)-SUM($G534:U534),(('PTRM input'!$G$147+'PTRM input'!$G$113)*$G$7)/A5taxstdlife))</f>
        <v>0</v>
      </c>
      <c r="W534" s="107">
        <f>IF(A5taxstdlife="n/a","n/a",IF(W$3&gt;(A5taxstdlife+$E534),(('PTRM input'!$G$147+'PTRM input'!$G$113)*$G$7)-SUM($G534:V534),(('PTRM input'!$G$147+'PTRM input'!$G$113)*$G$7)/A5taxstdlife))</f>
        <v>0</v>
      </c>
      <c r="X534" s="107">
        <f>IF(A5taxstdlife="n/a","n/a",IF(X$3&gt;(A5taxstdlife+$E534),(('PTRM input'!$G$147+'PTRM input'!$G$113)*$G$7)-SUM($G534:W534),(('PTRM input'!$G$147+'PTRM input'!$G$113)*$G$7)/A5taxstdlife))</f>
        <v>0</v>
      </c>
      <c r="Y534" s="107">
        <f>IF(A5taxstdlife="n/a","n/a",IF(Y$3&gt;(A5taxstdlife+$E534),(('PTRM input'!$G$147+'PTRM input'!$G$113)*$G$7)-SUM($G534:X534),(('PTRM input'!$G$147+'PTRM input'!$G$113)*$G$7)/A5taxstdlife))</f>
        <v>0</v>
      </c>
      <c r="Z534" s="107">
        <f>IF(A5taxstdlife="n/a","n/a",IF(Z$3&gt;(A5taxstdlife+$E534),(('PTRM input'!$G$147+'PTRM input'!$G$113)*$G$7)-SUM($G534:Y534),(('PTRM input'!$G$147+'PTRM input'!$G$113)*$G$7)/A5taxstdlife))</f>
        <v>0</v>
      </c>
      <c r="AA534" s="107">
        <f>IF(A5taxstdlife="n/a","n/a",IF(AA$3&gt;(A5taxstdlife+$E534),(('PTRM input'!$G$147+'PTRM input'!$G$113)*$G$7)-SUM($G534:Z534),(('PTRM input'!$G$147+'PTRM input'!$G$113)*$G$7)/A5taxstdlife))</f>
        <v>0</v>
      </c>
      <c r="AB534" s="107">
        <f>IF(A5taxstdlife="n/a","n/a",IF(AB$3&gt;(A5taxstdlife+$E534),(('PTRM input'!$G$147+'PTRM input'!$G$113)*$G$7)-SUM($G534:AA534),(('PTRM input'!$G$147+'PTRM input'!$G$113)*$G$7)/A5taxstdlife))</f>
        <v>0</v>
      </c>
      <c r="AC534" s="107">
        <f>IF(A5taxstdlife="n/a","n/a",IF(AC$3&gt;(A5taxstdlife+$E534),(('PTRM input'!$G$147+'PTRM input'!$G$113)*$G$7)-SUM($G534:AB534),(('PTRM input'!$G$147+'PTRM input'!$G$113)*$G$7)/A5taxstdlife))</f>
        <v>0</v>
      </c>
      <c r="AD534" s="107">
        <f>IF(A5taxstdlife="n/a","n/a",IF(AD$3&gt;(A5taxstdlife+$E534),(('PTRM input'!$G$147+'PTRM input'!$G$113)*$G$7)-SUM($G534:AC534),(('PTRM input'!$G$147+'PTRM input'!$G$113)*$G$7)/A5taxstdlife))</f>
        <v>0</v>
      </c>
      <c r="AE534" s="107">
        <f>IF(A5taxstdlife="n/a","n/a",IF(AE$3&gt;(A5taxstdlife+$E534),(('PTRM input'!$G$147+'PTRM input'!$G$113)*$G$7)-SUM($G534:AD534),(('PTRM input'!$G$147+'PTRM input'!$G$113)*$G$7)/A5taxstdlife))</f>
        <v>0</v>
      </c>
      <c r="AF534" s="107">
        <f>IF(A5taxstdlife="n/a","n/a",IF(AF$3&gt;(A5taxstdlife+$E534),(('PTRM input'!$G$147+'PTRM input'!$G$113)*$G$7)-SUM($G534:AE534),(('PTRM input'!$G$147+'PTRM input'!$G$113)*$G$7)/A5taxstdlife))</f>
        <v>0</v>
      </c>
      <c r="AG534" s="107">
        <f>IF(A5taxstdlife="n/a","n/a",IF(AG$3&gt;(A5taxstdlife+$E534),(('PTRM input'!$G$147+'PTRM input'!$G$113)*$G$7)-SUM($G534:AF534),(('PTRM input'!$G$147+'PTRM input'!$G$113)*$G$7)/A5taxstdlife))</f>
        <v>0</v>
      </c>
      <c r="AH534" s="107">
        <f>IF(A5taxstdlife="n/a","n/a",IF(AH$3&gt;(A5taxstdlife+$E534),(('PTRM input'!$G$147+'PTRM input'!$G$113)*$G$7)-SUM($G534:AG534),(('PTRM input'!$G$147+'PTRM input'!$G$113)*$G$7)/A5taxstdlife))</f>
        <v>0</v>
      </c>
      <c r="AI534" s="107">
        <f>IF(A5taxstdlife="n/a","n/a",IF(AI$3&gt;(A5taxstdlife+$E534),(('PTRM input'!$G$147+'PTRM input'!$G$113)*$G$7)-SUM($G534:AH534),(('PTRM input'!$G$147+'PTRM input'!$G$113)*$G$7)/A5taxstdlife))</f>
        <v>0</v>
      </c>
      <c r="AJ534" s="107">
        <f>IF(A5taxstdlife="n/a","n/a",IF(AJ$3&gt;(A5taxstdlife+$E534),(('PTRM input'!$G$147+'PTRM input'!$G$113)*$G$7)-SUM($G534:AI534),(('PTRM input'!$G$147+'PTRM input'!$G$113)*$G$7)/A5taxstdlife))</f>
        <v>0</v>
      </c>
      <c r="AK534" s="107">
        <f>IF(A5taxstdlife="n/a","n/a",IF(AK$3&gt;(A5taxstdlife+$E534),(('PTRM input'!$G$147+'PTRM input'!$G$113)*$G$7)-SUM($G534:AJ534),(('PTRM input'!$G$147+'PTRM input'!$G$113)*$G$7)/A5taxstdlife))</f>
        <v>0</v>
      </c>
      <c r="AL534" s="107">
        <f>IF(A5taxstdlife="n/a","n/a",IF(AL$3&gt;(A5taxstdlife+$E534),(('PTRM input'!$G$147+'PTRM input'!$G$113)*$G$7)-SUM($G534:AK534),(('PTRM input'!$G$147+'PTRM input'!$G$113)*$G$7)/A5taxstdlife))</f>
        <v>0</v>
      </c>
      <c r="AM534" s="107">
        <f>IF(A5taxstdlife="n/a","n/a",IF(AM$3&gt;(A5taxstdlife+$E534),(('PTRM input'!$G$147+'PTRM input'!$G$113)*$G$7)-SUM($G534:AL534),(('PTRM input'!$G$147+'PTRM input'!$G$113)*$G$7)/A5taxstdlife))</f>
        <v>0</v>
      </c>
      <c r="AN534" s="107">
        <f>IF(A5taxstdlife="n/a","n/a",IF(AN$3&gt;(A5taxstdlife+$E534),(('PTRM input'!$G$147+'PTRM input'!$G$113)*$G$7)-SUM($G534:AM534),(('PTRM input'!$G$147+'PTRM input'!$G$113)*$G$7)/A5taxstdlife))</f>
        <v>0</v>
      </c>
      <c r="AO534" s="107">
        <f>IF(A5taxstdlife="n/a","n/a",IF(AO$3&gt;(A5taxstdlife+$E534),(('PTRM input'!$G$147+'PTRM input'!$G$113)*$G$7)-SUM($G534:AN534),(('PTRM input'!$G$147+'PTRM input'!$G$113)*$G$7)/A5taxstdlife))</f>
        <v>0</v>
      </c>
      <c r="AP534" s="107">
        <f>IF(A5taxstdlife="n/a","n/a",IF(AP$3&gt;(A5taxstdlife+$E534),(('PTRM input'!$G$147+'PTRM input'!$G$113)*$G$7)-SUM($G534:AO534),(('PTRM input'!$G$147+'PTRM input'!$G$113)*$G$7)/A5taxstdlife))</f>
        <v>0</v>
      </c>
      <c r="AQ534" s="107">
        <f>IF(A5taxstdlife="n/a","n/a",IF(AQ$3&gt;(A5taxstdlife+$E534),(('PTRM input'!$G$147+'PTRM input'!$G$113)*$G$7)-SUM($G534:AP534),(('PTRM input'!$G$147+'PTRM input'!$G$113)*$G$7)/A5taxstdlife))</f>
        <v>0</v>
      </c>
      <c r="AR534" s="107">
        <f>IF(A5taxstdlife="n/a","n/a",IF(AR$3&gt;(A5taxstdlife+$E534),(('PTRM input'!$G$147+'PTRM input'!$G$113)*$G$7)-SUM($G534:AQ534),(('PTRM input'!$G$147+'PTRM input'!$G$113)*$G$7)/A5taxstdlife))</f>
        <v>0</v>
      </c>
      <c r="AS534" s="107">
        <f>IF(A5taxstdlife="n/a","n/a",IF(AS$3&gt;(A5taxstdlife+$E534),(('PTRM input'!$G$147+'PTRM input'!$G$113)*$G$7)-SUM($G534:AR534),(('PTRM input'!$G$147+'PTRM input'!$G$113)*$G$7)/A5taxstdlife))</f>
        <v>0</v>
      </c>
      <c r="AT534" s="107">
        <f>IF(A5taxstdlife="n/a","n/a",IF(AT$3&gt;(A5taxstdlife+$E534),(('PTRM input'!$G$147+'PTRM input'!$G$113)*$G$7)-SUM($G534:AS534),(('PTRM input'!$G$147+'PTRM input'!$G$113)*$G$7)/A5taxstdlife))</f>
        <v>0</v>
      </c>
      <c r="AU534" s="107">
        <f>IF(A5taxstdlife="n/a","n/a",IF(AU$3&gt;(A5taxstdlife+$E534),(('PTRM input'!$G$147+'PTRM input'!$G$113)*$G$7)-SUM($G534:AT534),(('PTRM input'!$G$147+'PTRM input'!$G$113)*$G$7)/A5taxstdlife))</f>
        <v>0</v>
      </c>
      <c r="AV534" s="107">
        <f>IF(A5taxstdlife="n/a","n/a",IF(AV$3&gt;(A5taxstdlife+$E534),(('PTRM input'!$G$147+'PTRM input'!$G$113)*$G$7)-SUM($G534:AU534),(('PTRM input'!$G$147+'PTRM input'!$G$113)*$G$7)/A5taxstdlife))</f>
        <v>0</v>
      </c>
      <c r="AW534" s="107">
        <f>IF(A5taxstdlife="n/a","n/a",IF(AW$3&gt;(A5taxstdlife+$E534),(('PTRM input'!$G$147+'PTRM input'!$G$113)*$G$7)-SUM($G534:AV534),(('PTRM input'!$G$147+'PTRM input'!$G$113)*$G$7)/A5taxstdlife))</f>
        <v>0</v>
      </c>
      <c r="AX534" s="107">
        <f>IF(A5taxstdlife="n/a","n/a",IF(AX$3&gt;(A5taxstdlife+$E534),(('PTRM input'!$G$147+'PTRM input'!$G$113)*$G$7)-SUM($G534:AW534),(('PTRM input'!$G$147+'PTRM input'!$G$113)*$G$7)/A5taxstdlife))</f>
        <v>0</v>
      </c>
      <c r="AY534" s="107">
        <f>IF(A5taxstdlife="n/a","n/a",IF(AY$3&gt;(A5taxstdlife+$E534),(('PTRM input'!$G$147+'PTRM input'!$G$113)*$G$7)-SUM($G534:AX534),(('PTRM input'!$G$147+'PTRM input'!$G$113)*$G$7)/A5taxstdlife))</f>
        <v>0</v>
      </c>
      <c r="AZ534" s="107">
        <f>IF(A5taxstdlife="n/a","n/a",IF(AZ$3&gt;(A5taxstdlife+$E534),(('PTRM input'!$G$147+'PTRM input'!$G$113)*$G$7)-SUM($G534:AY534),(('PTRM input'!$G$147+'PTRM input'!$G$113)*$G$7)/A5taxstdlife))</f>
        <v>0</v>
      </c>
      <c r="BA534" s="107">
        <f>IF(A5taxstdlife="n/a","n/a",IF(BA$3&gt;(A5taxstdlife+$E534),(('PTRM input'!$G$147+'PTRM input'!$G$113)*$G$7)-SUM($G534:AZ534),(('PTRM input'!$G$147+'PTRM input'!$G$113)*$G$7)/A5taxstdlife))</f>
        <v>0</v>
      </c>
      <c r="BB534" s="107">
        <f>IF(A5taxstdlife="n/a","n/a",IF(BB$3&gt;(A5taxstdlife+$E534),(('PTRM input'!$G$147+'PTRM input'!$G$113)*$G$7)-SUM($G534:BA534),(('PTRM input'!$G$147+'PTRM input'!$G$113)*$G$7)/A5taxstdlife))</f>
        <v>0</v>
      </c>
      <c r="BC534" s="107">
        <f>IF(A5taxstdlife="n/a","n/a",IF(BC$3&gt;(A5taxstdlife+$E534),(('PTRM input'!$G$147+'PTRM input'!$G$113)*$G$7)-SUM($G534:BB534),(('PTRM input'!$G$147+'PTRM input'!$G$113)*$G$7)/A5taxstdlife))</f>
        <v>0</v>
      </c>
      <c r="BD534" s="107">
        <f>IF(A5taxstdlife="n/a","n/a",IF(BD$3&gt;(A5taxstdlife+$E534),(('PTRM input'!$G$147+'PTRM input'!$G$113)*$G$7)-SUM($G534:BC534),(('PTRM input'!$G$147+'PTRM input'!$G$113)*$G$7)/A5taxstdlife))</f>
        <v>0</v>
      </c>
      <c r="BE534" s="107">
        <f>IF(A5taxstdlife="n/a","n/a",IF(BE$3&gt;(A5taxstdlife+$E534),(('PTRM input'!$G$147+'PTRM input'!$G$113)*$G$7)-SUM($G534:BD534),(('PTRM input'!$G$147+'PTRM input'!$G$113)*$G$7)/A5taxstdlife))</f>
        <v>0</v>
      </c>
      <c r="BF534" s="107">
        <f>IF(A5taxstdlife="n/a","n/a",IF(BF$3&gt;(A5taxstdlife+$E534),(('PTRM input'!$G$147+'PTRM input'!$G$113)*$G$7)-SUM($G534:BE534),(('PTRM input'!$G$147+'PTRM input'!$G$113)*$G$7)/A5taxstdlife))</f>
        <v>0</v>
      </c>
      <c r="BG534" s="107">
        <f>IF(A5taxstdlife="n/a","n/a",IF(BG$3&gt;(A5taxstdlife+$E534),(('PTRM input'!$G$147+'PTRM input'!$G$113)*$G$7)-SUM($G534:BF534),(('PTRM input'!$G$147+'PTRM input'!$G$113)*$G$7)/A5taxstdlife))</f>
        <v>0</v>
      </c>
      <c r="BH534" s="107">
        <f>IF(A5taxstdlife="n/a","n/a",IF(BH$3&gt;(A5taxstdlife+$E534),(('PTRM input'!$G$147+'PTRM input'!$G$113)*$G$7)-SUM($G534:BG534),(('PTRM input'!$G$147+'PTRM input'!$G$113)*$G$7)/A5taxstdlife))</f>
        <v>0</v>
      </c>
      <c r="BI534" s="107">
        <f>IF(A5taxstdlife="n/a","n/a",IF(BI$3&gt;(A5taxstdlife+$E534),(('PTRM input'!$G$147+'PTRM input'!$G$113)*$G$7)-SUM($G534:BH534),(('PTRM input'!$G$147+'PTRM input'!$G$113)*$G$7)/A5taxstdlife))</f>
        <v>0</v>
      </c>
      <c r="BJ534" s="18"/>
      <c r="BK534" s="18"/>
      <c r="BL534" s="18"/>
      <c r="BM534" s="18"/>
    </row>
    <row r="535" spans="1:65" s="4" customFormat="1" hidden="1" outlineLevel="2">
      <c r="A535" s="240"/>
      <c r="B535" s="240"/>
      <c r="C535" s="595"/>
      <c r="D535" s="1618"/>
      <c r="E535" s="169">
        <v>2</v>
      </c>
      <c r="F535" s="35"/>
      <c r="G535" s="184"/>
      <c r="H535" s="185"/>
      <c r="I535" s="107">
        <f>IF(A5taxstdlife="n/a","n/a",IF(I$3&gt;(A5taxstdlife+$E535),(('PTRM input'!$H$147+'PTRM input'!$H$113)*$H$7)-SUM($H535:H535),(('PTRM input'!$H$147+'PTRM input'!$H$113)*$H$7)/A5taxstdlife))</f>
        <v>0</v>
      </c>
      <c r="J535" s="107">
        <f>IF(A5taxstdlife="n/a","n/a",IF(J$3&gt;(A5taxstdlife+$E535),(('PTRM input'!$H$147+'PTRM input'!$H$113)*$H$7)-SUM($H535:I535),(('PTRM input'!$H$147+'PTRM input'!$H$113)*$H$7)/A5taxstdlife))</f>
        <v>0</v>
      </c>
      <c r="K535" s="107">
        <f>IF(A5taxstdlife="n/a","n/a",IF(K$3&gt;(A5taxstdlife+$E535),(('PTRM input'!$H$147+'PTRM input'!$H$113)*$H$7)-SUM($H535:J535),(('PTRM input'!$H$147+'PTRM input'!$H$113)*$H$7)/A5taxstdlife))</f>
        <v>0</v>
      </c>
      <c r="L535" s="107">
        <f>IF(A5taxstdlife="n/a","n/a",IF(L$3&gt;(A5taxstdlife+$E535),(('PTRM input'!$H$147+'PTRM input'!$H$113)*$H$7)-SUM($H535:K535),(('PTRM input'!$H$147+'PTRM input'!$H$113)*$H$7)/A5taxstdlife))</f>
        <v>0</v>
      </c>
      <c r="M535" s="107">
        <f>IF(A5taxstdlife="n/a","n/a",IF(M$3&gt;(A5taxstdlife+$E535),(('PTRM input'!$H$147+'PTRM input'!$H$113)*$H$7)-SUM($H535:L535),(('PTRM input'!$H$147+'PTRM input'!$H$113)*$H$7)/A5taxstdlife))</f>
        <v>0</v>
      </c>
      <c r="N535" s="107">
        <f>IF(A5taxstdlife="n/a","n/a",IF(N$3&gt;(A5taxstdlife+$E535),(('PTRM input'!$H$147+'PTRM input'!$H$113)*$H$7)-SUM($H535:M535),(('PTRM input'!$H$147+'PTRM input'!$H$113)*$H$7)/A5taxstdlife))</f>
        <v>0</v>
      </c>
      <c r="O535" s="107">
        <f>IF(A5taxstdlife="n/a","n/a",IF(O$3&gt;(A5taxstdlife+$E535),(('PTRM input'!$H$147+'PTRM input'!$H$113)*$H$7)-SUM($H535:N535),(('PTRM input'!$H$147+'PTRM input'!$H$113)*$H$7)/A5taxstdlife))</f>
        <v>0</v>
      </c>
      <c r="P535" s="107">
        <f>IF(A5taxstdlife="n/a","n/a",IF(P$3&gt;(A5taxstdlife+$E535),(('PTRM input'!$H$147+'PTRM input'!$H$113)*$H$7)-SUM($H535:O535),(('PTRM input'!$H$147+'PTRM input'!$H$113)*$H$7)/A5taxstdlife))</f>
        <v>0</v>
      </c>
      <c r="Q535" s="107">
        <f>IF(A5taxstdlife="n/a","n/a",IF(Q$3&gt;(A5taxstdlife+$E535),(('PTRM input'!$H$147+'PTRM input'!$H$113)*$H$7)-SUM($H535:P535),(('PTRM input'!$H$147+'PTRM input'!$H$113)*$H$7)/A5taxstdlife))</f>
        <v>0</v>
      </c>
      <c r="R535" s="107">
        <f>IF(A5taxstdlife="n/a","n/a",IF(R$3&gt;(A5taxstdlife+$E535),(('PTRM input'!$H$147+'PTRM input'!$H$113)*$H$7)-SUM($H535:Q535),(('PTRM input'!$H$147+'PTRM input'!$H$113)*$H$7)/A5taxstdlife))</f>
        <v>0</v>
      </c>
      <c r="S535" s="107">
        <f>IF(A5taxstdlife="n/a","n/a",IF(S$3&gt;(A5taxstdlife+$E535),(('PTRM input'!$H$147+'PTRM input'!$H$113)*$H$7)-SUM($H535:R535),(('PTRM input'!$H$147+'PTRM input'!$H$113)*$H$7)/A5taxstdlife))</f>
        <v>0</v>
      </c>
      <c r="T535" s="107">
        <f>IF(A5taxstdlife="n/a","n/a",IF(T$3&gt;(A5taxstdlife+$E535),(('PTRM input'!$H$147+'PTRM input'!$H$113)*$H$7)-SUM($H535:S535),(('PTRM input'!$H$147+'PTRM input'!$H$113)*$H$7)/A5taxstdlife))</f>
        <v>0</v>
      </c>
      <c r="U535" s="107">
        <f>IF(A5taxstdlife="n/a","n/a",IF(U$3&gt;(A5taxstdlife+$E535),(('PTRM input'!$H$147+'PTRM input'!$H$113)*$H$7)-SUM($H535:T535),(('PTRM input'!$H$147+'PTRM input'!$H$113)*$H$7)/A5taxstdlife))</f>
        <v>0</v>
      </c>
      <c r="V535" s="107">
        <f>IF(A5taxstdlife="n/a","n/a",IF(V$3&gt;(A5taxstdlife+$E535),(('PTRM input'!$H$147+'PTRM input'!$H$113)*$H$7)-SUM($H535:U535),(('PTRM input'!$H$147+'PTRM input'!$H$113)*$H$7)/A5taxstdlife))</f>
        <v>0</v>
      </c>
      <c r="W535" s="107">
        <f>IF(A5taxstdlife="n/a","n/a",IF(W$3&gt;(A5taxstdlife+$E535),(('PTRM input'!$H$147+'PTRM input'!$H$113)*$H$7)-SUM($H535:V535),(('PTRM input'!$H$147+'PTRM input'!$H$113)*$H$7)/A5taxstdlife))</f>
        <v>0</v>
      </c>
      <c r="X535" s="107">
        <f>IF(A5taxstdlife="n/a","n/a",IF(X$3&gt;(A5taxstdlife+$E535),(('PTRM input'!$H$147+'PTRM input'!$H$113)*$H$7)-SUM($H535:W535),(('PTRM input'!$H$147+'PTRM input'!$H$113)*$H$7)/A5taxstdlife))</f>
        <v>0</v>
      </c>
      <c r="Y535" s="107">
        <f>IF(A5taxstdlife="n/a","n/a",IF(Y$3&gt;(A5taxstdlife+$E535),(('PTRM input'!$H$147+'PTRM input'!$H$113)*$H$7)-SUM($H535:X535),(('PTRM input'!$H$147+'PTRM input'!$H$113)*$H$7)/A5taxstdlife))</f>
        <v>0</v>
      </c>
      <c r="Z535" s="107">
        <f>IF(A5taxstdlife="n/a","n/a",IF(Z$3&gt;(A5taxstdlife+$E535),(('PTRM input'!$H$147+'PTRM input'!$H$113)*$H$7)-SUM($H535:Y535),(('PTRM input'!$H$147+'PTRM input'!$H$113)*$H$7)/A5taxstdlife))</f>
        <v>0</v>
      </c>
      <c r="AA535" s="107">
        <f>IF(A5taxstdlife="n/a","n/a",IF(AA$3&gt;(A5taxstdlife+$E535),(('PTRM input'!$H$147+'PTRM input'!$H$113)*$H$7)-SUM($H535:Z535),(('PTRM input'!$H$147+'PTRM input'!$H$113)*$H$7)/A5taxstdlife))</f>
        <v>0</v>
      </c>
      <c r="AB535" s="107">
        <f>IF(A5taxstdlife="n/a","n/a",IF(AB$3&gt;(A5taxstdlife+$E535),(('PTRM input'!$H$147+'PTRM input'!$H$113)*$H$7)-SUM($H535:AA535),(('PTRM input'!$H$147+'PTRM input'!$H$113)*$H$7)/A5taxstdlife))</f>
        <v>0</v>
      </c>
      <c r="AC535" s="107">
        <f>IF(A5taxstdlife="n/a","n/a",IF(AC$3&gt;(A5taxstdlife+$E535),(('PTRM input'!$H$147+'PTRM input'!$H$113)*$H$7)-SUM($H535:AB535),(('PTRM input'!$H$147+'PTRM input'!$H$113)*$H$7)/A5taxstdlife))</f>
        <v>0</v>
      </c>
      <c r="AD535" s="107">
        <f>IF(A5taxstdlife="n/a","n/a",IF(AD$3&gt;(A5taxstdlife+$E535),(('PTRM input'!$H$147+'PTRM input'!$H$113)*$H$7)-SUM($H535:AC535),(('PTRM input'!$H$147+'PTRM input'!$H$113)*$H$7)/A5taxstdlife))</f>
        <v>0</v>
      </c>
      <c r="AE535" s="107">
        <f>IF(A5taxstdlife="n/a","n/a",IF(AE$3&gt;(A5taxstdlife+$E535),(('PTRM input'!$H$147+'PTRM input'!$H$113)*$H$7)-SUM($H535:AD535),(('PTRM input'!$H$147+'PTRM input'!$H$113)*$H$7)/A5taxstdlife))</f>
        <v>0</v>
      </c>
      <c r="AF535" s="107">
        <f>IF(A5taxstdlife="n/a","n/a",IF(AF$3&gt;(A5taxstdlife+$E535),(('PTRM input'!$H$147+'PTRM input'!$H$113)*$H$7)-SUM($H535:AE535),(('PTRM input'!$H$147+'PTRM input'!$H$113)*$H$7)/A5taxstdlife))</f>
        <v>0</v>
      </c>
      <c r="AG535" s="107">
        <f>IF(A5taxstdlife="n/a","n/a",IF(AG$3&gt;(A5taxstdlife+$E535),(('PTRM input'!$H$147+'PTRM input'!$H$113)*$H$7)-SUM($H535:AF535),(('PTRM input'!$H$147+'PTRM input'!$H$113)*$H$7)/A5taxstdlife))</f>
        <v>0</v>
      </c>
      <c r="AH535" s="107">
        <f>IF(A5taxstdlife="n/a","n/a",IF(AH$3&gt;(A5taxstdlife+$E535),(('PTRM input'!$H$147+'PTRM input'!$H$113)*$H$7)-SUM($H535:AG535),(('PTRM input'!$H$147+'PTRM input'!$H$113)*$H$7)/A5taxstdlife))</f>
        <v>0</v>
      </c>
      <c r="AI535" s="107">
        <f>IF(A5taxstdlife="n/a","n/a",IF(AI$3&gt;(A5taxstdlife+$E535),(('PTRM input'!$H$147+'PTRM input'!$H$113)*$H$7)-SUM($H535:AH535),(('PTRM input'!$H$147+'PTRM input'!$H$113)*$H$7)/A5taxstdlife))</f>
        <v>0</v>
      </c>
      <c r="AJ535" s="107">
        <f>IF(A5taxstdlife="n/a","n/a",IF(AJ$3&gt;(A5taxstdlife+$E535),(('PTRM input'!$H$147+'PTRM input'!$H$113)*$H$7)-SUM($H535:AI535),(('PTRM input'!$H$147+'PTRM input'!$H$113)*$H$7)/A5taxstdlife))</f>
        <v>0</v>
      </c>
      <c r="AK535" s="107">
        <f>IF(A5taxstdlife="n/a","n/a",IF(AK$3&gt;(A5taxstdlife+$E535),(('PTRM input'!$H$147+'PTRM input'!$H$113)*$H$7)-SUM($H535:AJ535),(('PTRM input'!$H$147+'PTRM input'!$H$113)*$H$7)/A5taxstdlife))</f>
        <v>0</v>
      </c>
      <c r="AL535" s="107">
        <f>IF(A5taxstdlife="n/a","n/a",IF(AL$3&gt;(A5taxstdlife+$E535),(('PTRM input'!$H$147+'PTRM input'!$H$113)*$H$7)-SUM($H535:AK535),(('PTRM input'!$H$147+'PTRM input'!$H$113)*$H$7)/A5taxstdlife))</f>
        <v>0</v>
      </c>
      <c r="AM535" s="107">
        <f>IF(A5taxstdlife="n/a","n/a",IF(AM$3&gt;(A5taxstdlife+$E535),(('PTRM input'!$H$147+'PTRM input'!$H$113)*$H$7)-SUM($H535:AL535),(('PTRM input'!$H$147+'PTRM input'!$H$113)*$H$7)/A5taxstdlife))</f>
        <v>0</v>
      </c>
      <c r="AN535" s="107">
        <f>IF(A5taxstdlife="n/a","n/a",IF(AN$3&gt;(A5taxstdlife+$E535),(('PTRM input'!$H$147+'PTRM input'!$H$113)*$H$7)-SUM($H535:AM535),(('PTRM input'!$H$147+'PTRM input'!$H$113)*$H$7)/A5taxstdlife))</f>
        <v>0</v>
      </c>
      <c r="AO535" s="107">
        <f>IF(A5taxstdlife="n/a","n/a",IF(AO$3&gt;(A5taxstdlife+$E535),(('PTRM input'!$H$147+'PTRM input'!$H$113)*$H$7)-SUM($H535:AN535),(('PTRM input'!$H$147+'PTRM input'!$H$113)*$H$7)/A5taxstdlife))</f>
        <v>0</v>
      </c>
      <c r="AP535" s="107">
        <f>IF(A5taxstdlife="n/a","n/a",IF(AP$3&gt;(A5taxstdlife+$E535),(('PTRM input'!$H$147+'PTRM input'!$H$113)*$H$7)-SUM($H535:AO535),(('PTRM input'!$H$147+'PTRM input'!$H$113)*$H$7)/A5taxstdlife))</f>
        <v>0</v>
      </c>
      <c r="AQ535" s="107">
        <f>IF(A5taxstdlife="n/a","n/a",IF(AQ$3&gt;(A5taxstdlife+$E535),(('PTRM input'!$H$147+'PTRM input'!$H$113)*$H$7)-SUM($H535:AP535),(('PTRM input'!$H$147+'PTRM input'!$H$113)*$H$7)/A5taxstdlife))</f>
        <v>0</v>
      </c>
      <c r="AR535" s="107">
        <f>IF(A5taxstdlife="n/a","n/a",IF(AR$3&gt;(A5taxstdlife+$E535),(('PTRM input'!$H$147+'PTRM input'!$H$113)*$H$7)-SUM($H535:AQ535),(('PTRM input'!$H$147+'PTRM input'!$H$113)*$H$7)/A5taxstdlife))</f>
        <v>0</v>
      </c>
      <c r="AS535" s="107">
        <f>IF(A5taxstdlife="n/a","n/a",IF(AS$3&gt;(A5taxstdlife+$E535),(('PTRM input'!$H$147+'PTRM input'!$H$113)*$H$7)-SUM($H535:AR535),(('PTRM input'!$H$147+'PTRM input'!$H$113)*$H$7)/A5taxstdlife))</f>
        <v>0</v>
      </c>
      <c r="AT535" s="107">
        <f>IF(A5taxstdlife="n/a","n/a",IF(AT$3&gt;(A5taxstdlife+$E535),(('PTRM input'!$H$147+'PTRM input'!$H$113)*$H$7)-SUM($H535:AS535),(('PTRM input'!$H$147+'PTRM input'!$H$113)*$H$7)/A5taxstdlife))</f>
        <v>0</v>
      </c>
      <c r="AU535" s="107">
        <f>IF(A5taxstdlife="n/a","n/a",IF(AU$3&gt;(A5taxstdlife+$E535),(('PTRM input'!$H$147+'PTRM input'!$H$113)*$H$7)-SUM($H535:AT535),(('PTRM input'!$H$147+'PTRM input'!$H$113)*$H$7)/A5taxstdlife))</f>
        <v>0</v>
      </c>
      <c r="AV535" s="107">
        <f>IF(A5taxstdlife="n/a","n/a",IF(AV$3&gt;(A5taxstdlife+$E535),(('PTRM input'!$H$147+'PTRM input'!$H$113)*$H$7)-SUM($H535:AU535),(('PTRM input'!$H$147+'PTRM input'!$H$113)*$H$7)/A5taxstdlife))</f>
        <v>0</v>
      </c>
      <c r="AW535" s="107">
        <f>IF(A5taxstdlife="n/a","n/a",IF(AW$3&gt;(A5taxstdlife+$E535),(('PTRM input'!$H$147+'PTRM input'!$H$113)*$H$7)-SUM($H535:AV535),(('PTRM input'!$H$147+'PTRM input'!$H$113)*$H$7)/A5taxstdlife))</f>
        <v>0</v>
      </c>
      <c r="AX535" s="107">
        <f>IF(A5taxstdlife="n/a","n/a",IF(AX$3&gt;(A5taxstdlife+$E535),(('PTRM input'!$H$147+'PTRM input'!$H$113)*$H$7)-SUM($H535:AW535),(('PTRM input'!$H$147+'PTRM input'!$H$113)*$H$7)/A5taxstdlife))</f>
        <v>0</v>
      </c>
      <c r="AY535" s="107">
        <f>IF(A5taxstdlife="n/a","n/a",IF(AY$3&gt;(A5taxstdlife+$E535),(('PTRM input'!$H$147+'PTRM input'!$H$113)*$H$7)-SUM($H535:AX535),(('PTRM input'!$H$147+'PTRM input'!$H$113)*$H$7)/A5taxstdlife))</f>
        <v>0</v>
      </c>
      <c r="AZ535" s="107">
        <f>IF(A5taxstdlife="n/a","n/a",IF(AZ$3&gt;(A5taxstdlife+$E535),(('PTRM input'!$H$147+'PTRM input'!$H$113)*$H$7)-SUM($H535:AY535),(('PTRM input'!$H$147+'PTRM input'!$H$113)*$H$7)/A5taxstdlife))</f>
        <v>0</v>
      </c>
      <c r="BA535" s="107">
        <f>IF(A5taxstdlife="n/a","n/a",IF(BA$3&gt;(A5taxstdlife+$E535),(('PTRM input'!$H$147+'PTRM input'!$H$113)*$H$7)-SUM($H535:AZ535),(('PTRM input'!$H$147+'PTRM input'!$H$113)*$H$7)/A5taxstdlife))</f>
        <v>0</v>
      </c>
      <c r="BB535" s="107">
        <f>IF(A5taxstdlife="n/a","n/a",IF(BB$3&gt;(A5taxstdlife+$E535),(('PTRM input'!$H$147+'PTRM input'!$H$113)*$H$7)-SUM($H535:BA535),(('PTRM input'!$H$147+'PTRM input'!$H$113)*$H$7)/A5taxstdlife))</f>
        <v>0</v>
      </c>
      <c r="BC535" s="107">
        <f>IF(A5taxstdlife="n/a","n/a",IF(BC$3&gt;(A5taxstdlife+$E535),(('PTRM input'!$H$147+'PTRM input'!$H$113)*$H$7)-SUM($H535:BB535),(('PTRM input'!$H$147+'PTRM input'!$H$113)*$H$7)/A5taxstdlife))</f>
        <v>0</v>
      </c>
      <c r="BD535" s="107">
        <f>IF(A5taxstdlife="n/a","n/a",IF(BD$3&gt;(A5taxstdlife+$E535),(('PTRM input'!$H$147+'PTRM input'!$H$113)*$H$7)-SUM($H535:BC535),(('PTRM input'!$H$147+'PTRM input'!$H$113)*$H$7)/A5taxstdlife))</f>
        <v>0</v>
      </c>
      <c r="BE535" s="107">
        <f>IF(A5taxstdlife="n/a","n/a",IF(BE$3&gt;(A5taxstdlife+$E535),(('PTRM input'!$H$147+'PTRM input'!$H$113)*$H$7)-SUM($H535:BD535),(('PTRM input'!$H$147+'PTRM input'!$H$113)*$H$7)/A5taxstdlife))</f>
        <v>0</v>
      </c>
      <c r="BF535" s="107">
        <f>IF(A5taxstdlife="n/a","n/a",IF(BF$3&gt;(A5taxstdlife+$E535),(('PTRM input'!$H$147+'PTRM input'!$H$113)*$H$7)-SUM($H535:BE535),(('PTRM input'!$H$147+'PTRM input'!$H$113)*$H$7)/A5taxstdlife))</f>
        <v>0</v>
      </c>
      <c r="BG535" s="107">
        <f>IF(A5taxstdlife="n/a","n/a",IF(BG$3&gt;(A5taxstdlife+$E535),(('PTRM input'!$H$147+'PTRM input'!$H$113)*$H$7)-SUM($H535:BF535),(('PTRM input'!$H$147+'PTRM input'!$H$113)*$H$7)/A5taxstdlife))</f>
        <v>0</v>
      </c>
      <c r="BH535" s="107">
        <f>IF(A5taxstdlife="n/a","n/a",IF(BH$3&gt;(A5taxstdlife+$E535),(('PTRM input'!$H$147+'PTRM input'!$H$113)*$H$7)-SUM($H535:BG535),(('PTRM input'!$H$147+'PTRM input'!$H$113)*$H$7)/A5taxstdlife))</f>
        <v>0</v>
      </c>
      <c r="BI535" s="107">
        <f>IF(A5taxstdlife="n/a","n/a",IF(BI$3&gt;(A5taxstdlife+$E535),(('PTRM input'!$H$147+'PTRM input'!$H$113)*$H$7)-SUM($H535:BH535),(('PTRM input'!$H$147+'PTRM input'!$H$113)*$H$7)/A5taxstdlife))</f>
        <v>0</v>
      </c>
      <c r="BJ535" s="18"/>
      <c r="BK535" s="18"/>
      <c r="BL535" s="18"/>
      <c r="BM535" s="18"/>
    </row>
    <row r="536" spans="1:65" s="4" customFormat="1" hidden="1" outlineLevel="2">
      <c r="A536" s="240"/>
      <c r="B536" s="240"/>
      <c r="C536" s="595"/>
      <c r="D536" s="1618"/>
      <c r="E536" s="169">
        <v>3</v>
      </c>
      <c r="F536" s="35"/>
      <c r="G536" s="184"/>
      <c r="H536" s="186"/>
      <c r="I536" s="185"/>
      <c r="J536" s="107">
        <f>IF(A5taxstdlife="n/a","n/a",IF(J$3&gt;(A5taxstdlife+$E536),(('PTRM input'!$I$147+'PTRM input'!$I$113)*$I$7)-SUM($I536:I536),(('PTRM input'!$I$147+'PTRM input'!$I$113)*$I$7)/A5taxstdlife))</f>
        <v>0</v>
      </c>
      <c r="K536" s="107">
        <f>IF(A5taxstdlife="n/a","n/a",IF(K$3&gt;(A5taxstdlife+$E536),(('PTRM input'!$I$147+'PTRM input'!$I$113)*$I$7)-SUM($I536:J536),(('PTRM input'!$I$147+'PTRM input'!$I$113)*$I$7)/A5taxstdlife))</f>
        <v>0</v>
      </c>
      <c r="L536" s="107">
        <f>IF(A5taxstdlife="n/a","n/a",IF(L$3&gt;(A5taxstdlife+$E536),(('PTRM input'!$I$147+'PTRM input'!$I$113)*$I$7)-SUM($I536:K536),(('PTRM input'!$I$147+'PTRM input'!$I$113)*$I$7)/A5taxstdlife))</f>
        <v>0</v>
      </c>
      <c r="M536" s="107">
        <f>IF(A5taxstdlife="n/a","n/a",IF(M$3&gt;(A5taxstdlife+$E536),(('PTRM input'!$I$147+'PTRM input'!$I$113)*$I$7)-SUM($I536:L536),(('PTRM input'!$I$147+'PTRM input'!$I$113)*$I$7)/A5taxstdlife))</f>
        <v>0</v>
      </c>
      <c r="N536" s="107">
        <f>IF(A5taxstdlife="n/a","n/a",IF(N$3&gt;(A5taxstdlife+$E536),(('PTRM input'!$I$147+'PTRM input'!$I$113)*$I$7)-SUM($I536:M536),(('PTRM input'!$I$147+'PTRM input'!$I$113)*$I$7)/A5taxstdlife))</f>
        <v>0</v>
      </c>
      <c r="O536" s="107">
        <f>IF(A5taxstdlife="n/a","n/a",IF(O$3&gt;(A5taxstdlife+$E536),(('PTRM input'!$I$147+'PTRM input'!$I$113)*$I$7)-SUM($I536:N536),(('PTRM input'!$I$147+'PTRM input'!$I$113)*$I$7)/A5taxstdlife))</f>
        <v>0</v>
      </c>
      <c r="P536" s="107">
        <f>IF(A5taxstdlife="n/a","n/a",IF(P$3&gt;(A5taxstdlife+$E536),(('PTRM input'!$I$147+'PTRM input'!$I$113)*$I$7)-SUM($I536:O536),(('PTRM input'!$I$147+'PTRM input'!$I$113)*$I$7)/A5taxstdlife))</f>
        <v>0</v>
      </c>
      <c r="Q536" s="107">
        <f>IF(A5taxstdlife="n/a","n/a",IF(Q$3&gt;(A5taxstdlife+$E536),(('PTRM input'!$I$147+'PTRM input'!$I$113)*$I$7)-SUM($I536:P536),(('PTRM input'!$I$147+'PTRM input'!$I$113)*$I$7)/A5taxstdlife))</f>
        <v>0</v>
      </c>
      <c r="R536" s="107">
        <f>IF(A5taxstdlife="n/a","n/a",IF(R$3&gt;(A5taxstdlife+$E536),(('PTRM input'!$I$147+'PTRM input'!$I$113)*$I$7)-SUM($I536:Q536),(('PTRM input'!$I$147+'PTRM input'!$I$113)*$I$7)/A5taxstdlife))</f>
        <v>0</v>
      </c>
      <c r="S536" s="107">
        <f>IF(A5taxstdlife="n/a","n/a",IF(S$3&gt;(A5taxstdlife+$E536),(('PTRM input'!$I$147+'PTRM input'!$I$113)*$I$7)-SUM($I536:R536),(('PTRM input'!$I$147+'PTRM input'!$I$113)*$I$7)/A5taxstdlife))</f>
        <v>0</v>
      </c>
      <c r="T536" s="107">
        <f>IF(A5taxstdlife="n/a","n/a",IF(T$3&gt;(A5taxstdlife+$E536),(('PTRM input'!$I$147+'PTRM input'!$I$113)*$I$7)-SUM($I536:S536),(('PTRM input'!$I$147+'PTRM input'!$I$113)*$I$7)/A5taxstdlife))</f>
        <v>0</v>
      </c>
      <c r="U536" s="107">
        <f>IF(A5taxstdlife="n/a","n/a",IF(U$3&gt;(A5taxstdlife+$E536),(('PTRM input'!$I$147+'PTRM input'!$I$113)*$I$7)-SUM($I536:T536),(('PTRM input'!$I$147+'PTRM input'!$I$113)*$I$7)/A5taxstdlife))</f>
        <v>0</v>
      </c>
      <c r="V536" s="107">
        <f>IF(A5taxstdlife="n/a","n/a",IF(V$3&gt;(A5taxstdlife+$E536),(('PTRM input'!$I$147+'PTRM input'!$I$113)*$I$7)-SUM($I536:U536),(('PTRM input'!$I$147+'PTRM input'!$I$113)*$I$7)/A5taxstdlife))</f>
        <v>0</v>
      </c>
      <c r="W536" s="107">
        <f>IF(A5taxstdlife="n/a","n/a",IF(W$3&gt;(A5taxstdlife+$E536),(('PTRM input'!$I$147+'PTRM input'!$I$113)*$I$7)-SUM($I536:V536),(('PTRM input'!$I$147+'PTRM input'!$I$113)*$I$7)/A5taxstdlife))</f>
        <v>0</v>
      </c>
      <c r="X536" s="107">
        <f>IF(A5taxstdlife="n/a","n/a",IF(X$3&gt;(A5taxstdlife+$E536),(('PTRM input'!$I$147+'PTRM input'!$I$113)*$I$7)-SUM($I536:W536),(('PTRM input'!$I$147+'PTRM input'!$I$113)*$I$7)/A5taxstdlife))</f>
        <v>0</v>
      </c>
      <c r="Y536" s="107">
        <f>IF(A5taxstdlife="n/a","n/a",IF(Y$3&gt;(A5taxstdlife+$E536),(('PTRM input'!$I$147+'PTRM input'!$I$113)*$I$7)-SUM($I536:X536),(('PTRM input'!$I$147+'PTRM input'!$I$113)*$I$7)/A5taxstdlife))</f>
        <v>0</v>
      </c>
      <c r="Z536" s="107">
        <f>IF(A5taxstdlife="n/a","n/a",IF(Z$3&gt;(A5taxstdlife+$E536),(('PTRM input'!$I$147+'PTRM input'!$I$113)*$I$7)-SUM($I536:Y536),(('PTRM input'!$I$147+'PTRM input'!$I$113)*$I$7)/A5taxstdlife))</f>
        <v>0</v>
      </c>
      <c r="AA536" s="107">
        <f>IF(A5taxstdlife="n/a","n/a",IF(AA$3&gt;(A5taxstdlife+$E536),(('PTRM input'!$I$147+'PTRM input'!$I$113)*$I$7)-SUM($I536:Z536),(('PTRM input'!$I$147+'PTRM input'!$I$113)*$I$7)/A5taxstdlife))</f>
        <v>0</v>
      </c>
      <c r="AB536" s="107">
        <f>IF(A5taxstdlife="n/a","n/a",IF(AB$3&gt;(A5taxstdlife+$E536),(('PTRM input'!$I$147+'PTRM input'!$I$113)*$I$7)-SUM($I536:AA536),(('PTRM input'!$I$147+'PTRM input'!$I$113)*$I$7)/A5taxstdlife))</f>
        <v>0</v>
      </c>
      <c r="AC536" s="107">
        <f>IF(A5taxstdlife="n/a","n/a",IF(AC$3&gt;(A5taxstdlife+$E536),(('PTRM input'!$I$147+'PTRM input'!$I$113)*$I$7)-SUM($I536:AB536),(('PTRM input'!$I$147+'PTRM input'!$I$113)*$I$7)/A5taxstdlife))</f>
        <v>0</v>
      </c>
      <c r="AD536" s="107">
        <f>IF(A5taxstdlife="n/a","n/a",IF(AD$3&gt;(A5taxstdlife+$E536),(('PTRM input'!$I$147+'PTRM input'!$I$113)*$I$7)-SUM($I536:AC536),(('PTRM input'!$I$147+'PTRM input'!$I$113)*$I$7)/A5taxstdlife))</f>
        <v>0</v>
      </c>
      <c r="AE536" s="107">
        <f>IF(A5taxstdlife="n/a","n/a",IF(AE$3&gt;(A5taxstdlife+$E536),(('PTRM input'!$I$147+'PTRM input'!$I$113)*$I$7)-SUM($I536:AD536),(('PTRM input'!$I$147+'PTRM input'!$I$113)*$I$7)/A5taxstdlife))</f>
        <v>0</v>
      </c>
      <c r="AF536" s="107">
        <f>IF(A5taxstdlife="n/a","n/a",IF(AF$3&gt;(A5taxstdlife+$E536),(('PTRM input'!$I$147+'PTRM input'!$I$113)*$I$7)-SUM($I536:AE536),(('PTRM input'!$I$147+'PTRM input'!$I$113)*$I$7)/A5taxstdlife))</f>
        <v>0</v>
      </c>
      <c r="AG536" s="107">
        <f>IF(A5taxstdlife="n/a","n/a",IF(AG$3&gt;(A5taxstdlife+$E536),(('PTRM input'!$I$147+'PTRM input'!$I$113)*$I$7)-SUM($I536:AF536),(('PTRM input'!$I$147+'PTRM input'!$I$113)*$I$7)/A5taxstdlife))</f>
        <v>0</v>
      </c>
      <c r="AH536" s="107">
        <f>IF(A5taxstdlife="n/a","n/a",IF(AH$3&gt;(A5taxstdlife+$E536),(('PTRM input'!$I$147+'PTRM input'!$I$113)*$I$7)-SUM($I536:AG536),(('PTRM input'!$I$147+'PTRM input'!$I$113)*$I$7)/A5taxstdlife))</f>
        <v>0</v>
      </c>
      <c r="AI536" s="107">
        <f>IF(A5taxstdlife="n/a","n/a",IF(AI$3&gt;(A5taxstdlife+$E536),(('PTRM input'!$I$147+'PTRM input'!$I$113)*$I$7)-SUM($I536:AH536),(('PTRM input'!$I$147+'PTRM input'!$I$113)*$I$7)/A5taxstdlife))</f>
        <v>0</v>
      </c>
      <c r="AJ536" s="107">
        <f>IF(A5taxstdlife="n/a","n/a",IF(AJ$3&gt;(A5taxstdlife+$E536),(('PTRM input'!$I$147+'PTRM input'!$I$113)*$I$7)-SUM($I536:AI536),(('PTRM input'!$I$147+'PTRM input'!$I$113)*$I$7)/A5taxstdlife))</f>
        <v>0</v>
      </c>
      <c r="AK536" s="107">
        <f>IF(A5taxstdlife="n/a","n/a",IF(AK$3&gt;(A5taxstdlife+$E536),(('PTRM input'!$I$147+'PTRM input'!$I$113)*$I$7)-SUM($I536:AJ536),(('PTRM input'!$I$147+'PTRM input'!$I$113)*$I$7)/A5taxstdlife))</f>
        <v>0</v>
      </c>
      <c r="AL536" s="107">
        <f>IF(A5taxstdlife="n/a","n/a",IF(AL$3&gt;(A5taxstdlife+$E536),(('PTRM input'!$I$147+'PTRM input'!$I$113)*$I$7)-SUM($I536:AK536),(('PTRM input'!$I$147+'PTRM input'!$I$113)*$I$7)/A5taxstdlife))</f>
        <v>0</v>
      </c>
      <c r="AM536" s="107">
        <f>IF(A5taxstdlife="n/a","n/a",IF(AM$3&gt;(A5taxstdlife+$E536),(('PTRM input'!$I$147+'PTRM input'!$I$113)*$I$7)-SUM($I536:AL536),(('PTRM input'!$I$147+'PTRM input'!$I$113)*$I$7)/A5taxstdlife))</f>
        <v>0</v>
      </c>
      <c r="AN536" s="107">
        <f>IF(A5taxstdlife="n/a","n/a",IF(AN$3&gt;(A5taxstdlife+$E536),(('PTRM input'!$I$147+'PTRM input'!$I$113)*$I$7)-SUM($I536:AM536),(('PTRM input'!$I$147+'PTRM input'!$I$113)*$I$7)/A5taxstdlife))</f>
        <v>0</v>
      </c>
      <c r="AO536" s="107">
        <f>IF(A5taxstdlife="n/a","n/a",IF(AO$3&gt;(A5taxstdlife+$E536),(('PTRM input'!$I$147+'PTRM input'!$I$113)*$I$7)-SUM($I536:AN536),(('PTRM input'!$I$147+'PTRM input'!$I$113)*$I$7)/A5taxstdlife))</f>
        <v>0</v>
      </c>
      <c r="AP536" s="107">
        <f>IF(A5taxstdlife="n/a","n/a",IF(AP$3&gt;(A5taxstdlife+$E536),(('PTRM input'!$I$147+'PTRM input'!$I$113)*$I$7)-SUM($I536:AO536),(('PTRM input'!$I$147+'PTRM input'!$I$113)*$I$7)/A5taxstdlife))</f>
        <v>0</v>
      </c>
      <c r="AQ536" s="107">
        <f>IF(A5taxstdlife="n/a","n/a",IF(AQ$3&gt;(A5taxstdlife+$E536),(('PTRM input'!$I$147+'PTRM input'!$I$113)*$I$7)-SUM($I536:AP536),(('PTRM input'!$I$147+'PTRM input'!$I$113)*$I$7)/A5taxstdlife))</f>
        <v>0</v>
      </c>
      <c r="AR536" s="107">
        <f>IF(A5taxstdlife="n/a","n/a",IF(AR$3&gt;(A5taxstdlife+$E536),(('PTRM input'!$I$147+'PTRM input'!$I$113)*$I$7)-SUM($I536:AQ536),(('PTRM input'!$I$147+'PTRM input'!$I$113)*$I$7)/A5taxstdlife))</f>
        <v>0</v>
      </c>
      <c r="AS536" s="107">
        <f>IF(A5taxstdlife="n/a","n/a",IF(AS$3&gt;(A5taxstdlife+$E536),(('PTRM input'!$I$147+'PTRM input'!$I$113)*$I$7)-SUM($I536:AR536),(('PTRM input'!$I$147+'PTRM input'!$I$113)*$I$7)/A5taxstdlife))</f>
        <v>0</v>
      </c>
      <c r="AT536" s="107">
        <f>IF(A5taxstdlife="n/a","n/a",IF(AT$3&gt;(A5taxstdlife+$E536),(('PTRM input'!$I$147+'PTRM input'!$I$113)*$I$7)-SUM($I536:AS536),(('PTRM input'!$I$147+'PTRM input'!$I$113)*$I$7)/A5taxstdlife))</f>
        <v>0</v>
      </c>
      <c r="AU536" s="107">
        <f>IF(A5taxstdlife="n/a","n/a",IF(AU$3&gt;(A5taxstdlife+$E536),(('PTRM input'!$I$147+'PTRM input'!$I$113)*$I$7)-SUM($I536:AT536),(('PTRM input'!$I$147+'PTRM input'!$I$113)*$I$7)/A5taxstdlife))</f>
        <v>0</v>
      </c>
      <c r="AV536" s="107">
        <f>IF(A5taxstdlife="n/a","n/a",IF(AV$3&gt;(A5taxstdlife+$E536),(('PTRM input'!$I$147+'PTRM input'!$I$113)*$I$7)-SUM($I536:AU536),(('PTRM input'!$I$147+'PTRM input'!$I$113)*$I$7)/A5taxstdlife))</f>
        <v>0</v>
      </c>
      <c r="AW536" s="107">
        <f>IF(A5taxstdlife="n/a","n/a",IF(AW$3&gt;(A5taxstdlife+$E536),(('PTRM input'!$I$147+'PTRM input'!$I$113)*$I$7)-SUM($I536:AV536),(('PTRM input'!$I$147+'PTRM input'!$I$113)*$I$7)/A5taxstdlife))</f>
        <v>0</v>
      </c>
      <c r="AX536" s="107">
        <f>IF(A5taxstdlife="n/a","n/a",IF(AX$3&gt;(A5taxstdlife+$E536),(('PTRM input'!$I$147+'PTRM input'!$I$113)*$I$7)-SUM($I536:AW536),(('PTRM input'!$I$147+'PTRM input'!$I$113)*$I$7)/A5taxstdlife))</f>
        <v>0</v>
      </c>
      <c r="AY536" s="107">
        <f>IF(A5taxstdlife="n/a","n/a",IF(AY$3&gt;(A5taxstdlife+$E536),(('PTRM input'!$I$147+'PTRM input'!$I$113)*$I$7)-SUM($I536:AX536),(('PTRM input'!$I$147+'PTRM input'!$I$113)*$I$7)/A5taxstdlife))</f>
        <v>0</v>
      </c>
      <c r="AZ536" s="107">
        <f>IF(A5taxstdlife="n/a","n/a",IF(AZ$3&gt;(A5taxstdlife+$E536),(('PTRM input'!$I$147+'PTRM input'!$I$113)*$I$7)-SUM($I536:AY536),(('PTRM input'!$I$147+'PTRM input'!$I$113)*$I$7)/A5taxstdlife))</f>
        <v>0</v>
      </c>
      <c r="BA536" s="107">
        <f>IF(A5taxstdlife="n/a","n/a",IF(BA$3&gt;(A5taxstdlife+$E536),(('PTRM input'!$I$147+'PTRM input'!$I$113)*$I$7)-SUM($I536:AZ536),(('PTRM input'!$I$147+'PTRM input'!$I$113)*$I$7)/A5taxstdlife))</f>
        <v>0</v>
      </c>
      <c r="BB536" s="107">
        <f>IF(A5taxstdlife="n/a","n/a",IF(BB$3&gt;(A5taxstdlife+$E536),(('PTRM input'!$I$147+'PTRM input'!$I$113)*$I$7)-SUM($I536:BA536),(('PTRM input'!$I$147+'PTRM input'!$I$113)*$I$7)/A5taxstdlife))</f>
        <v>0</v>
      </c>
      <c r="BC536" s="107">
        <f>IF(A5taxstdlife="n/a","n/a",IF(BC$3&gt;(A5taxstdlife+$E536),(('PTRM input'!$I$147+'PTRM input'!$I$113)*$I$7)-SUM($I536:BB536),(('PTRM input'!$I$147+'PTRM input'!$I$113)*$I$7)/A5taxstdlife))</f>
        <v>0</v>
      </c>
      <c r="BD536" s="107">
        <f>IF(A5taxstdlife="n/a","n/a",IF(BD$3&gt;(A5taxstdlife+$E536),(('PTRM input'!$I$147+'PTRM input'!$I$113)*$I$7)-SUM($I536:BC536),(('PTRM input'!$I$147+'PTRM input'!$I$113)*$I$7)/A5taxstdlife))</f>
        <v>0</v>
      </c>
      <c r="BE536" s="107">
        <f>IF(A5taxstdlife="n/a","n/a",IF(BE$3&gt;(A5taxstdlife+$E536),(('PTRM input'!$I$147+'PTRM input'!$I$113)*$I$7)-SUM($I536:BD536),(('PTRM input'!$I$147+'PTRM input'!$I$113)*$I$7)/A5taxstdlife))</f>
        <v>0</v>
      </c>
      <c r="BF536" s="107">
        <f>IF(A5taxstdlife="n/a","n/a",IF(BF$3&gt;(A5taxstdlife+$E536),(('PTRM input'!$I$147+'PTRM input'!$I$113)*$I$7)-SUM($I536:BE536),(('PTRM input'!$I$147+'PTRM input'!$I$113)*$I$7)/A5taxstdlife))</f>
        <v>0</v>
      </c>
      <c r="BG536" s="107">
        <f>IF(A5taxstdlife="n/a","n/a",IF(BG$3&gt;(A5taxstdlife+$E536),(('PTRM input'!$I$147+'PTRM input'!$I$113)*$I$7)-SUM($I536:BF536),(('PTRM input'!$I$147+'PTRM input'!$I$113)*$I$7)/A5taxstdlife))</f>
        <v>0</v>
      </c>
      <c r="BH536" s="107">
        <f>IF(A5taxstdlife="n/a","n/a",IF(BH$3&gt;(A5taxstdlife+$E536),(('PTRM input'!$I$147+'PTRM input'!$I$113)*$I$7)-SUM($I536:BG536),(('PTRM input'!$I$147+'PTRM input'!$I$113)*$I$7)/A5taxstdlife))</f>
        <v>0</v>
      </c>
      <c r="BI536" s="107">
        <f>IF(A5taxstdlife="n/a","n/a",IF(BI$3&gt;(A5taxstdlife+$E536),(('PTRM input'!$I$147+'PTRM input'!$I$113)*$I$7)-SUM($I536:BH536),(('PTRM input'!$I$147+'PTRM input'!$I$113)*$I$7)/A5taxstdlife))</f>
        <v>0</v>
      </c>
      <c r="BJ536" s="18"/>
      <c r="BK536" s="18"/>
      <c r="BL536" s="18"/>
      <c r="BM536" s="18"/>
    </row>
    <row r="537" spans="1:65" s="4" customFormat="1" hidden="1" outlineLevel="2">
      <c r="A537" s="240"/>
      <c r="B537" s="240"/>
      <c r="C537" s="595"/>
      <c r="D537" s="1618"/>
      <c r="E537" s="169">
        <v>4</v>
      </c>
      <c r="F537" s="35"/>
      <c r="G537" s="184"/>
      <c r="H537" s="186"/>
      <c r="I537" s="186"/>
      <c r="J537" s="185"/>
      <c r="K537" s="107">
        <f>IF(A5taxstdlife="n/a","n/a",IF(K$3&gt;(A5taxstdlife+$E537),(('PTRM input'!$J$147+'PTRM input'!$J$113)*$J$7)-SUM($J537:J537),(('PTRM input'!$J$147+'PTRM input'!$J$113)*$J$7)/A5taxstdlife))</f>
        <v>0</v>
      </c>
      <c r="L537" s="107">
        <f>IF(A5taxstdlife="n/a","n/a",IF(L$3&gt;(A5taxstdlife+$E537),(('PTRM input'!$J$147+'PTRM input'!$J$113)*$J$7)-SUM($J537:K537),(('PTRM input'!$J$147+'PTRM input'!$J$113)*$J$7)/A5taxstdlife))</f>
        <v>0</v>
      </c>
      <c r="M537" s="107">
        <f>IF(A5taxstdlife="n/a","n/a",IF(M$3&gt;(A5taxstdlife+$E537),(('PTRM input'!$J$147+'PTRM input'!$J$113)*$J$7)-SUM($J537:L537),(('PTRM input'!$J$147+'PTRM input'!$J$113)*$J$7)/A5taxstdlife))</f>
        <v>0</v>
      </c>
      <c r="N537" s="107">
        <f>IF(A5taxstdlife="n/a","n/a",IF(N$3&gt;(A5taxstdlife+$E537),(('PTRM input'!$J$147+'PTRM input'!$J$113)*$J$7)-SUM($J537:M537),(('PTRM input'!$J$147+'PTRM input'!$J$113)*$J$7)/A5taxstdlife))</f>
        <v>0</v>
      </c>
      <c r="O537" s="107">
        <f>IF(A5taxstdlife="n/a","n/a",IF(O$3&gt;(A5taxstdlife+$E537),(('PTRM input'!$J$147+'PTRM input'!$J$113)*$J$7)-SUM($J537:N537),(('PTRM input'!$J$147+'PTRM input'!$J$113)*$J$7)/A5taxstdlife))</f>
        <v>0</v>
      </c>
      <c r="P537" s="107">
        <f>IF(A5taxstdlife="n/a","n/a",IF(P$3&gt;(A5taxstdlife+$E537),(('PTRM input'!$J$147+'PTRM input'!$J$113)*$J$7)-SUM($J537:O537),(('PTRM input'!$J$147+'PTRM input'!$J$113)*$J$7)/A5taxstdlife))</f>
        <v>0</v>
      </c>
      <c r="Q537" s="107">
        <f>IF(A5taxstdlife="n/a","n/a",IF(Q$3&gt;(A5taxstdlife+$E537),(('PTRM input'!$J$147+'PTRM input'!$J$113)*$J$7)-SUM($J537:P537),(('PTRM input'!$J$147+'PTRM input'!$J$113)*$J$7)/A5taxstdlife))</f>
        <v>0</v>
      </c>
      <c r="R537" s="107">
        <f>IF(A5taxstdlife="n/a","n/a",IF(R$3&gt;(A5taxstdlife+$E537),(('PTRM input'!$J$147+'PTRM input'!$J$113)*$J$7)-SUM($J537:Q537),(('PTRM input'!$J$147+'PTRM input'!$J$113)*$J$7)/A5taxstdlife))</f>
        <v>0</v>
      </c>
      <c r="S537" s="107">
        <f>IF(A5taxstdlife="n/a","n/a",IF(S$3&gt;(A5taxstdlife+$E537),(('PTRM input'!$J$147+'PTRM input'!$J$113)*$J$7)-SUM($J537:R537),(('PTRM input'!$J$147+'PTRM input'!$J$113)*$J$7)/A5taxstdlife))</f>
        <v>0</v>
      </c>
      <c r="T537" s="107">
        <f>IF(A5taxstdlife="n/a","n/a",IF(T$3&gt;(A5taxstdlife+$E537),(('PTRM input'!$J$147+'PTRM input'!$J$113)*$J$7)-SUM($J537:S537),(('PTRM input'!$J$147+'PTRM input'!$J$113)*$J$7)/A5taxstdlife))</f>
        <v>0</v>
      </c>
      <c r="U537" s="107">
        <f>IF(A5taxstdlife="n/a","n/a",IF(U$3&gt;(A5taxstdlife+$E537),(('PTRM input'!$J$147+'PTRM input'!$J$113)*$J$7)-SUM($J537:T537),(('PTRM input'!$J$147+'PTRM input'!$J$113)*$J$7)/A5taxstdlife))</f>
        <v>0</v>
      </c>
      <c r="V537" s="107">
        <f>IF(A5taxstdlife="n/a","n/a",IF(V$3&gt;(A5taxstdlife+$E537),(('PTRM input'!$J$147+'PTRM input'!$J$113)*$J$7)-SUM($J537:U537),(('PTRM input'!$J$147+'PTRM input'!$J$113)*$J$7)/A5taxstdlife))</f>
        <v>0</v>
      </c>
      <c r="W537" s="107">
        <f>IF(A5taxstdlife="n/a","n/a",IF(W$3&gt;(A5taxstdlife+$E537),(('PTRM input'!$J$147+'PTRM input'!$J$113)*$J$7)-SUM($J537:V537),(('PTRM input'!$J$147+'PTRM input'!$J$113)*$J$7)/A5taxstdlife))</f>
        <v>0</v>
      </c>
      <c r="X537" s="107">
        <f>IF(A5taxstdlife="n/a","n/a",IF(X$3&gt;(A5taxstdlife+$E537),(('PTRM input'!$J$147+'PTRM input'!$J$113)*$J$7)-SUM($J537:W537),(('PTRM input'!$J$147+'PTRM input'!$J$113)*$J$7)/A5taxstdlife))</f>
        <v>0</v>
      </c>
      <c r="Y537" s="107">
        <f>IF(A5taxstdlife="n/a","n/a",IF(Y$3&gt;(A5taxstdlife+$E537),(('PTRM input'!$J$147+'PTRM input'!$J$113)*$J$7)-SUM($J537:X537),(('PTRM input'!$J$147+'PTRM input'!$J$113)*$J$7)/A5taxstdlife))</f>
        <v>0</v>
      </c>
      <c r="Z537" s="107">
        <f>IF(A5taxstdlife="n/a","n/a",IF(Z$3&gt;(A5taxstdlife+$E537),(('PTRM input'!$J$147+'PTRM input'!$J$113)*$J$7)-SUM($J537:Y537),(('PTRM input'!$J$147+'PTRM input'!$J$113)*$J$7)/A5taxstdlife))</f>
        <v>0</v>
      </c>
      <c r="AA537" s="107">
        <f>IF(A5taxstdlife="n/a","n/a",IF(AA$3&gt;(A5taxstdlife+$E537),(('PTRM input'!$J$147+'PTRM input'!$J$113)*$J$7)-SUM($J537:Z537),(('PTRM input'!$J$147+'PTRM input'!$J$113)*$J$7)/A5taxstdlife))</f>
        <v>0</v>
      </c>
      <c r="AB537" s="107">
        <f>IF(A5taxstdlife="n/a","n/a",IF(AB$3&gt;(A5taxstdlife+$E537),(('PTRM input'!$J$147+'PTRM input'!$J$113)*$J$7)-SUM($J537:AA537),(('PTRM input'!$J$147+'PTRM input'!$J$113)*$J$7)/A5taxstdlife))</f>
        <v>0</v>
      </c>
      <c r="AC537" s="107">
        <f>IF(A5taxstdlife="n/a","n/a",IF(AC$3&gt;(A5taxstdlife+$E537),(('PTRM input'!$J$147+'PTRM input'!$J$113)*$J$7)-SUM($J537:AB537),(('PTRM input'!$J$147+'PTRM input'!$J$113)*$J$7)/A5taxstdlife))</f>
        <v>0</v>
      </c>
      <c r="AD537" s="107">
        <f>IF(A5taxstdlife="n/a","n/a",IF(AD$3&gt;(A5taxstdlife+$E537),(('PTRM input'!$J$147+'PTRM input'!$J$113)*$J$7)-SUM($J537:AC537),(('PTRM input'!$J$147+'PTRM input'!$J$113)*$J$7)/A5taxstdlife))</f>
        <v>0</v>
      </c>
      <c r="AE537" s="107">
        <f>IF(A5taxstdlife="n/a","n/a",IF(AE$3&gt;(A5taxstdlife+$E537),(('PTRM input'!$J$147+'PTRM input'!$J$113)*$J$7)-SUM($J537:AD537),(('PTRM input'!$J$147+'PTRM input'!$J$113)*$J$7)/A5taxstdlife))</f>
        <v>0</v>
      </c>
      <c r="AF537" s="107">
        <f>IF(A5taxstdlife="n/a","n/a",IF(AF$3&gt;(A5taxstdlife+$E537),(('PTRM input'!$J$147+'PTRM input'!$J$113)*$J$7)-SUM($J537:AE537),(('PTRM input'!$J$147+'PTRM input'!$J$113)*$J$7)/A5taxstdlife))</f>
        <v>0</v>
      </c>
      <c r="AG537" s="107">
        <f>IF(A5taxstdlife="n/a","n/a",IF(AG$3&gt;(A5taxstdlife+$E537),(('PTRM input'!$J$147+'PTRM input'!$J$113)*$J$7)-SUM($J537:AF537),(('PTRM input'!$J$147+'PTRM input'!$J$113)*$J$7)/A5taxstdlife))</f>
        <v>0</v>
      </c>
      <c r="AH537" s="107">
        <f>IF(A5taxstdlife="n/a","n/a",IF(AH$3&gt;(A5taxstdlife+$E537),(('PTRM input'!$J$147+'PTRM input'!$J$113)*$J$7)-SUM($J537:AG537),(('PTRM input'!$J$147+'PTRM input'!$J$113)*$J$7)/A5taxstdlife))</f>
        <v>0</v>
      </c>
      <c r="AI537" s="107">
        <f>IF(A5taxstdlife="n/a","n/a",IF(AI$3&gt;(A5taxstdlife+$E537),(('PTRM input'!$J$147+'PTRM input'!$J$113)*$J$7)-SUM($J537:AH537),(('PTRM input'!$J$147+'PTRM input'!$J$113)*$J$7)/A5taxstdlife))</f>
        <v>0</v>
      </c>
      <c r="AJ537" s="107">
        <f>IF(A5taxstdlife="n/a","n/a",IF(AJ$3&gt;(A5taxstdlife+$E537),(('PTRM input'!$J$147+'PTRM input'!$J$113)*$J$7)-SUM($J537:AI537),(('PTRM input'!$J$147+'PTRM input'!$J$113)*$J$7)/A5taxstdlife))</f>
        <v>0</v>
      </c>
      <c r="AK537" s="107">
        <f>IF(A5taxstdlife="n/a","n/a",IF(AK$3&gt;(A5taxstdlife+$E537),(('PTRM input'!$J$147+'PTRM input'!$J$113)*$J$7)-SUM($J537:AJ537),(('PTRM input'!$J$147+'PTRM input'!$J$113)*$J$7)/A5taxstdlife))</f>
        <v>0</v>
      </c>
      <c r="AL537" s="107">
        <f>IF(A5taxstdlife="n/a","n/a",IF(AL$3&gt;(A5taxstdlife+$E537),(('PTRM input'!$J$147+'PTRM input'!$J$113)*$J$7)-SUM($J537:AK537),(('PTRM input'!$J$147+'PTRM input'!$J$113)*$J$7)/A5taxstdlife))</f>
        <v>0</v>
      </c>
      <c r="AM537" s="107">
        <f>IF(A5taxstdlife="n/a","n/a",IF(AM$3&gt;(A5taxstdlife+$E537),(('PTRM input'!$J$147+'PTRM input'!$J$113)*$J$7)-SUM($J537:AL537),(('PTRM input'!$J$147+'PTRM input'!$J$113)*$J$7)/A5taxstdlife))</f>
        <v>0</v>
      </c>
      <c r="AN537" s="107">
        <f>IF(A5taxstdlife="n/a","n/a",IF(AN$3&gt;(A5taxstdlife+$E537),(('PTRM input'!$J$147+'PTRM input'!$J$113)*$J$7)-SUM($J537:AM537),(('PTRM input'!$J$147+'PTRM input'!$J$113)*$J$7)/A5taxstdlife))</f>
        <v>0</v>
      </c>
      <c r="AO537" s="107">
        <f>IF(A5taxstdlife="n/a","n/a",IF(AO$3&gt;(A5taxstdlife+$E537),(('PTRM input'!$J$147+'PTRM input'!$J$113)*$J$7)-SUM($J537:AN537),(('PTRM input'!$J$147+'PTRM input'!$J$113)*$J$7)/A5taxstdlife))</f>
        <v>0</v>
      </c>
      <c r="AP537" s="107">
        <f>IF(A5taxstdlife="n/a","n/a",IF(AP$3&gt;(A5taxstdlife+$E537),(('PTRM input'!$J$147+'PTRM input'!$J$113)*$J$7)-SUM($J537:AO537),(('PTRM input'!$J$147+'PTRM input'!$J$113)*$J$7)/A5taxstdlife))</f>
        <v>0</v>
      </c>
      <c r="AQ537" s="107">
        <f>IF(A5taxstdlife="n/a","n/a",IF(AQ$3&gt;(A5taxstdlife+$E537),(('PTRM input'!$J$147+'PTRM input'!$J$113)*$J$7)-SUM($J537:AP537),(('PTRM input'!$J$147+'PTRM input'!$J$113)*$J$7)/A5taxstdlife))</f>
        <v>0</v>
      </c>
      <c r="AR537" s="107">
        <f>IF(A5taxstdlife="n/a","n/a",IF(AR$3&gt;(A5taxstdlife+$E537),(('PTRM input'!$J$147+'PTRM input'!$J$113)*$J$7)-SUM($J537:AQ537),(('PTRM input'!$J$147+'PTRM input'!$J$113)*$J$7)/A5taxstdlife))</f>
        <v>0</v>
      </c>
      <c r="AS537" s="107">
        <f>IF(A5taxstdlife="n/a","n/a",IF(AS$3&gt;(A5taxstdlife+$E537),(('PTRM input'!$J$147+'PTRM input'!$J$113)*$J$7)-SUM($J537:AR537),(('PTRM input'!$J$147+'PTRM input'!$J$113)*$J$7)/A5taxstdlife))</f>
        <v>0</v>
      </c>
      <c r="AT537" s="107">
        <f>IF(A5taxstdlife="n/a","n/a",IF(AT$3&gt;(A5taxstdlife+$E537),(('PTRM input'!$J$147+'PTRM input'!$J$113)*$J$7)-SUM($J537:AS537),(('PTRM input'!$J$147+'PTRM input'!$J$113)*$J$7)/A5taxstdlife))</f>
        <v>0</v>
      </c>
      <c r="AU537" s="107">
        <f>IF(A5taxstdlife="n/a","n/a",IF(AU$3&gt;(A5taxstdlife+$E537),(('PTRM input'!$J$147+'PTRM input'!$J$113)*$J$7)-SUM($J537:AT537),(('PTRM input'!$J$147+'PTRM input'!$J$113)*$J$7)/A5taxstdlife))</f>
        <v>0</v>
      </c>
      <c r="AV537" s="107">
        <f>IF(A5taxstdlife="n/a","n/a",IF(AV$3&gt;(A5taxstdlife+$E537),(('PTRM input'!$J$147+'PTRM input'!$J$113)*$J$7)-SUM($J537:AU537),(('PTRM input'!$J$147+'PTRM input'!$J$113)*$J$7)/A5taxstdlife))</f>
        <v>0</v>
      </c>
      <c r="AW537" s="107">
        <f>IF(A5taxstdlife="n/a","n/a",IF(AW$3&gt;(A5taxstdlife+$E537),(('PTRM input'!$J$147+'PTRM input'!$J$113)*$J$7)-SUM($J537:AV537),(('PTRM input'!$J$147+'PTRM input'!$J$113)*$J$7)/A5taxstdlife))</f>
        <v>0</v>
      </c>
      <c r="AX537" s="107">
        <f>IF(A5taxstdlife="n/a","n/a",IF(AX$3&gt;(A5taxstdlife+$E537),(('PTRM input'!$J$147+'PTRM input'!$J$113)*$J$7)-SUM($J537:AW537),(('PTRM input'!$J$147+'PTRM input'!$J$113)*$J$7)/A5taxstdlife))</f>
        <v>0</v>
      </c>
      <c r="AY537" s="107">
        <f>IF(A5taxstdlife="n/a","n/a",IF(AY$3&gt;(A5taxstdlife+$E537),(('PTRM input'!$J$147+'PTRM input'!$J$113)*$J$7)-SUM($J537:AX537),(('PTRM input'!$J$147+'PTRM input'!$J$113)*$J$7)/A5taxstdlife))</f>
        <v>0</v>
      </c>
      <c r="AZ537" s="107">
        <f>IF(A5taxstdlife="n/a","n/a",IF(AZ$3&gt;(A5taxstdlife+$E537),(('PTRM input'!$J$147+'PTRM input'!$J$113)*$J$7)-SUM($J537:AY537),(('PTRM input'!$J$147+'PTRM input'!$J$113)*$J$7)/A5taxstdlife))</f>
        <v>0</v>
      </c>
      <c r="BA537" s="107">
        <f>IF(A5taxstdlife="n/a","n/a",IF(BA$3&gt;(A5taxstdlife+$E537),(('PTRM input'!$J$147+'PTRM input'!$J$113)*$J$7)-SUM($J537:AZ537),(('PTRM input'!$J$147+'PTRM input'!$J$113)*$J$7)/A5taxstdlife))</f>
        <v>0</v>
      </c>
      <c r="BB537" s="107">
        <f>IF(A5taxstdlife="n/a","n/a",IF(BB$3&gt;(A5taxstdlife+$E537),(('PTRM input'!$J$147+'PTRM input'!$J$113)*$J$7)-SUM($J537:BA537),(('PTRM input'!$J$147+'PTRM input'!$J$113)*$J$7)/A5taxstdlife))</f>
        <v>0</v>
      </c>
      <c r="BC537" s="107">
        <f>IF(A5taxstdlife="n/a","n/a",IF(BC$3&gt;(A5taxstdlife+$E537),(('PTRM input'!$J$147+'PTRM input'!$J$113)*$J$7)-SUM($J537:BB537),(('PTRM input'!$J$147+'PTRM input'!$J$113)*$J$7)/A5taxstdlife))</f>
        <v>0</v>
      </c>
      <c r="BD537" s="107">
        <f>IF(A5taxstdlife="n/a","n/a",IF(BD$3&gt;(A5taxstdlife+$E537),(('PTRM input'!$J$147+'PTRM input'!$J$113)*$J$7)-SUM($J537:BC537),(('PTRM input'!$J$147+'PTRM input'!$J$113)*$J$7)/A5taxstdlife))</f>
        <v>0</v>
      </c>
      <c r="BE537" s="107">
        <f>IF(A5taxstdlife="n/a","n/a",IF(BE$3&gt;(A5taxstdlife+$E537),(('PTRM input'!$J$147+'PTRM input'!$J$113)*$J$7)-SUM($J537:BD537),(('PTRM input'!$J$147+'PTRM input'!$J$113)*$J$7)/A5taxstdlife))</f>
        <v>0</v>
      </c>
      <c r="BF537" s="107">
        <f>IF(A5taxstdlife="n/a","n/a",IF(BF$3&gt;(A5taxstdlife+$E537),(('PTRM input'!$J$147+'PTRM input'!$J$113)*$J$7)-SUM($J537:BE537),(('PTRM input'!$J$147+'PTRM input'!$J$113)*$J$7)/A5taxstdlife))</f>
        <v>0</v>
      </c>
      <c r="BG537" s="107">
        <f>IF(A5taxstdlife="n/a","n/a",IF(BG$3&gt;(A5taxstdlife+$E537),(('PTRM input'!$J$147+'PTRM input'!$J$113)*$J$7)-SUM($J537:BF537),(('PTRM input'!$J$147+'PTRM input'!$J$113)*$J$7)/A5taxstdlife))</f>
        <v>0</v>
      </c>
      <c r="BH537" s="107">
        <f>IF(A5taxstdlife="n/a","n/a",IF(BH$3&gt;(A5taxstdlife+$E537),(('PTRM input'!$J$147+'PTRM input'!$J$113)*$J$7)-SUM($J537:BG537),(('PTRM input'!$J$147+'PTRM input'!$J$113)*$J$7)/A5taxstdlife))</f>
        <v>0</v>
      </c>
      <c r="BI537" s="107">
        <f>IF(A5taxstdlife="n/a","n/a",IF(BI$3&gt;(A5taxstdlife+$E537),(('PTRM input'!$J$147+'PTRM input'!$J$113)*$J$7)-SUM($J537:BH537),(('PTRM input'!$J$147+'PTRM input'!$J$113)*$J$7)/A5taxstdlife))</f>
        <v>0</v>
      </c>
      <c r="BJ537" s="18"/>
      <c r="BK537" s="18"/>
      <c r="BL537" s="18"/>
      <c r="BM537" s="18"/>
    </row>
    <row r="538" spans="1:65" s="4" customFormat="1" hidden="1" outlineLevel="2">
      <c r="A538" s="240"/>
      <c r="B538" s="240"/>
      <c r="C538" s="595"/>
      <c r="D538" s="1618"/>
      <c r="E538" s="169">
        <v>5</v>
      </c>
      <c r="F538" s="35"/>
      <c r="G538" s="184"/>
      <c r="H538" s="186"/>
      <c r="I538" s="186"/>
      <c r="J538" s="186"/>
      <c r="K538" s="185"/>
      <c r="L538" s="107">
        <f>IF(A5taxstdlife="n/a","n/a",IF(L$3&gt;(A5taxstdlife+$E538),(('PTRM input'!$K$147+'PTRM input'!$K$113)*$K$7)-SUM($K538:K538),(('PTRM input'!$K$147+'PTRM input'!$K$113)*$K$7)/A5taxstdlife))</f>
        <v>0</v>
      </c>
      <c r="M538" s="107">
        <f>IF(A5taxstdlife="n/a","n/a",IF(M$3&gt;(A5taxstdlife+$E538),(('PTRM input'!$K$147+'PTRM input'!$K$113)*$K$7)-SUM($K538:L538),(('PTRM input'!$K$147+'PTRM input'!$K$113)*$K$7)/A5taxstdlife))</f>
        <v>0</v>
      </c>
      <c r="N538" s="107">
        <f>IF(A5taxstdlife="n/a","n/a",IF(N$3&gt;(A5taxstdlife+$E538),(('PTRM input'!$K$147+'PTRM input'!$K$113)*$K$7)-SUM($K538:M538),(('PTRM input'!$K$147+'PTRM input'!$K$113)*$K$7)/A5taxstdlife))</f>
        <v>0</v>
      </c>
      <c r="O538" s="107">
        <f>IF(A5taxstdlife="n/a","n/a",IF(O$3&gt;(A5taxstdlife+$E538),(('PTRM input'!$K$147+'PTRM input'!$K$113)*$K$7)-SUM($K538:N538),(('PTRM input'!$K$147+'PTRM input'!$K$113)*$K$7)/A5taxstdlife))</f>
        <v>0</v>
      </c>
      <c r="P538" s="107">
        <f>IF(A5taxstdlife="n/a","n/a",IF(P$3&gt;(A5taxstdlife+$E538),(('PTRM input'!$K$147+'PTRM input'!$K$113)*$K$7)-SUM($K538:O538),(('PTRM input'!$K$147+'PTRM input'!$K$113)*$K$7)/A5taxstdlife))</f>
        <v>0</v>
      </c>
      <c r="Q538" s="107">
        <f>IF(A5taxstdlife="n/a","n/a",IF(Q$3&gt;(A5taxstdlife+$E538),(('PTRM input'!$K$147+'PTRM input'!$K$113)*$K$7)-SUM($K538:P538),(('PTRM input'!$K$147+'PTRM input'!$K$113)*$K$7)/A5taxstdlife))</f>
        <v>0</v>
      </c>
      <c r="R538" s="107">
        <f>IF(A5taxstdlife="n/a","n/a",IF(R$3&gt;(A5taxstdlife+$E538),(('PTRM input'!$K$147+'PTRM input'!$K$113)*$K$7)-SUM($K538:Q538),(('PTRM input'!$K$147+'PTRM input'!$K$113)*$K$7)/A5taxstdlife))</f>
        <v>0</v>
      </c>
      <c r="S538" s="107">
        <f>IF(A5taxstdlife="n/a","n/a",IF(S$3&gt;(A5taxstdlife+$E538),(('PTRM input'!$K$147+'PTRM input'!$K$113)*$K$7)-SUM($K538:R538),(('PTRM input'!$K$147+'PTRM input'!$K$113)*$K$7)/A5taxstdlife))</f>
        <v>0</v>
      </c>
      <c r="T538" s="107">
        <f>IF(A5taxstdlife="n/a","n/a",IF(T$3&gt;(A5taxstdlife+$E538),(('PTRM input'!$K$147+'PTRM input'!$K$113)*$K$7)-SUM($K538:S538),(('PTRM input'!$K$147+'PTRM input'!$K$113)*$K$7)/A5taxstdlife))</f>
        <v>0</v>
      </c>
      <c r="U538" s="107">
        <f>IF(A5taxstdlife="n/a","n/a",IF(U$3&gt;(A5taxstdlife+$E538),(('PTRM input'!$K$147+'PTRM input'!$K$113)*$K$7)-SUM($K538:T538),(('PTRM input'!$K$147+'PTRM input'!$K$113)*$K$7)/A5taxstdlife))</f>
        <v>0</v>
      </c>
      <c r="V538" s="107">
        <f>IF(A5taxstdlife="n/a","n/a",IF(V$3&gt;(A5taxstdlife+$E538),(('PTRM input'!$K$147+'PTRM input'!$K$113)*$K$7)-SUM($K538:U538),(('PTRM input'!$K$147+'PTRM input'!$K$113)*$K$7)/A5taxstdlife))</f>
        <v>0</v>
      </c>
      <c r="W538" s="107">
        <f>IF(A5taxstdlife="n/a","n/a",IF(W$3&gt;(A5taxstdlife+$E538),(('PTRM input'!$K$147+'PTRM input'!$K$113)*$K$7)-SUM($K538:V538),(('PTRM input'!$K$147+'PTRM input'!$K$113)*$K$7)/A5taxstdlife))</f>
        <v>0</v>
      </c>
      <c r="X538" s="107">
        <f>IF(A5taxstdlife="n/a","n/a",IF(X$3&gt;(A5taxstdlife+$E538),(('PTRM input'!$K$147+'PTRM input'!$K$113)*$K$7)-SUM($K538:W538),(('PTRM input'!$K$147+'PTRM input'!$K$113)*$K$7)/A5taxstdlife))</f>
        <v>0</v>
      </c>
      <c r="Y538" s="107">
        <f>IF(A5taxstdlife="n/a","n/a",IF(Y$3&gt;(A5taxstdlife+$E538),(('PTRM input'!$K$147+'PTRM input'!$K$113)*$K$7)-SUM($K538:X538),(('PTRM input'!$K$147+'PTRM input'!$K$113)*$K$7)/A5taxstdlife))</f>
        <v>0</v>
      </c>
      <c r="Z538" s="107">
        <f>IF(A5taxstdlife="n/a","n/a",IF(Z$3&gt;(A5taxstdlife+$E538),(('PTRM input'!$K$147+'PTRM input'!$K$113)*$K$7)-SUM($K538:Y538),(('PTRM input'!$K$147+'PTRM input'!$K$113)*$K$7)/A5taxstdlife))</f>
        <v>0</v>
      </c>
      <c r="AA538" s="107">
        <f>IF(A5taxstdlife="n/a","n/a",IF(AA$3&gt;(A5taxstdlife+$E538),(('PTRM input'!$K$147+'PTRM input'!$K$113)*$K$7)-SUM($K538:Z538),(('PTRM input'!$K$147+'PTRM input'!$K$113)*$K$7)/A5taxstdlife))</f>
        <v>0</v>
      </c>
      <c r="AB538" s="107">
        <f>IF(A5taxstdlife="n/a","n/a",IF(AB$3&gt;(A5taxstdlife+$E538),(('PTRM input'!$K$147+'PTRM input'!$K$113)*$K$7)-SUM($K538:AA538),(('PTRM input'!$K$147+'PTRM input'!$K$113)*$K$7)/A5taxstdlife))</f>
        <v>0</v>
      </c>
      <c r="AC538" s="107">
        <f>IF(A5taxstdlife="n/a","n/a",IF(AC$3&gt;(A5taxstdlife+$E538),(('PTRM input'!$K$147+'PTRM input'!$K$113)*$K$7)-SUM($K538:AB538),(('PTRM input'!$K$147+'PTRM input'!$K$113)*$K$7)/A5taxstdlife))</f>
        <v>0</v>
      </c>
      <c r="AD538" s="107">
        <f>IF(A5taxstdlife="n/a","n/a",IF(AD$3&gt;(A5taxstdlife+$E538),(('PTRM input'!$K$147+'PTRM input'!$K$113)*$K$7)-SUM($K538:AC538),(('PTRM input'!$K$147+'PTRM input'!$K$113)*$K$7)/A5taxstdlife))</f>
        <v>0</v>
      </c>
      <c r="AE538" s="107">
        <f>IF(A5taxstdlife="n/a","n/a",IF(AE$3&gt;(A5taxstdlife+$E538),(('PTRM input'!$K$147+'PTRM input'!$K$113)*$K$7)-SUM($K538:AD538),(('PTRM input'!$K$147+'PTRM input'!$K$113)*$K$7)/A5taxstdlife))</f>
        <v>0</v>
      </c>
      <c r="AF538" s="107">
        <f>IF(A5taxstdlife="n/a","n/a",IF(AF$3&gt;(A5taxstdlife+$E538),(('PTRM input'!$K$147+'PTRM input'!$K$113)*$K$7)-SUM($K538:AE538),(('PTRM input'!$K$147+'PTRM input'!$K$113)*$K$7)/A5taxstdlife))</f>
        <v>0</v>
      </c>
      <c r="AG538" s="107">
        <f>IF(A5taxstdlife="n/a","n/a",IF(AG$3&gt;(A5taxstdlife+$E538),(('PTRM input'!$K$147+'PTRM input'!$K$113)*$K$7)-SUM($K538:AF538),(('PTRM input'!$K$147+'PTRM input'!$K$113)*$K$7)/A5taxstdlife))</f>
        <v>0</v>
      </c>
      <c r="AH538" s="107">
        <f>IF(A5taxstdlife="n/a","n/a",IF(AH$3&gt;(A5taxstdlife+$E538),(('PTRM input'!$K$147+'PTRM input'!$K$113)*$K$7)-SUM($K538:AG538),(('PTRM input'!$K$147+'PTRM input'!$K$113)*$K$7)/A5taxstdlife))</f>
        <v>0</v>
      </c>
      <c r="AI538" s="107">
        <f>IF(A5taxstdlife="n/a","n/a",IF(AI$3&gt;(A5taxstdlife+$E538),(('PTRM input'!$K$147+'PTRM input'!$K$113)*$K$7)-SUM($K538:AH538),(('PTRM input'!$K$147+'PTRM input'!$K$113)*$K$7)/A5taxstdlife))</f>
        <v>0</v>
      </c>
      <c r="AJ538" s="107">
        <f>IF(A5taxstdlife="n/a","n/a",IF(AJ$3&gt;(A5taxstdlife+$E538),(('PTRM input'!$K$147+'PTRM input'!$K$113)*$K$7)-SUM($K538:AI538),(('PTRM input'!$K$147+'PTRM input'!$K$113)*$K$7)/A5taxstdlife))</f>
        <v>0</v>
      </c>
      <c r="AK538" s="107">
        <f>IF(A5taxstdlife="n/a","n/a",IF(AK$3&gt;(A5taxstdlife+$E538),(('PTRM input'!$K$147+'PTRM input'!$K$113)*$K$7)-SUM($K538:AJ538),(('PTRM input'!$K$147+'PTRM input'!$K$113)*$K$7)/A5taxstdlife))</f>
        <v>0</v>
      </c>
      <c r="AL538" s="107">
        <f>IF(A5taxstdlife="n/a","n/a",IF(AL$3&gt;(A5taxstdlife+$E538),(('PTRM input'!$K$147+'PTRM input'!$K$113)*$K$7)-SUM($K538:AK538),(('PTRM input'!$K$147+'PTRM input'!$K$113)*$K$7)/A5taxstdlife))</f>
        <v>0</v>
      </c>
      <c r="AM538" s="107">
        <f>IF(A5taxstdlife="n/a","n/a",IF(AM$3&gt;(A5taxstdlife+$E538),(('PTRM input'!$K$147+'PTRM input'!$K$113)*$K$7)-SUM($K538:AL538),(('PTRM input'!$K$147+'PTRM input'!$K$113)*$K$7)/A5taxstdlife))</f>
        <v>0</v>
      </c>
      <c r="AN538" s="107">
        <f>IF(A5taxstdlife="n/a","n/a",IF(AN$3&gt;(A5taxstdlife+$E538),(('PTRM input'!$K$147+'PTRM input'!$K$113)*$K$7)-SUM($K538:AM538),(('PTRM input'!$K$147+'PTRM input'!$K$113)*$K$7)/A5taxstdlife))</f>
        <v>0</v>
      </c>
      <c r="AO538" s="107">
        <f>IF(A5taxstdlife="n/a","n/a",IF(AO$3&gt;(A5taxstdlife+$E538),(('PTRM input'!$K$147+'PTRM input'!$K$113)*$K$7)-SUM($K538:AN538),(('PTRM input'!$K$147+'PTRM input'!$K$113)*$K$7)/A5taxstdlife))</f>
        <v>0</v>
      </c>
      <c r="AP538" s="107">
        <f>IF(A5taxstdlife="n/a","n/a",IF(AP$3&gt;(A5taxstdlife+$E538),(('PTRM input'!$K$147+'PTRM input'!$K$113)*$K$7)-SUM($K538:AO538),(('PTRM input'!$K$147+'PTRM input'!$K$113)*$K$7)/A5taxstdlife))</f>
        <v>0</v>
      </c>
      <c r="AQ538" s="107">
        <f>IF(A5taxstdlife="n/a","n/a",IF(AQ$3&gt;(A5taxstdlife+$E538),(('PTRM input'!$K$147+'PTRM input'!$K$113)*$K$7)-SUM($K538:AP538),(('PTRM input'!$K$147+'PTRM input'!$K$113)*$K$7)/A5taxstdlife))</f>
        <v>0</v>
      </c>
      <c r="AR538" s="107">
        <f>IF(A5taxstdlife="n/a","n/a",IF(AR$3&gt;(A5taxstdlife+$E538),(('PTRM input'!$K$147+'PTRM input'!$K$113)*$K$7)-SUM($K538:AQ538),(('PTRM input'!$K$147+'PTRM input'!$K$113)*$K$7)/A5taxstdlife))</f>
        <v>0</v>
      </c>
      <c r="AS538" s="107">
        <f>IF(A5taxstdlife="n/a","n/a",IF(AS$3&gt;(A5taxstdlife+$E538),(('PTRM input'!$K$147+'PTRM input'!$K$113)*$K$7)-SUM($K538:AR538),(('PTRM input'!$K$147+'PTRM input'!$K$113)*$K$7)/A5taxstdlife))</f>
        <v>0</v>
      </c>
      <c r="AT538" s="107">
        <f>IF(A5taxstdlife="n/a","n/a",IF(AT$3&gt;(A5taxstdlife+$E538),(('PTRM input'!$K$147+'PTRM input'!$K$113)*$K$7)-SUM($K538:AS538),(('PTRM input'!$K$147+'PTRM input'!$K$113)*$K$7)/A5taxstdlife))</f>
        <v>0</v>
      </c>
      <c r="AU538" s="107">
        <f>IF(A5taxstdlife="n/a","n/a",IF(AU$3&gt;(A5taxstdlife+$E538),(('PTRM input'!$K$147+'PTRM input'!$K$113)*$K$7)-SUM($K538:AT538),(('PTRM input'!$K$147+'PTRM input'!$K$113)*$K$7)/A5taxstdlife))</f>
        <v>0</v>
      </c>
      <c r="AV538" s="107">
        <f>IF(A5taxstdlife="n/a","n/a",IF(AV$3&gt;(A5taxstdlife+$E538),(('PTRM input'!$K$147+'PTRM input'!$K$113)*$K$7)-SUM($K538:AU538),(('PTRM input'!$K$147+'PTRM input'!$K$113)*$K$7)/A5taxstdlife))</f>
        <v>0</v>
      </c>
      <c r="AW538" s="107">
        <f>IF(A5taxstdlife="n/a","n/a",IF(AW$3&gt;(A5taxstdlife+$E538),(('PTRM input'!$K$147+'PTRM input'!$K$113)*$K$7)-SUM($K538:AV538),(('PTRM input'!$K$147+'PTRM input'!$K$113)*$K$7)/A5taxstdlife))</f>
        <v>0</v>
      </c>
      <c r="AX538" s="107">
        <f>IF(A5taxstdlife="n/a","n/a",IF(AX$3&gt;(A5taxstdlife+$E538),(('PTRM input'!$K$147+'PTRM input'!$K$113)*$K$7)-SUM($K538:AW538),(('PTRM input'!$K$147+'PTRM input'!$K$113)*$K$7)/A5taxstdlife))</f>
        <v>0</v>
      </c>
      <c r="AY538" s="107">
        <f>IF(A5taxstdlife="n/a","n/a",IF(AY$3&gt;(A5taxstdlife+$E538),(('PTRM input'!$K$147+'PTRM input'!$K$113)*$K$7)-SUM($K538:AX538),(('PTRM input'!$K$147+'PTRM input'!$K$113)*$K$7)/A5taxstdlife))</f>
        <v>0</v>
      </c>
      <c r="AZ538" s="107">
        <f>IF(A5taxstdlife="n/a","n/a",IF(AZ$3&gt;(A5taxstdlife+$E538),(('PTRM input'!$K$147+'PTRM input'!$K$113)*$K$7)-SUM($K538:AY538),(('PTRM input'!$K$147+'PTRM input'!$K$113)*$K$7)/A5taxstdlife))</f>
        <v>0</v>
      </c>
      <c r="BA538" s="107">
        <f>IF(A5taxstdlife="n/a","n/a",IF(BA$3&gt;(A5taxstdlife+$E538),(('PTRM input'!$K$147+'PTRM input'!$K$113)*$K$7)-SUM($K538:AZ538),(('PTRM input'!$K$147+'PTRM input'!$K$113)*$K$7)/A5taxstdlife))</f>
        <v>0</v>
      </c>
      <c r="BB538" s="107">
        <f>IF(A5taxstdlife="n/a","n/a",IF(BB$3&gt;(A5taxstdlife+$E538),(('PTRM input'!$K$147+'PTRM input'!$K$113)*$K$7)-SUM($K538:BA538),(('PTRM input'!$K$147+'PTRM input'!$K$113)*$K$7)/A5taxstdlife))</f>
        <v>0</v>
      </c>
      <c r="BC538" s="107">
        <f>IF(A5taxstdlife="n/a","n/a",IF(BC$3&gt;(A5taxstdlife+$E538),(('PTRM input'!$K$147+'PTRM input'!$K$113)*$K$7)-SUM($K538:BB538),(('PTRM input'!$K$147+'PTRM input'!$K$113)*$K$7)/A5taxstdlife))</f>
        <v>0</v>
      </c>
      <c r="BD538" s="107">
        <f>IF(A5taxstdlife="n/a","n/a",IF(BD$3&gt;(A5taxstdlife+$E538),(('PTRM input'!$K$147+'PTRM input'!$K$113)*$K$7)-SUM($K538:BC538),(('PTRM input'!$K$147+'PTRM input'!$K$113)*$K$7)/A5taxstdlife))</f>
        <v>0</v>
      </c>
      <c r="BE538" s="107">
        <f>IF(A5taxstdlife="n/a","n/a",IF(BE$3&gt;(A5taxstdlife+$E538),(('PTRM input'!$K$147+'PTRM input'!$K$113)*$K$7)-SUM($K538:BD538),(('PTRM input'!$K$147+'PTRM input'!$K$113)*$K$7)/A5taxstdlife))</f>
        <v>0</v>
      </c>
      <c r="BF538" s="107">
        <f>IF(A5taxstdlife="n/a","n/a",IF(BF$3&gt;(A5taxstdlife+$E538),(('PTRM input'!$K$147+'PTRM input'!$K$113)*$K$7)-SUM($K538:BE538),(('PTRM input'!$K$147+'PTRM input'!$K$113)*$K$7)/A5taxstdlife))</f>
        <v>0</v>
      </c>
      <c r="BG538" s="107">
        <f>IF(A5taxstdlife="n/a","n/a",IF(BG$3&gt;(A5taxstdlife+$E538),(('PTRM input'!$K$147+'PTRM input'!$K$113)*$K$7)-SUM($K538:BF538),(('PTRM input'!$K$147+'PTRM input'!$K$113)*$K$7)/A5taxstdlife))</f>
        <v>0</v>
      </c>
      <c r="BH538" s="107">
        <f>IF(A5taxstdlife="n/a","n/a",IF(BH$3&gt;(A5taxstdlife+$E538),(('PTRM input'!$K$147+'PTRM input'!$K$113)*$K$7)-SUM($K538:BG538),(('PTRM input'!$K$147+'PTRM input'!$K$113)*$K$7)/A5taxstdlife))</f>
        <v>0</v>
      </c>
      <c r="BI538" s="107">
        <f>IF(A5taxstdlife="n/a","n/a",IF(BI$3&gt;(A5taxstdlife+$E538),(('PTRM input'!$K$147+'PTRM input'!$K$113)*$K$7)-SUM($K538:BH538),(('PTRM input'!$K$147+'PTRM input'!$K$113)*$K$7)/A5taxstdlife))</f>
        <v>0</v>
      </c>
      <c r="BJ538" s="18"/>
      <c r="BK538" s="18"/>
      <c r="BL538" s="18"/>
      <c r="BM538" s="18"/>
    </row>
    <row r="539" spans="1:65" s="4" customFormat="1" hidden="1" outlineLevel="2">
      <c r="A539" s="240"/>
      <c r="B539" s="240"/>
      <c r="C539" s="595"/>
      <c r="D539" s="1618"/>
      <c r="E539" s="169">
        <v>6</v>
      </c>
      <c r="F539" s="35"/>
      <c r="G539" s="184"/>
      <c r="H539" s="186"/>
      <c r="I539" s="186"/>
      <c r="J539" s="186"/>
      <c r="K539" s="186"/>
      <c r="L539" s="185"/>
      <c r="M539" s="107">
        <f>IF(A5taxstdlife="n/a","n/a",IF(M$3&gt;(A5taxstdlife+$E539),(('PTRM input'!$L$147+'PTRM input'!$L$113)*$L$7)-SUM($L539:L539),(('PTRM input'!$L$147+'PTRM input'!$L$113)*$L$7)/A5taxstdlife))</f>
        <v>0</v>
      </c>
      <c r="N539" s="107">
        <f>IF(A5taxstdlife="n/a","n/a",IF(N$3&gt;(A5taxstdlife+$E539),(('PTRM input'!$L$147+'PTRM input'!$L$113)*$L$7)-SUM($L539:M539),(('PTRM input'!$L$147+'PTRM input'!$L$113)*$L$7)/A5taxstdlife))</f>
        <v>0</v>
      </c>
      <c r="O539" s="107">
        <f>IF(A5taxstdlife="n/a","n/a",IF(O$3&gt;(A5taxstdlife+$E539),(('PTRM input'!$L$147+'PTRM input'!$L$113)*$L$7)-SUM($L539:N539),(('PTRM input'!$L$147+'PTRM input'!$L$113)*$L$7)/A5taxstdlife))</f>
        <v>0</v>
      </c>
      <c r="P539" s="107">
        <f>IF(A5taxstdlife="n/a","n/a",IF(P$3&gt;(A5taxstdlife+$E539),(('PTRM input'!$L$147+'PTRM input'!$L$113)*$L$7)-SUM($L539:O539),(('PTRM input'!$L$147+'PTRM input'!$L$113)*$L$7)/A5taxstdlife))</f>
        <v>0</v>
      </c>
      <c r="Q539" s="107">
        <f>IF(A5taxstdlife="n/a","n/a",IF(Q$3&gt;(A5taxstdlife+$E539),(('PTRM input'!$L$147+'PTRM input'!$L$113)*$L$7)-SUM($L539:P539),(('PTRM input'!$L$147+'PTRM input'!$L$113)*$L$7)/A5taxstdlife))</f>
        <v>0</v>
      </c>
      <c r="R539" s="107">
        <f>IF(A5taxstdlife="n/a","n/a",IF(R$3&gt;(A5taxstdlife+$E539),(('PTRM input'!$L$147+'PTRM input'!$L$113)*$L$7)-SUM($L539:Q539),(('PTRM input'!$L$147+'PTRM input'!$L$113)*$L$7)/A5taxstdlife))</f>
        <v>0</v>
      </c>
      <c r="S539" s="107">
        <f>IF(A5taxstdlife="n/a","n/a",IF(S$3&gt;(A5taxstdlife+$E539),(('PTRM input'!$L$147+'PTRM input'!$L$113)*$L$7)-SUM($L539:R539),(('PTRM input'!$L$147+'PTRM input'!$L$113)*$L$7)/A5taxstdlife))</f>
        <v>0</v>
      </c>
      <c r="T539" s="107">
        <f>IF(A5taxstdlife="n/a","n/a",IF(T$3&gt;(A5taxstdlife+$E539),(('PTRM input'!$L$147+'PTRM input'!$L$113)*$L$7)-SUM($L539:S539),(('PTRM input'!$L$147+'PTRM input'!$L$113)*$L$7)/A5taxstdlife))</f>
        <v>0</v>
      </c>
      <c r="U539" s="107">
        <f>IF(A5taxstdlife="n/a","n/a",IF(U$3&gt;(A5taxstdlife+$E539),(('PTRM input'!$L$147+'PTRM input'!$L$113)*$L$7)-SUM($L539:T539),(('PTRM input'!$L$147+'PTRM input'!$L$113)*$L$7)/A5taxstdlife))</f>
        <v>0</v>
      </c>
      <c r="V539" s="107">
        <f>IF(A5taxstdlife="n/a","n/a",IF(V$3&gt;(A5taxstdlife+$E539),(('PTRM input'!$L$147+'PTRM input'!$L$113)*$L$7)-SUM($L539:U539),(('PTRM input'!$L$147+'PTRM input'!$L$113)*$L$7)/A5taxstdlife))</f>
        <v>0</v>
      </c>
      <c r="W539" s="107">
        <f>IF(A5taxstdlife="n/a","n/a",IF(W$3&gt;(A5taxstdlife+$E539),(('PTRM input'!$L$147+'PTRM input'!$L$113)*$L$7)-SUM($L539:V539),(('PTRM input'!$L$147+'PTRM input'!$L$113)*$L$7)/A5taxstdlife))</f>
        <v>0</v>
      </c>
      <c r="X539" s="107">
        <f>IF(A5taxstdlife="n/a","n/a",IF(X$3&gt;(A5taxstdlife+$E539),(('PTRM input'!$L$147+'PTRM input'!$L$113)*$L$7)-SUM($L539:W539),(('PTRM input'!$L$147+'PTRM input'!$L$113)*$L$7)/A5taxstdlife))</f>
        <v>0</v>
      </c>
      <c r="Y539" s="107">
        <f>IF(A5taxstdlife="n/a","n/a",IF(Y$3&gt;(A5taxstdlife+$E539),(('PTRM input'!$L$147+'PTRM input'!$L$113)*$L$7)-SUM($L539:X539),(('PTRM input'!$L$147+'PTRM input'!$L$113)*$L$7)/A5taxstdlife))</f>
        <v>0</v>
      </c>
      <c r="Z539" s="107">
        <f>IF(A5taxstdlife="n/a","n/a",IF(Z$3&gt;(A5taxstdlife+$E539),(('PTRM input'!$L$147+'PTRM input'!$L$113)*$L$7)-SUM($L539:Y539),(('PTRM input'!$L$147+'PTRM input'!$L$113)*$L$7)/A5taxstdlife))</f>
        <v>0</v>
      </c>
      <c r="AA539" s="107">
        <f>IF(A5taxstdlife="n/a","n/a",IF(AA$3&gt;(A5taxstdlife+$E539),(('PTRM input'!$L$147+'PTRM input'!$L$113)*$L$7)-SUM($L539:Z539),(('PTRM input'!$L$147+'PTRM input'!$L$113)*$L$7)/A5taxstdlife))</f>
        <v>0</v>
      </c>
      <c r="AB539" s="107">
        <f>IF(A5taxstdlife="n/a","n/a",IF(AB$3&gt;(A5taxstdlife+$E539),(('PTRM input'!$L$147+'PTRM input'!$L$113)*$L$7)-SUM($L539:AA539),(('PTRM input'!$L$147+'PTRM input'!$L$113)*$L$7)/A5taxstdlife))</f>
        <v>0</v>
      </c>
      <c r="AC539" s="107">
        <f>IF(A5taxstdlife="n/a","n/a",IF(AC$3&gt;(A5taxstdlife+$E539),(('PTRM input'!$L$147+'PTRM input'!$L$113)*$L$7)-SUM($L539:AB539),(('PTRM input'!$L$147+'PTRM input'!$L$113)*$L$7)/A5taxstdlife))</f>
        <v>0</v>
      </c>
      <c r="AD539" s="107">
        <f>IF(A5taxstdlife="n/a","n/a",IF(AD$3&gt;(A5taxstdlife+$E539),(('PTRM input'!$L$147+'PTRM input'!$L$113)*$L$7)-SUM($L539:AC539),(('PTRM input'!$L$147+'PTRM input'!$L$113)*$L$7)/A5taxstdlife))</f>
        <v>0</v>
      </c>
      <c r="AE539" s="107">
        <f>IF(A5taxstdlife="n/a","n/a",IF(AE$3&gt;(A5taxstdlife+$E539),(('PTRM input'!$L$147+'PTRM input'!$L$113)*$L$7)-SUM($L539:AD539),(('PTRM input'!$L$147+'PTRM input'!$L$113)*$L$7)/A5taxstdlife))</f>
        <v>0</v>
      </c>
      <c r="AF539" s="107">
        <f>IF(A5taxstdlife="n/a","n/a",IF(AF$3&gt;(A5taxstdlife+$E539),(('PTRM input'!$L$147+'PTRM input'!$L$113)*$L$7)-SUM($L539:AE539),(('PTRM input'!$L$147+'PTRM input'!$L$113)*$L$7)/A5taxstdlife))</f>
        <v>0</v>
      </c>
      <c r="AG539" s="107">
        <f>IF(A5taxstdlife="n/a","n/a",IF(AG$3&gt;(A5taxstdlife+$E539),(('PTRM input'!$L$147+'PTRM input'!$L$113)*$L$7)-SUM($L539:AF539),(('PTRM input'!$L$147+'PTRM input'!$L$113)*$L$7)/A5taxstdlife))</f>
        <v>0</v>
      </c>
      <c r="AH539" s="107">
        <f>IF(A5taxstdlife="n/a","n/a",IF(AH$3&gt;(A5taxstdlife+$E539),(('PTRM input'!$L$147+'PTRM input'!$L$113)*$L$7)-SUM($L539:AG539),(('PTRM input'!$L$147+'PTRM input'!$L$113)*$L$7)/A5taxstdlife))</f>
        <v>0</v>
      </c>
      <c r="AI539" s="107">
        <f>IF(A5taxstdlife="n/a","n/a",IF(AI$3&gt;(A5taxstdlife+$E539),(('PTRM input'!$L$147+'PTRM input'!$L$113)*$L$7)-SUM($L539:AH539),(('PTRM input'!$L$147+'PTRM input'!$L$113)*$L$7)/A5taxstdlife))</f>
        <v>0</v>
      </c>
      <c r="AJ539" s="107">
        <f>IF(A5taxstdlife="n/a","n/a",IF(AJ$3&gt;(A5taxstdlife+$E539),(('PTRM input'!$L$147+'PTRM input'!$L$113)*$L$7)-SUM($L539:AI539),(('PTRM input'!$L$147+'PTRM input'!$L$113)*$L$7)/A5taxstdlife))</f>
        <v>0</v>
      </c>
      <c r="AK539" s="107">
        <f>IF(A5taxstdlife="n/a","n/a",IF(AK$3&gt;(A5taxstdlife+$E539),(('PTRM input'!$L$147+'PTRM input'!$L$113)*$L$7)-SUM($L539:AJ539),(('PTRM input'!$L$147+'PTRM input'!$L$113)*$L$7)/A5taxstdlife))</f>
        <v>0</v>
      </c>
      <c r="AL539" s="107">
        <f>IF(A5taxstdlife="n/a","n/a",IF(AL$3&gt;(A5taxstdlife+$E539),(('PTRM input'!$L$147+'PTRM input'!$L$113)*$L$7)-SUM($L539:AK539),(('PTRM input'!$L$147+'PTRM input'!$L$113)*$L$7)/A5taxstdlife))</f>
        <v>0</v>
      </c>
      <c r="AM539" s="107">
        <f>IF(A5taxstdlife="n/a","n/a",IF(AM$3&gt;(A5taxstdlife+$E539),(('PTRM input'!$L$147+'PTRM input'!$L$113)*$L$7)-SUM($L539:AL539),(('PTRM input'!$L$147+'PTRM input'!$L$113)*$L$7)/A5taxstdlife))</f>
        <v>0</v>
      </c>
      <c r="AN539" s="107">
        <f>IF(A5taxstdlife="n/a","n/a",IF(AN$3&gt;(A5taxstdlife+$E539),(('PTRM input'!$L$147+'PTRM input'!$L$113)*$L$7)-SUM($L539:AM539),(('PTRM input'!$L$147+'PTRM input'!$L$113)*$L$7)/A5taxstdlife))</f>
        <v>0</v>
      </c>
      <c r="AO539" s="107">
        <f>IF(A5taxstdlife="n/a","n/a",IF(AO$3&gt;(A5taxstdlife+$E539),(('PTRM input'!$L$147+'PTRM input'!$L$113)*$L$7)-SUM($L539:AN539),(('PTRM input'!$L$147+'PTRM input'!$L$113)*$L$7)/A5taxstdlife))</f>
        <v>0</v>
      </c>
      <c r="AP539" s="107">
        <f>IF(A5taxstdlife="n/a","n/a",IF(AP$3&gt;(A5taxstdlife+$E539),(('PTRM input'!$L$147+'PTRM input'!$L$113)*$L$7)-SUM($L539:AO539),(('PTRM input'!$L$147+'PTRM input'!$L$113)*$L$7)/A5taxstdlife))</f>
        <v>0</v>
      </c>
      <c r="AQ539" s="107">
        <f>IF(A5taxstdlife="n/a","n/a",IF(AQ$3&gt;(A5taxstdlife+$E539),(('PTRM input'!$L$147+'PTRM input'!$L$113)*$L$7)-SUM($L539:AP539),(('PTRM input'!$L$147+'PTRM input'!$L$113)*$L$7)/A5taxstdlife))</f>
        <v>0</v>
      </c>
      <c r="AR539" s="107">
        <f>IF(A5taxstdlife="n/a","n/a",IF(AR$3&gt;(A5taxstdlife+$E539),(('PTRM input'!$L$147+'PTRM input'!$L$113)*$L$7)-SUM($L539:AQ539),(('PTRM input'!$L$147+'PTRM input'!$L$113)*$L$7)/A5taxstdlife))</f>
        <v>0</v>
      </c>
      <c r="AS539" s="107">
        <f>IF(A5taxstdlife="n/a","n/a",IF(AS$3&gt;(A5taxstdlife+$E539),(('PTRM input'!$L$147+'PTRM input'!$L$113)*$L$7)-SUM($L539:AR539),(('PTRM input'!$L$147+'PTRM input'!$L$113)*$L$7)/A5taxstdlife))</f>
        <v>0</v>
      </c>
      <c r="AT539" s="107">
        <f>IF(A5taxstdlife="n/a","n/a",IF(AT$3&gt;(A5taxstdlife+$E539),(('PTRM input'!$L$147+'PTRM input'!$L$113)*$L$7)-SUM($L539:AS539),(('PTRM input'!$L$147+'PTRM input'!$L$113)*$L$7)/A5taxstdlife))</f>
        <v>0</v>
      </c>
      <c r="AU539" s="107">
        <f>IF(A5taxstdlife="n/a","n/a",IF(AU$3&gt;(A5taxstdlife+$E539),(('PTRM input'!$L$147+'PTRM input'!$L$113)*$L$7)-SUM($L539:AT539),(('PTRM input'!$L$147+'PTRM input'!$L$113)*$L$7)/A5taxstdlife))</f>
        <v>0</v>
      </c>
      <c r="AV539" s="107">
        <f>IF(A5taxstdlife="n/a","n/a",IF(AV$3&gt;(A5taxstdlife+$E539),(('PTRM input'!$L$147+'PTRM input'!$L$113)*$L$7)-SUM($L539:AU539),(('PTRM input'!$L$147+'PTRM input'!$L$113)*$L$7)/A5taxstdlife))</f>
        <v>0</v>
      </c>
      <c r="AW539" s="107">
        <f>IF(A5taxstdlife="n/a","n/a",IF(AW$3&gt;(A5taxstdlife+$E539),(('PTRM input'!$L$147+'PTRM input'!$L$113)*$L$7)-SUM($L539:AV539),(('PTRM input'!$L$147+'PTRM input'!$L$113)*$L$7)/A5taxstdlife))</f>
        <v>0</v>
      </c>
      <c r="AX539" s="107">
        <f>IF(A5taxstdlife="n/a","n/a",IF(AX$3&gt;(A5taxstdlife+$E539),(('PTRM input'!$L$147+'PTRM input'!$L$113)*$L$7)-SUM($L539:AW539),(('PTRM input'!$L$147+'PTRM input'!$L$113)*$L$7)/A5taxstdlife))</f>
        <v>0</v>
      </c>
      <c r="AY539" s="107">
        <f>IF(A5taxstdlife="n/a","n/a",IF(AY$3&gt;(A5taxstdlife+$E539),(('PTRM input'!$L$147+'PTRM input'!$L$113)*$L$7)-SUM($L539:AX539),(('PTRM input'!$L$147+'PTRM input'!$L$113)*$L$7)/A5taxstdlife))</f>
        <v>0</v>
      </c>
      <c r="AZ539" s="107">
        <f>IF(A5taxstdlife="n/a","n/a",IF(AZ$3&gt;(A5taxstdlife+$E539),(('PTRM input'!$L$147+'PTRM input'!$L$113)*$L$7)-SUM($L539:AY539),(('PTRM input'!$L$147+'PTRM input'!$L$113)*$L$7)/A5taxstdlife))</f>
        <v>0</v>
      </c>
      <c r="BA539" s="107">
        <f>IF(A5taxstdlife="n/a","n/a",IF(BA$3&gt;(A5taxstdlife+$E539),(('PTRM input'!$L$147+'PTRM input'!$L$113)*$L$7)-SUM($L539:AZ539),(('PTRM input'!$L$147+'PTRM input'!$L$113)*$L$7)/A5taxstdlife))</f>
        <v>0</v>
      </c>
      <c r="BB539" s="107">
        <f>IF(A5taxstdlife="n/a","n/a",IF(BB$3&gt;(A5taxstdlife+$E539),(('PTRM input'!$L$147+'PTRM input'!$L$113)*$L$7)-SUM($L539:BA539),(('PTRM input'!$L$147+'PTRM input'!$L$113)*$L$7)/A5taxstdlife))</f>
        <v>0</v>
      </c>
      <c r="BC539" s="107">
        <f>IF(A5taxstdlife="n/a","n/a",IF(BC$3&gt;(A5taxstdlife+$E539),(('PTRM input'!$L$147+'PTRM input'!$L$113)*$L$7)-SUM($L539:BB539),(('PTRM input'!$L$147+'PTRM input'!$L$113)*$L$7)/A5taxstdlife))</f>
        <v>0</v>
      </c>
      <c r="BD539" s="107">
        <f>IF(A5taxstdlife="n/a","n/a",IF(BD$3&gt;(A5taxstdlife+$E539),(('PTRM input'!$L$147+'PTRM input'!$L$113)*$L$7)-SUM($L539:BC539),(('PTRM input'!$L$147+'PTRM input'!$L$113)*$L$7)/A5taxstdlife))</f>
        <v>0</v>
      </c>
      <c r="BE539" s="107">
        <f>IF(A5taxstdlife="n/a","n/a",IF(BE$3&gt;(A5taxstdlife+$E539),(('PTRM input'!$L$147+'PTRM input'!$L$113)*$L$7)-SUM($L539:BD539),(('PTRM input'!$L$147+'PTRM input'!$L$113)*$L$7)/A5taxstdlife))</f>
        <v>0</v>
      </c>
      <c r="BF539" s="107">
        <f>IF(A5taxstdlife="n/a","n/a",IF(BF$3&gt;(A5taxstdlife+$E539),(('PTRM input'!$L$147+'PTRM input'!$L$113)*$L$7)-SUM($L539:BE539),(('PTRM input'!$L$147+'PTRM input'!$L$113)*$L$7)/A5taxstdlife))</f>
        <v>0</v>
      </c>
      <c r="BG539" s="107">
        <f>IF(A5taxstdlife="n/a","n/a",IF(BG$3&gt;(A5taxstdlife+$E539),(('PTRM input'!$L$147+'PTRM input'!$L$113)*$L$7)-SUM($L539:BF539),(('PTRM input'!$L$147+'PTRM input'!$L$113)*$L$7)/A5taxstdlife))</f>
        <v>0</v>
      </c>
      <c r="BH539" s="107">
        <f>IF(A5taxstdlife="n/a","n/a",IF(BH$3&gt;(A5taxstdlife+$E539),(('PTRM input'!$L$147+'PTRM input'!$L$113)*$L$7)-SUM($L539:BG539),(('PTRM input'!$L$147+'PTRM input'!$L$113)*$L$7)/A5taxstdlife))</f>
        <v>0</v>
      </c>
      <c r="BI539" s="107">
        <f>IF(A5taxstdlife="n/a","n/a",IF(BI$3&gt;(A5taxstdlife+$E539),(('PTRM input'!$L$147+'PTRM input'!$L$113)*$L$7)-SUM($L539:BH539),(('PTRM input'!$L$147+'PTRM input'!$L$113)*$L$7)/A5taxstdlife))</f>
        <v>0</v>
      </c>
      <c r="BJ539" s="18"/>
      <c r="BK539" s="18"/>
      <c r="BL539" s="18"/>
      <c r="BM539" s="18"/>
    </row>
    <row r="540" spans="1:65" s="4" customFormat="1" hidden="1" outlineLevel="2">
      <c r="A540" s="240"/>
      <c r="B540" s="240"/>
      <c r="C540" s="595"/>
      <c r="D540" s="1618"/>
      <c r="E540" s="169">
        <v>7</v>
      </c>
      <c r="F540" s="35"/>
      <c r="G540" s="184"/>
      <c r="H540" s="186"/>
      <c r="I540" s="186"/>
      <c r="J540" s="186"/>
      <c r="K540" s="186"/>
      <c r="L540" s="186"/>
      <c r="M540" s="185"/>
      <c r="N540" s="107">
        <f>IF(A5taxstdlife="n/a","n/a",IF(N$3&gt;(A5taxstdlife+$E540),(('PTRM input'!$M$147+'PTRM input'!$M$113)*$M$7)-SUM($M540:M540),(('PTRM input'!$M$147+'PTRM input'!$M$113)*$M$7)/A5taxstdlife))</f>
        <v>0</v>
      </c>
      <c r="O540" s="107">
        <f>IF(A5taxstdlife="n/a","n/a",IF(O$3&gt;(A5taxstdlife+$E540),(('PTRM input'!$M$147+'PTRM input'!$M$113)*$M$7)-SUM($M540:N540),(('PTRM input'!$M$147+'PTRM input'!$M$113)*$M$7)/A5taxstdlife))</f>
        <v>0</v>
      </c>
      <c r="P540" s="107">
        <f>IF(A5taxstdlife="n/a","n/a",IF(P$3&gt;(A5taxstdlife+$E540),(('PTRM input'!$M$147+'PTRM input'!$M$113)*$M$7)-SUM($M540:O540),(('PTRM input'!$M$147+'PTRM input'!$M$113)*$M$7)/A5taxstdlife))</f>
        <v>0</v>
      </c>
      <c r="Q540" s="107">
        <f>IF(A5taxstdlife="n/a","n/a",IF(Q$3&gt;(A5taxstdlife+$E540),(('PTRM input'!$M$147+'PTRM input'!$M$113)*$M$7)-SUM($M540:P540),(('PTRM input'!$M$147+'PTRM input'!$M$113)*$M$7)/A5taxstdlife))</f>
        <v>0</v>
      </c>
      <c r="R540" s="107">
        <f>IF(A5taxstdlife="n/a","n/a",IF(R$3&gt;(A5taxstdlife+$E540),(('PTRM input'!$M$147+'PTRM input'!$M$113)*$M$7)-SUM($M540:Q540),(('PTRM input'!$M$147+'PTRM input'!$M$113)*$M$7)/A5taxstdlife))</f>
        <v>0</v>
      </c>
      <c r="S540" s="107">
        <f>IF(A5taxstdlife="n/a","n/a",IF(S$3&gt;(A5taxstdlife+$E540),(('PTRM input'!$M$147+'PTRM input'!$M$113)*$M$7)-SUM($M540:R540),(('PTRM input'!$M$147+'PTRM input'!$M$113)*$M$7)/A5taxstdlife))</f>
        <v>0</v>
      </c>
      <c r="T540" s="107">
        <f>IF(A5taxstdlife="n/a","n/a",IF(T$3&gt;(A5taxstdlife+$E540),(('PTRM input'!$M$147+'PTRM input'!$M$113)*$M$7)-SUM($M540:S540),(('PTRM input'!$M$147+'PTRM input'!$M$113)*$M$7)/A5taxstdlife))</f>
        <v>0</v>
      </c>
      <c r="U540" s="107">
        <f>IF(A5taxstdlife="n/a","n/a",IF(U$3&gt;(A5taxstdlife+$E540),(('PTRM input'!$M$147+'PTRM input'!$M$113)*$M$7)-SUM($M540:T540),(('PTRM input'!$M$147+'PTRM input'!$M$113)*$M$7)/A5taxstdlife))</f>
        <v>0</v>
      </c>
      <c r="V540" s="107">
        <f>IF(A5taxstdlife="n/a","n/a",IF(V$3&gt;(A5taxstdlife+$E540),(('PTRM input'!$M$147+'PTRM input'!$M$113)*$M$7)-SUM($M540:U540),(('PTRM input'!$M$147+'PTRM input'!$M$113)*$M$7)/A5taxstdlife))</f>
        <v>0</v>
      </c>
      <c r="W540" s="107">
        <f>IF(A5taxstdlife="n/a","n/a",IF(W$3&gt;(A5taxstdlife+$E540),(('PTRM input'!$M$147+'PTRM input'!$M$113)*$M$7)-SUM($M540:V540),(('PTRM input'!$M$147+'PTRM input'!$M$113)*$M$7)/A5taxstdlife))</f>
        <v>0</v>
      </c>
      <c r="X540" s="107">
        <f>IF(A5taxstdlife="n/a","n/a",IF(X$3&gt;(A5taxstdlife+$E540),(('PTRM input'!$M$147+'PTRM input'!$M$113)*$M$7)-SUM($M540:W540),(('PTRM input'!$M$147+'PTRM input'!$M$113)*$M$7)/A5taxstdlife))</f>
        <v>0</v>
      </c>
      <c r="Y540" s="107">
        <f>IF(A5taxstdlife="n/a","n/a",IF(Y$3&gt;(A5taxstdlife+$E540),(('PTRM input'!$M$147+'PTRM input'!$M$113)*$M$7)-SUM($M540:X540),(('PTRM input'!$M$147+'PTRM input'!$M$113)*$M$7)/A5taxstdlife))</f>
        <v>0</v>
      </c>
      <c r="Z540" s="107">
        <f>IF(A5taxstdlife="n/a","n/a",IF(Z$3&gt;(A5taxstdlife+$E540),(('PTRM input'!$M$147+'PTRM input'!$M$113)*$M$7)-SUM($M540:Y540),(('PTRM input'!$M$147+'PTRM input'!$M$113)*$M$7)/A5taxstdlife))</f>
        <v>0</v>
      </c>
      <c r="AA540" s="107">
        <f>IF(A5taxstdlife="n/a","n/a",IF(AA$3&gt;(A5taxstdlife+$E540),(('PTRM input'!$M$147+'PTRM input'!$M$113)*$M$7)-SUM($M540:Z540),(('PTRM input'!$M$147+'PTRM input'!$M$113)*$M$7)/A5taxstdlife))</f>
        <v>0</v>
      </c>
      <c r="AB540" s="107">
        <f>IF(A5taxstdlife="n/a","n/a",IF(AB$3&gt;(A5taxstdlife+$E540),(('PTRM input'!$M$147+'PTRM input'!$M$113)*$M$7)-SUM($M540:AA540),(('PTRM input'!$M$147+'PTRM input'!$M$113)*$M$7)/A5taxstdlife))</f>
        <v>0</v>
      </c>
      <c r="AC540" s="107">
        <f>IF(A5taxstdlife="n/a","n/a",IF(AC$3&gt;(A5taxstdlife+$E540),(('PTRM input'!$M$147+'PTRM input'!$M$113)*$M$7)-SUM($M540:AB540),(('PTRM input'!$M$147+'PTRM input'!$M$113)*$M$7)/A5taxstdlife))</f>
        <v>0</v>
      </c>
      <c r="AD540" s="107">
        <f>IF(A5taxstdlife="n/a","n/a",IF(AD$3&gt;(A5taxstdlife+$E540),(('PTRM input'!$M$147+'PTRM input'!$M$113)*$M$7)-SUM($M540:AC540),(('PTRM input'!$M$147+'PTRM input'!$M$113)*$M$7)/A5taxstdlife))</f>
        <v>0</v>
      </c>
      <c r="AE540" s="107">
        <f>IF(A5taxstdlife="n/a","n/a",IF(AE$3&gt;(A5taxstdlife+$E540),(('PTRM input'!$M$147+'PTRM input'!$M$113)*$M$7)-SUM($M540:AD540),(('PTRM input'!$M$147+'PTRM input'!$M$113)*$M$7)/A5taxstdlife))</f>
        <v>0</v>
      </c>
      <c r="AF540" s="107">
        <f>IF(A5taxstdlife="n/a","n/a",IF(AF$3&gt;(A5taxstdlife+$E540),(('PTRM input'!$M$147+'PTRM input'!$M$113)*$M$7)-SUM($M540:AE540),(('PTRM input'!$M$147+'PTRM input'!$M$113)*$M$7)/A5taxstdlife))</f>
        <v>0</v>
      </c>
      <c r="AG540" s="107">
        <f>IF(A5taxstdlife="n/a","n/a",IF(AG$3&gt;(A5taxstdlife+$E540),(('PTRM input'!$M$147+'PTRM input'!$M$113)*$M$7)-SUM($M540:AF540),(('PTRM input'!$M$147+'PTRM input'!$M$113)*$M$7)/A5taxstdlife))</f>
        <v>0</v>
      </c>
      <c r="AH540" s="107">
        <f>IF(A5taxstdlife="n/a","n/a",IF(AH$3&gt;(A5taxstdlife+$E540),(('PTRM input'!$M$147+'PTRM input'!$M$113)*$M$7)-SUM($M540:AG540),(('PTRM input'!$M$147+'PTRM input'!$M$113)*$M$7)/A5taxstdlife))</f>
        <v>0</v>
      </c>
      <c r="AI540" s="107">
        <f>IF(A5taxstdlife="n/a","n/a",IF(AI$3&gt;(A5taxstdlife+$E540),(('PTRM input'!$M$147+'PTRM input'!$M$113)*$M$7)-SUM($M540:AH540),(('PTRM input'!$M$147+'PTRM input'!$M$113)*$M$7)/A5taxstdlife))</f>
        <v>0</v>
      </c>
      <c r="AJ540" s="107">
        <f>IF(A5taxstdlife="n/a","n/a",IF(AJ$3&gt;(A5taxstdlife+$E540),(('PTRM input'!$M$147+'PTRM input'!$M$113)*$M$7)-SUM($M540:AI540),(('PTRM input'!$M$147+'PTRM input'!$M$113)*$M$7)/A5taxstdlife))</f>
        <v>0</v>
      </c>
      <c r="AK540" s="107">
        <f>IF(A5taxstdlife="n/a","n/a",IF(AK$3&gt;(A5taxstdlife+$E540),(('PTRM input'!$M$147+'PTRM input'!$M$113)*$M$7)-SUM($M540:AJ540),(('PTRM input'!$M$147+'PTRM input'!$M$113)*$M$7)/A5taxstdlife))</f>
        <v>0</v>
      </c>
      <c r="AL540" s="107">
        <f>IF(A5taxstdlife="n/a","n/a",IF(AL$3&gt;(A5taxstdlife+$E540),(('PTRM input'!$M$147+'PTRM input'!$M$113)*$M$7)-SUM($M540:AK540),(('PTRM input'!$M$147+'PTRM input'!$M$113)*$M$7)/A5taxstdlife))</f>
        <v>0</v>
      </c>
      <c r="AM540" s="107">
        <f>IF(A5taxstdlife="n/a","n/a",IF(AM$3&gt;(A5taxstdlife+$E540),(('PTRM input'!$M$147+'PTRM input'!$M$113)*$M$7)-SUM($M540:AL540),(('PTRM input'!$M$147+'PTRM input'!$M$113)*$M$7)/A5taxstdlife))</f>
        <v>0</v>
      </c>
      <c r="AN540" s="107">
        <f>IF(A5taxstdlife="n/a","n/a",IF(AN$3&gt;(A5taxstdlife+$E540),(('PTRM input'!$M$147+'PTRM input'!$M$113)*$M$7)-SUM($M540:AM540),(('PTRM input'!$M$147+'PTRM input'!$M$113)*$M$7)/A5taxstdlife))</f>
        <v>0</v>
      </c>
      <c r="AO540" s="107">
        <f>IF(A5taxstdlife="n/a","n/a",IF(AO$3&gt;(A5taxstdlife+$E540),(('PTRM input'!$M$147+'PTRM input'!$M$113)*$M$7)-SUM($M540:AN540),(('PTRM input'!$M$147+'PTRM input'!$M$113)*$M$7)/A5taxstdlife))</f>
        <v>0</v>
      </c>
      <c r="AP540" s="107">
        <f>IF(A5taxstdlife="n/a","n/a",IF(AP$3&gt;(A5taxstdlife+$E540),(('PTRM input'!$M$147+'PTRM input'!$M$113)*$M$7)-SUM($M540:AO540),(('PTRM input'!$M$147+'PTRM input'!$M$113)*$M$7)/A5taxstdlife))</f>
        <v>0</v>
      </c>
      <c r="AQ540" s="107">
        <f>IF(A5taxstdlife="n/a","n/a",IF(AQ$3&gt;(A5taxstdlife+$E540),(('PTRM input'!$M$147+'PTRM input'!$M$113)*$M$7)-SUM($M540:AP540),(('PTRM input'!$M$147+'PTRM input'!$M$113)*$M$7)/A5taxstdlife))</f>
        <v>0</v>
      </c>
      <c r="AR540" s="107">
        <f>IF(A5taxstdlife="n/a","n/a",IF(AR$3&gt;(A5taxstdlife+$E540),(('PTRM input'!$M$147+'PTRM input'!$M$113)*$M$7)-SUM($M540:AQ540),(('PTRM input'!$M$147+'PTRM input'!$M$113)*$M$7)/A5taxstdlife))</f>
        <v>0</v>
      </c>
      <c r="AS540" s="107">
        <f>IF(A5taxstdlife="n/a","n/a",IF(AS$3&gt;(A5taxstdlife+$E540),(('PTRM input'!$M$147+'PTRM input'!$M$113)*$M$7)-SUM($M540:AR540),(('PTRM input'!$M$147+'PTRM input'!$M$113)*$M$7)/A5taxstdlife))</f>
        <v>0</v>
      </c>
      <c r="AT540" s="107">
        <f>IF(A5taxstdlife="n/a","n/a",IF(AT$3&gt;(A5taxstdlife+$E540),(('PTRM input'!$M$147+'PTRM input'!$M$113)*$M$7)-SUM($M540:AS540),(('PTRM input'!$M$147+'PTRM input'!$M$113)*$M$7)/A5taxstdlife))</f>
        <v>0</v>
      </c>
      <c r="AU540" s="107">
        <f>IF(A5taxstdlife="n/a","n/a",IF(AU$3&gt;(A5taxstdlife+$E540),(('PTRM input'!$M$147+'PTRM input'!$M$113)*$M$7)-SUM($M540:AT540),(('PTRM input'!$M$147+'PTRM input'!$M$113)*$M$7)/A5taxstdlife))</f>
        <v>0</v>
      </c>
      <c r="AV540" s="107">
        <f>IF(A5taxstdlife="n/a","n/a",IF(AV$3&gt;(A5taxstdlife+$E540),(('PTRM input'!$M$147+'PTRM input'!$M$113)*$M$7)-SUM($M540:AU540),(('PTRM input'!$M$147+'PTRM input'!$M$113)*$M$7)/A5taxstdlife))</f>
        <v>0</v>
      </c>
      <c r="AW540" s="107">
        <f>IF(A5taxstdlife="n/a","n/a",IF(AW$3&gt;(A5taxstdlife+$E540),(('PTRM input'!$M$147+'PTRM input'!$M$113)*$M$7)-SUM($M540:AV540),(('PTRM input'!$M$147+'PTRM input'!$M$113)*$M$7)/A5taxstdlife))</f>
        <v>0</v>
      </c>
      <c r="AX540" s="107">
        <f>IF(A5taxstdlife="n/a","n/a",IF(AX$3&gt;(A5taxstdlife+$E540),(('PTRM input'!$M$147+'PTRM input'!$M$113)*$M$7)-SUM($M540:AW540),(('PTRM input'!$M$147+'PTRM input'!$M$113)*$M$7)/A5taxstdlife))</f>
        <v>0</v>
      </c>
      <c r="AY540" s="107">
        <f>IF(A5taxstdlife="n/a","n/a",IF(AY$3&gt;(A5taxstdlife+$E540),(('PTRM input'!$M$147+'PTRM input'!$M$113)*$M$7)-SUM($M540:AX540),(('PTRM input'!$M$147+'PTRM input'!$M$113)*$M$7)/A5taxstdlife))</f>
        <v>0</v>
      </c>
      <c r="AZ540" s="107">
        <f>IF(A5taxstdlife="n/a","n/a",IF(AZ$3&gt;(A5taxstdlife+$E540),(('PTRM input'!$M$147+'PTRM input'!$M$113)*$M$7)-SUM($M540:AY540),(('PTRM input'!$M$147+'PTRM input'!$M$113)*$M$7)/A5taxstdlife))</f>
        <v>0</v>
      </c>
      <c r="BA540" s="107">
        <f>IF(A5taxstdlife="n/a","n/a",IF(BA$3&gt;(A5taxstdlife+$E540),(('PTRM input'!$M$147+'PTRM input'!$M$113)*$M$7)-SUM($M540:AZ540),(('PTRM input'!$M$147+'PTRM input'!$M$113)*$M$7)/A5taxstdlife))</f>
        <v>0</v>
      </c>
      <c r="BB540" s="107">
        <f>IF(A5taxstdlife="n/a","n/a",IF(BB$3&gt;(A5taxstdlife+$E540),(('PTRM input'!$M$147+'PTRM input'!$M$113)*$M$7)-SUM($M540:BA540),(('PTRM input'!$M$147+'PTRM input'!$M$113)*$M$7)/A5taxstdlife))</f>
        <v>0</v>
      </c>
      <c r="BC540" s="107">
        <f>IF(A5taxstdlife="n/a","n/a",IF(BC$3&gt;(A5taxstdlife+$E540),(('PTRM input'!$M$147+'PTRM input'!$M$113)*$M$7)-SUM($M540:BB540),(('PTRM input'!$M$147+'PTRM input'!$M$113)*$M$7)/A5taxstdlife))</f>
        <v>0</v>
      </c>
      <c r="BD540" s="107">
        <f>IF(A5taxstdlife="n/a","n/a",IF(BD$3&gt;(A5taxstdlife+$E540),(('PTRM input'!$M$147+'PTRM input'!$M$113)*$M$7)-SUM($M540:BC540),(('PTRM input'!$M$147+'PTRM input'!$M$113)*$M$7)/A5taxstdlife))</f>
        <v>0</v>
      </c>
      <c r="BE540" s="107">
        <f>IF(A5taxstdlife="n/a","n/a",IF(BE$3&gt;(A5taxstdlife+$E540),(('PTRM input'!$M$147+'PTRM input'!$M$113)*$M$7)-SUM($M540:BD540),(('PTRM input'!$M$147+'PTRM input'!$M$113)*$M$7)/A5taxstdlife))</f>
        <v>0</v>
      </c>
      <c r="BF540" s="107">
        <f>IF(A5taxstdlife="n/a","n/a",IF(BF$3&gt;(A5taxstdlife+$E540),(('PTRM input'!$M$147+'PTRM input'!$M$113)*$M$7)-SUM($M540:BE540),(('PTRM input'!$M$147+'PTRM input'!$M$113)*$M$7)/A5taxstdlife))</f>
        <v>0</v>
      </c>
      <c r="BG540" s="107">
        <f>IF(A5taxstdlife="n/a","n/a",IF(BG$3&gt;(A5taxstdlife+$E540),(('PTRM input'!$M$147+'PTRM input'!$M$113)*$M$7)-SUM($M540:BF540),(('PTRM input'!$M$147+'PTRM input'!$M$113)*$M$7)/A5taxstdlife))</f>
        <v>0</v>
      </c>
      <c r="BH540" s="107">
        <f>IF(A5taxstdlife="n/a","n/a",IF(BH$3&gt;(A5taxstdlife+$E540),(('PTRM input'!$M$147+'PTRM input'!$M$113)*$M$7)-SUM($M540:BG540),(('PTRM input'!$M$147+'PTRM input'!$M$113)*$M$7)/A5taxstdlife))</f>
        <v>0</v>
      </c>
      <c r="BI540" s="107">
        <f>IF(A5taxstdlife="n/a","n/a",IF(BI$3&gt;(A5taxstdlife+$E540),(('PTRM input'!$M$147+'PTRM input'!$M$113)*$M$7)-SUM($M540:BH540),(('PTRM input'!$M$147+'PTRM input'!$M$113)*$M$7)/A5taxstdlife))</f>
        <v>0</v>
      </c>
      <c r="BJ540" s="18"/>
      <c r="BK540" s="18"/>
      <c r="BL540" s="18"/>
      <c r="BM540" s="18"/>
    </row>
    <row r="541" spans="1:65" s="4" customFormat="1" hidden="1" outlineLevel="2">
      <c r="A541" s="240"/>
      <c r="B541" s="240"/>
      <c r="C541" s="595"/>
      <c r="D541" s="1618"/>
      <c r="E541" s="169">
        <v>8</v>
      </c>
      <c r="F541" s="35"/>
      <c r="G541" s="184"/>
      <c r="H541" s="186"/>
      <c r="I541" s="186"/>
      <c r="J541" s="186"/>
      <c r="K541" s="186"/>
      <c r="L541" s="186"/>
      <c r="M541" s="186"/>
      <c r="N541" s="185"/>
      <c r="O541" s="107">
        <f>IF(A5taxstdlife="n/a","n/a",IF(O$3&gt;(A5taxstdlife+$E541),(('PTRM input'!$N$147+'PTRM input'!$N$113)*$N$7)-SUM($N541:N541),(('PTRM input'!$N$147+'PTRM input'!$N$113)*$N$7)/A5taxstdlife))</f>
        <v>0</v>
      </c>
      <c r="P541" s="107">
        <f>IF(A5taxstdlife="n/a","n/a",IF(P$3&gt;(A5taxstdlife+$E541),(('PTRM input'!$N$147+'PTRM input'!$N$113)*$N$7)-SUM($N541:O541),(('PTRM input'!$N$147+'PTRM input'!$N$113)*$N$7)/A5taxstdlife))</f>
        <v>0</v>
      </c>
      <c r="Q541" s="107">
        <f>IF(A5taxstdlife="n/a","n/a",IF(Q$3&gt;(A5taxstdlife+$E541),(('PTRM input'!$N$147+'PTRM input'!$N$113)*$N$7)-SUM($N541:P541),(('PTRM input'!$N$147+'PTRM input'!$N$113)*$N$7)/A5taxstdlife))</f>
        <v>0</v>
      </c>
      <c r="R541" s="107">
        <f>IF(A5taxstdlife="n/a","n/a",IF(R$3&gt;(A5taxstdlife+$E541),(('PTRM input'!$N$147+'PTRM input'!$N$113)*$N$7)-SUM($N541:Q541),(('PTRM input'!$N$147+'PTRM input'!$N$113)*$N$7)/A5taxstdlife))</f>
        <v>0</v>
      </c>
      <c r="S541" s="107">
        <f>IF(A5taxstdlife="n/a","n/a",IF(S$3&gt;(A5taxstdlife+$E541),(('PTRM input'!$N$147+'PTRM input'!$N$113)*$N$7)-SUM($N541:R541),(('PTRM input'!$N$147+'PTRM input'!$N$113)*$N$7)/A5taxstdlife))</f>
        <v>0</v>
      </c>
      <c r="T541" s="107">
        <f>IF(A5taxstdlife="n/a","n/a",IF(T$3&gt;(A5taxstdlife+$E541),(('PTRM input'!$N$147+'PTRM input'!$N$113)*$N$7)-SUM($N541:S541),(('PTRM input'!$N$147+'PTRM input'!$N$113)*$N$7)/A5taxstdlife))</f>
        <v>0</v>
      </c>
      <c r="U541" s="107">
        <f>IF(A5taxstdlife="n/a","n/a",IF(U$3&gt;(A5taxstdlife+$E541),(('PTRM input'!$N$147+'PTRM input'!$N$113)*$N$7)-SUM($N541:T541),(('PTRM input'!$N$147+'PTRM input'!$N$113)*$N$7)/A5taxstdlife))</f>
        <v>0</v>
      </c>
      <c r="V541" s="107">
        <f>IF(A5taxstdlife="n/a","n/a",IF(V$3&gt;(A5taxstdlife+$E541),(('PTRM input'!$N$147+'PTRM input'!$N$113)*$N$7)-SUM($N541:U541),(('PTRM input'!$N$147+'PTRM input'!$N$113)*$N$7)/A5taxstdlife))</f>
        <v>0</v>
      </c>
      <c r="W541" s="107">
        <f>IF(A5taxstdlife="n/a","n/a",IF(W$3&gt;(A5taxstdlife+$E541),(('PTRM input'!$N$147+'PTRM input'!$N$113)*$N$7)-SUM($N541:V541),(('PTRM input'!$N$147+'PTRM input'!$N$113)*$N$7)/A5taxstdlife))</f>
        <v>0</v>
      </c>
      <c r="X541" s="107">
        <f>IF(A5taxstdlife="n/a","n/a",IF(X$3&gt;(A5taxstdlife+$E541),(('PTRM input'!$N$147+'PTRM input'!$N$113)*$N$7)-SUM($N541:W541),(('PTRM input'!$N$147+'PTRM input'!$N$113)*$N$7)/A5taxstdlife))</f>
        <v>0</v>
      </c>
      <c r="Y541" s="107">
        <f>IF(A5taxstdlife="n/a","n/a",IF(Y$3&gt;(A5taxstdlife+$E541),(('PTRM input'!$N$147+'PTRM input'!$N$113)*$N$7)-SUM($N541:X541),(('PTRM input'!$N$147+'PTRM input'!$N$113)*$N$7)/A5taxstdlife))</f>
        <v>0</v>
      </c>
      <c r="Z541" s="107">
        <f>IF(A5taxstdlife="n/a","n/a",IF(Z$3&gt;(A5taxstdlife+$E541),(('PTRM input'!$N$147+'PTRM input'!$N$113)*$N$7)-SUM($N541:Y541),(('PTRM input'!$N$147+'PTRM input'!$N$113)*$N$7)/A5taxstdlife))</f>
        <v>0</v>
      </c>
      <c r="AA541" s="107">
        <f>IF(A5taxstdlife="n/a","n/a",IF(AA$3&gt;(A5taxstdlife+$E541),(('PTRM input'!$N$147+'PTRM input'!$N$113)*$N$7)-SUM($N541:Z541),(('PTRM input'!$N$147+'PTRM input'!$N$113)*$N$7)/A5taxstdlife))</f>
        <v>0</v>
      </c>
      <c r="AB541" s="107">
        <f>IF(A5taxstdlife="n/a","n/a",IF(AB$3&gt;(A5taxstdlife+$E541),(('PTRM input'!$N$147+'PTRM input'!$N$113)*$N$7)-SUM($N541:AA541),(('PTRM input'!$N$147+'PTRM input'!$N$113)*$N$7)/A5taxstdlife))</f>
        <v>0</v>
      </c>
      <c r="AC541" s="107">
        <f>IF(A5taxstdlife="n/a","n/a",IF(AC$3&gt;(A5taxstdlife+$E541),(('PTRM input'!$N$147+'PTRM input'!$N$113)*$N$7)-SUM($N541:AB541),(('PTRM input'!$N$147+'PTRM input'!$N$113)*$N$7)/A5taxstdlife))</f>
        <v>0</v>
      </c>
      <c r="AD541" s="107">
        <f>IF(A5taxstdlife="n/a","n/a",IF(AD$3&gt;(A5taxstdlife+$E541),(('PTRM input'!$N$147+'PTRM input'!$N$113)*$N$7)-SUM($N541:AC541),(('PTRM input'!$N$147+'PTRM input'!$N$113)*$N$7)/A5taxstdlife))</f>
        <v>0</v>
      </c>
      <c r="AE541" s="107">
        <f>IF(A5taxstdlife="n/a","n/a",IF(AE$3&gt;(A5taxstdlife+$E541),(('PTRM input'!$N$147+'PTRM input'!$N$113)*$N$7)-SUM($N541:AD541),(('PTRM input'!$N$147+'PTRM input'!$N$113)*$N$7)/A5taxstdlife))</f>
        <v>0</v>
      </c>
      <c r="AF541" s="107">
        <f>IF(A5taxstdlife="n/a","n/a",IF(AF$3&gt;(A5taxstdlife+$E541),(('PTRM input'!$N$147+'PTRM input'!$N$113)*$N$7)-SUM($N541:AE541),(('PTRM input'!$N$147+'PTRM input'!$N$113)*$N$7)/A5taxstdlife))</f>
        <v>0</v>
      </c>
      <c r="AG541" s="107">
        <f>IF(A5taxstdlife="n/a","n/a",IF(AG$3&gt;(A5taxstdlife+$E541),(('PTRM input'!$N$147+'PTRM input'!$N$113)*$N$7)-SUM($N541:AF541),(('PTRM input'!$N$147+'PTRM input'!$N$113)*$N$7)/A5taxstdlife))</f>
        <v>0</v>
      </c>
      <c r="AH541" s="107">
        <f>IF(A5taxstdlife="n/a","n/a",IF(AH$3&gt;(A5taxstdlife+$E541),(('PTRM input'!$N$147+'PTRM input'!$N$113)*$N$7)-SUM($N541:AG541),(('PTRM input'!$N$147+'PTRM input'!$N$113)*$N$7)/A5taxstdlife))</f>
        <v>0</v>
      </c>
      <c r="AI541" s="107">
        <f>IF(A5taxstdlife="n/a","n/a",IF(AI$3&gt;(A5taxstdlife+$E541),(('PTRM input'!$N$147+'PTRM input'!$N$113)*$N$7)-SUM($N541:AH541),(('PTRM input'!$N$147+'PTRM input'!$N$113)*$N$7)/A5taxstdlife))</f>
        <v>0</v>
      </c>
      <c r="AJ541" s="107">
        <f>IF(A5taxstdlife="n/a","n/a",IF(AJ$3&gt;(A5taxstdlife+$E541),(('PTRM input'!$N$147+'PTRM input'!$N$113)*$N$7)-SUM($N541:AI541),(('PTRM input'!$N$147+'PTRM input'!$N$113)*$N$7)/A5taxstdlife))</f>
        <v>0</v>
      </c>
      <c r="AK541" s="107">
        <f>IF(A5taxstdlife="n/a","n/a",IF(AK$3&gt;(A5taxstdlife+$E541),(('PTRM input'!$N$147+'PTRM input'!$N$113)*$N$7)-SUM($N541:AJ541),(('PTRM input'!$N$147+'PTRM input'!$N$113)*$N$7)/A5taxstdlife))</f>
        <v>0</v>
      </c>
      <c r="AL541" s="107">
        <f>IF(A5taxstdlife="n/a","n/a",IF(AL$3&gt;(A5taxstdlife+$E541),(('PTRM input'!$N$147+'PTRM input'!$N$113)*$N$7)-SUM($N541:AK541),(('PTRM input'!$N$147+'PTRM input'!$N$113)*$N$7)/A5taxstdlife))</f>
        <v>0</v>
      </c>
      <c r="AM541" s="107">
        <f>IF(A5taxstdlife="n/a","n/a",IF(AM$3&gt;(A5taxstdlife+$E541),(('PTRM input'!$N$147+'PTRM input'!$N$113)*$N$7)-SUM($N541:AL541),(('PTRM input'!$N$147+'PTRM input'!$N$113)*$N$7)/A5taxstdlife))</f>
        <v>0</v>
      </c>
      <c r="AN541" s="107">
        <f>IF(A5taxstdlife="n/a","n/a",IF(AN$3&gt;(A5taxstdlife+$E541),(('PTRM input'!$N$147+'PTRM input'!$N$113)*$N$7)-SUM($N541:AM541),(('PTRM input'!$N$147+'PTRM input'!$N$113)*$N$7)/A5taxstdlife))</f>
        <v>0</v>
      </c>
      <c r="AO541" s="107">
        <f>IF(A5taxstdlife="n/a","n/a",IF(AO$3&gt;(A5taxstdlife+$E541),(('PTRM input'!$N$147+'PTRM input'!$N$113)*$N$7)-SUM($N541:AN541),(('PTRM input'!$N$147+'PTRM input'!$N$113)*$N$7)/A5taxstdlife))</f>
        <v>0</v>
      </c>
      <c r="AP541" s="107">
        <f>IF(A5taxstdlife="n/a","n/a",IF(AP$3&gt;(A5taxstdlife+$E541),(('PTRM input'!$N$147+'PTRM input'!$N$113)*$N$7)-SUM($N541:AO541),(('PTRM input'!$N$147+'PTRM input'!$N$113)*$N$7)/A5taxstdlife))</f>
        <v>0</v>
      </c>
      <c r="AQ541" s="107">
        <f>IF(A5taxstdlife="n/a","n/a",IF(AQ$3&gt;(A5taxstdlife+$E541),(('PTRM input'!$N$147+'PTRM input'!$N$113)*$N$7)-SUM($N541:AP541),(('PTRM input'!$N$147+'PTRM input'!$N$113)*$N$7)/A5taxstdlife))</f>
        <v>0</v>
      </c>
      <c r="AR541" s="107">
        <f>IF(A5taxstdlife="n/a","n/a",IF(AR$3&gt;(A5taxstdlife+$E541),(('PTRM input'!$N$147+'PTRM input'!$N$113)*$N$7)-SUM($N541:AQ541),(('PTRM input'!$N$147+'PTRM input'!$N$113)*$N$7)/A5taxstdlife))</f>
        <v>0</v>
      </c>
      <c r="AS541" s="107">
        <f>IF(A5taxstdlife="n/a","n/a",IF(AS$3&gt;(A5taxstdlife+$E541),(('PTRM input'!$N$147+'PTRM input'!$N$113)*$N$7)-SUM($N541:AR541),(('PTRM input'!$N$147+'PTRM input'!$N$113)*$N$7)/A5taxstdlife))</f>
        <v>0</v>
      </c>
      <c r="AT541" s="107">
        <f>IF(A5taxstdlife="n/a","n/a",IF(AT$3&gt;(A5taxstdlife+$E541),(('PTRM input'!$N$147+'PTRM input'!$N$113)*$N$7)-SUM($N541:AS541),(('PTRM input'!$N$147+'PTRM input'!$N$113)*$N$7)/A5taxstdlife))</f>
        <v>0</v>
      </c>
      <c r="AU541" s="107">
        <f>IF(A5taxstdlife="n/a","n/a",IF(AU$3&gt;(A5taxstdlife+$E541),(('PTRM input'!$N$147+'PTRM input'!$N$113)*$N$7)-SUM($N541:AT541),(('PTRM input'!$N$147+'PTRM input'!$N$113)*$N$7)/A5taxstdlife))</f>
        <v>0</v>
      </c>
      <c r="AV541" s="107">
        <f>IF(A5taxstdlife="n/a","n/a",IF(AV$3&gt;(A5taxstdlife+$E541),(('PTRM input'!$N$147+'PTRM input'!$N$113)*$N$7)-SUM($N541:AU541),(('PTRM input'!$N$147+'PTRM input'!$N$113)*$N$7)/A5taxstdlife))</f>
        <v>0</v>
      </c>
      <c r="AW541" s="107">
        <f>IF(A5taxstdlife="n/a","n/a",IF(AW$3&gt;(A5taxstdlife+$E541),(('PTRM input'!$N$147+'PTRM input'!$N$113)*$N$7)-SUM($N541:AV541),(('PTRM input'!$N$147+'PTRM input'!$N$113)*$N$7)/A5taxstdlife))</f>
        <v>0</v>
      </c>
      <c r="AX541" s="107">
        <f>IF(A5taxstdlife="n/a","n/a",IF(AX$3&gt;(A5taxstdlife+$E541),(('PTRM input'!$N$147+'PTRM input'!$N$113)*$N$7)-SUM($N541:AW541),(('PTRM input'!$N$147+'PTRM input'!$N$113)*$N$7)/A5taxstdlife))</f>
        <v>0</v>
      </c>
      <c r="AY541" s="107">
        <f>IF(A5taxstdlife="n/a","n/a",IF(AY$3&gt;(A5taxstdlife+$E541),(('PTRM input'!$N$147+'PTRM input'!$N$113)*$N$7)-SUM($N541:AX541),(('PTRM input'!$N$147+'PTRM input'!$N$113)*$N$7)/A5taxstdlife))</f>
        <v>0</v>
      </c>
      <c r="AZ541" s="107">
        <f>IF(A5taxstdlife="n/a","n/a",IF(AZ$3&gt;(A5taxstdlife+$E541),(('PTRM input'!$N$147+'PTRM input'!$N$113)*$N$7)-SUM($N541:AY541),(('PTRM input'!$N$147+'PTRM input'!$N$113)*$N$7)/A5taxstdlife))</f>
        <v>0</v>
      </c>
      <c r="BA541" s="107">
        <f>IF(A5taxstdlife="n/a","n/a",IF(BA$3&gt;(A5taxstdlife+$E541),(('PTRM input'!$N$147+'PTRM input'!$N$113)*$N$7)-SUM($N541:AZ541),(('PTRM input'!$N$147+'PTRM input'!$N$113)*$N$7)/A5taxstdlife))</f>
        <v>0</v>
      </c>
      <c r="BB541" s="107">
        <f>IF(A5taxstdlife="n/a","n/a",IF(BB$3&gt;(A5taxstdlife+$E541),(('PTRM input'!$N$147+'PTRM input'!$N$113)*$N$7)-SUM($N541:BA541),(('PTRM input'!$N$147+'PTRM input'!$N$113)*$N$7)/A5taxstdlife))</f>
        <v>0</v>
      </c>
      <c r="BC541" s="107">
        <f>IF(A5taxstdlife="n/a","n/a",IF(BC$3&gt;(A5taxstdlife+$E541),(('PTRM input'!$N$147+'PTRM input'!$N$113)*$N$7)-SUM($N541:BB541),(('PTRM input'!$N$147+'PTRM input'!$N$113)*$N$7)/A5taxstdlife))</f>
        <v>0</v>
      </c>
      <c r="BD541" s="107">
        <f>IF(A5taxstdlife="n/a","n/a",IF(BD$3&gt;(A5taxstdlife+$E541),(('PTRM input'!$N$147+'PTRM input'!$N$113)*$N$7)-SUM($N541:BC541),(('PTRM input'!$N$147+'PTRM input'!$N$113)*$N$7)/A5taxstdlife))</f>
        <v>0</v>
      </c>
      <c r="BE541" s="107">
        <f>IF(A5taxstdlife="n/a","n/a",IF(BE$3&gt;(A5taxstdlife+$E541),(('PTRM input'!$N$147+'PTRM input'!$N$113)*$N$7)-SUM($N541:BD541),(('PTRM input'!$N$147+'PTRM input'!$N$113)*$N$7)/A5taxstdlife))</f>
        <v>0</v>
      </c>
      <c r="BF541" s="107">
        <f>IF(A5taxstdlife="n/a","n/a",IF(BF$3&gt;(A5taxstdlife+$E541),(('PTRM input'!$N$147+'PTRM input'!$N$113)*$N$7)-SUM($N541:BE541),(('PTRM input'!$N$147+'PTRM input'!$N$113)*$N$7)/A5taxstdlife))</f>
        <v>0</v>
      </c>
      <c r="BG541" s="107">
        <f>IF(A5taxstdlife="n/a","n/a",IF(BG$3&gt;(A5taxstdlife+$E541),(('PTRM input'!$N$147+'PTRM input'!$N$113)*$N$7)-SUM($N541:BF541),(('PTRM input'!$N$147+'PTRM input'!$N$113)*$N$7)/A5taxstdlife))</f>
        <v>0</v>
      </c>
      <c r="BH541" s="107">
        <f>IF(A5taxstdlife="n/a","n/a",IF(BH$3&gt;(A5taxstdlife+$E541),(('PTRM input'!$N$147+'PTRM input'!$N$113)*$N$7)-SUM($N541:BG541),(('PTRM input'!$N$147+'PTRM input'!$N$113)*$N$7)/A5taxstdlife))</f>
        <v>0</v>
      </c>
      <c r="BI541" s="107">
        <f>IF(A5taxstdlife="n/a","n/a",IF(BI$3&gt;(A5taxstdlife+$E541),(('PTRM input'!$N$147+'PTRM input'!$N$113)*$N$7)-SUM($N541:BH541),(('PTRM input'!$N$147+'PTRM input'!$N$113)*$N$7)/A5taxstdlife))</f>
        <v>0</v>
      </c>
      <c r="BJ541" s="18"/>
      <c r="BK541" s="18"/>
      <c r="BL541" s="18"/>
      <c r="BM541" s="18"/>
    </row>
    <row r="542" spans="1:65" s="4" customFormat="1" hidden="1" outlineLevel="2">
      <c r="A542" s="240"/>
      <c r="B542" s="240"/>
      <c r="C542" s="595"/>
      <c r="D542" s="1618"/>
      <c r="E542" s="169">
        <v>9</v>
      </c>
      <c r="F542" s="35"/>
      <c r="G542" s="184"/>
      <c r="H542" s="186"/>
      <c r="I542" s="186"/>
      <c r="J542" s="186"/>
      <c r="K542" s="186"/>
      <c r="L542" s="186"/>
      <c r="M542" s="186"/>
      <c r="N542" s="186"/>
      <c r="O542" s="185"/>
      <c r="P542" s="107">
        <f>IF(A5taxstdlife="n/a","n/a",IF(P$3&gt;(A5taxstdlife+$E542),(('PTRM input'!$O$147+'PTRM input'!$O$113)*$O$7)-SUM($O542:O542),(('PTRM input'!$O$147+'PTRM input'!$O$113)*$O$7)/A5taxstdlife))</f>
        <v>0</v>
      </c>
      <c r="Q542" s="107">
        <f>IF(A5taxstdlife="n/a","n/a",IF(Q$3&gt;(A5taxstdlife+$E542),(('PTRM input'!$O$147+'PTRM input'!$O$113)*$O$7)-SUM($O542:P542),(('PTRM input'!$O$147+'PTRM input'!$O$113)*$O$7)/A5taxstdlife))</f>
        <v>0</v>
      </c>
      <c r="R542" s="107">
        <f>IF(A5taxstdlife="n/a","n/a",IF(R$3&gt;(A5taxstdlife+$E542),(('PTRM input'!$O$147+'PTRM input'!$O$113)*$O$7)-SUM($O542:Q542),(('PTRM input'!$O$147+'PTRM input'!$O$113)*$O$7)/A5taxstdlife))</f>
        <v>0</v>
      </c>
      <c r="S542" s="107">
        <f>IF(A5taxstdlife="n/a","n/a",IF(S$3&gt;(A5taxstdlife+$E542),(('PTRM input'!$O$147+'PTRM input'!$O$113)*$O$7)-SUM($O542:R542),(('PTRM input'!$O$147+'PTRM input'!$O$113)*$O$7)/A5taxstdlife))</f>
        <v>0</v>
      </c>
      <c r="T542" s="107">
        <f>IF(A5taxstdlife="n/a","n/a",IF(T$3&gt;(A5taxstdlife+$E542),(('PTRM input'!$O$147+'PTRM input'!$O$113)*$O$7)-SUM($O542:S542),(('PTRM input'!$O$147+'PTRM input'!$O$113)*$O$7)/A5taxstdlife))</f>
        <v>0</v>
      </c>
      <c r="U542" s="107">
        <f>IF(A5taxstdlife="n/a","n/a",IF(U$3&gt;(A5taxstdlife+$E542),(('PTRM input'!$O$147+'PTRM input'!$O$113)*$O$7)-SUM($O542:T542),(('PTRM input'!$O$147+'PTRM input'!$O$113)*$O$7)/A5taxstdlife))</f>
        <v>0</v>
      </c>
      <c r="V542" s="107">
        <f>IF(A5taxstdlife="n/a","n/a",IF(V$3&gt;(A5taxstdlife+$E542),(('PTRM input'!$O$147+'PTRM input'!$O$113)*$O$7)-SUM($O542:U542),(('PTRM input'!$O$147+'PTRM input'!$O$113)*$O$7)/A5taxstdlife))</f>
        <v>0</v>
      </c>
      <c r="W542" s="107">
        <f>IF(A5taxstdlife="n/a","n/a",IF(W$3&gt;(A5taxstdlife+$E542),(('PTRM input'!$O$147+'PTRM input'!$O$113)*$O$7)-SUM($O542:V542),(('PTRM input'!$O$147+'PTRM input'!$O$113)*$O$7)/A5taxstdlife))</f>
        <v>0</v>
      </c>
      <c r="X542" s="107">
        <f>IF(A5taxstdlife="n/a","n/a",IF(X$3&gt;(A5taxstdlife+$E542),(('PTRM input'!$O$147+'PTRM input'!$O$113)*$O$7)-SUM($O542:W542),(('PTRM input'!$O$147+'PTRM input'!$O$113)*$O$7)/A5taxstdlife))</f>
        <v>0</v>
      </c>
      <c r="Y542" s="107">
        <f>IF(A5taxstdlife="n/a","n/a",IF(Y$3&gt;(A5taxstdlife+$E542),(('PTRM input'!$O$147+'PTRM input'!$O$113)*$O$7)-SUM($O542:X542),(('PTRM input'!$O$147+'PTRM input'!$O$113)*$O$7)/A5taxstdlife))</f>
        <v>0</v>
      </c>
      <c r="Z542" s="107">
        <f>IF(A5taxstdlife="n/a","n/a",IF(Z$3&gt;(A5taxstdlife+$E542),(('PTRM input'!$O$147+'PTRM input'!$O$113)*$O$7)-SUM($O542:Y542),(('PTRM input'!$O$147+'PTRM input'!$O$113)*$O$7)/A5taxstdlife))</f>
        <v>0</v>
      </c>
      <c r="AA542" s="107">
        <f>IF(A5taxstdlife="n/a","n/a",IF(AA$3&gt;(A5taxstdlife+$E542),(('PTRM input'!$O$147+'PTRM input'!$O$113)*$O$7)-SUM($O542:Z542),(('PTRM input'!$O$147+'PTRM input'!$O$113)*$O$7)/A5taxstdlife))</f>
        <v>0</v>
      </c>
      <c r="AB542" s="107">
        <f>IF(A5taxstdlife="n/a","n/a",IF(AB$3&gt;(A5taxstdlife+$E542),(('PTRM input'!$O$147+'PTRM input'!$O$113)*$O$7)-SUM($O542:AA542),(('PTRM input'!$O$147+'PTRM input'!$O$113)*$O$7)/A5taxstdlife))</f>
        <v>0</v>
      </c>
      <c r="AC542" s="107">
        <f>IF(A5taxstdlife="n/a","n/a",IF(AC$3&gt;(A5taxstdlife+$E542),(('PTRM input'!$O$147+'PTRM input'!$O$113)*$O$7)-SUM($O542:AB542),(('PTRM input'!$O$147+'PTRM input'!$O$113)*$O$7)/A5taxstdlife))</f>
        <v>0</v>
      </c>
      <c r="AD542" s="107">
        <f>IF(A5taxstdlife="n/a","n/a",IF(AD$3&gt;(A5taxstdlife+$E542),(('PTRM input'!$O$147+'PTRM input'!$O$113)*$O$7)-SUM($O542:AC542),(('PTRM input'!$O$147+'PTRM input'!$O$113)*$O$7)/A5taxstdlife))</f>
        <v>0</v>
      </c>
      <c r="AE542" s="107">
        <f>IF(A5taxstdlife="n/a","n/a",IF(AE$3&gt;(A5taxstdlife+$E542),(('PTRM input'!$O$147+'PTRM input'!$O$113)*$O$7)-SUM($O542:AD542),(('PTRM input'!$O$147+'PTRM input'!$O$113)*$O$7)/A5taxstdlife))</f>
        <v>0</v>
      </c>
      <c r="AF542" s="107">
        <f>IF(A5taxstdlife="n/a","n/a",IF(AF$3&gt;(A5taxstdlife+$E542),(('PTRM input'!$O$147+'PTRM input'!$O$113)*$O$7)-SUM($O542:AE542),(('PTRM input'!$O$147+'PTRM input'!$O$113)*$O$7)/A5taxstdlife))</f>
        <v>0</v>
      </c>
      <c r="AG542" s="107">
        <f>IF(A5taxstdlife="n/a","n/a",IF(AG$3&gt;(A5taxstdlife+$E542),(('PTRM input'!$O$147+'PTRM input'!$O$113)*$O$7)-SUM($O542:AF542),(('PTRM input'!$O$147+'PTRM input'!$O$113)*$O$7)/A5taxstdlife))</f>
        <v>0</v>
      </c>
      <c r="AH542" s="107">
        <f>IF(A5taxstdlife="n/a","n/a",IF(AH$3&gt;(A5taxstdlife+$E542),(('PTRM input'!$O$147+'PTRM input'!$O$113)*$O$7)-SUM($O542:AG542),(('PTRM input'!$O$147+'PTRM input'!$O$113)*$O$7)/A5taxstdlife))</f>
        <v>0</v>
      </c>
      <c r="AI542" s="107">
        <f>IF(A5taxstdlife="n/a","n/a",IF(AI$3&gt;(A5taxstdlife+$E542),(('PTRM input'!$O$147+'PTRM input'!$O$113)*$O$7)-SUM($O542:AH542),(('PTRM input'!$O$147+'PTRM input'!$O$113)*$O$7)/A5taxstdlife))</f>
        <v>0</v>
      </c>
      <c r="AJ542" s="107">
        <f>IF(A5taxstdlife="n/a","n/a",IF(AJ$3&gt;(A5taxstdlife+$E542),(('PTRM input'!$O$147+'PTRM input'!$O$113)*$O$7)-SUM($O542:AI542),(('PTRM input'!$O$147+'PTRM input'!$O$113)*$O$7)/A5taxstdlife))</f>
        <v>0</v>
      </c>
      <c r="AK542" s="107">
        <f>IF(A5taxstdlife="n/a","n/a",IF(AK$3&gt;(A5taxstdlife+$E542),(('PTRM input'!$O$147+'PTRM input'!$O$113)*$O$7)-SUM($O542:AJ542),(('PTRM input'!$O$147+'PTRM input'!$O$113)*$O$7)/A5taxstdlife))</f>
        <v>0</v>
      </c>
      <c r="AL542" s="107">
        <f>IF(A5taxstdlife="n/a","n/a",IF(AL$3&gt;(A5taxstdlife+$E542),(('PTRM input'!$O$147+'PTRM input'!$O$113)*$O$7)-SUM($O542:AK542),(('PTRM input'!$O$147+'PTRM input'!$O$113)*$O$7)/A5taxstdlife))</f>
        <v>0</v>
      </c>
      <c r="AM542" s="107">
        <f>IF(A5taxstdlife="n/a","n/a",IF(AM$3&gt;(A5taxstdlife+$E542),(('PTRM input'!$O$147+'PTRM input'!$O$113)*$O$7)-SUM($O542:AL542),(('PTRM input'!$O$147+'PTRM input'!$O$113)*$O$7)/A5taxstdlife))</f>
        <v>0</v>
      </c>
      <c r="AN542" s="107">
        <f>IF(A5taxstdlife="n/a","n/a",IF(AN$3&gt;(A5taxstdlife+$E542),(('PTRM input'!$O$147+'PTRM input'!$O$113)*$O$7)-SUM($O542:AM542),(('PTRM input'!$O$147+'PTRM input'!$O$113)*$O$7)/A5taxstdlife))</f>
        <v>0</v>
      </c>
      <c r="AO542" s="107">
        <f>IF(A5taxstdlife="n/a","n/a",IF(AO$3&gt;(A5taxstdlife+$E542),(('PTRM input'!$O$147+'PTRM input'!$O$113)*$O$7)-SUM($O542:AN542),(('PTRM input'!$O$147+'PTRM input'!$O$113)*$O$7)/A5taxstdlife))</f>
        <v>0</v>
      </c>
      <c r="AP542" s="107">
        <f>IF(A5taxstdlife="n/a","n/a",IF(AP$3&gt;(A5taxstdlife+$E542),(('PTRM input'!$O$147+'PTRM input'!$O$113)*$O$7)-SUM($O542:AO542),(('PTRM input'!$O$147+'PTRM input'!$O$113)*$O$7)/A5taxstdlife))</f>
        <v>0</v>
      </c>
      <c r="AQ542" s="107">
        <f>IF(A5taxstdlife="n/a","n/a",IF(AQ$3&gt;(A5taxstdlife+$E542),(('PTRM input'!$O$147+'PTRM input'!$O$113)*$O$7)-SUM($O542:AP542),(('PTRM input'!$O$147+'PTRM input'!$O$113)*$O$7)/A5taxstdlife))</f>
        <v>0</v>
      </c>
      <c r="AR542" s="107">
        <f>IF(A5taxstdlife="n/a","n/a",IF(AR$3&gt;(A5taxstdlife+$E542),(('PTRM input'!$O$147+'PTRM input'!$O$113)*$O$7)-SUM($O542:AQ542),(('PTRM input'!$O$147+'PTRM input'!$O$113)*$O$7)/A5taxstdlife))</f>
        <v>0</v>
      </c>
      <c r="AS542" s="107">
        <f>IF(A5taxstdlife="n/a","n/a",IF(AS$3&gt;(A5taxstdlife+$E542),(('PTRM input'!$O$147+'PTRM input'!$O$113)*$O$7)-SUM($O542:AR542),(('PTRM input'!$O$147+'PTRM input'!$O$113)*$O$7)/A5taxstdlife))</f>
        <v>0</v>
      </c>
      <c r="AT542" s="107">
        <f>IF(A5taxstdlife="n/a","n/a",IF(AT$3&gt;(A5taxstdlife+$E542),(('PTRM input'!$O$147+'PTRM input'!$O$113)*$O$7)-SUM($O542:AS542),(('PTRM input'!$O$147+'PTRM input'!$O$113)*$O$7)/A5taxstdlife))</f>
        <v>0</v>
      </c>
      <c r="AU542" s="107">
        <f>IF(A5taxstdlife="n/a","n/a",IF(AU$3&gt;(A5taxstdlife+$E542),(('PTRM input'!$O$147+'PTRM input'!$O$113)*$O$7)-SUM($O542:AT542),(('PTRM input'!$O$147+'PTRM input'!$O$113)*$O$7)/A5taxstdlife))</f>
        <v>0</v>
      </c>
      <c r="AV542" s="107">
        <f>IF(A5taxstdlife="n/a","n/a",IF(AV$3&gt;(A5taxstdlife+$E542),(('PTRM input'!$O$147+'PTRM input'!$O$113)*$O$7)-SUM($O542:AU542),(('PTRM input'!$O$147+'PTRM input'!$O$113)*$O$7)/A5taxstdlife))</f>
        <v>0</v>
      </c>
      <c r="AW542" s="107">
        <f>IF(A5taxstdlife="n/a","n/a",IF(AW$3&gt;(A5taxstdlife+$E542),(('PTRM input'!$O$147+'PTRM input'!$O$113)*$O$7)-SUM($O542:AV542),(('PTRM input'!$O$147+'PTRM input'!$O$113)*$O$7)/A5taxstdlife))</f>
        <v>0</v>
      </c>
      <c r="AX542" s="107">
        <f>IF(A5taxstdlife="n/a","n/a",IF(AX$3&gt;(A5taxstdlife+$E542),(('PTRM input'!$O$147+'PTRM input'!$O$113)*$O$7)-SUM($O542:AW542),(('PTRM input'!$O$147+'PTRM input'!$O$113)*$O$7)/A5taxstdlife))</f>
        <v>0</v>
      </c>
      <c r="AY542" s="107">
        <f>IF(A5taxstdlife="n/a","n/a",IF(AY$3&gt;(A5taxstdlife+$E542),(('PTRM input'!$O$147+'PTRM input'!$O$113)*$O$7)-SUM($O542:AX542),(('PTRM input'!$O$147+'PTRM input'!$O$113)*$O$7)/A5taxstdlife))</f>
        <v>0</v>
      </c>
      <c r="AZ542" s="107">
        <f>IF(A5taxstdlife="n/a","n/a",IF(AZ$3&gt;(A5taxstdlife+$E542),(('PTRM input'!$O$147+'PTRM input'!$O$113)*$O$7)-SUM($O542:AY542),(('PTRM input'!$O$147+'PTRM input'!$O$113)*$O$7)/A5taxstdlife))</f>
        <v>0</v>
      </c>
      <c r="BA542" s="107">
        <f>IF(A5taxstdlife="n/a","n/a",IF(BA$3&gt;(A5taxstdlife+$E542),(('PTRM input'!$O$147+'PTRM input'!$O$113)*$O$7)-SUM($O542:AZ542),(('PTRM input'!$O$147+'PTRM input'!$O$113)*$O$7)/A5taxstdlife))</f>
        <v>0</v>
      </c>
      <c r="BB542" s="107">
        <f>IF(A5taxstdlife="n/a","n/a",IF(BB$3&gt;(A5taxstdlife+$E542),(('PTRM input'!$O$147+'PTRM input'!$O$113)*$O$7)-SUM($O542:BA542),(('PTRM input'!$O$147+'PTRM input'!$O$113)*$O$7)/A5taxstdlife))</f>
        <v>0</v>
      </c>
      <c r="BC542" s="107">
        <f>IF(A5taxstdlife="n/a","n/a",IF(BC$3&gt;(A5taxstdlife+$E542),(('PTRM input'!$O$147+'PTRM input'!$O$113)*$O$7)-SUM($O542:BB542),(('PTRM input'!$O$147+'PTRM input'!$O$113)*$O$7)/A5taxstdlife))</f>
        <v>0</v>
      </c>
      <c r="BD542" s="107">
        <f>IF(A5taxstdlife="n/a","n/a",IF(BD$3&gt;(A5taxstdlife+$E542),(('PTRM input'!$O$147+'PTRM input'!$O$113)*$O$7)-SUM($O542:BC542),(('PTRM input'!$O$147+'PTRM input'!$O$113)*$O$7)/A5taxstdlife))</f>
        <v>0</v>
      </c>
      <c r="BE542" s="107">
        <f>IF(A5taxstdlife="n/a","n/a",IF(BE$3&gt;(A5taxstdlife+$E542),(('PTRM input'!$O$147+'PTRM input'!$O$113)*$O$7)-SUM($O542:BD542),(('PTRM input'!$O$147+'PTRM input'!$O$113)*$O$7)/A5taxstdlife))</f>
        <v>0</v>
      </c>
      <c r="BF542" s="107">
        <f>IF(A5taxstdlife="n/a","n/a",IF(BF$3&gt;(A5taxstdlife+$E542),(('PTRM input'!$O$147+'PTRM input'!$O$113)*$O$7)-SUM($O542:BE542),(('PTRM input'!$O$147+'PTRM input'!$O$113)*$O$7)/A5taxstdlife))</f>
        <v>0</v>
      </c>
      <c r="BG542" s="107">
        <f>IF(A5taxstdlife="n/a","n/a",IF(BG$3&gt;(A5taxstdlife+$E542),(('PTRM input'!$O$147+'PTRM input'!$O$113)*$O$7)-SUM($O542:BF542),(('PTRM input'!$O$147+'PTRM input'!$O$113)*$O$7)/A5taxstdlife))</f>
        <v>0</v>
      </c>
      <c r="BH542" s="107">
        <f>IF(A5taxstdlife="n/a","n/a",IF(BH$3&gt;(A5taxstdlife+$E542),(('PTRM input'!$O$147+'PTRM input'!$O$113)*$O$7)-SUM($O542:BG542),(('PTRM input'!$O$147+'PTRM input'!$O$113)*$O$7)/A5taxstdlife))</f>
        <v>0</v>
      </c>
      <c r="BI542" s="107">
        <f>IF(A5taxstdlife="n/a","n/a",IF(BI$3&gt;(A5taxstdlife+$E542),(('PTRM input'!$O$147+'PTRM input'!$O$113)*$O$7)-SUM($O542:BH542),(('PTRM input'!$O$147+'PTRM input'!$O$113)*$O$7)/A5taxstdlife))</f>
        <v>0</v>
      </c>
      <c r="BJ542" s="18"/>
      <c r="BK542" s="18"/>
      <c r="BL542" s="18"/>
      <c r="BM542" s="18"/>
    </row>
    <row r="543" spans="1:65" s="4" customFormat="1" hidden="1" outlineLevel="2">
      <c r="A543" s="240"/>
      <c r="B543" s="240"/>
      <c r="C543" s="595"/>
      <c r="D543" s="1618"/>
      <c r="E543" s="170">
        <v>10</v>
      </c>
      <c r="F543" s="35"/>
      <c r="G543" s="184"/>
      <c r="H543" s="186"/>
      <c r="I543" s="186"/>
      <c r="J543" s="186"/>
      <c r="K543" s="186"/>
      <c r="L543" s="186"/>
      <c r="M543" s="186"/>
      <c r="N543" s="186"/>
      <c r="O543" s="186"/>
      <c r="P543" s="185"/>
      <c r="Q543" s="590">
        <f>IF(A5taxstdlife="n/a","n/a",IF(Q$3&gt;(A5taxstdlife+$E543),(('PTRM input'!$P$147+'PTRM input'!$P$113)*$P$7)-SUM($P543:P543),(('PTRM input'!$P$147+'PTRM input'!$P$113)*$P$7)/A5taxstdlife))</f>
        <v>0</v>
      </c>
      <c r="R543" s="590">
        <f>IF(A5taxstdlife="n/a","n/a",IF(R$3&gt;(A5taxstdlife+$E543),(('PTRM input'!$P$147+'PTRM input'!$P$113)*$P$7)-SUM($P543:Q543),(('PTRM input'!$P$147+'PTRM input'!$P$113)*$P$7)/A5taxstdlife))</f>
        <v>0</v>
      </c>
      <c r="S543" s="590">
        <f>IF(A5taxstdlife="n/a","n/a",IF(S$3&gt;(A5taxstdlife+$E543),(('PTRM input'!$P$147+'PTRM input'!$P$113)*$P$7)-SUM($P543:R543),(('PTRM input'!$P$147+'PTRM input'!$P$113)*$P$7)/A5taxstdlife))</f>
        <v>0</v>
      </c>
      <c r="T543" s="590">
        <f>IF(A5taxstdlife="n/a","n/a",IF(T$3&gt;(A5taxstdlife+$E543),(('PTRM input'!$P$147+'PTRM input'!$P$113)*$P$7)-SUM($P543:S543),(('PTRM input'!$P$147+'PTRM input'!$P$113)*$P$7)/A5taxstdlife))</f>
        <v>0</v>
      </c>
      <c r="U543" s="590">
        <f>IF(A5taxstdlife="n/a","n/a",IF(U$3&gt;(A5taxstdlife+$E543),(('PTRM input'!$P$147+'PTRM input'!$P$113)*$P$7)-SUM($P543:T543),(('PTRM input'!$P$147+'PTRM input'!$P$113)*$P$7)/A5taxstdlife))</f>
        <v>0</v>
      </c>
      <c r="V543" s="590">
        <f>IF(A5taxstdlife="n/a","n/a",IF(V$3&gt;(A5taxstdlife+$E543),(('PTRM input'!$P$147+'PTRM input'!$P$113)*$P$7)-SUM($P543:U543),(('PTRM input'!$P$147+'PTRM input'!$P$113)*$P$7)/A5taxstdlife))</f>
        <v>0</v>
      </c>
      <c r="W543" s="590">
        <f>IF(A5taxstdlife="n/a","n/a",IF(W$3&gt;(A5taxstdlife+$E543),(('PTRM input'!$P$147+'PTRM input'!$P$113)*$P$7)-SUM($P543:V543),(('PTRM input'!$P$147+'PTRM input'!$P$113)*$P$7)/A5taxstdlife))</f>
        <v>0</v>
      </c>
      <c r="X543" s="590">
        <f>IF(A5taxstdlife="n/a","n/a",IF(X$3&gt;(A5taxstdlife+$E543),(('PTRM input'!$P$147+'PTRM input'!$P$113)*$P$7)-SUM($P543:W543),(('PTRM input'!$P$147+'PTRM input'!$P$113)*$P$7)/A5taxstdlife))</f>
        <v>0</v>
      </c>
      <c r="Y543" s="590">
        <f>IF(A5taxstdlife="n/a","n/a",IF(Y$3&gt;(A5taxstdlife+$E543),(('PTRM input'!$P$147+'PTRM input'!$P$113)*$P$7)-SUM($P543:X543),(('PTRM input'!$P$147+'PTRM input'!$P$113)*$P$7)/A5taxstdlife))</f>
        <v>0</v>
      </c>
      <c r="Z543" s="590">
        <f>IF(A5taxstdlife="n/a","n/a",IF(Z$3&gt;(A5taxstdlife+$E543),(('PTRM input'!$P$147+'PTRM input'!$P$113)*$P$7)-SUM($P543:Y543),(('PTRM input'!$P$147+'PTRM input'!$P$113)*$P$7)/A5taxstdlife))</f>
        <v>0</v>
      </c>
      <c r="AA543" s="590">
        <f>IF(A5taxstdlife="n/a","n/a",IF(AA$3&gt;(A5taxstdlife+$E543),(('PTRM input'!$P$147+'PTRM input'!$P$113)*$P$7)-SUM($P543:Z543),(('PTRM input'!$P$147+'PTRM input'!$P$113)*$P$7)/A5taxstdlife))</f>
        <v>0</v>
      </c>
      <c r="AB543" s="590">
        <f>IF(A5taxstdlife="n/a","n/a",IF(AB$3&gt;(A5taxstdlife+$E543),(('PTRM input'!$P$147+'PTRM input'!$P$113)*$P$7)-SUM($P543:AA543),(('PTRM input'!$P$147+'PTRM input'!$P$113)*$P$7)/A5taxstdlife))</f>
        <v>0</v>
      </c>
      <c r="AC543" s="590">
        <f>IF(A5taxstdlife="n/a","n/a",IF(AC$3&gt;(A5taxstdlife+$E543),(('PTRM input'!$P$147+'PTRM input'!$P$113)*$P$7)-SUM($P543:AB543),(('PTRM input'!$P$147+'PTRM input'!$P$113)*$P$7)/A5taxstdlife))</f>
        <v>0</v>
      </c>
      <c r="AD543" s="590">
        <f>IF(A5taxstdlife="n/a","n/a",IF(AD$3&gt;(A5taxstdlife+$E543),(('PTRM input'!$P$147+'PTRM input'!$P$113)*$P$7)-SUM($P543:AC543),(('PTRM input'!$P$147+'PTRM input'!$P$113)*$P$7)/A5taxstdlife))</f>
        <v>0</v>
      </c>
      <c r="AE543" s="590">
        <f>IF(A5taxstdlife="n/a","n/a",IF(AE$3&gt;(A5taxstdlife+$E543),(('PTRM input'!$P$147+'PTRM input'!$P$113)*$P$7)-SUM($P543:AD543),(('PTRM input'!$P$147+'PTRM input'!$P$113)*$P$7)/A5taxstdlife))</f>
        <v>0</v>
      </c>
      <c r="AF543" s="590">
        <f>IF(A5taxstdlife="n/a","n/a",IF(AF$3&gt;(A5taxstdlife+$E543),(('PTRM input'!$P$147+'PTRM input'!$P$113)*$P$7)-SUM($P543:AE543),(('PTRM input'!$P$147+'PTRM input'!$P$113)*$P$7)/A5taxstdlife))</f>
        <v>0</v>
      </c>
      <c r="AG543" s="590">
        <f>IF(A5taxstdlife="n/a","n/a",IF(AG$3&gt;(A5taxstdlife+$E543),(('PTRM input'!$P$147+'PTRM input'!$P$113)*$P$7)-SUM($P543:AF543),(('PTRM input'!$P$147+'PTRM input'!$P$113)*$P$7)/A5taxstdlife))</f>
        <v>0</v>
      </c>
      <c r="AH543" s="590">
        <f>IF(A5taxstdlife="n/a","n/a",IF(AH$3&gt;(A5taxstdlife+$E543),(('PTRM input'!$P$147+'PTRM input'!$P$113)*$P$7)-SUM($P543:AG543),(('PTRM input'!$P$147+'PTRM input'!$P$113)*$P$7)/A5taxstdlife))</f>
        <v>0</v>
      </c>
      <c r="AI543" s="590">
        <f>IF(A5taxstdlife="n/a","n/a",IF(AI$3&gt;(A5taxstdlife+$E543),(('PTRM input'!$P$147+'PTRM input'!$P$113)*$P$7)-SUM($P543:AH543),(('PTRM input'!$P$147+'PTRM input'!$P$113)*$P$7)/A5taxstdlife))</f>
        <v>0</v>
      </c>
      <c r="AJ543" s="590">
        <f>IF(A5taxstdlife="n/a","n/a",IF(AJ$3&gt;(A5taxstdlife+$E543),(('PTRM input'!$P$147+'PTRM input'!$P$113)*$P$7)-SUM($P543:AI543),(('PTRM input'!$P$147+'PTRM input'!$P$113)*$P$7)/A5taxstdlife))</f>
        <v>0</v>
      </c>
      <c r="AK543" s="590">
        <f>IF(A5taxstdlife="n/a","n/a",IF(AK$3&gt;(A5taxstdlife+$E543),(('PTRM input'!$P$147+'PTRM input'!$P$113)*$P$7)-SUM($P543:AJ543),(('PTRM input'!$P$147+'PTRM input'!$P$113)*$P$7)/A5taxstdlife))</f>
        <v>0</v>
      </c>
      <c r="AL543" s="590">
        <f>IF(A5taxstdlife="n/a","n/a",IF(AL$3&gt;(A5taxstdlife+$E543),(('PTRM input'!$P$147+'PTRM input'!$P$113)*$P$7)-SUM($P543:AK543),(('PTRM input'!$P$147+'PTRM input'!$P$113)*$P$7)/A5taxstdlife))</f>
        <v>0</v>
      </c>
      <c r="AM543" s="590">
        <f>IF(A5taxstdlife="n/a","n/a",IF(AM$3&gt;(A5taxstdlife+$E543),(('PTRM input'!$P$147+'PTRM input'!$P$113)*$P$7)-SUM($P543:AL543),(('PTRM input'!$P$147+'PTRM input'!$P$113)*$P$7)/A5taxstdlife))</f>
        <v>0</v>
      </c>
      <c r="AN543" s="590">
        <f>IF(A5taxstdlife="n/a","n/a",IF(AN$3&gt;(A5taxstdlife+$E543),(('PTRM input'!$P$147+'PTRM input'!$P$113)*$P$7)-SUM($P543:AM543),(('PTRM input'!$P$147+'PTRM input'!$P$113)*$P$7)/A5taxstdlife))</f>
        <v>0</v>
      </c>
      <c r="AO543" s="590">
        <f>IF(A5taxstdlife="n/a","n/a",IF(AO$3&gt;(A5taxstdlife+$E543),(('PTRM input'!$P$147+'PTRM input'!$P$113)*$P$7)-SUM($P543:AN543),(('PTRM input'!$P$147+'PTRM input'!$P$113)*$P$7)/A5taxstdlife))</f>
        <v>0</v>
      </c>
      <c r="AP543" s="590">
        <f>IF(A5taxstdlife="n/a","n/a",IF(AP$3&gt;(A5taxstdlife+$E543),(('PTRM input'!$P$147+'PTRM input'!$P$113)*$P$7)-SUM($P543:AO543),(('PTRM input'!$P$147+'PTRM input'!$P$113)*$P$7)/A5taxstdlife))</f>
        <v>0</v>
      </c>
      <c r="AQ543" s="590">
        <f>IF(A5taxstdlife="n/a","n/a",IF(AQ$3&gt;(A5taxstdlife+$E543),(('PTRM input'!$P$147+'PTRM input'!$P$113)*$P$7)-SUM($P543:AP543),(('PTRM input'!$P$147+'PTRM input'!$P$113)*$P$7)/A5taxstdlife))</f>
        <v>0</v>
      </c>
      <c r="AR543" s="590">
        <f>IF(A5taxstdlife="n/a","n/a",IF(AR$3&gt;(A5taxstdlife+$E543),(('PTRM input'!$P$147+'PTRM input'!$P$113)*$P$7)-SUM($P543:AQ543),(('PTRM input'!$P$147+'PTRM input'!$P$113)*$P$7)/A5taxstdlife))</f>
        <v>0</v>
      </c>
      <c r="AS543" s="590">
        <f>IF(A5taxstdlife="n/a","n/a",IF(AS$3&gt;(A5taxstdlife+$E543),(('PTRM input'!$P$147+'PTRM input'!$P$113)*$P$7)-SUM($P543:AR543),(('PTRM input'!$P$147+'PTRM input'!$P$113)*$P$7)/A5taxstdlife))</f>
        <v>0</v>
      </c>
      <c r="AT543" s="590">
        <f>IF(A5taxstdlife="n/a","n/a",IF(AT$3&gt;(A5taxstdlife+$E543),(('PTRM input'!$P$147+'PTRM input'!$P$113)*$P$7)-SUM($P543:AS543),(('PTRM input'!$P$147+'PTRM input'!$P$113)*$P$7)/A5taxstdlife))</f>
        <v>0</v>
      </c>
      <c r="AU543" s="590">
        <f>IF(A5taxstdlife="n/a","n/a",IF(AU$3&gt;(A5taxstdlife+$E543),(('PTRM input'!$P$147+'PTRM input'!$P$113)*$P$7)-SUM($P543:AT543),(('PTRM input'!$P$147+'PTRM input'!$P$113)*$P$7)/A5taxstdlife))</f>
        <v>0</v>
      </c>
      <c r="AV543" s="590">
        <f>IF(A5taxstdlife="n/a","n/a",IF(AV$3&gt;(A5taxstdlife+$E543),(('PTRM input'!$P$147+'PTRM input'!$P$113)*$P$7)-SUM($P543:AU543),(('PTRM input'!$P$147+'PTRM input'!$P$113)*$P$7)/A5taxstdlife))</f>
        <v>0</v>
      </c>
      <c r="AW543" s="590">
        <f>IF(A5taxstdlife="n/a","n/a",IF(AW$3&gt;(A5taxstdlife+$E543),(('PTRM input'!$P$147+'PTRM input'!$P$113)*$P$7)-SUM($P543:AV543),(('PTRM input'!$P$147+'PTRM input'!$P$113)*$P$7)/A5taxstdlife))</f>
        <v>0</v>
      </c>
      <c r="AX543" s="590">
        <f>IF(A5taxstdlife="n/a","n/a",IF(AX$3&gt;(A5taxstdlife+$E543),(('PTRM input'!$P$147+'PTRM input'!$P$113)*$P$7)-SUM($P543:AW543),(('PTRM input'!$P$147+'PTRM input'!$P$113)*$P$7)/A5taxstdlife))</f>
        <v>0</v>
      </c>
      <c r="AY543" s="590">
        <f>IF(A5taxstdlife="n/a","n/a",IF(AY$3&gt;(A5taxstdlife+$E543),(('PTRM input'!$P$147+'PTRM input'!$P$113)*$P$7)-SUM($P543:AX543),(('PTRM input'!$P$147+'PTRM input'!$P$113)*$P$7)/A5taxstdlife))</f>
        <v>0</v>
      </c>
      <c r="AZ543" s="590">
        <f>IF(A5taxstdlife="n/a","n/a",IF(AZ$3&gt;(A5taxstdlife+$E543),(('PTRM input'!$P$147+'PTRM input'!$P$113)*$P$7)-SUM($P543:AY543),(('PTRM input'!$P$147+'PTRM input'!$P$113)*$P$7)/A5taxstdlife))</f>
        <v>0</v>
      </c>
      <c r="BA543" s="590">
        <f>IF(A5taxstdlife="n/a","n/a",IF(BA$3&gt;(A5taxstdlife+$E543),(('PTRM input'!$P$147+'PTRM input'!$P$113)*$P$7)-SUM($P543:AZ543),(('PTRM input'!$P$147+'PTRM input'!$P$113)*$P$7)/A5taxstdlife))</f>
        <v>0</v>
      </c>
      <c r="BB543" s="590">
        <f>IF(A5taxstdlife="n/a","n/a",IF(BB$3&gt;(A5taxstdlife+$E543),(('PTRM input'!$P$147+'PTRM input'!$P$113)*$P$7)-SUM($P543:BA543),(('PTRM input'!$P$147+'PTRM input'!$P$113)*$P$7)/A5taxstdlife))</f>
        <v>0</v>
      </c>
      <c r="BC543" s="590">
        <f>IF(A5taxstdlife="n/a","n/a",IF(BC$3&gt;(A5taxstdlife+$E543),(('PTRM input'!$P$147+'PTRM input'!$P$113)*$P$7)-SUM($P543:BB543),(('PTRM input'!$P$147+'PTRM input'!$P$113)*$P$7)/A5taxstdlife))</f>
        <v>0</v>
      </c>
      <c r="BD543" s="590">
        <f>IF(A5taxstdlife="n/a","n/a",IF(BD$3&gt;(A5taxstdlife+$E543),(('PTRM input'!$P$147+'PTRM input'!$P$113)*$P$7)-SUM($P543:BC543),(('PTRM input'!$P$147+'PTRM input'!$P$113)*$P$7)/A5taxstdlife))</f>
        <v>0</v>
      </c>
      <c r="BE543" s="590">
        <f>IF(A5taxstdlife="n/a","n/a",IF(BE$3&gt;(A5taxstdlife+$E543),(('PTRM input'!$P$147+'PTRM input'!$P$113)*$P$7)-SUM($P543:BD543),(('PTRM input'!$P$147+'PTRM input'!$P$113)*$P$7)/A5taxstdlife))</f>
        <v>0</v>
      </c>
      <c r="BF543" s="590">
        <f>IF(A5taxstdlife="n/a","n/a",IF(BF$3&gt;(A5taxstdlife+$E543),(('PTRM input'!$P$147+'PTRM input'!$P$113)*$P$7)-SUM($P543:BE543),(('PTRM input'!$P$147+'PTRM input'!$P$113)*$P$7)/A5taxstdlife))</f>
        <v>0</v>
      </c>
      <c r="BG543" s="590">
        <f>IF(A5taxstdlife="n/a","n/a",IF(BG$3&gt;(A5taxstdlife+$E543),(('PTRM input'!$P$147+'PTRM input'!$P$113)*$P$7)-SUM($P543:BF543),(('PTRM input'!$P$147+'PTRM input'!$P$113)*$P$7)/A5taxstdlife))</f>
        <v>0</v>
      </c>
      <c r="BH543" s="590">
        <f>IF(A5taxstdlife="n/a","n/a",IF(BH$3&gt;(A5taxstdlife+$E543),(('PTRM input'!$P$147+'PTRM input'!$P$113)*$P$7)-SUM($P543:BG543),(('PTRM input'!$P$147+'PTRM input'!$P$113)*$P$7)/A5taxstdlife))</f>
        <v>0</v>
      </c>
      <c r="BI543" s="590">
        <f>IF(A5taxstdlife="n/a","n/a",IF(BI$3&gt;(A5taxstdlife+$E543),(('PTRM input'!$P$147+'PTRM input'!$P$113)*$P$7)-SUM($P543:BH543),(('PTRM input'!$P$147+'PTRM input'!$P$113)*$P$7)/A5taxstdlife))</f>
        <v>0</v>
      </c>
      <c r="BJ543" s="240"/>
      <c r="BK543" s="240"/>
      <c r="BL543" s="240"/>
      <c r="BM543" s="240"/>
    </row>
    <row r="544" spans="1:65" s="4" customFormat="1" hidden="1" outlineLevel="1">
      <c r="A544" s="240"/>
      <c r="B544" s="240"/>
      <c r="C544" s="595">
        <f>Asset5</f>
        <v>0</v>
      </c>
      <c r="D544" s="240"/>
      <c r="E544" s="240"/>
      <c r="F544" s="596"/>
      <c r="G544" s="591">
        <f t="shared" ref="G544:AL544" si="114">SUM(G532:G543)</f>
        <v>0</v>
      </c>
      <c r="H544" s="591">
        <f t="shared" si="114"/>
        <v>0</v>
      </c>
      <c r="I544" s="591">
        <f t="shared" si="114"/>
        <v>0</v>
      </c>
      <c r="J544" s="591">
        <f t="shared" si="114"/>
        <v>0</v>
      </c>
      <c r="K544" s="591">
        <f t="shared" si="114"/>
        <v>0</v>
      </c>
      <c r="L544" s="591">
        <f t="shared" si="114"/>
        <v>0</v>
      </c>
      <c r="M544" s="591">
        <f t="shared" si="114"/>
        <v>0</v>
      </c>
      <c r="N544" s="591">
        <f t="shared" si="114"/>
        <v>0</v>
      </c>
      <c r="O544" s="591">
        <f t="shared" si="114"/>
        <v>0</v>
      </c>
      <c r="P544" s="591">
        <f t="shared" si="114"/>
        <v>0</v>
      </c>
      <c r="Q544" s="591">
        <f t="shared" si="114"/>
        <v>0</v>
      </c>
      <c r="R544" s="591">
        <f t="shared" si="114"/>
        <v>0</v>
      </c>
      <c r="S544" s="591">
        <f t="shared" si="114"/>
        <v>0</v>
      </c>
      <c r="T544" s="591">
        <f t="shared" si="114"/>
        <v>0</v>
      </c>
      <c r="U544" s="591">
        <f t="shared" si="114"/>
        <v>0</v>
      </c>
      <c r="V544" s="591">
        <f t="shared" si="114"/>
        <v>0</v>
      </c>
      <c r="W544" s="591">
        <f t="shared" si="114"/>
        <v>0</v>
      </c>
      <c r="X544" s="591">
        <f t="shared" si="114"/>
        <v>0</v>
      </c>
      <c r="Y544" s="591">
        <f t="shared" si="114"/>
        <v>0</v>
      </c>
      <c r="Z544" s="591">
        <f t="shared" si="114"/>
        <v>0</v>
      </c>
      <c r="AA544" s="591">
        <f t="shared" si="114"/>
        <v>0</v>
      </c>
      <c r="AB544" s="591">
        <f t="shared" si="114"/>
        <v>0</v>
      </c>
      <c r="AC544" s="591">
        <f t="shared" si="114"/>
        <v>0</v>
      </c>
      <c r="AD544" s="591">
        <f t="shared" si="114"/>
        <v>0</v>
      </c>
      <c r="AE544" s="591">
        <f t="shared" si="114"/>
        <v>0</v>
      </c>
      <c r="AF544" s="591">
        <f t="shared" si="114"/>
        <v>0</v>
      </c>
      <c r="AG544" s="591">
        <f t="shared" si="114"/>
        <v>0</v>
      </c>
      <c r="AH544" s="591">
        <f t="shared" si="114"/>
        <v>0</v>
      </c>
      <c r="AI544" s="591">
        <f t="shared" si="114"/>
        <v>0</v>
      </c>
      <c r="AJ544" s="591">
        <f t="shared" si="114"/>
        <v>0</v>
      </c>
      <c r="AK544" s="591">
        <f t="shared" si="114"/>
        <v>0</v>
      </c>
      <c r="AL544" s="591">
        <f t="shared" si="114"/>
        <v>0</v>
      </c>
      <c r="AM544" s="591">
        <f t="shared" ref="AM544:BI544" si="115">SUM(AM532:AM543)</f>
        <v>0</v>
      </c>
      <c r="AN544" s="591">
        <f t="shared" si="115"/>
        <v>0</v>
      </c>
      <c r="AO544" s="591">
        <f t="shared" si="115"/>
        <v>0</v>
      </c>
      <c r="AP544" s="591">
        <f t="shared" si="115"/>
        <v>0</v>
      </c>
      <c r="AQ544" s="591">
        <f t="shared" si="115"/>
        <v>0</v>
      </c>
      <c r="AR544" s="591">
        <f t="shared" si="115"/>
        <v>0</v>
      </c>
      <c r="AS544" s="591">
        <f t="shared" si="115"/>
        <v>0</v>
      </c>
      <c r="AT544" s="591">
        <f t="shared" si="115"/>
        <v>0</v>
      </c>
      <c r="AU544" s="591">
        <f t="shared" si="115"/>
        <v>0</v>
      </c>
      <c r="AV544" s="591">
        <f t="shared" si="115"/>
        <v>0</v>
      </c>
      <c r="AW544" s="591">
        <f t="shared" si="115"/>
        <v>0</v>
      </c>
      <c r="AX544" s="591">
        <f t="shared" si="115"/>
        <v>0</v>
      </c>
      <c r="AY544" s="591">
        <f t="shared" si="115"/>
        <v>0</v>
      </c>
      <c r="AZ544" s="591">
        <f t="shared" si="115"/>
        <v>0</v>
      </c>
      <c r="BA544" s="591">
        <f t="shared" si="115"/>
        <v>0</v>
      </c>
      <c r="BB544" s="591">
        <f t="shared" si="115"/>
        <v>0</v>
      </c>
      <c r="BC544" s="591">
        <f t="shared" si="115"/>
        <v>0</v>
      </c>
      <c r="BD544" s="591">
        <f t="shared" si="115"/>
        <v>0</v>
      </c>
      <c r="BE544" s="591">
        <f t="shared" si="115"/>
        <v>0</v>
      </c>
      <c r="BF544" s="591">
        <f t="shared" si="115"/>
        <v>0</v>
      </c>
      <c r="BG544" s="591">
        <f t="shared" si="115"/>
        <v>0</v>
      </c>
      <c r="BH544" s="591">
        <f t="shared" si="115"/>
        <v>0</v>
      </c>
      <c r="BI544" s="591">
        <f t="shared" si="115"/>
        <v>0</v>
      </c>
      <c r="BJ544" s="240"/>
      <c r="BK544" s="240"/>
      <c r="BL544" s="240"/>
      <c r="BM544" s="240"/>
    </row>
    <row r="545" spans="1:65" s="4" customFormat="1" hidden="1" outlineLevel="2">
      <c r="A545" s="240"/>
      <c r="B545" s="597">
        <f>C557</f>
        <v>0</v>
      </c>
      <c r="C545" s="488"/>
      <c r="D545" s="598" t="s">
        <v>58</v>
      </c>
      <c r="E545" s="488"/>
      <c r="F545" s="599"/>
      <c r="G545" s="592">
        <f>IF(G$3&gt;A6taxremlife,A6taxvalue-SUM($F545:F545),IF(A6taxremlife="N/A","n/a",A6taxvalue/A6taxremlife))</f>
        <v>0</v>
      </c>
      <c r="H545" s="592">
        <f>IF(H$3&gt;A6taxremlife,A6taxvalue-SUM($F545:G545),IF(A6taxremlife="N/A","n/a",A6taxvalue/A6taxremlife))</f>
        <v>0</v>
      </c>
      <c r="I545" s="592">
        <f>IF(I$3&gt;A6taxremlife,A6taxvalue-SUM($F545:H545),IF(A6taxremlife="N/A","n/a",A6taxvalue/A6taxremlife))</f>
        <v>0</v>
      </c>
      <c r="J545" s="592">
        <f>IF(J$3&gt;A6taxremlife,A6taxvalue-SUM($F545:I545),IF(A6taxremlife="N/A","n/a",A6taxvalue/A6taxremlife))</f>
        <v>0</v>
      </c>
      <c r="K545" s="592">
        <f>IF(K$3&gt;A6taxremlife,A6taxvalue-SUM($F545:J545),IF(A6taxremlife="N/A","n/a",A6taxvalue/A6taxremlife))</f>
        <v>0</v>
      </c>
      <c r="L545" s="592">
        <f>IF(L$3&gt;A6taxremlife,A6taxvalue-SUM($F545:K545),IF(A6taxremlife="N/A","n/a",A6taxvalue/A6taxremlife))</f>
        <v>0</v>
      </c>
      <c r="M545" s="592">
        <f>IF(M$3&gt;A6taxremlife,A6taxvalue-SUM($F545:L545),IF(A6taxremlife="N/A","n/a",A6taxvalue/A6taxremlife))</f>
        <v>0</v>
      </c>
      <c r="N545" s="592">
        <f>IF(N$3&gt;A6taxremlife,A6taxvalue-SUM($F545:M545),IF(A6taxremlife="N/A","n/a",A6taxvalue/A6taxremlife))</f>
        <v>0</v>
      </c>
      <c r="O545" s="592">
        <f>IF(O$3&gt;A6taxremlife,A6taxvalue-SUM($F545:N545),IF(A6taxremlife="N/A","n/a",A6taxvalue/A6taxremlife))</f>
        <v>0</v>
      </c>
      <c r="P545" s="592">
        <f>IF(P$3&gt;A6taxremlife,A6taxvalue-SUM($F545:O545),IF(A6taxremlife="N/A","n/a",A6taxvalue/A6taxremlife))</f>
        <v>0</v>
      </c>
      <c r="Q545" s="592">
        <f>IF(Q$3&gt;A6taxremlife,A6taxvalue-SUM($F545:P545),IF(A6taxremlife="N/A","n/a",A6taxvalue/A6taxremlife))</f>
        <v>0</v>
      </c>
      <c r="R545" s="592">
        <f>IF(R$3&gt;A6taxremlife,A6taxvalue-SUM($F545:Q545),IF(A6taxremlife="N/A","n/a",A6taxvalue/A6taxremlife))</f>
        <v>0</v>
      </c>
      <c r="S545" s="592">
        <f>IF(S$3&gt;A6taxremlife,A6taxvalue-SUM($F545:R545),IF(A6taxremlife="N/A","n/a",A6taxvalue/A6taxremlife))</f>
        <v>0</v>
      </c>
      <c r="T545" s="592">
        <f>IF(T$3&gt;A6taxremlife,A6taxvalue-SUM($F545:S545),IF(A6taxremlife="N/A","n/a",A6taxvalue/A6taxremlife))</f>
        <v>0</v>
      </c>
      <c r="U545" s="592">
        <f>IF(U$3&gt;A6taxremlife,A6taxvalue-SUM($F545:T545),IF(A6taxremlife="N/A","n/a",A6taxvalue/A6taxremlife))</f>
        <v>0</v>
      </c>
      <c r="V545" s="592">
        <f>IF(V$3&gt;A6taxremlife,A6taxvalue-SUM($F545:U545),IF(A6taxremlife="N/A","n/a",A6taxvalue/A6taxremlife))</f>
        <v>0</v>
      </c>
      <c r="W545" s="592">
        <f>IF(W$3&gt;A6taxremlife,A6taxvalue-SUM($F545:V545),IF(A6taxremlife="N/A","n/a",A6taxvalue/A6taxremlife))</f>
        <v>0</v>
      </c>
      <c r="X545" s="592">
        <f>IF(X$3&gt;A6taxremlife,A6taxvalue-SUM($F545:W545),IF(A6taxremlife="N/A","n/a",A6taxvalue/A6taxremlife))</f>
        <v>0</v>
      </c>
      <c r="Y545" s="592">
        <f>IF(Y$3&gt;A6taxremlife,A6taxvalue-SUM($F545:X545),IF(A6taxremlife="N/A","n/a",A6taxvalue/A6taxremlife))</f>
        <v>0</v>
      </c>
      <c r="Z545" s="592">
        <f>IF(Z$3&gt;A6taxremlife,A6taxvalue-SUM($F545:Y545),IF(A6taxremlife="N/A","n/a",A6taxvalue/A6taxremlife))</f>
        <v>0</v>
      </c>
      <c r="AA545" s="592">
        <f>IF(AA$3&gt;A6taxremlife,A6taxvalue-SUM($F545:Z545),IF(A6taxremlife="N/A","n/a",A6taxvalue/A6taxremlife))</f>
        <v>0</v>
      </c>
      <c r="AB545" s="592">
        <f>IF(AB$3&gt;A6taxremlife,A6taxvalue-SUM($F545:AA545),IF(A6taxremlife="N/A","n/a",A6taxvalue/A6taxremlife))</f>
        <v>0</v>
      </c>
      <c r="AC545" s="592">
        <f>IF(AC$3&gt;A6taxremlife,A6taxvalue-SUM($F545:AB545),IF(A6taxremlife="N/A","n/a",A6taxvalue/A6taxremlife))</f>
        <v>0</v>
      </c>
      <c r="AD545" s="592">
        <f>IF(AD$3&gt;A6taxremlife,A6taxvalue-SUM($F545:AC545),IF(A6taxremlife="N/A","n/a",A6taxvalue/A6taxremlife))</f>
        <v>0</v>
      </c>
      <c r="AE545" s="592">
        <f>IF(AE$3&gt;A6taxremlife,A6taxvalue-SUM($F545:AD545),IF(A6taxremlife="N/A","n/a",A6taxvalue/A6taxremlife))</f>
        <v>0</v>
      </c>
      <c r="AF545" s="592">
        <f>IF(AF$3&gt;A6taxremlife,A6taxvalue-SUM($F545:AE545),IF(A6taxremlife="N/A","n/a",A6taxvalue/A6taxremlife))</f>
        <v>0</v>
      </c>
      <c r="AG545" s="592">
        <f>IF(AG$3&gt;A6taxremlife,A6taxvalue-SUM($F545:AF545),IF(A6taxremlife="N/A","n/a",A6taxvalue/A6taxremlife))</f>
        <v>0</v>
      </c>
      <c r="AH545" s="592">
        <f>IF(AH$3&gt;A6taxremlife,A6taxvalue-SUM($F545:AG545),IF(A6taxremlife="N/A","n/a",A6taxvalue/A6taxremlife))</f>
        <v>0</v>
      </c>
      <c r="AI545" s="592">
        <f>IF(AI$3&gt;A6taxremlife,A6taxvalue-SUM($F545:AH545),IF(A6taxremlife="N/A","n/a",A6taxvalue/A6taxremlife))</f>
        <v>0</v>
      </c>
      <c r="AJ545" s="592">
        <f>IF(AJ$3&gt;A6taxremlife,A6taxvalue-SUM($F545:AI545),IF(A6taxremlife="N/A","n/a",A6taxvalue/A6taxremlife))</f>
        <v>0</v>
      </c>
      <c r="AK545" s="592">
        <f>IF(AK$3&gt;A6taxremlife,A6taxvalue-SUM($F545:AJ545),IF(A6taxremlife="N/A","n/a",A6taxvalue/A6taxremlife))</f>
        <v>0</v>
      </c>
      <c r="AL545" s="592">
        <f>IF(AL$3&gt;A6taxremlife,A6taxvalue-SUM($F545:AK545),IF(A6taxremlife="N/A","n/a",A6taxvalue/A6taxremlife))</f>
        <v>0</v>
      </c>
      <c r="AM545" s="592">
        <f>IF(AM$3&gt;A6taxremlife,A6taxvalue-SUM($F545:AL545),IF(A6taxremlife="N/A","n/a",A6taxvalue/A6taxremlife))</f>
        <v>0</v>
      </c>
      <c r="AN545" s="592">
        <f>IF(AN$3&gt;A6taxremlife,A6taxvalue-SUM($F545:AM545),IF(A6taxremlife="N/A","n/a",A6taxvalue/A6taxremlife))</f>
        <v>0</v>
      </c>
      <c r="AO545" s="592">
        <f>IF(AO$3&gt;A6taxremlife,A6taxvalue-SUM($F545:AN545),IF(A6taxremlife="N/A","n/a",A6taxvalue/A6taxremlife))</f>
        <v>0</v>
      </c>
      <c r="AP545" s="592">
        <f>IF(AP$3&gt;A6taxremlife,A6taxvalue-SUM($F545:AO545),IF(A6taxremlife="N/A","n/a",A6taxvalue/A6taxremlife))</f>
        <v>0</v>
      </c>
      <c r="AQ545" s="592">
        <f>IF(AQ$3&gt;A6taxremlife,A6taxvalue-SUM($F545:AP545),IF(A6taxremlife="N/A","n/a",A6taxvalue/A6taxremlife))</f>
        <v>0</v>
      </c>
      <c r="AR545" s="592">
        <f>IF(AR$3&gt;A6taxremlife,A6taxvalue-SUM($F545:AQ545),IF(A6taxremlife="N/A","n/a",A6taxvalue/A6taxremlife))</f>
        <v>0</v>
      </c>
      <c r="AS545" s="592">
        <f>IF(AS$3&gt;A6taxremlife,A6taxvalue-SUM($F545:AR545),IF(A6taxremlife="N/A","n/a",A6taxvalue/A6taxremlife))</f>
        <v>0</v>
      </c>
      <c r="AT545" s="592">
        <f>IF(AT$3&gt;A6taxremlife,A6taxvalue-SUM($F545:AS545),IF(A6taxremlife="N/A","n/a",A6taxvalue/A6taxremlife))</f>
        <v>0</v>
      </c>
      <c r="AU545" s="592">
        <f>IF(AU$3&gt;A6taxremlife,A6taxvalue-SUM($F545:AT545),IF(A6taxremlife="N/A","n/a",A6taxvalue/A6taxremlife))</f>
        <v>0</v>
      </c>
      <c r="AV545" s="592">
        <f>IF(AV$3&gt;A6taxremlife,A6taxvalue-SUM($F545:AU545),IF(A6taxremlife="N/A","n/a",A6taxvalue/A6taxremlife))</f>
        <v>0</v>
      </c>
      <c r="AW545" s="592">
        <f>IF(AW$3&gt;A6taxremlife,A6taxvalue-SUM($F545:AV545),IF(A6taxremlife="N/A","n/a",A6taxvalue/A6taxremlife))</f>
        <v>0</v>
      </c>
      <c r="AX545" s="592">
        <f>IF(AX$3&gt;A6taxremlife,A6taxvalue-SUM($F545:AW545),IF(A6taxremlife="N/A","n/a",A6taxvalue/A6taxremlife))</f>
        <v>0</v>
      </c>
      <c r="AY545" s="592">
        <f>IF(AY$3&gt;A6taxremlife,A6taxvalue-SUM($F545:AX545),IF(A6taxremlife="N/A","n/a",A6taxvalue/A6taxremlife))</f>
        <v>0</v>
      </c>
      <c r="AZ545" s="592">
        <f>IF(AZ$3&gt;A6taxremlife,A6taxvalue-SUM($F545:AY545),IF(A6taxremlife="N/A","n/a",A6taxvalue/A6taxremlife))</f>
        <v>0</v>
      </c>
      <c r="BA545" s="592">
        <f>IF(BA$3&gt;A6taxremlife,A6taxvalue-SUM($F545:AZ545),IF(A6taxremlife="N/A","n/a",A6taxvalue/A6taxremlife))</f>
        <v>0</v>
      </c>
      <c r="BB545" s="592">
        <f>IF(BB$3&gt;A6taxremlife,A6taxvalue-SUM($F545:BA545),IF(A6taxremlife="N/A","n/a",A6taxvalue/A6taxremlife))</f>
        <v>0</v>
      </c>
      <c r="BC545" s="592">
        <f>IF(BC$3&gt;A6taxremlife,A6taxvalue-SUM($F545:BB545),IF(A6taxremlife="N/A","n/a",A6taxvalue/A6taxremlife))</f>
        <v>0</v>
      </c>
      <c r="BD545" s="592">
        <f>IF(BD$3&gt;A6taxremlife,A6taxvalue-SUM($F545:BC545),IF(A6taxremlife="N/A","n/a",A6taxvalue/A6taxremlife))</f>
        <v>0</v>
      </c>
      <c r="BE545" s="592">
        <f>IF(BE$3&gt;A6taxremlife,A6taxvalue-SUM($F545:BD545),IF(A6taxremlife="N/A","n/a",A6taxvalue/A6taxremlife))</f>
        <v>0</v>
      </c>
      <c r="BF545" s="592">
        <f>IF(BF$3&gt;A6taxremlife,A6taxvalue-SUM($F545:BE545),IF(A6taxremlife="N/A","n/a",A6taxvalue/A6taxremlife))</f>
        <v>0</v>
      </c>
      <c r="BG545" s="592">
        <f>IF(BG$3&gt;A6taxremlife,A6taxvalue-SUM($F545:BF545),IF(A6taxremlife="N/A","n/a",A6taxvalue/A6taxremlife))</f>
        <v>0</v>
      </c>
      <c r="BH545" s="592">
        <f>IF(BH$3&gt;A6taxremlife,A6taxvalue-SUM($F545:BG545),IF(A6taxremlife="N/A","n/a",A6taxvalue/A6taxremlife))</f>
        <v>0</v>
      </c>
      <c r="BI545" s="592">
        <f>IF(BI$3&gt;A6taxremlife,A6taxvalue-SUM($F545:BH545),IF(A6taxremlife="N/A","n/a",A6taxvalue/A6taxremlife))</f>
        <v>0</v>
      </c>
      <c r="BJ545" s="240"/>
      <c r="BK545" s="240"/>
      <c r="BL545" s="240"/>
      <c r="BM545" s="240"/>
    </row>
    <row r="546" spans="1:65" s="4" customFormat="1" ht="12.75" hidden="1" customHeight="1" outlineLevel="2">
      <c r="A546" s="240"/>
      <c r="B546" s="240"/>
      <c r="C546" s="595"/>
      <c r="D546" s="1618" t="s">
        <v>357</v>
      </c>
      <c r="E546" s="169">
        <v>0</v>
      </c>
      <c r="F546" s="35"/>
      <c r="G546" s="107"/>
      <c r="H546" s="107"/>
      <c r="I546" s="107"/>
      <c r="J546" s="107"/>
      <c r="K546" s="107"/>
      <c r="L546" s="107"/>
      <c r="M546" s="107"/>
      <c r="N546" s="107"/>
      <c r="O546" s="107"/>
      <c r="P546" s="107"/>
      <c r="Q546" s="590"/>
      <c r="R546" s="590"/>
      <c r="S546" s="590"/>
      <c r="T546" s="590"/>
      <c r="U546" s="590"/>
      <c r="V546" s="590"/>
      <c r="W546" s="590"/>
      <c r="X546" s="590"/>
      <c r="Y546" s="590"/>
      <c r="Z546" s="590"/>
      <c r="AA546" s="590"/>
      <c r="AB546" s="590"/>
      <c r="AC546" s="590"/>
      <c r="AD546" s="590"/>
      <c r="AE546" s="590"/>
      <c r="AF546" s="590"/>
      <c r="AG546" s="590"/>
      <c r="AH546" s="590"/>
      <c r="AI546" s="590"/>
      <c r="AJ546" s="590"/>
      <c r="AK546" s="590"/>
      <c r="AL546" s="590"/>
      <c r="AM546" s="590"/>
      <c r="AN546" s="590"/>
      <c r="AO546" s="590"/>
      <c r="AP546" s="590"/>
      <c r="AQ546" s="590"/>
      <c r="AR546" s="590"/>
      <c r="AS546" s="590"/>
      <c r="AT546" s="590"/>
      <c r="AU546" s="590"/>
      <c r="AV546" s="590"/>
      <c r="AW546" s="590"/>
      <c r="AX546" s="590"/>
      <c r="AY546" s="590"/>
      <c r="AZ546" s="590"/>
      <c r="BA546" s="590"/>
      <c r="BB546" s="590"/>
      <c r="BC546" s="590"/>
      <c r="BD546" s="590"/>
      <c r="BE546" s="590"/>
      <c r="BF546" s="590"/>
      <c r="BG546" s="590"/>
      <c r="BH546" s="590"/>
      <c r="BI546" s="590"/>
      <c r="BJ546" s="240"/>
      <c r="BK546" s="240"/>
      <c r="BL546" s="240"/>
      <c r="BM546" s="240"/>
    </row>
    <row r="547" spans="1:65" s="4" customFormat="1" hidden="1" outlineLevel="2">
      <c r="A547" s="240"/>
      <c r="B547" s="240"/>
      <c r="C547" s="595"/>
      <c r="D547" s="1618"/>
      <c r="E547" s="169">
        <v>1</v>
      </c>
      <c r="F547" s="35"/>
      <c r="G547" s="183"/>
      <c r="H547" s="107">
        <f>IF(A6taxstdlife="n/a","n/a",IF(H$3&gt;(A6taxstdlife+$E547),(('PTRM input'!$G$148+'PTRM input'!$G$114)*$G$7)-SUM($G547:G547),(('PTRM input'!$G$148+'PTRM input'!$G$114)*$G$7)/A6taxstdlife))</f>
        <v>0</v>
      </c>
      <c r="I547" s="107">
        <f>IF(A6taxstdlife="n/a","n/a",IF(I$3&gt;(A6taxstdlife+$E547),(('PTRM input'!$G$148+'PTRM input'!$G$114)*$G$7)-SUM($G547:H547),(('PTRM input'!$G$148+'PTRM input'!$G$114)*$G$7)/A6taxstdlife))</f>
        <v>0</v>
      </c>
      <c r="J547" s="107">
        <f>IF(A6taxstdlife="n/a","n/a",IF(J$3&gt;(A6taxstdlife+$E547),(('PTRM input'!$G$148+'PTRM input'!$G$114)*$G$7)-SUM($G547:I547),(('PTRM input'!$G$148+'PTRM input'!$G$114)*$G$7)/A6taxstdlife))</f>
        <v>0</v>
      </c>
      <c r="K547" s="107">
        <f>IF(A6taxstdlife="n/a","n/a",IF(K$3&gt;(A6taxstdlife+$E547),(('PTRM input'!$G$148+'PTRM input'!$G$114)*$G$7)-SUM($G547:J547),(('PTRM input'!$G$148+'PTRM input'!$G$114)*$G$7)/A6taxstdlife))</f>
        <v>0</v>
      </c>
      <c r="L547" s="107">
        <f>IF(A6taxstdlife="n/a","n/a",IF(L$3&gt;(A6taxstdlife+$E547),(('PTRM input'!$G$148+'PTRM input'!$G$114)*$G$7)-SUM($G547:K547),(('PTRM input'!$G$148+'PTRM input'!$G$114)*$G$7)/A6taxstdlife))</f>
        <v>0</v>
      </c>
      <c r="M547" s="107">
        <f>IF(A6taxstdlife="n/a","n/a",IF(M$3&gt;(A6taxstdlife+$E547),(('PTRM input'!$G$148+'PTRM input'!$G$114)*$G$7)-SUM($G547:L547),(('PTRM input'!$G$148+'PTRM input'!$G$114)*$G$7)/A6taxstdlife))</f>
        <v>0</v>
      </c>
      <c r="N547" s="107">
        <f>IF(A6taxstdlife="n/a","n/a",IF(N$3&gt;(A6taxstdlife+$E547),(('PTRM input'!$G$148+'PTRM input'!$G$114)*$G$7)-SUM($G547:M547),(('PTRM input'!$G$148+'PTRM input'!$G$114)*$G$7)/A6taxstdlife))</f>
        <v>0</v>
      </c>
      <c r="O547" s="107">
        <f>IF(A6taxstdlife="n/a","n/a",IF(O$3&gt;(A6taxstdlife+$E547),(('PTRM input'!$G$148+'PTRM input'!$G$114)*$G$7)-SUM($G547:N547),(('PTRM input'!$G$148+'PTRM input'!$G$114)*$G$7)/A6taxstdlife))</f>
        <v>0</v>
      </c>
      <c r="P547" s="107">
        <f>IF(A6taxstdlife="n/a","n/a",IF(P$3&gt;(A6taxstdlife+$E547),(('PTRM input'!$G$148+'PTRM input'!$G$114)*$G$7)-SUM($G547:O547),(('PTRM input'!$G$148+'PTRM input'!$G$114)*$G$7)/A6taxstdlife))</f>
        <v>0</v>
      </c>
      <c r="Q547" s="590">
        <f>IF(A6taxstdlife="n/a","n/a",IF(Q$3&gt;(A6taxstdlife+$E547),(('PTRM input'!$G$148+'PTRM input'!$G$114)*$G$7)-SUM($G547:P547),(('PTRM input'!$G$148+'PTRM input'!$G$114)*$G$7)/A6taxstdlife))</f>
        <v>0</v>
      </c>
      <c r="R547" s="590">
        <f>IF(A6taxstdlife="n/a","n/a",IF(R$3&gt;(A6taxstdlife+$E547),(('PTRM input'!$G$148+'PTRM input'!$G$114)*$G$7)-SUM($G547:Q547),(('PTRM input'!$G$148+'PTRM input'!$G$114)*$G$7)/A6taxstdlife))</f>
        <v>0</v>
      </c>
      <c r="S547" s="590">
        <f>IF(A6taxstdlife="n/a","n/a",IF(S$3&gt;(A6taxstdlife+$E547),(('PTRM input'!$G$148+'PTRM input'!$G$114)*$G$7)-SUM($G547:R547),(('PTRM input'!$G$148+'PTRM input'!$G$114)*$G$7)/A6taxstdlife))</f>
        <v>0</v>
      </c>
      <c r="T547" s="590">
        <f>IF(A6taxstdlife="n/a","n/a",IF(T$3&gt;(A6taxstdlife+$E547),(('PTRM input'!$G$148+'PTRM input'!$G$114)*$G$7)-SUM($G547:S547),(('PTRM input'!$G$148+'PTRM input'!$G$114)*$G$7)/A6taxstdlife))</f>
        <v>0</v>
      </c>
      <c r="U547" s="590">
        <f>IF(A6taxstdlife="n/a","n/a",IF(U$3&gt;(A6taxstdlife+$E547),(('PTRM input'!$G$148+'PTRM input'!$G$114)*$G$7)-SUM($G547:T547),(('PTRM input'!$G$148+'PTRM input'!$G$114)*$G$7)/A6taxstdlife))</f>
        <v>0</v>
      </c>
      <c r="V547" s="590">
        <f>IF(A6taxstdlife="n/a","n/a",IF(V$3&gt;(A6taxstdlife+$E547),(('PTRM input'!$G$148+'PTRM input'!$G$114)*$G$7)-SUM($G547:U547),(('PTRM input'!$G$148+'PTRM input'!$G$114)*$G$7)/A6taxstdlife))</f>
        <v>0</v>
      </c>
      <c r="W547" s="590">
        <f>IF(A6taxstdlife="n/a","n/a",IF(W$3&gt;(A6taxstdlife+$E547),(('PTRM input'!$G$148+'PTRM input'!$G$114)*$G$7)-SUM($G547:V547),(('PTRM input'!$G$148+'PTRM input'!$G$114)*$G$7)/A6taxstdlife))</f>
        <v>0</v>
      </c>
      <c r="X547" s="590">
        <f>IF(A6taxstdlife="n/a","n/a",IF(X$3&gt;(A6taxstdlife+$E547),(('PTRM input'!$G$148+'PTRM input'!$G$114)*$G$7)-SUM($G547:W547),(('PTRM input'!$G$148+'PTRM input'!$G$114)*$G$7)/A6taxstdlife))</f>
        <v>0</v>
      </c>
      <c r="Y547" s="590">
        <f>IF(A6taxstdlife="n/a","n/a",IF(Y$3&gt;(A6taxstdlife+$E547),(('PTRM input'!$G$148+'PTRM input'!$G$114)*$G$7)-SUM($G547:X547),(('PTRM input'!$G$148+'PTRM input'!$G$114)*$G$7)/A6taxstdlife))</f>
        <v>0</v>
      </c>
      <c r="Z547" s="590">
        <f>IF(A6taxstdlife="n/a","n/a",IF(Z$3&gt;(A6taxstdlife+$E547),(('PTRM input'!$G$148+'PTRM input'!$G$114)*$G$7)-SUM($G547:Y547),(('PTRM input'!$G$148+'PTRM input'!$G$114)*$G$7)/A6taxstdlife))</f>
        <v>0</v>
      </c>
      <c r="AA547" s="590">
        <f>IF(A6taxstdlife="n/a","n/a",IF(AA$3&gt;(A6taxstdlife+$E547),(('PTRM input'!$G$148+'PTRM input'!$G$114)*$G$7)-SUM($G547:Z547),(('PTRM input'!$G$148+'PTRM input'!$G$114)*$G$7)/A6taxstdlife))</f>
        <v>0</v>
      </c>
      <c r="AB547" s="590">
        <f>IF(A6taxstdlife="n/a","n/a",IF(AB$3&gt;(A6taxstdlife+$E547),(('PTRM input'!$G$148+'PTRM input'!$G$114)*$G$7)-SUM($G547:AA547),(('PTRM input'!$G$148+'PTRM input'!$G$114)*$G$7)/A6taxstdlife))</f>
        <v>0</v>
      </c>
      <c r="AC547" s="590">
        <f>IF(A6taxstdlife="n/a","n/a",IF(AC$3&gt;(A6taxstdlife+$E547),(('PTRM input'!$G$148+'PTRM input'!$G$114)*$G$7)-SUM($G547:AB547),(('PTRM input'!$G$148+'PTRM input'!$G$114)*$G$7)/A6taxstdlife))</f>
        <v>0</v>
      </c>
      <c r="AD547" s="590">
        <f>IF(A6taxstdlife="n/a","n/a",IF(AD$3&gt;(A6taxstdlife+$E547),(('PTRM input'!$G$148+'PTRM input'!$G$114)*$G$7)-SUM($G547:AC547),(('PTRM input'!$G$148+'PTRM input'!$G$114)*$G$7)/A6taxstdlife))</f>
        <v>0</v>
      </c>
      <c r="AE547" s="590">
        <f>IF(A6taxstdlife="n/a","n/a",IF(AE$3&gt;(A6taxstdlife+$E547),(('PTRM input'!$G$148+'PTRM input'!$G$114)*$G$7)-SUM($G547:AD547),(('PTRM input'!$G$148+'PTRM input'!$G$114)*$G$7)/A6taxstdlife))</f>
        <v>0</v>
      </c>
      <c r="AF547" s="590">
        <f>IF(A6taxstdlife="n/a","n/a",IF(AF$3&gt;(A6taxstdlife+$E547),(('PTRM input'!$G$148+'PTRM input'!$G$114)*$G$7)-SUM($G547:AE547),(('PTRM input'!$G$148+'PTRM input'!$G$114)*$G$7)/A6taxstdlife))</f>
        <v>0</v>
      </c>
      <c r="AG547" s="590">
        <f>IF(A6taxstdlife="n/a","n/a",IF(AG$3&gt;(A6taxstdlife+$E547),(('PTRM input'!$G$148+'PTRM input'!$G$114)*$G$7)-SUM($G547:AF547),(('PTRM input'!$G$148+'PTRM input'!$G$114)*$G$7)/A6taxstdlife))</f>
        <v>0</v>
      </c>
      <c r="AH547" s="590">
        <f>IF(A6taxstdlife="n/a","n/a",IF(AH$3&gt;(A6taxstdlife+$E547),(('PTRM input'!$G$148+'PTRM input'!$G$114)*$G$7)-SUM($G547:AG547),(('PTRM input'!$G$148+'PTRM input'!$G$114)*$G$7)/A6taxstdlife))</f>
        <v>0</v>
      </c>
      <c r="AI547" s="590">
        <f>IF(A6taxstdlife="n/a","n/a",IF(AI$3&gt;(A6taxstdlife+$E547),(('PTRM input'!$G$148+'PTRM input'!$G$114)*$G$7)-SUM($G547:AH547),(('PTRM input'!$G$148+'PTRM input'!$G$114)*$G$7)/A6taxstdlife))</f>
        <v>0</v>
      </c>
      <c r="AJ547" s="590">
        <f>IF(A6taxstdlife="n/a","n/a",IF(AJ$3&gt;(A6taxstdlife+$E547),(('PTRM input'!$G$148+'PTRM input'!$G$114)*$G$7)-SUM($G547:AI547),(('PTRM input'!$G$148+'PTRM input'!$G$114)*$G$7)/A6taxstdlife))</f>
        <v>0</v>
      </c>
      <c r="AK547" s="590">
        <f>IF(A6taxstdlife="n/a","n/a",IF(AK$3&gt;(A6taxstdlife+$E547),(('PTRM input'!$G$148+'PTRM input'!$G$114)*$G$7)-SUM($G547:AJ547),(('PTRM input'!$G$148+'PTRM input'!$G$114)*$G$7)/A6taxstdlife))</f>
        <v>0</v>
      </c>
      <c r="AL547" s="590">
        <f>IF(A6taxstdlife="n/a","n/a",IF(AL$3&gt;(A6taxstdlife+$E547),(('PTRM input'!$G$148+'PTRM input'!$G$114)*$G$7)-SUM($G547:AK547),(('PTRM input'!$G$148+'PTRM input'!$G$114)*$G$7)/A6taxstdlife))</f>
        <v>0</v>
      </c>
      <c r="AM547" s="590">
        <f>IF(A6taxstdlife="n/a","n/a",IF(AM$3&gt;(A6taxstdlife+$E547),(('PTRM input'!$G$148+'PTRM input'!$G$114)*$G$7)-SUM($G547:AL547),(('PTRM input'!$G$148+'PTRM input'!$G$114)*$G$7)/A6taxstdlife))</f>
        <v>0</v>
      </c>
      <c r="AN547" s="590">
        <f>IF(A6taxstdlife="n/a","n/a",IF(AN$3&gt;(A6taxstdlife+$E547),(('PTRM input'!$G$148+'PTRM input'!$G$114)*$G$7)-SUM($G547:AM547),(('PTRM input'!$G$148+'PTRM input'!$G$114)*$G$7)/A6taxstdlife))</f>
        <v>0</v>
      </c>
      <c r="AO547" s="590">
        <f>IF(A6taxstdlife="n/a","n/a",IF(AO$3&gt;(A6taxstdlife+$E547),(('PTRM input'!$G$148+'PTRM input'!$G$114)*$G$7)-SUM($G547:AN547),(('PTRM input'!$G$148+'PTRM input'!$G$114)*$G$7)/A6taxstdlife))</f>
        <v>0</v>
      </c>
      <c r="AP547" s="590">
        <f>IF(A6taxstdlife="n/a","n/a",IF(AP$3&gt;(A6taxstdlife+$E547),(('PTRM input'!$G$148+'PTRM input'!$G$114)*$G$7)-SUM($G547:AO547),(('PTRM input'!$G$148+'PTRM input'!$G$114)*$G$7)/A6taxstdlife))</f>
        <v>0</v>
      </c>
      <c r="AQ547" s="590">
        <f>IF(A6taxstdlife="n/a","n/a",IF(AQ$3&gt;(A6taxstdlife+$E547),(('PTRM input'!$G$148+'PTRM input'!$G$114)*$G$7)-SUM($G547:AP547),(('PTRM input'!$G$148+'PTRM input'!$G$114)*$G$7)/A6taxstdlife))</f>
        <v>0</v>
      </c>
      <c r="AR547" s="590">
        <f>IF(A6taxstdlife="n/a","n/a",IF(AR$3&gt;(A6taxstdlife+$E547),(('PTRM input'!$G$148+'PTRM input'!$G$114)*$G$7)-SUM($G547:AQ547),(('PTRM input'!$G$148+'PTRM input'!$G$114)*$G$7)/A6taxstdlife))</f>
        <v>0</v>
      </c>
      <c r="AS547" s="590">
        <f>IF(A6taxstdlife="n/a","n/a",IF(AS$3&gt;(A6taxstdlife+$E547),(('PTRM input'!$G$148+'PTRM input'!$G$114)*$G$7)-SUM($G547:AR547),(('PTRM input'!$G$148+'PTRM input'!$G$114)*$G$7)/A6taxstdlife))</f>
        <v>0</v>
      </c>
      <c r="AT547" s="590">
        <f>IF(A6taxstdlife="n/a","n/a",IF(AT$3&gt;(A6taxstdlife+$E547),(('PTRM input'!$G$148+'PTRM input'!$G$114)*$G$7)-SUM($G547:AS547),(('PTRM input'!$G$148+'PTRM input'!$G$114)*$G$7)/A6taxstdlife))</f>
        <v>0</v>
      </c>
      <c r="AU547" s="590">
        <f>IF(A6taxstdlife="n/a","n/a",IF(AU$3&gt;(A6taxstdlife+$E547),(('PTRM input'!$G$148+'PTRM input'!$G$114)*$G$7)-SUM($G547:AT547),(('PTRM input'!$G$148+'PTRM input'!$G$114)*$G$7)/A6taxstdlife))</f>
        <v>0</v>
      </c>
      <c r="AV547" s="590">
        <f>IF(A6taxstdlife="n/a","n/a",IF(AV$3&gt;(A6taxstdlife+$E547),(('PTRM input'!$G$148+'PTRM input'!$G$114)*$G$7)-SUM($G547:AU547),(('PTRM input'!$G$148+'PTRM input'!$G$114)*$G$7)/A6taxstdlife))</f>
        <v>0</v>
      </c>
      <c r="AW547" s="590">
        <f>IF(A6taxstdlife="n/a","n/a",IF(AW$3&gt;(A6taxstdlife+$E547),(('PTRM input'!$G$148+'PTRM input'!$G$114)*$G$7)-SUM($G547:AV547),(('PTRM input'!$G$148+'PTRM input'!$G$114)*$G$7)/A6taxstdlife))</f>
        <v>0</v>
      </c>
      <c r="AX547" s="590">
        <f>IF(A6taxstdlife="n/a","n/a",IF(AX$3&gt;(A6taxstdlife+$E547),(('PTRM input'!$G$148+'PTRM input'!$G$114)*$G$7)-SUM($G547:AW547),(('PTRM input'!$G$148+'PTRM input'!$G$114)*$G$7)/A6taxstdlife))</f>
        <v>0</v>
      </c>
      <c r="AY547" s="590">
        <f>IF(A6taxstdlife="n/a","n/a",IF(AY$3&gt;(A6taxstdlife+$E547),(('PTRM input'!$G$148+'PTRM input'!$G$114)*$G$7)-SUM($G547:AX547),(('PTRM input'!$G$148+'PTRM input'!$G$114)*$G$7)/A6taxstdlife))</f>
        <v>0</v>
      </c>
      <c r="AZ547" s="590">
        <f>IF(A6taxstdlife="n/a","n/a",IF(AZ$3&gt;(A6taxstdlife+$E547),(('PTRM input'!$G$148+'PTRM input'!$G$114)*$G$7)-SUM($G547:AY547),(('PTRM input'!$G$148+'PTRM input'!$G$114)*$G$7)/A6taxstdlife))</f>
        <v>0</v>
      </c>
      <c r="BA547" s="590">
        <f>IF(A6taxstdlife="n/a","n/a",IF(BA$3&gt;(A6taxstdlife+$E547),(('PTRM input'!$G$148+'PTRM input'!$G$114)*$G$7)-SUM($G547:AZ547),(('PTRM input'!$G$148+'PTRM input'!$G$114)*$G$7)/A6taxstdlife))</f>
        <v>0</v>
      </c>
      <c r="BB547" s="590">
        <f>IF(A6taxstdlife="n/a","n/a",IF(BB$3&gt;(A6taxstdlife+$E547),(('PTRM input'!$G$148+'PTRM input'!$G$114)*$G$7)-SUM($G547:BA547),(('PTRM input'!$G$148+'PTRM input'!$G$114)*$G$7)/A6taxstdlife))</f>
        <v>0</v>
      </c>
      <c r="BC547" s="590">
        <f>IF(A6taxstdlife="n/a","n/a",IF(BC$3&gt;(A6taxstdlife+$E547),(('PTRM input'!$G$148+'PTRM input'!$G$114)*$G$7)-SUM($G547:BB547),(('PTRM input'!$G$148+'PTRM input'!$G$114)*$G$7)/A6taxstdlife))</f>
        <v>0</v>
      </c>
      <c r="BD547" s="590">
        <f>IF(A6taxstdlife="n/a","n/a",IF(BD$3&gt;(A6taxstdlife+$E547),(('PTRM input'!$G$148+'PTRM input'!$G$114)*$G$7)-SUM($G547:BC547),(('PTRM input'!$G$148+'PTRM input'!$G$114)*$G$7)/A6taxstdlife))</f>
        <v>0</v>
      </c>
      <c r="BE547" s="590">
        <f>IF(A6taxstdlife="n/a","n/a",IF(BE$3&gt;(A6taxstdlife+$E547),(('PTRM input'!$G$148+'PTRM input'!$G$114)*$G$7)-SUM($G547:BD547),(('PTRM input'!$G$148+'PTRM input'!$G$114)*$G$7)/A6taxstdlife))</f>
        <v>0</v>
      </c>
      <c r="BF547" s="590">
        <f>IF(A6taxstdlife="n/a","n/a",IF(BF$3&gt;(A6taxstdlife+$E547),(('PTRM input'!$G$148+'PTRM input'!$G$114)*$G$7)-SUM($G547:BE547),(('PTRM input'!$G$148+'PTRM input'!$G$114)*$G$7)/A6taxstdlife))</f>
        <v>0</v>
      </c>
      <c r="BG547" s="590">
        <f>IF(A6taxstdlife="n/a","n/a",IF(BG$3&gt;(A6taxstdlife+$E547),(('PTRM input'!$G$148+'PTRM input'!$G$114)*$G$7)-SUM($G547:BF547),(('PTRM input'!$G$148+'PTRM input'!$G$114)*$G$7)/A6taxstdlife))</f>
        <v>0</v>
      </c>
      <c r="BH547" s="590">
        <f>IF(A6taxstdlife="n/a","n/a",IF(BH$3&gt;(A6taxstdlife+$E547),(('PTRM input'!$G$148+'PTRM input'!$G$114)*$G$7)-SUM($G547:BG547),(('PTRM input'!$G$148+'PTRM input'!$G$114)*$G$7)/A6taxstdlife))</f>
        <v>0</v>
      </c>
      <c r="BI547" s="590">
        <f>IF(A6taxstdlife="n/a","n/a",IF(BI$3&gt;(A6taxstdlife+$E547),(('PTRM input'!$G$148+'PTRM input'!$G$114)*$G$7)-SUM($G547:BH547),(('PTRM input'!$G$148+'PTRM input'!$G$114)*$G$7)/A6taxstdlife))</f>
        <v>0</v>
      </c>
      <c r="BJ547" s="240"/>
      <c r="BK547" s="240"/>
      <c r="BL547" s="240"/>
      <c r="BM547" s="240"/>
    </row>
    <row r="548" spans="1:65" s="4" customFormat="1" hidden="1" outlineLevel="2">
      <c r="A548" s="240"/>
      <c r="B548" s="240"/>
      <c r="C548" s="595"/>
      <c r="D548" s="1618"/>
      <c r="E548" s="169">
        <v>2</v>
      </c>
      <c r="F548" s="35"/>
      <c r="G548" s="184"/>
      <c r="H548" s="185"/>
      <c r="I548" s="107">
        <f>IF(A6taxstdlife="n/a","n/a",IF(I$3&gt;(A6taxstdlife+$E548),(('PTRM input'!$H$148+'PTRM input'!$H$114)*$H$7)-SUM($H548:H548),(('PTRM input'!$H$148+'PTRM input'!$H$114)*$H$7)/A6taxstdlife))</f>
        <v>0</v>
      </c>
      <c r="J548" s="107">
        <f>IF(A6taxstdlife="n/a","n/a",IF(J$3&gt;(A6taxstdlife+$E548),(('PTRM input'!$H$148+'PTRM input'!$H$114)*$H$7)-SUM($H548:I548),(('PTRM input'!$H$148+'PTRM input'!$H$114)*$H$7)/A6taxstdlife))</f>
        <v>0</v>
      </c>
      <c r="K548" s="107">
        <f>IF(A6taxstdlife="n/a","n/a",IF(K$3&gt;(A6taxstdlife+$E548),(('PTRM input'!$H$148+'PTRM input'!$H$114)*$H$7)-SUM($H548:J548),(('PTRM input'!$H$148+'PTRM input'!$H$114)*$H$7)/A6taxstdlife))</f>
        <v>0</v>
      </c>
      <c r="L548" s="107">
        <f>IF(A6taxstdlife="n/a","n/a",IF(L$3&gt;(A6taxstdlife+$E548),(('PTRM input'!$H$148+'PTRM input'!$H$114)*$H$7)-SUM($H548:K548),(('PTRM input'!$H$148+'PTRM input'!$H$114)*$H$7)/A6taxstdlife))</f>
        <v>0</v>
      </c>
      <c r="M548" s="107">
        <f>IF(A6taxstdlife="n/a","n/a",IF(M$3&gt;(A6taxstdlife+$E548),(('PTRM input'!$H$148+'PTRM input'!$H$114)*$H$7)-SUM($H548:L548),(('PTRM input'!$H$148+'PTRM input'!$H$114)*$H$7)/A6taxstdlife))</f>
        <v>0</v>
      </c>
      <c r="N548" s="107">
        <f>IF(A6taxstdlife="n/a","n/a",IF(N$3&gt;(A6taxstdlife+$E548),(('PTRM input'!$H$148+'PTRM input'!$H$114)*$H$7)-SUM($H548:M548),(('PTRM input'!$H$148+'PTRM input'!$H$114)*$H$7)/A6taxstdlife))</f>
        <v>0</v>
      </c>
      <c r="O548" s="107">
        <f>IF(A6taxstdlife="n/a","n/a",IF(O$3&gt;(A6taxstdlife+$E548),(('PTRM input'!$H$148+'PTRM input'!$H$114)*$H$7)-SUM($H548:N548),(('PTRM input'!$H$148+'PTRM input'!$H$114)*$H$7)/A6taxstdlife))</f>
        <v>0</v>
      </c>
      <c r="P548" s="107">
        <f>IF(A6taxstdlife="n/a","n/a",IF(P$3&gt;(A6taxstdlife+$E548),(('PTRM input'!$H$148+'PTRM input'!$H$114)*$H$7)-SUM($H548:O548),(('PTRM input'!$H$148+'PTRM input'!$H$114)*$H$7)/A6taxstdlife))</f>
        <v>0</v>
      </c>
      <c r="Q548" s="590">
        <f>IF(A6taxstdlife="n/a","n/a",IF(Q$3&gt;(A6taxstdlife+$E548),(('PTRM input'!$H$148+'PTRM input'!$H$114)*$H$7)-SUM($H548:P548),(('PTRM input'!$H$148+'PTRM input'!$H$114)*$H$7)/A6taxstdlife))</f>
        <v>0</v>
      </c>
      <c r="R548" s="590">
        <f>IF(A6taxstdlife="n/a","n/a",IF(R$3&gt;(A6taxstdlife+$E548),(('PTRM input'!$H$148+'PTRM input'!$H$114)*$H$7)-SUM($H548:Q548),(('PTRM input'!$H$148+'PTRM input'!$H$114)*$H$7)/A6taxstdlife))</f>
        <v>0</v>
      </c>
      <c r="S548" s="590">
        <f>IF(A6taxstdlife="n/a","n/a",IF(S$3&gt;(A6taxstdlife+$E548),(('PTRM input'!$H$148+'PTRM input'!$H$114)*$H$7)-SUM($H548:R548),(('PTRM input'!$H$148+'PTRM input'!$H$114)*$H$7)/A6taxstdlife))</f>
        <v>0</v>
      </c>
      <c r="T548" s="590">
        <f>IF(A6taxstdlife="n/a","n/a",IF(T$3&gt;(A6taxstdlife+$E548),(('PTRM input'!$H$148+'PTRM input'!$H$114)*$H$7)-SUM($H548:S548),(('PTRM input'!$H$148+'PTRM input'!$H$114)*$H$7)/A6taxstdlife))</f>
        <v>0</v>
      </c>
      <c r="U548" s="590">
        <f>IF(A6taxstdlife="n/a","n/a",IF(U$3&gt;(A6taxstdlife+$E548),(('PTRM input'!$H$148+'PTRM input'!$H$114)*$H$7)-SUM($H548:T548),(('PTRM input'!$H$148+'PTRM input'!$H$114)*$H$7)/A6taxstdlife))</f>
        <v>0</v>
      </c>
      <c r="V548" s="590">
        <f>IF(A6taxstdlife="n/a","n/a",IF(V$3&gt;(A6taxstdlife+$E548),(('PTRM input'!$H$148+'PTRM input'!$H$114)*$H$7)-SUM($H548:U548),(('PTRM input'!$H$148+'PTRM input'!$H$114)*$H$7)/A6taxstdlife))</f>
        <v>0</v>
      </c>
      <c r="W548" s="590">
        <f>IF(A6taxstdlife="n/a","n/a",IF(W$3&gt;(A6taxstdlife+$E548),(('PTRM input'!$H$148+'PTRM input'!$H$114)*$H$7)-SUM($H548:V548),(('PTRM input'!$H$148+'PTRM input'!$H$114)*$H$7)/A6taxstdlife))</f>
        <v>0</v>
      </c>
      <c r="X548" s="590">
        <f>IF(A6taxstdlife="n/a","n/a",IF(X$3&gt;(A6taxstdlife+$E548),(('PTRM input'!$H$148+'PTRM input'!$H$114)*$H$7)-SUM($H548:W548),(('PTRM input'!$H$148+'PTRM input'!$H$114)*$H$7)/A6taxstdlife))</f>
        <v>0</v>
      </c>
      <c r="Y548" s="590">
        <f>IF(A6taxstdlife="n/a","n/a",IF(Y$3&gt;(A6taxstdlife+$E548),(('PTRM input'!$H$148+'PTRM input'!$H$114)*$H$7)-SUM($H548:X548),(('PTRM input'!$H$148+'PTRM input'!$H$114)*$H$7)/A6taxstdlife))</f>
        <v>0</v>
      </c>
      <c r="Z548" s="590">
        <f>IF(A6taxstdlife="n/a","n/a",IF(Z$3&gt;(A6taxstdlife+$E548),(('PTRM input'!$H$148+'PTRM input'!$H$114)*$H$7)-SUM($H548:Y548),(('PTRM input'!$H$148+'PTRM input'!$H$114)*$H$7)/A6taxstdlife))</f>
        <v>0</v>
      </c>
      <c r="AA548" s="590">
        <f>IF(A6taxstdlife="n/a","n/a",IF(AA$3&gt;(A6taxstdlife+$E548),(('PTRM input'!$H$148+'PTRM input'!$H$114)*$H$7)-SUM($H548:Z548),(('PTRM input'!$H$148+'PTRM input'!$H$114)*$H$7)/A6taxstdlife))</f>
        <v>0</v>
      </c>
      <c r="AB548" s="590">
        <f>IF(A6taxstdlife="n/a","n/a",IF(AB$3&gt;(A6taxstdlife+$E548),(('PTRM input'!$H$148+'PTRM input'!$H$114)*$H$7)-SUM($H548:AA548),(('PTRM input'!$H$148+'PTRM input'!$H$114)*$H$7)/A6taxstdlife))</f>
        <v>0</v>
      </c>
      <c r="AC548" s="590">
        <f>IF(A6taxstdlife="n/a","n/a",IF(AC$3&gt;(A6taxstdlife+$E548),(('PTRM input'!$H$148+'PTRM input'!$H$114)*$H$7)-SUM($H548:AB548),(('PTRM input'!$H$148+'PTRM input'!$H$114)*$H$7)/A6taxstdlife))</f>
        <v>0</v>
      </c>
      <c r="AD548" s="590">
        <f>IF(A6taxstdlife="n/a","n/a",IF(AD$3&gt;(A6taxstdlife+$E548),(('PTRM input'!$H$148+'PTRM input'!$H$114)*$H$7)-SUM($H548:AC548),(('PTRM input'!$H$148+'PTRM input'!$H$114)*$H$7)/A6taxstdlife))</f>
        <v>0</v>
      </c>
      <c r="AE548" s="590">
        <f>IF(A6taxstdlife="n/a","n/a",IF(AE$3&gt;(A6taxstdlife+$E548),(('PTRM input'!$H$148+'PTRM input'!$H$114)*$H$7)-SUM($H548:AD548),(('PTRM input'!$H$148+'PTRM input'!$H$114)*$H$7)/A6taxstdlife))</f>
        <v>0</v>
      </c>
      <c r="AF548" s="590">
        <f>IF(A6taxstdlife="n/a","n/a",IF(AF$3&gt;(A6taxstdlife+$E548),(('PTRM input'!$H$148+'PTRM input'!$H$114)*$H$7)-SUM($H548:AE548),(('PTRM input'!$H$148+'PTRM input'!$H$114)*$H$7)/A6taxstdlife))</f>
        <v>0</v>
      </c>
      <c r="AG548" s="590">
        <f>IF(A6taxstdlife="n/a","n/a",IF(AG$3&gt;(A6taxstdlife+$E548),(('PTRM input'!$H$148+'PTRM input'!$H$114)*$H$7)-SUM($H548:AF548),(('PTRM input'!$H$148+'PTRM input'!$H$114)*$H$7)/A6taxstdlife))</f>
        <v>0</v>
      </c>
      <c r="AH548" s="590">
        <f>IF(A6taxstdlife="n/a","n/a",IF(AH$3&gt;(A6taxstdlife+$E548),(('PTRM input'!$H$148+'PTRM input'!$H$114)*$H$7)-SUM($H548:AG548),(('PTRM input'!$H$148+'PTRM input'!$H$114)*$H$7)/A6taxstdlife))</f>
        <v>0</v>
      </c>
      <c r="AI548" s="590">
        <f>IF(A6taxstdlife="n/a","n/a",IF(AI$3&gt;(A6taxstdlife+$E548),(('PTRM input'!$H$148+'PTRM input'!$H$114)*$H$7)-SUM($H548:AH548),(('PTRM input'!$H$148+'PTRM input'!$H$114)*$H$7)/A6taxstdlife))</f>
        <v>0</v>
      </c>
      <c r="AJ548" s="590">
        <f>IF(A6taxstdlife="n/a","n/a",IF(AJ$3&gt;(A6taxstdlife+$E548),(('PTRM input'!$H$148+'PTRM input'!$H$114)*$H$7)-SUM($H548:AI548),(('PTRM input'!$H$148+'PTRM input'!$H$114)*$H$7)/A6taxstdlife))</f>
        <v>0</v>
      </c>
      <c r="AK548" s="590">
        <f>IF(A6taxstdlife="n/a","n/a",IF(AK$3&gt;(A6taxstdlife+$E548),(('PTRM input'!$H$148+'PTRM input'!$H$114)*$H$7)-SUM($H548:AJ548),(('PTRM input'!$H$148+'PTRM input'!$H$114)*$H$7)/A6taxstdlife))</f>
        <v>0</v>
      </c>
      <c r="AL548" s="590">
        <f>IF(A6taxstdlife="n/a","n/a",IF(AL$3&gt;(A6taxstdlife+$E548),(('PTRM input'!$H$148+'PTRM input'!$H$114)*$H$7)-SUM($H548:AK548),(('PTRM input'!$H$148+'PTRM input'!$H$114)*$H$7)/A6taxstdlife))</f>
        <v>0</v>
      </c>
      <c r="AM548" s="590">
        <f>IF(A6taxstdlife="n/a","n/a",IF(AM$3&gt;(A6taxstdlife+$E548),(('PTRM input'!$H$148+'PTRM input'!$H$114)*$H$7)-SUM($H548:AL548),(('PTRM input'!$H$148+'PTRM input'!$H$114)*$H$7)/A6taxstdlife))</f>
        <v>0</v>
      </c>
      <c r="AN548" s="590">
        <f>IF(A6taxstdlife="n/a","n/a",IF(AN$3&gt;(A6taxstdlife+$E548),(('PTRM input'!$H$148+'PTRM input'!$H$114)*$H$7)-SUM($H548:AM548),(('PTRM input'!$H$148+'PTRM input'!$H$114)*$H$7)/A6taxstdlife))</f>
        <v>0</v>
      </c>
      <c r="AO548" s="590">
        <f>IF(A6taxstdlife="n/a","n/a",IF(AO$3&gt;(A6taxstdlife+$E548),(('PTRM input'!$H$148+'PTRM input'!$H$114)*$H$7)-SUM($H548:AN548),(('PTRM input'!$H$148+'PTRM input'!$H$114)*$H$7)/A6taxstdlife))</f>
        <v>0</v>
      </c>
      <c r="AP548" s="590">
        <f>IF(A6taxstdlife="n/a","n/a",IF(AP$3&gt;(A6taxstdlife+$E548),(('PTRM input'!$H$148+'PTRM input'!$H$114)*$H$7)-SUM($H548:AO548),(('PTRM input'!$H$148+'PTRM input'!$H$114)*$H$7)/A6taxstdlife))</f>
        <v>0</v>
      </c>
      <c r="AQ548" s="590">
        <f>IF(A6taxstdlife="n/a","n/a",IF(AQ$3&gt;(A6taxstdlife+$E548),(('PTRM input'!$H$148+'PTRM input'!$H$114)*$H$7)-SUM($H548:AP548),(('PTRM input'!$H$148+'PTRM input'!$H$114)*$H$7)/A6taxstdlife))</f>
        <v>0</v>
      </c>
      <c r="AR548" s="590">
        <f>IF(A6taxstdlife="n/a","n/a",IF(AR$3&gt;(A6taxstdlife+$E548),(('PTRM input'!$H$148+'PTRM input'!$H$114)*$H$7)-SUM($H548:AQ548),(('PTRM input'!$H$148+'PTRM input'!$H$114)*$H$7)/A6taxstdlife))</f>
        <v>0</v>
      </c>
      <c r="AS548" s="590">
        <f>IF(A6taxstdlife="n/a","n/a",IF(AS$3&gt;(A6taxstdlife+$E548),(('PTRM input'!$H$148+'PTRM input'!$H$114)*$H$7)-SUM($H548:AR548),(('PTRM input'!$H$148+'PTRM input'!$H$114)*$H$7)/A6taxstdlife))</f>
        <v>0</v>
      </c>
      <c r="AT548" s="590">
        <f>IF(A6taxstdlife="n/a","n/a",IF(AT$3&gt;(A6taxstdlife+$E548),(('PTRM input'!$H$148+'PTRM input'!$H$114)*$H$7)-SUM($H548:AS548),(('PTRM input'!$H$148+'PTRM input'!$H$114)*$H$7)/A6taxstdlife))</f>
        <v>0</v>
      </c>
      <c r="AU548" s="590">
        <f>IF(A6taxstdlife="n/a","n/a",IF(AU$3&gt;(A6taxstdlife+$E548),(('PTRM input'!$H$148+'PTRM input'!$H$114)*$H$7)-SUM($H548:AT548),(('PTRM input'!$H$148+'PTRM input'!$H$114)*$H$7)/A6taxstdlife))</f>
        <v>0</v>
      </c>
      <c r="AV548" s="590">
        <f>IF(A6taxstdlife="n/a","n/a",IF(AV$3&gt;(A6taxstdlife+$E548),(('PTRM input'!$H$148+'PTRM input'!$H$114)*$H$7)-SUM($H548:AU548),(('PTRM input'!$H$148+'PTRM input'!$H$114)*$H$7)/A6taxstdlife))</f>
        <v>0</v>
      </c>
      <c r="AW548" s="590">
        <f>IF(A6taxstdlife="n/a","n/a",IF(AW$3&gt;(A6taxstdlife+$E548),(('PTRM input'!$H$148+'PTRM input'!$H$114)*$H$7)-SUM($H548:AV548),(('PTRM input'!$H$148+'PTRM input'!$H$114)*$H$7)/A6taxstdlife))</f>
        <v>0</v>
      </c>
      <c r="AX548" s="590">
        <f>IF(A6taxstdlife="n/a","n/a",IF(AX$3&gt;(A6taxstdlife+$E548),(('PTRM input'!$H$148+'PTRM input'!$H$114)*$H$7)-SUM($H548:AW548),(('PTRM input'!$H$148+'PTRM input'!$H$114)*$H$7)/A6taxstdlife))</f>
        <v>0</v>
      </c>
      <c r="AY548" s="590">
        <f>IF(A6taxstdlife="n/a","n/a",IF(AY$3&gt;(A6taxstdlife+$E548),(('PTRM input'!$H$148+'PTRM input'!$H$114)*$H$7)-SUM($H548:AX548),(('PTRM input'!$H$148+'PTRM input'!$H$114)*$H$7)/A6taxstdlife))</f>
        <v>0</v>
      </c>
      <c r="AZ548" s="590">
        <f>IF(A6taxstdlife="n/a","n/a",IF(AZ$3&gt;(A6taxstdlife+$E548),(('PTRM input'!$H$148+'PTRM input'!$H$114)*$H$7)-SUM($H548:AY548),(('PTRM input'!$H$148+'PTRM input'!$H$114)*$H$7)/A6taxstdlife))</f>
        <v>0</v>
      </c>
      <c r="BA548" s="590">
        <f>IF(A6taxstdlife="n/a","n/a",IF(BA$3&gt;(A6taxstdlife+$E548),(('PTRM input'!$H$148+'PTRM input'!$H$114)*$H$7)-SUM($H548:AZ548),(('PTRM input'!$H$148+'PTRM input'!$H$114)*$H$7)/A6taxstdlife))</f>
        <v>0</v>
      </c>
      <c r="BB548" s="590">
        <f>IF(A6taxstdlife="n/a","n/a",IF(BB$3&gt;(A6taxstdlife+$E548),(('PTRM input'!$H$148+'PTRM input'!$H$114)*$H$7)-SUM($H548:BA548),(('PTRM input'!$H$148+'PTRM input'!$H$114)*$H$7)/A6taxstdlife))</f>
        <v>0</v>
      </c>
      <c r="BC548" s="590">
        <f>IF(A6taxstdlife="n/a","n/a",IF(BC$3&gt;(A6taxstdlife+$E548),(('PTRM input'!$H$148+'PTRM input'!$H$114)*$H$7)-SUM($H548:BB548),(('PTRM input'!$H$148+'PTRM input'!$H$114)*$H$7)/A6taxstdlife))</f>
        <v>0</v>
      </c>
      <c r="BD548" s="590">
        <f>IF(A6taxstdlife="n/a","n/a",IF(BD$3&gt;(A6taxstdlife+$E548),(('PTRM input'!$H$148+'PTRM input'!$H$114)*$H$7)-SUM($H548:BC548),(('PTRM input'!$H$148+'PTRM input'!$H$114)*$H$7)/A6taxstdlife))</f>
        <v>0</v>
      </c>
      <c r="BE548" s="590">
        <f>IF(A6taxstdlife="n/a","n/a",IF(BE$3&gt;(A6taxstdlife+$E548),(('PTRM input'!$H$148+'PTRM input'!$H$114)*$H$7)-SUM($H548:BD548),(('PTRM input'!$H$148+'PTRM input'!$H$114)*$H$7)/A6taxstdlife))</f>
        <v>0</v>
      </c>
      <c r="BF548" s="590">
        <f>IF(A6taxstdlife="n/a","n/a",IF(BF$3&gt;(A6taxstdlife+$E548),(('PTRM input'!$H$148+'PTRM input'!$H$114)*$H$7)-SUM($H548:BE548),(('PTRM input'!$H$148+'PTRM input'!$H$114)*$H$7)/A6taxstdlife))</f>
        <v>0</v>
      </c>
      <c r="BG548" s="590">
        <f>IF(A6taxstdlife="n/a","n/a",IF(BG$3&gt;(A6taxstdlife+$E548),(('PTRM input'!$H$148+'PTRM input'!$H$114)*$H$7)-SUM($H548:BF548),(('PTRM input'!$H$148+'PTRM input'!$H$114)*$H$7)/A6taxstdlife))</f>
        <v>0</v>
      </c>
      <c r="BH548" s="590">
        <f>IF(A6taxstdlife="n/a","n/a",IF(BH$3&gt;(A6taxstdlife+$E548),(('PTRM input'!$H$148+'PTRM input'!$H$114)*$H$7)-SUM($H548:BG548),(('PTRM input'!$H$148+'PTRM input'!$H$114)*$H$7)/A6taxstdlife))</f>
        <v>0</v>
      </c>
      <c r="BI548" s="590">
        <f>IF(A6taxstdlife="n/a","n/a",IF(BI$3&gt;(A6taxstdlife+$E548),(('PTRM input'!$H$148+'PTRM input'!$H$114)*$H$7)-SUM($H548:BH548),(('PTRM input'!$H$148+'PTRM input'!$H$114)*$H$7)/A6taxstdlife))</f>
        <v>0</v>
      </c>
      <c r="BJ548" s="240"/>
      <c r="BK548" s="240"/>
      <c r="BL548" s="240"/>
      <c r="BM548" s="240"/>
    </row>
    <row r="549" spans="1:65" s="4" customFormat="1" hidden="1" outlineLevel="2">
      <c r="A549" s="240"/>
      <c r="B549" s="240"/>
      <c r="C549" s="595"/>
      <c r="D549" s="1618"/>
      <c r="E549" s="169">
        <v>3</v>
      </c>
      <c r="F549" s="35"/>
      <c r="G549" s="184"/>
      <c r="H549" s="186"/>
      <c r="I549" s="185"/>
      <c r="J549" s="107">
        <f>IF(A6taxstdlife="n/a","n/a",IF(J$3&gt;(A6taxstdlife+$E549),(('PTRM input'!$I$148+'PTRM input'!$I$114)*$I$7)-SUM($I549:I549),(('PTRM input'!$I$148+'PTRM input'!$I$114)*$I$7)/A6taxstdlife))</f>
        <v>0</v>
      </c>
      <c r="K549" s="107">
        <f>IF(A6taxstdlife="n/a","n/a",IF(K$3&gt;(A6taxstdlife+$E549),(('PTRM input'!$I$148+'PTRM input'!$I$114)*$I$7)-SUM($I549:J549),(('PTRM input'!$I$148+'PTRM input'!$I$114)*$I$7)/A6taxstdlife))</f>
        <v>0</v>
      </c>
      <c r="L549" s="107">
        <f>IF(A6taxstdlife="n/a","n/a",IF(L$3&gt;(A6taxstdlife+$E549),(('PTRM input'!$I$148+'PTRM input'!$I$114)*$I$7)-SUM($I549:K549),(('PTRM input'!$I$148+'PTRM input'!$I$114)*$I$7)/A6taxstdlife))</f>
        <v>0</v>
      </c>
      <c r="M549" s="107">
        <f>IF(A6taxstdlife="n/a","n/a",IF(M$3&gt;(A6taxstdlife+$E549),(('PTRM input'!$I$148+'PTRM input'!$I$114)*$I$7)-SUM($I549:L549),(('PTRM input'!$I$148+'PTRM input'!$I$114)*$I$7)/A6taxstdlife))</f>
        <v>0</v>
      </c>
      <c r="N549" s="107">
        <f>IF(A6taxstdlife="n/a","n/a",IF(N$3&gt;(A6taxstdlife+$E549),(('PTRM input'!$I$148+'PTRM input'!$I$114)*$I$7)-SUM($I549:M549),(('PTRM input'!$I$148+'PTRM input'!$I$114)*$I$7)/A6taxstdlife))</f>
        <v>0</v>
      </c>
      <c r="O549" s="107">
        <f>IF(A6taxstdlife="n/a","n/a",IF(O$3&gt;(A6taxstdlife+$E549),(('PTRM input'!$I$148+'PTRM input'!$I$114)*$I$7)-SUM($I549:N549),(('PTRM input'!$I$148+'PTRM input'!$I$114)*$I$7)/A6taxstdlife))</f>
        <v>0</v>
      </c>
      <c r="P549" s="107">
        <f>IF(A6taxstdlife="n/a","n/a",IF(P$3&gt;(A6taxstdlife+$E549),(('PTRM input'!$I$148+'PTRM input'!$I$114)*$I$7)-SUM($I549:O549),(('PTRM input'!$I$148+'PTRM input'!$I$114)*$I$7)/A6taxstdlife))</f>
        <v>0</v>
      </c>
      <c r="Q549" s="590">
        <f>IF(A6taxstdlife="n/a","n/a",IF(Q$3&gt;(A6taxstdlife+$E549),(('PTRM input'!$I$148+'PTRM input'!$I$114)*$I$7)-SUM($I549:P549),(('PTRM input'!$I$148+'PTRM input'!$I$114)*$I$7)/A6taxstdlife))</f>
        <v>0</v>
      </c>
      <c r="R549" s="590">
        <f>IF(A6taxstdlife="n/a","n/a",IF(R$3&gt;(A6taxstdlife+$E549),(('PTRM input'!$I$148+'PTRM input'!$I$114)*$I$7)-SUM($I549:Q549),(('PTRM input'!$I$148+'PTRM input'!$I$114)*$I$7)/A6taxstdlife))</f>
        <v>0</v>
      </c>
      <c r="S549" s="590">
        <f>IF(A6taxstdlife="n/a","n/a",IF(S$3&gt;(A6taxstdlife+$E549),(('PTRM input'!$I$148+'PTRM input'!$I$114)*$I$7)-SUM($I549:R549),(('PTRM input'!$I$148+'PTRM input'!$I$114)*$I$7)/A6taxstdlife))</f>
        <v>0</v>
      </c>
      <c r="T549" s="590">
        <f>IF(A6taxstdlife="n/a","n/a",IF(T$3&gt;(A6taxstdlife+$E549),(('PTRM input'!$I$148+'PTRM input'!$I$114)*$I$7)-SUM($I549:S549),(('PTRM input'!$I$148+'PTRM input'!$I$114)*$I$7)/A6taxstdlife))</f>
        <v>0</v>
      </c>
      <c r="U549" s="590">
        <f>IF(A6taxstdlife="n/a","n/a",IF(U$3&gt;(A6taxstdlife+$E549),(('PTRM input'!$I$148+'PTRM input'!$I$114)*$I$7)-SUM($I549:T549),(('PTRM input'!$I$148+'PTRM input'!$I$114)*$I$7)/A6taxstdlife))</f>
        <v>0</v>
      </c>
      <c r="V549" s="590">
        <f>IF(A6taxstdlife="n/a","n/a",IF(V$3&gt;(A6taxstdlife+$E549),(('PTRM input'!$I$148+'PTRM input'!$I$114)*$I$7)-SUM($I549:U549),(('PTRM input'!$I$148+'PTRM input'!$I$114)*$I$7)/A6taxstdlife))</f>
        <v>0</v>
      </c>
      <c r="W549" s="590">
        <f>IF(A6taxstdlife="n/a","n/a",IF(W$3&gt;(A6taxstdlife+$E549),(('PTRM input'!$I$148+'PTRM input'!$I$114)*$I$7)-SUM($I549:V549),(('PTRM input'!$I$148+'PTRM input'!$I$114)*$I$7)/A6taxstdlife))</f>
        <v>0</v>
      </c>
      <c r="X549" s="590">
        <f>IF(A6taxstdlife="n/a","n/a",IF(X$3&gt;(A6taxstdlife+$E549),(('PTRM input'!$I$148+'PTRM input'!$I$114)*$I$7)-SUM($I549:W549),(('PTRM input'!$I$148+'PTRM input'!$I$114)*$I$7)/A6taxstdlife))</f>
        <v>0</v>
      </c>
      <c r="Y549" s="590">
        <f>IF(A6taxstdlife="n/a","n/a",IF(Y$3&gt;(A6taxstdlife+$E549),(('PTRM input'!$I$148+'PTRM input'!$I$114)*$I$7)-SUM($I549:X549),(('PTRM input'!$I$148+'PTRM input'!$I$114)*$I$7)/A6taxstdlife))</f>
        <v>0</v>
      </c>
      <c r="Z549" s="590">
        <f>IF(A6taxstdlife="n/a","n/a",IF(Z$3&gt;(A6taxstdlife+$E549),(('PTRM input'!$I$148+'PTRM input'!$I$114)*$I$7)-SUM($I549:Y549),(('PTRM input'!$I$148+'PTRM input'!$I$114)*$I$7)/A6taxstdlife))</f>
        <v>0</v>
      </c>
      <c r="AA549" s="590">
        <f>IF(A6taxstdlife="n/a","n/a",IF(AA$3&gt;(A6taxstdlife+$E549),(('PTRM input'!$I$148+'PTRM input'!$I$114)*$I$7)-SUM($I549:Z549),(('PTRM input'!$I$148+'PTRM input'!$I$114)*$I$7)/A6taxstdlife))</f>
        <v>0</v>
      </c>
      <c r="AB549" s="590">
        <f>IF(A6taxstdlife="n/a","n/a",IF(AB$3&gt;(A6taxstdlife+$E549),(('PTRM input'!$I$148+'PTRM input'!$I$114)*$I$7)-SUM($I549:AA549),(('PTRM input'!$I$148+'PTRM input'!$I$114)*$I$7)/A6taxstdlife))</f>
        <v>0</v>
      </c>
      <c r="AC549" s="590">
        <f>IF(A6taxstdlife="n/a","n/a",IF(AC$3&gt;(A6taxstdlife+$E549),(('PTRM input'!$I$148+'PTRM input'!$I$114)*$I$7)-SUM($I549:AB549),(('PTRM input'!$I$148+'PTRM input'!$I$114)*$I$7)/A6taxstdlife))</f>
        <v>0</v>
      </c>
      <c r="AD549" s="590">
        <f>IF(A6taxstdlife="n/a","n/a",IF(AD$3&gt;(A6taxstdlife+$E549),(('PTRM input'!$I$148+'PTRM input'!$I$114)*$I$7)-SUM($I549:AC549),(('PTRM input'!$I$148+'PTRM input'!$I$114)*$I$7)/A6taxstdlife))</f>
        <v>0</v>
      </c>
      <c r="AE549" s="590">
        <f>IF(A6taxstdlife="n/a","n/a",IF(AE$3&gt;(A6taxstdlife+$E549),(('PTRM input'!$I$148+'PTRM input'!$I$114)*$I$7)-SUM($I549:AD549),(('PTRM input'!$I$148+'PTRM input'!$I$114)*$I$7)/A6taxstdlife))</f>
        <v>0</v>
      </c>
      <c r="AF549" s="590">
        <f>IF(A6taxstdlife="n/a","n/a",IF(AF$3&gt;(A6taxstdlife+$E549),(('PTRM input'!$I$148+'PTRM input'!$I$114)*$I$7)-SUM($I549:AE549),(('PTRM input'!$I$148+'PTRM input'!$I$114)*$I$7)/A6taxstdlife))</f>
        <v>0</v>
      </c>
      <c r="AG549" s="590">
        <f>IF(A6taxstdlife="n/a","n/a",IF(AG$3&gt;(A6taxstdlife+$E549),(('PTRM input'!$I$148+'PTRM input'!$I$114)*$I$7)-SUM($I549:AF549),(('PTRM input'!$I$148+'PTRM input'!$I$114)*$I$7)/A6taxstdlife))</f>
        <v>0</v>
      </c>
      <c r="AH549" s="590">
        <f>IF(A6taxstdlife="n/a","n/a",IF(AH$3&gt;(A6taxstdlife+$E549),(('PTRM input'!$I$148+'PTRM input'!$I$114)*$I$7)-SUM($I549:AG549),(('PTRM input'!$I$148+'PTRM input'!$I$114)*$I$7)/A6taxstdlife))</f>
        <v>0</v>
      </c>
      <c r="AI549" s="590">
        <f>IF(A6taxstdlife="n/a","n/a",IF(AI$3&gt;(A6taxstdlife+$E549),(('PTRM input'!$I$148+'PTRM input'!$I$114)*$I$7)-SUM($I549:AH549),(('PTRM input'!$I$148+'PTRM input'!$I$114)*$I$7)/A6taxstdlife))</f>
        <v>0</v>
      </c>
      <c r="AJ549" s="590">
        <f>IF(A6taxstdlife="n/a","n/a",IF(AJ$3&gt;(A6taxstdlife+$E549),(('PTRM input'!$I$148+'PTRM input'!$I$114)*$I$7)-SUM($I549:AI549),(('PTRM input'!$I$148+'PTRM input'!$I$114)*$I$7)/A6taxstdlife))</f>
        <v>0</v>
      </c>
      <c r="AK549" s="590">
        <f>IF(A6taxstdlife="n/a","n/a",IF(AK$3&gt;(A6taxstdlife+$E549),(('PTRM input'!$I$148+'PTRM input'!$I$114)*$I$7)-SUM($I549:AJ549),(('PTRM input'!$I$148+'PTRM input'!$I$114)*$I$7)/A6taxstdlife))</f>
        <v>0</v>
      </c>
      <c r="AL549" s="590">
        <f>IF(A6taxstdlife="n/a","n/a",IF(AL$3&gt;(A6taxstdlife+$E549),(('PTRM input'!$I$148+'PTRM input'!$I$114)*$I$7)-SUM($I549:AK549),(('PTRM input'!$I$148+'PTRM input'!$I$114)*$I$7)/A6taxstdlife))</f>
        <v>0</v>
      </c>
      <c r="AM549" s="590">
        <f>IF(A6taxstdlife="n/a","n/a",IF(AM$3&gt;(A6taxstdlife+$E549),(('PTRM input'!$I$148+'PTRM input'!$I$114)*$I$7)-SUM($I549:AL549),(('PTRM input'!$I$148+'PTRM input'!$I$114)*$I$7)/A6taxstdlife))</f>
        <v>0</v>
      </c>
      <c r="AN549" s="590">
        <f>IF(A6taxstdlife="n/a","n/a",IF(AN$3&gt;(A6taxstdlife+$E549),(('PTRM input'!$I$148+'PTRM input'!$I$114)*$I$7)-SUM($I549:AM549),(('PTRM input'!$I$148+'PTRM input'!$I$114)*$I$7)/A6taxstdlife))</f>
        <v>0</v>
      </c>
      <c r="AO549" s="590">
        <f>IF(A6taxstdlife="n/a","n/a",IF(AO$3&gt;(A6taxstdlife+$E549),(('PTRM input'!$I$148+'PTRM input'!$I$114)*$I$7)-SUM($I549:AN549),(('PTRM input'!$I$148+'PTRM input'!$I$114)*$I$7)/A6taxstdlife))</f>
        <v>0</v>
      </c>
      <c r="AP549" s="590">
        <f>IF(A6taxstdlife="n/a","n/a",IF(AP$3&gt;(A6taxstdlife+$E549),(('PTRM input'!$I$148+'PTRM input'!$I$114)*$I$7)-SUM($I549:AO549),(('PTRM input'!$I$148+'PTRM input'!$I$114)*$I$7)/A6taxstdlife))</f>
        <v>0</v>
      </c>
      <c r="AQ549" s="590">
        <f>IF(A6taxstdlife="n/a","n/a",IF(AQ$3&gt;(A6taxstdlife+$E549),(('PTRM input'!$I$148+'PTRM input'!$I$114)*$I$7)-SUM($I549:AP549),(('PTRM input'!$I$148+'PTRM input'!$I$114)*$I$7)/A6taxstdlife))</f>
        <v>0</v>
      </c>
      <c r="AR549" s="590">
        <f>IF(A6taxstdlife="n/a","n/a",IF(AR$3&gt;(A6taxstdlife+$E549),(('PTRM input'!$I$148+'PTRM input'!$I$114)*$I$7)-SUM($I549:AQ549),(('PTRM input'!$I$148+'PTRM input'!$I$114)*$I$7)/A6taxstdlife))</f>
        <v>0</v>
      </c>
      <c r="AS549" s="590">
        <f>IF(A6taxstdlife="n/a","n/a",IF(AS$3&gt;(A6taxstdlife+$E549),(('PTRM input'!$I$148+'PTRM input'!$I$114)*$I$7)-SUM($I549:AR549),(('PTRM input'!$I$148+'PTRM input'!$I$114)*$I$7)/A6taxstdlife))</f>
        <v>0</v>
      </c>
      <c r="AT549" s="590">
        <f>IF(A6taxstdlife="n/a","n/a",IF(AT$3&gt;(A6taxstdlife+$E549),(('PTRM input'!$I$148+'PTRM input'!$I$114)*$I$7)-SUM($I549:AS549),(('PTRM input'!$I$148+'PTRM input'!$I$114)*$I$7)/A6taxstdlife))</f>
        <v>0</v>
      </c>
      <c r="AU549" s="590">
        <f>IF(A6taxstdlife="n/a","n/a",IF(AU$3&gt;(A6taxstdlife+$E549),(('PTRM input'!$I$148+'PTRM input'!$I$114)*$I$7)-SUM($I549:AT549),(('PTRM input'!$I$148+'PTRM input'!$I$114)*$I$7)/A6taxstdlife))</f>
        <v>0</v>
      </c>
      <c r="AV549" s="590">
        <f>IF(A6taxstdlife="n/a","n/a",IF(AV$3&gt;(A6taxstdlife+$E549),(('PTRM input'!$I$148+'PTRM input'!$I$114)*$I$7)-SUM($I549:AU549),(('PTRM input'!$I$148+'PTRM input'!$I$114)*$I$7)/A6taxstdlife))</f>
        <v>0</v>
      </c>
      <c r="AW549" s="590">
        <f>IF(A6taxstdlife="n/a","n/a",IF(AW$3&gt;(A6taxstdlife+$E549),(('PTRM input'!$I$148+'PTRM input'!$I$114)*$I$7)-SUM($I549:AV549),(('PTRM input'!$I$148+'PTRM input'!$I$114)*$I$7)/A6taxstdlife))</f>
        <v>0</v>
      </c>
      <c r="AX549" s="590">
        <f>IF(A6taxstdlife="n/a","n/a",IF(AX$3&gt;(A6taxstdlife+$E549),(('PTRM input'!$I$148+'PTRM input'!$I$114)*$I$7)-SUM($I549:AW549),(('PTRM input'!$I$148+'PTRM input'!$I$114)*$I$7)/A6taxstdlife))</f>
        <v>0</v>
      </c>
      <c r="AY549" s="590">
        <f>IF(A6taxstdlife="n/a","n/a",IF(AY$3&gt;(A6taxstdlife+$E549),(('PTRM input'!$I$148+'PTRM input'!$I$114)*$I$7)-SUM($I549:AX549),(('PTRM input'!$I$148+'PTRM input'!$I$114)*$I$7)/A6taxstdlife))</f>
        <v>0</v>
      </c>
      <c r="AZ549" s="590">
        <f>IF(A6taxstdlife="n/a","n/a",IF(AZ$3&gt;(A6taxstdlife+$E549),(('PTRM input'!$I$148+'PTRM input'!$I$114)*$I$7)-SUM($I549:AY549),(('PTRM input'!$I$148+'PTRM input'!$I$114)*$I$7)/A6taxstdlife))</f>
        <v>0</v>
      </c>
      <c r="BA549" s="590">
        <f>IF(A6taxstdlife="n/a","n/a",IF(BA$3&gt;(A6taxstdlife+$E549),(('PTRM input'!$I$148+'PTRM input'!$I$114)*$I$7)-SUM($I549:AZ549),(('PTRM input'!$I$148+'PTRM input'!$I$114)*$I$7)/A6taxstdlife))</f>
        <v>0</v>
      </c>
      <c r="BB549" s="590">
        <f>IF(A6taxstdlife="n/a","n/a",IF(BB$3&gt;(A6taxstdlife+$E549),(('PTRM input'!$I$148+'PTRM input'!$I$114)*$I$7)-SUM($I549:BA549),(('PTRM input'!$I$148+'PTRM input'!$I$114)*$I$7)/A6taxstdlife))</f>
        <v>0</v>
      </c>
      <c r="BC549" s="590">
        <f>IF(A6taxstdlife="n/a","n/a",IF(BC$3&gt;(A6taxstdlife+$E549),(('PTRM input'!$I$148+'PTRM input'!$I$114)*$I$7)-SUM($I549:BB549),(('PTRM input'!$I$148+'PTRM input'!$I$114)*$I$7)/A6taxstdlife))</f>
        <v>0</v>
      </c>
      <c r="BD549" s="590">
        <f>IF(A6taxstdlife="n/a","n/a",IF(BD$3&gt;(A6taxstdlife+$E549),(('PTRM input'!$I$148+'PTRM input'!$I$114)*$I$7)-SUM($I549:BC549),(('PTRM input'!$I$148+'PTRM input'!$I$114)*$I$7)/A6taxstdlife))</f>
        <v>0</v>
      </c>
      <c r="BE549" s="590">
        <f>IF(A6taxstdlife="n/a","n/a",IF(BE$3&gt;(A6taxstdlife+$E549),(('PTRM input'!$I$148+'PTRM input'!$I$114)*$I$7)-SUM($I549:BD549),(('PTRM input'!$I$148+'PTRM input'!$I$114)*$I$7)/A6taxstdlife))</f>
        <v>0</v>
      </c>
      <c r="BF549" s="590">
        <f>IF(A6taxstdlife="n/a","n/a",IF(BF$3&gt;(A6taxstdlife+$E549),(('PTRM input'!$I$148+'PTRM input'!$I$114)*$I$7)-SUM($I549:BE549),(('PTRM input'!$I$148+'PTRM input'!$I$114)*$I$7)/A6taxstdlife))</f>
        <v>0</v>
      </c>
      <c r="BG549" s="590">
        <f>IF(A6taxstdlife="n/a","n/a",IF(BG$3&gt;(A6taxstdlife+$E549),(('PTRM input'!$I$148+'PTRM input'!$I$114)*$I$7)-SUM($I549:BF549),(('PTRM input'!$I$148+'PTRM input'!$I$114)*$I$7)/A6taxstdlife))</f>
        <v>0</v>
      </c>
      <c r="BH549" s="590">
        <f>IF(A6taxstdlife="n/a","n/a",IF(BH$3&gt;(A6taxstdlife+$E549),(('PTRM input'!$I$148+'PTRM input'!$I$114)*$I$7)-SUM($I549:BG549),(('PTRM input'!$I$148+'PTRM input'!$I$114)*$I$7)/A6taxstdlife))</f>
        <v>0</v>
      </c>
      <c r="BI549" s="590">
        <f>IF(A6taxstdlife="n/a","n/a",IF(BI$3&gt;(A6taxstdlife+$E549),(('PTRM input'!$I$148+'PTRM input'!$I$114)*$I$7)-SUM($I549:BH549),(('PTRM input'!$I$148+'PTRM input'!$I$114)*$I$7)/A6taxstdlife))</f>
        <v>0</v>
      </c>
      <c r="BJ549" s="240"/>
      <c r="BK549" s="240"/>
      <c r="BL549" s="240"/>
      <c r="BM549" s="240"/>
    </row>
    <row r="550" spans="1:65" s="4" customFormat="1" hidden="1" outlineLevel="2">
      <c r="A550" s="240"/>
      <c r="B550" s="240"/>
      <c r="C550" s="595"/>
      <c r="D550" s="1618"/>
      <c r="E550" s="169">
        <v>4</v>
      </c>
      <c r="F550" s="35"/>
      <c r="G550" s="184"/>
      <c r="H550" s="186"/>
      <c r="I550" s="186"/>
      <c r="J550" s="185"/>
      <c r="K550" s="107">
        <f>IF(A6taxstdlife="n/a","n/a",IF(K$3&gt;(A6taxstdlife+$E550),(('PTRM input'!$J$148+'PTRM input'!$J$114)*$J$7)-SUM($J550:J550),(('PTRM input'!$J$148+'PTRM input'!$J$114)*$J$7)/A6taxstdlife))</f>
        <v>0</v>
      </c>
      <c r="L550" s="107">
        <f>IF(A6taxstdlife="n/a","n/a",IF(L$3&gt;(A6taxstdlife+$E550),(('PTRM input'!$J$148+'PTRM input'!$J$114)*$J$7)-SUM($J550:K550),(('PTRM input'!$J$148+'PTRM input'!$J$114)*$J$7)/A6taxstdlife))</f>
        <v>0</v>
      </c>
      <c r="M550" s="107">
        <f>IF(A6taxstdlife="n/a","n/a",IF(M$3&gt;(A6taxstdlife+$E550),(('PTRM input'!$J$148+'PTRM input'!$J$114)*$J$7)-SUM($J550:L550),(('PTRM input'!$J$148+'PTRM input'!$J$114)*$J$7)/A6taxstdlife))</f>
        <v>0</v>
      </c>
      <c r="N550" s="107">
        <f>IF(A6taxstdlife="n/a","n/a",IF(N$3&gt;(A6taxstdlife+$E550),(('PTRM input'!$J$148+'PTRM input'!$J$114)*$J$7)-SUM($J550:M550),(('PTRM input'!$J$148+'PTRM input'!$J$114)*$J$7)/A6taxstdlife))</f>
        <v>0</v>
      </c>
      <c r="O550" s="107">
        <f>IF(A6taxstdlife="n/a","n/a",IF(O$3&gt;(A6taxstdlife+$E550),(('PTRM input'!$J$148+'PTRM input'!$J$114)*$J$7)-SUM($J550:N550),(('PTRM input'!$J$148+'PTRM input'!$J$114)*$J$7)/A6taxstdlife))</f>
        <v>0</v>
      </c>
      <c r="P550" s="107">
        <f>IF(A6taxstdlife="n/a","n/a",IF(P$3&gt;(A6taxstdlife+$E550),(('PTRM input'!$J$148+'PTRM input'!$J$114)*$J$7)-SUM($J550:O550),(('PTRM input'!$J$148+'PTRM input'!$J$114)*$J$7)/A6taxstdlife))</f>
        <v>0</v>
      </c>
      <c r="Q550" s="590">
        <f>IF(A6taxstdlife="n/a","n/a",IF(Q$3&gt;(A6taxstdlife+$E550),(('PTRM input'!$J$148+'PTRM input'!$J$114)*$J$7)-SUM($J550:P550),(('PTRM input'!$J$148+'PTRM input'!$J$114)*$J$7)/A6taxstdlife))</f>
        <v>0</v>
      </c>
      <c r="R550" s="590">
        <f>IF(A6taxstdlife="n/a","n/a",IF(R$3&gt;(A6taxstdlife+$E550),(('PTRM input'!$J$148+'PTRM input'!$J$114)*$J$7)-SUM($J550:Q550),(('PTRM input'!$J$148+'PTRM input'!$J$114)*$J$7)/A6taxstdlife))</f>
        <v>0</v>
      </c>
      <c r="S550" s="590">
        <f>IF(A6taxstdlife="n/a","n/a",IF(S$3&gt;(A6taxstdlife+$E550),(('PTRM input'!$J$148+'PTRM input'!$J$114)*$J$7)-SUM($J550:R550),(('PTRM input'!$J$148+'PTRM input'!$J$114)*$J$7)/A6taxstdlife))</f>
        <v>0</v>
      </c>
      <c r="T550" s="590">
        <f>IF(A6taxstdlife="n/a","n/a",IF(T$3&gt;(A6taxstdlife+$E550),(('PTRM input'!$J$148+'PTRM input'!$J$114)*$J$7)-SUM($J550:S550),(('PTRM input'!$J$148+'PTRM input'!$J$114)*$J$7)/A6taxstdlife))</f>
        <v>0</v>
      </c>
      <c r="U550" s="590">
        <f>IF(A6taxstdlife="n/a","n/a",IF(U$3&gt;(A6taxstdlife+$E550),(('PTRM input'!$J$148+'PTRM input'!$J$114)*$J$7)-SUM($J550:T550),(('PTRM input'!$J$148+'PTRM input'!$J$114)*$J$7)/A6taxstdlife))</f>
        <v>0</v>
      </c>
      <c r="V550" s="590">
        <f>IF(A6taxstdlife="n/a","n/a",IF(V$3&gt;(A6taxstdlife+$E550),(('PTRM input'!$J$148+'PTRM input'!$J$114)*$J$7)-SUM($J550:U550),(('PTRM input'!$J$148+'PTRM input'!$J$114)*$J$7)/A6taxstdlife))</f>
        <v>0</v>
      </c>
      <c r="W550" s="590">
        <f>IF(A6taxstdlife="n/a","n/a",IF(W$3&gt;(A6taxstdlife+$E550),(('PTRM input'!$J$148+'PTRM input'!$J$114)*$J$7)-SUM($J550:V550),(('PTRM input'!$J$148+'PTRM input'!$J$114)*$J$7)/A6taxstdlife))</f>
        <v>0</v>
      </c>
      <c r="X550" s="590">
        <f>IF(A6taxstdlife="n/a","n/a",IF(X$3&gt;(A6taxstdlife+$E550),(('PTRM input'!$J$148+'PTRM input'!$J$114)*$J$7)-SUM($J550:W550),(('PTRM input'!$J$148+'PTRM input'!$J$114)*$J$7)/A6taxstdlife))</f>
        <v>0</v>
      </c>
      <c r="Y550" s="590">
        <f>IF(A6taxstdlife="n/a","n/a",IF(Y$3&gt;(A6taxstdlife+$E550),(('PTRM input'!$J$148+'PTRM input'!$J$114)*$J$7)-SUM($J550:X550),(('PTRM input'!$J$148+'PTRM input'!$J$114)*$J$7)/A6taxstdlife))</f>
        <v>0</v>
      </c>
      <c r="Z550" s="590">
        <f>IF(A6taxstdlife="n/a","n/a",IF(Z$3&gt;(A6taxstdlife+$E550),(('PTRM input'!$J$148+'PTRM input'!$J$114)*$J$7)-SUM($J550:Y550),(('PTRM input'!$J$148+'PTRM input'!$J$114)*$J$7)/A6taxstdlife))</f>
        <v>0</v>
      </c>
      <c r="AA550" s="590">
        <f>IF(A6taxstdlife="n/a","n/a",IF(AA$3&gt;(A6taxstdlife+$E550),(('PTRM input'!$J$148+'PTRM input'!$J$114)*$J$7)-SUM($J550:Z550),(('PTRM input'!$J$148+'PTRM input'!$J$114)*$J$7)/A6taxstdlife))</f>
        <v>0</v>
      </c>
      <c r="AB550" s="590">
        <f>IF(A6taxstdlife="n/a","n/a",IF(AB$3&gt;(A6taxstdlife+$E550),(('PTRM input'!$J$148+'PTRM input'!$J$114)*$J$7)-SUM($J550:AA550),(('PTRM input'!$J$148+'PTRM input'!$J$114)*$J$7)/A6taxstdlife))</f>
        <v>0</v>
      </c>
      <c r="AC550" s="590">
        <f>IF(A6taxstdlife="n/a","n/a",IF(AC$3&gt;(A6taxstdlife+$E550),(('PTRM input'!$J$148+'PTRM input'!$J$114)*$J$7)-SUM($J550:AB550),(('PTRM input'!$J$148+'PTRM input'!$J$114)*$J$7)/A6taxstdlife))</f>
        <v>0</v>
      </c>
      <c r="AD550" s="590">
        <f>IF(A6taxstdlife="n/a","n/a",IF(AD$3&gt;(A6taxstdlife+$E550),(('PTRM input'!$J$148+'PTRM input'!$J$114)*$J$7)-SUM($J550:AC550),(('PTRM input'!$J$148+'PTRM input'!$J$114)*$J$7)/A6taxstdlife))</f>
        <v>0</v>
      </c>
      <c r="AE550" s="590">
        <f>IF(A6taxstdlife="n/a","n/a",IF(AE$3&gt;(A6taxstdlife+$E550),(('PTRM input'!$J$148+'PTRM input'!$J$114)*$J$7)-SUM($J550:AD550),(('PTRM input'!$J$148+'PTRM input'!$J$114)*$J$7)/A6taxstdlife))</f>
        <v>0</v>
      </c>
      <c r="AF550" s="590">
        <f>IF(A6taxstdlife="n/a","n/a",IF(AF$3&gt;(A6taxstdlife+$E550),(('PTRM input'!$J$148+'PTRM input'!$J$114)*$J$7)-SUM($J550:AE550),(('PTRM input'!$J$148+'PTRM input'!$J$114)*$J$7)/A6taxstdlife))</f>
        <v>0</v>
      </c>
      <c r="AG550" s="590">
        <f>IF(A6taxstdlife="n/a","n/a",IF(AG$3&gt;(A6taxstdlife+$E550),(('PTRM input'!$J$148+'PTRM input'!$J$114)*$J$7)-SUM($J550:AF550),(('PTRM input'!$J$148+'PTRM input'!$J$114)*$J$7)/A6taxstdlife))</f>
        <v>0</v>
      </c>
      <c r="AH550" s="590">
        <f>IF(A6taxstdlife="n/a","n/a",IF(AH$3&gt;(A6taxstdlife+$E550),(('PTRM input'!$J$148+'PTRM input'!$J$114)*$J$7)-SUM($J550:AG550),(('PTRM input'!$J$148+'PTRM input'!$J$114)*$J$7)/A6taxstdlife))</f>
        <v>0</v>
      </c>
      <c r="AI550" s="590">
        <f>IF(A6taxstdlife="n/a","n/a",IF(AI$3&gt;(A6taxstdlife+$E550),(('PTRM input'!$J$148+'PTRM input'!$J$114)*$J$7)-SUM($J550:AH550),(('PTRM input'!$J$148+'PTRM input'!$J$114)*$J$7)/A6taxstdlife))</f>
        <v>0</v>
      </c>
      <c r="AJ550" s="590">
        <f>IF(A6taxstdlife="n/a","n/a",IF(AJ$3&gt;(A6taxstdlife+$E550),(('PTRM input'!$J$148+'PTRM input'!$J$114)*$J$7)-SUM($J550:AI550),(('PTRM input'!$J$148+'PTRM input'!$J$114)*$J$7)/A6taxstdlife))</f>
        <v>0</v>
      </c>
      <c r="AK550" s="590">
        <f>IF(A6taxstdlife="n/a","n/a",IF(AK$3&gt;(A6taxstdlife+$E550),(('PTRM input'!$J$148+'PTRM input'!$J$114)*$J$7)-SUM($J550:AJ550),(('PTRM input'!$J$148+'PTRM input'!$J$114)*$J$7)/A6taxstdlife))</f>
        <v>0</v>
      </c>
      <c r="AL550" s="590">
        <f>IF(A6taxstdlife="n/a","n/a",IF(AL$3&gt;(A6taxstdlife+$E550),(('PTRM input'!$J$148+'PTRM input'!$J$114)*$J$7)-SUM($J550:AK550),(('PTRM input'!$J$148+'PTRM input'!$J$114)*$J$7)/A6taxstdlife))</f>
        <v>0</v>
      </c>
      <c r="AM550" s="590">
        <f>IF(A6taxstdlife="n/a","n/a",IF(AM$3&gt;(A6taxstdlife+$E550),(('PTRM input'!$J$148+'PTRM input'!$J$114)*$J$7)-SUM($J550:AL550),(('PTRM input'!$J$148+'PTRM input'!$J$114)*$J$7)/A6taxstdlife))</f>
        <v>0</v>
      </c>
      <c r="AN550" s="590">
        <f>IF(A6taxstdlife="n/a","n/a",IF(AN$3&gt;(A6taxstdlife+$E550),(('PTRM input'!$J$148+'PTRM input'!$J$114)*$J$7)-SUM($J550:AM550),(('PTRM input'!$J$148+'PTRM input'!$J$114)*$J$7)/A6taxstdlife))</f>
        <v>0</v>
      </c>
      <c r="AO550" s="590">
        <f>IF(A6taxstdlife="n/a","n/a",IF(AO$3&gt;(A6taxstdlife+$E550),(('PTRM input'!$J$148+'PTRM input'!$J$114)*$J$7)-SUM($J550:AN550),(('PTRM input'!$J$148+'PTRM input'!$J$114)*$J$7)/A6taxstdlife))</f>
        <v>0</v>
      </c>
      <c r="AP550" s="590">
        <f>IF(A6taxstdlife="n/a","n/a",IF(AP$3&gt;(A6taxstdlife+$E550),(('PTRM input'!$J$148+'PTRM input'!$J$114)*$J$7)-SUM($J550:AO550),(('PTRM input'!$J$148+'PTRM input'!$J$114)*$J$7)/A6taxstdlife))</f>
        <v>0</v>
      </c>
      <c r="AQ550" s="590">
        <f>IF(A6taxstdlife="n/a","n/a",IF(AQ$3&gt;(A6taxstdlife+$E550),(('PTRM input'!$J$148+'PTRM input'!$J$114)*$J$7)-SUM($J550:AP550),(('PTRM input'!$J$148+'PTRM input'!$J$114)*$J$7)/A6taxstdlife))</f>
        <v>0</v>
      </c>
      <c r="AR550" s="590">
        <f>IF(A6taxstdlife="n/a","n/a",IF(AR$3&gt;(A6taxstdlife+$E550),(('PTRM input'!$J$148+'PTRM input'!$J$114)*$J$7)-SUM($J550:AQ550),(('PTRM input'!$J$148+'PTRM input'!$J$114)*$J$7)/A6taxstdlife))</f>
        <v>0</v>
      </c>
      <c r="AS550" s="590">
        <f>IF(A6taxstdlife="n/a","n/a",IF(AS$3&gt;(A6taxstdlife+$E550),(('PTRM input'!$J$148+'PTRM input'!$J$114)*$J$7)-SUM($J550:AR550),(('PTRM input'!$J$148+'PTRM input'!$J$114)*$J$7)/A6taxstdlife))</f>
        <v>0</v>
      </c>
      <c r="AT550" s="590">
        <f>IF(A6taxstdlife="n/a","n/a",IF(AT$3&gt;(A6taxstdlife+$E550),(('PTRM input'!$J$148+'PTRM input'!$J$114)*$J$7)-SUM($J550:AS550),(('PTRM input'!$J$148+'PTRM input'!$J$114)*$J$7)/A6taxstdlife))</f>
        <v>0</v>
      </c>
      <c r="AU550" s="590">
        <f>IF(A6taxstdlife="n/a","n/a",IF(AU$3&gt;(A6taxstdlife+$E550),(('PTRM input'!$J$148+'PTRM input'!$J$114)*$J$7)-SUM($J550:AT550),(('PTRM input'!$J$148+'PTRM input'!$J$114)*$J$7)/A6taxstdlife))</f>
        <v>0</v>
      </c>
      <c r="AV550" s="590">
        <f>IF(A6taxstdlife="n/a","n/a",IF(AV$3&gt;(A6taxstdlife+$E550),(('PTRM input'!$J$148+'PTRM input'!$J$114)*$J$7)-SUM($J550:AU550),(('PTRM input'!$J$148+'PTRM input'!$J$114)*$J$7)/A6taxstdlife))</f>
        <v>0</v>
      </c>
      <c r="AW550" s="590">
        <f>IF(A6taxstdlife="n/a","n/a",IF(AW$3&gt;(A6taxstdlife+$E550),(('PTRM input'!$J$148+'PTRM input'!$J$114)*$J$7)-SUM($J550:AV550),(('PTRM input'!$J$148+'PTRM input'!$J$114)*$J$7)/A6taxstdlife))</f>
        <v>0</v>
      </c>
      <c r="AX550" s="590">
        <f>IF(A6taxstdlife="n/a","n/a",IF(AX$3&gt;(A6taxstdlife+$E550),(('PTRM input'!$J$148+'PTRM input'!$J$114)*$J$7)-SUM($J550:AW550),(('PTRM input'!$J$148+'PTRM input'!$J$114)*$J$7)/A6taxstdlife))</f>
        <v>0</v>
      </c>
      <c r="AY550" s="590">
        <f>IF(A6taxstdlife="n/a","n/a",IF(AY$3&gt;(A6taxstdlife+$E550),(('PTRM input'!$J$148+'PTRM input'!$J$114)*$J$7)-SUM($J550:AX550),(('PTRM input'!$J$148+'PTRM input'!$J$114)*$J$7)/A6taxstdlife))</f>
        <v>0</v>
      </c>
      <c r="AZ550" s="590">
        <f>IF(A6taxstdlife="n/a","n/a",IF(AZ$3&gt;(A6taxstdlife+$E550),(('PTRM input'!$J$148+'PTRM input'!$J$114)*$J$7)-SUM($J550:AY550),(('PTRM input'!$J$148+'PTRM input'!$J$114)*$J$7)/A6taxstdlife))</f>
        <v>0</v>
      </c>
      <c r="BA550" s="590">
        <f>IF(A6taxstdlife="n/a","n/a",IF(BA$3&gt;(A6taxstdlife+$E550),(('PTRM input'!$J$148+'PTRM input'!$J$114)*$J$7)-SUM($J550:AZ550),(('PTRM input'!$J$148+'PTRM input'!$J$114)*$J$7)/A6taxstdlife))</f>
        <v>0</v>
      </c>
      <c r="BB550" s="590">
        <f>IF(A6taxstdlife="n/a","n/a",IF(BB$3&gt;(A6taxstdlife+$E550),(('PTRM input'!$J$148+'PTRM input'!$J$114)*$J$7)-SUM($J550:BA550),(('PTRM input'!$J$148+'PTRM input'!$J$114)*$J$7)/A6taxstdlife))</f>
        <v>0</v>
      </c>
      <c r="BC550" s="590">
        <f>IF(A6taxstdlife="n/a","n/a",IF(BC$3&gt;(A6taxstdlife+$E550),(('PTRM input'!$J$148+'PTRM input'!$J$114)*$J$7)-SUM($J550:BB550),(('PTRM input'!$J$148+'PTRM input'!$J$114)*$J$7)/A6taxstdlife))</f>
        <v>0</v>
      </c>
      <c r="BD550" s="590">
        <f>IF(A6taxstdlife="n/a","n/a",IF(BD$3&gt;(A6taxstdlife+$E550),(('PTRM input'!$J$148+'PTRM input'!$J$114)*$J$7)-SUM($J550:BC550),(('PTRM input'!$J$148+'PTRM input'!$J$114)*$J$7)/A6taxstdlife))</f>
        <v>0</v>
      </c>
      <c r="BE550" s="590">
        <f>IF(A6taxstdlife="n/a","n/a",IF(BE$3&gt;(A6taxstdlife+$E550),(('PTRM input'!$J$148+'PTRM input'!$J$114)*$J$7)-SUM($J550:BD550),(('PTRM input'!$J$148+'PTRM input'!$J$114)*$J$7)/A6taxstdlife))</f>
        <v>0</v>
      </c>
      <c r="BF550" s="590">
        <f>IF(A6taxstdlife="n/a","n/a",IF(BF$3&gt;(A6taxstdlife+$E550),(('PTRM input'!$J$148+'PTRM input'!$J$114)*$J$7)-SUM($J550:BE550),(('PTRM input'!$J$148+'PTRM input'!$J$114)*$J$7)/A6taxstdlife))</f>
        <v>0</v>
      </c>
      <c r="BG550" s="590">
        <f>IF(A6taxstdlife="n/a","n/a",IF(BG$3&gt;(A6taxstdlife+$E550),(('PTRM input'!$J$148+'PTRM input'!$J$114)*$J$7)-SUM($J550:BF550),(('PTRM input'!$J$148+'PTRM input'!$J$114)*$J$7)/A6taxstdlife))</f>
        <v>0</v>
      </c>
      <c r="BH550" s="590">
        <f>IF(A6taxstdlife="n/a","n/a",IF(BH$3&gt;(A6taxstdlife+$E550),(('PTRM input'!$J$148+'PTRM input'!$J$114)*$J$7)-SUM($J550:BG550),(('PTRM input'!$J$148+'PTRM input'!$J$114)*$J$7)/A6taxstdlife))</f>
        <v>0</v>
      </c>
      <c r="BI550" s="590">
        <f>IF(A6taxstdlife="n/a","n/a",IF(BI$3&gt;(A6taxstdlife+$E550),(('PTRM input'!$J$148+'PTRM input'!$J$114)*$J$7)-SUM($J550:BH550),(('PTRM input'!$J$148+'PTRM input'!$J$114)*$J$7)/A6taxstdlife))</f>
        <v>0</v>
      </c>
      <c r="BJ550" s="240"/>
      <c r="BK550" s="240"/>
      <c r="BL550" s="240"/>
      <c r="BM550" s="240"/>
    </row>
    <row r="551" spans="1:65" s="4" customFormat="1" hidden="1" outlineLevel="2">
      <c r="A551" s="240"/>
      <c r="B551" s="240"/>
      <c r="C551" s="595"/>
      <c r="D551" s="1618"/>
      <c r="E551" s="169">
        <v>5</v>
      </c>
      <c r="F551" s="35"/>
      <c r="G551" s="184"/>
      <c r="H551" s="186"/>
      <c r="I551" s="186"/>
      <c r="J551" s="186"/>
      <c r="K551" s="185"/>
      <c r="L551" s="107">
        <f>IF(A6taxstdlife="n/a","n/a",IF(L$3&gt;(A6taxstdlife+$E551),(('PTRM input'!$K$148+'PTRM input'!$K$114)*$K$7)-SUM($K551:K551),(('PTRM input'!$K$148+'PTRM input'!$K$114)*$K$7)/A6taxstdlife))</f>
        <v>0</v>
      </c>
      <c r="M551" s="107">
        <f>IF(A6taxstdlife="n/a","n/a",IF(M$3&gt;(A6taxstdlife+$E551),(('PTRM input'!$K$148+'PTRM input'!$K$114)*$K$7)-SUM($K551:L551),(('PTRM input'!$K$148+'PTRM input'!$K$114)*$K$7)/A6taxstdlife))</f>
        <v>0</v>
      </c>
      <c r="N551" s="107">
        <f>IF(A6taxstdlife="n/a","n/a",IF(N$3&gt;(A6taxstdlife+$E551),(('PTRM input'!$K$148+'PTRM input'!$K$114)*$K$7)-SUM($K551:M551),(('PTRM input'!$K$148+'PTRM input'!$K$114)*$K$7)/A6taxstdlife))</f>
        <v>0</v>
      </c>
      <c r="O551" s="107">
        <f>IF(A6taxstdlife="n/a","n/a",IF(O$3&gt;(A6taxstdlife+$E551),(('PTRM input'!$K$148+'PTRM input'!$K$114)*$K$7)-SUM($K551:N551),(('PTRM input'!$K$148+'PTRM input'!$K$114)*$K$7)/A6taxstdlife))</f>
        <v>0</v>
      </c>
      <c r="P551" s="107">
        <f>IF(A6taxstdlife="n/a","n/a",IF(P$3&gt;(A6taxstdlife+$E551),(('PTRM input'!$K$148+'PTRM input'!$K$114)*$K$7)-SUM($K551:O551),(('PTRM input'!$K$148+'PTRM input'!$K$114)*$K$7)/A6taxstdlife))</f>
        <v>0</v>
      </c>
      <c r="Q551" s="590">
        <f>IF(A6taxstdlife="n/a","n/a",IF(Q$3&gt;(A6taxstdlife+$E551),(('PTRM input'!$K$148+'PTRM input'!$K$114)*$K$7)-SUM($K551:P551),(('PTRM input'!$K$148+'PTRM input'!$K$114)*$K$7)/A6taxstdlife))</f>
        <v>0</v>
      </c>
      <c r="R551" s="590">
        <f>IF(A6taxstdlife="n/a","n/a",IF(R$3&gt;(A6taxstdlife+$E551),(('PTRM input'!$K$148+'PTRM input'!$K$114)*$K$7)-SUM($K551:Q551),(('PTRM input'!$K$148+'PTRM input'!$K$114)*$K$7)/A6taxstdlife))</f>
        <v>0</v>
      </c>
      <c r="S551" s="590">
        <f>IF(A6taxstdlife="n/a","n/a",IF(S$3&gt;(A6taxstdlife+$E551),(('PTRM input'!$K$148+'PTRM input'!$K$114)*$K$7)-SUM($K551:R551),(('PTRM input'!$K$148+'PTRM input'!$K$114)*$K$7)/A6taxstdlife))</f>
        <v>0</v>
      </c>
      <c r="T551" s="590">
        <f>IF(A6taxstdlife="n/a","n/a",IF(T$3&gt;(A6taxstdlife+$E551),(('PTRM input'!$K$148+'PTRM input'!$K$114)*$K$7)-SUM($K551:S551),(('PTRM input'!$K$148+'PTRM input'!$K$114)*$K$7)/A6taxstdlife))</f>
        <v>0</v>
      </c>
      <c r="U551" s="590">
        <f>IF(A6taxstdlife="n/a","n/a",IF(U$3&gt;(A6taxstdlife+$E551),(('PTRM input'!$K$148+'PTRM input'!$K$114)*$K$7)-SUM($K551:T551),(('PTRM input'!$K$148+'PTRM input'!$K$114)*$K$7)/A6taxstdlife))</f>
        <v>0</v>
      </c>
      <c r="V551" s="590">
        <f>IF(A6taxstdlife="n/a","n/a",IF(V$3&gt;(A6taxstdlife+$E551),(('PTRM input'!$K$148+'PTRM input'!$K$114)*$K$7)-SUM($K551:U551),(('PTRM input'!$K$148+'PTRM input'!$K$114)*$K$7)/A6taxstdlife))</f>
        <v>0</v>
      </c>
      <c r="W551" s="590">
        <f>IF(A6taxstdlife="n/a","n/a",IF(W$3&gt;(A6taxstdlife+$E551),(('PTRM input'!$K$148+'PTRM input'!$K$114)*$K$7)-SUM($K551:V551),(('PTRM input'!$K$148+'PTRM input'!$K$114)*$K$7)/A6taxstdlife))</f>
        <v>0</v>
      </c>
      <c r="X551" s="590">
        <f>IF(A6taxstdlife="n/a","n/a",IF(X$3&gt;(A6taxstdlife+$E551),(('PTRM input'!$K$148+'PTRM input'!$K$114)*$K$7)-SUM($K551:W551),(('PTRM input'!$K$148+'PTRM input'!$K$114)*$K$7)/A6taxstdlife))</f>
        <v>0</v>
      </c>
      <c r="Y551" s="590">
        <f>IF(A6taxstdlife="n/a","n/a",IF(Y$3&gt;(A6taxstdlife+$E551),(('PTRM input'!$K$148+'PTRM input'!$K$114)*$K$7)-SUM($K551:X551),(('PTRM input'!$K$148+'PTRM input'!$K$114)*$K$7)/A6taxstdlife))</f>
        <v>0</v>
      </c>
      <c r="Z551" s="590">
        <f>IF(A6taxstdlife="n/a","n/a",IF(Z$3&gt;(A6taxstdlife+$E551),(('PTRM input'!$K$148+'PTRM input'!$K$114)*$K$7)-SUM($K551:Y551),(('PTRM input'!$K$148+'PTRM input'!$K$114)*$K$7)/A6taxstdlife))</f>
        <v>0</v>
      </c>
      <c r="AA551" s="590">
        <f>IF(A6taxstdlife="n/a","n/a",IF(AA$3&gt;(A6taxstdlife+$E551),(('PTRM input'!$K$148+'PTRM input'!$K$114)*$K$7)-SUM($K551:Z551),(('PTRM input'!$K$148+'PTRM input'!$K$114)*$K$7)/A6taxstdlife))</f>
        <v>0</v>
      </c>
      <c r="AB551" s="590">
        <f>IF(A6taxstdlife="n/a","n/a",IF(AB$3&gt;(A6taxstdlife+$E551),(('PTRM input'!$K$148+'PTRM input'!$K$114)*$K$7)-SUM($K551:AA551),(('PTRM input'!$K$148+'PTRM input'!$K$114)*$K$7)/A6taxstdlife))</f>
        <v>0</v>
      </c>
      <c r="AC551" s="590">
        <f>IF(A6taxstdlife="n/a","n/a",IF(AC$3&gt;(A6taxstdlife+$E551),(('PTRM input'!$K$148+'PTRM input'!$K$114)*$K$7)-SUM($K551:AB551),(('PTRM input'!$K$148+'PTRM input'!$K$114)*$K$7)/A6taxstdlife))</f>
        <v>0</v>
      </c>
      <c r="AD551" s="590">
        <f>IF(A6taxstdlife="n/a","n/a",IF(AD$3&gt;(A6taxstdlife+$E551),(('PTRM input'!$K$148+'PTRM input'!$K$114)*$K$7)-SUM($K551:AC551),(('PTRM input'!$K$148+'PTRM input'!$K$114)*$K$7)/A6taxstdlife))</f>
        <v>0</v>
      </c>
      <c r="AE551" s="590">
        <f>IF(A6taxstdlife="n/a","n/a",IF(AE$3&gt;(A6taxstdlife+$E551),(('PTRM input'!$K$148+'PTRM input'!$K$114)*$K$7)-SUM($K551:AD551),(('PTRM input'!$K$148+'PTRM input'!$K$114)*$K$7)/A6taxstdlife))</f>
        <v>0</v>
      </c>
      <c r="AF551" s="590">
        <f>IF(A6taxstdlife="n/a","n/a",IF(AF$3&gt;(A6taxstdlife+$E551),(('PTRM input'!$K$148+'PTRM input'!$K$114)*$K$7)-SUM($K551:AE551),(('PTRM input'!$K$148+'PTRM input'!$K$114)*$K$7)/A6taxstdlife))</f>
        <v>0</v>
      </c>
      <c r="AG551" s="590">
        <f>IF(A6taxstdlife="n/a","n/a",IF(AG$3&gt;(A6taxstdlife+$E551),(('PTRM input'!$K$148+'PTRM input'!$K$114)*$K$7)-SUM($K551:AF551),(('PTRM input'!$K$148+'PTRM input'!$K$114)*$K$7)/A6taxstdlife))</f>
        <v>0</v>
      </c>
      <c r="AH551" s="590">
        <f>IF(A6taxstdlife="n/a","n/a",IF(AH$3&gt;(A6taxstdlife+$E551),(('PTRM input'!$K$148+'PTRM input'!$K$114)*$K$7)-SUM($K551:AG551),(('PTRM input'!$K$148+'PTRM input'!$K$114)*$K$7)/A6taxstdlife))</f>
        <v>0</v>
      </c>
      <c r="AI551" s="590">
        <f>IF(A6taxstdlife="n/a","n/a",IF(AI$3&gt;(A6taxstdlife+$E551),(('PTRM input'!$K$148+'PTRM input'!$K$114)*$K$7)-SUM($K551:AH551),(('PTRM input'!$K$148+'PTRM input'!$K$114)*$K$7)/A6taxstdlife))</f>
        <v>0</v>
      </c>
      <c r="AJ551" s="590">
        <f>IF(A6taxstdlife="n/a","n/a",IF(AJ$3&gt;(A6taxstdlife+$E551),(('PTRM input'!$K$148+'PTRM input'!$K$114)*$K$7)-SUM($K551:AI551),(('PTRM input'!$K$148+'PTRM input'!$K$114)*$K$7)/A6taxstdlife))</f>
        <v>0</v>
      </c>
      <c r="AK551" s="590">
        <f>IF(A6taxstdlife="n/a","n/a",IF(AK$3&gt;(A6taxstdlife+$E551),(('PTRM input'!$K$148+'PTRM input'!$K$114)*$K$7)-SUM($K551:AJ551),(('PTRM input'!$K$148+'PTRM input'!$K$114)*$K$7)/A6taxstdlife))</f>
        <v>0</v>
      </c>
      <c r="AL551" s="590">
        <f>IF(A6taxstdlife="n/a","n/a",IF(AL$3&gt;(A6taxstdlife+$E551),(('PTRM input'!$K$148+'PTRM input'!$K$114)*$K$7)-SUM($K551:AK551),(('PTRM input'!$K$148+'PTRM input'!$K$114)*$K$7)/A6taxstdlife))</f>
        <v>0</v>
      </c>
      <c r="AM551" s="590">
        <f>IF(A6taxstdlife="n/a","n/a",IF(AM$3&gt;(A6taxstdlife+$E551),(('PTRM input'!$K$148+'PTRM input'!$K$114)*$K$7)-SUM($K551:AL551),(('PTRM input'!$K$148+'PTRM input'!$K$114)*$K$7)/A6taxstdlife))</f>
        <v>0</v>
      </c>
      <c r="AN551" s="590">
        <f>IF(A6taxstdlife="n/a","n/a",IF(AN$3&gt;(A6taxstdlife+$E551),(('PTRM input'!$K$148+'PTRM input'!$K$114)*$K$7)-SUM($K551:AM551),(('PTRM input'!$K$148+'PTRM input'!$K$114)*$K$7)/A6taxstdlife))</f>
        <v>0</v>
      </c>
      <c r="AO551" s="590">
        <f>IF(A6taxstdlife="n/a","n/a",IF(AO$3&gt;(A6taxstdlife+$E551),(('PTRM input'!$K$148+'PTRM input'!$K$114)*$K$7)-SUM($K551:AN551),(('PTRM input'!$K$148+'PTRM input'!$K$114)*$K$7)/A6taxstdlife))</f>
        <v>0</v>
      </c>
      <c r="AP551" s="590">
        <f>IF(A6taxstdlife="n/a","n/a",IF(AP$3&gt;(A6taxstdlife+$E551),(('PTRM input'!$K$148+'PTRM input'!$K$114)*$K$7)-SUM($K551:AO551),(('PTRM input'!$K$148+'PTRM input'!$K$114)*$K$7)/A6taxstdlife))</f>
        <v>0</v>
      </c>
      <c r="AQ551" s="590">
        <f>IF(A6taxstdlife="n/a","n/a",IF(AQ$3&gt;(A6taxstdlife+$E551),(('PTRM input'!$K$148+'PTRM input'!$K$114)*$K$7)-SUM($K551:AP551),(('PTRM input'!$K$148+'PTRM input'!$K$114)*$K$7)/A6taxstdlife))</f>
        <v>0</v>
      </c>
      <c r="AR551" s="590">
        <f>IF(A6taxstdlife="n/a","n/a",IF(AR$3&gt;(A6taxstdlife+$E551),(('PTRM input'!$K$148+'PTRM input'!$K$114)*$K$7)-SUM($K551:AQ551),(('PTRM input'!$K$148+'PTRM input'!$K$114)*$K$7)/A6taxstdlife))</f>
        <v>0</v>
      </c>
      <c r="AS551" s="590">
        <f>IF(A6taxstdlife="n/a","n/a",IF(AS$3&gt;(A6taxstdlife+$E551),(('PTRM input'!$K$148+'PTRM input'!$K$114)*$K$7)-SUM($K551:AR551),(('PTRM input'!$K$148+'PTRM input'!$K$114)*$K$7)/A6taxstdlife))</f>
        <v>0</v>
      </c>
      <c r="AT551" s="590">
        <f>IF(A6taxstdlife="n/a","n/a",IF(AT$3&gt;(A6taxstdlife+$E551),(('PTRM input'!$K$148+'PTRM input'!$K$114)*$K$7)-SUM($K551:AS551),(('PTRM input'!$K$148+'PTRM input'!$K$114)*$K$7)/A6taxstdlife))</f>
        <v>0</v>
      </c>
      <c r="AU551" s="590">
        <f>IF(A6taxstdlife="n/a","n/a",IF(AU$3&gt;(A6taxstdlife+$E551),(('PTRM input'!$K$148+'PTRM input'!$K$114)*$K$7)-SUM($K551:AT551),(('PTRM input'!$K$148+'PTRM input'!$K$114)*$K$7)/A6taxstdlife))</f>
        <v>0</v>
      </c>
      <c r="AV551" s="590">
        <f>IF(A6taxstdlife="n/a","n/a",IF(AV$3&gt;(A6taxstdlife+$E551),(('PTRM input'!$K$148+'PTRM input'!$K$114)*$K$7)-SUM($K551:AU551),(('PTRM input'!$K$148+'PTRM input'!$K$114)*$K$7)/A6taxstdlife))</f>
        <v>0</v>
      </c>
      <c r="AW551" s="590">
        <f>IF(A6taxstdlife="n/a","n/a",IF(AW$3&gt;(A6taxstdlife+$E551),(('PTRM input'!$K$148+'PTRM input'!$K$114)*$K$7)-SUM($K551:AV551),(('PTRM input'!$K$148+'PTRM input'!$K$114)*$K$7)/A6taxstdlife))</f>
        <v>0</v>
      </c>
      <c r="AX551" s="590">
        <f>IF(A6taxstdlife="n/a","n/a",IF(AX$3&gt;(A6taxstdlife+$E551),(('PTRM input'!$K$148+'PTRM input'!$K$114)*$K$7)-SUM($K551:AW551),(('PTRM input'!$K$148+'PTRM input'!$K$114)*$K$7)/A6taxstdlife))</f>
        <v>0</v>
      </c>
      <c r="AY551" s="590">
        <f>IF(A6taxstdlife="n/a","n/a",IF(AY$3&gt;(A6taxstdlife+$E551),(('PTRM input'!$K$148+'PTRM input'!$K$114)*$K$7)-SUM($K551:AX551),(('PTRM input'!$K$148+'PTRM input'!$K$114)*$K$7)/A6taxstdlife))</f>
        <v>0</v>
      </c>
      <c r="AZ551" s="590">
        <f>IF(A6taxstdlife="n/a","n/a",IF(AZ$3&gt;(A6taxstdlife+$E551),(('PTRM input'!$K$148+'PTRM input'!$K$114)*$K$7)-SUM($K551:AY551),(('PTRM input'!$K$148+'PTRM input'!$K$114)*$K$7)/A6taxstdlife))</f>
        <v>0</v>
      </c>
      <c r="BA551" s="590">
        <f>IF(A6taxstdlife="n/a","n/a",IF(BA$3&gt;(A6taxstdlife+$E551),(('PTRM input'!$K$148+'PTRM input'!$K$114)*$K$7)-SUM($K551:AZ551),(('PTRM input'!$K$148+'PTRM input'!$K$114)*$K$7)/A6taxstdlife))</f>
        <v>0</v>
      </c>
      <c r="BB551" s="590">
        <f>IF(A6taxstdlife="n/a","n/a",IF(BB$3&gt;(A6taxstdlife+$E551),(('PTRM input'!$K$148+'PTRM input'!$K$114)*$K$7)-SUM($K551:BA551),(('PTRM input'!$K$148+'PTRM input'!$K$114)*$K$7)/A6taxstdlife))</f>
        <v>0</v>
      </c>
      <c r="BC551" s="590">
        <f>IF(A6taxstdlife="n/a","n/a",IF(BC$3&gt;(A6taxstdlife+$E551),(('PTRM input'!$K$148+'PTRM input'!$K$114)*$K$7)-SUM($K551:BB551),(('PTRM input'!$K$148+'PTRM input'!$K$114)*$K$7)/A6taxstdlife))</f>
        <v>0</v>
      </c>
      <c r="BD551" s="590">
        <f>IF(A6taxstdlife="n/a","n/a",IF(BD$3&gt;(A6taxstdlife+$E551),(('PTRM input'!$K$148+'PTRM input'!$K$114)*$K$7)-SUM($K551:BC551),(('PTRM input'!$K$148+'PTRM input'!$K$114)*$K$7)/A6taxstdlife))</f>
        <v>0</v>
      </c>
      <c r="BE551" s="590">
        <f>IF(A6taxstdlife="n/a","n/a",IF(BE$3&gt;(A6taxstdlife+$E551),(('PTRM input'!$K$148+'PTRM input'!$K$114)*$K$7)-SUM($K551:BD551),(('PTRM input'!$K$148+'PTRM input'!$K$114)*$K$7)/A6taxstdlife))</f>
        <v>0</v>
      </c>
      <c r="BF551" s="590">
        <f>IF(A6taxstdlife="n/a","n/a",IF(BF$3&gt;(A6taxstdlife+$E551),(('PTRM input'!$K$148+'PTRM input'!$K$114)*$K$7)-SUM($K551:BE551),(('PTRM input'!$K$148+'PTRM input'!$K$114)*$K$7)/A6taxstdlife))</f>
        <v>0</v>
      </c>
      <c r="BG551" s="590">
        <f>IF(A6taxstdlife="n/a","n/a",IF(BG$3&gt;(A6taxstdlife+$E551),(('PTRM input'!$K$148+'PTRM input'!$K$114)*$K$7)-SUM($K551:BF551),(('PTRM input'!$K$148+'PTRM input'!$K$114)*$K$7)/A6taxstdlife))</f>
        <v>0</v>
      </c>
      <c r="BH551" s="590">
        <f>IF(A6taxstdlife="n/a","n/a",IF(BH$3&gt;(A6taxstdlife+$E551),(('PTRM input'!$K$148+'PTRM input'!$K$114)*$K$7)-SUM($K551:BG551),(('PTRM input'!$K$148+'PTRM input'!$K$114)*$K$7)/A6taxstdlife))</f>
        <v>0</v>
      </c>
      <c r="BI551" s="590">
        <f>IF(A6taxstdlife="n/a","n/a",IF(BI$3&gt;(A6taxstdlife+$E551),(('PTRM input'!$K$148+'PTRM input'!$K$114)*$K$7)-SUM($K551:BH551),(('PTRM input'!$K$148+'PTRM input'!$K$114)*$K$7)/A6taxstdlife))</f>
        <v>0</v>
      </c>
      <c r="BJ551" s="240"/>
      <c r="BK551" s="240"/>
      <c r="BL551" s="240"/>
      <c r="BM551" s="240"/>
    </row>
    <row r="552" spans="1:65" s="4" customFormat="1" hidden="1" outlineLevel="2">
      <c r="A552" s="240"/>
      <c r="B552" s="240"/>
      <c r="C552" s="595"/>
      <c r="D552" s="1618"/>
      <c r="E552" s="169">
        <v>6</v>
      </c>
      <c r="F552" s="35"/>
      <c r="G552" s="184"/>
      <c r="H552" s="186"/>
      <c r="I552" s="186"/>
      <c r="J552" s="186"/>
      <c r="K552" s="186"/>
      <c r="L552" s="185"/>
      <c r="M552" s="107">
        <f>IF(A6taxstdlife="n/a","n/a",IF(M$3&gt;(A6taxstdlife+$E552),(('PTRM input'!$L$148+'PTRM input'!$L$114)*$L$7)-SUM($L552:L552),(('PTRM input'!$L$148+'PTRM input'!$L$114)*$L$7)/A6taxstdlife))</f>
        <v>0</v>
      </c>
      <c r="N552" s="107">
        <f>IF(A6taxstdlife="n/a","n/a",IF(N$3&gt;(A6taxstdlife+$E552),(('PTRM input'!$L$148+'PTRM input'!$L$114)*$L$7)-SUM($L552:M552),(('PTRM input'!$L$148+'PTRM input'!$L$114)*$L$7)/A6taxstdlife))</f>
        <v>0</v>
      </c>
      <c r="O552" s="107">
        <f>IF(A6taxstdlife="n/a","n/a",IF(O$3&gt;(A6taxstdlife+$E552),(('PTRM input'!$L$148+'PTRM input'!$L$114)*$L$7)-SUM($L552:N552),(('PTRM input'!$L$148+'PTRM input'!$L$114)*$L$7)/A6taxstdlife))</f>
        <v>0</v>
      </c>
      <c r="P552" s="107">
        <f>IF(A6taxstdlife="n/a","n/a",IF(P$3&gt;(A6taxstdlife+$E552),(('PTRM input'!$L$148+'PTRM input'!$L$114)*$L$7)-SUM($L552:O552),(('PTRM input'!$L$148+'PTRM input'!$L$114)*$L$7)/A6taxstdlife))</f>
        <v>0</v>
      </c>
      <c r="Q552" s="590">
        <f>IF(A6taxstdlife="n/a","n/a",IF(Q$3&gt;(A6taxstdlife+$E552),(('PTRM input'!$L$148+'PTRM input'!$L$114)*$L$7)-SUM($L552:P552),(('PTRM input'!$L$148+'PTRM input'!$L$114)*$L$7)/A6taxstdlife))</f>
        <v>0</v>
      </c>
      <c r="R552" s="590">
        <f>IF(A6taxstdlife="n/a","n/a",IF(R$3&gt;(A6taxstdlife+$E552),(('PTRM input'!$L$148+'PTRM input'!$L$114)*$L$7)-SUM($L552:Q552),(('PTRM input'!$L$148+'PTRM input'!$L$114)*$L$7)/A6taxstdlife))</f>
        <v>0</v>
      </c>
      <c r="S552" s="590">
        <f>IF(A6taxstdlife="n/a","n/a",IF(S$3&gt;(A6taxstdlife+$E552),(('PTRM input'!$L$148+'PTRM input'!$L$114)*$L$7)-SUM($L552:R552),(('PTRM input'!$L$148+'PTRM input'!$L$114)*$L$7)/A6taxstdlife))</f>
        <v>0</v>
      </c>
      <c r="T552" s="590">
        <f>IF(A6taxstdlife="n/a","n/a",IF(T$3&gt;(A6taxstdlife+$E552),(('PTRM input'!$L$148+'PTRM input'!$L$114)*$L$7)-SUM($L552:S552),(('PTRM input'!$L$148+'PTRM input'!$L$114)*$L$7)/A6taxstdlife))</f>
        <v>0</v>
      </c>
      <c r="U552" s="590">
        <f>IF(A6taxstdlife="n/a","n/a",IF(U$3&gt;(A6taxstdlife+$E552),(('PTRM input'!$L$148+'PTRM input'!$L$114)*$L$7)-SUM($L552:T552),(('PTRM input'!$L$148+'PTRM input'!$L$114)*$L$7)/A6taxstdlife))</f>
        <v>0</v>
      </c>
      <c r="V552" s="590">
        <f>IF(A6taxstdlife="n/a","n/a",IF(V$3&gt;(A6taxstdlife+$E552),(('PTRM input'!$L$148+'PTRM input'!$L$114)*$L$7)-SUM($L552:U552),(('PTRM input'!$L$148+'PTRM input'!$L$114)*$L$7)/A6taxstdlife))</f>
        <v>0</v>
      </c>
      <c r="W552" s="590">
        <f>IF(A6taxstdlife="n/a","n/a",IF(W$3&gt;(A6taxstdlife+$E552),(('PTRM input'!$L$148+'PTRM input'!$L$114)*$L$7)-SUM($L552:V552),(('PTRM input'!$L$148+'PTRM input'!$L$114)*$L$7)/A6taxstdlife))</f>
        <v>0</v>
      </c>
      <c r="X552" s="590">
        <f>IF(A6taxstdlife="n/a","n/a",IF(X$3&gt;(A6taxstdlife+$E552),(('PTRM input'!$L$148+'PTRM input'!$L$114)*$L$7)-SUM($L552:W552),(('PTRM input'!$L$148+'PTRM input'!$L$114)*$L$7)/A6taxstdlife))</f>
        <v>0</v>
      </c>
      <c r="Y552" s="590">
        <f>IF(A6taxstdlife="n/a","n/a",IF(Y$3&gt;(A6taxstdlife+$E552),(('PTRM input'!$L$148+'PTRM input'!$L$114)*$L$7)-SUM($L552:X552),(('PTRM input'!$L$148+'PTRM input'!$L$114)*$L$7)/A6taxstdlife))</f>
        <v>0</v>
      </c>
      <c r="Z552" s="590">
        <f>IF(A6taxstdlife="n/a","n/a",IF(Z$3&gt;(A6taxstdlife+$E552),(('PTRM input'!$L$148+'PTRM input'!$L$114)*$L$7)-SUM($L552:Y552),(('PTRM input'!$L$148+'PTRM input'!$L$114)*$L$7)/A6taxstdlife))</f>
        <v>0</v>
      </c>
      <c r="AA552" s="590">
        <f>IF(A6taxstdlife="n/a","n/a",IF(AA$3&gt;(A6taxstdlife+$E552),(('PTRM input'!$L$148+'PTRM input'!$L$114)*$L$7)-SUM($L552:Z552),(('PTRM input'!$L$148+'PTRM input'!$L$114)*$L$7)/A6taxstdlife))</f>
        <v>0</v>
      </c>
      <c r="AB552" s="590">
        <f>IF(A6taxstdlife="n/a","n/a",IF(AB$3&gt;(A6taxstdlife+$E552),(('PTRM input'!$L$148+'PTRM input'!$L$114)*$L$7)-SUM($L552:AA552),(('PTRM input'!$L$148+'PTRM input'!$L$114)*$L$7)/A6taxstdlife))</f>
        <v>0</v>
      </c>
      <c r="AC552" s="590">
        <f>IF(A6taxstdlife="n/a","n/a",IF(AC$3&gt;(A6taxstdlife+$E552),(('PTRM input'!$L$148+'PTRM input'!$L$114)*$L$7)-SUM($L552:AB552),(('PTRM input'!$L$148+'PTRM input'!$L$114)*$L$7)/A6taxstdlife))</f>
        <v>0</v>
      </c>
      <c r="AD552" s="590">
        <f>IF(A6taxstdlife="n/a","n/a",IF(AD$3&gt;(A6taxstdlife+$E552),(('PTRM input'!$L$148+'PTRM input'!$L$114)*$L$7)-SUM($L552:AC552),(('PTRM input'!$L$148+'PTRM input'!$L$114)*$L$7)/A6taxstdlife))</f>
        <v>0</v>
      </c>
      <c r="AE552" s="590">
        <f>IF(A6taxstdlife="n/a","n/a",IF(AE$3&gt;(A6taxstdlife+$E552),(('PTRM input'!$L$148+'PTRM input'!$L$114)*$L$7)-SUM($L552:AD552),(('PTRM input'!$L$148+'PTRM input'!$L$114)*$L$7)/A6taxstdlife))</f>
        <v>0</v>
      </c>
      <c r="AF552" s="590">
        <f>IF(A6taxstdlife="n/a","n/a",IF(AF$3&gt;(A6taxstdlife+$E552),(('PTRM input'!$L$148+'PTRM input'!$L$114)*$L$7)-SUM($L552:AE552),(('PTRM input'!$L$148+'PTRM input'!$L$114)*$L$7)/A6taxstdlife))</f>
        <v>0</v>
      </c>
      <c r="AG552" s="590">
        <f>IF(A6taxstdlife="n/a","n/a",IF(AG$3&gt;(A6taxstdlife+$E552),(('PTRM input'!$L$148+'PTRM input'!$L$114)*$L$7)-SUM($L552:AF552),(('PTRM input'!$L$148+'PTRM input'!$L$114)*$L$7)/A6taxstdlife))</f>
        <v>0</v>
      </c>
      <c r="AH552" s="590">
        <f>IF(A6taxstdlife="n/a","n/a",IF(AH$3&gt;(A6taxstdlife+$E552),(('PTRM input'!$L$148+'PTRM input'!$L$114)*$L$7)-SUM($L552:AG552),(('PTRM input'!$L$148+'PTRM input'!$L$114)*$L$7)/A6taxstdlife))</f>
        <v>0</v>
      </c>
      <c r="AI552" s="590">
        <f>IF(A6taxstdlife="n/a","n/a",IF(AI$3&gt;(A6taxstdlife+$E552),(('PTRM input'!$L$148+'PTRM input'!$L$114)*$L$7)-SUM($L552:AH552),(('PTRM input'!$L$148+'PTRM input'!$L$114)*$L$7)/A6taxstdlife))</f>
        <v>0</v>
      </c>
      <c r="AJ552" s="590">
        <f>IF(A6taxstdlife="n/a","n/a",IF(AJ$3&gt;(A6taxstdlife+$E552),(('PTRM input'!$L$148+'PTRM input'!$L$114)*$L$7)-SUM($L552:AI552),(('PTRM input'!$L$148+'PTRM input'!$L$114)*$L$7)/A6taxstdlife))</f>
        <v>0</v>
      </c>
      <c r="AK552" s="590">
        <f>IF(A6taxstdlife="n/a","n/a",IF(AK$3&gt;(A6taxstdlife+$E552),(('PTRM input'!$L$148+'PTRM input'!$L$114)*$L$7)-SUM($L552:AJ552),(('PTRM input'!$L$148+'PTRM input'!$L$114)*$L$7)/A6taxstdlife))</f>
        <v>0</v>
      </c>
      <c r="AL552" s="590">
        <f>IF(A6taxstdlife="n/a","n/a",IF(AL$3&gt;(A6taxstdlife+$E552),(('PTRM input'!$L$148+'PTRM input'!$L$114)*$L$7)-SUM($L552:AK552),(('PTRM input'!$L$148+'PTRM input'!$L$114)*$L$7)/A6taxstdlife))</f>
        <v>0</v>
      </c>
      <c r="AM552" s="590">
        <f>IF(A6taxstdlife="n/a","n/a",IF(AM$3&gt;(A6taxstdlife+$E552),(('PTRM input'!$L$148+'PTRM input'!$L$114)*$L$7)-SUM($L552:AL552),(('PTRM input'!$L$148+'PTRM input'!$L$114)*$L$7)/A6taxstdlife))</f>
        <v>0</v>
      </c>
      <c r="AN552" s="590">
        <f>IF(A6taxstdlife="n/a","n/a",IF(AN$3&gt;(A6taxstdlife+$E552),(('PTRM input'!$L$148+'PTRM input'!$L$114)*$L$7)-SUM($L552:AM552),(('PTRM input'!$L$148+'PTRM input'!$L$114)*$L$7)/A6taxstdlife))</f>
        <v>0</v>
      </c>
      <c r="AO552" s="590">
        <f>IF(A6taxstdlife="n/a","n/a",IF(AO$3&gt;(A6taxstdlife+$E552),(('PTRM input'!$L$148+'PTRM input'!$L$114)*$L$7)-SUM($L552:AN552),(('PTRM input'!$L$148+'PTRM input'!$L$114)*$L$7)/A6taxstdlife))</f>
        <v>0</v>
      </c>
      <c r="AP552" s="590">
        <f>IF(A6taxstdlife="n/a","n/a",IF(AP$3&gt;(A6taxstdlife+$E552),(('PTRM input'!$L$148+'PTRM input'!$L$114)*$L$7)-SUM($L552:AO552),(('PTRM input'!$L$148+'PTRM input'!$L$114)*$L$7)/A6taxstdlife))</f>
        <v>0</v>
      </c>
      <c r="AQ552" s="590">
        <f>IF(A6taxstdlife="n/a","n/a",IF(AQ$3&gt;(A6taxstdlife+$E552),(('PTRM input'!$L$148+'PTRM input'!$L$114)*$L$7)-SUM($L552:AP552),(('PTRM input'!$L$148+'PTRM input'!$L$114)*$L$7)/A6taxstdlife))</f>
        <v>0</v>
      </c>
      <c r="AR552" s="590">
        <f>IF(A6taxstdlife="n/a","n/a",IF(AR$3&gt;(A6taxstdlife+$E552),(('PTRM input'!$L$148+'PTRM input'!$L$114)*$L$7)-SUM($L552:AQ552),(('PTRM input'!$L$148+'PTRM input'!$L$114)*$L$7)/A6taxstdlife))</f>
        <v>0</v>
      </c>
      <c r="AS552" s="590">
        <f>IF(A6taxstdlife="n/a","n/a",IF(AS$3&gt;(A6taxstdlife+$E552),(('PTRM input'!$L$148+'PTRM input'!$L$114)*$L$7)-SUM($L552:AR552),(('PTRM input'!$L$148+'PTRM input'!$L$114)*$L$7)/A6taxstdlife))</f>
        <v>0</v>
      </c>
      <c r="AT552" s="590">
        <f>IF(A6taxstdlife="n/a","n/a",IF(AT$3&gt;(A6taxstdlife+$E552),(('PTRM input'!$L$148+'PTRM input'!$L$114)*$L$7)-SUM($L552:AS552),(('PTRM input'!$L$148+'PTRM input'!$L$114)*$L$7)/A6taxstdlife))</f>
        <v>0</v>
      </c>
      <c r="AU552" s="590">
        <f>IF(A6taxstdlife="n/a","n/a",IF(AU$3&gt;(A6taxstdlife+$E552),(('PTRM input'!$L$148+'PTRM input'!$L$114)*$L$7)-SUM($L552:AT552),(('PTRM input'!$L$148+'PTRM input'!$L$114)*$L$7)/A6taxstdlife))</f>
        <v>0</v>
      </c>
      <c r="AV552" s="590">
        <f>IF(A6taxstdlife="n/a","n/a",IF(AV$3&gt;(A6taxstdlife+$E552),(('PTRM input'!$L$148+'PTRM input'!$L$114)*$L$7)-SUM($L552:AU552),(('PTRM input'!$L$148+'PTRM input'!$L$114)*$L$7)/A6taxstdlife))</f>
        <v>0</v>
      </c>
      <c r="AW552" s="590">
        <f>IF(A6taxstdlife="n/a","n/a",IF(AW$3&gt;(A6taxstdlife+$E552),(('PTRM input'!$L$148+'PTRM input'!$L$114)*$L$7)-SUM($L552:AV552),(('PTRM input'!$L$148+'PTRM input'!$L$114)*$L$7)/A6taxstdlife))</f>
        <v>0</v>
      </c>
      <c r="AX552" s="590">
        <f>IF(A6taxstdlife="n/a","n/a",IF(AX$3&gt;(A6taxstdlife+$E552),(('PTRM input'!$L$148+'PTRM input'!$L$114)*$L$7)-SUM($L552:AW552),(('PTRM input'!$L$148+'PTRM input'!$L$114)*$L$7)/A6taxstdlife))</f>
        <v>0</v>
      </c>
      <c r="AY552" s="590">
        <f>IF(A6taxstdlife="n/a","n/a",IF(AY$3&gt;(A6taxstdlife+$E552),(('PTRM input'!$L$148+'PTRM input'!$L$114)*$L$7)-SUM($L552:AX552),(('PTRM input'!$L$148+'PTRM input'!$L$114)*$L$7)/A6taxstdlife))</f>
        <v>0</v>
      </c>
      <c r="AZ552" s="590">
        <f>IF(A6taxstdlife="n/a","n/a",IF(AZ$3&gt;(A6taxstdlife+$E552),(('PTRM input'!$L$148+'PTRM input'!$L$114)*$L$7)-SUM($L552:AY552),(('PTRM input'!$L$148+'PTRM input'!$L$114)*$L$7)/A6taxstdlife))</f>
        <v>0</v>
      </c>
      <c r="BA552" s="590">
        <f>IF(A6taxstdlife="n/a","n/a",IF(BA$3&gt;(A6taxstdlife+$E552),(('PTRM input'!$L$148+'PTRM input'!$L$114)*$L$7)-SUM($L552:AZ552),(('PTRM input'!$L$148+'PTRM input'!$L$114)*$L$7)/A6taxstdlife))</f>
        <v>0</v>
      </c>
      <c r="BB552" s="590">
        <f>IF(A6taxstdlife="n/a","n/a",IF(BB$3&gt;(A6taxstdlife+$E552),(('PTRM input'!$L$148+'PTRM input'!$L$114)*$L$7)-SUM($L552:BA552),(('PTRM input'!$L$148+'PTRM input'!$L$114)*$L$7)/A6taxstdlife))</f>
        <v>0</v>
      </c>
      <c r="BC552" s="590">
        <f>IF(A6taxstdlife="n/a","n/a",IF(BC$3&gt;(A6taxstdlife+$E552),(('PTRM input'!$L$148+'PTRM input'!$L$114)*$L$7)-SUM($L552:BB552),(('PTRM input'!$L$148+'PTRM input'!$L$114)*$L$7)/A6taxstdlife))</f>
        <v>0</v>
      </c>
      <c r="BD552" s="590">
        <f>IF(A6taxstdlife="n/a","n/a",IF(BD$3&gt;(A6taxstdlife+$E552),(('PTRM input'!$L$148+'PTRM input'!$L$114)*$L$7)-SUM($L552:BC552),(('PTRM input'!$L$148+'PTRM input'!$L$114)*$L$7)/A6taxstdlife))</f>
        <v>0</v>
      </c>
      <c r="BE552" s="590">
        <f>IF(A6taxstdlife="n/a","n/a",IF(BE$3&gt;(A6taxstdlife+$E552),(('PTRM input'!$L$148+'PTRM input'!$L$114)*$L$7)-SUM($L552:BD552),(('PTRM input'!$L$148+'PTRM input'!$L$114)*$L$7)/A6taxstdlife))</f>
        <v>0</v>
      </c>
      <c r="BF552" s="590">
        <f>IF(A6taxstdlife="n/a","n/a",IF(BF$3&gt;(A6taxstdlife+$E552),(('PTRM input'!$L$148+'PTRM input'!$L$114)*$L$7)-SUM($L552:BE552),(('PTRM input'!$L$148+'PTRM input'!$L$114)*$L$7)/A6taxstdlife))</f>
        <v>0</v>
      </c>
      <c r="BG552" s="590">
        <f>IF(A6taxstdlife="n/a","n/a",IF(BG$3&gt;(A6taxstdlife+$E552),(('PTRM input'!$L$148+'PTRM input'!$L$114)*$L$7)-SUM($L552:BF552),(('PTRM input'!$L$148+'PTRM input'!$L$114)*$L$7)/A6taxstdlife))</f>
        <v>0</v>
      </c>
      <c r="BH552" s="590">
        <f>IF(A6taxstdlife="n/a","n/a",IF(BH$3&gt;(A6taxstdlife+$E552),(('PTRM input'!$L$148+'PTRM input'!$L$114)*$L$7)-SUM($L552:BG552),(('PTRM input'!$L$148+'PTRM input'!$L$114)*$L$7)/A6taxstdlife))</f>
        <v>0</v>
      </c>
      <c r="BI552" s="590">
        <f>IF(A6taxstdlife="n/a","n/a",IF(BI$3&gt;(A6taxstdlife+$E552),(('PTRM input'!$L$148+'PTRM input'!$L$114)*$L$7)-SUM($L552:BH552),(('PTRM input'!$L$148+'PTRM input'!$L$114)*$L$7)/A6taxstdlife))</f>
        <v>0</v>
      </c>
      <c r="BJ552" s="240"/>
      <c r="BK552" s="240"/>
      <c r="BL552" s="240"/>
      <c r="BM552" s="240"/>
    </row>
    <row r="553" spans="1:65" s="4" customFormat="1" hidden="1" outlineLevel="2">
      <c r="A553" s="240"/>
      <c r="B553" s="240"/>
      <c r="C553" s="595"/>
      <c r="D553" s="1618"/>
      <c r="E553" s="169">
        <v>7</v>
      </c>
      <c r="F553" s="35"/>
      <c r="G553" s="184"/>
      <c r="H553" s="186"/>
      <c r="I553" s="186"/>
      <c r="J553" s="186"/>
      <c r="K553" s="186"/>
      <c r="L553" s="186"/>
      <c r="M553" s="185"/>
      <c r="N553" s="107">
        <f>IF(A6taxstdlife="n/a","n/a",IF(N$3&gt;(A6taxstdlife+$E553),(('PTRM input'!$M$148+'PTRM input'!$M$114)*$M$7)-SUM($M553:M553),(('PTRM input'!$M$148+'PTRM input'!$M$114)*$M$7)/A6taxstdlife))</f>
        <v>0</v>
      </c>
      <c r="O553" s="107">
        <f>IF(A6taxstdlife="n/a","n/a",IF(O$3&gt;(A6taxstdlife+$E553),(('PTRM input'!$M$148+'PTRM input'!$M$114)*$M$7)-SUM($M553:N553),(('PTRM input'!$M$148+'PTRM input'!$M$114)*$M$7)/A6taxstdlife))</f>
        <v>0</v>
      </c>
      <c r="P553" s="107">
        <f>IF(A6taxstdlife="n/a","n/a",IF(P$3&gt;(A6taxstdlife+$E553),(('PTRM input'!$M$148+'PTRM input'!$M$114)*$M$7)-SUM($M553:O553),(('PTRM input'!$M$148+'PTRM input'!$M$114)*$M$7)/A6taxstdlife))</f>
        <v>0</v>
      </c>
      <c r="Q553" s="590">
        <f>IF(A6taxstdlife="n/a","n/a",IF(Q$3&gt;(A6taxstdlife+$E553),(('PTRM input'!$M$148+'PTRM input'!$M$114)*$M$7)-SUM($M553:P553),(('PTRM input'!$M$148+'PTRM input'!$M$114)*$M$7)/A6taxstdlife))</f>
        <v>0</v>
      </c>
      <c r="R553" s="590">
        <f>IF(A6taxstdlife="n/a","n/a",IF(R$3&gt;(A6taxstdlife+$E553),(('PTRM input'!$M$148+'PTRM input'!$M$114)*$M$7)-SUM($M553:Q553),(('PTRM input'!$M$148+'PTRM input'!$M$114)*$M$7)/A6taxstdlife))</f>
        <v>0</v>
      </c>
      <c r="S553" s="590">
        <f>IF(A6taxstdlife="n/a","n/a",IF(S$3&gt;(A6taxstdlife+$E553),(('PTRM input'!$M$148+'PTRM input'!$M$114)*$M$7)-SUM($M553:R553),(('PTRM input'!$M$148+'PTRM input'!$M$114)*$M$7)/A6taxstdlife))</f>
        <v>0</v>
      </c>
      <c r="T553" s="590">
        <f>IF(A6taxstdlife="n/a","n/a",IF(T$3&gt;(A6taxstdlife+$E553),(('PTRM input'!$M$148+'PTRM input'!$M$114)*$M$7)-SUM($M553:S553),(('PTRM input'!$M$148+'PTRM input'!$M$114)*$M$7)/A6taxstdlife))</f>
        <v>0</v>
      </c>
      <c r="U553" s="590">
        <f>IF(A6taxstdlife="n/a","n/a",IF(U$3&gt;(A6taxstdlife+$E553),(('PTRM input'!$M$148+'PTRM input'!$M$114)*$M$7)-SUM($M553:T553),(('PTRM input'!$M$148+'PTRM input'!$M$114)*$M$7)/A6taxstdlife))</f>
        <v>0</v>
      </c>
      <c r="V553" s="590">
        <f>IF(A6taxstdlife="n/a","n/a",IF(V$3&gt;(A6taxstdlife+$E553),(('PTRM input'!$M$148+'PTRM input'!$M$114)*$M$7)-SUM($M553:U553),(('PTRM input'!$M$148+'PTRM input'!$M$114)*$M$7)/A6taxstdlife))</f>
        <v>0</v>
      </c>
      <c r="W553" s="590">
        <f>IF(A6taxstdlife="n/a","n/a",IF(W$3&gt;(A6taxstdlife+$E553),(('PTRM input'!$M$148+'PTRM input'!$M$114)*$M$7)-SUM($M553:V553),(('PTRM input'!$M$148+'PTRM input'!$M$114)*$M$7)/A6taxstdlife))</f>
        <v>0</v>
      </c>
      <c r="X553" s="590">
        <f>IF(A6taxstdlife="n/a","n/a",IF(X$3&gt;(A6taxstdlife+$E553),(('PTRM input'!$M$148+'PTRM input'!$M$114)*$M$7)-SUM($M553:W553),(('PTRM input'!$M$148+'PTRM input'!$M$114)*$M$7)/A6taxstdlife))</f>
        <v>0</v>
      </c>
      <c r="Y553" s="590">
        <f>IF(A6taxstdlife="n/a","n/a",IF(Y$3&gt;(A6taxstdlife+$E553),(('PTRM input'!$M$148+'PTRM input'!$M$114)*$M$7)-SUM($M553:X553),(('PTRM input'!$M$148+'PTRM input'!$M$114)*$M$7)/A6taxstdlife))</f>
        <v>0</v>
      </c>
      <c r="Z553" s="590">
        <f>IF(A6taxstdlife="n/a","n/a",IF(Z$3&gt;(A6taxstdlife+$E553),(('PTRM input'!$M$148+'PTRM input'!$M$114)*$M$7)-SUM($M553:Y553),(('PTRM input'!$M$148+'PTRM input'!$M$114)*$M$7)/A6taxstdlife))</f>
        <v>0</v>
      </c>
      <c r="AA553" s="590">
        <f>IF(A6taxstdlife="n/a","n/a",IF(AA$3&gt;(A6taxstdlife+$E553),(('PTRM input'!$M$148+'PTRM input'!$M$114)*$M$7)-SUM($M553:Z553),(('PTRM input'!$M$148+'PTRM input'!$M$114)*$M$7)/A6taxstdlife))</f>
        <v>0</v>
      </c>
      <c r="AB553" s="590">
        <f>IF(A6taxstdlife="n/a","n/a",IF(AB$3&gt;(A6taxstdlife+$E553),(('PTRM input'!$M$148+'PTRM input'!$M$114)*$M$7)-SUM($M553:AA553),(('PTRM input'!$M$148+'PTRM input'!$M$114)*$M$7)/A6taxstdlife))</f>
        <v>0</v>
      </c>
      <c r="AC553" s="590">
        <f>IF(A6taxstdlife="n/a","n/a",IF(AC$3&gt;(A6taxstdlife+$E553),(('PTRM input'!$M$148+'PTRM input'!$M$114)*$M$7)-SUM($M553:AB553),(('PTRM input'!$M$148+'PTRM input'!$M$114)*$M$7)/A6taxstdlife))</f>
        <v>0</v>
      </c>
      <c r="AD553" s="590">
        <f>IF(A6taxstdlife="n/a","n/a",IF(AD$3&gt;(A6taxstdlife+$E553),(('PTRM input'!$M$148+'PTRM input'!$M$114)*$M$7)-SUM($M553:AC553),(('PTRM input'!$M$148+'PTRM input'!$M$114)*$M$7)/A6taxstdlife))</f>
        <v>0</v>
      </c>
      <c r="AE553" s="590">
        <f>IF(A6taxstdlife="n/a","n/a",IF(AE$3&gt;(A6taxstdlife+$E553),(('PTRM input'!$M$148+'PTRM input'!$M$114)*$M$7)-SUM($M553:AD553),(('PTRM input'!$M$148+'PTRM input'!$M$114)*$M$7)/A6taxstdlife))</f>
        <v>0</v>
      </c>
      <c r="AF553" s="590">
        <f>IF(A6taxstdlife="n/a","n/a",IF(AF$3&gt;(A6taxstdlife+$E553),(('PTRM input'!$M$148+'PTRM input'!$M$114)*$M$7)-SUM($M553:AE553),(('PTRM input'!$M$148+'PTRM input'!$M$114)*$M$7)/A6taxstdlife))</f>
        <v>0</v>
      </c>
      <c r="AG553" s="590">
        <f>IF(A6taxstdlife="n/a","n/a",IF(AG$3&gt;(A6taxstdlife+$E553),(('PTRM input'!$M$148+'PTRM input'!$M$114)*$M$7)-SUM($M553:AF553),(('PTRM input'!$M$148+'PTRM input'!$M$114)*$M$7)/A6taxstdlife))</f>
        <v>0</v>
      </c>
      <c r="AH553" s="590">
        <f>IF(A6taxstdlife="n/a","n/a",IF(AH$3&gt;(A6taxstdlife+$E553),(('PTRM input'!$M$148+'PTRM input'!$M$114)*$M$7)-SUM($M553:AG553),(('PTRM input'!$M$148+'PTRM input'!$M$114)*$M$7)/A6taxstdlife))</f>
        <v>0</v>
      </c>
      <c r="AI553" s="590">
        <f>IF(A6taxstdlife="n/a","n/a",IF(AI$3&gt;(A6taxstdlife+$E553),(('PTRM input'!$M$148+'PTRM input'!$M$114)*$M$7)-SUM($M553:AH553),(('PTRM input'!$M$148+'PTRM input'!$M$114)*$M$7)/A6taxstdlife))</f>
        <v>0</v>
      </c>
      <c r="AJ553" s="590">
        <f>IF(A6taxstdlife="n/a","n/a",IF(AJ$3&gt;(A6taxstdlife+$E553),(('PTRM input'!$M$148+'PTRM input'!$M$114)*$M$7)-SUM($M553:AI553),(('PTRM input'!$M$148+'PTRM input'!$M$114)*$M$7)/A6taxstdlife))</f>
        <v>0</v>
      </c>
      <c r="AK553" s="590">
        <f>IF(A6taxstdlife="n/a","n/a",IF(AK$3&gt;(A6taxstdlife+$E553),(('PTRM input'!$M$148+'PTRM input'!$M$114)*$M$7)-SUM($M553:AJ553),(('PTRM input'!$M$148+'PTRM input'!$M$114)*$M$7)/A6taxstdlife))</f>
        <v>0</v>
      </c>
      <c r="AL553" s="590">
        <f>IF(A6taxstdlife="n/a","n/a",IF(AL$3&gt;(A6taxstdlife+$E553),(('PTRM input'!$M$148+'PTRM input'!$M$114)*$M$7)-SUM($M553:AK553),(('PTRM input'!$M$148+'PTRM input'!$M$114)*$M$7)/A6taxstdlife))</f>
        <v>0</v>
      </c>
      <c r="AM553" s="590">
        <f>IF(A6taxstdlife="n/a","n/a",IF(AM$3&gt;(A6taxstdlife+$E553),(('PTRM input'!$M$148+'PTRM input'!$M$114)*$M$7)-SUM($M553:AL553),(('PTRM input'!$M$148+'PTRM input'!$M$114)*$M$7)/A6taxstdlife))</f>
        <v>0</v>
      </c>
      <c r="AN553" s="590">
        <f>IF(A6taxstdlife="n/a","n/a",IF(AN$3&gt;(A6taxstdlife+$E553),(('PTRM input'!$M$148+'PTRM input'!$M$114)*$M$7)-SUM($M553:AM553),(('PTRM input'!$M$148+'PTRM input'!$M$114)*$M$7)/A6taxstdlife))</f>
        <v>0</v>
      </c>
      <c r="AO553" s="590">
        <f>IF(A6taxstdlife="n/a","n/a",IF(AO$3&gt;(A6taxstdlife+$E553),(('PTRM input'!$M$148+'PTRM input'!$M$114)*$M$7)-SUM($M553:AN553),(('PTRM input'!$M$148+'PTRM input'!$M$114)*$M$7)/A6taxstdlife))</f>
        <v>0</v>
      </c>
      <c r="AP553" s="590">
        <f>IF(A6taxstdlife="n/a","n/a",IF(AP$3&gt;(A6taxstdlife+$E553),(('PTRM input'!$M$148+'PTRM input'!$M$114)*$M$7)-SUM($M553:AO553),(('PTRM input'!$M$148+'PTRM input'!$M$114)*$M$7)/A6taxstdlife))</f>
        <v>0</v>
      </c>
      <c r="AQ553" s="590">
        <f>IF(A6taxstdlife="n/a","n/a",IF(AQ$3&gt;(A6taxstdlife+$E553),(('PTRM input'!$M$148+'PTRM input'!$M$114)*$M$7)-SUM($M553:AP553),(('PTRM input'!$M$148+'PTRM input'!$M$114)*$M$7)/A6taxstdlife))</f>
        <v>0</v>
      </c>
      <c r="AR553" s="590">
        <f>IF(A6taxstdlife="n/a","n/a",IF(AR$3&gt;(A6taxstdlife+$E553),(('PTRM input'!$M$148+'PTRM input'!$M$114)*$M$7)-SUM($M553:AQ553),(('PTRM input'!$M$148+'PTRM input'!$M$114)*$M$7)/A6taxstdlife))</f>
        <v>0</v>
      </c>
      <c r="AS553" s="590">
        <f>IF(A6taxstdlife="n/a","n/a",IF(AS$3&gt;(A6taxstdlife+$E553),(('PTRM input'!$M$148+'PTRM input'!$M$114)*$M$7)-SUM($M553:AR553),(('PTRM input'!$M$148+'PTRM input'!$M$114)*$M$7)/A6taxstdlife))</f>
        <v>0</v>
      </c>
      <c r="AT553" s="590">
        <f>IF(A6taxstdlife="n/a","n/a",IF(AT$3&gt;(A6taxstdlife+$E553),(('PTRM input'!$M$148+'PTRM input'!$M$114)*$M$7)-SUM($M553:AS553),(('PTRM input'!$M$148+'PTRM input'!$M$114)*$M$7)/A6taxstdlife))</f>
        <v>0</v>
      </c>
      <c r="AU553" s="590">
        <f>IF(A6taxstdlife="n/a","n/a",IF(AU$3&gt;(A6taxstdlife+$E553),(('PTRM input'!$M$148+'PTRM input'!$M$114)*$M$7)-SUM($M553:AT553),(('PTRM input'!$M$148+'PTRM input'!$M$114)*$M$7)/A6taxstdlife))</f>
        <v>0</v>
      </c>
      <c r="AV553" s="590">
        <f>IF(A6taxstdlife="n/a","n/a",IF(AV$3&gt;(A6taxstdlife+$E553),(('PTRM input'!$M$148+'PTRM input'!$M$114)*$M$7)-SUM($M553:AU553),(('PTRM input'!$M$148+'PTRM input'!$M$114)*$M$7)/A6taxstdlife))</f>
        <v>0</v>
      </c>
      <c r="AW553" s="590">
        <f>IF(A6taxstdlife="n/a","n/a",IF(AW$3&gt;(A6taxstdlife+$E553),(('PTRM input'!$M$148+'PTRM input'!$M$114)*$M$7)-SUM($M553:AV553),(('PTRM input'!$M$148+'PTRM input'!$M$114)*$M$7)/A6taxstdlife))</f>
        <v>0</v>
      </c>
      <c r="AX553" s="590">
        <f>IF(A6taxstdlife="n/a","n/a",IF(AX$3&gt;(A6taxstdlife+$E553),(('PTRM input'!$M$148+'PTRM input'!$M$114)*$M$7)-SUM($M553:AW553),(('PTRM input'!$M$148+'PTRM input'!$M$114)*$M$7)/A6taxstdlife))</f>
        <v>0</v>
      </c>
      <c r="AY553" s="590">
        <f>IF(A6taxstdlife="n/a","n/a",IF(AY$3&gt;(A6taxstdlife+$E553),(('PTRM input'!$M$148+'PTRM input'!$M$114)*$M$7)-SUM($M553:AX553),(('PTRM input'!$M$148+'PTRM input'!$M$114)*$M$7)/A6taxstdlife))</f>
        <v>0</v>
      </c>
      <c r="AZ553" s="590">
        <f>IF(A6taxstdlife="n/a","n/a",IF(AZ$3&gt;(A6taxstdlife+$E553),(('PTRM input'!$M$148+'PTRM input'!$M$114)*$M$7)-SUM($M553:AY553),(('PTRM input'!$M$148+'PTRM input'!$M$114)*$M$7)/A6taxstdlife))</f>
        <v>0</v>
      </c>
      <c r="BA553" s="590">
        <f>IF(A6taxstdlife="n/a","n/a",IF(BA$3&gt;(A6taxstdlife+$E553),(('PTRM input'!$M$148+'PTRM input'!$M$114)*$M$7)-SUM($M553:AZ553),(('PTRM input'!$M$148+'PTRM input'!$M$114)*$M$7)/A6taxstdlife))</f>
        <v>0</v>
      </c>
      <c r="BB553" s="590">
        <f>IF(A6taxstdlife="n/a","n/a",IF(BB$3&gt;(A6taxstdlife+$E553),(('PTRM input'!$M$148+'PTRM input'!$M$114)*$M$7)-SUM($M553:BA553),(('PTRM input'!$M$148+'PTRM input'!$M$114)*$M$7)/A6taxstdlife))</f>
        <v>0</v>
      </c>
      <c r="BC553" s="590">
        <f>IF(A6taxstdlife="n/a","n/a",IF(BC$3&gt;(A6taxstdlife+$E553),(('PTRM input'!$M$148+'PTRM input'!$M$114)*$M$7)-SUM($M553:BB553),(('PTRM input'!$M$148+'PTRM input'!$M$114)*$M$7)/A6taxstdlife))</f>
        <v>0</v>
      </c>
      <c r="BD553" s="590">
        <f>IF(A6taxstdlife="n/a","n/a",IF(BD$3&gt;(A6taxstdlife+$E553),(('PTRM input'!$M$148+'PTRM input'!$M$114)*$M$7)-SUM($M553:BC553),(('PTRM input'!$M$148+'PTRM input'!$M$114)*$M$7)/A6taxstdlife))</f>
        <v>0</v>
      </c>
      <c r="BE553" s="590">
        <f>IF(A6taxstdlife="n/a","n/a",IF(BE$3&gt;(A6taxstdlife+$E553),(('PTRM input'!$M$148+'PTRM input'!$M$114)*$M$7)-SUM($M553:BD553),(('PTRM input'!$M$148+'PTRM input'!$M$114)*$M$7)/A6taxstdlife))</f>
        <v>0</v>
      </c>
      <c r="BF553" s="590">
        <f>IF(A6taxstdlife="n/a","n/a",IF(BF$3&gt;(A6taxstdlife+$E553),(('PTRM input'!$M$148+'PTRM input'!$M$114)*$M$7)-SUM($M553:BE553),(('PTRM input'!$M$148+'PTRM input'!$M$114)*$M$7)/A6taxstdlife))</f>
        <v>0</v>
      </c>
      <c r="BG553" s="590">
        <f>IF(A6taxstdlife="n/a","n/a",IF(BG$3&gt;(A6taxstdlife+$E553),(('PTRM input'!$M$148+'PTRM input'!$M$114)*$M$7)-SUM($M553:BF553),(('PTRM input'!$M$148+'PTRM input'!$M$114)*$M$7)/A6taxstdlife))</f>
        <v>0</v>
      </c>
      <c r="BH553" s="590">
        <f>IF(A6taxstdlife="n/a","n/a",IF(BH$3&gt;(A6taxstdlife+$E553),(('PTRM input'!$M$148+'PTRM input'!$M$114)*$M$7)-SUM($M553:BG553),(('PTRM input'!$M$148+'PTRM input'!$M$114)*$M$7)/A6taxstdlife))</f>
        <v>0</v>
      </c>
      <c r="BI553" s="590">
        <f>IF(A6taxstdlife="n/a","n/a",IF(BI$3&gt;(A6taxstdlife+$E553),(('PTRM input'!$M$148+'PTRM input'!$M$114)*$M$7)-SUM($M553:BH553),(('PTRM input'!$M$148+'PTRM input'!$M$114)*$M$7)/A6taxstdlife))</f>
        <v>0</v>
      </c>
      <c r="BJ553" s="240"/>
      <c r="BK553" s="240"/>
      <c r="BL553" s="240"/>
      <c r="BM553" s="240"/>
    </row>
    <row r="554" spans="1:65" s="4" customFormat="1" hidden="1" outlineLevel="2">
      <c r="A554" s="240"/>
      <c r="B554" s="240"/>
      <c r="C554" s="595"/>
      <c r="D554" s="1618"/>
      <c r="E554" s="169">
        <v>8</v>
      </c>
      <c r="F554" s="35"/>
      <c r="G554" s="184"/>
      <c r="H554" s="186"/>
      <c r="I554" s="186"/>
      <c r="J554" s="186"/>
      <c r="K554" s="186"/>
      <c r="L554" s="186"/>
      <c r="M554" s="186"/>
      <c r="N554" s="185"/>
      <c r="O554" s="107">
        <f>IF(A6taxstdlife="n/a","n/a",IF(O$3&gt;(A6taxstdlife+$E554),(('PTRM input'!$N$148+'PTRM input'!$N$114)*$N$7)-SUM($N554:N554),(('PTRM input'!$N$148+'PTRM input'!$N$114)*$N$7)/A6taxstdlife))</f>
        <v>0</v>
      </c>
      <c r="P554" s="107">
        <f>IF(A6taxstdlife="n/a","n/a",IF(P$3&gt;(A6taxstdlife+$E554),(('PTRM input'!$N$148+'PTRM input'!$N$114)*$N$7)-SUM($N554:O554),(('PTRM input'!$N$148+'PTRM input'!$N$114)*$N$7)/A6taxstdlife))</f>
        <v>0</v>
      </c>
      <c r="Q554" s="590">
        <f>IF(A6taxstdlife="n/a","n/a",IF(Q$3&gt;(A6taxstdlife+$E554),(('PTRM input'!$N$148+'PTRM input'!$N$114)*$N$7)-SUM($N554:P554),(('PTRM input'!$N$148+'PTRM input'!$N$114)*$N$7)/A6taxstdlife))</f>
        <v>0</v>
      </c>
      <c r="R554" s="590">
        <f>IF(A6taxstdlife="n/a","n/a",IF(R$3&gt;(A6taxstdlife+$E554),(('PTRM input'!$N$148+'PTRM input'!$N$114)*$N$7)-SUM($N554:Q554),(('PTRM input'!$N$148+'PTRM input'!$N$114)*$N$7)/A6taxstdlife))</f>
        <v>0</v>
      </c>
      <c r="S554" s="590">
        <f>IF(A6taxstdlife="n/a","n/a",IF(S$3&gt;(A6taxstdlife+$E554),(('PTRM input'!$N$148+'PTRM input'!$N$114)*$N$7)-SUM($N554:R554),(('PTRM input'!$N$148+'PTRM input'!$N$114)*$N$7)/A6taxstdlife))</f>
        <v>0</v>
      </c>
      <c r="T554" s="590">
        <f>IF(A6taxstdlife="n/a","n/a",IF(T$3&gt;(A6taxstdlife+$E554),(('PTRM input'!$N$148+'PTRM input'!$N$114)*$N$7)-SUM($N554:S554),(('PTRM input'!$N$148+'PTRM input'!$N$114)*$N$7)/A6taxstdlife))</f>
        <v>0</v>
      </c>
      <c r="U554" s="590">
        <f>IF(A6taxstdlife="n/a","n/a",IF(U$3&gt;(A6taxstdlife+$E554),(('PTRM input'!$N$148+'PTRM input'!$N$114)*$N$7)-SUM($N554:T554),(('PTRM input'!$N$148+'PTRM input'!$N$114)*$N$7)/A6taxstdlife))</f>
        <v>0</v>
      </c>
      <c r="V554" s="590">
        <f>IF(A6taxstdlife="n/a","n/a",IF(V$3&gt;(A6taxstdlife+$E554),(('PTRM input'!$N$148+'PTRM input'!$N$114)*$N$7)-SUM($N554:U554),(('PTRM input'!$N$148+'PTRM input'!$N$114)*$N$7)/A6taxstdlife))</f>
        <v>0</v>
      </c>
      <c r="W554" s="590">
        <f>IF(A6taxstdlife="n/a","n/a",IF(W$3&gt;(A6taxstdlife+$E554),(('PTRM input'!$N$148+'PTRM input'!$N$114)*$N$7)-SUM($N554:V554),(('PTRM input'!$N$148+'PTRM input'!$N$114)*$N$7)/A6taxstdlife))</f>
        <v>0</v>
      </c>
      <c r="X554" s="590">
        <f>IF(A6taxstdlife="n/a","n/a",IF(X$3&gt;(A6taxstdlife+$E554),(('PTRM input'!$N$148+'PTRM input'!$N$114)*$N$7)-SUM($N554:W554),(('PTRM input'!$N$148+'PTRM input'!$N$114)*$N$7)/A6taxstdlife))</f>
        <v>0</v>
      </c>
      <c r="Y554" s="590">
        <f>IF(A6taxstdlife="n/a","n/a",IF(Y$3&gt;(A6taxstdlife+$E554),(('PTRM input'!$N$148+'PTRM input'!$N$114)*$N$7)-SUM($N554:X554),(('PTRM input'!$N$148+'PTRM input'!$N$114)*$N$7)/A6taxstdlife))</f>
        <v>0</v>
      </c>
      <c r="Z554" s="590">
        <f>IF(A6taxstdlife="n/a","n/a",IF(Z$3&gt;(A6taxstdlife+$E554),(('PTRM input'!$N$148+'PTRM input'!$N$114)*$N$7)-SUM($N554:Y554),(('PTRM input'!$N$148+'PTRM input'!$N$114)*$N$7)/A6taxstdlife))</f>
        <v>0</v>
      </c>
      <c r="AA554" s="590">
        <f>IF(A6taxstdlife="n/a","n/a",IF(AA$3&gt;(A6taxstdlife+$E554),(('PTRM input'!$N$148+'PTRM input'!$N$114)*$N$7)-SUM($N554:Z554),(('PTRM input'!$N$148+'PTRM input'!$N$114)*$N$7)/A6taxstdlife))</f>
        <v>0</v>
      </c>
      <c r="AB554" s="590">
        <f>IF(A6taxstdlife="n/a","n/a",IF(AB$3&gt;(A6taxstdlife+$E554),(('PTRM input'!$N$148+'PTRM input'!$N$114)*$N$7)-SUM($N554:AA554),(('PTRM input'!$N$148+'PTRM input'!$N$114)*$N$7)/A6taxstdlife))</f>
        <v>0</v>
      </c>
      <c r="AC554" s="590">
        <f>IF(A6taxstdlife="n/a","n/a",IF(AC$3&gt;(A6taxstdlife+$E554),(('PTRM input'!$N$148+'PTRM input'!$N$114)*$N$7)-SUM($N554:AB554),(('PTRM input'!$N$148+'PTRM input'!$N$114)*$N$7)/A6taxstdlife))</f>
        <v>0</v>
      </c>
      <c r="AD554" s="590">
        <f>IF(A6taxstdlife="n/a","n/a",IF(AD$3&gt;(A6taxstdlife+$E554),(('PTRM input'!$N$148+'PTRM input'!$N$114)*$N$7)-SUM($N554:AC554),(('PTRM input'!$N$148+'PTRM input'!$N$114)*$N$7)/A6taxstdlife))</f>
        <v>0</v>
      </c>
      <c r="AE554" s="590">
        <f>IF(A6taxstdlife="n/a","n/a",IF(AE$3&gt;(A6taxstdlife+$E554),(('PTRM input'!$N$148+'PTRM input'!$N$114)*$N$7)-SUM($N554:AD554),(('PTRM input'!$N$148+'PTRM input'!$N$114)*$N$7)/A6taxstdlife))</f>
        <v>0</v>
      </c>
      <c r="AF554" s="590">
        <f>IF(A6taxstdlife="n/a","n/a",IF(AF$3&gt;(A6taxstdlife+$E554),(('PTRM input'!$N$148+'PTRM input'!$N$114)*$N$7)-SUM($N554:AE554),(('PTRM input'!$N$148+'PTRM input'!$N$114)*$N$7)/A6taxstdlife))</f>
        <v>0</v>
      </c>
      <c r="AG554" s="590">
        <f>IF(A6taxstdlife="n/a","n/a",IF(AG$3&gt;(A6taxstdlife+$E554),(('PTRM input'!$N$148+'PTRM input'!$N$114)*$N$7)-SUM($N554:AF554),(('PTRM input'!$N$148+'PTRM input'!$N$114)*$N$7)/A6taxstdlife))</f>
        <v>0</v>
      </c>
      <c r="AH554" s="590">
        <f>IF(A6taxstdlife="n/a","n/a",IF(AH$3&gt;(A6taxstdlife+$E554),(('PTRM input'!$N$148+'PTRM input'!$N$114)*$N$7)-SUM($N554:AG554),(('PTRM input'!$N$148+'PTRM input'!$N$114)*$N$7)/A6taxstdlife))</f>
        <v>0</v>
      </c>
      <c r="AI554" s="590">
        <f>IF(A6taxstdlife="n/a","n/a",IF(AI$3&gt;(A6taxstdlife+$E554),(('PTRM input'!$N$148+'PTRM input'!$N$114)*$N$7)-SUM($N554:AH554),(('PTRM input'!$N$148+'PTRM input'!$N$114)*$N$7)/A6taxstdlife))</f>
        <v>0</v>
      </c>
      <c r="AJ554" s="590">
        <f>IF(A6taxstdlife="n/a","n/a",IF(AJ$3&gt;(A6taxstdlife+$E554),(('PTRM input'!$N$148+'PTRM input'!$N$114)*$N$7)-SUM($N554:AI554),(('PTRM input'!$N$148+'PTRM input'!$N$114)*$N$7)/A6taxstdlife))</f>
        <v>0</v>
      </c>
      <c r="AK554" s="590">
        <f>IF(A6taxstdlife="n/a","n/a",IF(AK$3&gt;(A6taxstdlife+$E554),(('PTRM input'!$N$148+'PTRM input'!$N$114)*$N$7)-SUM($N554:AJ554),(('PTRM input'!$N$148+'PTRM input'!$N$114)*$N$7)/A6taxstdlife))</f>
        <v>0</v>
      </c>
      <c r="AL554" s="590">
        <f>IF(A6taxstdlife="n/a","n/a",IF(AL$3&gt;(A6taxstdlife+$E554),(('PTRM input'!$N$148+'PTRM input'!$N$114)*$N$7)-SUM($N554:AK554),(('PTRM input'!$N$148+'PTRM input'!$N$114)*$N$7)/A6taxstdlife))</f>
        <v>0</v>
      </c>
      <c r="AM554" s="590">
        <f>IF(A6taxstdlife="n/a","n/a",IF(AM$3&gt;(A6taxstdlife+$E554),(('PTRM input'!$N$148+'PTRM input'!$N$114)*$N$7)-SUM($N554:AL554),(('PTRM input'!$N$148+'PTRM input'!$N$114)*$N$7)/A6taxstdlife))</f>
        <v>0</v>
      </c>
      <c r="AN554" s="590">
        <f>IF(A6taxstdlife="n/a","n/a",IF(AN$3&gt;(A6taxstdlife+$E554),(('PTRM input'!$N$148+'PTRM input'!$N$114)*$N$7)-SUM($N554:AM554),(('PTRM input'!$N$148+'PTRM input'!$N$114)*$N$7)/A6taxstdlife))</f>
        <v>0</v>
      </c>
      <c r="AO554" s="590">
        <f>IF(A6taxstdlife="n/a","n/a",IF(AO$3&gt;(A6taxstdlife+$E554),(('PTRM input'!$N$148+'PTRM input'!$N$114)*$N$7)-SUM($N554:AN554),(('PTRM input'!$N$148+'PTRM input'!$N$114)*$N$7)/A6taxstdlife))</f>
        <v>0</v>
      </c>
      <c r="AP554" s="590">
        <f>IF(A6taxstdlife="n/a","n/a",IF(AP$3&gt;(A6taxstdlife+$E554),(('PTRM input'!$N$148+'PTRM input'!$N$114)*$N$7)-SUM($N554:AO554),(('PTRM input'!$N$148+'PTRM input'!$N$114)*$N$7)/A6taxstdlife))</f>
        <v>0</v>
      </c>
      <c r="AQ554" s="590">
        <f>IF(A6taxstdlife="n/a","n/a",IF(AQ$3&gt;(A6taxstdlife+$E554),(('PTRM input'!$N$148+'PTRM input'!$N$114)*$N$7)-SUM($N554:AP554),(('PTRM input'!$N$148+'PTRM input'!$N$114)*$N$7)/A6taxstdlife))</f>
        <v>0</v>
      </c>
      <c r="AR554" s="590">
        <f>IF(A6taxstdlife="n/a","n/a",IF(AR$3&gt;(A6taxstdlife+$E554),(('PTRM input'!$N$148+'PTRM input'!$N$114)*$N$7)-SUM($N554:AQ554),(('PTRM input'!$N$148+'PTRM input'!$N$114)*$N$7)/A6taxstdlife))</f>
        <v>0</v>
      </c>
      <c r="AS554" s="590">
        <f>IF(A6taxstdlife="n/a","n/a",IF(AS$3&gt;(A6taxstdlife+$E554),(('PTRM input'!$N$148+'PTRM input'!$N$114)*$N$7)-SUM($N554:AR554),(('PTRM input'!$N$148+'PTRM input'!$N$114)*$N$7)/A6taxstdlife))</f>
        <v>0</v>
      </c>
      <c r="AT554" s="590">
        <f>IF(A6taxstdlife="n/a","n/a",IF(AT$3&gt;(A6taxstdlife+$E554),(('PTRM input'!$N$148+'PTRM input'!$N$114)*$N$7)-SUM($N554:AS554),(('PTRM input'!$N$148+'PTRM input'!$N$114)*$N$7)/A6taxstdlife))</f>
        <v>0</v>
      </c>
      <c r="AU554" s="590">
        <f>IF(A6taxstdlife="n/a","n/a",IF(AU$3&gt;(A6taxstdlife+$E554),(('PTRM input'!$N$148+'PTRM input'!$N$114)*$N$7)-SUM($N554:AT554),(('PTRM input'!$N$148+'PTRM input'!$N$114)*$N$7)/A6taxstdlife))</f>
        <v>0</v>
      </c>
      <c r="AV554" s="590">
        <f>IF(A6taxstdlife="n/a","n/a",IF(AV$3&gt;(A6taxstdlife+$E554),(('PTRM input'!$N$148+'PTRM input'!$N$114)*$N$7)-SUM($N554:AU554),(('PTRM input'!$N$148+'PTRM input'!$N$114)*$N$7)/A6taxstdlife))</f>
        <v>0</v>
      </c>
      <c r="AW554" s="590">
        <f>IF(A6taxstdlife="n/a","n/a",IF(AW$3&gt;(A6taxstdlife+$E554),(('PTRM input'!$N$148+'PTRM input'!$N$114)*$N$7)-SUM($N554:AV554),(('PTRM input'!$N$148+'PTRM input'!$N$114)*$N$7)/A6taxstdlife))</f>
        <v>0</v>
      </c>
      <c r="AX554" s="590">
        <f>IF(A6taxstdlife="n/a","n/a",IF(AX$3&gt;(A6taxstdlife+$E554),(('PTRM input'!$N$148+'PTRM input'!$N$114)*$N$7)-SUM($N554:AW554),(('PTRM input'!$N$148+'PTRM input'!$N$114)*$N$7)/A6taxstdlife))</f>
        <v>0</v>
      </c>
      <c r="AY554" s="590">
        <f>IF(A6taxstdlife="n/a","n/a",IF(AY$3&gt;(A6taxstdlife+$E554),(('PTRM input'!$N$148+'PTRM input'!$N$114)*$N$7)-SUM($N554:AX554),(('PTRM input'!$N$148+'PTRM input'!$N$114)*$N$7)/A6taxstdlife))</f>
        <v>0</v>
      </c>
      <c r="AZ554" s="590">
        <f>IF(A6taxstdlife="n/a","n/a",IF(AZ$3&gt;(A6taxstdlife+$E554),(('PTRM input'!$N$148+'PTRM input'!$N$114)*$N$7)-SUM($N554:AY554),(('PTRM input'!$N$148+'PTRM input'!$N$114)*$N$7)/A6taxstdlife))</f>
        <v>0</v>
      </c>
      <c r="BA554" s="590">
        <f>IF(A6taxstdlife="n/a","n/a",IF(BA$3&gt;(A6taxstdlife+$E554),(('PTRM input'!$N$148+'PTRM input'!$N$114)*$N$7)-SUM($N554:AZ554),(('PTRM input'!$N$148+'PTRM input'!$N$114)*$N$7)/A6taxstdlife))</f>
        <v>0</v>
      </c>
      <c r="BB554" s="590">
        <f>IF(A6taxstdlife="n/a","n/a",IF(BB$3&gt;(A6taxstdlife+$E554),(('PTRM input'!$N$148+'PTRM input'!$N$114)*$N$7)-SUM($N554:BA554),(('PTRM input'!$N$148+'PTRM input'!$N$114)*$N$7)/A6taxstdlife))</f>
        <v>0</v>
      </c>
      <c r="BC554" s="590">
        <f>IF(A6taxstdlife="n/a","n/a",IF(BC$3&gt;(A6taxstdlife+$E554),(('PTRM input'!$N$148+'PTRM input'!$N$114)*$N$7)-SUM($N554:BB554),(('PTRM input'!$N$148+'PTRM input'!$N$114)*$N$7)/A6taxstdlife))</f>
        <v>0</v>
      </c>
      <c r="BD554" s="590">
        <f>IF(A6taxstdlife="n/a","n/a",IF(BD$3&gt;(A6taxstdlife+$E554),(('PTRM input'!$N$148+'PTRM input'!$N$114)*$N$7)-SUM($N554:BC554),(('PTRM input'!$N$148+'PTRM input'!$N$114)*$N$7)/A6taxstdlife))</f>
        <v>0</v>
      </c>
      <c r="BE554" s="590">
        <f>IF(A6taxstdlife="n/a","n/a",IF(BE$3&gt;(A6taxstdlife+$E554),(('PTRM input'!$N$148+'PTRM input'!$N$114)*$N$7)-SUM($N554:BD554),(('PTRM input'!$N$148+'PTRM input'!$N$114)*$N$7)/A6taxstdlife))</f>
        <v>0</v>
      </c>
      <c r="BF554" s="590">
        <f>IF(A6taxstdlife="n/a","n/a",IF(BF$3&gt;(A6taxstdlife+$E554),(('PTRM input'!$N$148+'PTRM input'!$N$114)*$N$7)-SUM($N554:BE554),(('PTRM input'!$N$148+'PTRM input'!$N$114)*$N$7)/A6taxstdlife))</f>
        <v>0</v>
      </c>
      <c r="BG554" s="590">
        <f>IF(A6taxstdlife="n/a","n/a",IF(BG$3&gt;(A6taxstdlife+$E554),(('PTRM input'!$N$148+'PTRM input'!$N$114)*$N$7)-SUM($N554:BF554),(('PTRM input'!$N$148+'PTRM input'!$N$114)*$N$7)/A6taxstdlife))</f>
        <v>0</v>
      </c>
      <c r="BH554" s="590">
        <f>IF(A6taxstdlife="n/a","n/a",IF(BH$3&gt;(A6taxstdlife+$E554),(('PTRM input'!$N$148+'PTRM input'!$N$114)*$N$7)-SUM($N554:BG554),(('PTRM input'!$N$148+'PTRM input'!$N$114)*$N$7)/A6taxstdlife))</f>
        <v>0</v>
      </c>
      <c r="BI554" s="590">
        <f>IF(A6taxstdlife="n/a","n/a",IF(BI$3&gt;(A6taxstdlife+$E554),(('PTRM input'!$N$148+'PTRM input'!$N$114)*$N$7)-SUM($N554:BH554),(('PTRM input'!$N$148+'PTRM input'!$N$114)*$N$7)/A6taxstdlife))</f>
        <v>0</v>
      </c>
      <c r="BJ554" s="240"/>
      <c r="BK554" s="240"/>
      <c r="BL554" s="240"/>
      <c r="BM554" s="240"/>
    </row>
    <row r="555" spans="1:65" s="4" customFormat="1" hidden="1" outlineLevel="2">
      <c r="A555" s="240"/>
      <c r="B555" s="240"/>
      <c r="C555" s="595"/>
      <c r="D555" s="1618"/>
      <c r="E555" s="169">
        <v>9</v>
      </c>
      <c r="F555" s="35"/>
      <c r="G555" s="184"/>
      <c r="H555" s="186"/>
      <c r="I555" s="186"/>
      <c r="J555" s="186"/>
      <c r="K555" s="186"/>
      <c r="L555" s="186"/>
      <c r="M555" s="186"/>
      <c r="N555" s="186"/>
      <c r="O555" s="185"/>
      <c r="P555" s="107">
        <f>IF(A6taxstdlife="n/a","n/a",IF(P$3&gt;(A6taxstdlife+$E555),(('PTRM input'!$O$148+'PTRM input'!$O$114)*$O$7)-SUM($O555:O555),(('PTRM input'!$O$148+'PTRM input'!$O$114)*$O$7)/A6taxstdlife))</f>
        <v>0</v>
      </c>
      <c r="Q555" s="590">
        <f>IF(A6taxstdlife="n/a","n/a",IF(Q$3&gt;(A6taxstdlife+$E555),(('PTRM input'!$O$148+'PTRM input'!$O$114)*$O$7)-SUM($O555:P555),(('PTRM input'!$O$148+'PTRM input'!$O$114)*$O$7)/A6taxstdlife))</f>
        <v>0</v>
      </c>
      <c r="R555" s="590">
        <f>IF(A6taxstdlife="n/a","n/a",IF(R$3&gt;(A6taxstdlife+$E555),(('PTRM input'!$O$148+'PTRM input'!$O$114)*$O$7)-SUM($O555:Q555),(('PTRM input'!$O$148+'PTRM input'!$O$114)*$O$7)/A6taxstdlife))</f>
        <v>0</v>
      </c>
      <c r="S555" s="590">
        <f>IF(A6taxstdlife="n/a","n/a",IF(S$3&gt;(A6taxstdlife+$E555),(('PTRM input'!$O$148+'PTRM input'!$O$114)*$O$7)-SUM($O555:R555),(('PTRM input'!$O$148+'PTRM input'!$O$114)*$O$7)/A6taxstdlife))</f>
        <v>0</v>
      </c>
      <c r="T555" s="590">
        <f>IF(A6taxstdlife="n/a","n/a",IF(T$3&gt;(A6taxstdlife+$E555),(('PTRM input'!$O$148+'PTRM input'!$O$114)*$O$7)-SUM($O555:S555),(('PTRM input'!$O$148+'PTRM input'!$O$114)*$O$7)/A6taxstdlife))</f>
        <v>0</v>
      </c>
      <c r="U555" s="590">
        <f>IF(A6taxstdlife="n/a","n/a",IF(U$3&gt;(A6taxstdlife+$E555),(('PTRM input'!$O$148+'PTRM input'!$O$114)*$O$7)-SUM($O555:T555),(('PTRM input'!$O$148+'PTRM input'!$O$114)*$O$7)/A6taxstdlife))</f>
        <v>0</v>
      </c>
      <c r="V555" s="590">
        <f>IF(A6taxstdlife="n/a","n/a",IF(V$3&gt;(A6taxstdlife+$E555),(('PTRM input'!$O$148+'PTRM input'!$O$114)*$O$7)-SUM($O555:U555),(('PTRM input'!$O$148+'PTRM input'!$O$114)*$O$7)/A6taxstdlife))</f>
        <v>0</v>
      </c>
      <c r="W555" s="590">
        <f>IF(A6taxstdlife="n/a","n/a",IF(W$3&gt;(A6taxstdlife+$E555),(('PTRM input'!$O$148+'PTRM input'!$O$114)*$O$7)-SUM($O555:V555),(('PTRM input'!$O$148+'PTRM input'!$O$114)*$O$7)/A6taxstdlife))</f>
        <v>0</v>
      </c>
      <c r="X555" s="590">
        <f>IF(A6taxstdlife="n/a","n/a",IF(X$3&gt;(A6taxstdlife+$E555),(('PTRM input'!$O$148+'PTRM input'!$O$114)*$O$7)-SUM($O555:W555),(('PTRM input'!$O$148+'PTRM input'!$O$114)*$O$7)/A6taxstdlife))</f>
        <v>0</v>
      </c>
      <c r="Y555" s="590">
        <f>IF(A6taxstdlife="n/a","n/a",IF(Y$3&gt;(A6taxstdlife+$E555),(('PTRM input'!$O$148+'PTRM input'!$O$114)*$O$7)-SUM($O555:X555),(('PTRM input'!$O$148+'PTRM input'!$O$114)*$O$7)/A6taxstdlife))</f>
        <v>0</v>
      </c>
      <c r="Z555" s="590">
        <f>IF(A6taxstdlife="n/a","n/a",IF(Z$3&gt;(A6taxstdlife+$E555),(('PTRM input'!$O$148+'PTRM input'!$O$114)*$O$7)-SUM($O555:Y555),(('PTRM input'!$O$148+'PTRM input'!$O$114)*$O$7)/A6taxstdlife))</f>
        <v>0</v>
      </c>
      <c r="AA555" s="590">
        <f>IF(A6taxstdlife="n/a","n/a",IF(AA$3&gt;(A6taxstdlife+$E555),(('PTRM input'!$O$148+'PTRM input'!$O$114)*$O$7)-SUM($O555:Z555),(('PTRM input'!$O$148+'PTRM input'!$O$114)*$O$7)/A6taxstdlife))</f>
        <v>0</v>
      </c>
      <c r="AB555" s="590">
        <f>IF(A6taxstdlife="n/a","n/a",IF(AB$3&gt;(A6taxstdlife+$E555),(('PTRM input'!$O$148+'PTRM input'!$O$114)*$O$7)-SUM($O555:AA555),(('PTRM input'!$O$148+'PTRM input'!$O$114)*$O$7)/A6taxstdlife))</f>
        <v>0</v>
      </c>
      <c r="AC555" s="590">
        <f>IF(A6taxstdlife="n/a","n/a",IF(AC$3&gt;(A6taxstdlife+$E555),(('PTRM input'!$O$148+'PTRM input'!$O$114)*$O$7)-SUM($O555:AB555),(('PTRM input'!$O$148+'PTRM input'!$O$114)*$O$7)/A6taxstdlife))</f>
        <v>0</v>
      </c>
      <c r="AD555" s="590">
        <f>IF(A6taxstdlife="n/a","n/a",IF(AD$3&gt;(A6taxstdlife+$E555),(('PTRM input'!$O$148+'PTRM input'!$O$114)*$O$7)-SUM($O555:AC555),(('PTRM input'!$O$148+'PTRM input'!$O$114)*$O$7)/A6taxstdlife))</f>
        <v>0</v>
      </c>
      <c r="AE555" s="590">
        <f>IF(A6taxstdlife="n/a","n/a",IF(AE$3&gt;(A6taxstdlife+$E555),(('PTRM input'!$O$148+'PTRM input'!$O$114)*$O$7)-SUM($O555:AD555),(('PTRM input'!$O$148+'PTRM input'!$O$114)*$O$7)/A6taxstdlife))</f>
        <v>0</v>
      </c>
      <c r="AF555" s="590">
        <f>IF(A6taxstdlife="n/a","n/a",IF(AF$3&gt;(A6taxstdlife+$E555),(('PTRM input'!$O$148+'PTRM input'!$O$114)*$O$7)-SUM($O555:AE555),(('PTRM input'!$O$148+'PTRM input'!$O$114)*$O$7)/A6taxstdlife))</f>
        <v>0</v>
      </c>
      <c r="AG555" s="590">
        <f>IF(A6taxstdlife="n/a","n/a",IF(AG$3&gt;(A6taxstdlife+$E555),(('PTRM input'!$O$148+'PTRM input'!$O$114)*$O$7)-SUM($O555:AF555),(('PTRM input'!$O$148+'PTRM input'!$O$114)*$O$7)/A6taxstdlife))</f>
        <v>0</v>
      </c>
      <c r="AH555" s="590">
        <f>IF(A6taxstdlife="n/a","n/a",IF(AH$3&gt;(A6taxstdlife+$E555),(('PTRM input'!$O$148+'PTRM input'!$O$114)*$O$7)-SUM($O555:AG555),(('PTRM input'!$O$148+'PTRM input'!$O$114)*$O$7)/A6taxstdlife))</f>
        <v>0</v>
      </c>
      <c r="AI555" s="590">
        <f>IF(A6taxstdlife="n/a","n/a",IF(AI$3&gt;(A6taxstdlife+$E555),(('PTRM input'!$O$148+'PTRM input'!$O$114)*$O$7)-SUM($O555:AH555),(('PTRM input'!$O$148+'PTRM input'!$O$114)*$O$7)/A6taxstdlife))</f>
        <v>0</v>
      </c>
      <c r="AJ555" s="590">
        <f>IF(A6taxstdlife="n/a","n/a",IF(AJ$3&gt;(A6taxstdlife+$E555),(('PTRM input'!$O$148+'PTRM input'!$O$114)*$O$7)-SUM($O555:AI555),(('PTRM input'!$O$148+'PTRM input'!$O$114)*$O$7)/A6taxstdlife))</f>
        <v>0</v>
      </c>
      <c r="AK555" s="590">
        <f>IF(A6taxstdlife="n/a","n/a",IF(AK$3&gt;(A6taxstdlife+$E555),(('PTRM input'!$O$148+'PTRM input'!$O$114)*$O$7)-SUM($O555:AJ555),(('PTRM input'!$O$148+'PTRM input'!$O$114)*$O$7)/A6taxstdlife))</f>
        <v>0</v>
      </c>
      <c r="AL555" s="590">
        <f>IF(A6taxstdlife="n/a","n/a",IF(AL$3&gt;(A6taxstdlife+$E555),(('PTRM input'!$O$148+'PTRM input'!$O$114)*$O$7)-SUM($O555:AK555),(('PTRM input'!$O$148+'PTRM input'!$O$114)*$O$7)/A6taxstdlife))</f>
        <v>0</v>
      </c>
      <c r="AM555" s="590">
        <f>IF(A6taxstdlife="n/a","n/a",IF(AM$3&gt;(A6taxstdlife+$E555),(('PTRM input'!$O$148+'PTRM input'!$O$114)*$O$7)-SUM($O555:AL555),(('PTRM input'!$O$148+'PTRM input'!$O$114)*$O$7)/A6taxstdlife))</f>
        <v>0</v>
      </c>
      <c r="AN555" s="590">
        <f>IF(A6taxstdlife="n/a","n/a",IF(AN$3&gt;(A6taxstdlife+$E555),(('PTRM input'!$O$148+'PTRM input'!$O$114)*$O$7)-SUM($O555:AM555),(('PTRM input'!$O$148+'PTRM input'!$O$114)*$O$7)/A6taxstdlife))</f>
        <v>0</v>
      </c>
      <c r="AO555" s="590">
        <f>IF(A6taxstdlife="n/a","n/a",IF(AO$3&gt;(A6taxstdlife+$E555),(('PTRM input'!$O$148+'PTRM input'!$O$114)*$O$7)-SUM($O555:AN555),(('PTRM input'!$O$148+'PTRM input'!$O$114)*$O$7)/A6taxstdlife))</f>
        <v>0</v>
      </c>
      <c r="AP555" s="590">
        <f>IF(A6taxstdlife="n/a","n/a",IF(AP$3&gt;(A6taxstdlife+$E555),(('PTRM input'!$O$148+'PTRM input'!$O$114)*$O$7)-SUM($O555:AO555),(('PTRM input'!$O$148+'PTRM input'!$O$114)*$O$7)/A6taxstdlife))</f>
        <v>0</v>
      </c>
      <c r="AQ555" s="590">
        <f>IF(A6taxstdlife="n/a","n/a",IF(AQ$3&gt;(A6taxstdlife+$E555),(('PTRM input'!$O$148+'PTRM input'!$O$114)*$O$7)-SUM($O555:AP555),(('PTRM input'!$O$148+'PTRM input'!$O$114)*$O$7)/A6taxstdlife))</f>
        <v>0</v>
      </c>
      <c r="AR555" s="590">
        <f>IF(A6taxstdlife="n/a","n/a",IF(AR$3&gt;(A6taxstdlife+$E555),(('PTRM input'!$O$148+'PTRM input'!$O$114)*$O$7)-SUM($O555:AQ555),(('PTRM input'!$O$148+'PTRM input'!$O$114)*$O$7)/A6taxstdlife))</f>
        <v>0</v>
      </c>
      <c r="AS555" s="590">
        <f>IF(A6taxstdlife="n/a","n/a",IF(AS$3&gt;(A6taxstdlife+$E555),(('PTRM input'!$O$148+'PTRM input'!$O$114)*$O$7)-SUM($O555:AR555),(('PTRM input'!$O$148+'PTRM input'!$O$114)*$O$7)/A6taxstdlife))</f>
        <v>0</v>
      </c>
      <c r="AT555" s="590">
        <f>IF(A6taxstdlife="n/a","n/a",IF(AT$3&gt;(A6taxstdlife+$E555),(('PTRM input'!$O$148+'PTRM input'!$O$114)*$O$7)-SUM($O555:AS555),(('PTRM input'!$O$148+'PTRM input'!$O$114)*$O$7)/A6taxstdlife))</f>
        <v>0</v>
      </c>
      <c r="AU555" s="590">
        <f>IF(A6taxstdlife="n/a","n/a",IF(AU$3&gt;(A6taxstdlife+$E555),(('PTRM input'!$O$148+'PTRM input'!$O$114)*$O$7)-SUM($O555:AT555),(('PTRM input'!$O$148+'PTRM input'!$O$114)*$O$7)/A6taxstdlife))</f>
        <v>0</v>
      </c>
      <c r="AV555" s="590">
        <f>IF(A6taxstdlife="n/a","n/a",IF(AV$3&gt;(A6taxstdlife+$E555),(('PTRM input'!$O$148+'PTRM input'!$O$114)*$O$7)-SUM($O555:AU555),(('PTRM input'!$O$148+'PTRM input'!$O$114)*$O$7)/A6taxstdlife))</f>
        <v>0</v>
      </c>
      <c r="AW555" s="590">
        <f>IF(A6taxstdlife="n/a","n/a",IF(AW$3&gt;(A6taxstdlife+$E555),(('PTRM input'!$O$148+'PTRM input'!$O$114)*$O$7)-SUM($O555:AV555),(('PTRM input'!$O$148+'PTRM input'!$O$114)*$O$7)/A6taxstdlife))</f>
        <v>0</v>
      </c>
      <c r="AX555" s="590">
        <f>IF(A6taxstdlife="n/a","n/a",IF(AX$3&gt;(A6taxstdlife+$E555),(('PTRM input'!$O$148+'PTRM input'!$O$114)*$O$7)-SUM($O555:AW555),(('PTRM input'!$O$148+'PTRM input'!$O$114)*$O$7)/A6taxstdlife))</f>
        <v>0</v>
      </c>
      <c r="AY555" s="590">
        <f>IF(A6taxstdlife="n/a","n/a",IF(AY$3&gt;(A6taxstdlife+$E555),(('PTRM input'!$O$148+'PTRM input'!$O$114)*$O$7)-SUM($O555:AX555),(('PTRM input'!$O$148+'PTRM input'!$O$114)*$O$7)/A6taxstdlife))</f>
        <v>0</v>
      </c>
      <c r="AZ555" s="590">
        <f>IF(A6taxstdlife="n/a","n/a",IF(AZ$3&gt;(A6taxstdlife+$E555),(('PTRM input'!$O$148+'PTRM input'!$O$114)*$O$7)-SUM($O555:AY555),(('PTRM input'!$O$148+'PTRM input'!$O$114)*$O$7)/A6taxstdlife))</f>
        <v>0</v>
      </c>
      <c r="BA555" s="590">
        <f>IF(A6taxstdlife="n/a","n/a",IF(BA$3&gt;(A6taxstdlife+$E555),(('PTRM input'!$O$148+'PTRM input'!$O$114)*$O$7)-SUM($O555:AZ555),(('PTRM input'!$O$148+'PTRM input'!$O$114)*$O$7)/A6taxstdlife))</f>
        <v>0</v>
      </c>
      <c r="BB555" s="590">
        <f>IF(A6taxstdlife="n/a","n/a",IF(BB$3&gt;(A6taxstdlife+$E555),(('PTRM input'!$O$148+'PTRM input'!$O$114)*$O$7)-SUM($O555:BA555),(('PTRM input'!$O$148+'PTRM input'!$O$114)*$O$7)/A6taxstdlife))</f>
        <v>0</v>
      </c>
      <c r="BC555" s="590">
        <f>IF(A6taxstdlife="n/a","n/a",IF(BC$3&gt;(A6taxstdlife+$E555),(('PTRM input'!$O$148+'PTRM input'!$O$114)*$O$7)-SUM($O555:BB555),(('PTRM input'!$O$148+'PTRM input'!$O$114)*$O$7)/A6taxstdlife))</f>
        <v>0</v>
      </c>
      <c r="BD555" s="590">
        <f>IF(A6taxstdlife="n/a","n/a",IF(BD$3&gt;(A6taxstdlife+$E555),(('PTRM input'!$O$148+'PTRM input'!$O$114)*$O$7)-SUM($O555:BC555),(('PTRM input'!$O$148+'PTRM input'!$O$114)*$O$7)/A6taxstdlife))</f>
        <v>0</v>
      </c>
      <c r="BE555" s="590">
        <f>IF(A6taxstdlife="n/a","n/a",IF(BE$3&gt;(A6taxstdlife+$E555),(('PTRM input'!$O$148+'PTRM input'!$O$114)*$O$7)-SUM($O555:BD555),(('PTRM input'!$O$148+'PTRM input'!$O$114)*$O$7)/A6taxstdlife))</f>
        <v>0</v>
      </c>
      <c r="BF555" s="590">
        <f>IF(A6taxstdlife="n/a","n/a",IF(BF$3&gt;(A6taxstdlife+$E555),(('PTRM input'!$O$148+'PTRM input'!$O$114)*$O$7)-SUM($O555:BE555),(('PTRM input'!$O$148+'PTRM input'!$O$114)*$O$7)/A6taxstdlife))</f>
        <v>0</v>
      </c>
      <c r="BG555" s="590">
        <f>IF(A6taxstdlife="n/a","n/a",IF(BG$3&gt;(A6taxstdlife+$E555),(('PTRM input'!$O$148+'PTRM input'!$O$114)*$O$7)-SUM($O555:BF555),(('PTRM input'!$O$148+'PTRM input'!$O$114)*$O$7)/A6taxstdlife))</f>
        <v>0</v>
      </c>
      <c r="BH555" s="590">
        <f>IF(A6taxstdlife="n/a","n/a",IF(BH$3&gt;(A6taxstdlife+$E555),(('PTRM input'!$O$148+'PTRM input'!$O$114)*$O$7)-SUM($O555:BG555),(('PTRM input'!$O$148+'PTRM input'!$O$114)*$O$7)/A6taxstdlife))</f>
        <v>0</v>
      </c>
      <c r="BI555" s="590">
        <f>IF(A6taxstdlife="n/a","n/a",IF(BI$3&gt;(A6taxstdlife+$E555),(('PTRM input'!$O$148+'PTRM input'!$O$114)*$O$7)-SUM($O555:BH555),(('PTRM input'!$O$148+'PTRM input'!$O$114)*$O$7)/A6taxstdlife))</f>
        <v>0</v>
      </c>
      <c r="BJ555" s="240"/>
      <c r="BK555" s="240"/>
      <c r="BL555" s="240"/>
      <c r="BM555" s="240"/>
    </row>
    <row r="556" spans="1:65" s="4" customFormat="1" hidden="1" outlineLevel="2">
      <c r="A556" s="240"/>
      <c r="B556" s="240"/>
      <c r="C556" s="595"/>
      <c r="D556" s="1618"/>
      <c r="E556" s="170">
        <v>10</v>
      </c>
      <c r="F556" s="35"/>
      <c r="G556" s="184"/>
      <c r="H556" s="186"/>
      <c r="I556" s="186"/>
      <c r="J556" s="186"/>
      <c r="K556" s="186"/>
      <c r="L556" s="186"/>
      <c r="M556" s="186"/>
      <c r="N556" s="186"/>
      <c r="O556" s="186"/>
      <c r="P556" s="185"/>
      <c r="Q556" s="590">
        <f>IF(A6taxstdlife="n/a","n/a",IF(Q$3&gt;(A6taxstdlife+$E556),(('PTRM input'!$P$148+'PTRM input'!$P$114)*$P$7)-SUM($P556:P556),(('PTRM input'!$P$148+'PTRM input'!$P$114)*$P$7)/A6taxstdlife))</f>
        <v>0</v>
      </c>
      <c r="R556" s="590">
        <f>IF(A6taxstdlife="n/a","n/a",IF(R$3&gt;(A6taxstdlife+$E556),(('PTRM input'!$P$148+'PTRM input'!$P$114)*$P$7)-SUM($P556:Q556),(('PTRM input'!$P$148+'PTRM input'!$P$114)*$P$7)/A6taxstdlife))</f>
        <v>0</v>
      </c>
      <c r="S556" s="590">
        <f>IF(A6taxstdlife="n/a","n/a",IF(S$3&gt;(A6taxstdlife+$E556),(('PTRM input'!$P$148+'PTRM input'!$P$114)*$P$7)-SUM($P556:R556),(('PTRM input'!$P$148+'PTRM input'!$P$114)*$P$7)/A6taxstdlife))</f>
        <v>0</v>
      </c>
      <c r="T556" s="590">
        <f>IF(A6taxstdlife="n/a","n/a",IF(T$3&gt;(A6taxstdlife+$E556),(('PTRM input'!$P$148+'PTRM input'!$P$114)*$P$7)-SUM($P556:S556),(('PTRM input'!$P$148+'PTRM input'!$P$114)*$P$7)/A6taxstdlife))</f>
        <v>0</v>
      </c>
      <c r="U556" s="590">
        <f>IF(A6taxstdlife="n/a","n/a",IF(U$3&gt;(A6taxstdlife+$E556),(('PTRM input'!$P$148+'PTRM input'!$P$114)*$P$7)-SUM($P556:T556),(('PTRM input'!$P$148+'PTRM input'!$P$114)*$P$7)/A6taxstdlife))</f>
        <v>0</v>
      </c>
      <c r="V556" s="590">
        <f>IF(A6taxstdlife="n/a","n/a",IF(V$3&gt;(A6taxstdlife+$E556),(('PTRM input'!$P$148+'PTRM input'!$P$114)*$P$7)-SUM($P556:U556),(('PTRM input'!$P$148+'PTRM input'!$P$114)*$P$7)/A6taxstdlife))</f>
        <v>0</v>
      </c>
      <c r="W556" s="590">
        <f>IF(A6taxstdlife="n/a","n/a",IF(W$3&gt;(A6taxstdlife+$E556),(('PTRM input'!$P$148+'PTRM input'!$P$114)*$P$7)-SUM($P556:V556),(('PTRM input'!$P$148+'PTRM input'!$P$114)*$P$7)/A6taxstdlife))</f>
        <v>0</v>
      </c>
      <c r="X556" s="590">
        <f>IF(A6taxstdlife="n/a","n/a",IF(X$3&gt;(A6taxstdlife+$E556),(('PTRM input'!$P$148+'PTRM input'!$P$114)*$P$7)-SUM($P556:W556),(('PTRM input'!$P$148+'PTRM input'!$P$114)*$P$7)/A6taxstdlife))</f>
        <v>0</v>
      </c>
      <c r="Y556" s="590">
        <f>IF(A6taxstdlife="n/a","n/a",IF(Y$3&gt;(A6taxstdlife+$E556),(('PTRM input'!$P$148+'PTRM input'!$P$114)*$P$7)-SUM($P556:X556),(('PTRM input'!$P$148+'PTRM input'!$P$114)*$P$7)/A6taxstdlife))</f>
        <v>0</v>
      </c>
      <c r="Z556" s="590">
        <f>IF(A6taxstdlife="n/a","n/a",IF(Z$3&gt;(A6taxstdlife+$E556),(('PTRM input'!$P$148+'PTRM input'!$P$114)*$P$7)-SUM($P556:Y556),(('PTRM input'!$P$148+'PTRM input'!$P$114)*$P$7)/A6taxstdlife))</f>
        <v>0</v>
      </c>
      <c r="AA556" s="590">
        <f>IF(A6taxstdlife="n/a","n/a",IF(AA$3&gt;(A6taxstdlife+$E556),(('PTRM input'!$P$148+'PTRM input'!$P$114)*$P$7)-SUM($P556:Z556),(('PTRM input'!$P$148+'PTRM input'!$P$114)*$P$7)/A6taxstdlife))</f>
        <v>0</v>
      </c>
      <c r="AB556" s="590">
        <f>IF(A6taxstdlife="n/a","n/a",IF(AB$3&gt;(A6taxstdlife+$E556),(('PTRM input'!$P$148+'PTRM input'!$P$114)*$P$7)-SUM($P556:AA556),(('PTRM input'!$P$148+'PTRM input'!$P$114)*$P$7)/A6taxstdlife))</f>
        <v>0</v>
      </c>
      <c r="AC556" s="590">
        <f>IF(A6taxstdlife="n/a","n/a",IF(AC$3&gt;(A6taxstdlife+$E556),(('PTRM input'!$P$148+'PTRM input'!$P$114)*$P$7)-SUM($P556:AB556),(('PTRM input'!$P$148+'PTRM input'!$P$114)*$P$7)/A6taxstdlife))</f>
        <v>0</v>
      </c>
      <c r="AD556" s="590">
        <f>IF(A6taxstdlife="n/a","n/a",IF(AD$3&gt;(A6taxstdlife+$E556),(('PTRM input'!$P$148+'PTRM input'!$P$114)*$P$7)-SUM($P556:AC556),(('PTRM input'!$P$148+'PTRM input'!$P$114)*$P$7)/A6taxstdlife))</f>
        <v>0</v>
      </c>
      <c r="AE556" s="590">
        <f>IF(A6taxstdlife="n/a","n/a",IF(AE$3&gt;(A6taxstdlife+$E556),(('PTRM input'!$P$148+'PTRM input'!$P$114)*$P$7)-SUM($P556:AD556),(('PTRM input'!$P$148+'PTRM input'!$P$114)*$P$7)/A6taxstdlife))</f>
        <v>0</v>
      </c>
      <c r="AF556" s="590">
        <f>IF(A6taxstdlife="n/a","n/a",IF(AF$3&gt;(A6taxstdlife+$E556),(('PTRM input'!$P$148+'PTRM input'!$P$114)*$P$7)-SUM($P556:AE556),(('PTRM input'!$P$148+'PTRM input'!$P$114)*$P$7)/A6taxstdlife))</f>
        <v>0</v>
      </c>
      <c r="AG556" s="590">
        <f>IF(A6taxstdlife="n/a","n/a",IF(AG$3&gt;(A6taxstdlife+$E556),(('PTRM input'!$P$148+'PTRM input'!$P$114)*$P$7)-SUM($P556:AF556),(('PTRM input'!$P$148+'PTRM input'!$P$114)*$P$7)/A6taxstdlife))</f>
        <v>0</v>
      </c>
      <c r="AH556" s="590">
        <f>IF(A6taxstdlife="n/a","n/a",IF(AH$3&gt;(A6taxstdlife+$E556),(('PTRM input'!$P$148+'PTRM input'!$P$114)*$P$7)-SUM($P556:AG556),(('PTRM input'!$P$148+'PTRM input'!$P$114)*$P$7)/A6taxstdlife))</f>
        <v>0</v>
      </c>
      <c r="AI556" s="590">
        <f>IF(A6taxstdlife="n/a","n/a",IF(AI$3&gt;(A6taxstdlife+$E556),(('PTRM input'!$P$148+'PTRM input'!$P$114)*$P$7)-SUM($P556:AH556),(('PTRM input'!$P$148+'PTRM input'!$P$114)*$P$7)/A6taxstdlife))</f>
        <v>0</v>
      </c>
      <c r="AJ556" s="590">
        <f>IF(A6taxstdlife="n/a","n/a",IF(AJ$3&gt;(A6taxstdlife+$E556),(('PTRM input'!$P$148+'PTRM input'!$P$114)*$P$7)-SUM($P556:AI556),(('PTRM input'!$P$148+'PTRM input'!$P$114)*$P$7)/A6taxstdlife))</f>
        <v>0</v>
      </c>
      <c r="AK556" s="590">
        <f>IF(A6taxstdlife="n/a","n/a",IF(AK$3&gt;(A6taxstdlife+$E556),(('PTRM input'!$P$148+'PTRM input'!$P$114)*$P$7)-SUM($P556:AJ556),(('PTRM input'!$P$148+'PTRM input'!$P$114)*$P$7)/A6taxstdlife))</f>
        <v>0</v>
      </c>
      <c r="AL556" s="590">
        <f>IF(A6taxstdlife="n/a","n/a",IF(AL$3&gt;(A6taxstdlife+$E556),(('PTRM input'!$P$148+'PTRM input'!$P$114)*$P$7)-SUM($P556:AK556),(('PTRM input'!$P$148+'PTRM input'!$P$114)*$P$7)/A6taxstdlife))</f>
        <v>0</v>
      </c>
      <c r="AM556" s="590">
        <f>IF(A6taxstdlife="n/a","n/a",IF(AM$3&gt;(A6taxstdlife+$E556),(('PTRM input'!$P$148+'PTRM input'!$P$114)*$P$7)-SUM($P556:AL556),(('PTRM input'!$P$148+'PTRM input'!$P$114)*$P$7)/A6taxstdlife))</f>
        <v>0</v>
      </c>
      <c r="AN556" s="590">
        <f>IF(A6taxstdlife="n/a","n/a",IF(AN$3&gt;(A6taxstdlife+$E556),(('PTRM input'!$P$148+'PTRM input'!$P$114)*$P$7)-SUM($P556:AM556),(('PTRM input'!$P$148+'PTRM input'!$P$114)*$P$7)/A6taxstdlife))</f>
        <v>0</v>
      </c>
      <c r="AO556" s="590">
        <f>IF(A6taxstdlife="n/a","n/a",IF(AO$3&gt;(A6taxstdlife+$E556),(('PTRM input'!$P$148+'PTRM input'!$P$114)*$P$7)-SUM($P556:AN556),(('PTRM input'!$P$148+'PTRM input'!$P$114)*$P$7)/A6taxstdlife))</f>
        <v>0</v>
      </c>
      <c r="AP556" s="590">
        <f>IF(A6taxstdlife="n/a","n/a",IF(AP$3&gt;(A6taxstdlife+$E556),(('PTRM input'!$P$148+'PTRM input'!$P$114)*$P$7)-SUM($P556:AO556),(('PTRM input'!$P$148+'PTRM input'!$P$114)*$P$7)/A6taxstdlife))</f>
        <v>0</v>
      </c>
      <c r="AQ556" s="590">
        <f>IF(A6taxstdlife="n/a","n/a",IF(AQ$3&gt;(A6taxstdlife+$E556),(('PTRM input'!$P$148+'PTRM input'!$P$114)*$P$7)-SUM($P556:AP556),(('PTRM input'!$P$148+'PTRM input'!$P$114)*$P$7)/A6taxstdlife))</f>
        <v>0</v>
      </c>
      <c r="AR556" s="590">
        <f>IF(A6taxstdlife="n/a","n/a",IF(AR$3&gt;(A6taxstdlife+$E556),(('PTRM input'!$P$148+'PTRM input'!$P$114)*$P$7)-SUM($P556:AQ556),(('PTRM input'!$P$148+'PTRM input'!$P$114)*$P$7)/A6taxstdlife))</f>
        <v>0</v>
      </c>
      <c r="AS556" s="590">
        <f>IF(A6taxstdlife="n/a","n/a",IF(AS$3&gt;(A6taxstdlife+$E556),(('PTRM input'!$P$148+'PTRM input'!$P$114)*$P$7)-SUM($P556:AR556),(('PTRM input'!$P$148+'PTRM input'!$P$114)*$P$7)/A6taxstdlife))</f>
        <v>0</v>
      </c>
      <c r="AT556" s="590">
        <f>IF(A6taxstdlife="n/a","n/a",IF(AT$3&gt;(A6taxstdlife+$E556),(('PTRM input'!$P$148+'PTRM input'!$P$114)*$P$7)-SUM($P556:AS556),(('PTRM input'!$P$148+'PTRM input'!$P$114)*$P$7)/A6taxstdlife))</f>
        <v>0</v>
      </c>
      <c r="AU556" s="590">
        <f>IF(A6taxstdlife="n/a","n/a",IF(AU$3&gt;(A6taxstdlife+$E556),(('PTRM input'!$P$148+'PTRM input'!$P$114)*$P$7)-SUM($P556:AT556),(('PTRM input'!$P$148+'PTRM input'!$P$114)*$P$7)/A6taxstdlife))</f>
        <v>0</v>
      </c>
      <c r="AV556" s="590">
        <f>IF(A6taxstdlife="n/a","n/a",IF(AV$3&gt;(A6taxstdlife+$E556),(('PTRM input'!$P$148+'PTRM input'!$P$114)*$P$7)-SUM($P556:AU556),(('PTRM input'!$P$148+'PTRM input'!$P$114)*$P$7)/A6taxstdlife))</f>
        <v>0</v>
      </c>
      <c r="AW556" s="590">
        <f>IF(A6taxstdlife="n/a","n/a",IF(AW$3&gt;(A6taxstdlife+$E556),(('PTRM input'!$P$148+'PTRM input'!$P$114)*$P$7)-SUM($P556:AV556),(('PTRM input'!$P$148+'PTRM input'!$P$114)*$P$7)/A6taxstdlife))</f>
        <v>0</v>
      </c>
      <c r="AX556" s="590">
        <f>IF(A6taxstdlife="n/a","n/a",IF(AX$3&gt;(A6taxstdlife+$E556),(('PTRM input'!$P$148+'PTRM input'!$P$114)*$P$7)-SUM($P556:AW556),(('PTRM input'!$P$148+'PTRM input'!$P$114)*$P$7)/A6taxstdlife))</f>
        <v>0</v>
      </c>
      <c r="AY556" s="590">
        <f>IF(A6taxstdlife="n/a","n/a",IF(AY$3&gt;(A6taxstdlife+$E556),(('PTRM input'!$P$148+'PTRM input'!$P$114)*$P$7)-SUM($P556:AX556),(('PTRM input'!$P$148+'PTRM input'!$P$114)*$P$7)/A6taxstdlife))</f>
        <v>0</v>
      </c>
      <c r="AZ556" s="590">
        <f>IF(A6taxstdlife="n/a","n/a",IF(AZ$3&gt;(A6taxstdlife+$E556),(('PTRM input'!$P$148+'PTRM input'!$P$114)*$P$7)-SUM($P556:AY556),(('PTRM input'!$P$148+'PTRM input'!$P$114)*$P$7)/A6taxstdlife))</f>
        <v>0</v>
      </c>
      <c r="BA556" s="590">
        <f>IF(A6taxstdlife="n/a","n/a",IF(BA$3&gt;(A6taxstdlife+$E556),(('PTRM input'!$P$148+'PTRM input'!$P$114)*$P$7)-SUM($P556:AZ556),(('PTRM input'!$P$148+'PTRM input'!$P$114)*$P$7)/A6taxstdlife))</f>
        <v>0</v>
      </c>
      <c r="BB556" s="590">
        <f>IF(A6taxstdlife="n/a","n/a",IF(BB$3&gt;(A6taxstdlife+$E556),(('PTRM input'!$P$148+'PTRM input'!$P$114)*$P$7)-SUM($P556:BA556),(('PTRM input'!$P$148+'PTRM input'!$P$114)*$P$7)/A6taxstdlife))</f>
        <v>0</v>
      </c>
      <c r="BC556" s="590">
        <f>IF(A6taxstdlife="n/a","n/a",IF(BC$3&gt;(A6taxstdlife+$E556),(('PTRM input'!$P$148+'PTRM input'!$P$114)*$P$7)-SUM($P556:BB556),(('PTRM input'!$P$148+'PTRM input'!$P$114)*$P$7)/A6taxstdlife))</f>
        <v>0</v>
      </c>
      <c r="BD556" s="590">
        <f>IF(A6taxstdlife="n/a","n/a",IF(BD$3&gt;(A6taxstdlife+$E556),(('PTRM input'!$P$148+'PTRM input'!$P$114)*$P$7)-SUM($P556:BC556),(('PTRM input'!$P$148+'PTRM input'!$P$114)*$P$7)/A6taxstdlife))</f>
        <v>0</v>
      </c>
      <c r="BE556" s="590">
        <f>IF(A6taxstdlife="n/a","n/a",IF(BE$3&gt;(A6taxstdlife+$E556),(('PTRM input'!$P$148+'PTRM input'!$P$114)*$P$7)-SUM($P556:BD556),(('PTRM input'!$P$148+'PTRM input'!$P$114)*$P$7)/A6taxstdlife))</f>
        <v>0</v>
      </c>
      <c r="BF556" s="590">
        <f>IF(A6taxstdlife="n/a","n/a",IF(BF$3&gt;(A6taxstdlife+$E556),(('PTRM input'!$P$148+'PTRM input'!$P$114)*$P$7)-SUM($P556:BE556),(('PTRM input'!$P$148+'PTRM input'!$P$114)*$P$7)/A6taxstdlife))</f>
        <v>0</v>
      </c>
      <c r="BG556" s="590">
        <f>IF(A6taxstdlife="n/a","n/a",IF(BG$3&gt;(A6taxstdlife+$E556),(('PTRM input'!$P$148+'PTRM input'!$P$114)*$P$7)-SUM($P556:BF556),(('PTRM input'!$P$148+'PTRM input'!$P$114)*$P$7)/A6taxstdlife))</f>
        <v>0</v>
      </c>
      <c r="BH556" s="590">
        <f>IF(A6taxstdlife="n/a","n/a",IF(BH$3&gt;(A6taxstdlife+$E556),(('PTRM input'!$P$148+'PTRM input'!$P$114)*$P$7)-SUM($P556:BG556),(('PTRM input'!$P$148+'PTRM input'!$P$114)*$P$7)/A6taxstdlife))</f>
        <v>0</v>
      </c>
      <c r="BI556" s="590">
        <f>IF(A6taxstdlife="n/a","n/a",IF(BI$3&gt;(A6taxstdlife+$E556),(('PTRM input'!$P$148+'PTRM input'!$P$114)*$P$7)-SUM($P556:BH556),(('PTRM input'!$P$148+'PTRM input'!$P$114)*$P$7)/A6taxstdlife))</f>
        <v>0</v>
      </c>
      <c r="BJ556" s="240"/>
      <c r="BK556" s="240"/>
      <c r="BL556" s="240"/>
      <c r="BM556" s="240"/>
    </row>
    <row r="557" spans="1:65" s="4" customFormat="1" hidden="1" outlineLevel="1">
      <c r="A557" s="240"/>
      <c r="B557" s="240"/>
      <c r="C557" s="595">
        <f>Asset6</f>
        <v>0</v>
      </c>
      <c r="D557" s="240"/>
      <c r="E557" s="240"/>
      <c r="F557" s="596"/>
      <c r="G557" s="591">
        <f t="shared" ref="G557:AL557" si="116">SUM(G545:G556)</f>
        <v>0</v>
      </c>
      <c r="H557" s="591">
        <f t="shared" si="116"/>
        <v>0</v>
      </c>
      <c r="I557" s="591">
        <f t="shared" si="116"/>
        <v>0</v>
      </c>
      <c r="J557" s="591">
        <f t="shared" si="116"/>
        <v>0</v>
      </c>
      <c r="K557" s="591">
        <f t="shared" si="116"/>
        <v>0</v>
      </c>
      <c r="L557" s="591">
        <f t="shared" si="116"/>
        <v>0</v>
      </c>
      <c r="M557" s="591">
        <f t="shared" si="116"/>
        <v>0</v>
      </c>
      <c r="N557" s="591">
        <f t="shared" si="116"/>
        <v>0</v>
      </c>
      <c r="O557" s="591">
        <f t="shared" si="116"/>
        <v>0</v>
      </c>
      <c r="P557" s="591">
        <f t="shared" si="116"/>
        <v>0</v>
      </c>
      <c r="Q557" s="591">
        <f t="shared" si="116"/>
        <v>0</v>
      </c>
      <c r="R557" s="591">
        <f t="shared" si="116"/>
        <v>0</v>
      </c>
      <c r="S557" s="591">
        <f t="shared" si="116"/>
        <v>0</v>
      </c>
      <c r="T557" s="591">
        <f t="shared" si="116"/>
        <v>0</v>
      </c>
      <c r="U557" s="591">
        <f t="shared" si="116"/>
        <v>0</v>
      </c>
      <c r="V557" s="591">
        <f t="shared" si="116"/>
        <v>0</v>
      </c>
      <c r="W557" s="591">
        <f t="shared" si="116"/>
        <v>0</v>
      </c>
      <c r="X557" s="591">
        <f t="shared" si="116"/>
        <v>0</v>
      </c>
      <c r="Y557" s="591">
        <f t="shared" si="116"/>
        <v>0</v>
      </c>
      <c r="Z557" s="591">
        <f t="shared" si="116"/>
        <v>0</v>
      </c>
      <c r="AA557" s="591">
        <f t="shared" si="116"/>
        <v>0</v>
      </c>
      <c r="AB557" s="591">
        <f t="shared" si="116"/>
        <v>0</v>
      </c>
      <c r="AC557" s="591">
        <f t="shared" si="116"/>
        <v>0</v>
      </c>
      <c r="AD557" s="591">
        <f t="shared" si="116"/>
        <v>0</v>
      </c>
      <c r="AE557" s="591">
        <f t="shared" si="116"/>
        <v>0</v>
      </c>
      <c r="AF557" s="591">
        <f t="shared" si="116"/>
        <v>0</v>
      </c>
      <c r="AG557" s="591">
        <f t="shared" si="116"/>
        <v>0</v>
      </c>
      <c r="AH557" s="591">
        <f t="shared" si="116"/>
        <v>0</v>
      </c>
      <c r="AI557" s="591">
        <f t="shared" si="116"/>
        <v>0</v>
      </c>
      <c r="AJ557" s="591">
        <f t="shared" si="116"/>
        <v>0</v>
      </c>
      <c r="AK557" s="591">
        <f t="shared" si="116"/>
        <v>0</v>
      </c>
      <c r="AL557" s="591">
        <f t="shared" si="116"/>
        <v>0</v>
      </c>
      <c r="AM557" s="591">
        <f t="shared" ref="AM557:BI557" si="117">SUM(AM545:AM556)</f>
        <v>0</v>
      </c>
      <c r="AN557" s="591">
        <f t="shared" si="117"/>
        <v>0</v>
      </c>
      <c r="AO557" s="591">
        <f t="shared" si="117"/>
        <v>0</v>
      </c>
      <c r="AP557" s="591">
        <f t="shared" si="117"/>
        <v>0</v>
      </c>
      <c r="AQ557" s="591">
        <f t="shared" si="117"/>
        <v>0</v>
      </c>
      <c r="AR557" s="591">
        <f t="shared" si="117"/>
        <v>0</v>
      </c>
      <c r="AS557" s="591">
        <f t="shared" si="117"/>
        <v>0</v>
      </c>
      <c r="AT557" s="591">
        <f t="shared" si="117"/>
        <v>0</v>
      </c>
      <c r="AU557" s="591">
        <f t="shared" si="117"/>
        <v>0</v>
      </c>
      <c r="AV557" s="591">
        <f t="shared" si="117"/>
        <v>0</v>
      </c>
      <c r="AW557" s="591">
        <f t="shared" si="117"/>
        <v>0</v>
      </c>
      <c r="AX557" s="591">
        <f t="shared" si="117"/>
        <v>0</v>
      </c>
      <c r="AY557" s="591">
        <f t="shared" si="117"/>
        <v>0</v>
      </c>
      <c r="AZ557" s="591">
        <f t="shared" si="117"/>
        <v>0</v>
      </c>
      <c r="BA557" s="591">
        <f t="shared" si="117"/>
        <v>0</v>
      </c>
      <c r="BB557" s="591">
        <f t="shared" si="117"/>
        <v>0</v>
      </c>
      <c r="BC557" s="591">
        <f t="shared" si="117"/>
        <v>0</v>
      </c>
      <c r="BD557" s="591">
        <f t="shared" si="117"/>
        <v>0</v>
      </c>
      <c r="BE557" s="591">
        <f t="shared" si="117"/>
        <v>0</v>
      </c>
      <c r="BF557" s="591">
        <f t="shared" si="117"/>
        <v>0</v>
      </c>
      <c r="BG557" s="591">
        <f t="shared" si="117"/>
        <v>0</v>
      </c>
      <c r="BH557" s="591">
        <f t="shared" si="117"/>
        <v>0</v>
      </c>
      <c r="BI557" s="591">
        <f t="shared" si="117"/>
        <v>0</v>
      </c>
      <c r="BJ557" s="240"/>
      <c r="BK557" s="240"/>
      <c r="BL557" s="240"/>
      <c r="BM557" s="240"/>
    </row>
    <row r="558" spans="1:65" s="4" customFormat="1" hidden="1" outlineLevel="2">
      <c r="A558" s="240"/>
      <c r="B558" s="597">
        <f>C570</f>
        <v>0</v>
      </c>
      <c r="C558" s="488"/>
      <c r="D558" s="598" t="s">
        <v>58</v>
      </c>
      <c r="E558" s="488"/>
      <c r="F558" s="599"/>
      <c r="G558" s="592">
        <f>IF(G$3&gt;A7taxremlife,A7taxvalue-SUM($F558:F558),IF(A7taxremlife="N/A","n/a",A7taxvalue/A7taxremlife))</f>
        <v>0</v>
      </c>
      <c r="H558" s="592">
        <f>IF(H$3&gt;A7taxremlife,A7taxvalue-SUM($F558:G558),IF(A7taxremlife="N/A","n/a",A7taxvalue/A7taxremlife))</f>
        <v>0</v>
      </c>
      <c r="I558" s="592">
        <f>IF(I$3&gt;A7taxremlife,A7taxvalue-SUM($F558:H558),IF(A7taxremlife="N/A","n/a",A7taxvalue/A7taxremlife))</f>
        <v>0</v>
      </c>
      <c r="J558" s="592">
        <f>IF(J$3&gt;A7taxremlife,A7taxvalue-SUM($F558:I558),IF(A7taxremlife="N/A","n/a",A7taxvalue/A7taxremlife))</f>
        <v>0</v>
      </c>
      <c r="K558" s="592">
        <f>IF(K$3&gt;A7taxremlife,A7taxvalue-SUM($F558:J558),IF(A7taxremlife="N/A","n/a",A7taxvalue/A7taxremlife))</f>
        <v>0</v>
      </c>
      <c r="L558" s="592">
        <f>IF(L$3&gt;A7taxremlife,A7taxvalue-SUM($F558:K558),IF(A7taxremlife="N/A","n/a",A7taxvalue/A7taxremlife))</f>
        <v>0</v>
      </c>
      <c r="M558" s="592">
        <f>IF(M$3&gt;A7taxremlife,A7taxvalue-SUM($F558:L558),IF(A7taxremlife="N/A","n/a",A7taxvalue/A7taxremlife))</f>
        <v>0</v>
      </c>
      <c r="N558" s="592">
        <f>IF(N$3&gt;A7taxremlife,A7taxvalue-SUM($F558:M558),IF(A7taxremlife="N/A","n/a",A7taxvalue/A7taxremlife))</f>
        <v>0</v>
      </c>
      <c r="O558" s="592">
        <f>IF(O$3&gt;A7taxremlife,A7taxvalue-SUM($F558:N558),IF(A7taxremlife="N/A","n/a",A7taxvalue/A7taxremlife))</f>
        <v>0</v>
      </c>
      <c r="P558" s="592">
        <f>IF(P$3&gt;A7taxremlife,A7taxvalue-SUM($F558:O558),IF(A7taxremlife="N/A","n/a",A7taxvalue/A7taxremlife))</f>
        <v>0</v>
      </c>
      <c r="Q558" s="592">
        <f>IF(Q$3&gt;A7taxremlife,A7taxvalue-SUM($F558:P558),IF(A7taxremlife="N/A","n/a",A7taxvalue/A7taxremlife))</f>
        <v>0</v>
      </c>
      <c r="R558" s="592">
        <f>IF(R$3&gt;A7taxremlife,A7taxvalue-SUM($F558:Q558),IF(A7taxremlife="N/A","n/a",A7taxvalue/A7taxremlife))</f>
        <v>0</v>
      </c>
      <c r="S558" s="592">
        <f>IF(S$3&gt;A7taxremlife,A7taxvalue-SUM($F558:R558),IF(A7taxremlife="N/A","n/a",A7taxvalue/A7taxremlife))</f>
        <v>0</v>
      </c>
      <c r="T558" s="592">
        <f>IF(T$3&gt;A7taxremlife,A7taxvalue-SUM($F558:S558),IF(A7taxremlife="N/A","n/a",A7taxvalue/A7taxremlife))</f>
        <v>0</v>
      </c>
      <c r="U558" s="592">
        <f>IF(U$3&gt;A7taxremlife,A7taxvalue-SUM($F558:T558),IF(A7taxremlife="N/A","n/a",A7taxvalue/A7taxremlife))</f>
        <v>0</v>
      </c>
      <c r="V558" s="592">
        <f>IF(V$3&gt;A7taxremlife,A7taxvalue-SUM($F558:U558),IF(A7taxremlife="N/A","n/a",A7taxvalue/A7taxremlife))</f>
        <v>0</v>
      </c>
      <c r="W558" s="592">
        <f>IF(W$3&gt;A7taxremlife,A7taxvalue-SUM($F558:V558),IF(A7taxremlife="N/A","n/a",A7taxvalue/A7taxremlife))</f>
        <v>0</v>
      </c>
      <c r="X558" s="592">
        <f>IF(X$3&gt;A7taxremlife,A7taxvalue-SUM($F558:W558),IF(A7taxremlife="N/A","n/a",A7taxvalue/A7taxremlife))</f>
        <v>0</v>
      </c>
      <c r="Y558" s="592">
        <f>IF(Y$3&gt;A7taxremlife,A7taxvalue-SUM($F558:X558),IF(A7taxremlife="N/A","n/a",A7taxvalue/A7taxremlife))</f>
        <v>0</v>
      </c>
      <c r="Z558" s="592">
        <f>IF(Z$3&gt;A7taxremlife,A7taxvalue-SUM($F558:Y558),IF(A7taxremlife="N/A","n/a",A7taxvalue/A7taxremlife))</f>
        <v>0</v>
      </c>
      <c r="AA558" s="592">
        <f>IF(AA$3&gt;A7taxremlife,A7taxvalue-SUM($F558:Z558),IF(A7taxremlife="N/A","n/a",A7taxvalue/A7taxremlife))</f>
        <v>0</v>
      </c>
      <c r="AB558" s="592">
        <f>IF(AB$3&gt;A7taxremlife,A7taxvalue-SUM($F558:AA558),IF(A7taxremlife="N/A","n/a",A7taxvalue/A7taxremlife))</f>
        <v>0</v>
      </c>
      <c r="AC558" s="592">
        <f>IF(AC$3&gt;A7taxremlife,A7taxvalue-SUM($F558:AB558),IF(A7taxremlife="N/A","n/a",A7taxvalue/A7taxremlife))</f>
        <v>0</v>
      </c>
      <c r="AD558" s="592">
        <f>IF(AD$3&gt;A7taxremlife,A7taxvalue-SUM($F558:AC558),IF(A7taxremlife="N/A","n/a",A7taxvalue/A7taxremlife))</f>
        <v>0</v>
      </c>
      <c r="AE558" s="592">
        <f>IF(AE$3&gt;A7taxremlife,A7taxvalue-SUM($F558:AD558),IF(A7taxremlife="N/A","n/a",A7taxvalue/A7taxremlife))</f>
        <v>0</v>
      </c>
      <c r="AF558" s="592">
        <f>IF(AF$3&gt;A7taxremlife,A7taxvalue-SUM($F558:AE558),IF(A7taxremlife="N/A","n/a",A7taxvalue/A7taxremlife))</f>
        <v>0</v>
      </c>
      <c r="AG558" s="592">
        <f>IF(AG$3&gt;A7taxremlife,A7taxvalue-SUM($F558:AF558),IF(A7taxremlife="N/A","n/a",A7taxvalue/A7taxremlife))</f>
        <v>0</v>
      </c>
      <c r="AH558" s="592">
        <f>IF(AH$3&gt;A7taxremlife,A7taxvalue-SUM($F558:AG558),IF(A7taxremlife="N/A","n/a",A7taxvalue/A7taxremlife))</f>
        <v>0</v>
      </c>
      <c r="AI558" s="592">
        <f>IF(AI$3&gt;A7taxremlife,A7taxvalue-SUM($F558:AH558),IF(A7taxremlife="N/A","n/a",A7taxvalue/A7taxremlife))</f>
        <v>0</v>
      </c>
      <c r="AJ558" s="592">
        <f>IF(AJ$3&gt;A7taxremlife,A7taxvalue-SUM($F558:AI558),IF(A7taxremlife="N/A","n/a",A7taxvalue/A7taxremlife))</f>
        <v>0</v>
      </c>
      <c r="AK558" s="592">
        <f>IF(AK$3&gt;A7taxremlife,A7taxvalue-SUM($F558:AJ558),IF(A7taxremlife="N/A","n/a",A7taxvalue/A7taxremlife))</f>
        <v>0</v>
      </c>
      <c r="AL558" s="592">
        <f>IF(AL$3&gt;A7taxremlife,A7taxvalue-SUM($F558:AK558),IF(A7taxremlife="N/A","n/a",A7taxvalue/A7taxremlife))</f>
        <v>0</v>
      </c>
      <c r="AM558" s="592">
        <f>IF(AM$3&gt;A7taxremlife,A7taxvalue-SUM($F558:AL558),IF(A7taxremlife="N/A","n/a",A7taxvalue/A7taxremlife))</f>
        <v>0</v>
      </c>
      <c r="AN558" s="592">
        <f>IF(AN$3&gt;A7taxremlife,A7taxvalue-SUM($F558:AM558),IF(A7taxremlife="N/A","n/a",A7taxvalue/A7taxremlife))</f>
        <v>0</v>
      </c>
      <c r="AO558" s="592">
        <f>IF(AO$3&gt;A7taxremlife,A7taxvalue-SUM($F558:AN558),IF(A7taxremlife="N/A","n/a",A7taxvalue/A7taxremlife))</f>
        <v>0</v>
      </c>
      <c r="AP558" s="592">
        <f>IF(AP$3&gt;A7taxremlife,A7taxvalue-SUM($F558:AO558),IF(A7taxremlife="N/A","n/a",A7taxvalue/A7taxremlife))</f>
        <v>0</v>
      </c>
      <c r="AQ558" s="592">
        <f>IF(AQ$3&gt;A7taxremlife,A7taxvalue-SUM($F558:AP558),IF(A7taxremlife="N/A","n/a",A7taxvalue/A7taxremlife))</f>
        <v>0</v>
      </c>
      <c r="AR558" s="592">
        <f>IF(AR$3&gt;A7taxremlife,A7taxvalue-SUM($F558:AQ558),IF(A7taxremlife="N/A","n/a",A7taxvalue/A7taxremlife))</f>
        <v>0</v>
      </c>
      <c r="AS558" s="592">
        <f>IF(AS$3&gt;A7taxremlife,A7taxvalue-SUM($F558:AR558),IF(A7taxremlife="N/A","n/a",A7taxvalue/A7taxremlife))</f>
        <v>0</v>
      </c>
      <c r="AT558" s="592">
        <f>IF(AT$3&gt;A7taxremlife,A7taxvalue-SUM($F558:AS558),IF(A7taxremlife="N/A","n/a",A7taxvalue/A7taxremlife))</f>
        <v>0</v>
      </c>
      <c r="AU558" s="592">
        <f>IF(AU$3&gt;A7taxremlife,A7taxvalue-SUM($F558:AT558),IF(A7taxremlife="N/A","n/a",A7taxvalue/A7taxremlife))</f>
        <v>0</v>
      </c>
      <c r="AV558" s="592">
        <f>IF(AV$3&gt;A7taxremlife,A7taxvalue-SUM($F558:AU558),IF(A7taxremlife="N/A","n/a",A7taxvalue/A7taxremlife))</f>
        <v>0</v>
      </c>
      <c r="AW558" s="592">
        <f>IF(AW$3&gt;A7taxremlife,A7taxvalue-SUM($F558:AV558),IF(A7taxremlife="N/A","n/a",A7taxvalue/A7taxremlife))</f>
        <v>0</v>
      </c>
      <c r="AX558" s="592">
        <f>IF(AX$3&gt;A7taxremlife,A7taxvalue-SUM($F558:AW558),IF(A7taxremlife="N/A","n/a",A7taxvalue/A7taxremlife))</f>
        <v>0</v>
      </c>
      <c r="AY558" s="592">
        <f>IF(AY$3&gt;A7taxremlife,A7taxvalue-SUM($F558:AX558),IF(A7taxremlife="N/A","n/a",A7taxvalue/A7taxremlife))</f>
        <v>0</v>
      </c>
      <c r="AZ558" s="592">
        <f>IF(AZ$3&gt;A7taxremlife,A7taxvalue-SUM($F558:AY558),IF(A7taxremlife="N/A","n/a",A7taxvalue/A7taxremlife))</f>
        <v>0</v>
      </c>
      <c r="BA558" s="592">
        <f>IF(BA$3&gt;A7taxremlife,A7taxvalue-SUM($F558:AZ558),IF(A7taxremlife="N/A","n/a",A7taxvalue/A7taxremlife))</f>
        <v>0</v>
      </c>
      <c r="BB558" s="592">
        <f>IF(BB$3&gt;A7taxremlife,A7taxvalue-SUM($F558:BA558),IF(A7taxremlife="N/A","n/a",A7taxvalue/A7taxremlife))</f>
        <v>0</v>
      </c>
      <c r="BC558" s="592">
        <f>IF(BC$3&gt;A7taxremlife,A7taxvalue-SUM($F558:BB558),IF(A7taxremlife="N/A","n/a",A7taxvalue/A7taxremlife))</f>
        <v>0</v>
      </c>
      <c r="BD558" s="592">
        <f>IF(BD$3&gt;A7taxremlife,A7taxvalue-SUM($F558:BC558),IF(A7taxremlife="N/A","n/a",A7taxvalue/A7taxremlife))</f>
        <v>0</v>
      </c>
      <c r="BE558" s="592">
        <f>IF(BE$3&gt;A7taxremlife,A7taxvalue-SUM($F558:BD558),IF(A7taxremlife="N/A","n/a",A7taxvalue/A7taxremlife))</f>
        <v>0</v>
      </c>
      <c r="BF558" s="592">
        <f>IF(BF$3&gt;A7taxremlife,A7taxvalue-SUM($F558:BE558),IF(A7taxremlife="N/A","n/a",A7taxvalue/A7taxremlife))</f>
        <v>0</v>
      </c>
      <c r="BG558" s="592">
        <f>IF(BG$3&gt;A7taxremlife,A7taxvalue-SUM($F558:BF558),IF(A7taxremlife="N/A","n/a",A7taxvalue/A7taxremlife))</f>
        <v>0</v>
      </c>
      <c r="BH558" s="592">
        <f>IF(BH$3&gt;A7taxremlife,A7taxvalue-SUM($F558:BG558),IF(A7taxremlife="N/A","n/a",A7taxvalue/A7taxremlife))</f>
        <v>0</v>
      </c>
      <c r="BI558" s="592">
        <f>IF(BI$3&gt;A7taxremlife,A7taxvalue-SUM($F558:BH558),IF(A7taxremlife="N/A","n/a",A7taxvalue/A7taxremlife))</f>
        <v>0</v>
      </c>
      <c r="BJ558" s="240"/>
      <c r="BK558" s="240"/>
      <c r="BL558" s="240"/>
      <c r="BM558" s="240"/>
    </row>
    <row r="559" spans="1:65" s="4" customFormat="1" ht="12.75" hidden="1" customHeight="1" outlineLevel="2">
      <c r="A559" s="240"/>
      <c r="B559" s="240"/>
      <c r="C559" s="595"/>
      <c r="D559" s="1618" t="s">
        <v>357</v>
      </c>
      <c r="E559" s="169">
        <v>0</v>
      </c>
      <c r="F559" s="35"/>
      <c r="G559" s="107"/>
      <c r="H559" s="107"/>
      <c r="I559" s="107"/>
      <c r="J559" s="107"/>
      <c r="K559" s="107"/>
      <c r="L559" s="107"/>
      <c r="M559" s="107"/>
      <c r="N559" s="107"/>
      <c r="O559" s="107"/>
      <c r="P559" s="107"/>
      <c r="Q559" s="590"/>
      <c r="R559" s="590"/>
      <c r="S559" s="590"/>
      <c r="T559" s="590"/>
      <c r="U559" s="590"/>
      <c r="V559" s="590"/>
      <c r="W559" s="590"/>
      <c r="X559" s="590"/>
      <c r="Y559" s="590"/>
      <c r="Z559" s="590"/>
      <c r="AA559" s="590"/>
      <c r="AB559" s="590"/>
      <c r="AC559" s="590"/>
      <c r="AD559" s="590"/>
      <c r="AE559" s="590"/>
      <c r="AF559" s="590"/>
      <c r="AG559" s="590"/>
      <c r="AH559" s="590"/>
      <c r="AI559" s="590"/>
      <c r="AJ559" s="590"/>
      <c r="AK559" s="590"/>
      <c r="AL559" s="590"/>
      <c r="AM559" s="590"/>
      <c r="AN559" s="590"/>
      <c r="AO559" s="590"/>
      <c r="AP559" s="590"/>
      <c r="AQ559" s="590"/>
      <c r="AR559" s="590"/>
      <c r="AS559" s="590"/>
      <c r="AT559" s="590"/>
      <c r="AU559" s="590"/>
      <c r="AV559" s="590"/>
      <c r="AW559" s="590"/>
      <c r="AX559" s="590"/>
      <c r="AY559" s="590"/>
      <c r="AZ559" s="590"/>
      <c r="BA559" s="590"/>
      <c r="BB559" s="590"/>
      <c r="BC559" s="590"/>
      <c r="BD559" s="590"/>
      <c r="BE559" s="590"/>
      <c r="BF559" s="590"/>
      <c r="BG559" s="590"/>
      <c r="BH559" s="590"/>
      <c r="BI559" s="590"/>
      <c r="BJ559" s="240"/>
      <c r="BK559" s="240"/>
      <c r="BL559" s="240"/>
      <c r="BM559" s="240"/>
    </row>
    <row r="560" spans="1:65" s="4" customFormat="1" hidden="1" outlineLevel="2">
      <c r="A560" s="240"/>
      <c r="B560" s="240"/>
      <c r="C560" s="595"/>
      <c r="D560" s="1618"/>
      <c r="E560" s="169">
        <v>1</v>
      </c>
      <c r="F560" s="35"/>
      <c r="G560" s="183"/>
      <c r="H560" s="107">
        <f>IF(A7taxstdlife="n/a","n/a",IF(H$3&gt;(A7taxstdlife+$E560),(('PTRM input'!$G$149+'PTRM input'!$G$115)*$G$7)-SUM($G560:G560),(('PTRM input'!$G$149+'PTRM input'!$G$115)*$G$7)/A7taxstdlife))</f>
        <v>0</v>
      </c>
      <c r="I560" s="107">
        <f>IF(A7taxstdlife="n/a","n/a",IF(I$3&gt;(A7taxstdlife+$E560),(('PTRM input'!$G$149+'PTRM input'!$G$115)*$G$7)-SUM($G560:H560),(('PTRM input'!$G$149+'PTRM input'!$G$115)*$G$7)/A7taxstdlife))</f>
        <v>0</v>
      </c>
      <c r="J560" s="107">
        <f>IF(A7taxstdlife="n/a","n/a",IF(J$3&gt;(A7taxstdlife+$E560),(('PTRM input'!$G$149+'PTRM input'!$G$115)*$G$7)-SUM($G560:I560),(('PTRM input'!$G$149+'PTRM input'!$G$115)*$G$7)/A7taxstdlife))</f>
        <v>0</v>
      </c>
      <c r="K560" s="107">
        <f>IF(A7taxstdlife="n/a","n/a",IF(K$3&gt;(A7taxstdlife+$E560),(('PTRM input'!$G$149+'PTRM input'!$G$115)*$G$7)-SUM($G560:J560),(('PTRM input'!$G$149+'PTRM input'!$G$115)*$G$7)/A7taxstdlife))</f>
        <v>0</v>
      </c>
      <c r="L560" s="107">
        <f>IF(A7taxstdlife="n/a","n/a",IF(L$3&gt;(A7taxstdlife+$E560),(('PTRM input'!$G$149+'PTRM input'!$G$115)*$G$7)-SUM($G560:K560),(('PTRM input'!$G$149+'PTRM input'!$G$115)*$G$7)/A7taxstdlife))</f>
        <v>0</v>
      </c>
      <c r="M560" s="107">
        <f>IF(A7taxstdlife="n/a","n/a",IF(M$3&gt;(A7taxstdlife+$E560),(('PTRM input'!$G$149+'PTRM input'!$G$115)*$G$7)-SUM($G560:L560),(('PTRM input'!$G$149+'PTRM input'!$G$115)*$G$7)/A7taxstdlife))</f>
        <v>0</v>
      </c>
      <c r="N560" s="107">
        <f>IF(A7taxstdlife="n/a","n/a",IF(N$3&gt;(A7taxstdlife+$E560),(('PTRM input'!$G$149+'PTRM input'!$G$115)*$G$7)-SUM($G560:M560),(('PTRM input'!$G$149+'PTRM input'!$G$115)*$G$7)/A7taxstdlife))</f>
        <v>0</v>
      </c>
      <c r="O560" s="107">
        <f>IF(A7taxstdlife="n/a","n/a",IF(O$3&gt;(A7taxstdlife+$E560),(('PTRM input'!$G$149+'PTRM input'!$G$115)*$G$7)-SUM($G560:N560),(('PTRM input'!$G$149+'PTRM input'!$G$115)*$G$7)/A7taxstdlife))</f>
        <v>0</v>
      </c>
      <c r="P560" s="107">
        <f>IF(A7taxstdlife="n/a","n/a",IF(P$3&gt;(A7taxstdlife+$E560),(('PTRM input'!$G$149+'PTRM input'!$G$115)*$G$7)-SUM($G560:O560),(('PTRM input'!$G$149+'PTRM input'!$G$115)*$G$7)/A7taxstdlife))</f>
        <v>0</v>
      </c>
      <c r="Q560" s="590">
        <f>IF(A7taxstdlife="n/a","n/a",IF(Q$3&gt;(A7taxstdlife+$E560),(('PTRM input'!$G$149+'PTRM input'!$G$115)*$G$7)-SUM($G560:P560),(('PTRM input'!$G$149+'PTRM input'!$G$115)*$G$7)/A7taxstdlife))</f>
        <v>0</v>
      </c>
      <c r="R560" s="590">
        <f>IF(A7taxstdlife="n/a","n/a",IF(R$3&gt;(A7taxstdlife+$E560),(('PTRM input'!$G$149+'PTRM input'!$G$115)*$G$7)-SUM($G560:Q560),(('PTRM input'!$G$149+'PTRM input'!$G$115)*$G$7)/A7taxstdlife))</f>
        <v>0</v>
      </c>
      <c r="S560" s="590">
        <f>IF(A7taxstdlife="n/a","n/a",IF(S$3&gt;(A7taxstdlife+$E560),(('PTRM input'!$G$149+'PTRM input'!$G$115)*$G$7)-SUM($G560:R560),(('PTRM input'!$G$149+'PTRM input'!$G$115)*$G$7)/A7taxstdlife))</f>
        <v>0</v>
      </c>
      <c r="T560" s="590">
        <f>IF(A7taxstdlife="n/a","n/a",IF(T$3&gt;(A7taxstdlife+$E560),(('PTRM input'!$G$149+'PTRM input'!$G$115)*$G$7)-SUM($G560:S560),(('PTRM input'!$G$149+'PTRM input'!$G$115)*$G$7)/A7taxstdlife))</f>
        <v>0</v>
      </c>
      <c r="U560" s="590">
        <f>IF(A7taxstdlife="n/a","n/a",IF(U$3&gt;(A7taxstdlife+$E560),(('PTRM input'!$G$149+'PTRM input'!$G$115)*$G$7)-SUM($G560:T560),(('PTRM input'!$G$149+'PTRM input'!$G$115)*$G$7)/A7taxstdlife))</f>
        <v>0</v>
      </c>
      <c r="V560" s="590">
        <f>IF(A7taxstdlife="n/a","n/a",IF(V$3&gt;(A7taxstdlife+$E560),(('PTRM input'!$G$149+'PTRM input'!$G$115)*$G$7)-SUM($G560:U560),(('PTRM input'!$G$149+'PTRM input'!$G$115)*$G$7)/A7taxstdlife))</f>
        <v>0</v>
      </c>
      <c r="W560" s="590">
        <f>IF(A7taxstdlife="n/a","n/a",IF(W$3&gt;(A7taxstdlife+$E560),(('PTRM input'!$G$149+'PTRM input'!$G$115)*$G$7)-SUM($G560:V560),(('PTRM input'!$G$149+'PTRM input'!$G$115)*$G$7)/A7taxstdlife))</f>
        <v>0</v>
      </c>
      <c r="X560" s="590">
        <f>IF(A7taxstdlife="n/a","n/a",IF(X$3&gt;(A7taxstdlife+$E560),(('PTRM input'!$G$149+'PTRM input'!$G$115)*$G$7)-SUM($G560:W560),(('PTRM input'!$G$149+'PTRM input'!$G$115)*$G$7)/A7taxstdlife))</f>
        <v>0</v>
      </c>
      <c r="Y560" s="590">
        <f>IF(A7taxstdlife="n/a","n/a",IF(Y$3&gt;(A7taxstdlife+$E560),(('PTRM input'!$G$149+'PTRM input'!$G$115)*$G$7)-SUM($G560:X560),(('PTRM input'!$G$149+'PTRM input'!$G$115)*$G$7)/A7taxstdlife))</f>
        <v>0</v>
      </c>
      <c r="Z560" s="590">
        <f>IF(A7taxstdlife="n/a","n/a",IF(Z$3&gt;(A7taxstdlife+$E560),(('PTRM input'!$G$149+'PTRM input'!$G$115)*$G$7)-SUM($G560:Y560),(('PTRM input'!$G$149+'PTRM input'!$G$115)*$G$7)/A7taxstdlife))</f>
        <v>0</v>
      </c>
      <c r="AA560" s="590">
        <f>IF(A7taxstdlife="n/a","n/a",IF(AA$3&gt;(A7taxstdlife+$E560),(('PTRM input'!$G$149+'PTRM input'!$G$115)*$G$7)-SUM($G560:Z560),(('PTRM input'!$G$149+'PTRM input'!$G$115)*$G$7)/A7taxstdlife))</f>
        <v>0</v>
      </c>
      <c r="AB560" s="590">
        <f>IF(A7taxstdlife="n/a","n/a",IF(AB$3&gt;(A7taxstdlife+$E560),(('PTRM input'!$G$149+'PTRM input'!$G$115)*$G$7)-SUM($G560:AA560),(('PTRM input'!$G$149+'PTRM input'!$G$115)*$G$7)/A7taxstdlife))</f>
        <v>0</v>
      </c>
      <c r="AC560" s="590">
        <f>IF(A7taxstdlife="n/a","n/a",IF(AC$3&gt;(A7taxstdlife+$E560),(('PTRM input'!$G$149+'PTRM input'!$G$115)*$G$7)-SUM($G560:AB560),(('PTRM input'!$G$149+'PTRM input'!$G$115)*$G$7)/A7taxstdlife))</f>
        <v>0</v>
      </c>
      <c r="AD560" s="590">
        <f>IF(A7taxstdlife="n/a","n/a",IF(AD$3&gt;(A7taxstdlife+$E560),(('PTRM input'!$G$149+'PTRM input'!$G$115)*$G$7)-SUM($G560:AC560),(('PTRM input'!$G$149+'PTRM input'!$G$115)*$G$7)/A7taxstdlife))</f>
        <v>0</v>
      </c>
      <c r="AE560" s="590">
        <f>IF(A7taxstdlife="n/a","n/a",IF(AE$3&gt;(A7taxstdlife+$E560),(('PTRM input'!$G$149+'PTRM input'!$G$115)*$G$7)-SUM($G560:AD560),(('PTRM input'!$G$149+'PTRM input'!$G$115)*$G$7)/A7taxstdlife))</f>
        <v>0</v>
      </c>
      <c r="AF560" s="590">
        <f>IF(A7taxstdlife="n/a","n/a",IF(AF$3&gt;(A7taxstdlife+$E560),(('PTRM input'!$G$149+'PTRM input'!$G$115)*$G$7)-SUM($G560:AE560),(('PTRM input'!$G$149+'PTRM input'!$G$115)*$G$7)/A7taxstdlife))</f>
        <v>0</v>
      </c>
      <c r="AG560" s="590">
        <f>IF(A7taxstdlife="n/a","n/a",IF(AG$3&gt;(A7taxstdlife+$E560),(('PTRM input'!$G$149+'PTRM input'!$G$115)*$G$7)-SUM($G560:AF560),(('PTRM input'!$G$149+'PTRM input'!$G$115)*$G$7)/A7taxstdlife))</f>
        <v>0</v>
      </c>
      <c r="AH560" s="590">
        <f>IF(A7taxstdlife="n/a","n/a",IF(AH$3&gt;(A7taxstdlife+$E560),(('PTRM input'!$G$149+'PTRM input'!$G$115)*$G$7)-SUM($G560:AG560),(('PTRM input'!$G$149+'PTRM input'!$G$115)*$G$7)/A7taxstdlife))</f>
        <v>0</v>
      </c>
      <c r="AI560" s="590">
        <f>IF(A7taxstdlife="n/a","n/a",IF(AI$3&gt;(A7taxstdlife+$E560),(('PTRM input'!$G$149+'PTRM input'!$G$115)*$G$7)-SUM($G560:AH560),(('PTRM input'!$G$149+'PTRM input'!$G$115)*$G$7)/A7taxstdlife))</f>
        <v>0</v>
      </c>
      <c r="AJ560" s="590">
        <f>IF(A7taxstdlife="n/a","n/a",IF(AJ$3&gt;(A7taxstdlife+$E560),(('PTRM input'!$G$149+'PTRM input'!$G$115)*$G$7)-SUM($G560:AI560),(('PTRM input'!$G$149+'PTRM input'!$G$115)*$G$7)/A7taxstdlife))</f>
        <v>0</v>
      </c>
      <c r="AK560" s="590">
        <f>IF(A7taxstdlife="n/a","n/a",IF(AK$3&gt;(A7taxstdlife+$E560),(('PTRM input'!$G$149+'PTRM input'!$G$115)*$G$7)-SUM($G560:AJ560),(('PTRM input'!$G$149+'PTRM input'!$G$115)*$G$7)/A7taxstdlife))</f>
        <v>0</v>
      </c>
      <c r="AL560" s="590">
        <f>IF(A7taxstdlife="n/a","n/a",IF(AL$3&gt;(A7taxstdlife+$E560),(('PTRM input'!$G$149+'PTRM input'!$G$115)*$G$7)-SUM($G560:AK560),(('PTRM input'!$G$149+'PTRM input'!$G$115)*$G$7)/A7taxstdlife))</f>
        <v>0</v>
      </c>
      <c r="AM560" s="590">
        <f>IF(A7taxstdlife="n/a","n/a",IF(AM$3&gt;(A7taxstdlife+$E560),(('PTRM input'!$G$149+'PTRM input'!$G$115)*$G$7)-SUM($G560:AL560),(('PTRM input'!$G$149+'PTRM input'!$G$115)*$G$7)/A7taxstdlife))</f>
        <v>0</v>
      </c>
      <c r="AN560" s="590">
        <f>IF(A7taxstdlife="n/a","n/a",IF(AN$3&gt;(A7taxstdlife+$E560),(('PTRM input'!$G$149+'PTRM input'!$G$115)*$G$7)-SUM($G560:AM560),(('PTRM input'!$G$149+'PTRM input'!$G$115)*$G$7)/A7taxstdlife))</f>
        <v>0</v>
      </c>
      <c r="AO560" s="590">
        <f>IF(A7taxstdlife="n/a","n/a",IF(AO$3&gt;(A7taxstdlife+$E560),(('PTRM input'!$G$149+'PTRM input'!$G$115)*$G$7)-SUM($G560:AN560),(('PTRM input'!$G$149+'PTRM input'!$G$115)*$G$7)/A7taxstdlife))</f>
        <v>0</v>
      </c>
      <c r="AP560" s="590">
        <f>IF(A7taxstdlife="n/a","n/a",IF(AP$3&gt;(A7taxstdlife+$E560),(('PTRM input'!$G$149+'PTRM input'!$G$115)*$G$7)-SUM($G560:AO560),(('PTRM input'!$G$149+'PTRM input'!$G$115)*$G$7)/A7taxstdlife))</f>
        <v>0</v>
      </c>
      <c r="AQ560" s="590">
        <f>IF(A7taxstdlife="n/a","n/a",IF(AQ$3&gt;(A7taxstdlife+$E560),(('PTRM input'!$G$149+'PTRM input'!$G$115)*$G$7)-SUM($G560:AP560),(('PTRM input'!$G$149+'PTRM input'!$G$115)*$G$7)/A7taxstdlife))</f>
        <v>0</v>
      </c>
      <c r="AR560" s="590">
        <f>IF(A7taxstdlife="n/a","n/a",IF(AR$3&gt;(A7taxstdlife+$E560),(('PTRM input'!$G$149+'PTRM input'!$G$115)*$G$7)-SUM($G560:AQ560),(('PTRM input'!$G$149+'PTRM input'!$G$115)*$G$7)/A7taxstdlife))</f>
        <v>0</v>
      </c>
      <c r="AS560" s="590">
        <f>IF(A7taxstdlife="n/a","n/a",IF(AS$3&gt;(A7taxstdlife+$E560),(('PTRM input'!$G$149+'PTRM input'!$G$115)*$G$7)-SUM($G560:AR560),(('PTRM input'!$G$149+'PTRM input'!$G$115)*$G$7)/A7taxstdlife))</f>
        <v>0</v>
      </c>
      <c r="AT560" s="590">
        <f>IF(A7taxstdlife="n/a","n/a",IF(AT$3&gt;(A7taxstdlife+$E560),(('PTRM input'!$G$149+'PTRM input'!$G$115)*$G$7)-SUM($G560:AS560),(('PTRM input'!$G$149+'PTRM input'!$G$115)*$G$7)/A7taxstdlife))</f>
        <v>0</v>
      </c>
      <c r="AU560" s="590">
        <f>IF(A7taxstdlife="n/a","n/a",IF(AU$3&gt;(A7taxstdlife+$E560),(('PTRM input'!$G$149+'PTRM input'!$G$115)*$G$7)-SUM($G560:AT560),(('PTRM input'!$G$149+'PTRM input'!$G$115)*$G$7)/A7taxstdlife))</f>
        <v>0</v>
      </c>
      <c r="AV560" s="590">
        <f>IF(A7taxstdlife="n/a","n/a",IF(AV$3&gt;(A7taxstdlife+$E560),(('PTRM input'!$G$149+'PTRM input'!$G$115)*$G$7)-SUM($G560:AU560),(('PTRM input'!$G$149+'PTRM input'!$G$115)*$G$7)/A7taxstdlife))</f>
        <v>0</v>
      </c>
      <c r="AW560" s="590">
        <f>IF(A7taxstdlife="n/a","n/a",IF(AW$3&gt;(A7taxstdlife+$E560),(('PTRM input'!$G$149+'PTRM input'!$G$115)*$G$7)-SUM($G560:AV560),(('PTRM input'!$G$149+'PTRM input'!$G$115)*$G$7)/A7taxstdlife))</f>
        <v>0</v>
      </c>
      <c r="AX560" s="590">
        <f>IF(A7taxstdlife="n/a","n/a",IF(AX$3&gt;(A7taxstdlife+$E560),(('PTRM input'!$G$149+'PTRM input'!$G$115)*$G$7)-SUM($G560:AW560),(('PTRM input'!$G$149+'PTRM input'!$G$115)*$G$7)/A7taxstdlife))</f>
        <v>0</v>
      </c>
      <c r="AY560" s="590">
        <f>IF(A7taxstdlife="n/a","n/a",IF(AY$3&gt;(A7taxstdlife+$E560),(('PTRM input'!$G$149+'PTRM input'!$G$115)*$G$7)-SUM($G560:AX560),(('PTRM input'!$G$149+'PTRM input'!$G$115)*$G$7)/A7taxstdlife))</f>
        <v>0</v>
      </c>
      <c r="AZ560" s="590">
        <f>IF(A7taxstdlife="n/a","n/a",IF(AZ$3&gt;(A7taxstdlife+$E560),(('PTRM input'!$G$149+'PTRM input'!$G$115)*$G$7)-SUM($G560:AY560),(('PTRM input'!$G$149+'PTRM input'!$G$115)*$G$7)/A7taxstdlife))</f>
        <v>0</v>
      </c>
      <c r="BA560" s="590">
        <f>IF(A7taxstdlife="n/a","n/a",IF(BA$3&gt;(A7taxstdlife+$E560),(('PTRM input'!$G$149+'PTRM input'!$G$115)*$G$7)-SUM($G560:AZ560),(('PTRM input'!$G$149+'PTRM input'!$G$115)*$G$7)/A7taxstdlife))</f>
        <v>0</v>
      </c>
      <c r="BB560" s="590">
        <f>IF(A7taxstdlife="n/a","n/a",IF(BB$3&gt;(A7taxstdlife+$E560),(('PTRM input'!$G$149+'PTRM input'!$G$115)*$G$7)-SUM($G560:BA560),(('PTRM input'!$G$149+'PTRM input'!$G$115)*$G$7)/A7taxstdlife))</f>
        <v>0</v>
      </c>
      <c r="BC560" s="590">
        <f>IF(A7taxstdlife="n/a","n/a",IF(BC$3&gt;(A7taxstdlife+$E560),(('PTRM input'!$G$149+'PTRM input'!$G$115)*$G$7)-SUM($G560:BB560),(('PTRM input'!$G$149+'PTRM input'!$G$115)*$G$7)/A7taxstdlife))</f>
        <v>0</v>
      </c>
      <c r="BD560" s="590">
        <f>IF(A7taxstdlife="n/a","n/a",IF(BD$3&gt;(A7taxstdlife+$E560),(('PTRM input'!$G$149+'PTRM input'!$G$115)*$G$7)-SUM($G560:BC560),(('PTRM input'!$G$149+'PTRM input'!$G$115)*$G$7)/A7taxstdlife))</f>
        <v>0</v>
      </c>
      <c r="BE560" s="590">
        <f>IF(A7taxstdlife="n/a","n/a",IF(BE$3&gt;(A7taxstdlife+$E560),(('PTRM input'!$G$149+'PTRM input'!$G$115)*$G$7)-SUM($G560:BD560),(('PTRM input'!$G$149+'PTRM input'!$G$115)*$G$7)/A7taxstdlife))</f>
        <v>0</v>
      </c>
      <c r="BF560" s="590">
        <f>IF(A7taxstdlife="n/a","n/a",IF(BF$3&gt;(A7taxstdlife+$E560),(('PTRM input'!$G$149+'PTRM input'!$G$115)*$G$7)-SUM($G560:BE560),(('PTRM input'!$G$149+'PTRM input'!$G$115)*$G$7)/A7taxstdlife))</f>
        <v>0</v>
      </c>
      <c r="BG560" s="590">
        <f>IF(A7taxstdlife="n/a","n/a",IF(BG$3&gt;(A7taxstdlife+$E560),(('PTRM input'!$G$149+'PTRM input'!$G$115)*$G$7)-SUM($G560:BF560),(('PTRM input'!$G$149+'PTRM input'!$G$115)*$G$7)/A7taxstdlife))</f>
        <v>0</v>
      </c>
      <c r="BH560" s="590">
        <f>IF(A7taxstdlife="n/a","n/a",IF(BH$3&gt;(A7taxstdlife+$E560),(('PTRM input'!$G$149+'PTRM input'!$G$115)*$G$7)-SUM($G560:BG560),(('PTRM input'!$G$149+'PTRM input'!$G$115)*$G$7)/A7taxstdlife))</f>
        <v>0</v>
      </c>
      <c r="BI560" s="590">
        <f>IF(A7taxstdlife="n/a","n/a",IF(BI$3&gt;(A7taxstdlife+$E560),(('PTRM input'!$G$149+'PTRM input'!$G$115)*$G$7)-SUM($G560:BH560),(('PTRM input'!$G$149+'PTRM input'!$G$115)*$G$7)/A7taxstdlife))</f>
        <v>0</v>
      </c>
      <c r="BJ560" s="240"/>
      <c r="BK560" s="240"/>
      <c r="BL560" s="240"/>
      <c r="BM560" s="240"/>
    </row>
    <row r="561" spans="1:65" s="4" customFormat="1" hidden="1" outlineLevel="2">
      <c r="A561" s="240"/>
      <c r="B561" s="240"/>
      <c r="C561" s="595"/>
      <c r="D561" s="1618"/>
      <c r="E561" s="169">
        <v>2</v>
      </c>
      <c r="F561" s="35"/>
      <c r="G561" s="184"/>
      <c r="H561" s="185"/>
      <c r="I561" s="107">
        <f>IF(A7taxstdlife="n/a","n/a",IF(I$3&gt;(A7taxstdlife+$E561),(('PTRM input'!$H$149+'PTRM input'!$H$115)*$H$7)-SUM($H561:H561),(('PTRM input'!$H$149+'PTRM input'!$H$115)*$H$7)/A7taxstdlife))</f>
        <v>0</v>
      </c>
      <c r="J561" s="107">
        <f>IF(A7taxstdlife="n/a","n/a",IF(J$3&gt;(A7taxstdlife+$E561),(('PTRM input'!$H$149+'PTRM input'!$H$115)*$H$7)-SUM($H561:I561),(('PTRM input'!$H$149+'PTRM input'!$H$115)*$H$7)/A7taxstdlife))</f>
        <v>0</v>
      </c>
      <c r="K561" s="107">
        <f>IF(A7taxstdlife="n/a","n/a",IF(K$3&gt;(A7taxstdlife+$E561),(('PTRM input'!$H$149+'PTRM input'!$H$115)*$H$7)-SUM($H561:J561),(('PTRM input'!$H$149+'PTRM input'!$H$115)*$H$7)/A7taxstdlife))</f>
        <v>0</v>
      </c>
      <c r="L561" s="107">
        <f>IF(A7taxstdlife="n/a","n/a",IF(L$3&gt;(A7taxstdlife+$E561),(('PTRM input'!$H$149+'PTRM input'!$H$115)*$H$7)-SUM($H561:K561),(('PTRM input'!$H$149+'PTRM input'!$H$115)*$H$7)/A7taxstdlife))</f>
        <v>0</v>
      </c>
      <c r="M561" s="107">
        <f>IF(A7taxstdlife="n/a","n/a",IF(M$3&gt;(A7taxstdlife+$E561),(('PTRM input'!$H$149+'PTRM input'!$H$115)*$H$7)-SUM($H561:L561),(('PTRM input'!$H$149+'PTRM input'!$H$115)*$H$7)/A7taxstdlife))</f>
        <v>0</v>
      </c>
      <c r="N561" s="107">
        <f>IF(A7taxstdlife="n/a","n/a",IF(N$3&gt;(A7taxstdlife+$E561),(('PTRM input'!$H$149+'PTRM input'!$H$115)*$H$7)-SUM($H561:M561),(('PTRM input'!$H$149+'PTRM input'!$H$115)*$H$7)/A7taxstdlife))</f>
        <v>0</v>
      </c>
      <c r="O561" s="107">
        <f>IF(A7taxstdlife="n/a","n/a",IF(O$3&gt;(A7taxstdlife+$E561),(('PTRM input'!$H$149+'PTRM input'!$H$115)*$H$7)-SUM($H561:N561),(('PTRM input'!$H$149+'PTRM input'!$H$115)*$H$7)/A7taxstdlife))</f>
        <v>0</v>
      </c>
      <c r="P561" s="107">
        <f>IF(A7taxstdlife="n/a","n/a",IF(P$3&gt;(A7taxstdlife+$E561),(('PTRM input'!$H$149+'PTRM input'!$H$115)*$H$7)-SUM($H561:O561),(('PTRM input'!$H$149+'PTRM input'!$H$115)*$H$7)/A7taxstdlife))</f>
        <v>0</v>
      </c>
      <c r="Q561" s="590">
        <f>IF(A7taxstdlife="n/a","n/a",IF(Q$3&gt;(A7taxstdlife+$E561),(('PTRM input'!$H$149+'PTRM input'!$H$115)*$H$7)-SUM($H561:P561),(('PTRM input'!$H$149+'PTRM input'!$H$115)*$H$7)/A7taxstdlife))</f>
        <v>0</v>
      </c>
      <c r="R561" s="590">
        <f>IF(A7taxstdlife="n/a","n/a",IF(R$3&gt;(A7taxstdlife+$E561),(('PTRM input'!$H$149+'PTRM input'!$H$115)*$H$7)-SUM($H561:Q561),(('PTRM input'!$H$149+'PTRM input'!$H$115)*$H$7)/A7taxstdlife))</f>
        <v>0</v>
      </c>
      <c r="S561" s="590">
        <f>IF(A7taxstdlife="n/a","n/a",IF(S$3&gt;(A7taxstdlife+$E561),(('PTRM input'!$H$149+'PTRM input'!$H$115)*$H$7)-SUM($H561:R561),(('PTRM input'!$H$149+'PTRM input'!$H$115)*$H$7)/A7taxstdlife))</f>
        <v>0</v>
      </c>
      <c r="T561" s="590">
        <f>IF(A7taxstdlife="n/a","n/a",IF(T$3&gt;(A7taxstdlife+$E561),(('PTRM input'!$H$149+'PTRM input'!$H$115)*$H$7)-SUM($H561:S561),(('PTRM input'!$H$149+'PTRM input'!$H$115)*$H$7)/A7taxstdlife))</f>
        <v>0</v>
      </c>
      <c r="U561" s="590">
        <f>IF(A7taxstdlife="n/a","n/a",IF(U$3&gt;(A7taxstdlife+$E561),(('PTRM input'!$H$149+'PTRM input'!$H$115)*$H$7)-SUM($H561:T561),(('PTRM input'!$H$149+'PTRM input'!$H$115)*$H$7)/A7taxstdlife))</f>
        <v>0</v>
      </c>
      <c r="V561" s="590">
        <f>IF(A7taxstdlife="n/a","n/a",IF(V$3&gt;(A7taxstdlife+$E561),(('PTRM input'!$H$149+'PTRM input'!$H$115)*$H$7)-SUM($H561:U561),(('PTRM input'!$H$149+'PTRM input'!$H$115)*$H$7)/A7taxstdlife))</f>
        <v>0</v>
      </c>
      <c r="W561" s="590">
        <f>IF(A7taxstdlife="n/a","n/a",IF(W$3&gt;(A7taxstdlife+$E561),(('PTRM input'!$H$149+'PTRM input'!$H$115)*$H$7)-SUM($H561:V561),(('PTRM input'!$H$149+'PTRM input'!$H$115)*$H$7)/A7taxstdlife))</f>
        <v>0</v>
      </c>
      <c r="X561" s="590">
        <f>IF(A7taxstdlife="n/a","n/a",IF(X$3&gt;(A7taxstdlife+$E561),(('PTRM input'!$H$149+'PTRM input'!$H$115)*$H$7)-SUM($H561:W561),(('PTRM input'!$H$149+'PTRM input'!$H$115)*$H$7)/A7taxstdlife))</f>
        <v>0</v>
      </c>
      <c r="Y561" s="590">
        <f>IF(A7taxstdlife="n/a","n/a",IF(Y$3&gt;(A7taxstdlife+$E561),(('PTRM input'!$H$149+'PTRM input'!$H$115)*$H$7)-SUM($H561:X561),(('PTRM input'!$H$149+'PTRM input'!$H$115)*$H$7)/A7taxstdlife))</f>
        <v>0</v>
      </c>
      <c r="Z561" s="590">
        <f>IF(A7taxstdlife="n/a","n/a",IF(Z$3&gt;(A7taxstdlife+$E561),(('PTRM input'!$H$149+'PTRM input'!$H$115)*$H$7)-SUM($H561:Y561),(('PTRM input'!$H$149+'PTRM input'!$H$115)*$H$7)/A7taxstdlife))</f>
        <v>0</v>
      </c>
      <c r="AA561" s="590">
        <f>IF(A7taxstdlife="n/a","n/a",IF(AA$3&gt;(A7taxstdlife+$E561),(('PTRM input'!$H$149+'PTRM input'!$H$115)*$H$7)-SUM($H561:Z561),(('PTRM input'!$H$149+'PTRM input'!$H$115)*$H$7)/A7taxstdlife))</f>
        <v>0</v>
      </c>
      <c r="AB561" s="590">
        <f>IF(A7taxstdlife="n/a","n/a",IF(AB$3&gt;(A7taxstdlife+$E561),(('PTRM input'!$H$149+'PTRM input'!$H$115)*$H$7)-SUM($H561:AA561),(('PTRM input'!$H$149+'PTRM input'!$H$115)*$H$7)/A7taxstdlife))</f>
        <v>0</v>
      </c>
      <c r="AC561" s="590">
        <f>IF(A7taxstdlife="n/a","n/a",IF(AC$3&gt;(A7taxstdlife+$E561),(('PTRM input'!$H$149+'PTRM input'!$H$115)*$H$7)-SUM($H561:AB561),(('PTRM input'!$H$149+'PTRM input'!$H$115)*$H$7)/A7taxstdlife))</f>
        <v>0</v>
      </c>
      <c r="AD561" s="590">
        <f>IF(A7taxstdlife="n/a","n/a",IF(AD$3&gt;(A7taxstdlife+$E561),(('PTRM input'!$H$149+'PTRM input'!$H$115)*$H$7)-SUM($H561:AC561),(('PTRM input'!$H$149+'PTRM input'!$H$115)*$H$7)/A7taxstdlife))</f>
        <v>0</v>
      </c>
      <c r="AE561" s="590">
        <f>IF(A7taxstdlife="n/a","n/a",IF(AE$3&gt;(A7taxstdlife+$E561),(('PTRM input'!$H$149+'PTRM input'!$H$115)*$H$7)-SUM($H561:AD561),(('PTRM input'!$H$149+'PTRM input'!$H$115)*$H$7)/A7taxstdlife))</f>
        <v>0</v>
      </c>
      <c r="AF561" s="590">
        <f>IF(A7taxstdlife="n/a","n/a",IF(AF$3&gt;(A7taxstdlife+$E561),(('PTRM input'!$H$149+'PTRM input'!$H$115)*$H$7)-SUM($H561:AE561),(('PTRM input'!$H$149+'PTRM input'!$H$115)*$H$7)/A7taxstdlife))</f>
        <v>0</v>
      </c>
      <c r="AG561" s="590">
        <f>IF(A7taxstdlife="n/a","n/a",IF(AG$3&gt;(A7taxstdlife+$E561),(('PTRM input'!$H$149+'PTRM input'!$H$115)*$H$7)-SUM($H561:AF561),(('PTRM input'!$H$149+'PTRM input'!$H$115)*$H$7)/A7taxstdlife))</f>
        <v>0</v>
      </c>
      <c r="AH561" s="590">
        <f>IF(A7taxstdlife="n/a","n/a",IF(AH$3&gt;(A7taxstdlife+$E561),(('PTRM input'!$H$149+'PTRM input'!$H$115)*$H$7)-SUM($H561:AG561),(('PTRM input'!$H$149+'PTRM input'!$H$115)*$H$7)/A7taxstdlife))</f>
        <v>0</v>
      </c>
      <c r="AI561" s="590">
        <f>IF(A7taxstdlife="n/a","n/a",IF(AI$3&gt;(A7taxstdlife+$E561),(('PTRM input'!$H$149+'PTRM input'!$H$115)*$H$7)-SUM($H561:AH561),(('PTRM input'!$H$149+'PTRM input'!$H$115)*$H$7)/A7taxstdlife))</f>
        <v>0</v>
      </c>
      <c r="AJ561" s="590">
        <f>IF(A7taxstdlife="n/a","n/a",IF(AJ$3&gt;(A7taxstdlife+$E561),(('PTRM input'!$H$149+'PTRM input'!$H$115)*$H$7)-SUM($H561:AI561),(('PTRM input'!$H$149+'PTRM input'!$H$115)*$H$7)/A7taxstdlife))</f>
        <v>0</v>
      </c>
      <c r="AK561" s="590">
        <f>IF(A7taxstdlife="n/a","n/a",IF(AK$3&gt;(A7taxstdlife+$E561),(('PTRM input'!$H$149+'PTRM input'!$H$115)*$H$7)-SUM($H561:AJ561),(('PTRM input'!$H$149+'PTRM input'!$H$115)*$H$7)/A7taxstdlife))</f>
        <v>0</v>
      </c>
      <c r="AL561" s="590">
        <f>IF(A7taxstdlife="n/a","n/a",IF(AL$3&gt;(A7taxstdlife+$E561),(('PTRM input'!$H$149+'PTRM input'!$H$115)*$H$7)-SUM($H561:AK561),(('PTRM input'!$H$149+'PTRM input'!$H$115)*$H$7)/A7taxstdlife))</f>
        <v>0</v>
      </c>
      <c r="AM561" s="590">
        <f>IF(A7taxstdlife="n/a","n/a",IF(AM$3&gt;(A7taxstdlife+$E561),(('PTRM input'!$H$149+'PTRM input'!$H$115)*$H$7)-SUM($H561:AL561),(('PTRM input'!$H$149+'PTRM input'!$H$115)*$H$7)/A7taxstdlife))</f>
        <v>0</v>
      </c>
      <c r="AN561" s="590">
        <f>IF(A7taxstdlife="n/a","n/a",IF(AN$3&gt;(A7taxstdlife+$E561),(('PTRM input'!$H$149+'PTRM input'!$H$115)*$H$7)-SUM($H561:AM561),(('PTRM input'!$H$149+'PTRM input'!$H$115)*$H$7)/A7taxstdlife))</f>
        <v>0</v>
      </c>
      <c r="AO561" s="590">
        <f>IF(A7taxstdlife="n/a","n/a",IF(AO$3&gt;(A7taxstdlife+$E561),(('PTRM input'!$H$149+'PTRM input'!$H$115)*$H$7)-SUM($H561:AN561),(('PTRM input'!$H$149+'PTRM input'!$H$115)*$H$7)/A7taxstdlife))</f>
        <v>0</v>
      </c>
      <c r="AP561" s="590">
        <f>IF(A7taxstdlife="n/a","n/a",IF(AP$3&gt;(A7taxstdlife+$E561),(('PTRM input'!$H$149+'PTRM input'!$H$115)*$H$7)-SUM($H561:AO561),(('PTRM input'!$H$149+'PTRM input'!$H$115)*$H$7)/A7taxstdlife))</f>
        <v>0</v>
      </c>
      <c r="AQ561" s="590">
        <f>IF(A7taxstdlife="n/a","n/a",IF(AQ$3&gt;(A7taxstdlife+$E561),(('PTRM input'!$H$149+'PTRM input'!$H$115)*$H$7)-SUM($H561:AP561),(('PTRM input'!$H$149+'PTRM input'!$H$115)*$H$7)/A7taxstdlife))</f>
        <v>0</v>
      </c>
      <c r="AR561" s="590">
        <f>IF(A7taxstdlife="n/a","n/a",IF(AR$3&gt;(A7taxstdlife+$E561),(('PTRM input'!$H$149+'PTRM input'!$H$115)*$H$7)-SUM($H561:AQ561),(('PTRM input'!$H$149+'PTRM input'!$H$115)*$H$7)/A7taxstdlife))</f>
        <v>0</v>
      </c>
      <c r="AS561" s="590">
        <f>IF(A7taxstdlife="n/a","n/a",IF(AS$3&gt;(A7taxstdlife+$E561),(('PTRM input'!$H$149+'PTRM input'!$H$115)*$H$7)-SUM($H561:AR561),(('PTRM input'!$H$149+'PTRM input'!$H$115)*$H$7)/A7taxstdlife))</f>
        <v>0</v>
      </c>
      <c r="AT561" s="590">
        <f>IF(A7taxstdlife="n/a","n/a",IF(AT$3&gt;(A7taxstdlife+$E561),(('PTRM input'!$H$149+'PTRM input'!$H$115)*$H$7)-SUM($H561:AS561),(('PTRM input'!$H$149+'PTRM input'!$H$115)*$H$7)/A7taxstdlife))</f>
        <v>0</v>
      </c>
      <c r="AU561" s="590">
        <f>IF(A7taxstdlife="n/a","n/a",IF(AU$3&gt;(A7taxstdlife+$E561),(('PTRM input'!$H$149+'PTRM input'!$H$115)*$H$7)-SUM($H561:AT561),(('PTRM input'!$H$149+'PTRM input'!$H$115)*$H$7)/A7taxstdlife))</f>
        <v>0</v>
      </c>
      <c r="AV561" s="590">
        <f>IF(A7taxstdlife="n/a","n/a",IF(AV$3&gt;(A7taxstdlife+$E561),(('PTRM input'!$H$149+'PTRM input'!$H$115)*$H$7)-SUM($H561:AU561),(('PTRM input'!$H$149+'PTRM input'!$H$115)*$H$7)/A7taxstdlife))</f>
        <v>0</v>
      </c>
      <c r="AW561" s="590">
        <f>IF(A7taxstdlife="n/a","n/a",IF(AW$3&gt;(A7taxstdlife+$E561),(('PTRM input'!$H$149+'PTRM input'!$H$115)*$H$7)-SUM($H561:AV561),(('PTRM input'!$H$149+'PTRM input'!$H$115)*$H$7)/A7taxstdlife))</f>
        <v>0</v>
      </c>
      <c r="AX561" s="590">
        <f>IF(A7taxstdlife="n/a","n/a",IF(AX$3&gt;(A7taxstdlife+$E561),(('PTRM input'!$H$149+'PTRM input'!$H$115)*$H$7)-SUM($H561:AW561),(('PTRM input'!$H$149+'PTRM input'!$H$115)*$H$7)/A7taxstdlife))</f>
        <v>0</v>
      </c>
      <c r="AY561" s="590">
        <f>IF(A7taxstdlife="n/a","n/a",IF(AY$3&gt;(A7taxstdlife+$E561),(('PTRM input'!$H$149+'PTRM input'!$H$115)*$H$7)-SUM($H561:AX561),(('PTRM input'!$H$149+'PTRM input'!$H$115)*$H$7)/A7taxstdlife))</f>
        <v>0</v>
      </c>
      <c r="AZ561" s="590">
        <f>IF(A7taxstdlife="n/a","n/a",IF(AZ$3&gt;(A7taxstdlife+$E561),(('PTRM input'!$H$149+'PTRM input'!$H$115)*$H$7)-SUM($H561:AY561),(('PTRM input'!$H$149+'PTRM input'!$H$115)*$H$7)/A7taxstdlife))</f>
        <v>0</v>
      </c>
      <c r="BA561" s="590">
        <f>IF(A7taxstdlife="n/a","n/a",IF(BA$3&gt;(A7taxstdlife+$E561),(('PTRM input'!$H$149+'PTRM input'!$H$115)*$H$7)-SUM($H561:AZ561),(('PTRM input'!$H$149+'PTRM input'!$H$115)*$H$7)/A7taxstdlife))</f>
        <v>0</v>
      </c>
      <c r="BB561" s="590">
        <f>IF(A7taxstdlife="n/a","n/a",IF(BB$3&gt;(A7taxstdlife+$E561),(('PTRM input'!$H$149+'PTRM input'!$H$115)*$H$7)-SUM($H561:BA561),(('PTRM input'!$H$149+'PTRM input'!$H$115)*$H$7)/A7taxstdlife))</f>
        <v>0</v>
      </c>
      <c r="BC561" s="590">
        <f>IF(A7taxstdlife="n/a","n/a",IF(BC$3&gt;(A7taxstdlife+$E561),(('PTRM input'!$H$149+'PTRM input'!$H$115)*$H$7)-SUM($H561:BB561),(('PTRM input'!$H$149+'PTRM input'!$H$115)*$H$7)/A7taxstdlife))</f>
        <v>0</v>
      </c>
      <c r="BD561" s="590">
        <f>IF(A7taxstdlife="n/a","n/a",IF(BD$3&gt;(A7taxstdlife+$E561),(('PTRM input'!$H$149+'PTRM input'!$H$115)*$H$7)-SUM($H561:BC561),(('PTRM input'!$H$149+'PTRM input'!$H$115)*$H$7)/A7taxstdlife))</f>
        <v>0</v>
      </c>
      <c r="BE561" s="590">
        <f>IF(A7taxstdlife="n/a","n/a",IF(BE$3&gt;(A7taxstdlife+$E561),(('PTRM input'!$H$149+'PTRM input'!$H$115)*$H$7)-SUM($H561:BD561),(('PTRM input'!$H$149+'PTRM input'!$H$115)*$H$7)/A7taxstdlife))</f>
        <v>0</v>
      </c>
      <c r="BF561" s="590">
        <f>IF(A7taxstdlife="n/a","n/a",IF(BF$3&gt;(A7taxstdlife+$E561),(('PTRM input'!$H$149+'PTRM input'!$H$115)*$H$7)-SUM($H561:BE561),(('PTRM input'!$H$149+'PTRM input'!$H$115)*$H$7)/A7taxstdlife))</f>
        <v>0</v>
      </c>
      <c r="BG561" s="590">
        <f>IF(A7taxstdlife="n/a","n/a",IF(BG$3&gt;(A7taxstdlife+$E561),(('PTRM input'!$H$149+'PTRM input'!$H$115)*$H$7)-SUM($H561:BF561),(('PTRM input'!$H$149+'PTRM input'!$H$115)*$H$7)/A7taxstdlife))</f>
        <v>0</v>
      </c>
      <c r="BH561" s="590">
        <f>IF(A7taxstdlife="n/a","n/a",IF(BH$3&gt;(A7taxstdlife+$E561),(('PTRM input'!$H$149+'PTRM input'!$H$115)*$H$7)-SUM($H561:BG561),(('PTRM input'!$H$149+'PTRM input'!$H$115)*$H$7)/A7taxstdlife))</f>
        <v>0</v>
      </c>
      <c r="BI561" s="590">
        <f>IF(A7taxstdlife="n/a","n/a",IF(BI$3&gt;(A7taxstdlife+$E561),(('PTRM input'!$H$149+'PTRM input'!$H$115)*$H$7)-SUM($H561:BH561),(('PTRM input'!$H$149+'PTRM input'!$H$115)*$H$7)/A7taxstdlife))</f>
        <v>0</v>
      </c>
      <c r="BJ561" s="240"/>
      <c r="BK561" s="240"/>
      <c r="BL561" s="240"/>
      <c r="BM561" s="240"/>
    </row>
    <row r="562" spans="1:65" s="4" customFormat="1" hidden="1" outlineLevel="2">
      <c r="A562" s="240"/>
      <c r="B562" s="240"/>
      <c r="C562" s="595"/>
      <c r="D562" s="1618"/>
      <c r="E562" s="169">
        <v>3</v>
      </c>
      <c r="F562" s="35"/>
      <c r="G562" s="184"/>
      <c r="H562" s="186"/>
      <c r="I562" s="185"/>
      <c r="J562" s="107">
        <f>IF(A7taxstdlife="n/a","n/a",IF(J$3&gt;(A7taxstdlife+$E562),(('PTRM input'!$I$149+'PTRM input'!$I$115)*$I$7)-SUM($I562:I562),(('PTRM input'!$I$149+'PTRM input'!$I$115)*$I$7)/A7taxstdlife))</f>
        <v>0</v>
      </c>
      <c r="K562" s="107">
        <f>IF(A7taxstdlife="n/a","n/a",IF(K$3&gt;(A7taxstdlife+$E562),(('PTRM input'!$I$149+'PTRM input'!$I$115)*$I$7)-SUM($I562:J562),(('PTRM input'!$I$149+'PTRM input'!$I$115)*$I$7)/A7taxstdlife))</f>
        <v>0</v>
      </c>
      <c r="L562" s="107">
        <f>IF(A7taxstdlife="n/a","n/a",IF(L$3&gt;(A7taxstdlife+$E562),(('PTRM input'!$I$149+'PTRM input'!$I$115)*$I$7)-SUM($I562:K562),(('PTRM input'!$I$149+'PTRM input'!$I$115)*$I$7)/A7taxstdlife))</f>
        <v>0</v>
      </c>
      <c r="M562" s="107">
        <f>IF(A7taxstdlife="n/a","n/a",IF(M$3&gt;(A7taxstdlife+$E562),(('PTRM input'!$I$149+'PTRM input'!$I$115)*$I$7)-SUM($I562:L562),(('PTRM input'!$I$149+'PTRM input'!$I$115)*$I$7)/A7taxstdlife))</f>
        <v>0</v>
      </c>
      <c r="N562" s="107">
        <f>IF(A7taxstdlife="n/a","n/a",IF(N$3&gt;(A7taxstdlife+$E562),(('PTRM input'!$I$149+'PTRM input'!$I$115)*$I$7)-SUM($I562:M562),(('PTRM input'!$I$149+'PTRM input'!$I$115)*$I$7)/A7taxstdlife))</f>
        <v>0</v>
      </c>
      <c r="O562" s="107">
        <f>IF(A7taxstdlife="n/a","n/a",IF(O$3&gt;(A7taxstdlife+$E562),(('PTRM input'!$I$149+'PTRM input'!$I$115)*$I$7)-SUM($I562:N562),(('PTRM input'!$I$149+'PTRM input'!$I$115)*$I$7)/A7taxstdlife))</f>
        <v>0</v>
      </c>
      <c r="P562" s="107">
        <f>IF(A7taxstdlife="n/a","n/a",IF(P$3&gt;(A7taxstdlife+$E562),(('PTRM input'!$I$149+'PTRM input'!$I$115)*$I$7)-SUM($I562:O562),(('PTRM input'!$I$149+'PTRM input'!$I$115)*$I$7)/A7taxstdlife))</f>
        <v>0</v>
      </c>
      <c r="Q562" s="590">
        <f>IF(A7taxstdlife="n/a","n/a",IF(Q$3&gt;(A7taxstdlife+$E562),(('PTRM input'!$I$149+'PTRM input'!$I$115)*$I$7)-SUM($I562:P562),(('PTRM input'!$I$149+'PTRM input'!$I$115)*$I$7)/A7taxstdlife))</f>
        <v>0</v>
      </c>
      <c r="R562" s="590">
        <f>IF(A7taxstdlife="n/a","n/a",IF(R$3&gt;(A7taxstdlife+$E562),(('PTRM input'!$I$149+'PTRM input'!$I$115)*$I$7)-SUM($I562:Q562),(('PTRM input'!$I$149+'PTRM input'!$I$115)*$I$7)/A7taxstdlife))</f>
        <v>0</v>
      </c>
      <c r="S562" s="590">
        <f>IF(A7taxstdlife="n/a","n/a",IF(S$3&gt;(A7taxstdlife+$E562),(('PTRM input'!$I$149+'PTRM input'!$I$115)*$I$7)-SUM($I562:R562),(('PTRM input'!$I$149+'PTRM input'!$I$115)*$I$7)/A7taxstdlife))</f>
        <v>0</v>
      </c>
      <c r="T562" s="590">
        <f>IF(A7taxstdlife="n/a","n/a",IF(T$3&gt;(A7taxstdlife+$E562),(('PTRM input'!$I$149+'PTRM input'!$I$115)*$I$7)-SUM($I562:S562),(('PTRM input'!$I$149+'PTRM input'!$I$115)*$I$7)/A7taxstdlife))</f>
        <v>0</v>
      </c>
      <c r="U562" s="590">
        <f>IF(A7taxstdlife="n/a","n/a",IF(U$3&gt;(A7taxstdlife+$E562),(('PTRM input'!$I$149+'PTRM input'!$I$115)*$I$7)-SUM($I562:T562),(('PTRM input'!$I$149+'PTRM input'!$I$115)*$I$7)/A7taxstdlife))</f>
        <v>0</v>
      </c>
      <c r="V562" s="590">
        <f>IF(A7taxstdlife="n/a","n/a",IF(V$3&gt;(A7taxstdlife+$E562),(('PTRM input'!$I$149+'PTRM input'!$I$115)*$I$7)-SUM($I562:U562),(('PTRM input'!$I$149+'PTRM input'!$I$115)*$I$7)/A7taxstdlife))</f>
        <v>0</v>
      </c>
      <c r="W562" s="590">
        <f>IF(A7taxstdlife="n/a","n/a",IF(W$3&gt;(A7taxstdlife+$E562),(('PTRM input'!$I$149+'PTRM input'!$I$115)*$I$7)-SUM($I562:V562),(('PTRM input'!$I$149+'PTRM input'!$I$115)*$I$7)/A7taxstdlife))</f>
        <v>0</v>
      </c>
      <c r="X562" s="590">
        <f>IF(A7taxstdlife="n/a","n/a",IF(X$3&gt;(A7taxstdlife+$E562),(('PTRM input'!$I$149+'PTRM input'!$I$115)*$I$7)-SUM($I562:W562),(('PTRM input'!$I$149+'PTRM input'!$I$115)*$I$7)/A7taxstdlife))</f>
        <v>0</v>
      </c>
      <c r="Y562" s="590">
        <f>IF(A7taxstdlife="n/a","n/a",IF(Y$3&gt;(A7taxstdlife+$E562),(('PTRM input'!$I$149+'PTRM input'!$I$115)*$I$7)-SUM($I562:X562),(('PTRM input'!$I$149+'PTRM input'!$I$115)*$I$7)/A7taxstdlife))</f>
        <v>0</v>
      </c>
      <c r="Z562" s="590">
        <f>IF(A7taxstdlife="n/a","n/a",IF(Z$3&gt;(A7taxstdlife+$E562),(('PTRM input'!$I$149+'PTRM input'!$I$115)*$I$7)-SUM($I562:Y562),(('PTRM input'!$I$149+'PTRM input'!$I$115)*$I$7)/A7taxstdlife))</f>
        <v>0</v>
      </c>
      <c r="AA562" s="590">
        <f>IF(A7taxstdlife="n/a","n/a",IF(AA$3&gt;(A7taxstdlife+$E562),(('PTRM input'!$I$149+'PTRM input'!$I$115)*$I$7)-SUM($I562:Z562),(('PTRM input'!$I$149+'PTRM input'!$I$115)*$I$7)/A7taxstdlife))</f>
        <v>0</v>
      </c>
      <c r="AB562" s="590">
        <f>IF(A7taxstdlife="n/a","n/a",IF(AB$3&gt;(A7taxstdlife+$E562),(('PTRM input'!$I$149+'PTRM input'!$I$115)*$I$7)-SUM($I562:AA562),(('PTRM input'!$I$149+'PTRM input'!$I$115)*$I$7)/A7taxstdlife))</f>
        <v>0</v>
      </c>
      <c r="AC562" s="590">
        <f>IF(A7taxstdlife="n/a","n/a",IF(AC$3&gt;(A7taxstdlife+$E562),(('PTRM input'!$I$149+'PTRM input'!$I$115)*$I$7)-SUM($I562:AB562),(('PTRM input'!$I$149+'PTRM input'!$I$115)*$I$7)/A7taxstdlife))</f>
        <v>0</v>
      </c>
      <c r="AD562" s="590">
        <f>IF(A7taxstdlife="n/a","n/a",IF(AD$3&gt;(A7taxstdlife+$E562),(('PTRM input'!$I$149+'PTRM input'!$I$115)*$I$7)-SUM($I562:AC562),(('PTRM input'!$I$149+'PTRM input'!$I$115)*$I$7)/A7taxstdlife))</f>
        <v>0</v>
      </c>
      <c r="AE562" s="590">
        <f>IF(A7taxstdlife="n/a","n/a",IF(AE$3&gt;(A7taxstdlife+$E562),(('PTRM input'!$I$149+'PTRM input'!$I$115)*$I$7)-SUM($I562:AD562),(('PTRM input'!$I$149+'PTRM input'!$I$115)*$I$7)/A7taxstdlife))</f>
        <v>0</v>
      </c>
      <c r="AF562" s="590">
        <f>IF(A7taxstdlife="n/a","n/a",IF(AF$3&gt;(A7taxstdlife+$E562),(('PTRM input'!$I$149+'PTRM input'!$I$115)*$I$7)-SUM($I562:AE562),(('PTRM input'!$I$149+'PTRM input'!$I$115)*$I$7)/A7taxstdlife))</f>
        <v>0</v>
      </c>
      <c r="AG562" s="590">
        <f>IF(A7taxstdlife="n/a","n/a",IF(AG$3&gt;(A7taxstdlife+$E562),(('PTRM input'!$I$149+'PTRM input'!$I$115)*$I$7)-SUM($I562:AF562),(('PTRM input'!$I$149+'PTRM input'!$I$115)*$I$7)/A7taxstdlife))</f>
        <v>0</v>
      </c>
      <c r="AH562" s="590">
        <f>IF(A7taxstdlife="n/a","n/a",IF(AH$3&gt;(A7taxstdlife+$E562),(('PTRM input'!$I$149+'PTRM input'!$I$115)*$I$7)-SUM($I562:AG562),(('PTRM input'!$I$149+'PTRM input'!$I$115)*$I$7)/A7taxstdlife))</f>
        <v>0</v>
      </c>
      <c r="AI562" s="590">
        <f>IF(A7taxstdlife="n/a","n/a",IF(AI$3&gt;(A7taxstdlife+$E562),(('PTRM input'!$I$149+'PTRM input'!$I$115)*$I$7)-SUM($I562:AH562),(('PTRM input'!$I$149+'PTRM input'!$I$115)*$I$7)/A7taxstdlife))</f>
        <v>0</v>
      </c>
      <c r="AJ562" s="590">
        <f>IF(A7taxstdlife="n/a","n/a",IF(AJ$3&gt;(A7taxstdlife+$E562),(('PTRM input'!$I$149+'PTRM input'!$I$115)*$I$7)-SUM($I562:AI562),(('PTRM input'!$I$149+'PTRM input'!$I$115)*$I$7)/A7taxstdlife))</f>
        <v>0</v>
      </c>
      <c r="AK562" s="590">
        <f>IF(A7taxstdlife="n/a","n/a",IF(AK$3&gt;(A7taxstdlife+$E562),(('PTRM input'!$I$149+'PTRM input'!$I$115)*$I$7)-SUM($I562:AJ562),(('PTRM input'!$I$149+'PTRM input'!$I$115)*$I$7)/A7taxstdlife))</f>
        <v>0</v>
      </c>
      <c r="AL562" s="590">
        <f>IF(A7taxstdlife="n/a","n/a",IF(AL$3&gt;(A7taxstdlife+$E562),(('PTRM input'!$I$149+'PTRM input'!$I$115)*$I$7)-SUM($I562:AK562),(('PTRM input'!$I$149+'PTRM input'!$I$115)*$I$7)/A7taxstdlife))</f>
        <v>0</v>
      </c>
      <c r="AM562" s="590">
        <f>IF(A7taxstdlife="n/a","n/a",IF(AM$3&gt;(A7taxstdlife+$E562),(('PTRM input'!$I$149+'PTRM input'!$I$115)*$I$7)-SUM($I562:AL562),(('PTRM input'!$I$149+'PTRM input'!$I$115)*$I$7)/A7taxstdlife))</f>
        <v>0</v>
      </c>
      <c r="AN562" s="590">
        <f>IF(A7taxstdlife="n/a","n/a",IF(AN$3&gt;(A7taxstdlife+$E562),(('PTRM input'!$I$149+'PTRM input'!$I$115)*$I$7)-SUM($I562:AM562),(('PTRM input'!$I$149+'PTRM input'!$I$115)*$I$7)/A7taxstdlife))</f>
        <v>0</v>
      </c>
      <c r="AO562" s="590">
        <f>IF(A7taxstdlife="n/a","n/a",IF(AO$3&gt;(A7taxstdlife+$E562),(('PTRM input'!$I$149+'PTRM input'!$I$115)*$I$7)-SUM($I562:AN562),(('PTRM input'!$I$149+'PTRM input'!$I$115)*$I$7)/A7taxstdlife))</f>
        <v>0</v>
      </c>
      <c r="AP562" s="590">
        <f>IF(A7taxstdlife="n/a","n/a",IF(AP$3&gt;(A7taxstdlife+$E562),(('PTRM input'!$I$149+'PTRM input'!$I$115)*$I$7)-SUM($I562:AO562),(('PTRM input'!$I$149+'PTRM input'!$I$115)*$I$7)/A7taxstdlife))</f>
        <v>0</v>
      </c>
      <c r="AQ562" s="590">
        <f>IF(A7taxstdlife="n/a","n/a",IF(AQ$3&gt;(A7taxstdlife+$E562),(('PTRM input'!$I$149+'PTRM input'!$I$115)*$I$7)-SUM($I562:AP562),(('PTRM input'!$I$149+'PTRM input'!$I$115)*$I$7)/A7taxstdlife))</f>
        <v>0</v>
      </c>
      <c r="AR562" s="590">
        <f>IF(A7taxstdlife="n/a","n/a",IF(AR$3&gt;(A7taxstdlife+$E562),(('PTRM input'!$I$149+'PTRM input'!$I$115)*$I$7)-SUM($I562:AQ562),(('PTRM input'!$I$149+'PTRM input'!$I$115)*$I$7)/A7taxstdlife))</f>
        <v>0</v>
      </c>
      <c r="AS562" s="590">
        <f>IF(A7taxstdlife="n/a","n/a",IF(AS$3&gt;(A7taxstdlife+$E562),(('PTRM input'!$I$149+'PTRM input'!$I$115)*$I$7)-SUM($I562:AR562),(('PTRM input'!$I$149+'PTRM input'!$I$115)*$I$7)/A7taxstdlife))</f>
        <v>0</v>
      </c>
      <c r="AT562" s="590">
        <f>IF(A7taxstdlife="n/a","n/a",IF(AT$3&gt;(A7taxstdlife+$E562),(('PTRM input'!$I$149+'PTRM input'!$I$115)*$I$7)-SUM($I562:AS562),(('PTRM input'!$I$149+'PTRM input'!$I$115)*$I$7)/A7taxstdlife))</f>
        <v>0</v>
      </c>
      <c r="AU562" s="590">
        <f>IF(A7taxstdlife="n/a","n/a",IF(AU$3&gt;(A7taxstdlife+$E562),(('PTRM input'!$I$149+'PTRM input'!$I$115)*$I$7)-SUM($I562:AT562),(('PTRM input'!$I$149+'PTRM input'!$I$115)*$I$7)/A7taxstdlife))</f>
        <v>0</v>
      </c>
      <c r="AV562" s="590">
        <f>IF(A7taxstdlife="n/a","n/a",IF(AV$3&gt;(A7taxstdlife+$E562),(('PTRM input'!$I$149+'PTRM input'!$I$115)*$I$7)-SUM($I562:AU562),(('PTRM input'!$I$149+'PTRM input'!$I$115)*$I$7)/A7taxstdlife))</f>
        <v>0</v>
      </c>
      <c r="AW562" s="590">
        <f>IF(A7taxstdlife="n/a","n/a",IF(AW$3&gt;(A7taxstdlife+$E562),(('PTRM input'!$I$149+'PTRM input'!$I$115)*$I$7)-SUM($I562:AV562),(('PTRM input'!$I$149+'PTRM input'!$I$115)*$I$7)/A7taxstdlife))</f>
        <v>0</v>
      </c>
      <c r="AX562" s="590">
        <f>IF(A7taxstdlife="n/a","n/a",IF(AX$3&gt;(A7taxstdlife+$E562),(('PTRM input'!$I$149+'PTRM input'!$I$115)*$I$7)-SUM($I562:AW562),(('PTRM input'!$I$149+'PTRM input'!$I$115)*$I$7)/A7taxstdlife))</f>
        <v>0</v>
      </c>
      <c r="AY562" s="590">
        <f>IF(A7taxstdlife="n/a","n/a",IF(AY$3&gt;(A7taxstdlife+$E562),(('PTRM input'!$I$149+'PTRM input'!$I$115)*$I$7)-SUM($I562:AX562),(('PTRM input'!$I$149+'PTRM input'!$I$115)*$I$7)/A7taxstdlife))</f>
        <v>0</v>
      </c>
      <c r="AZ562" s="590">
        <f>IF(A7taxstdlife="n/a","n/a",IF(AZ$3&gt;(A7taxstdlife+$E562),(('PTRM input'!$I$149+'PTRM input'!$I$115)*$I$7)-SUM($I562:AY562),(('PTRM input'!$I$149+'PTRM input'!$I$115)*$I$7)/A7taxstdlife))</f>
        <v>0</v>
      </c>
      <c r="BA562" s="590">
        <f>IF(A7taxstdlife="n/a","n/a",IF(BA$3&gt;(A7taxstdlife+$E562),(('PTRM input'!$I$149+'PTRM input'!$I$115)*$I$7)-SUM($I562:AZ562),(('PTRM input'!$I$149+'PTRM input'!$I$115)*$I$7)/A7taxstdlife))</f>
        <v>0</v>
      </c>
      <c r="BB562" s="590">
        <f>IF(A7taxstdlife="n/a","n/a",IF(BB$3&gt;(A7taxstdlife+$E562),(('PTRM input'!$I$149+'PTRM input'!$I$115)*$I$7)-SUM($I562:BA562),(('PTRM input'!$I$149+'PTRM input'!$I$115)*$I$7)/A7taxstdlife))</f>
        <v>0</v>
      </c>
      <c r="BC562" s="590">
        <f>IF(A7taxstdlife="n/a","n/a",IF(BC$3&gt;(A7taxstdlife+$E562),(('PTRM input'!$I$149+'PTRM input'!$I$115)*$I$7)-SUM($I562:BB562),(('PTRM input'!$I$149+'PTRM input'!$I$115)*$I$7)/A7taxstdlife))</f>
        <v>0</v>
      </c>
      <c r="BD562" s="590">
        <f>IF(A7taxstdlife="n/a","n/a",IF(BD$3&gt;(A7taxstdlife+$E562),(('PTRM input'!$I$149+'PTRM input'!$I$115)*$I$7)-SUM($I562:BC562),(('PTRM input'!$I$149+'PTRM input'!$I$115)*$I$7)/A7taxstdlife))</f>
        <v>0</v>
      </c>
      <c r="BE562" s="590">
        <f>IF(A7taxstdlife="n/a","n/a",IF(BE$3&gt;(A7taxstdlife+$E562),(('PTRM input'!$I$149+'PTRM input'!$I$115)*$I$7)-SUM($I562:BD562),(('PTRM input'!$I$149+'PTRM input'!$I$115)*$I$7)/A7taxstdlife))</f>
        <v>0</v>
      </c>
      <c r="BF562" s="590">
        <f>IF(A7taxstdlife="n/a","n/a",IF(BF$3&gt;(A7taxstdlife+$E562),(('PTRM input'!$I$149+'PTRM input'!$I$115)*$I$7)-SUM($I562:BE562),(('PTRM input'!$I$149+'PTRM input'!$I$115)*$I$7)/A7taxstdlife))</f>
        <v>0</v>
      </c>
      <c r="BG562" s="590">
        <f>IF(A7taxstdlife="n/a","n/a",IF(BG$3&gt;(A7taxstdlife+$E562),(('PTRM input'!$I$149+'PTRM input'!$I$115)*$I$7)-SUM($I562:BF562),(('PTRM input'!$I$149+'PTRM input'!$I$115)*$I$7)/A7taxstdlife))</f>
        <v>0</v>
      </c>
      <c r="BH562" s="590">
        <f>IF(A7taxstdlife="n/a","n/a",IF(BH$3&gt;(A7taxstdlife+$E562),(('PTRM input'!$I$149+'PTRM input'!$I$115)*$I$7)-SUM($I562:BG562),(('PTRM input'!$I$149+'PTRM input'!$I$115)*$I$7)/A7taxstdlife))</f>
        <v>0</v>
      </c>
      <c r="BI562" s="590">
        <f>IF(A7taxstdlife="n/a","n/a",IF(BI$3&gt;(A7taxstdlife+$E562),(('PTRM input'!$I$149+'PTRM input'!$I$115)*$I$7)-SUM($I562:BH562),(('PTRM input'!$I$149+'PTRM input'!$I$115)*$I$7)/A7taxstdlife))</f>
        <v>0</v>
      </c>
      <c r="BJ562" s="240"/>
      <c r="BK562" s="240"/>
      <c r="BL562" s="240"/>
      <c r="BM562" s="240"/>
    </row>
    <row r="563" spans="1:65" s="4" customFormat="1" hidden="1" outlineLevel="2">
      <c r="A563" s="240"/>
      <c r="B563" s="240"/>
      <c r="C563" s="595"/>
      <c r="D563" s="1618"/>
      <c r="E563" s="169">
        <v>4</v>
      </c>
      <c r="F563" s="35"/>
      <c r="G563" s="184"/>
      <c r="H563" s="186"/>
      <c r="I563" s="186"/>
      <c r="J563" s="185"/>
      <c r="K563" s="107">
        <f>IF(A7taxstdlife="n/a","n/a",IF(K$3&gt;(A7taxstdlife+$E563),(('PTRM input'!$J$149+'PTRM input'!$J$115)*$J$7)-SUM($J563:J563),(('PTRM input'!$J$149+'PTRM input'!$J$115)*$J$7)/A7taxstdlife))</f>
        <v>0</v>
      </c>
      <c r="L563" s="107">
        <f>IF(A7taxstdlife="n/a","n/a",IF(L$3&gt;(A7taxstdlife+$E563),(('PTRM input'!$J$149+'PTRM input'!$J$115)*$J$7)-SUM($J563:K563),(('PTRM input'!$J$149+'PTRM input'!$J$115)*$J$7)/A7taxstdlife))</f>
        <v>0</v>
      </c>
      <c r="M563" s="107">
        <f>IF(A7taxstdlife="n/a","n/a",IF(M$3&gt;(A7taxstdlife+$E563),(('PTRM input'!$J$149+'PTRM input'!$J$115)*$J$7)-SUM($J563:L563),(('PTRM input'!$J$149+'PTRM input'!$J$115)*$J$7)/A7taxstdlife))</f>
        <v>0</v>
      </c>
      <c r="N563" s="107">
        <f>IF(A7taxstdlife="n/a","n/a",IF(N$3&gt;(A7taxstdlife+$E563),(('PTRM input'!$J$149+'PTRM input'!$J$115)*$J$7)-SUM($J563:M563),(('PTRM input'!$J$149+'PTRM input'!$J$115)*$J$7)/A7taxstdlife))</f>
        <v>0</v>
      </c>
      <c r="O563" s="107">
        <f>IF(A7taxstdlife="n/a","n/a",IF(O$3&gt;(A7taxstdlife+$E563),(('PTRM input'!$J$149+'PTRM input'!$J$115)*$J$7)-SUM($J563:N563),(('PTRM input'!$J$149+'PTRM input'!$J$115)*$J$7)/A7taxstdlife))</f>
        <v>0</v>
      </c>
      <c r="P563" s="107">
        <f>IF(A7taxstdlife="n/a","n/a",IF(P$3&gt;(A7taxstdlife+$E563),(('PTRM input'!$J$149+'PTRM input'!$J$115)*$J$7)-SUM($J563:O563),(('PTRM input'!$J$149+'PTRM input'!$J$115)*$J$7)/A7taxstdlife))</f>
        <v>0</v>
      </c>
      <c r="Q563" s="590">
        <f>IF(A7taxstdlife="n/a","n/a",IF(Q$3&gt;(A7taxstdlife+$E563),(('PTRM input'!$J$149+'PTRM input'!$J$115)*$J$7)-SUM($J563:P563),(('PTRM input'!$J$149+'PTRM input'!$J$115)*$J$7)/A7taxstdlife))</f>
        <v>0</v>
      </c>
      <c r="R563" s="590">
        <f>IF(A7taxstdlife="n/a","n/a",IF(R$3&gt;(A7taxstdlife+$E563),(('PTRM input'!$J$149+'PTRM input'!$J$115)*$J$7)-SUM($J563:Q563),(('PTRM input'!$J$149+'PTRM input'!$J$115)*$J$7)/A7taxstdlife))</f>
        <v>0</v>
      </c>
      <c r="S563" s="590">
        <f>IF(A7taxstdlife="n/a","n/a",IF(S$3&gt;(A7taxstdlife+$E563),(('PTRM input'!$J$149+'PTRM input'!$J$115)*$J$7)-SUM($J563:R563),(('PTRM input'!$J$149+'PTRM input'!$J$115)*$J$7)/A7taxstdlife))</f>
        <v>0</v>
      </c>
      <c r="T563" s="590">
        <f>IF(A7taxstdlife="n/a","n/a",IF(T$3&gt;(A7taxstdlife+$E563),(('PTRM input'!$J$149+'PTRM input'!$J$115)*$J$7)-SUM($J563:S563),(('PTRM input'!$J$149+'PTRM input'!$J$115)*$J$7)/A7taxstdlife))</f>
        <v>0</v>
      </c>
      <c r="U563" s="590">
        <f>IF(A7taxstdlife="n/a","n/a",IF(U$3&gt;(A7taxstdlife+$E563),(('PTRM input'!$J$149+'PTRM input'!$J$115)*$J$7)-SUM($J563:T563),(('PTRM input'!$J$149+'PTRM input'!$J$115)*$J$7)/A7taxstdlife))</f>
        <v>0</v>
      </c>
      <c r="V563" s="590">
        <f>IF(A7taxstdlife="n/a","n/a",IF(V$3&gt;(A7taxstdlife+$E563),(('PTRM input'!$J$149+'PTRM input'!$J$115)*$J$7)-SUM($J563:U563),(('PTRM input'!$J$149+'PTRM input'!$J$115)*$J$7)/A7taxstdlife))</f>
        <v>0</v>
      </c>
      <c r="W563" s="590">
        <f>IF(A7taxstdlife="n/a","n/a",IF(W$3&gt;(A7taxstdlife+$E563),(('PTRM input'!$J$149+'PTRM input'!$J$115)*$J$7)-SUM($J563:V563),(('PTRM input'!$J$149+'PTRM input'!$J$115)*$J$7)/A7taxstdlife))</f>
        <v>0</v>
      </c>
      <c r="X563" s="590">
        <f>IF(A7taxstdlife="n/a","n/a",IF(X$3&gt;(A7taxstdlife+$E563),(('PTRM input'!$J$149+'PTRM input'!$J$115)*$J$7)-SUM($J563:W563),(('PTRM input'!$J$149+'PTRM input'!$J$115)*$J$7)/A7taxstdlife))</f>
        <v>0</v>
      </c>
      <c r="Y563" s="590">
        <f>IF(A7taxstdlife="n/a","n/a",IF(Y$3&gt;(A7taxstdlife+$E563),(('PTRM input'!$J$149+'PTRM input'!$J$115)*$J$7)-SUM($J563:X563),(('PTRM input'!$J$149+'PTRM input'!$J$115)*$J$7)/A7taxstdlife))</f>
        <v>0</v>
      </c>
      <c r="Z563" s="590">
        <f>IF(A7taxstdlife="n/a","n/a",IF(Z$3&gt;(A7taxstdlife+$E563),(('PTRM input'!$J$149+'PTRM input'!$J$115)*$J$7)-SUM($J563:Y563),(('PTRM input'!$J$149+'PTRM input'!$J$115)*$J$7)/A7taxstdlife))</f>
        <v>0</v>
      </c>
      <c r="AA563" s="590">
        <f>IF(A7taxstdlife="n/a","n/a",IF(AA$3&gt;(A7taxstdlife+$E563),(('PTRM input'!$J$149+'PTRM input'!$J$115)*$J$7)-SUM($J563:Z563),(('PTRM input'!$J$149+'PTRM input'!$J$115)*$J$7)/A7taxstdlife))</f>
        <v>0</v>
      </c>
      <c r="AB563" s="590">
        <f>IF(A7taxstdlife="n/a","n/a",IF(AB$3&gt;(A7taxstdlife+$E563),(('PTRM input'!$J$149+'PTRM input'!$J$115)*$J$7)-SUM($J563:AA563),(('PTRM input'!$J$149+'PTRM input'!$J$115)*$J$7)/A7taxstdlife))</f>
        <v>0</v>
      </c>
      <c r="AC563" s="590">
        <f>IF(A7taxstdlife="n/a","n/a",IF(AC$3&gt;(A7taxstdlife+$E563),(('PTRM input'!$J$149+'PTRM input'!$J$115)*$J$7)-SUM($J563:AB563),(('PTRM input'!$J$149+'PTRM input'!$J$115)*$J$7)/A7taxstdlife))</f>
        <v>0</v>
      </c>
      <c r="AD563" s="590">
        <f>IF(A7taxstdlife="n/a","n/a",IF(AD$3&gt;(A7taxstdlife+$E563),(('PTRM input'!$J$149+'PTRM input'!$J$115)*$J$7)-SUM($J563:AC563),(('PTRM input'!$J$149+'PTRM input'!$J$115)*$J$7)/A7taxstdlife))</f>
        <v>0</v>
      </c>
      <c r="AE563" s="590">
        <f>IF(A7taxstdlife="n/a","n/a",IF(AE$3&gt;(A7taxstdlife+$E563),(('PTRM input'!$J$149+'PTRM input'!$J$115)*$J$7)-SUM($J563:AD563),(('PTRM input'!$J$149+'PTRM input'!$J$115)*$J$7)/A7taxstdlife))</f>
        <v>0</v>
      </c>
      <c r="AF563" s="590">
        <f>IF(A7taxstdlife="n/a","n/a",IF(AF$3&gt;(A7taxstdlife+$E563),(('PTRM input'!$J$149+'PTRM input'!$J$115)*$J$7)-SUM($J563:AE563),(('PTRM input'!$J$149+'PTRM input'!$J$115)*$J$7)/A7taxstdlife))</f>
        <v>0</v>
      </c>
      <c r="AG563" s="590">
        <f>IF(A7taxstdlife="n/a","n/a",IF(AG$3&gt;(A7taxstdlife+$E563),(('PTRM input'!$J$149+'PTRM input'!$J$115)*$J$7)-SUM($J563:AF563),(('PTRM input'!$J$149+'PTRM input'!$J$115)*$J$7)/A7taxstdlife))</f>
        <v>0</v>
      </c>
      <c r="AH563" s="590">
        <f>IF(A7taxstdlife="n/a","n/a",IF(AH$3&gt;(A7taxstdlife+$E563),(('PTRM input'!$J$149+'PTRM input'!$J$115)*$J$7)-SUM($J563:AG563),(('PTRM input'!$J$149+'PTRM input'!$J$115)*$J$7)/A7taxstdlife))</f>
        <v>0</v>
      </c>
      <c r="AI563" s="590">
        <f>IF(A7taxstdlife="n/a","n/a",IF(AI$3&gt;(A7taxstdlife+$E563),(('PTRM input'!$J$149+'PTRM input'!$J$115)*$J$7)-SUM($J563:AH563),(('PTRM input'!$J$149+'PTRM input'!$J$115)*$J$7)/A7taxstdlife))</f>
        <v>0</v>
      </c>
      <c r="AJ563" s="590">
        <f>IF(A7taxstdlife="n/a","n/a",IF(AJ$3&gt;(A7taxstdlife+$E563),(('PTRM input'!$J$149+'PTRM input'!$J$115)*$J$7)-SUM($J563:AI563),(('PTRM input'!$J$149+'PTRM input'!$J$115)*$J$7)/A7taxstdlife))</f>
        <v>0</v>
      </c>
      <c r="AK563" s="590">
        <f>IF(A7taxstdlife="n/a","n/a",IF(AK$3&gt;(A7taxstdlife+$E563),(('PTRM input'!$J$149+'PTRM input'!$J$115)*$J$7)-SUM($J563:AJ563),(('PTRM input'!$J$149+'PTRM input'!$J$115)*$J$7)/A7taxstdlife))</f>
        <v>0</v>
      </c>
      <c r="AL563" s="590">
        <f>IF(A7taxstdlife="n/a","n/a",IF(AL$3&gt;(A7taxstdlife+$E563),(('PTRM input'!$J$149+'PTRM input'!$J$115)*$J$7)-SUM($J563:AK563),(('PTRM input'!$J$149+'PTRM input'!$J$115)*$J$7)/A7taxstdlife))</f>
        <v>0</v>
      </c>
      <c r="AM563" s="590">
        <f>IF(A7taxstdlife="n/a","n/a",IF(AM$3&gt;(A7taxstdlife+$E563),(('PTRM input'!$J$149+'PTRM input'!$J$115)*$J$7)-SUM($J563:AL563),(('PTRM input'!$J$149+'PTRM input'!$J$115)*$J$7)/A7taxstdlife))</f>
        <v>0</v>
      </c>
      <c r="AN563" s="590">
        <f>IF(A7taxstdlife="n/a","n/a",IF(AN$3&gt;(A7taxstdlife+$E563),(('PTRM input'!$J$149+'PTRM input'!$J$115)*$J$7)-SUM($J563:AM563),(('PTRM input'!$J$149+'PTRM input'!$J$115)*$J$7)/A7taxstdlife))</f>
        <v>0</v>
      </c>
      <c r="AO563" s="590">
        <f>IF(A7taxstdlife="n/a","n/a",IF(AO$3&gt;(A7taxstdlife+$E563),(('PTRM input'!$J$149+'PTRM input'!$J$115)*$J$7)-SUM($J563:AN563),(('PTRM input'!$J$149+'PTRM input'!$J$115)*$J$7)/A7taxstdlife))</f>
        <v>0</v>
      </c>
      <c r="AP563" s="590">
        <f>IF(A7taxstdlife="n/a","n/a",IF(AP$3&gt;(A7taxstdlife+$E563),(('PTRM input'!$J$149+'PTRM input'!$J$115)*$J$7)-SUM($J563:AO563),(('PTRM input'!$J$149+'PTRM input'!$J$115)*$J$7)/A7taxstdlife))</f>
        <v>0</v>
      </c>
      <c r="AQ563" s="590">
        <f>IF(A7taxstdlife="n/a","n/a",IF(AQ$3&gt;(A7taxstdlife+$E563),(('PTRM input'!$J$149+'PTRM input'!$J$115)*$J$7)-SUM($J563:AP563),(('PTRM input'!$J$149+'PTRM input'!$J$115)*$J$7)/A7taxstdlife))</f>
        <v>0</v>
      </c>
      <c r="AR563" s="590">
        <f>IF(A7taxstdlife="n/a","n/a",IF(AR$3&gt;(A7taxstdlife+$E563),(('PTRM input'!$J$149+'PTRM input'!$J$115)*$J$7)-SUM($J563:AQ563),(('PTRM input'!$J$149+'PTRM input'!$J$115)*$J$7)/A7taxstdlife))</f>
        <v>0</v>
      </c>
      <c r="AS563" s="590">
        <f>IF(A7taxstdlife="n/a","n/a",IF(AS$3&gt;(A7taxstdlife+$E563),(('PTRM input'!$J$149+'PTRM input'!$J$115)*$J$7)-SUM($J563:AR563),(('PTRM input'!$J$149+'PTRM input'!$J$115)*$J$7)/A7taxstdlife))</f>
        <v>0</v>
      </c>
      <c r="AT563" s="590">
        <f>IF(A7taxstdlife="n/a","n/a",IF(AT$3&gt;(A7taxstdlife+$E563),(('PTRM input'!$J$149+'PTRM input'!$J$115)*$J$7)-SUM($J563:AS563),(('PTRM input'!$J$149+'PTRM input'!$J$115)*$J$7)/A7taxstdlife))</f>
        <v>0</v>
      </c>
      <c r="AU563" s="590">
        <f>IF(A7taxstdlife="n/a","n/a",IF(AU$3&gt;(A7taxstdlife+$E563),(('PTRM input'!$J$149+'PTRM input'!$J$115)*$J$7)-SUM($J563:AT563),(('PTRM input'!$J$149+'PTRM input'!$J$115)*$J$7)/A7taxstdlife))</f>
        <v>0</v>
      </c>
      <c r="AV563" s="590">
        <f>IF(A7taxstdlife="n/a","n/a",IF(AV$3&gt;(A7taxstdlife+$E563),(('PTRM input'!$J$149+'PTRM input'!$J$115)*$J$7)-SUM($J563:AU563),(('PTRM input'!$J$149+'PTRM input'!$J$115)*$J$7)/A7taxstdlife))</f>
        <v>0</v>
      </c>
      <c r="AW563" s="590">
        <f>IF(A7taxstdlife="n/a","n/a",IF(AW$3&gt;(A7taxstdlife+$E563),(('PTRM input'!$J$149+'PTRM input'!$J$115)*$J$7)-SUM($J563:AV563),(('PTRM input'!$J$149+'PTRM input'!$J$115)*$J$7)/A7taxstdlife))</f>
        <v>0</v>
      </c>
      <c r="AX563" s="590">
        <f>IF(A7taxstdlife="n/a","n/a",IF(AX$3&gt;(A7taxstdlife+$E563),(('PTRM input'!$J$149+'PTRM input'!$J$115)*$J$7)-SUM($J563:AW563),(('PTRM input'!$J$149+'PTRM input'!$J$115)*$J$7)/A7taxstdlife))</f>
        <v>0</v>
      </c>
      <c r="AY563" s="590">
        <f>IF(A7taxstdlife="n/a","n/a",IF(AY$3&gt;(A7taxstdlife+$E563),(('PTRM input'!$J$149+'PTRM input'!$J$115)*$J$7)-SUM($J563:AX563),(('PTRM input'!$J$149+'PTRM input'!$J$115)*$J$7)/A7taxstdlife))</f>
        <v>0</v>
      </c>
      <c r="AZ563" s="590">
        <f>IF(A7taxstdlife="n/a","n/a",IF(AZ$3&gt;(A7taxstdlife+$E563),(('PTRM input'!$J$149+'PTRM input'!$J$115)*$J$7)-SUM($J563:AY563),(('PTRM input'!$J$149+'PTRM input'!$J$115)*$J$7)/A7taxstdlife))</f>
        <v>0</v>
      </c>
      <c r="BA563" s="590">
        <f>IF(A7taxstdlife="n/a","n/a",IF(BA$3&gt;(A7taxstdlife+$E563),(('PTRM input'!$J$149+'PTRM input'!$J$115)*$J$7)-SUM($J563:AZ563),(('PTRM input'!$J$149+'PTRM input'!$J$115)*$J$7)/A7taxstdlife))</f>
        <v>0</v>
      </c>
      <c r="BB563" s="590">
        <f>IF(A7taxstdlife="n/a","n/a",IF(BB$3&gt;(A7taxstdlife+$E563),(('PTRM input'!$J$149+'PTRM input'!$J$115)*$J$7)-SUM($J563:BA563),(('PTRM input'!$J$149+'PTRM input'!$J$115)*$J$7)/A7taxstdlife))</f>
        <v>0</v>
      </c>
      <c r="BC563" s="590">
        <f>IF(A7taxstdlife="n/a","n/a",IF(BC$3&gt;(A7taxstdlife+$E563),(('PTRM input'!$J$149+'PTRM input'!$J$115)*$J$7)-SUM($J563:BB563),(('PTRM input'!$J$149+'PTRM input'!$J$115)*$J$7)/A7taxstdlife))</f>
        <v>0</v>
      </c>
      <c r="BD563" s="590">
        <f>IF(A7taxstdlife="n/a","n/a",IF(BD$3&gt;(A7taxstdlife+$E563),(('PTRM input'!$J$149+'PTRM input'!$J$115)*$J$7)-SUM($J563:BC563),(('PTRM input'!$J$149+'PTRM input'!$J$115)*$J$7)/A7taxstdlife))</f>
        <v>0</v>
      </c>
      <c r="BE563" s="590">
        <f>IF(A7taxstdlife="n/a","n/a",IF(BE$3&gt;(A7taxstdlife+$E563),(('PTRM input'!$J$149+'PTRM input'!$J$115)*$J$7)-SUM($J563:BD563),(('PTRM input'!$J$149+'PTRM input'!$J$115)*$J$7)/A7taxstdlife))</f>
        <v>0</v>
      </c>
      <c r="BF563" s="590">
        <f>IF(A7taxstdlife="n/a","n/a",IF(BF$3&gt;(A7taxstdlife+$E563),(('PTRM input'!$J$149+'PTRM input'!$J$115)*$J$7)-SUM($J563:BE563),(('PTRM input'!$J$149+'PTRM input'!$J$115)*$J$7)/A7taxstdlife))</f>
        <v>0</v>
      </c>
      <c r="BG563" s="590">
        <f>IF(A7taxstdlife="n/a","n/a",IF(BG$3&gt;(A7taxstdlife+$E563),(('PTRM input'!$J$149+'PTRM input'!$J$115)*$J$7)-SUM($J563:BF563),(('PTRM input'!$J$149+'PTRM input'!$J$115)*$J$7)/A7taxstdlife))</f>
        <v>0</v>
      </c>
      <c r="BH563" s="590">
        <f>IF(A7taxstdlife="n/a","n/a",IF(BH$3&gt;(A7taxstdlife+$E563),(('PTRM input'!$J$149+'PTRM input'!$J$115)*$J$7)-SUM($J563:BG563),(('PTRM input'!$J$149+'PTRM input'!$J$115)*$J$7)/A7taxstdlife))</f>
        <v>0</v>
      </c>
      <c r="BI563" s="590">
        <f>IF(A7taxstdlife="n/a","n/a",IF(BI$3&gt;(A7taxstdlife+$E563),(('PTRM input'!$J$149+'PTRM input'!$J$115)*$J$7)-SUM($J563:BH563),(('PTRM input'!$J$149+'PTRM input'!$J$115)*$J$7)/A7taxstdlife))</f>
        <v>0</v>
      </c>
      <c r="BJ563" s="240"/>
      <c r="BK563" s="240"/>
      <c r="BL563" s="240"/>
      <c r="BM563" s="240"/>
    </row>
    <row r="564" spans="1:65" s="4" customFormat="1" hidden="1" outlineLevel="2">
      <c r="A564" s="240"/>
      <c r="B564" s="240"/>
      <c r="C564" s="595"/>
      <c r="D564" s="1618"/>
      <c r="E564" s="169">
        <v>5</v>
      </c>
      <c r="F564" s="35"/>
      <c r="G564" s="184"/>
      <c r="H564" s="186"/>
      <c r="I564" s="186"/>
      <c r="J564" s="186"/>
      <c r="K564" s="185"/>
      <c r="L564" s="107">
        <f>IF(A7taxstdlife="n/a","n/a",IF(L$3&gt;(A7taxstdlife+$E564),(('PTRM input'!$K$149+'PTRM input'!$K$115)*$K$7)-SUM($K564:K564),(('PTRM input'!$K$149+'PTRM input'!$K$115)*$K$7)/A7taxstdlife))</f>
        <v>0</v>
      </c>
      <c r="M564" s="107">
        <f>IF(A7taxstdlife="n/a","n/a",IF(M$3&gt;(A7taxstdlife+$E564),(('PTRM input'!$K$149+'PTRM input'!$K$115)*$K$7)-SUM($K564:L564),(('PTRM input'!$K$149+'PTRM input'!$K$115)*$K$7)/A7taxstdlife))</f>
        <v>0</v>
      </c>
      <c r="N564" s="107">
        <f>IF(A7taxstdlife="n/a","n/a",IF(N$3&gt;(A7taxstdlife+$E564),(('PTRM input'!$K$149+'PTRM input'!$K$115)*$K$7)-SUM($K564:M564),(('PTRM input'!$K$149+'PTRM input'!$K$115)*$K$7)/A7taxstdlife))</f>
        <v>0</v>
      </c>
      <c r="O564" s="107">
        <f>IF(A7taxstdlife="n/a","n/a",IF(O$3&gt;(A7taxstdlife+$E564),(('PTRM input'!$K$149+'PTRM input'!$K$115)*$K$7)-SUM($K564:N564),(('PTRM input'!$K$149+'PTRM input'!$K$115)*$K$7)/A7taxstdlife))</f>
        <v>0</v>
      </c>
      <c r="P564" s="107">
        <f>IF(A7taxstdlife="n/a","n/a",IF(P$3&gt;(A7taxstdlife+$E564),(('PTRM input'!$K$149+'PTRM input'!$K$115)*$K$7)-SUM($K564:O564),(('PTRM input'!$K$149+'PTRM input'!$K$115)*$K$7)/A7taxstdlife))</f>
        <v>0</v>
      </c>
      <c r="Q564" s="590">
        <f>IF(A7taxstdlife="n/a","n/a",IF(Q$3&gt;(A7taxstdlife+$E564),(('PTRM input'!$K$149+'PTRM input'!$K$115)*$K$7)-SUM($K564:P564),(('PTRM input'!$K$149+'PTRM input'!$K$115)*$K$7)/A7taxstdlife))</f>
        <v>0</v>
      </c>
      <c r="R564" s="590">
        <f>IF(A7taxstdlife="n/a","n/a",IF(R$3&gt;(A7taxstdlife+$E564),(('PTRM input'!$K$149+'PTRM input'!$K$115)*$K$7)-SUM($K564:Q564),(('PTRM input'!$K$149+'PTRM input'!$K$115)*$K$7)/A7taxstdlife))</f>
        <v>0</v>
      </c>
      <c r="S564" s="590">
        <f>IF(A7taxstdlife="n/a","n/a",IF(S$3&gt;(A7taxstdlife+$E564),(('PTRM input'!$K$149+'PTRM input'!$K$115)*$K$7)-SUM($K564:R564),(('PTRM input'!$K$149+'PTRM input'!$K$115)*$K$7)/A7taxstdlife))</f>
        <v>0</v>
      </c>
      <c r="T564" s="590">
        <f>IF(A7taxstdlife="n/a","n/a",IF(T$3&gt;(A7taxstdlife+$E564),(('PTRM input'!$K$149+'PTRM input'!$K$115)*$K$7)-SUM($K564:S564),(('PTRM input'!$K$149+'PTRM input'!$K$115)*$K$7)/A7taxstdlife))</f>
        <v>0</v>
      </c>
      <c r="U564" s="590">
        <f>IF(A7taxstdlife="n/a","n/a",IF(U$3&gt;(A7taxstdlife+$E564),(('PTRM input'!$K$149+'PTRM input'!$K$115)*$K$7)-SUM($K564:T564),(('PTRM input'!$K$149+'PTRM input'!$K$115)*$K$7)/A7taxstdlife))</f>
        <v>0</v>
      </c>
      <c r="V564" s="590">
        <f>IF(A7taxstdlife="n/a","n/a",IF(V$3&gt;(A7taxstdlife+$E564),(('PTRM input'!$K$149+'PTRM input'!$K$115)*$K$7)-SUM($K564:U564),(('PTRM input'!$K$149+'PTRM input'!$K$115)*$K$7)/A7taxstdlife))</f>
        <v>0</v>
      </c>
      <c r="W564" s="590">
        <f>IF(A7taxstdlife="n/a","n/a",IF(W$3&gt;(A7taxstdlife+$E564),(('PTRM input'!$K$149+'PTRM input'!$K$115)*$K$7)-SUM($K564:V564),(('PTRM input'!$K$149+'PTRM input'!$K$115)*$K$7)/A7taxstdlife))</f>
        <v>0</v>
      </c>
      <c r="X564" s="590">
        <f>IF(A7taxstdlife="n/a","n/a",IF(X$3&gt;(A7taxstdlife+$E564),(('PTRM input'!$K$149+'PTRM input'!$K$115)*$K$7)-SUM($K564:W564),(('PTRM input'!$K$149+'PTRM input'!$K$115)*$K$7)/A7taxstdlife))</f>
        <v>0</v>
      </c>
      <c r="Y564" s="590">
        <f>IF(A7taxstdlife="n/a","n/a",IF(Y$3&gt;(A7taxstdlife+$E564),(('PTRM input'!$K$149+'PTRM input'!$K$115)*$K$7)-SUM($K564:X564),(('PTRM input'!$K$149+'PTRM input'!$K$115)*$K$7)/A7taxstdlife))</f>
        <v>0</v>
      </c>
      <c r="Z564" s="590">
        <f>IF(A7taxstdlife="n/a","n/a",IF(Z$3&gt;(A7taxstdlife+$E564),(('PTRM input'!$K$149+'PTRM input'!$K$115)*$K$7)-SUM($K564:Y564),(('PTRM input'!$K$149+'PTRM input'!$K$115)*$K$7)/A7taxstdlife))</f>
        <v>0</v>
      </c>
      <c r="AA564" s="590">
        <f>IF(A7taxstdlife="n/a","n/a",IF(AA$3&gt;(A7taxstdlife+$E564),(('PTRM input'!$K$149+'PTRM input'!$K$115)*$K$7)-SUM($K564:Z564),(('PTRM input'!$K$149+'PTRM input'!$K$115)*$K$7)/A7taxstdlife))</f>
        <v>0</v>
      </c>
      <c r="AB564" s="590">
        <f>IF(A7taxstdlife="n/a","n/a",IF(AB$3&gt;(A7taxstdlife+$E564),(('PTRM input'!$K$149+'PTRM input'!$K$115)*$K$7)-SUM($K564:AA564),(('PTRM input'!$K$149+'PTRM input'!$K$115)*$K$7)/A7taxstdlife))</f>
        <v>0</v>
      </c>
      <c r="AC564" s="590">
        <f>IF(A7taxstdlife="n/a","n/a",IF(AC$3&gt;(A7taxstdlife+$E564),(('PTRM input'!$K$149+'PTRM input'!$K$115)*$K$7)-SUM($K564:AB564),(('PTRM input'!$K$149+'PTRM input'!$K$115)*$K$7)/A7taxstdlife))</f>
        <v>0</v>
      </c>
      <c r="AD564" s="590">
        <f>IF(A7taxstdlife="n/a","n/a",IF(AD$3&gt;(A7taxstdlife+$E564),(('PTRM input'!$K$149+'PTRM input'!$K$115)*$K$7)-SUM($K564:AC564),(('PTRM input'!$K$149+'PTRM input'!$K$115)*$K$7)/A7taxstdlife))</f>
        <v>0</v>
      </c>
      <c r="AE564" s="590">
        <f>IF(A7taxstdlife="n/a","n/a",IF(AE$3&gt;(A7taxstdlife+$E564),(('PTRM input'!$K$149+'PTRM input'!$K$115)*$K$7)-SUM($K564:AD564),(('PTRM input'!$K$149+'PTRM input'!$K$115)*$K$7)/A7taxstdlife))</f>
        <v>0</v>
      </c>
      <c r="AF564" s="590">
        <f>IF(A7taxstdlife="n/a","n/a",IF(AF$3&gt;(A7taxstdlife+$E564),(('PTRM input'!$K$149+'PTRM input'!$K$115)*$K$7)-SUM($K564:AE564),(('PTRM input'!$K$149+'PTRM input'!$K$115)*$K$7)/A7taxstdlife))</f>
        <v>0</v>
      </c>
      <c r="AG564" s="590">
        <f>IF(A7taxstdlife="n/a","n/a",IF(AG$3&gt;(A7taxstdlife+$E564),(('PTRM input'!$K$149+'PTRM input'!$K$115)*$K$7)-SUM($K564:AF564),(('PTRM input'!$K$149+'PTRM input'!$K$115)*$K$7)/A7taxstdlife))</f>
        <v>0</v>
      </c>
      <c r="AH564" s="590">
        <f>IF(A7taxstdlife="n/a","n/a",IF(AH$3&gt;(A7taxstdlife+$E564),(('PTRM input'!$K$149+'PTRM input'!$K$115)*$K$7)-SUM($K564:AG564),(('PTRM input'!$K$149+'PTRM input'!$K$115)*$K$7)/A7taxstdlife))</f>
        <v>0</v>
      </c>
      <c r="AI564" s="590">
        <f>IF(A7taxstdlife="n/a","n/a",IF(AI$3&gt;(A7taxstdlife+$E564),(('PTRM input'!$K$149+'PTRM input'!$K$115)*$K$7)-SUM($K564:AH564),(('PTRM input'!$K$149+'PTRM input'!$K$115)*$K$7)/A7taxstdlife))</f>
        <v>0</v>
      </c>
      <c r="AJ564" s="590">
        <f>IF(A7taxstdlife="n/a","n/a",IF(AJ$3&gt;(A7taxstdlife+$E564),(('PTRM input'!$K$149+'PTRM input'!$K$115)*$K$7)-SUM($K564:AI564),(('PTRM input'!$K$149+'PTRM input'!$K$115)*$K$7)/A7taxstdlife))</f>
        <v>0</v>
      </c>
      <c r="AK564" s="590">
        <f>IF(A7taxstdlife="n/a","n/a",IF(AK$3&gt;(A7taxstdlife+$E564),(('PTRM input'!$K$149+'PTRM input'!$K$115)*$K$7)-SUM($K564:AJ564),(('PTRM input'!$K$149+'PTRM input'!$K$115)*$K$7)/A7taxstdlife))</f>
        <v>0</v>
      </c>
      <c r="AL564" s="590">
        <f>IF(A7taxstdlife="n/a","n/a",IF(AL$3&gt;(A7taxstdlife+$E564),(('PTRM input'!$K$149+'PTRM input'!$K$115)*$K$7)-SUM($K564:AK564),(('PTRM input'!$K$149+'PTRM input'!$K$115)*$K$7)/A7taxstdlife))</f>
        <v>0</v>
      </c>
      <c r="AM564" s="590">
        <f>IF(A7taxstdlife="n/a","n/a",IF(AM$3&gt;(A7taxstdlife+$E564),(('PTRM input'!$K$149+'PTRM input'!$K$115)*$K$7)-SUM($K564:AL564),(('PTRM input'!$K$149+'PTRM input'!$K$115)*$K$7)/A7taxstdlife))</f>
        <v>0</v>
      </c>
      <c r="AN564" s="590">
        <f>IF(A7taxstdlife="n/a","n/a",IF(AN$3&gt;(A7taxstdlife+$E564),(('PTRM input'!$K$149+'PTRM input'!$K$115)*$K$7)-SUM($K564:AM564),(('PTRM input'!$K$149+'PTRM input'!$K$115)*$K$7)/A7taxstdlife))</f>
        <v>0</v>
      </c>
      <c r="AO564" s="590">
        <f>IF(A7taxstdlife="n/a","n/a",IF(AO$3&gt;(A7taxstdlife+$E564),(('PTRM input'!$K$149+'PTRM input'!$K$115)*$K$7)-SUM($K564:AN564),(('PTRM input'!$K$149+'PTRM input'!$K$115)*$K$7)/A7taxstdlife))</f>
        <v>0</v>
      </c>
      <c r="AP564" s="590">
        <f>IF(A7taxstdlife="n/a","n/a",IF(AP$3&gt;(A7taxstdlife+$E564),(('PTRM input'!$K$149+'PTRM input'!$K$115)*$K$7)-SUM($K564:AO564),(('PTRM input'!$K$149+'PTRM input'!$K$115)*$K$7)/A7taxstdlife))</f>
        <v>0</v>
      </c>
      <c r="AQ564" s="590">
        <f>IF(A7taxstdlife="n/a","n/a",IF(AQ$3&gt;(A7taxstdlife+$E564),(('PTRM input'!$K$149+'PTRM input'!$K$115)*$K$7)-SUM($K564:AP564),(('PTRM input'!$K$149+'PTRM input'!$K$115)*$K$7)/A7taxstdlife))</f>
        <v>0</v>
      </c>
      <c r="AR564" s="590">
        <f>IF(A7taxstdlife="n/a","n/a",IF(AR$3&gt;(A7taxstdlife+$E564),(('PTRM input'!$K$149+'PTRM input'!$K$115)*$K$7)-SUM($K564:AQ564),(('PTRM input'!$K$149+'PTRM input'!$K$115)*$K$7)/A7taxstdlife))</f>
        <v>0</v>
      </c>
      <c r="AS564" s="590">
        <f>IF(A7taxstdlife="n/a","n/a",IF(AS$3&gt;(A7taxstdlife+$E564),(('PTRM input'!$K$149+'PTRM input'!$K$115)*$K$7)-SUM($K564:AR564),(('PTRM input'!$K$149+'PTRM input'!$K$115)*$K$7)/A7taxstdlife))</f>
        <v>0</v>
      </c>
      <c r="AT564" s="590">
        <f>IF(A7taxstdlife="n/a","n/a",IF(AT$3&gt;(A7taxstdlife+$E564),(('PTRM input'!$K$149+'PTRM input'!$K$115)*$K$7)-SUM($K564:AS564),(('PTRM input'!$K$149+'PTRM input'!$K$115)*$K$7)/A7taxstdlife))</f>
        <v>0</v>
      </c>
      <c r="AU564" s="590">
        <f>IF(A7taxstdlife="n/a","n/a",IF(AU$3&gt;(A7taxstdlife+$E564),(('PTRM input'!$K$149+'PTRM input'!$K$115)*$K$7)-SUM($K564:AT564),(('PTRM input'!$K$149+'PTRM input'!$K$115)*$K$7)/A7taxstdlife))</f>
        <v>0</v>
      </c>
      <c r="AV564" s="590">
        <f>IF(A7taxstdlife="n/a","n/a",IF(AV$3&gt;(A7taxstdlife+$E564),(('PTRM input'!$K$149+'PTRM input'!$K$115)*$K$7)-SUM($K564:AU564),(('PTRM input'!$K$149+'PTRM input'!$K$115)*$K$7)/A7taxstdlife))</f>
        <v>0</v>
      </c>
      <c r="AW564" s="590">
        <f>IF(A7taxstdlife="n/a","n/a",IF(AW$3&gt;(A7taxstdlife+$E564),(('PTRM input'!$K$149+'PTRM input'!$K$115)*$K$7)-SUM($K564:AV564),(('PTRM input'!$K$149+'PTRM input'!$K$115)*$K$7)/A7taxstdlife))</f>
        <v>0</v>
      </c>
      <c r="AX564" s="590">
        <f>IF(A7taxstdlife="n/a","n/a",IF(AX$3&gt;(A7taxstdlife+$E564),(('PTRM input'!$K$149+'PTRM input'!$K$115)*$K$7)-SUM($K564:AW564),(('PTRM input'!$K$149+'PTRM input'!$K$115)*$K$7)/A7taxstdlife))</f>
        <v>0</v>
      </c>
      <c r="AY564" s="590">
        <f>IF(A7taxstdlife="n/a","n/a",IF(AY$3&gt;(A7taxstdlife+$E564),(('PTRM input'!$K$149+'PTRM input'!$K$115)*$K$7)-SUM($K564:AX564),(('PTRM input'!$K$149+'PTRM input'!$K$115)*$K$7)/A7taxstdlife))</f>
        <v>0</v>
      </c>
      <c r="AZ564" s="590">
        <f>IF(A7taxstdlife="n/a","n/a",IF(AZ$3&gt;(A7taxstdlife+$E564),(('PTRM input'!$K$149+'PTRM input'!$K$115)*$K$7)-SUM($K564:AY564),(('PTRM input'!$K$149+'PTRM input'!$K$115)*$K$7)/A7taxstdlife))</f>
        <v>0</v>
      </c>
      <c r="BA564" s="590">
        <f>IF(A7taxstdlife="n/a","n/a",IF(BA$3&gt;(A7taxstdlife+$E564),(('PTRM input'!$K$149+'PTRM input'!$K$115)*$K$7)-SUM($K564:AZ564),(('PTRM input'!$K$149+'PTRM input'!$K$115)*$K$7)/A7taxstdlife))</f>
        <v>0</v>
      </c>
      <c r="BB564" s="590">
        <f>IF(A7taxstdlife="n/a","n/a",IF(BB$3&gt;(A7taxstdlife+$E564),(('PTRM input'!$K$149+'PTRM input'!$K$115)*$K$7)-SUM($K564:BA564),(('PTRM input'!$K$149+'PTRM input'!$K$115)*$K$7)/A7taxstdlife))</f>
        <v>0</v>
      </c>
      <c r="BC564" s="590">
        <f>IF(A7taxstdlife="n/a","n/a",IF(BC$3&gt;(A7taxstdlife+$E564),(('PTRM input'!$K$149+'PTRM input'!$K$115)*$K$7)-SUM($K564:BB564),(('PTRM input'!$K$149+'PTRM input'!$K$115)*$K$7)/A7taxstdlife))</f>
        <v>0</v>
      </c>
      <c r="BD564" s="590">
        <f>IF(A7taxstdlife="n/a","n/a",IF(BD$3&gt;(A7taxstdlife+$E564),(('PTRM input'!$K$149+'PTRM input'!$K$115)*$K$7)-SUM($K564:BC564),(('PTRM input'!$K$149+'PTRM input'!$K$115)*$K$7)/A7taxstdlife))</f>
        <v>0</v>
      </c>
      <c r="BE564" s="590">
        <f>IF(A7taxstdlife="n/a","n/a",IF(BE$3&gt;(A7taxstdlife+$E564),(('PTRM input'!$K$149+'PTRM input'!$K$115)*$K$7)-SUM($K564:BD564),(('PTRM input'!$K$149+'PTRM input'!$K$115)*$K$7)/A7taxstdlife))</f>
        <v>0</v>
      </c>
      <c r="BF564" s="590">
        <f>IF(A7taxstdlife="n/a","n/a",IF(BF$3&gt;(A7taxstdlife+$E564),(('PTRM input'!$K$149+'PTRM input'!$K$115)*$K$7)-SUM($K564:BE564),(('PTRM input'!$K$149+'PTRM input'!$K$115)*$K$7)/A7taxstdlife))</f>
        <v>0</v>
      </c>
      <c r="BG564" s="590">
        <f>IF(A7taxstdlife="n/a","n/a",IF(BG$3&gt;(A7taxstdlife+$E564),(('PTRM input'!$K$149+'PTRM input'!$K$115)*$K$7)-SUM($K564:BF564),(('PTRM input'!$K$149+'PTRM input'!$K$115)*$K$7)/A7taxstdlife))</f>
        <v>0</v>
      </c>
      <c r="BH564" s="590">
        <f>IF(A7taxstdlife="n/a","n/a",IF(BH$3&gt;(A7taxstdlife+$E564),(('PTRM input'!$K$149+'PTRM input'!$K$115)*$K$7)-SUM($K564:BG564),(('PTRM input'!$K$149+'PTRM input'!$K$115)*$K$7)/A7taxstdlife))</f>
        <v>0</v>
      </c>
      <c r="BI564" s="590">
        <f>IF(A7taxstdlife="n/a","n/a",IF(BI$3&gt;(A7taxstdlife+$E564),(('PTRM input'!$K$149+'PTRM input'!$K$115)*$K$7)-SUM($K564:BH564),(('PTRM input'!$K$149+'PTRM input'!$K$115)*$K$7)/A7taxstdlife))</f>
        <v>0</v>
      </c>
      <c r="BJ564" s="240"/>
      <c r="BK564" s="240"/>
      <c r="BL564" s="240"/>
      <c r="BM564" s="240"/>
    </row>
    <row r="565" spans="1:65" s="4" customFormat="1" hidden="1" outlineLevel="2">
      <c r="A565" s="240"/>
      <c r="B565" s="240"/>
      <c r="C565" s="595"/>
      <c r="D565" s="1618"/>
      <c r="E565" s="169">
        <v>6</v>
      </c>
      <c r="F565" s="35"/>
      <c r="G565" s="184"/>
      <c r="H565" s="186"/>
      <c r="I565" s="186"/>
      <c r="J565" s="186"/>
      <c r="K565" s="186"/>
      <c r="L565" s="185"/>
      <c r="M565" s="107">
        <f>IF(A7taxstdlife="n/a","n/a",IF(M$3&gt;(A7taxstdlife+$E565),(('PTRM input'!$L$149+'PTRM input'!$L$115)*$L$7)-SUM($L565:L565),(('PTRM input'!$L$149+'PTRM input'!$L$115)*$L$7)/A7taxstdlife))</f>
        <v>0</v>
      </c>
      <c r="N565" s="107">
        <f>IF(A7taxstdlife="n/a","n/a",IF(N$3&gt;(A7taxstdlife+$E565),(('PTRM input'!$L$149+'PTRM input'!$L$115)*$L$7)-SUM($L565:M565),(('PTRM input'!$L$149+'PTRM input'!$L$115)*$L$7)/A7taxstdlife))</f>
        <v>0</v>
      </c>
      <c r="O565" s="107">
        <f>IF(A7taxstdlife="n/a","n/a",IF(O$3&gt;(A7taxstdlife+$E565),(('PTRM input'!$L$149+'PTRM input'!$L$115)*$L$7)-SUM($L565:N565),(('PTRM input'!$L$149+'PTRM input'!$L$115)*$L$7)/A7taxstdlife))</f>
        <v>0</v>
      </c>
      <c r="P565" s="107">
        <f>IF(A7taxstdlife="n/a","n/a",IF(P$3&gt;(A7taxstdlife+$E565),(('PTRM input'!$L$149+'PTRM input'!$L$115)*$L$7)-SUM($L565:O565),(('PTRM input'!$L$149+'PTRM input'!$L$115)*$L$7)/A7taxstdlife))</f>
        <v>0</v>
      </c>
      <c r="Q565" s="590">
        <f>IF(A7taxstdlife="n/a","n/a",IF(Q$3&gt;(A7taxstdlife+$E565),(('PTRM input'!$L$149+'PTRM input'!$L$115)*$L$7)-SUM($L565:P565),(('PTRM input'!$L$149+'PTRM input'!$L$115)*$L$7)/A7taxstdlife))</f>
        <v>0</v>
      </c>
      <c r="R565" s="590">
        <f>IF(A7taxstdlife="n/a","n/a",IF(R$3&gt;(A7taxstdlife+$E565),(('PTRM input'!$L$149+'PTRM input'!$L$115)*$L$7)-SUM($L565:Q565),(('PTRM input'!$L$149+'PTRM input'!$L$115)*$L$7)/A7taxstdlife))</f>
        <v>0</v>
      </c>
      <c r="S565" s="590">
        <f>IF(A7taxstdlife="n/a","n/a",IF(S$3&gt;(A7taxstdlife+$E565),(('PTRM input'!$L$149+'PTRM input'!$L$115)*$L$7)-SUM($L565:R565),(('PTRM input'!$L$149+'PTRM input'!$L$115)*$L$7)/A7taxstdlife))</f>
        <v>0</v>
      </c>
      <c r="T565" s="590">
        <f>IF(A7taxstdlife="n/a","n/a",IF(T$3&gt;(A7taxstdlife+$E565),(('PTRM input'!$L$149+'PTRM input'!$L$115)*$L$7)-SUM($L565:S565),(('PTRM input'!$L$149+'PTRM input'!$L$115)*$L$7)/A7taxstdlife))</f>
        <v>0</v>
      </c>
      <c r="U565" s="590">
        <f>IF(A7taxstdlife="n/a","n/a",IF(U$3&gt;(A7taxstdlife+$E565),(('PTRM input'!$L$149+'PTRM input'!$L$115)*$L$7)-SUM($L565:T565),(('PTRM input'!$L$149+'PTRM input'!$L$115)*$L$7)/A7taxstdlife))</f>
        <v>0</v>
      </c>
      <c r="V565" s="590">
        <f>IF(A7taxstdlife="n/a","n/a",IF(V$3&gt;(A7taxstdlife+$E565),(('PTRM input'!$L$149+'PTRM input'!$L$115)*$L$7)-SUM($L565:U565),(('PTRM input'!$L$149+'PTRM input'!$L$115)*$L$7)/A7taxstdlife))</f>
        <v>0</v>
      </c>
      <c r="W565" s="590">
        <f>IF(A7taxstdlife="n/a","n/a",IF(W$3&gt;(A7taxstdlife+$E565),(('PTRM input'!$L$149+'PTRM input'!$L$115)*$L$7)-SUM($L565:V565),(('PTRM input'!$L$149+'PTRM input'!$L$115)*$L$7)/A7taxstdlife))</f>
        <v>0</v>
      </c>
      <c r="X565" s="590">
        <f>IF(A7taxstdlife="n/a","n/a",IF(X$3&gt;(A7taxstdlife+$E565),(('PTRM input'!$L$149+'PTRM input'!$L$115)*$L$7)-SUM($L565:W565),(('PTRM input'!$L$149+'PTRM input'!$L$115)*$L$7)/A7taxstdlife))</f>
        <v>0</v>
      </c>
      <c r="Y565" s="590">
        <f>IF(A7taxstdlife="n/a","n/a",IF(Y$3&gt;(A7taxstdlife+$E565),(('PTRM input'!$L$149+'PTRM input'!$L$115)*$L$7)-SUM($L565:X565),(('PTRM input'!$L$149+'PTRM input'!$L$115)*$L$7)/A7taxstdlife))</f>
        <v>0</v>
      </c>
      <c r="Z565" s="590">
        <f>IF(A7taxstdlife="n/a","n/a",IF(Z$3&gt;(A7taxstdlife+$E565),(('PTRM input'!$L$149+'PTRM input'!$L$115)*$L$7)-SUM($L565:Y565),(('PTRM input'!$L$149+'PTRM input'!$L$115)*$L$7)/A7taxstdlife))</f>
        <v>0</v>
      </c>
      <c r="AA565" s="590">
        <f>IF(A7taxstdlife="n/a","n/a",IF(AA$3&gt;(A7taxstdlife+$E565),(('PTRM input'!$L$149+'PTRM input'!$L$115)*$L$7)-SUM($L565:Z565),(('PTRM input'!$L$149+'PTRM input'!$L$115)*$L$7)/A7taxstdlife))</f>
        <v>0</v>
      </c>
      <c r="AB565" s="590">
        <f>IF(A7taxstdlife="n/a","n/a",IF(AB$3&gt;(A7taxstdlife+$E565),(('PTRM input'!$L$149+'PTRM input'!$L$115)*$L$7)-SUM($L565:AA565),(('PTRM input'!$L$149+'PTRM input'!$L$115)*$L$7)/A7taxstdlife))</f>
        <v>0</v>
      </c>
      <c r="AC565" s="590">
        <f>IF(A7taxstdlife="n/a","n/a",IF(AC$3&gt;(A7taxstdlife+$E565),(('PTRM input'!$L$149+'PTRM input'!$L$115)*$L$7)-SUM($L565:AB565),(('PTRM input'!$L$149+'PTRM input'!$L$115)*$L$7)/A7taxstdlife))</f>
        <v>0</v>
      </c>
      <c r="AD565" s="590">
        <f>IF(A7taxstdlife="n/a","n/a",IF(AD$3&gt;(A7taxstdlife+$E565),(('PTRM input'!$L$149+'PTRM input'!$L$115)*$L$7)-SUM($L565:AC565),(('PTRM input'!$L$149+'PTRM input'!$L$115)*$L$7)/A7taxstdlife))</f>
        <v>0</v>
      </c>
      <c r="AE565" s="590">
        <f>IF(A7taxstdlife="n/a","n/a",IF(AE$3&gt;(A7taxstdlife+$E565),(('PTRM input'!$L$149+'PTRM input'!$L$115)*$L$7)-SUM($L565:AD565),(('PTRM input'!$L$149+'PTRM input'!$L$115)*$L$7)/A7taxstdlife))</f>
        <v>0</v>
      </c>
      <c r="AF565" s="590">
        <f>IF(A7taxstdlife="n/a","n/a",IF(AF$3&gt;(A7taxstdlife+$E565),(('PTRM input'!$L$149+'PTRM input'!$L$115)*$L$7)-SUM($L565:AE565),(('PTRM input'!$L$149+'PTRM input'!$L$115)*$L$7)/A7taxstdlife))</f>
        <v>0</v>
      </c>
      <c r="AG565" s="590">
        <f>IF(A7taxstdlife="n/a","n/a",IF(AG$3&gt;(A7taxstdlife+$E565),(('PTRM input'!$L$149+'PTRM input'!$L$115)*$L$7)-SUM($L565:AF565),(('PTRM input'!$L$149+'PTRM input'!$L$115)*$L$7)/A7taxstdlife))</f>
        <v>0</v>
      </c>
      <c r="AH565" s="590">
        <f>IF(A7taxstdlife="n/a","n/a",IF(AH$3&gt;(A7taxstdlife+$E565),(('PTRM input'!$L$149+'PTRM input'!$L$115)*$L$7)-SUM($L565:AG565),(('PTRM input'!$L$149+'PTRM input'!$L$115)*$L$7)/A7taxstdlife))</f>
        <v>0</v>
      </c>
      <c r="AI565" s="590">
        <f>IF(A7taxstdlife="n/a","n/a",IF(AI$3&gt;(A7taxstdlife+$E565),(('PTRM input'!$L$149+'PTRM input'!$L$115)*$L$7)-SUM($L565:AH565),(('PTRM input'!$L$149+'PTRM input'!$L$115)*$L$7)/A7taxstdlife))</f>
        <v>0</v>
      </c>
      <c r="AJ565" s="590">
        <f>IF(A7taxstdlife="n/a","n/a",IF(AJ$3&gt;(A7taxstdlife+$E565),(('PTRM input'!$L$149+'PTRM input'!$L$115)*$L$7)-SUM($L565:AI565),(('PTRM input'!$L$149+'PTRM input'!$L$115)*$L$7)/A7taxstdlife))</f>
        <v>0</v>
      </c>
      <c r="AK565" s="590">
        <f>IF(A7taxstdlife="n/a","n/a",IF(AK$3&gt;(A7taxstdlife+$E565),(('PTRM input'!$L$149+'PTRM input'!$L$115)*$L$7)-SUM($L565:AJ565),(('PTRM input'!$L$149+'PTRM input'!$L$115)*$L$7)/A7taxstdlife))</f>
        <v>0</v>
      </c>
      <c r="AL565" s="590">
        <f>IF(A7taxstdlife="n/a","n/a",IF(AL$3&gt;(A7taxstdlife+$E565),(('PTRM input'!$L$149+'PTRM input'!$L$115)*$L$7)-SUM($L565:AK565),(('PTRM input'!$L$149+'PTRM input'!$L$115)*$L$7)/A7taxstdlife))</f>
        <v>0</v>
      </c>
      <c r="AM565" s="590">
        <f>IF(A7taxstdlife="n/a","n/a",IF(AM$3&gt;(A7taxstdlife+$E565),(('PTRM input'!$L$149+'PTRM input'!$L$115)*$L$7)-SUM($L565:AL565),(('PTRM input'!$L$149+'PTRM input'!$L$115)*$L$7)/A7taxstdlife))</f>
        <v>0</v>
      </c>
      <c r="AN565" s="590">
        <f>IF(A7taxstdlife="n/a","n/a",IF(AN$3&gt;(A7taxstdlife+$E565),(('PTRM input'!$L$149+'PTRM input'!$L$115)*$L$7)-SUM($L565:AM565),(('PTRM input'!$L$149+'PTRM input'!$L$115)*$L$7)/A7taxstdlife))</f>
        <v>0</v>
      </c>
      <c r="AO565" s="590">
        <f>IF(A7taxstdlife="n/a","n/a",IF(AO$3&gt;(A7taxstdlife+$E565),(('PTRM input'!$L$149+'PTRM input'!$L$115)*$L$7)-SUM($L565:AN565),(('PTRM input'!$L$149+'PTRM input'!$L$115)*$L$7)/A7taxstdlife))</f>
        <v>0</v>
      </c>
      <c r="AP565" s="590">
        <f>IF(A7taxstdlife="n/a","n/a",IF(AP$3&gt;(A7taxstdlife+$E565),(('PTRM input'!$L$149+'PTRM input'!$L$115)*$L$7)-SUM($L565:AO565),(('PTRM input'!$L$149+'PTRM input'!$L$115)*$L$7)/A7taxstdlife))</f>
        <v>0</v>
      </c>
      <c r="AQ565" s="590">
        <f>IF(A7taxstdlife="n/a","n/a",IF(AQ$3&gt;(A7taxstdlife+$E565),(('PTRM input'!$L$149+'PTRM input'!$L$115)*$L$7)-SUM($L565:AP565),(('PTRM input'!$L$149+'PTRM input'!$L$115)*$L$7)/A7taxstdlife))</f>
        <v>0</v>
      </c>
      <c r="AR565" s="590">
        <f>IF(A7taxstdlife="n/a","n/a",IF(AR$3&gt;(A7taxstdlife+$E565),(('PTRM input'!$L$149+'PTRM input'!$L$115)*$L$7)-SUM($L565:AQ565),(('PTRM input'!$L$149+'PTRM input'!$L$115)*$L$7)/A7taxstdlife))</f>
        <v>0</v>
      </c>
      <c r="AS565" s="590">
        <f>IF(A7taxstdlife="n/a","n/a",IF(AS$3&gt;(A7taxstdlife+$E565),(('PTRM input'!$L$149+'PTRM input'!$L$115)*$L$7)-SUM($L565:AR565),(('PTRM input'!$L$149+'PTRM input'!$L$115)*$L$7)/A7taxstdlife))</f>
        <v>0</v>
      </c>
      <c r="AT565" s="590">
        <f>IF(A7taxstdlife="n/a","n/a",IF(AT$3&gt;(A7taxstdlife+$E565),(('PTRM input'!$L$149+'PTRM input'!$L$115)*$L$7)-SUM($L565:AS565),(('PTRM input'!$L$149+'PTRM input'!$L$115)*$L$7)/A7taxstdlife))</f>
        <v>0</v>
      </c>
      <c r="AU565" s="590">
        <f>IF(A7taxstdlife="n/a","n/a",IF(AU$3&gt;(A7taxstdlife+$E565),(('PTRM input'!$L$149+'PTRM input'!$L$115)*$L$7)-SUM($L565:AT565),(('PTRM input'!$L$149+'PTRM input'!$L$115)*$L$7)/A7taxstdlife))</f>
        <v>0</v>
      </c>
      <c r="AV565" s="590">
        <f>IF(A7taxstdlife="n/a","n/a",IF(AV$3&gt;(A7taxstdlife+$E565),(('PTRM input'!$L$149+'PTRM input'!$L$115)*$L$7)-SUM($L565:AU565),(('PTRM input'!$L$149+'PTRM input'!$L$115)*$L$7)/A7taxstdlife))</f>
        <v>0</v>
      </c>
      <c r="AW565" s="590">
        <f>IF(A7taxstdlife="n/a","n/a",IF(AW$3&gt;(A7taxstdlife+$E565),(('PTRM input'!$L$149+'PTRM input'!$L$115)*$L$7)-SUM($L565:AV565),(('PTRM input'!$L$149+'PTRM input'!$L$115)*$L$7)/A7taxstdlife))</f>
        <v>0</v>
      </c>
      <c r="AX565" s="590">
        <f>IF(A7taxstdlife="n/a","n/a",IF(AX$3&gt;(A7taxstdlife+$E565),(('PTRM input'!$L$149+'PTRM input'!$L$115)*$L$7)-SUM($L565:AW565),(('PTRM input'!$L$149+'PTRM input'!$L$115)*$L$7)/A7taxstdlife))</f>
        <v>0</v>
      </c>
      <c r="AY565" s="590">
        <f>IF(A7taxstdlife="n/a","n/a",IF(AY$3&gt;(A7taxstdlife+$E565),(('PTRM input'!$L$149+'PTRM input'!$L$115)*$L$7)-SUM($L565:AX565),(('PTRM input'!$L$149+'PTRM input'!$L$115)*$L$7)/A7taxstdlife))</f>
        <v>0</v>
      </c>
      <c r="AZ565" s="590">
        <f>IF(A7taxstdlife="n/a","n/a",IF(AZ$3&gt;(A7taxstdlife+$E565),(('PTRM input'!$L$149+'PTRM input'!$L$115)*$L$7)-SUM($L565:AY565),(('PTRM input'!$L$149+'PTRM input'!$L$115)*$L$7)/A7taxstdlife))</f>
        <v>0</v>
      </c>
      <c r="BA565" s="590">
        <f>IF(A7taxstdlife="n/a","n/a",IF(BA$3&gt;(A7taxstdlife+$E565),(('PTRM input'!$L$149+'PTRM input'!$L$115)*$L$7)-SUM($L565:AZ565),(('PTRM input'!$L$149+'PTRM input'!$L$115)*$L$7)/A7taxstdlife))</f>
        <v>0</v>
      </c>
      <c r="BB565" s="590">
        <f>IF(A7taxstdlife="n/a","n/a",IF(BB$3&gt;(A7taxstdlife+$E565),(('PTRM input'!$L$149+'PTRM input'!$L$115)*$L$7)-SUM($L565:BA565),(('PTRM input'!$L$149+'PTRM input'!$L$115)*$L$7)/A7taxstdlife))</f>
        <v>0</v>
      </c>
      <c r="BC565" s="590">
        <f>IF(A7taxstdlife="n/a","n/a",IF(BC$3&gt;(A7taxstdlife+$E565),(('PTRM input'!$L$149+'PTRM input'!$L$115)*$L$7)-SUM($L565:BB565),(('PTRM input'!$L$149+'PTRM input'!$L$115)*$L$7)/A7taxstdlife))</f>
        <v>0</v>
      </c>
      <c r="BD565" s="590">
        <f>IF(A7taxstdlife="n/a","n/a",IF(BD$3&gt;(A7taxstdlife+$E565),(('PTRM input'!$L$149+'PTRM input'!$L$115)*$L$7)-SUM($L565:BC565),(('PTRM input'!$L$149+'PTRM input'!$L$115)*$L$7)/A7taxstdlife))</f>
        <v>0</v>
      </c>
      <c r="BE565" s="590">
        <f>IF(A7taxstdlife="n/a","n/a",IF(BE$3&gt;(A7taxstdlife+$E565),(('PTRM input'!$L$149+'PTRM input'!$L$115)*$L$7)-SUM($L565:BD565),(('PTRM input'!$L$149+'PTRM input'!$L$115)*$L$7)/A7taxstdlife))</f>
        <v>0</v>
      </c>
      <c r="BF565" s="590">
        <f>IF(A7taxstdlife="n/a","n/a",IF(BF$3&gt;(A7taxstdlife+$E565),(('PTRM input'!$L$149+'PTRM input'!$L$115)*$L$7)-SUM($L565:BE565),(('PTRM input'!$L$149+'PTRM input'!$L$115)*$L$7)/A7taxstdlife))</f>
        <v>0</v>
      </c>
      <c r="BG565" s="590">
        <f>IF(A7taxstdlife="n/a","n/a",IF(BG$3&gt;(A7taxstdlife+$E565),(('PTRM input'!$L$149+'PTRM input'!$L$115)*$L$7)-SUM($L565:BF565),(('PTRM input'!$L$149+'PTRM input'!$L$115)*$L$7)/A7taxstdlife))</f>
        <v>0</v>
      </c>
      <c r="BH565" s="590">
        <f>IF(A7taxstdlife="n/a","n/a",IF(BH$3&gt;(A7taxstdlife+$E565),(('PTRM input'!$L$149+'PTRM input'!$L$115)*$L$7)-SUM($L565:BG565),(('PTRM input'!$L$149+'PTRM input'!$L$115)*$L$7)/A7taxstdlife))</f>
        <v>0</v>
      </c>
      <c r="BI565" s="590">
        <f>IF(A7taxstdlife="n/a","n/a",IF(BI$3&gt;(A7taxstdlife+$E565),(('PTRM input'!$L$149+'PTRM input'!$L$115)*$L$7)-SUM($L565:BH565),(('PTRM input'!$L$149+'PTRM input'!$L$115)*$L$7)/A7taxstdlife))</f>
        <v>0</v>
      </c>
      <c r="BJ565" s="240"/>
      <c r="BK565" s="240"/>
      <c r="BL565" s="240"/>
      <c r="BM565" s="240"/>
    </row>
    <row r="566" spans="1:65" s="4" customFormat="1" hidden="1" outlineLevel="2">
      <c r="A566" s="240"/>
      <c r="B566" s="240"/>
      <c r="C566" s="595"/>
      <c r="D566" s="1618"/>
      <c r="E566" s="169">
        <v>7</v>
      </c>
      <c r="F566" s="35"/>
      <c r="G566" s="184"/>
      <c r="H566" s="186"/>
      <c r="I566" s="186"/>
      <c r="J566" s="186"/>
      <c r="K566" s="186"/>
      <c r="L566" s="186"/>
      <c r="M566" s="185"/>
      <c r="N566" s="107">
        <f>IF(A7taxstdlife="n/a","n/a",IF(N$3&gt;(A7taxstdlife+$E566),(('PTRM input'!$M$149+'PTRM input'!$M$115)*$M$7)-SUM($M566:M566),(('PTRM input'!$M$149+'PTRM input'!$M$115)*$M$7)/A7taxstdlife))</f>
        <v>0</v>
      </c>
      <c r="O566" s="107">
        <f>IF(A7taxstdlife="n/a","n/a",IF(O$3&gt;(A7taxstdlife+$E566),(('PTRM input'!$M$149+'PTRM input'!$M$115)*$M$7)-SUM($M566:N566),(('PTRM input'!$M$149+'PTRM input'!$M$115)*$M$7)/A7taxstdlife))</f>
        <v>0</v>
      </c>
      <c r="P566" s="107">
        <f>IF(A7taxstdlife="n/a","n/a",IF(P$3&gt;(A7taxstdlife+$E566),(('PTRM input'!$M$149+'PTRM input'!$M$115)*$M$7)-SUM($M566:O566),(('PTRM input'!$M$149+'PTRM input'!$M$115)*$M$7)/A7taxstdlife))</f>
        <v>0</v>
      </c>
      <c r="Q566" s="590">
        <f>IF(A7taxstdlife="n/a","n/a",IF(Q$3&gt;(A7taxstdlife+$E566),(('PTRM input'!$M$149+'PTRM input'!$M$115)*$M$7)-SUM($M566:P566),(('PTRM input'!$M$149+'PTRM input'!$M$115)*$M$7)/A7taxstdlife))</f>
        <v>0</v>
      </c>
      <c r="R566" s="590">
        <f>IF(A7taxstdlife="n/a","n/a",IF(R$3&gt;(A7taxstdlife+$E566),(('PTRM input'!$M$149+'PTRM input'!$M$115)*$M$7)-SUM($M566:Q566),(('PTRM input'!$M$149+'PTRM input'!$M$115)*$M$7)/A7taxstdlife))</f>
        <v>0</v>
      </c>
      <c r="S566" s="590">
        <f>IF(A7taxstdlife="n/a","n/a",IF(S$3&gt;(A7taxstdlife+$E566),(('PTRM input'!$M$149+'PTRM input'!$M$115)*$M$7)-SUM($M566:R566),(('PTRM input'!$M$149+'PTRM input'!$M$115)*$M$7)/A7taxstdlife))</f>
        <v>0</v>
      </c>
      <c r="T566" s="590">
        <f>IF(A7taxstdlife="n/a","n/a",IF(T$3&gt;(A7taxstdlife+$E566),(('PTRM input'!$M$149+'PTRM input'!$M$115)*$M$7)-SUM($M566:S566),(('PTRM input'!$M$149+'PTRM input'!$M$115)*$M$7)/A7taxstdlife))</f>
        <v>0</v>
      </c>
      <c r="U566" s="590">
        <f>IF(A7taxstdlife="n/a","n/a",IF(U$3&gt;(A7taxstdlife+$E566),(('PTRM input'!$M$149+'PTRM input'!$M$115)*$M$7)-SUM($M566:T566),(('PTRM input'!$M$149+'PTRM input'!$M$115)*$M$7)/A7taxstdlife))</f>
        <v>0</v>
      </c>
      <c r="V566" s="590">
        <f>IF(A7taxstdlife="n/a","n/a",IF(V$3&gt;(A7taxstdlife+$E566),(('PTRM input'!$M$149+'PTRM input'!$M$115)*$M$7)-SUM($M566:U566),(('PTRM input'!$M$149+'PTRM input'!$M$115)*$M$7)/A7taxstdlife))</f>
        <v>0</v>
      </c>
      <c r="W566" s="590">
        <f>IF(A7taxstdlife="n/a","n/a",IF(W$3&gt;(A7taxstdlife+$E566),(('PTRM input'!$M$149+'PTRM input'!$M$115)*$M$7)-SUM($M566:V566),(('PTRM input'!$M$149+'PTRM input'!$M$115)*$M$7)/A7taxstdlife))</f>
        <v>0</v>
      </c>
      <c r="X566" s="590">
        <f>IF(A7taxstdlife="n/a","n/a",IF(X$3&gt;(A7taxstdlife+$E566),(('PTRM input'!$M$149+'PTRM input'!$M$115)*$M$7)-SUM($M566:W566),(('PTRM input'!$M$149+'PTRM input'!$M$115)*$M$7)/A7taxstdlife))</f>
        <v>0</v>
      </c>
      <c r="Y566" s="590">
        <f>IF(A7taxstdlife="n/a","n/a",IF(Y$3&gt;(A7taxstdlife+$E566),(('PTRM input'!$M$149+'PTRM input'!$M$115)*$M$7)-SUM($M566:X566),(('PTRM input'!$M$149+'PTRM input'!$M$115)*$M$7)/A7taxstdlife))</f>
        <v>0</v>
      </c>
      <c r="Z566" s="590">
        <f>IF(A7taxstdlife="n/a","n/a",IF(Z$3&gt;(A7taxstdlife+$E566),(('PTRM input'!$M$149+'PTRM input'!$M$115)*$M$7)-SUM($M566:Y566),(('PTRM input'!$M$149+'PTRM input'!$M$115)*$M$7)/A7taxstdlife))</f>
        <v>0</v>
      </c>
      <c r="AA566" s="590">
        <f>IF(A7taxstdlife="n/a","n/a",IF(AA$3&gt;(A7taxstdlife+$E566),(('PTRM input'!$M$149+'PTRM input'!$M$115)*$M$7)-SUM($M566:Z566),(('PTRM input'!$M$149+'PTRM input'!$M$115)*$M$7)/A7taxstdlife))</f>
        <v>0</v>
      </c>
      <c r="AB566" s="590">
        <f>IF(A7taxstdlife="n/a","n/a",IF(AB$3&gt;(A7taxstdlife+$E566),(('PTRM input'!$M$149+'PTRM input'!$M$115)*$M$7)-SUM($M566:AA566),(('PTRM input'!$M$149+'PTRM input'!$M$115)*$M$7)/A7taxstdlife))</f>
        <v>0</v>
      </c>
      <c r="AC566" s="590">
        <f>IF(A7taxstdlife="n/a","n/a",IF(AC$3&gt;(A7taxstdlife+$E566),(('PTRM input'!$M$149+'PTRM input'!$M$115)*$M$7)-SUM($M566:AB566),(('PTRM input'!$M$149+'PTRM input'!$M$115)*$M$7)/A7taxstdlife))</f>
        <v>0</v>
      </c>
      <c r="AD566" s="590">
        <f>IF(A7taxstdlife="n/a","n/a",IF(AD$3&gt;(A7taxstdlife+$E566),(('PTRM input'!$M$149+'PTRM input'!$M$115)*$M$7)-SUM($M566:AC566),(('PTRM input'!$M$149+'PTRM input'!$M$115)*$M$7)/A7taxstdlife))</f>
        <v>0</v>
      </c>
      <c r="AE566" s="590">
        <f>IF(A7taxstdlife="n/a","n/a",IF(AE$3&gt;(A7taxstdlife+$E566),(('PTRM input'!$M$149+'PTRM input'!$M$115)*$M$7)-SUM($M566:AD566),(('PTRM input'!$M$149+'PTRM input'!$M$115)*$M$7)/A7taxstdlife))</f>
        <v>0</v>
      </c>
      <c r="AF566" s="590">
        <f>IF(A7taxstdlife="n/a","n/a",IF(AF$3&gt;(A7taxstdlife+$E566),(('PTRM input'!$M$149+'PTRM input'!$M$115)*$M$7)-SUM($M566:AE566),(('PTRM input'!$M$149+'PTRM input'!$M$115)*$M$7)/A7taxstdlife))</f>
        <v>0</v>
      </c>
      <c r="AG566" s="590">
        <f>IF(A7taxstdlife="n/a","n/a",IF(AG$3&gt;(A7taxstdlife+$E566),(('PTRM input'!$M$149+'PTRM input'!$M$115)*$M$7)-SUM($M566:AF566),(('PTRM input'!$M$149+'PTRM input'!$M$115)*$M$7)/A7taxstdlife))</f>
        <v>0</v>
      </c>
      <c r="AH566" s="590">
        <f>IF(A7taxstdlife="n/a","n/a",IF(AH$3&gt;(A7taxstdlife+$E566),(('PTRM input'!$M$149+'PTRM input'!$M$115)*$M$7)-SUM($M566:AG566),(('PTRM input'!$M$149+'PTRM input'!$M$115)*$M$7)/A7taxstdlife))</f>
        <v>0</v>
      </c>
      <c r="AI566" s="590">
        <f>IF(A7taxstdlife="n/a","n/a",IF(AI$3&gt;(A7taxstdlife+$E566),(('PTRM input'!$M$149+'PTRM input'!$M$115)*$M$7)-SUM($M566:AH566),(('PTRM input'!$M$149+'PTRM input'!$M$115)*$M$7)/A7taxstdlife))</f>
        <v>0</v>
      </c>
      <c r="AJ566" s="590">
        <f>IF(A7taxstdlife="n/a","n/a",IF(AJ$3&gt;(A7taxstdlife+$E566),(('PTRM input'!$M$149+'PTRM input'!$M$115)*$M$7)-SUM($M566:AI566),(('PTRM input'!$M$149+'PTRM input'!$M$115)*$M$7)/A7taxstdlife))</f>
        <v>0</v>
      </c>
      <c r="AK566" s="590">
        <f>IF(A7taxstdlife="n/a","n/a",IF(AK$3&gt;(A7taxstdlife+$E566),(('PTRM input'!$M$149+'PTRM input'!$M$115)*$M$7)-SUM($M566:AJ566),(('PTRM input'!$M$149+'PTRM input'!$M$115)*$M$7)/A7taxstdlife))</f>
        <v>0</v>
      </c>
      <c r="AL566" s="590">
        <f>IF(A7taxstdlife="n/a","n/a",IF(AL$3&gt;(A7taxstdlife+$E566),(('PTRM input'!$M$149+'PTRM input'!$M$115)*$M$7)-SUM($M566:AK566),(('PTRM input'!$M$149+'PTRM input'!$M$115)*$M$7)/A7taxstdlife))</f>
        <v>0</v>
      </c>
      <c r="AM566" s="590">
        <f>IF(A7taxstdlife="n/a","n/a",IF(AM$3&gt;(A7taxstdlife+$E566),(('PTRM input'!$M$149+'PTRM input'!$M$115)*$M$7)-SUM($M566:AL566),(('PTRM input'!$M$149+'PTRM input'!$M$115)*$M$7)/A7taxstdlife))</f>
        <v>0</v>
      </c>
      <c r="AN566" s="590">
        <f>IF(A7taxstdlife="n/a","n/a",IF(AN$3&gt;(A7taxstdlife+$E566),(('PTRM input'!$M$149+'PTRM input'!$M$115)*$M$7)-SUM($M566:AM566),(('PTRM input'!$M$149+'PTRM input'!$M$115)*$M$7)/A7taxstdlife))</f>
        <v>0</v>
      </c>
      <c r="AO566" s="590">
        <f>IF(A7taxstdlife="n/a","n/a",IF(AO$3&gt;(A7taxstdlife+$E566),(('PTRM input'!$M$149+'PTRM input'!$M$115)*$M$7)-SUM($M566:AN566),(('PTRM input'!$M$149+'PTRM input'!$M$115)*$M$7)/A7taxstdlife))</f>
        <v>0</v>
      </c>
      <c r="AP566" s="590">
        <f>IF(A7taxstdlife="n/a","n/a",IF(AP$3&gt;(A7taxstdlife+$E566),(('PTRM input'!$M$149+'PTRM input'!$M$115)*$M$7)-SUM($M566:AO566),(('PTRM input'!$M$149+'PTRM input'!$M$115)*$M$7)/A7taxstdlife))</f>
        <v>0</v>
      </c>
      <c r="AQ566" s="590">
        <f>IF(A7taxstdlife="n/a","n/a",IF(AQ$3&gt;(A7taxstdlife+$E566),(('PTRM input'!$M$149+'PTRM input'!$M$115)*$M$7)-SUM($M566:AP566),(('PTRM input'!$M$149+'PTRM input'!$M$115)*$M$7)/A7taxstdlife))</f>
        <v>0</v>
      </c>
      <c r="AR566" s="590">
        <f>IF(A7taxstdlife="n/a","n/a",IF(AR$3&gt;(A7taxstdlife+$E566),(('PTRM input'!$M$149+'PTRM input'!$M$115)*$M$7)-SUM($M566:AQ566),(('PTRM input'!$M$149+'PTRM input'!$M$115)*$M$7)/A7taxstdlife))</f>
        <v>0</v>
      </c>
      <c r="AS566" s="590">
        <f>IF(A7taxstdlife="n/a","n/a",IF(AS$3&gt;(A7taxstdlife+$E566),(('PTRM input'!$M$149+'PTRM input'!$M$115)*$M$7)-SUM($M566:AR566),(('PTRM input'!$M$149+'PTRM input'!$M$115)*$M$7)/A7taxstdlife))</f>
        <v>0</v>
      </c>
      <c r="AT566" s="590">
        <f>IF(A7taxstdlife="n/a","n/a",IF(AT$3&gt;(A7taxstdlife+$E566),(('PTRM input'!$M$149+'PTRM input'!$M$115)*$M$7)-SUM($M566:AS566),(('PTRM input'!$M$149+'PTRM input'!$M$115)*$M$7)/A7taxstdlife))</f>
        <v>0</v>
      </c>
      <c r="AU566" s="590">
        <f>IF(A7taxstdlife="n/a","n/a",IF(AU$3&gt;(A7taxstdlife+$E566),(('PTRM input'!$M$149+'PTRM input'!$M$115)*$M$7)-SUM($M566:AT566),(('PTRM input'!$M$149+'PTRM input'!$M$115)*$M$7)/A7taxstdlife))</f>
        <v>0</v>
      </c>
      <c r="AV566" s="590">
        <f>IF(A7taxstdlife="n/a","n/a",IF(AV$3&gt;(A7taxstdlife+$E566),(('PTRM input'!$M$149+'PTRM input'!$M$115)*$M$7)-SUM($M566:AU566),(('PTRM input'!$M$149+'PTRM input'!$M$115)*$M$7)/A7taxstdlife))</f>
        <v>0</v>
      </c>
      <c r="AW566" s="590">
        <f>IF(A7taxstdlife="n/a","n/a",IF(AW$3&gt;(A7taxstdlife+$E566),(('PTRM input'!$M$149+'PTRM input'!$M$115)*$M$7)-SUM($M566:AV566),(('PTRM input'!$M$149+'PTRM input'!$M$115)*$M$7)/A7taxstdlife))</f>
        <v>0</v>
      </c>
      <c r="AX566" s="590">
        <f>IF(A7taxstdlife="n/a","n/a",IF(AX$3&gt;(A7taxstdlife+$E566),(('PTRM input'!$M$149+'PTRM input'!$M$115)*$M$7)-SUM($M566:AW566),(('PTRM input'!$M$149+'PTRM input'!$M$115)*$M$7)/A7taxstdlife))</f>
        <v>0</v>
      </c>
      <c r="AY566" s="590">
        <f>IF(A7taxstdlife="n/a","n/a",IF(AY$3&gt;(A7taxstdlife+$E566),(('PTRM input'!$M$149+'PTRM input'!$M$115)*$M$7)-SUM($M566:AX566),(('PTRM input'!$M$149+'PTRM input'!$M$115)*$M$7)/A7taxstdlife))</f>
        <v>0</v>
      </c>
      <c r="AZ566" s="590">
        <f>IF(A7taxstdlife="n/a","n/a",IF(AZ$3&gt;(A7taxstdlife+$E566),(('PTRM input'!$M$149+'PTRM input'!$M$115)*$M$7)-SUM($M566:AY566),(('PTRM input'!$M$149+'PTRM input'!$M$115)*$M$7)/A7taxstdlife))</f>
        <v>0</v>
      </c>
      <c r="BA566" s="590">
        <f>IF(A7taxstdlife="n/a","n/a",IF(BA$3&gt;(A7taxstdlife+$E566),(('PTRM input'!$M$149+'PTRM input'!$M$115)*$M$7)-SUM($M566:AZ566),(('PTRM input'!$M$149+'PTRM input'!$M$115)*$M$7)/A7taxstdlife))</f>
        <v>0</v>
      </c>
      <c r="BB566" s="590">
        <f>IF(A7taxstdlife="n/a","n/a",IF(BB$3&gt;(A7taxstdlife+$E566),(('PTRM input'!$M$149+'PTRM input'!$M$115)*$M$7)-SUM($M566:BA566),(('PTRM input'!$M$149+'PTRM input'!$M$115)*$M$7)/A7taxstdlife))</f>
        <v>0</v>
      </c>
      <c r="BC566" s="590">
        <f>IF(A7taxstdlife="n/a","n/a",IF(BC$3&gt;(A7taxstdlife+$E566),(('PTRM input'!$M$149+'PTRM input'!$M$115)*$M$7)-SUM($M566:BB566),(('PTRM input'!$M$149+'PTRM input'!$M$115)*$M$7)/A7taxstdlife))</f>
        <v>0</v>
      </c>
      <c r="BD566" s="590">
        <f>IF(A7taxstdlife="n/a","n/a",IF(BD$3&gt;(A7taxstdlife+$E566),(('PTRM input'!$M$149+'PTRM input'!$M$115)*$M$7)-SUM($M566:BC566),(('PTRM input'!$M$149+'PTRM input'!$M$115)*$M$7)/A7taxstdlife))</f>
        <v>0</v>
      </c>
      <c r="BE566" s="590">
        <f>IF(A7taxstdlife="n/a","n/a",IF(BE$3&gt;(A7taxstdlife+$E566),(('PTRM input'!$M$149+'PTRM input'!$M$115)*$M$7)-SUM($M566:BD566),(('PTRM input'!$M$149+'PTRM input'!$M$115)*$M$7)/A7taxstdlife))</f>
        <v>0</v>
      </c>
      <c r="BF566" s="590">
        <f>IF(A7taxstdlife="n/a","n/a",IF(BF$3&gt;(A7taxstdlife+$E566),(('PTRM input'!$M$149+'PTRM input'!$M$115)*$M$7)-SUM($M566:BE566),(('PTRM input'!$M$149+'PTRM input'!$M$115)*$M$7)/A7taxstdlife))</f>
        <v>0</v>
      </c>
      <c r="BG566" s="590">
        <f>IF(A7taxstdlife="n/a","n/a",IF(BG$3&gt;(A7taxstdlife+$E566),(('PTRM input'!$M$149+'PTRM input'!$M$115)*$M$7)-SUM($M566:BF566),(('PTRM input'!$M$149+'PTRM input'!$M$115)*$M$7)/A7taxstdlife))</f>
        <v>0</v>
      </c>
      <c r="BH566" s="590">
        <f>IF(A7taxstdlife="n/a","n/a",IF(BH$3&gt;(A7taxstdlife+$E566),(('PTRM input'!$M$149+'PTRM input'!$M$115)*$M$7)-SUM($M566:BG566),(('PTRM input'!$M$149+'PTRM input'!$M$115)*$M$7)/A7taxstdlife))</f>
        <v>0</v>
      </c>
      <c r="BI566" s="590">
        <f>IF(A7taxstdlife="n/a","n/a",IF(BI$3&gt;(A7taxstdlife+$E566),(('PTRM input'!$M$149+'PTRM input'!$M$115)*$M$7)-SUM($M566:BH566),(('PTRM input'!$M$149+'PTRM input'!$M$115)*$M$7)/A7taxstdlife))</f>
        <v>0</v>
      </c>
      <c r="BJ566" s="240"/>
      <c r="BK566" s="240"/>
      <c r="BL566" s="240"/>
      <c r="BM566" s="240"/>
    </row>
    <row r="567" spans="1:65" s="4" customFormat="1" hidden="1" outlineLevel="2">
      <c r="A567" s="240"/>
      <c r="B567" s="240"/>
      <c r="C567" s="595"/>
      <c r="D567" s="1618"/>
      <c r="E567" s="169">
        <v>8</v>
      </c>
      <c r="F567" s="35"/>
      <c r="G567" s="184"/>
      <c r="H567" s="186"/>
      <c r="I567" s="186"/>
      <c r="J567" s="186"/>
      <c r="K567" s="186"/>
      <c r="L567" s="186"/>
      <c r="M567" s="186"/>
      <c r="N567" s="185"/>
      <c r="O567" s="107">
        <f>IF(A7taxstdlife="n/a","n/a",IF(O$3&gt;(A7taxstdlife+$E567),(('PTRM input'!$N$149+'PTRM input'!$N$115)*$N$7)-SUM($N567:N567),(('PTRM input'!$N$149+'PTRM input'!$N$115)*$N$7)/A7taxstdlife))</f>
        <v>0</v>
      </c>
      <c r="P567" s="107">
        <f>IF(A7taxstdlife="n/a","n/a",IF(P$3&gt;(A7taxstdlife+$E567),(('PTRM input'!$N$149+'PTRM input'!$N$115)*$N$7)-SUM($N567:O567),(('PTRM input'!$N$149+'PTRM input'!$N$115)*$N$7)/A7taxstdlife))</f>
        <v>0</v>
      </c>
      <c r="Q567" s="590">
        <f>IF(A7taxstdlife="n/a","n/a",IF(Q$3&gt;(A7taxstdlife+$E567),(('PTRM input'!$N$149+'PTRM input'!$N$115)*$N$7)-SUM($N567:P567),(('PTRM input'!$N$149+'PTRM input'!$N$115)*$N$7)/A7taxstdlife))</f>
        <v>0</v>
      </c>
      <c r="R567" s="590">
        <f>IF(A7taxstdlife="n/a","n/a",IF(R$3&gt;(A7taxstdlife+$E567),(('PTRM input'!$N$149+'PTRM input'!$N$115)*$N$7)-SUM($N567:Q567),(('PTRM input'!$N$149+'PTRM input'!$N$115)*$N$7)/A7taxstdlife))</f>
        <v>0</v>
      </c>
      <c r="S567" s="590">
        <f>IF(A7taxstdlife="n/a","n/a",IF(S$3&gt;(A7taxstdlife+$E567),(('PTRM input'!$N$149+'PTRM input'!$N$115)*$N$7)-SUM($N567:R567),(('PTRM input'!$N$149+'PTRM input'!$N$115)*$N$7)/A7taxstdlife))</f>
        <v>0</v>
      </c>
      <c r="T567" s="590">
        <f>IF(A7taxstdlife="n/a","n/a",IF(T$3&gt;(A7taxstdlife+$E567),(('PTRM input'!$N$149+'PTRM input'!$N$115)*$N$7)-SUM($N567:S567),(('PTRM input'!$N$149+'PTRM input'!$N$115)*$N$7)/A7taxstdlife))</f>
        <v>0</v>
      </c>
      <c r="U567" s="590">
        <f>IF(A7taxstdlife="n/a","n/a",IF(U$3&gt;(A7taxstdlife+$E567),(('PTRM input'!$N$149+'PTRM input'!$N$115)*$N$7)-SUM($N567:T567),(('PTRM input'!$N$149+'PTRM input'!$N$115)*$N$7)/A7taxstdlife))</f>
        <v>0</v>
      </c>
      <c r="V567" s="590">
        <f>IF(A7taxstdlife="n/a","n/a",IF(V$3&gt;(A7taxstdlife+$E567),(('PTRM input'!$N$149+'PTRM input'!$N$115)*$N$7)-SUM($N567:U567),(('PTRM input'!$N$149+'PTRM input'!$N$115)*$N$7)/A7taxstdlife))</f>
        <v>0</v>
      </c>
      <c r="W567" s="590">
        <f>IF(A7taxstdlife="n/a","n/a",IF(W$3&gt;(A7taxstdlife+$E567),(('PTRM input'!$N$149+'PTRM input'!$N$115)*$N$7)-SUM($N567:V567),(('PTRM input'!$N$149+'PTRM input'!$N$115)*$N$7)/A7taxstdlife))</f>
        <v>0</v>
      </c>
      <c r="X567" s="590">
        <f>IF(A7taxstdlife="n/a","n/a",IF(X$3&gt;(A7taxstdlife+$E567),(('PTRM input'!$N$149+'PTRM input'!$N$115)*$N$7)-SUM($N567:W567),(('PTRM input'!$N$149+'PTRM input'!$N$115)*$N$7)/A7taxstdlife))</f>
        <v>0</v>
      </c>
      <c r="Y567" s="590">
        <f>IF(A7taxstdlife="n/a","n/a",IF(Y$3&gt;(A7taxstdlife+$E567),(('PTRM input'!$N$149+'PTRM input'!$N$115)*$N$7)-SUM($N567:X567),(('PTRM input'!$N$149+'PTRM input'!$N$115)*$N$7)/A7taxstdlife))</f>
        <v>0</v>
      </c>
      <c r="Z567" s="590">
        <f>IF(A7taxstdlife="n/a","n/a",IF(Z$3&gt;(A7taxstdlife+$E567),(('PTRM input'!$N$149+'PTRM input'!$N$115)*$N$7)-SUM($N567:Y567),(('PTRM input'!$N$149+'PTRM input'!$N$115)*$N$7)/A7taxstdlife))</f>
        <v>0</v>
      </c>
      <c r="AA567" s="590">
        <f>IF(A7taxstdlife="n/a","n/a",IF(AA$3&gt;(A7taxstdlife+$E567),(('PTRM input'!$N$149+'PTRM input'!$N$115)*$N$7)-SUM($N567:Z567),(('PTRM input'!$N$149+'PTRM input'!$N$115)*$N$7)/A7taxstdlife))</f>
        <v>0</v>
      </c>
      <c r="AB567" s="590">
        <f>IF(A7taxstdlife="n/a","n/a",IF(AB$3&gt;(A7taxstdlife+$E567),(('PTRM input'!$N$149+'PTRM input'!$N$115)*$N$7)-SUM($N567:AA567),(('PTRM input'!$N$149+'PTRM input'!$N$115)*$N$7)/A7taxstdlife))</f>
        <v>0</v>
      </c>
      <c r="AC567" s="590">
        <f>IF(A7taxstdlife="n/a","n/a",IF(AC$3&gt;(A7taxstdlife+$E567),(('PTRM input'!$N$149+'PTRM input'!$N$115)*$N$7)-SUM($N567:AB567),(('PTRM input'!$N$149+'PTRM input'!$N$115)*$N$7)/A7taxstdlife))</f>
        <v>0</v>
      </c>
      <c r="AD567" s="590">
        <f>IF(A7taxstdlife="n/a","n/a",IF(AD$3&gt;(A7taxstdlife+$E567),(('PTRM input'!$N$149+'PTRM input'!$N$115)*$N$7)-SUM($N567:AC567),(('PTRM input'!$N$149+'PTRM input'!$N$115)*$N$7)/A7taxstdlife))</f>
        <v>0</v>
      </c>
      <c r="AE567" s="590">
        <f>IF(A7taxstdlife="n/a","n/a",IF(AE$3&gt;(A7taxstdlife+$E567),(('PTRM input'!$N$149+'PTRM input'!$N$115)*$N$7)-SUM($N567:AD567),(('PTRM input'!$N$149+'PTRM input'!$N$115)*$N$7)/A7taxstdlife))</f>
        <v>0</v>
      </c>
      <c r="AF567" s="590">
        <f>IF(A7taxstdlife="n/a","n/a",IF(AF$3&gt;(A7taxstdlife+$E567),(('PTRM input'!$N$149+'PTRM input'!$N$115)*$N$7)-SUM($N567:AE567),(('PTRM input'!$N$149+'PTRM input'!$N$115)*$N$7)/A7taxstdlife))</f>
        <v>0</v>
      </c>
      <c r="AG567" s="590">
        <f>IF(A7taxstdlife="n/a","n/a",IF(AG$3&gt;(A7taxstdlife+$E567),(('PTRM input'!$N$149+'PTRM input'!$N$115)*$N$7)-SUM($N567:AF567),(('PTRM input'!$N$149+'PTRM input'!$N$115)*$N$7)/A7taxstdlife))</f>
        <v>0</v>
      </c>
      <c r="AH567" s="590">
        <f>IF(A7taxstdlife="n/a","n/a",IF(AH$3&gt;(A7taxstdlife+$E567),(('PTRM input'!$N$149+'PTRM input'!$N$115)*$N$7)-SUM($N567:AG567),(('PTRM input'!$N$149+'PTRM input'!$N$115)*$N$7)/A7taxstdlife))</f>
        <v>0</v>
      </c>
      <c r="AI567" s="590">
        <f>IF(A7taxstdlife="n/a","n/a",IF(AI$3&gt;(A7taxstdlife+$E567),(('PTRM input'!$N$149+'PTRM input'!$N$115)*$N$7)-SUM($N567:AH567),(('PTRM input'!$N$149+'PTRM input'!$N$115)*$N$7)/A7taxstdlife))</f>
        <v>0</v>
      </c>
      <c r="AJ567" s="590">
        <f>IF(A7taxstdlife="n/a","n/a",IF(AJ$3&gt;(A7taxstdlife+$E567),(('PTRM input'!$N$149+'PTRM input'!$N$115)*$N$7)-SUM($N567:AI567),(('PTRM input'!$N$149+'PTRM input'!$N$115)*$N$7)/A7taxstdlife))</f>
        <v>0</v>
      </c>
      <c r="AK567" s="590">
        <f>IF(A7taxstdlife="n/a","n/a",IF(AK$3&gt;(A7taxstdlife+$E567),(('PTRM input'!$N$149+'PTRM input'!$N$115)*$N$7)-SUM($N567:AJ567),(('PTRM input'!$N$149+'PTRM input'!$N$115)*$N$7)/A7taxstdlife))</f>
        <v>0</v>
      </c>
      <c r="AL567" s="590">
        <f>IF(A7taxstdlife="n/a","n/a",IF(AL$3&gt;(A7taxstdlife+$E567),(('PTRM input'!$N$149+'PTRM input'!$N$115)*$N$7)-SUM($N567:AK567),(('PTRM input'!$N$149+'PTRM input'!$N$115)*$N$7)/A7taxstdlife))</f>
        <v>0</v>
      </c>
      <c r="AM567" s="590">
        <f>IF(A7taxstdlife="n/a","n/a",IF(AM$3&gt;(A7taxstdlife+$E567),(('PTRM input'!$N$149+'PTRM input'!$N$115)*$N$7)-SUM($N567:AL567),(('PTRM input'!$N$149+'PTRM input'!$N$115)*$N$7)/A7taxstdlife))</f>
        <v>0</v>
      </c>
      <c r="AN567" s="590">
        <f>IF(A7taxstdlife="n/a","n/a",IF(AN$3&gt;(A7taxstdlife+$E567),(('PTRM input'!$N$149+'PTRM input'!$N$115)*$N$7)-SUM($N567:AM567),(('PTRM input'!$N$149+'PTRM input'!$N$115)*$N$7)/A7taxstdlife))</f>
        <v>0</v>
      </c>
      <c r="AO567" s="590">
        <f>IF(A7taxstdlife="n/a","n/a",IF(AO$3&gt;(A7taxstdlife+$E567),(('PTRM input'!$N$149+'PTRM input'!$N$115)*$N$7)-SUM($N567:AN567),(('PTRM input'!$N$149+'PTRM input'!$N$115)*$N$7)/A7taxstdlife))</f>
        <v>0</v>
      </c>
      <c r="AP567" s="590">
        <f>IF(A7taxstdlife="n/a","n/a",IF(AP$3&gt;(A7taxstdlife+$E567),(('PTRM input'!$N$149+'PTRM input'!$N$115)*$N$7)-SUM($N567:AO567),(('PTRM input'!$N$149+'PTRM input'!$N$115)*$N$7)/A7taxstdlife))</f>
        <v>0</v>
      </c>
      <c r="AQ567" s="590">
        <f>IF(A7taxstdlife="n/a","n/a",IF(AQ$3&gt;(A7taxstdlife+$E567),(('PTRM input'!$N$149+'PTRM input'!$N$115)*$N$7)-SUM($N567:AP567),(('PTRM input'!$N$149+'PTRM input'!$N$115)*$N$7)/A7taxstdlife))</f>
        <v>0</v>
      </c>
      <c r="AR567" s="590">
        <f>IF(A7taxstdlife="n/a","n/a",IF(AR$3&gt;(A7taxstdlife+$E567),(('PTRM input'!$N$149+'PTRM input'!$N$115)*$N$7)-SUM($N567:AQ567),(('PTRM input'!$N$149+'PTRM input'!$N$115)*$N$7)/A7taxstdlife))</f>
        <v>0</v>
      </c>
      <c r="AS567" s="590">
        <f>IF(A7taxstdlife="n/a","n/a",IF(AS$3&gt;(A7taxstdlife+$E567),(('PTRM input'!$N$149+'PTRM input'!$N$115)*$N$7)-SUM($N567:AR567),(('PTRM input'!$N$149+'PTRM input'!$N$115)*$N$7)/A7taxstdlife))</f>
        <v>0</v>
      </c>
      <c r="AT567" s="590">
        <f>IF(A7taxstdlife="n/a","n/a",IF(AT$3&gt;(A7taxstdlife+$E567),(('PTRM input'!$N$149+'PTRM input'!$N$115)*$N$7)-SUM($N567:AS567),(('PTRM input'!$N$149+'PTRM input'!$N$115)*$N$7)/A7taxstdlife))</f>
        <v>0</v>
      </c>
      <c r="AU567" s="590">
        <f>IF(A7taxstdlife="n/a","n/a",IF(AU$3&gt;(A7taxstdlife+$E567),(('PTRM input'!$N$149+'PTRM input'!$N$115)*$N$7)-SUM($N567:AT567),(('PTRM input'!$N$149+'PTRM input'!$N$115)*$N$7)/A7taxstdlife))</f>
        <v>0</v>
      </c>
      <c r="AV567" s="590">
        <f>IF(A7taxstdlife="n/a","n/a",IF(AV$3&gt;(A7taxstdlife+$E567),(('PTRM input'!$N$149+'PTRM input'!$N$115)*$N$7)-SUM($N567:AU567),(('PTRM input'!$N$149+'PTRM input'!$N$115)*$N$7)/A7taxstdlife))</f>
        <v>0</v>
      </c>
      <c r="AW567" s="590">
        <f>IF(A7taxstdlife="n/a","n/a",IF(AW$3&gt;(A7taxstdlife+$E567),(('PTRM input'!$N$149+'PTRM input'!$N$115)*$N$7)-SUM($N567:AV567),(('PTRM input'!$N$149+'PTRM input'!$N$115)*$N$7)/A7taxstdlife))</f>
        <v>0</v>
      </c>
      <c r="AX567" s="590">
        <f>IF(A7taxstdlife="n/a","n/a",IF(AX$3&gt;(A7taxstdlife+$E567),(('PTRM input'!$N$149+'PTRM input'!$N$115)*$N$7)-SUM($N567:AW567),(('PTRM input'!$N$149+'PTRM input'!$N$115)*$N$7)/A7taxstdlife))</f>
        <v>0</v>
      </c>
      <c r="AY567" s="590">
        <f>IF(A7taxstdlife="n/a","n/a",IF(AY$3&gt;(A7taxstdlife+$E567),(('PTRM input'!$N$149+'PTRM input'!$N$115)*$N$7)-SUM($N567:AX567),(('PTRM input'!$N$149+'PTRM input'!$N$115)*$N$7)/A7taxstdlife))</f>
        <v>0</v>
      </c>
      <c r="AZ567" s="590">
        <f>IF(A7taxstdlife="n/a","n/a",IF(AZ$3&gt;(A7taxstdlife+$E567),(('PTRM input'!$N$149+'PTRM input'!$N$115)*$N$7)-SUM($N567:AY567),(('PTRM input'!$N$149+'PTRM input'!$N$115)*$N$7)/A7taxstdlife))</f>
        <v>0</v>
      </c>
      <c r="BA567" s="590">
        <f>IF(A7taxstdlife="n/a","n/a",IF(BA$3&gt;(A7taxstdlife+$E567),(('PTRM input'!$N$149+'PTRM input'!$N$115)*$N$7)-SUM($N567:AZ567),(('PTRM input'!$N$149+'PTRM input'!$N$115)*$N$7)/A7taxstdlife))</f>
        <v>0</v>
      </c>
      <c r="BB567" s="590">
        <f>IF(A7taxstdlife="n/a","n/a",IF(BB$3&gt;(A7taxstdlife+$E567),(('PTRM input'!$N$149+'PTRM input'!$N$115)*$N$7)-SUM($N567:BA567),(('PTRM input'!$N$149+'PTRM input'!$N$115)*$N$7)/A7taxstdlife))</f>
        <v>0</v>
      </c>
      <c r="BC567" s="590">
        <f>IF(A7taxstdlife="n/a","n/a",IF(BC$3&gt;(A7taxstdlife+$E567),(('PTRM input'!$N$149+'PTRM input'!$N$115)*$N$7)-SUM($N567:BB567),(('PTRM input'!$N$149+'PTRM input'!$N$115)*$N$7)/A7taxstdlife))</f>
        <v>0</v>
      </c>
      <c r="BD567" s="590">
        <f>IF(A7taxstdlife="n/a","n/a",IF(BD$3&gt;(A7taxstdlife+$E567),(('PTRM input'!$N$149+'PTRM input'!$N$115)*$N$7)-SUM($N567:BC567),(('PTRM input'!$N$149+'PTRM input'!$N$115)*$N$7)/A7taxstdlife))</f>
        <v>0</v>
      </c>
      <c r="BE567" s="590">
        <f>IF(A7taxstdlife="n/a","n/a",IF(BE$3&gt;(A7taxstdlife+$E567),(('PTRM input'!$N$149+'PTRM input'!$N$115)*$N$7)-SUM($N567:BD567),(('PTRM input'!$N$149+'PTRM input'!$N$115)*$N$7)/A7taxstdlife))</f>
        <v>0</v>
      </c>
      <c r="BF567" s="590">
        <f>IF(A7taxstdlife="n/a","n/a",IF(BF$3&gt;(A7taxstdlife+$E567),(('PTRM input'!$N$149+'PTRM input'!$N$115)*$N$7)-SUM($N567:BE567),(('PTRM input'!$N$149+'PTRM input'!$N$115)*$N$7)/A7taxstdlife))</f>
        <v>0</v>
      </c>
      <c r="BG567" s="590">
        <f>IF(A7taxstdlife="n/a","n/a",IF(BG$3&gt;(A7taxstdlife+$E567),(('PTRM input'!$N$149+'PTRM input'!$N$115)*$N$7)-SUM($N567:BF567),(('PTRM input'!$N$149+'PTRM input'!$N$115)*$N$7)/A7taxstdlife))</f>
        <v>0</v>
      </c>
      <c r="BH567" s="590">
        <f>IF(A7taxstdlife="n/a","n/a",IF(BH$3&gt;(A7taxstdlife+$E567),(('PTRM input'!$N$149+'PTRM input'!$N$115)*$N$7)-SUM($N567:BG567),(('PTRM input'!$N$149+'PTRM input'!$N$115)*$N$7)/A7taxstdlife))</f>
        <v>0</v>
      </c>
      <c r="BI567" s="590">
        <f>IF(A7taxstdlife="n/a","n/a",IF(BI$3&gt;(A7taxstdlife+$E567),(('PTRM input'!$N$149+'PTRM input'!$N$115)*$N$7)-SUM($N567:BH567),(('PTRM input'!$N$149+'PTRM input'!$N$115)*$N$7)/A7taxstdlife))</f>
        <v>0</v>
      </c>
      <c r="BJ567" s="240"/>
      <c r="BK567" s="240"/>
      <c r="BL567" s="240"/>
      <c r="BM567" s="240"/>
    </row>
    <row r="568" spans="1:65" s="4" customFormat="1" hidden="1" outlineLevel="2">
      <c r="A568" s="240"/>
      <c r="B568" s="240"/>
      <c r="C568" s="595"/>
      <c r="D568" s="1618"/>
      <c r="E568" s="169">
        <v>9</v>
      </c>
      <c r="F568" s="35"/>
      <c r="G568" s="184"/>
      <c r="H568" s="186"/>
      <c r="I568" s="186"/>
      <c r="J568" s="186"/>
      <c r="K568" s="186"/>
      <c r="L568" s="186"/>
      <c r="M568" s="186"/>
      <c r="N568" s="186"/>
      <c r="O568" s="185"/>
      <c r="P568" s="107">
        <f>IF(A7taxstdlife="n/a","n/a",IF(P$3&gt;(A7taxstdlife+$E568),(('PTRM input'!$O$149+'PTRM input'!$O$115)*$O$7)-SUM($O568:O568),(('PTRM input'!$O$149+'PTRM input'!$O$115)*$O$7)/A7taxstdlife))</f>
        <v>0</v>
      </c>
      <c r="Q568" s="590">
        <f>IF(A7taxstdlife="n/a","n/a",IF(Q$3&gt;(A7taxstdlife+$E568),(('PTRM input'!$O$149+'PTRM input'!$O$115)*$O$7)-SUM($O568:P568),(('PTRM input'!$O$149+'PTRM input'!$O$115)*$O$7)/A7taxstdlife))</f>
        <v>0</v>
      </c>
      <c r="R568" s="590">
        <f>IF(A7taxstdlife="n/a","n/a",IF(R$3&gt;(A7taxstdlife+$E568),(('PTRM input'!$O$149+'PTRM input'!$O$115)*$O$7)-SUM($O568:Q568),(('PTRM input'!$O$149+'PTRM input'!$O$115)*$O$7)/A7taxstdlife))</f>
        <v>0</v>
      </c>
      <c r="S568" s="590">
        <f>IF(A7taxstdlife="n/a","n/a",IF(S$3&gt;(A7taxstdlife+$E568),(('PTRM input'!$O$149+'PTRM input'!$O$115)*$O$7)-SUM($O568:R568),(('PTRM input'!$O$149+'PTRM input'!$O$115)*$O$7)/A7taxstdlife))</f>
        <v>0</v>
      </c>
      <c r="T568" s="590">
        <f>IF(A7taxstdlife="n/a","n/a",IF(T$3&gt;(A7taxstdlife+$E568),(('PTRM input'!$O$149+'PTRM input'!$O$115)*$O$7)-SUM($O568:S568),(('PTRM input'!$O$149+'PTRM input'!$O$115)*$O$7)/A7taxstdlife))</f>
        <v>0</v>
      </c>
      <c r="U568" s="590">
        <f>IF(A7taxstdlife="n/a","n/a",IF(U$3&gt;(A7taxstdlife+$E568),(('PTRM input'!$O$149+'PTRM input'!$O$115)*$O$7)-SUM($O568:T568),(('PTRM input'!$O$149+'PTRM input'!$O$115)*$O$7)/A7taxstdlife))</f>
        <v>0</v>
      </c>
      <c r="V568" s="590">
        <f>IF(A7taxstdlife="n/a","n/a",IF(V$3&gt;(A7taxstdlife+$E568),(('PTRM input'!$O$149+'PTRM input'!$O$115)*$O$7)-SUM($O568:U568),(('PTRM input'!$O$149+'PTRM input'!$O$115)*$O$7)/A7taxstdlife))</f>
        <v>0</v>
      </c>
      <c r="W568" s="590">
        <f>IF(A7taxstdlife="n/a","n/a",IF(W$3&gt;(A7taxstdlife+$E568),(('PTRM input'!$O$149+'PTRM input'!$O$115)*$O$7)-SUM($O568:V568),(('PTRM input'!$O$149+'PTRM input'!$O$115)*$O$7)/A7taxstdlife))</f>
        <v>0</v>
      </c>
      <c r="X568" s="590">
        <f>IF(A7taxstdlife="n/a","n/a",IF(X$3&gt;(A7taxstdlife+$E568),(('PTRM input'!$O$149+'PTRM input'!$O$115)*$O$7)-SUM($O568:W568),(('PTRM input'!$O$149+'PTRM input'!$O$115)*$O$7)/A7taxstdlife))</f>
        <v>0</v>
      </c>
      <c r="Y568" s="590">
        <f>IF(A7taxstdlife="n/a","n/a",IF(Y$3&gt;(A7taxstdlife+$E568),(('PTRM input'!$O$149+'PTRM input'!$O$115)*$O$7)-SUM($O568:X568),(('PTRM input'!$O$149+'PTRM input'!$O$115)*$O$7)/A7taxstdlife))</f>
        <v>0</v>
      </c>
      <c r="Z568" s="590">
        <f>IF(A7taxstdlife="n/a","n/a",IF(Z$3&gt;(A7taxstdlife+$E568),(('PTRM input'!$O$149+'PTRM input'!$O$115)*$O$7)-SUM($O568:Y568),(('PTRM input'!$O$149+'PTRM input'!$O$115)*$O$7)/A7taxstdlife))</f>
        <v>0</v>
      </c>
      <c r="AA568" s="590">
        <f>IF(A7taxstdlife="n/a","n/a",IF(AA$3&gt;(A7taxstdlife+$E568),(('PTRM input'!$O$149+'PTRM input'!$O$115)*$O$7)-SUM($O568:Z568),(('PTRM input'!$O$149+'PTRM input'!$O$115)*$O$7)/A7taxstdlife))</f>
        <v>0</v>
      </c>
      <c r="AB568" s="590">
        <f>IF(A7taxstdlife="n/a","n/a",IF(AB$3&gt;(A7taxstdlife+$E568),(('PTRM input'!$O$149+'PTRM input'!$O$115)*$O$7)-SUM($O568:AA568),(('PTRM input'!$O$149+'PTRM input'!$O$115)*$O$7)/A7taxstdlife))</f>
        <v>0</v>
      </c>
      <c r="AC568" s="590">
        <f>IF(A7taxstdlife="n/a","n/a",IF(AC$3&gt;(A7taxstdlife+$E568),(('PTRM input'!$O$149+'PTRM input'!$O$115)*$O$7)-SUM($O568:AB568),(('PTRM input'!$O$149+'PTRM input'!$O$115)*$O$7)/A7taxstdlife))</f>
        <v>0</v>
      </c>
      <c r="AD568" s="590">
        <f>IF(A7taxstdlife="n/a","n/a",IF(AD$3&gt;(A7taxstdlife+$E568),(('PTRM input'!$O$149+'PTRM input'!$O$115)*$O$7)-SUM($O568:AC568),(('PTRM input'!$O$149+'PTRM input'!$O$115)*$O$7)/A7taxstdlife))</f>
        <v>0</v>
      </c>
      <c r="AE568" s="590">
        <f>IF(A7taxstdlife="n/a","n/a",IF(AE$3&gt;(A7taxstdlife+$E568),(('PTRM input'!$O$149+'PTRM input'!$O$115)*$O$7)-SUM($O568:AD568),(('PTRM input'!$O$149+'PTRM input'!$O$115)*$O$7)/A7taxstdlife))</f>
        <v>0</v>
      </c>
      <c r="AF568" s="590">
        <f>IF(A7taxstdlife="n/a","n/a",IF(AF$3&gt;(A7taxstdlife+$E568),(('PTRM input'!$O$149+'PTRM input'!$O$115)*$O$7)-SUM($O568:AE568),(('PTRM input'!$O$149+'PTRM input'!$O$115)*$O$7)/A7taxstdlife))</f>
        <v>0</v>
      </c>
      <c r="AG568" s="590">
        <f>IF(A7taxstdlife="n/a","n/a",IF(AG$3&gt;(A7taxstdlife+$E568),(('PTRM input'!$O$149+'PTRM input'!$O$115)*$O$7)-SUM($O568:AF568),(('PTRM input'!$O$149+'PTRM input'!$O$115)*$O$7)/A7taxstdlife))</f>
        <v>0</v>
      </c>
      <c r="AH568" s="590">
        <f>IF(A7taxstdlife="n/a","n/a",IF(AH$3&gt;(A7taxstdlife+$E568),(('PTRM input'!$O$149+'PTRM input'!$O$115)*$O$7)-SUM($O568:AG568),(('PTRM input'!$O$149+'PTRM input'!$O$115)*$O$7)/A7taxstdlife))</f>
        <v>0</v>
      </c>
      <c r="AI568" s="590">
        <f>IF(A7taxstdlife="n/a","n/a",IF(AI$3&gt;(A7taxstdlife+$E568),(('PTRM input'!$O$149+'PTRM input'!$O$115)*$O$7)-SUM($O568:AH568),(('PTRM input'!$O$149+'PTRM input'!$O$115)*$O$7)/A7taxstdlife))</f>
        <v>0</v>
      </c>
      <c r="AJ568" s="590">
        <f>IF(A7taxstdlife="n/a","n/a",IF(AJ$3&gt;(A7taxstdlife+$E568),(('PTRM input'!$O$149+'PTRM input'!$O$115)*$O$7)-SUM($O568:AI568),(('PTRM input'!$O$149+'PTRM input'!$O$115)*$O$7)/A7taxstdlife))</f>
        <v>0</v>
      </c>
      <c r="AK568" s="590">
        <f>IF(A7taxstdlife="n/a","n/a",IF(AK$3&gt;(A7taxstdlife+$E568),(('PTRM input'!$O$149+'PTRM input'!$O$115)*$O$7)-SUM($O568:AJ568),(('PTRM input'!$O$149+'PTRM input'!$O$115)*$O$7)/A7taxstdlife))</f>
        <v>0</v>
      </c>
      <c r="AL568" s="590">
        <f>IF(A7taxstdlife="n/a","n/a",IF(AL$3&gt;(A7taxstdlife+$E568),(('PTRM input'!$O$149+'PTRM input'!$O$115)*$O$7)-SUM($O568:AK568),(('PTRM input'!$O$149+'PTRM input'!$O$115)*$O$7)/A7taxstdlife))</f>
        <v>0</v>
      </c>
      <c r="AM568" s="590">
        <f>IF(A7taxstdlife="n/a","n/a",IF(AM$3&gt;(A7taxstdlife+$E568),(('PTRM input'!$O$149+'PTRM input'!$O$115)*$O$7)-SUM($O568:AL568),(('PTRM input'!$O$149+'PTRM input'!$O$115)*$O$7)/A7taxstdlife))</f>
        <v>0</v>
      </c>
      <c r="AN568" s="590">
        <f>IF(A7taxstdlife="n/a","n/a",IF(AN$3&gt;(A7taxstdlife+$E568),(('PTRM input'!$O$149+'PTRM input'!$O$115)*$O$7)-SUM($O568:AM568),(('PTRM input'!$O$149+'PTRM input'!$O$115)*$O$7)/A7taxstdlife))</f>
        <v>0</v>
      </c>
      <c r="AO568" s="590">
        <f>IF(A7taxstdlife="n/a","n/a",IF(AO$3&gt;(A7taxstdlife+$E568),(('PTRM input'!$O$149+'PTRM input'!$O$115)*$O$7)-SUM($O568:AN568),(('PTRM input'!$O$149+'PTRM input'!$O$115)*$O$7)/A7taxstdlife))</f>
        <v>0</v>
      </c>
      <c r="AP568" s="590">
        <f>IF(A7taxstdlife="n/a","n/a",IF(AP$3&gt;(A7taxstdlife+$E568),(('PTRM input'!$O$149+'PTRM input'!$O$115)*$O$7)-SUM($O568:AO568),(('PTRM input'!$O$149+'PTRM input'!$O$115)*$O$7)/A7taxstdlife))</f>
        <v>0</v>
      </c>
      <c r="AQ568" s="590">
        <f>IF(A7taxstdlife="n/a","n/a",IF(AQ$3&gt;(A7taxstdlife+$E568),(('PTRM input'!$O$149+'PTRM input'!$O$115)*$O$7)-SUM($O568:AP568),(('PTRM input'!$O$149+'PTRM input'!$O$115)*$O$7)/A7taxstdlife))</f>
        <v>0</v>
      </c>
      <c r="AR568" s="590">
        <f>IF(A7taxstdlife="n/a","n/a",IF(AR$3&gt;(A7taxstdlife+$E568),(('PTRM input'!$O$149+'PTRM input'!$O$115)*$O$7)-SUM($O568:AQ568),(('PTRM input'!$O$149+'PTRM input'!$O$115)*$O$7)/A7taxstdlife))</f>
        <v>0</v>
      </c>
      <c r="AS568" s="590">
        <f>IF(A7taxstdlife="n/a","n/a",IF(AS$3&gt;(A7taxstdlife+$E568),(('PTRM input'!$O$149+'PTRM input'!$O$115)*$O$7)-SUM($O568:AR568),(('PTRM input'!$O$149+'PTRM input'!$O$115)*$O$7)/A7taxstdlife))</f>
        <v>0</v>
      </c>
      <c r="AT568" s="590">
        <f>IF(A7taxstdlife="n/a","n/a",IF(AT$3&gt;(A7taxstdlife+$E568),(('PTRM input'!$O$149+'PTRM input'!$O$115)*$O$7)-SUM($O568:AS568),(('PTRM input'!$O$149+'PTRM input'!$O$115)*$O$7)/A7taxstdlife))</f>
        <v>0</v>
      </c>
      <c r="AU568" s="590">
        <f>IF(A7taxstdlife="n/a","n/a",IF(AU$3&gt;(A7taxstdlife+$E568),(('PTRM input'!$O$149+'PTRM input'!$O$115)*$O$7)-SUM($O568:AT568),(('PTRM input'!$O$149+'PTRM input'!$O$115)*$O$7)/A7taxstdlife))</f>
        <v>0</v>
      </c>
      <c r="AV568" s="590">
        <f>IF(A7taxstdlife="n/a","n/a",IF(AV$3&gt;(A7taxstdlife+$E568),(('PTRM input'!$O$149+'PTRM input'!$O$115)*$O$7)-SUM($O568:AU568),(('PTRM input'!$O$149+'PTRM input'!$O$115)*$O$7)/A7taxstdlife))</f>
        <v>0</v>
      </c>
      <c r="AW568" s="590">
        <f>IF(A7taxstdlife="n/a","n/a",IF(AW$3&gt;(A7taxstdlife+$E568),(('PTRM input'!$O$149+'PTRM input'!$O$115)*$O$7)-SUM($O568:AV568),(('PTRM input'!$O$149+'PTRM input'!$O$115)*$O$7)/A7taxstdlife))</f>
        <v>0</v>
      </c>
      <c r="AX568" s="590">
        <f>IF(A7taxstdlife="n/a","n/a",IF(AX$3&gt;(A7taxstdlife+$E568),(('PTRM input'!$O$149+'PTRM input'!$O$115)*$O$7)-SUM($O568:AW568),(('PTRM input'!$O$149+'PTRM input'!$O$115)*$O$7)/A7taxstdlife))</f>
        <v>0</v>
      </c>
      <c r="AY568" s="590">
        <f>IF(A7taxstdlife="n/a","n/a",IF(AY$3&gt;(A7taxstdlife+$E568),(('PTRM input'!$O$149+'PTRM input'!$O$115)*$O$7)-SUM($O568:AX568),(('PTRM input'!$O$149+'PTRM input'!$O$115)*$O$7)/A7taxstdlife))</f>
        <v>0</v>
      </c>
      <c r="AZ568" s="590">
        <f>IF(A7taxstdlife="n/a","n/a",IF(AZ$3&gt;(A7taxstdlife+$E568),(('PTRM input'!$O$149+'PTRM input'!$O$115)*$O$7)-SUM($O568:AY568),(('PTRM input'!$O$149+'PTRM input'!$O$115)*$O$7)/A7taxstdlife))</f>
        <v>0</v>
      </c>
      <c r="BA568" s="590">
        <f>IF(A7taxstdlife="n/a","n/a",IF(BA$3&gt;(A7taxstdlife+$E568),(('PTRM input'!$O$149+'PTRM input'!$O$115)*$O$7)-SUM($O568:AZ568),(('PTRM input'!$O$149+'PTRM input'!$O$115)*$O$7)/A7taxstdlife))</f>
        <v>0</v>
      </c>
      <c r="BB568" s="590">
        <f>IF(A7taxstdlife="n/a","n/a",IF(BB$3&gt;(A7taxstdlife+$E568),(('PTRM input'!$O$149+'PTRM input'!$O$115)*$O$7)-SUM($O568:BA568),(('PTRM input'!$O$149+'PTRM input'!$O$115)*$O$7)/A7taxstdlife))</f>
        <v>0</v>
      </c>
      <c r="BC568" s="590">
        <f>IF(A7taxstdlife="n/a","n/a",IF(BC$3&gt;(A7taxstdlife+$E568),(('PTRM input'!$O$149+'PTRM input'!$O$115)*$O$7)-SUM($O568:BB568),(('PTRM input'!$O$149+'PTRM input'!$O$115)*$O$7)/A7taxstdlife))</f>
        <v>0</v>
      </c>
      <c r="BD568" s="590">
        <f>IF(A7taxstdlife="n/a","n/a",IF(BD$3&gt;(A7taxstdlife+$E568),(('PTRM input'!$O$149+'PTRM input'!$O$115)*$O$7)-SUM($O568:BC568),(('PTRM input'!$O$149+'PTRM input'!$O$115)*$O$7)/A7taxstdlife))</f>
        <v>0</v>
      </c>
      <c r="BE568" s="590">
        <f>IF(A7taxstdlife="n/a","n/a",IF(BE$3&gt;(A7taxstdlife+$E568),(('PTRM input'!$O$149+'PTRM input'!$O$115)*$O$7)-SUM($O568:BD568),(('PTRM input'!$O$149+'PTRM input'!$O$115)*$O$7)/A7taxstdlife))</f>
        <v>0</v>
      </c>
      <c r="BF568" s="590">
        <f>IF(A7taxstdlife="n/a","n/a",IF(BF$3&gt;(A7taxstdlife+$E568),(('PTRM input'!$O$149+'PTRM input'!$O$115)*$O$7)-SUM($O568:BE568),(('PTRM input'!$O$149+'PTRM input'!$O$115)*$O$7)/A7taxstdlife))</f>
        <v>0</v>
      </c>
      <c r="BG568" s="590">
        <f>IF(A7taxstdlife="n/a","n/a",IF(BG$3&gt;(A7taxstdlife+$E568),(('PTRM input'!$O$149+'PTRM input'!$O$115)*$O$7)-SUM($O568:BF568),(('PTRM input'!$O$149+'PTRM input'!$O$115)*$O$7)/A7taxstdlife))</f>
        <v>0</v>
      </c>
      <c r="BH568" s="590">
        <f>IF(A7taxstdlife="n/a","n/a",IF(BH$3&gt;(A7taxstdlife+$E568),(('PTRM input'!$O$149+'PTRM input'!$O$115)*$O$7)-SUM($O568:BG568),(('PTRM input'!$O$149+'PTRM input'!$O$115)*$O$7)/A7taxstdlife))</f>
        <v>0</v>
      </c>
      <c r="BI568" s="590">
        <f>IF(A7taxstdlife="n/a","n/a",IF(BI$3&gt;(A7taxstdlife+$E568),(('PTRM input'!$O$149+'PTRM input'!$O$115)*$O$7)-SUM($O568:BH568),(('PTRM input'!$O$149+'PTRM input'!$O$115)*$O$7)/A7taxstdlife))</f>
        <v>0</v>
      </c>
      <c r="BJ568" s="240"/>
      <c r="BK568" s="240"/>
      <c r="BL568" s="240"/>
      <c r="BM568" s="240"/>
    </row>
    <row r="569" spans="1:65" s="4" customFormat="1" hidden="1" outlineLevel="2">
      <c r="A569" s="240"/>
      <c r="B569" s="240"/>
      <c r="C569" s="595"/>
      <c r="D569" s="1618"/>
      <c r="E569" s="170">
        <v>10</v>
      </c>
      <c r="F569" s="35"/>
      <c r="G569" s="184"/>
      <c r="H569" s="186"/>
      <c r="I569" s="186"/>
      <c r="J569" s="186"/>
      <c r="K569" s="186"/>
      <c r="L569" s="186"/>
      <c r="M569" s="186"/>
      <c r="N569" s="186"/>
      <c r="O569" s="186"/>
      <c r="P569" s="185"/>
      <c r="Q569" s="590">
        <f>IF(A7taxstdlife="n/a","n/a",IF(Q$3&gt;(A7taxstdlife+$E569),(('PTRM input'!$P$149+'PTRM input'!$P$115)*$P$7)-SUM($P569:P569),(('PTRM input'!$P$149+'PTRM input'!$P$115)*$P$7)/A7taxstdlife))</f>
        <v>0</v>
      </c>
      <c r="R569" s="590">
        <f>IF(A7taxstdlife="n/a","n/a",IF(R$3&gt;(A7taxstdlife+$E569),(('PTRM input'!$P$149+'PTRM input'!$P$115)*$P$7)-SUM($P569:Q569),(('PTRM input'!$P$149+'PTRM input'!$P$115)*$P$7)/A7taxstdlife))</f>
        <v>0</v>
      </c>
      <c r="S569" s="590">
        <f>IF(A7taxstdlife="n/a","n/a",IF(S$3&gt;(A7taxstdlife+$E569),(('PTRM input'!$P$149+'PTRM input'!$P$115)*$P$7)-SUM($P569:R569),(('PTRM input'!$P$149+'PTRM input'!$P$115)*$P$7)/A7taxstdlife))</f>
        <v>0</v>
      </c>
      <c r="T569" s="590">
        <f>IF(A7taxstdlife="n/a","n/a",IF(T$3&gt;(A7taxstdlife+$E569),(('PTRM input'!$P$149+'PTRM input'!$P$115)*$P$7)-SUM($P569:S569),(('PTRM input'!$P$149+'PTRM input'!$P$115)*$P$7)/A7taxstdlife))</f>
        <v>0</v>
      </c>
      <c r="U569" s="590">
        <f>IF(A7taxstdlife="n/a","n/a",IF(U$3&gt;(A7taxstdlife+$E569),(('PTRM input'!$P$149+'PTRM input'!$P$115)*$P$7)-SUM($P569:T569),(('PTRM input'!$P$149+'PTRM input'!$P$115)*$P$7)/A7taxstdlife))</f>
        <v>0</v>
      </c>
      <c r="V569" s="590">
        <f>IF(A7taxstdlife="n/a","n/a",IF(V$3&gt;(A7taxstdlife+$E569),(('PTRM input'!$P$149+'PTRM input'!$P$115)*$P$7)-SUM($P569:U569),(('PTRM input'!$P$149+'PTRM input'!$P$115)*$P$7)/A7taxstdlife))</f>
        <v>0</v>
      </c>
      <c r="W569" s="590">
        <f>IF(A7taxstdlife="n/a","n/a",IF(W$3&gt;(A7taxstdlife+$E569),(('PTRM input'!$P$149+'PTRM input'!$P$115)*$P$7)-SUM($P569:V569),(('PTRM input'!$P$149+'PTRM input'!$P$115)*$P$7)/A7taxstdlife))</f>
        <v>0</v>
      </c>
      <c r="X569" s="590">
        <f>IF(A7taxstdlife="n/a","n/a",IF(X$3&gt;(A7taxstdlife+$E569),(('PTRM input'!$P$149+'PTRM input'!$P$115)*$P$7)-SUM($P569:W569),(('PTRM input'!$P$149+'PTRM input'!$P$115)*$P$7)/A7taxstdlife))</f>
        <v>0</v>
      </c>
      <c r="Y569" s="590">
        <f>IF(A7taxstdlife="n/a","n/a",IF(Y$3&gt;(A7taxstdlife+$E569),(('PTRM input'!$P$149+'PTRM input'!$P$115)*$P$7)-SUM($P569:X569),(('PTRM input'!$P$149+'PTRM input'!$P$115)*$P$7)/A7taxstdlife))</f>
        <v>0</v>
      </c>
      <c r="Z569" s="590">
        <f>IF(A7taxstdlife="n/a","n/a",IF(Z$3&gt;(A7taxstdlife+$E569),(('PTRM input'!$P$149+'PTRM input'!$P$115)*$P$7)-SUM($P569:Y569),(('PTRM input'!$P$149+'PTRM input'!$P$115)*$P$7)/A7taxstdlife))</f>
        <v>0</v>
      </c>
      <c r="AA569" s="590">
        <f>IF(A7taxstdlife="n/a","n/a",IF(AA$3&gt;(A7taxstdlife+$E569),(('PTRM input'!$P$149+'PTRM input'!$P$115)*$P$7)-SUM($P569:Z569),(('PTRM input'!$P$149+'PTRM input'!$P$115)*$P$7)/A7taxstdlife))</f>
        <v>0</v>
      </c>
      <c r="AB569" s="590">
        <f>IF(A7taxstdlife="n/a","n/a",IF(AB$3&gt;(A7taxstdlife+$E569),(('PTRM input'!$P$149+'PTRM input'!$P$115)*$P$7)-SUM($P569:AA569),(('PTRM input'!$P$149+'PTRM input'!$P$115)*$P$7)/A7taxstdlife))</f>
        <v>0</v>
      </c>
      <c r="AC569" s="590">
        <f>IF(A7taxstdlife="n/a","n/a",IF(AC$3&gt;(A7taxstdlife+$E569),(('PTRM input'!$P$149+'PTRM input'!$P$115)*$P$7)-SUM($P569:AB569),(('PTRM input'!$P$149+'PTRM input'!$P$115)*$P$7)/A7taxstdlife))</f>
        <v>0</v>
      </c>
      <c r="AD569" s="590">
        <f>IF(A7taxstdlife="n/a","n/a",IF(AD$3&gt;(A7taxstdlife+$E569),(('PTRM input'!$P$149+'PTRM input'!$P$115)*$P$7)-SUM($P569:AC569),(('PTRM input'!$P$149+'PTRM input'!$P$115)*$P$7)/A7taxstdlife))</f>
        <v>0</v>
      </c>
      <c r="AE569" s="590">
        <f>IF(A7taxstdlife="n/a","n/a",IF(AE$3&gt;(A7taxstdlife+$E569),(('PTRM input'!$P$149+'PTRM input'!$P$115)*$P$7)-SUM($P569:AD569),(('PTRM input'!$P$149+'PTRM input'!$P$115)*$P$7)/A7taxstdlife))</f>
        <v>0</v>
      </c>
      <c r="AF569" s="590">
        <f>IF(A7taxstdlife="n/a","n/a",IF(AF$3&gt;(A7taxstdlife+$E569),(('PTRM input'!$P$149+'PTRM input'!$P$115)*$P$7)-SUM($P569:AE569),(('PTRM input'!$P$149+'PTRM input'!$P$115)*$P$7)/A7taxstdlife))</f>
        <v>0</v>
      </c>
      <c r="AG569" s="590">
        <f>IF(A7taxstdlife="n/a","n/a",IF(AG$3&gt;(A7taxstdlife+$E569),(('PTRM input'!$P$149+'PTRM input'!$P$115)*$P$7)-SUM($P569:AF569),(('PTRM input'!$P$149+'PTRM input'!$P$115)*$P$7)/A7taxstdlife))</f>
        <v>0</v>
      </c>
      <c r="AH569" s="590">
        <f>IF(A7taxstdlife="n/a","n/a",IF(AH$3&gt;(A7taxstdlife+$E569),(('PTRM input'!$P$149+'PTRM input'!$P$115)*$P$7)-SUM($P569:AG569),(('PTRM input'!$P$149+'PTRM input'!$P$115)*$P$7)/A7taxstdlife))</f>
        <v>0</v>
      </c>
      <c r="AI569" s="590">
        <f>IF(A7taxstdlife="n/a","n/a",IF(AI$3&gt;(A7taxstdlife+$E569),(('PTRM input'!$P$149+'PTRM input'!$P$115)*$P$7)-SUM($P569:AH569),(('PTRM input'!$P$149+'PTRM input'!$P$115)*$P$7)/A7taxstdlife))</f>
        <v>0</v>
      </c>
      <c r="AJ569" s="590">
        <f>IF(A7taxstdlife="n/a","n/a",IF(AJ$3&gt;(A7taxstdlife+$E569),(('PTRM input'!$P$149+'PTRM input'!$P$115)*$P$7)-SUM($P569:AI569),(('PTRM input'!$P$149+'PTRM input'!$P$115)*$P$7)/A7taxstdlife))</f>
        <v>0</v>
      </c>
      <c r="AK569" s="590">
        <f>IF(A7taxstdlife="n/a","n/a",IF(AK$3&gt;(A7taxstdlife+$E569),(('PTRM input'!$P$149+'PTRM input'!$P$115)*$P$7)-SUM($P569:AJ569),(('PTRM input'!$P$149+'PTRM input'!$P$115)*$P$7)/A7taxstdlife))</f>
        <v>0</v>
      </c>
      <c r="AL569" s="590">
        <f>IF(A7taxstdlife="n/a","n/a",IF(AL$3&gt;(A7taxstdlife+$E569),(('PTRM input'!$P$149+'PTRM input'!$P$115)*$P$7)-SUM($P569:AK569),(('PTRM input'!$P$149+'PTRM input'!$P$115)*$P$7)/A7taxstdlife))</f>
        <v>0</v>
      </c>
      <c r="AM569" s="590">
        <f>IF(A7taxstdlife="n/a","n/a",IF(AM$3&gt;(A7taxstdlife+$E569),(('PTRM input'!$P$149+'PTRM input'!$P$115)*$P$7)-SUM($P569:AL569),(('PTRM input'!$P$149+'PTRM input'!$P$115)*$P$7)/A7taxstdlife))</f>
        <v>0</v>
      </c>
      <c r="AN569" s="590">
        <f>IF(A7taxstdlife="n/a","n/a",IF(AN$3&gt;(A7taxstdlife+$E569),(('PTRM input'!$P$149+'PTRM input'!$P$115)*$P$7)-SUM($P569:AM569),(('PTRM input'!$P$149+'PTRM input'!$P$115)*$P$7)/A7taxstdlife))</f>
        <v>0</v>
      </c>
      <c r="AO569" s="590">
        <f>IF(A7taxstdlife="n/a","n/a",IF(AO$3&gt;(A7taxstdlife+$E569),(('PTRM input'!$P$149+'PTRM input'!$P$115)*$P$7)-SUM($P569:AN569),(('PTRM input'!$P$149+'PTRM input'!$P$115)*$P$7)/A7taxstdlife))</f>
        <v>0</v>
      </c>
      <c r="AP569" s="590">
        <f>IF(A7taxstdlife="n/a","n/a",IF(AP$3&gt;(A7taxstdlife+$E569),(('PTRM input'!$P$149+'PTRM input'!$P$115)*$P$7)-SUM($P569:AO569),(('PTRM input'!$P$149+'PTRM input'!$P$115)*$P$7)/A7taxstdlife))</f>
        <v>0</v>
      </c>
      <c r="AQ569" s="590">
        <f>IF(A7taxstdlife="n/a","n/a",IF(AQ$3&gt;(A7taxstdlife+$E569),(('PTRM input'!$P$149+'PTRM input'!$P$115)*$P$7)-SUM($P569:AP569),(('PTRM input'!$P$149+'PTRM input'!$P$115)*$P$7)/A7taxstdlife))</f>
        <v>0</v>
      </c>
      <c r="AR569" s="590">
        <f>IF(A7taxstdlife="n/a","n/a",IF(AR$3&gt;(A7taxstdlife+$E569),(('PTRM input'!$P$149+'PTRM input'!$P$115)*$P$7)-SUM($P569:AQ569),(('PTRM input'!$P$149+'PTRM input'!$P$115)*$P$7)/A7taxstdlife))</f>
        <v>0</v>
      </c>
      <c r="AS569" s="590">
        <f>IF(A7taxstdlife="n/a","n/a",IF(AS$3&gt;(A7taxstdlife+$E569),(('PTRM input'!$P$149+'PTRM input'!$P$115)*$P$7)-SUM($P569:AR569),(('PTRM input'!$P$149+'PTRM input'!$P$115)*$P$7)/A7taxstdlife))</f>
        <v>0</v>
      </c>
      <c r="AT569" s="590">
        <f>IF(A7taxstdlife="n/a","n/a",IF(AT$3&gt;(A7taxstdlife+$E569),(('PTRM input'!$P$149+'PTRM input'!$P$115)*$P$7)-SUM($P569:AS569),(('PTRM input'!$P$149+'PTRM input'!$P$115)*$P$7)/A7taxstdlife))</f>
        <v>0</v>
      </c>
      <c r="AU569" s="590">
        <f>IF(A7taxstdlife="n/a","n/a",IF(AU$3&gt;(A7taxstdlife+$E569),(('PTRM input'!$P$149+'PTRM input'!$P$115)*$P$7)-SUM($P569:AT569),(('PTRM input'!$P$149+'PTRM input'!$P$115)*$P$7)/A7taxstdlife))</f>
        <v>0</v>
      </c>
      <c r="AV569" s="590">
        <f>IF(A7taxstdlife="n/a","n/a",IF(AV$3&gt;(A7taxstdlife+$E569),(('PTRM input'!$P$149+'PTRM input'!$P$115)*$P$7)-SUM($P569:AU569),(('PTRM input'!$P$149+'PTRM input'!$P$115)*$P$7)/A7taxstdlife))</f>
        <v>0</v>
      </c>
      <c r="AW569" s="590">
        <f>IF(A7taxstdlife="n/a","n/a",IF(AW$3&gt;(A7taxstdlife+$E569),(('PTRM input'!$P$149+'PTRM input'!$P$115)*$P$7)-SUM($P569:AV569),(('PTRM input'!$P$149+'PTRM input'!$P$115)*$P$7)/A7taxstdlife))</f>
        <v>0</v>
      </c>
      <c r="AX569" s="590">
        <f>IF(A7taxstdlife="n/a","n/a",IF(AX$3&gt;(A7taxstdlife+$E569),(('PTRM input'!$P$149+'PTRM input'!$P$115)*$P$7)-SUM($P569:AW569),(('PTRM input'!$P$149+'PTRM input'!$P$115)*$P$7)/A7taxstdlife))</f>
        <v>0</v>
      </c>
      <c r="AY569" s="590">
        <f>IF(A7taxstdlife="n/a","n/a",IF(AY$3&gt;(A7taxstdlife+$E569),(('PTRM input'!$P$149+'PTRM input'!$P$115)*$P$7)-SUM($P569:AX569),(('PTRM input'!$P$149+'PTRM input'!$P$115)*$P$7)/A7taxstdlife))</f>
        <v>0</v>
      </c>
      <c r="AZ569" s="590">
        <f>IF(A7taxstdlife="n/a","n/a",IF(AZ$3&gt;(A7taxstdlife+$E569),(('PTRM input'!$P$149+'PTRM input'!$P$115)*$P$7)-SUM($P569:AY569),(('PTRM input'!$P$149+'PTRM input'!$P$115)*$P$7)/A7taxstdlife))</f>
        <v>0</v>
      </c>
      <c r="BA569" s="590">
        <f>IF(A7taxstdlife="n/a","n/a",IF(BA$3&gt;(A7taxstdlife+$E569),(('PTRM input'!$P$149+'PTRM input'!$P$115)*$P$7)-SUM($P569:AZ569),(('PTRM input'!$P$149+'PTRM input'!$P$115)*$P$7)/A7taxstdlife))</f>
        <v>0</v>
      </c>
      <c r="BB569" s="590">
        <f>IF(A7taxstdlife="n/a","n/a",IF(BB$3&gt;(A7taxstdlife+$E569),(('PTRM input'!$P$149+'PTRM input'!$P$115)*$P$7)-SUM($P569:BA569),(('PTRM input'!$P$149+'PTRM input'!$P$115)*$P$7)/A7taxstdlife))</f>
        <v>0</v>
      </c>
      <c r="BC569" s="590">
        <f>IF(A7taxstdlife="n/a","n/a",IF(BC$3&gt;(A7taxstdlife+$E569),(('PTRM input'!$P$149+'PTRM input'!$P$115)*$P$7)-SUM($P569:BB569),(('PTRM input'!$P$149+'PTRM input'!$P$115)*$P$7)/A7taxstdlife))</f>
        <v>0</v>
      </c>
      <c r="BD569" s="590">
        <f>IF(A7taxstdlife="n/a","n/a",IF(BD$3&gt;(A7taxstdlife+$E569),(('PTRM input'!$P$149+'PTRM input'!$P$115)*$P$7)-SUM($P569:BC569),(('PTRM input'!$P$149+'PTRM input'!$P$115)*$P$7)/A7taxstdlife))</f>
        <v>0</v>
      </c>
      <c r="BE569" s="590">
        <f>IF(A7taxstdlife="n/a","n/a",IF(BE$3&gt;(A7taxstdlife+$E569),(('PTRM input'!$P$149+'PTRM input'!$P$115)*$P$7)-SUM($P569:BD569),(('PTRM input'!$P$149+'PTRM input'!$P$115)*$P$7)/A7taxstdlife))</f>
        <v>0</v>
      </c>
      <c r="BF569" s="590">
        <f>IF(A7taxstdlife="n/a","n/a",IF(BF$3&gt;(A7taxstdlife+$E569),(('PTRM input'!$P$149+'PTRM input'!$P$115)*$P$7)-SUM($P569:BE569),(('PTRM input'!$P$149+'PTRM input'!$P$115)*$P$7)/A7taxstdlife))</f>
        <v>0</v>
      </c>
      <c r="BG569" s="590">
        <f>IF(A7taxstdlife="n/a","n/a",IF(BG$3&gt;(A7taxstdlife+$E569),(('PTRM input'!$P$149+'PTRM input'!$P$115)*$P$7)-SUM($P569:BF569),(('PTRM input'!$P$149+'PTRM input'!$P$115)*$P$7)/A7taxstdlife))</f>
        <v>0</v>
      </c>
      <c r="BH569" s="590">
        <f>IF(A7taxstdlife="n/a","n/a",IF(BH$3&gt;(A7taxstdlife+$E569),(('PTRM input'!$P$149+'PTRM input'!$P$115)*$P$7)-SUM($P569:BG569),(('PTRM input'!$P$149+'PTRM input'!$P$115)*$P$7)/A7taxstdlife))</f>
        <v>0</v>
      </c>
      <c r="BI569" s="590">
        <f>IF(A7taxstdlife="n/a","n/a",IF(BI$3&gt;(A7taxstdlife+$E569),(('PTRM input'!$P$149+'PTRM input'!$P$115)*$P$7)-SUM($P569:BH569),(('PTRM input'!$P$149+'PTRM input'!$P$115)*$P$7)/A7taxstdlife))</f>
        <v>0</v>
      </c>
      <c r="BJ569" s="240"/>
      <c r="BK569" s="240"/>
      <c r="BL569" s="240"/>
      <c r="BM569" s="240"/>
    </row>
    <row r="570" spans="1:65" s="4" customFormat="1" hidden="1" outlineLevel="1">
      <c r="A570" s="240"/>
      <c r="B570" s="240"/>
      <c r="C570" s="595">
        <f>Asset7</f>
        <v>0</v>
      </c>
      <c r="D570" s="240"/>
      <c r="E570" s="240"/>
      <c r="F570" s="596"/>
      <c r="G570" s="591">
        <f t="shared" ref="G570:AL570" si="118">SUM(G558:G569)</f>
        <v>0</v>
      </c>
      <c r="H570" s="591">
        <f t="shared" si="118"/>
        <v>0</v>
      </c>
      <c r="I570" s="591">
        <f t="shared" si="118"/>
        <v>0</v>
      </c>
      <c r="J570" s="591">
        <f t="shared" si="118"/>
        <v>0</v>
      </c>
      <c r="K570" s="591">
        <f t="shared" si="118"/>
        <v>0</v>
      </c>
      <c r="L570" s="591">
        <f t="shared" si="118"/>
        <v>0</v>
      </c>
      <c r="M570" s="591">
        <f t="shared" si="118"/>
        <v>0</v>
      </c>
      <c r="N570" s="591">
        <f t="shared" si="118"/>
        <v>0</v>
      </c>
      <c r="O570" s="591">
        <f t="shared" si="118"/>
        <v>0</v>
      </c>
      <c r="P570" s="591">
        <f t="shared" si="118"/>
        <v>0</v>
      </c>
      <c r="Q570" s="591">
        <f t="shared" si="118"/>
        <v>0</v>
      </c>
      <c r="R570" s="591">
        <f t="shared" si="118"/>
        <v>0</v>
      </c>
      <c r="S570" s="591">
        <f t="shared" si="118"/>
        <v>0</v>
      </c>
      <c r="T570" s="591">
        <f t="shared" si="118"/>
        <v>0</v>
      </c>
      <c r="U570" s="591">
        <f t="shared" si="118"/>
        <v>0</v>
      </c>
      <c r="V570" s="591">
        <f t="shared" si="118"/>
        <v>0</v>
      </c>
      <c r="W570" s="591">
        <f t="shared" si="118"/>
        <v>0</v>
      </c>
      <c r="X570" s="591">
        <f t="shared" si="118"/>
        <v>0</v>
      </c>
      <c r="Y570" s="591">
        <f t="shared" si="118"/>
        <v>0</v>
      </c>
      <c r="Z570" s="591">
        <f t="shared" si="118"/>
        <v>0</v>
      </c>
      <c r="AA570" s="591">
        <f t="shared" si="118"/>
        <v>0</v>
      </c>
      <c r="AB570" s="591">
        <f t="shared" si="118"/>
        <v>0</v>
      </c>
      <c r="AC570" s="591">
        <f t="shared" si="118"/>
        <v>0</v>
      </c>
      <c r="AD570" s="591">
        <f t="shared" si="118"/>
        <v>0</v>
      </c>
      <c r="AE570" s="591">
        <f t="shared" si="118"/>
        <v>0</v>
      </c>
      <c r="AF570" s="591">
        <f t="shared" si="118"/>
        <v>0</v>
      </c>
      <c r="AG570" s="591">
        <f t="shared" si="118"/>
        <v>0</v>
      </c>
      <c r="AH570" s="591">
        <f t="shared" si="118"/>
        <v>0</v>
      </c>
      <c r="AI570" s="591">
        <f t="shared" si="118"/>
        <v>0</v>
      </c>
      <c r="AJ570" s="591">
        <f t="shared" si="118"/>
        <v>0</v>
      </c>
      <c r="AK570" s="591">
        <f t="shared" si="118"/>
        <v>0</v>
      </c>
      <c r="AL570" s="591">
        <f t="shared" si="118"/>
        <v>0</v>
      </c>
      <c r="AM570" s="591">
        <f t="shared" ref="AM570:BI570" si="119">SUM(AM558:AM569)</f>
        <v>0</v>
      </c>
      <c r="AN570" s="591">
        <f t="shared" si="119"/>
        <v>0</v>
      </c>
      <c r="AO570" s="591">
        <f t="shared" si="119"/>
        <v>0</v>
      </c>
      <c r="AP570" s="591">
        <f t="shared" si="119"/>
        <v>0</v>
      </c>
      <c r="AQ570" s="591">
        <f t="shared" si="119"/>
        <v>0</v>
      </c>
      <c r="AR570" s="591">
        <f t="shared" si="119"/>
        <v>0</v>
      </c>
      <c r="AS570" s="591">
        <f t="shared" si="119"/>
        <v>0</v>
      </c>
      <c r="AT570" s="591">
        <f t="shared" si="119"/>
        <v>0</v>
      </c>
      <c r="AU570" s="591">
        <f t="shared" si="119"/>
        <v>0</v>
      </c>
      <c r="AV570" s="591">
        <f t="shared" si="119"/>
        <v>0</v>
      </c>
      <c r="AW570" s="591">
        <f t="shared" si="119"/>
        <v>0</v>
      </c>
      <c r="AX570" s="591">
        <f t="shared" si="119"/>
        <v>0</v>
      </c>
      <c r="AY570" s="591">
        <f t="shared" si="119"/>
        <v>0</v>
      </c>
      <c r="AZ570" s="591">
        <f t="shared" si="119"/>
        <v>0</v>
      </c>
      <c r="BA570" s="591">
        <f t="shared" si="119"/>
        <v>0</v>
      </c>
      <c r="BB570" s="591">
        <f t="shared" si="119"/>
        <v>0</v>
      </c>
      <c r="BC570" s="591">
        <f t="shared" si="119"/>
        <v>0</v>
      </c>
      <c r="BD570" s="591">
        <f t="shared" si="119"/>
        <v>0</v>
      </c>
      <c r="BE570" s="591">
        <f t="shared" si="119"/>
        <v>0</v>
      </c>
      <c r="BF570" s="591">
        <f t="shared" si="119"/>
        <v>0</v>
      </c>
      <c r="BG570" s="591">
        <f t="shared" si="119"/>
        <v>0</v>
      </c>
      <c r="BH570" s="591">
        <f t="shared" si="119"/>
        <v>0</v>
      </c>
      <c r="BI570" s="591">
        <f t="shared" si="119"/>
        <v>0</v>
      </c>
      <c r="BJ570" s="240"/>
      <c r="BK570" s="240"/>
      <c r="BL570" s="240"/>
      <c r="BM570" s="240"/>
    </row>
    <row r="571" spans="1:65" s="4" customFormat="1" hidden="1" outlineLevel="2">
      <c r="A571" s="240"/>
      <c r="B571" s="597">
        <f>C583</f>
        <v>0</v>
      </c>
      <c r="C571" s="488"/>
      <c r="D571" s="598" t="s">
        <v>58</v>
      </c>
      <c r="E571" s="488"/>
      <c r="F571" s="599"/>
      <c r="G571" s="592">
        <f>IF(G$3&gt;A8taxremlife,A8taxvalue-SUM($F571:F571),IF(A8taxremlife="N/A","n/a",A8taxvalue/A8taxremlife))</f>
        <v>0</v>
      </c>
      <c r="H571" s="592">
        <f>IF(H$3&gt;A8taxremlife,A8taxvalue-SUM($F571:G571),IF(A8taxremlife="N/A","n/a",A8taxvalue/A8taxremlife))</f>
        <v>0</v>
      </c>
      <c r="I571" s="592">
        <f>IF(I$3&gt;A8taxremlife,A8taxvalue-SUM($F571:H571),IF(A8taxremlife="N/A","n/a",A8taxvalue/A8taxremlife))</f>
        <v>0</v>
      </c>
      <c r="J571" s="592">
        <f>IF(J$3&gt;A8taxremlife,A8taxvalue-SUM($F571:I571),IF(A8taxremlife="N/A","n/a",A8taxvalue/A8taxremlife))</f>
        <v>0</v>
      </c>
      <c r="K571" s="592">
        <f>IF(K$3&gt;A8taxremlife,A8taxvalue-SUM($F571:J571),IF(A8taxremlife="N/A","n/a",A8taxvalue/A8taxremlife))</f>
        <v>0</v>
      </c>
      <c r="L571" s="592">
        <f>IF(L$3&gt;A8taxremlife,A8taxvalue-SUM($F571:K571),IF(A8taxremlife="N/A","n/a",A8taxvalue/A8taxremlife))</f>
        <v>0</v>
      </c>
      <c r="M571" s="592">
        <f>IF(M$3&gt;A8taxremlife,A8taxvalue-SUM($F571:L571),IF(A8taxremlife="N/A","n/a",A8taxvalue/A8taxremlife))</f>
        <v>0</v>
      </c>
      <c r="N571" s="592">
        <f>IF(N$3&gt;A8taxremlife,A8taxvalue-SUM($F571:M571),IF(A8taxremlife="N/A","n/a",A8taxvalue/A8taxremlife))</f>
        <v>0</v>
      </c>
      <c r="O571" s="592">
        <f>IF(O$3&gt;A8taxremlife,A8taxvalue-SUM($F571:N571),IF(A8taxremlife="N/A","n/a",A8taxvalue/A8taxremlife))</f>
        <v>0</v>
      </c>
      <c r="P571" s="592">
        <f>IF(P$3&gt;A8taxremlife,A8taxvalue-SUM($F571:O571),IF(A8taxremlife="N/A","n/a",A8taxvalue/A8taxremlife))</f>
        <v>0</v>
      </c>
      <c r="Q571" s="592">
        <f>IF(Q$3&gt;A8taxremlife,A8taxvalue-SUM($F571:P571),IF(A8taxremlife="N/A","n/a",A8taxvalue/A8taxremlife))</f>
        <v>0</v>
      </c>
      <c r="R571" s="592">
        <f>IF(R$3&gt;A8taxremlife,A8taxvalue-SUM($F571:Q571),IF(A8taxremlife="N/A","n/a",A8taxvalue/A8taxremlife))</f>
        <v>0</v>
      </c>
      <c r="S571" s="592">
        <f>IF(S$3&gt;A8taxremlife,A8taxvalue-SUM($F571:R571),IF(A8taxremlife="N/A","n/a",A8taxvalue/A8taxremlife))</f>
        <v>0</v>
      </c>
      <c r="T571" s="592">
        <f>IF(T$3&gt;A8taxremlife,A8taxvalue-SUM($F571:S571),IF(A8taxremlife="N/A","n/a",A8taxvalue/A8taxremlife))</f>
        <v>0</v>
      </c>
      <c r="U571" s="592">
        <f>IF(U$3&gt;A8taxremlife,A8taxvalue-SUM($F571:T571),IF(A8taxremlife="N/A","n/a",A8taxvalue/A8taxremlife))</f>
        <v>0</v>
      </c>
      <c r="V571" s="592">
        <f>IF(V$3&gt;A8taxremlife,A8taxvalue-SUM($F571:U571),IF(A8taxremlife="N/A","n/a",A8taxvalue/A8taxremlife))</f>
        <v>0</v>
      </c>
      <c r="W571" s="592">
        <f>IF(W$3&gt;A8taxremlife,A8taxvalue-SUM($F571:V571),IF(A8taxremlife="N/A","n/a",A8taxvalue/A8taxremlife))</f>
        <v>0</v>
      </c>
      <c r="X571" s="592">
        <f>IF(X$3&gt;A8taxremlife,A8taxvalue-SUM($F571:W571),IF(A8taxremlife="N/A","n/a",A8taxvalue/A8taxremlife))</f>
        <v>0</v>
      </c>
      <c r="Y571" s="592">
        <f>IF(Y$3&gt;A8taxremlife,A8taxvalue-SUM($F571:X571),IF(A8taxremlife="N/A","n/a",A8taxvalue/A8taxremlife))</f>
        <v>0</v>
      </c>
      <c r="Z571" s="592">
        <f>IF(Z$3&gt;A8taxremlife,A8taxvalue-SUM($F571:Y571),IF(A8taxremlife="N/A","n/a",A8taxvalue/A8taxremlife))</f>
        <v>0</v>
      </c>
      <c r="AA571" s="592">
        <f>IF(AA$3&gt;A8taxremlife,A8taxvalue-SUM($F571:Z571),IF(A8taxremlife="N/A","n/a",A8taxvalue/A8taxremlife))</f>
        <v>0</v>
      </c>
      <c r="AB571" s="592">
        <f>IF(AB$3&gt;A8taxremlife,A8taxvalue-SUM($F571:AA571),IF(A8taxremlife="N/A","n/a",A8taxvalue/A8taxremlife))</f>
        <v>0</v>
      </c>
      <c r="AC571" s="592">
        <f>IF(AC$3&gt;A8taxremlife,A8taxvalue-SUM($F571:AB571),IF(A8taxremlife="N/A","n/a",A8taxvalue/A8taxremlife))</f>
        <v>0</v>
      </c>
      <c r="AD571" s="592">
        <f>IF(AD$3&gt;A8taxremlife,A8taxvalue-SUM($F571:AC571),IF(A8taxremlife="N/A","n/a",A8taxvalue/A8taxremlife))</f>
        <v>0</v>
      </c>
      <c r="AE571" s="592">
        <f>IF(AE$3&gt;A8taxremlife,A8taxvalue-SUM($F571:AD571),IF(A8taxremlife="N/A","n/a",A8taxvalue/A8taxremlife))</f>
        <v>0</v>
      </c>
      <c r="AF571" s="592">
        <f>IF(AF$3&gt;A8taxremlife,A8taxvalue-SUM($F571:AE571),IF(A8taxremlife="N/A","n/a",A8taxvalue/A8taxremlife))</f>
        <v>0</v>
      </c>
      <c r="AG571" s="592">
        <f>IF(AG$3&gt;A8taxremlife,A8taxvalue-SUM($F571:AF571),IF(A8taxremlife="N/A","n/a",A8taxvalue/A8taxremlife))</f>
        <v>0</v>
      </c>
      <c r="AH571" s="592">
        <f>IF(AH$3&gt;A8taxremlife,A8taxvalue-SUM($F571:AG571),IF(A8taxremlife="N/A","n/a",A8taxvalue/A8taxremlife))</f>
        <v>0</v>
      </c>
      <c r="AI571" s="592">
        <f>IF(AI$3&gt;A8taxremlife,A8taxvalue-SUM($F571:AH571),IF(A8taxremlife="N/A","n/a",A8taxvalue/A8taxremlife))</f>
        <v>0</v>
      </c>
      <c r="AJ571" s="592">
        <f>IF(AJ$3&gt;A8taxremlife,A8taxvalue-SUM($F571:AI571),IF(A8taxremlife="N/A","n/a",A8taxvalue/A8taxremlife))</f>
        <v>0</v>
      </c>
      <c r="AK571" s="592">
        <f>IF(AK$3&gt;A8taxremlife,A8taxvalue-SUM($F571:AJ571),IF(A8taxremlife="N/A","n/a",A8taxvalue/A8taxremlife))</f>
        <v>0</v>
      </c>
      <c r="AL571" s="592">
        <f>IF(AL$3&gt;A8taxremlife,A8taxvalue-SUM($F571:AK571),IF(A8taxremlife="N/A","n/a",A8taxvalue/A8taxremlife))</f>
        <v>0</v>
      </c>
      <c r="AM571" s="592">
        <f>IF(AM$3&gt;A8taxremlife,A8taxvalue-SUM($F571:AL571),IF(A8taxremlife="N/A","n/a",A8taxvalue/A8taxremlife))</f>
        <v>0</v>
      </c>
      <c r="AN571" s="592">
        <f>IF(AN$3&gt;A8taxremlife,A8taxvalue-SUM($F571:AM571),IF(A8taxremlife="N/A","n/a",A8taxvalue/A8taxremlife))</f>
        <v>0</v>
      </c>
      <c r="AO571" s="592">
        <f>IF(AO$3&gt;A8taxremlife,A8taxvalue-SUM($F571:AN571),IF(A8taxremlife="N/A","n/a",A8taxvalue/A8taxremlife))</f>
        <v>0</v>
      </c>
      <c r="AP571" s="592">
        <f>IF(AP$3&gt;A8taxremlife,A8taxvalue-SUM($F571:AO571),IF(A8taxremlife="N/A","n/a",A8taxvalue/A8taxremlife))</f>
        <v>0</v>
      </c>
      <c r="AQ571" s="592">
        <f>IF(AQ$3&gt;A8taxremlife,A8taxvalue-SUM($F571:AP571),IF(A8taxremlife="N/A","n/a",A8taxvalue/A8taxremlife))</f>
        <v>0</v>
      </c>
      <c r="AR571" s="592">
        <f>IF(AR$3&gt;A8taxremlife,A8taxvalue-SUM($F571:AQ571),IF(A8taxremlife="N/A","n/a",A8taxvalue/A8taxremlife))</f>
        <v>0</v>
      </c>
      <c r="AS571" s="592">
        <f>IF(AS$3&gt;A8taxremlife,A8taxvalue-SUM($F571:AR571),IF(A8taxremlife="N/A","n/a",A8taxvalue/A8taxremlife))</f>
        <v>0</v>
      </c>
      <c r="AT571" s="592">
        <f>IF(AT$3&gt;A8taxremlife,A8taxvalue-SUM($F571:AS571),IF(A8taxremlife="N/A","n/a",A8taxvalue/A8taxremlife))</f>
        <v>0</v>
      </c>
      <c r="AU571" s="592">
        <f>IF(AU$3&gt;A8taxremlife,A8taxvalue-SUM($F571:AT571),IF(A8taxremlife="N/A","n/a",A8taxvalue/A8taxremlife))</f>
        <v>0</v>
      </c>
      <c r="AV571" s="592">
        <f>IF(AV$3&gt;A8taxremlife,A8taxvalue-SUM($F571:AU571),IF(A8taxremlife="N/A","n/a",A8taxvalue/A8taxremlife))</f>
        <v>0</v>
      </c>
      <c r="AW571" s="592">
        <f>IF(AW$3&gt;A8taxremlife,A8taxvalue-SUM($F571:AV571),IF(A8taxremlife="N/A","n/a",A8taxvalue/A8taxremlife))</f>
        <v>0</v>
      </c>
      <c r="AX571" s="592">
        <f>IF(AX$3&gt;A8taxremlife,A8taxvalue-SUM($F571:AW571),IF(A8taxremlife="N/A","n/a",A8taxvalue/A8taxremlife))</f>
        <v>0</v>
      </c>
      <c r="AY571" s="592">
        <f>IF(AY$3&gt;A8taxremlife,A8taxvalue-SUM($F571:AX571),IF(A8taxremlife="N/A","n/a",A8taxvalue/A8taxremlife))</f>
        <v>0</v>
      </c>
      <c r="AZ571" s="592">
        <f>IF(AZ$3&gt;A8taxremlife,A8taxvalue-SUM($F571:AY571),IF(A8taxremlife="N/A","n/a",A8taxvalue/A8taxremlife))</f>
        <v>0</v>
      </c>
      <c r="BA571" s="592">
        <f>IF(BA$3&gt;A8taxremlife,A8taxvalue-SUM($F571:AZ571),IF(A8taxremlife="N/A","n/a",A8taxvalue/A8taxremlife))</f>
        <v>0</v>
      </c>
      <c r="BB571" s="592">
        <f>IF(BB$3&gt;A8taxremlife,A8taxvalue-SUM($F571:BA571),IF(A8taxremlife="N/A","n/a",A8taxvalue/A8taxremlife))</f>
        <v>0</v>
      </c>
      <c r="BC571" s="592">
        <f>IF(BC$3&gt;A8taxremlife,A8taxvalue-SUM($F571:BB571),IF(A8taxremlife="N/A","n/a",A8taxvalue/A8taxremlife))</f>
        <v>0</v>
      </c>
      <c r="BD571" s="592">
        <f>IF(BD$3&gt;A8taxremlife,A8taxvalue-SUM($F571:BC571),IF(A8taxremlife="N/A","n/a",A8taxvalue/A8taxremlife))</f>
        <v>0</v>
      </c>
      <c r="BE571" s="592">
        <f>IF(BE$3&gt;A8taxremlife,A8taxvalue-SUM($F571:BD571),IF(A8taxremlife="N/A","n/a",A8taxvalue/A8taxremlife))</f>
        <v>0</v>
      </c>
      <c r="BF571" s="592">
        <f>IF(BF$3&gt;A8taxremlife,A8taxvalue-SUM($F571:BE571),IF(A8taxremlife="N/A","n/a",A8taxvalue/A8taxremlife))</f>
        <v>0</v>
      </c>
      <c r="BG571" s="592">
        <f>IF(BG$3&gt;A8taxremlife,A8taxvalue-SUM($F571:BF571),IF(A8taxremlife="N/A","n/a",A8taxvalue/A8taxremlife))</f>
        <v>0</v>
      </c>
      <c r="BH571" s="592">
        <f>IF(BH$3&gt;A8taxremlife,A8taxvalue-SUM($F571:BG571),IF(A8taxremlife="N/A","n/a",A8taxvalue/A8taxremlife))</f>
        <v>0</v>
      </c>
      <c r="BI571" s="592">
        <f>IF(BI$3&gt;A8taxremlife,A8taxvalue-SUM($F571:BH571),IF(A8taxremlife="N/A","n/a",A8taxvalue/A8taxremlife))</f>
        <v>0</v>
      </c>
      <c r="BJ571" s="240"/>
      <c r="BK571" s="240"/>
      <c r="BL571" s="240"/>
      <c r="BM571" s="240"/>
    </row>
    <row r="572" spans="1:65" s="4" customFormat="1" ht="12.75" hidden="1" customHeight="1" outlineLevel="2">
      <c r="A572" s="240"/>
      <c r="B572" s="240"/>
      <c r="C572" s="595"/>
      <c r="D572" s="1618" t="s">
        <v>357</v>
      </c>
      <c r="E572" s="169">
        <v>0</v>
      </c>
      <c r="F572" s="35"/>
      <c r="G572" s="107"/>
      <c r="H572" s="107"/>
      <c r="I572" s="107"/>
      <c r="J572" s="107"/>
      <c r="K572" s="107"/>
      <c r="L572" s="107"/>
      <c r="M572" s="107"/>
      <c r="N572" s="107"/>
      <c r="O572" s="107"/>
      <c r="P572" s="107"/>
      <c r="Q572" s="590"/>
      <c r="R572" s="590"/>
      <c r="S572" s="590"/>
      <c r="T572" s="590"/>
      <c r="U572" s="590"/>
      <c r="V572" s="590"/>
      <c r="W572" s="590"/>
      <c r="X572" s="590"/>
      <c r="Y572" s="590"/>
      <c r="Z572" s="590"/>
      <c r="AA572" s="590"/>
      <c r="AB572" s="590"/>
      <c r="AC572" s="590"/>
      <c r="AD572" s="590"/>
      <c r="AE572" s="590"/>
      <c r="AF572" s="590"/>
      <c r="AG572" s="590"/>
      <c r="AH572" s="590"/>
      <c r="AI572" s="590"/>
      <c r="AJ572" s="590"/>
      <c r="AK572" s="590"/>
      <c r="AL572" s="590"/>
      <c r="AM572" s="590"/>
      <c r="AN572" s="590"/>
      <c r="AO572" s="590"/>
      <c r="AP572" s="590"/>
      <c r="AQ572" s="590"/>
      <c r="AR572" s="590"/>
      <c r="AS572" s="590"/>
      <c r="AT572" s="590"/>
      <c r="AU572" s="590"/>
      <c r="AV572" s="590"/>
      <c r="AW572" s="590"/>
      <c r="AX572" s="590"/>
      <c r="AY572" s="590"/>
      <c r="AZ572" s="590"/>
      <c r="BA572" s="590"/>
      <c r="BB572" s="590"/>
      <c r="BC572" s="590"/>
      <c r="BD572" s="590"/>
      <c r="BE572" s="590"/>
      <c r="BF572" s="590"/>
      <c r="BG572" s="590"/>
      <c r="BH572" s="590"/>
      <c r="BI572" s="590"/>
      <c r="BJ572" s="240"/>
      <c r="BK572" s="240"/>
      <c r="BL572" s="240"/>
      <c r="BM572" s="240"/>
    </row>
    <row r="573" spans="1:65" s="4" customFormat="1" hidden="1" outlineLevel="2">
      <c r="A573" s="240"/>
      <c r="B573" s="240"/>
      <c r="C573" s="595"/>
      <c r="D573" s="1618"/>
      <c r="E573" s="169">
        <v>1</v>
      </c>
      <c r="F573" s="35"/>
      <c r="G573" s="183"/>
      <c r="H573" s="107">
        <f>IF(A8taxstdlife="n/a","n/a",IF(H$3&gt;(A8taxstdlife+$E573),(('PTRM input'!$G$150+'PTRM input'!$G$116)*$G$7)-SUM($G573:G573),(('PTRM input'!$G$150+'PTRM input'!$G$116)*$G$7)/A8taxstdlife))</f>
        <v>0</v>
      </c>
      <c r="I573" s="107">
        <f>IF(A8taxstdlife="n/a","n/a",IF(I$3&gt;(A8taxstdlife+$E573),(('PTRM input'!$G$150+'PTRM input'!$G$116)*$G$7)-SUM($G573:H573),(('PTRM input'!$G$150+'PTRM input'!$G$116)*$G$7)/A8taxstdlife))</f>
        <v>0</v>
      </c>
      <c r="J573" s="107">
        <f>IF(A8taxstdlife="n/a","n/a",IF(J$3&gt;(A8taxstdlife+$E573),(('PTRM input'!$G$150+'PTRM input'!$G$116)*$G$7)-SUM($G573:I573),(('PTRM input'!$G$150+'PTRM input'!$G$116)*$G$7)/A8taxstdlife))</f>
        <v>0</v>
      </c>
      <c r="K573" s="107">
        <f>IF(A8taxstdlife="n/a","n/a",IF(K$3&gt;(A8taxstdlife+$E573),(('PTRM input'!$G$150+'PTRM input'!$G$116)*$G$7)-SUM($G573:J573),(('PTRM input'!$G$150+'PTRM input'!$G$116)*$G$7)/A8taxstdlife))</f>
        <v>0</v>
      </c>
      <c r="L573" s="107">
        <f>IF(A8taxstdlife="n/a","n/a",IF(L$3&gt;(A8taxstdlife+$E573),(('PTRM input'!$G$150+'PTRM input'!$G$116)*$G$7)-SUM($G573:K573),(('PTRM input'!$G$150+'PTRM input'!$G$116)*$G$7)/A8taxstdlife))</f>
        <v>0</v>
      </c>
      <c r="M573" s="107">
        <f>IF(A8taxstdlife="n/a","n/a",IF(M$3&gt;(A8taxstdlife+$E573),(('PTRM input'!$G$150+'PTRM input'!$G$116)*$G$7)-SUM($G573:L573),(('PTRM input'!$G$150+'PTRM input'!$G$116)*$G$7)/A8taxstdlife))</f>
        <v>0</v>
      </c>
      <c r="N573" s="107">
        <f>IF(A8taxstdlife="n/a","n/a",IF(N$3&gt;(A8taxstdlife+$E573),(('PTRM input'!$G$150+'PTRM input'!$G$116)*$G$7)-SUM($G573:M573),(('PTRM input'!$G$150+'PTRM input'!$G$116)*$G$7)/A8taxstdlife))</f>
        <v>0</v>
      </c>
      <c r="O573" s="107">
        <f>IF(A8taxstdlife="n/a","n/a",IF(O$3&gt;(A8taxstdlife+$E573),(('PTRM input'!$G$150+'PTRM input'!$G$116)*$G$7)-SUM($G573:N573),(('PTRM input'!$G$150+'PTRM input'!$G$116)*$G$7)/A8taxstdlife))</f>
        <v>0</v>
      </c>
      <c r="P573" s="107">
        <f>IF(A8taxstdlife="n/a","n/a",IF(P$3&gt;(A8taxstdlife+$E573),(('PTRM input'!$G$150+'PTRM input'!$G$116)*$G$7)-SUM($G573:O573),(('PTRM input'!$G$150+'PTRM input'!$G$116)*$G$7)/A8taxstdlife))</f>
        <v>0</v>
      </c>
      <c r="Q573" s="590">
        <f>IF(A8taxstdlife="n/a","n/a",IF(Q$3&gt;(A8taxstdlife+$E573),(('PTRM input'!$G$150+'PTRM input'!$G$116)*$G$7)-SUM($G573:P573),(('PTRM input'!$G$150+'PTRM input'!$G$116)*$G$7)/A8taxstdlife))</f>
        <v>0</v>
      </c>
      <c r="R573" s="590">
        <f>IF(A8taxstdlife="n/a","n/a",IF(R$3&gt;(A8taxstdlife+$E573),(('PTRM input'!$G$150+'PTRM input'!$G$116)*$G$7)-SUM($G573:Q573),(('PTRM input'!$G$150+'PTRM input'!$G$116)*$G$7)/A8taxstdlife))</f>
        <v>0</v>
      </c>
      <c r="S573" s="590">
        <f>IF(A8taxstdlife="n/a","n/a",IF(S$3&gt;(A8taxstdlife+$E573),(('PTRM input'!$G$150+'PTRM input'!$G$116)*$G$7)-SUM($G573:R573),(('PTRM input'!$G$150+'PTRM input'!$G$116)*$G$7)/A8taxstdlife))</f>
        <v>0</v>
      </c>
      <c r="T573" s="590">
        <f>IF(A8taxstdlife="n/a","n/a",IF(T$3&gt;(A8taxstdlife+$E573),(('PTRM input'!$G$150+'PTRM input'!$G$116)*$G$7)-SUM($G573:S573),(('PTRM input'!$G$150+'PTRM input'!$G$116)*$G$7)/A8taxstdlife))</f>
        <v>0</v>
      </c>
      <c r="U573" s="590">
        <f>IF(A8taxstdlife="n/a","n/a",IF(U$3&gt;(A8taxstdlife+$E573),(('PTRM input'!$G$150+'PTRM input'!$G$116)*$G$7)-SUM($G573:T573),(('PTRM input'!$G$150+'PTRM input'!$G$116)*$G$7)/A8taxstdlife))</f>
        <v>0</v>
      </c>
      <c r="V573" s="590">
        <f>IF(A8taxstdlife="n/a","n/a",IF(V$3&gt;(A8taxstdlife+$E573),(('PTRM input'!$G$150+'PTRM input'!$G$116)*$G$7)-SUM($G573:U573),(('PTRM input'!$G$150+'PTRM input'!$G$116)*$G$7)/A8taxstdlife))</f>
        <v>0</v>
      </c>
      <c r="W573" s="590">
        <f>IF(A8taxstdlife="n/a","n/a",IF(W$3&gt;(A8taxstdlife+$E573),(('PTRM input'!$G$150+'PTRM input'!$G$116)*$G$7)-SUM($G573:V573),(('PTRM input'!$G$150+'PTRM input'!$G$116)*$G$7)/A8taxstdlife))</f>
        <v>0</v>
      </c>
      <c r="X573" s="590">
        <f>IF(A8taxstdlife="n/a","n/a",IF(X$3&gt;(A8taxstdlife+$E573),(('PTRM input'!$G$150+'PTRM input'!$G$116)*$G$7)-SUM($G573:W573),(('PTRM input'!$G$150+'PTRM input'!$G$116)*$G$7)/A8taxstdlife))</f>
        <v>0</v>
      </c>
      <c r="Y573" s="590">
        <f>IF(A8taxstdlife="n/a","n/a",IF(Y$3&gt;(A8taxstdlife+$E573),(('PTRM input'!$G$150+'PTRM input'!$G$116)*$G$7)-SUM($G573:X573),(('PTRM input'!$G$150+'PTRM input'!$G$116)*$G$7)/A8taxstdlife))</f>
        <v>0</v>
      </c>
      <c r="Z573" s="590">
        <f>IF(A8taxstdlife="n/a","n/a",IF(Z$3&gt;(A8taxstdlife+$E573),(('PTRM input'!$G$150+'PTRM input'!$G$116)*$G$7)-SUM($G573:Y573),(('PTRM input'!$G$150+'PTRM input'!$G$116)*$G$7)/A8taxstdlife))</f>
        <v>0</v>
      </c>
      <c r="AA573" s="590">
        <f>IF(A8taxstdlife="n/a","n/a",IF(AA$3&gt;(A8taxstdlife+$E573),(('PTRM input'!$G$150+'PTRM input'!$G$116)*$G$7)-SUM($G573:Z573),(('PTRM input'!$G$150+'PTRM input'!$G$116)*$G$7)/A8taxstdlife))</f>
        <v>0</v>
      </c>
      <c r="AB573" s="590">
        <f>IF(A8taxstdlife="n/a","n/a",IF(AB$3&gt;(A8taxstdlife+$E573),(('PTRM input'!$G$150+'PTRM input'!$G$116)*$G$7)-SUM($G573:AA573),(('PTRM input'!$G$150+'PTRM input'!$G$116)*$G$7)/A8taxstdlife))</f>
        <v>0</v>
      </c>
      <c r="AC573" s="590">
        <f>IF(A8taxstdlife="n/a","n/a",IF(AC$3&gt;(A8taxstdlife+$E573),(('PTRM input'!$G$150+'PTRM input'!$G$116)*$G$7)-SUM($G573:AB573),(('PTRM input'!$G$150+'PTRM input'!$G$116)*$G$7)/A8taxstdlife))</f>
        <v>0</v>
      </c>
      <c r="AD573" s="590">
        <f>IF(A8taxstdlife="n/a","n/a",IF(AD$3&gt;(A8taxstdlife+$E573),(('PTRM input'!$G$150+'PTRM input'!$G$116)*$G$7)-SUM($G573:AC573),(('PTRM input'!$G$150+'PTRM input'!$G$116)*$G$7)/A8taxstdlife))</f>
        <v>0</v>
      </c>
      <c r="AE573" s="590">
        <f>IF(A8taxstdlife="n/a","n/a",IF(AE$3&gt;(A8taxstdlife+$E573),(('PTRM input'!$G$150+'PTRM input'!$G$116)*$G$7)-SUM($G573:AD573),(('PTRM input'!$G$150+'PTRM input'!$G$116)*$G$7)/A8taxstdlife))</f>
        <v>0</v>
      </c>
      <c r="AF573" s="590">
        <f>IF(A8taxstdlife="n/a","n/a",IF(AF$3&gt;(A8taxstdlife+$E573),(('PTRM input'!$G$150+'PTRM input'!$G$116)*$G$7)-SUM($G573:AE573),(('PTRM input'!$G$150+'PTRM input'!$G$116)*$G$7)/A8taxstdlife))</f>
        <v>0</v>
      </c>
      <c r="AG573" s="590">
        <f>IF(A8taxstdlife="n/a","n/a",IF(AG$3&gt;(A8taxstdlife+$E573),(('PTRM input'!$G$150+'PTRM input'!$G$116)*$G$7)-SUM($G573:AF573),(('PTRM input'!$G$150+'PTRM input'!$G$116)*$G$7)/A8taxstdlife))</f>
        <v>0</v>
      </c>
      <c r="AH573" s="590">
        <f>IF(A8taxstdlife="n/a","n/a",IF(AH$3&gt;(A8taxstdlife+$E573),(('PTRM input'!$G$150+'PTRM input'!$G$116)*$G$7)-SUM($G573:AG573),(('PTRM input'!$G$150+'PTRM input'!$G$116)*$G$7)/A8taxstdlife))</f>
        <v>0</v>
      </c>
      <c r="AI573" s="590">
        <f>IF(A8taxstdlife="n/a","n/a",IF(AI$3&gt;(A8taxstdlife+$E573),(('PTRM input'!$G$150+'PTRM input'!$G$116)*$G$7)-SUM($G573:AH573),(('PTRM input'!$G$150+'PTRM input'!$G$116)*$G$7)/A8taxstdlife))</f>
        <v>0</v>
      </c>
      <c r="AJ573" s="590">
        <f>IF(A8taxstdlife="n/a","n/a",IF(AJ$3&gt;(A8taxstdlife+$E573),(('PTRM input'!$G$150+'PTRM input'!$G$116)*$G$7)-SUM($G573:AI573),(('PTRM input'!$G$150+'PTRM input'!$G$116)*$G$7)/A8taxstdlife))</f>
        <v>0</v>
      </c>
      <c r="AK573" s="590">
        <f>IF(A8taxstdlife="n/a","n/a",IF(AK$3&gt;(A8taxstdlife+$E573),(('PTRM input'!$G$150+'PTRM input'!$G$116)*$G$7)-SUM($G573:AJ573),(('PTRM input'!$G$150+'PTRM input'!$G$116)*$G$7)/A8taxstdlife))</f>
        <v>0</v>
      </c>
      <c r="AL573" s="590">
        <f>IF(A8taxstdlife="n/a","n/a",IF(AL$3&gt;(A8taxstdlife+$E573),(('PTRM input'!$G$150+'PTRM input'!$G$116)*$G$7)-SUM($G573:AK573),(('PTRM input'!$G$150+'PTRM input'!$G$116)*$G$7)/A8taxstdlife))</f>
        <v>0</v>
      </c>
      <c r="AM573" s="590">
        <f>IF(A8taxstdlife="n/a","n/a",IF(AM$3&gt;(A8taxstdlife+$E573),(('PTRM input'!$G$150+'PTRM input'!$G$116)*$G$7)-SUM($G573:AL573),(('PTRM input'!$G$150+'PTRM input'!$G$116)*$G$7)/A8taxstdlife))</f>
        <v>0</v>
      </c>
      <c r="AN573" s="590">
        <f>IF(A8taxstdlife="n/a","n/a",IF(AN$3&gt;(A8taxstdlife+$E573),(('PTRM input'!$G$150+'PTRM input'!$G$116)*$G$7)-SUM($G573:AM573),(('PTRM input'!$G$150+'PTRM input'!$G$116)*$G$7)/A8taxstdlife))</f>
        <v>0</v>
      </c>
      <c r="AO573" s="590">
        <f>IF(A8taxstdlife="n/a","n/a",IF(AO$3&gt;(A8taxstdlife+$E573),(('PTRM input'!$G$150+'PTRM input'!$G$116)*$G$7)-SUM($G573:AN573),(('PTRM input'!$G$150+'PTRM input'!$G$116)*$G$7)/A8taxstdlife))</f>
        <v>0</v>
      </c>
      <c r="AP573" s="590">
        <f>IF(A8taxstdlife="n/a","n/a",IF(AP$3&gt;(A8taxstdlife+$E573),(('PTRM input'!$G$150+'PTRM input'!$G$116)*$G$7)-SUM($G573:AO573),(('PTRM input'!$G$150+'PTRM input'!$G$116)*$G$7)/A8taxstdlife))</f>
        <v>0</v>
      </c>
      <c r="AQ573" s="590">
        <f>IF(A8taxstdlife="n/a","n/a",IF(AQ$3&gt;(A8taxstdlife+$E573),(('PTRM input'!$G$150+'PTRM input'!$G$116)*$G$7)-SUM($G573:AP573),(('PTRM input'!$G$150+'PTRM input'!$G$116)*$G$7)/A8taxstdlife))</f>
        <v>0</v>
      </c>
      <c r="AR573" s="590">
        <f>IF(A8taxstdlife="n/a","n/a",IF(AR$3&gt;(A8taxstdlife+$E573),(('PTRM input'!$G$150+'PTRM input'!$G$116)*$G$7)-SUM($G573:AQ573),(('PTRM input'!$G$150+'PTRM input'!$G$116)*$G$7)/A8taxstdlife))</f>
        <v>0</v>
      </c>
      <c r="AS573" s="590">
        <f>IF(A8taxstdlife="n/a","n/a",IF(AS$3&gt;(A8taxstdlife+$E573),(('PTRM input'!$G$150+'PTRM input'!$G$116)*$G$7)-SUM($G573:AR573),(('PTRM input'!$G$150+'PTRM input'!$G$116)*$G$7)/A8taxstdlife))</f>
        <v>0</v>
      </c>
      <c r="AT573" s="590">
        <f>IF(A8taxstdlife="n/a","n/a",IF(AT$3&gt;(A8taxstdlife+$E573),(('PTRM input'!$G$150+'PTRM input'!$G$116)*$G$7)-SUM($G573:AS573),(('PTRM input'!$G$150+'PTRM input'!$G$116)*$G$7)/A8taxstdlife))</f>
        <v>0</v>
      </c>
      <c r="AU573" s="590">
        <f>IF(A8taxstdlife="n/a","n/a",IF(AU$3&gt;(A8taxstdlife+$E573),(('PTRM input'!$G$150+'PTRM input'!$G$116)*$G$7)-SUM($G573:AT573),(('PTRM input'!$G$150+'PTRM input'!$G$116)*$G$7)/A8taxstdlife))</f>
        <v>0</v>
      </c>
      <c r="AV573" s="590">
        <f>IF(A8taxstdlife="n/a","n/a",IF(AV$3&gt;(A8taxstdlife+$E573),(('PTRM input'!$G$150+'PTRM input'!$G$116)*$G$7)-SUM($G573:AU573),(('PTRM input'!$G$150+'PTRM input'!$G$116)*$G$7)/A8taxstdlife))</f>
        <v>0</v>
      </c>
      <c r="AW573" s="590">
        <f>IF(A8taxstdlife="n/a","n/a",IF(AW$3&gt;(A8taxstdlife+$E573),(('PTRM input'!$G$150+'PTRM input'!$G$116)*$G$7)-SUM($G573:AV573),(('PTRM input'!$G$150+'PTRM input'!$G$116)*$G$7)/A8taxstdlife))</f>
        <v>0</v>
      </c>
      <c r="AX573" s="590">
        <f>IF(A8taxstdlife="n/a","n/a",IF(AX$3&gt;(A8taxstdlife+$E573),(('PTRM input'!$G$150+'PTRM input'!$G$116)*$G$7)-SUM($G573:AW573),(('PTRM input'!$G$150+'PTRM input'!$G$116)*$G$7)/A8taxstdlife))</f>
        <v>0</v>
      </c>
      <c r="AY573" s="590">
        <f>IF(A8taxstdlife="n/a","n/a",IF(AY$3&gt;(A8taxstdlife+$E573),(('PTRM input'!$G$150+'PTRM input'!$G$116)*$G$7)-SUM($G573:AX573),(('PTRM input'!$G$150+'PTRM input'!$G$116)*$G$7)/A8taxstdlife))</f>
        <v>0</v>
      </c>
      <c r="AZ573" s="590">
        <f>IF(A8taxstdlife="n/a","n/a",IF(AZ$3&gt;(A8taxstdlife+$E573),(('PTRM input'!$G$150+'PTRM input'!$G$116)*$G$7)-SUM($G573:AY573),(('PTRM input'!$G$150+'PTRM input'!$G$116)*$G$7)/A8taxstdlife))</f>
        <v>0</v>
      </c>
      <c r="BA573" s="590">
        <f>IF(A8taxstdlife="n/a","n/a",IF(BA$3&gt;(A8taxstdlife+$E573),(('PTRM input'!$G$150+'PTRM input'!$G$116)*$G$7)-SUM($G573:AZ573),(('PTRM input'!$G$150+'PTRM input'!$G$116)*$G$7)/A8taxstdlife))</f>
        <v>0</v>
      </c>
      <c r="BB573" s="590">
        <f>IF(A8taxstdlife="n/a","n/a",IF(BB$3&gt;(A8taxstdlife+$E573),(('PTRM input'!$G$150+'PTRM input'!$G$116)*$G$7)-SUM($G573:BA573),(('PTRM input'!$G$150+'PTRM input'!$G$116)*$G$7)/A8taxstdlife))</f>
        <v>0</v>
      </c>
      <c r="BC573" s="590">
        <f>IF(A8taxstdlife="n/a","n/a",IF(BC$3&gt;(A8taxstdlife+$E573),(('PTRM input'!$G$150+'PTRM input'!$G$116)*$G$7)-SUM($G573:BB573),(('PTRM input'!$G$150+'PTRM input'!$G$116)*$G$7)/A8taxstdlife))</f>
        <v>0</v>
      </c>
      <c r="BD573" s="590">
        <f>IF(A8taxstdlife="n/a","n/a",IF(BD$3&gt;(A8taxstdlife+$E573),(('PTRM input'!$G$150+'PTRM input'!$G$116)*$G$7)-SUM($G573:BC573),(('PTRM input'!$G$150+'PTRM input'!$G$116)*$G$7)/A8taxstdlife))</f>
        <v>0</v>
      </c>
      <c r="BE573" s="590">
        <f>IF(A8taxstdlife="n/a","n/a",IF(BE$3&gt;(A8taxstdlife+$E573),(('PTRM input'!$G$150+'PTRM input'!$G$116)*$G$7)-SUM($G573:BD573),(('PTRM input'!$G$150+'PTRM input'!$G$116)*$G$7)/A8taxstdlife))</f>
        <v>0</v>
      </c>
      <c r="BF573" s="590">
        <f>IF(A8taxstdlife="n/a","n/a",IF(BF$3&gt;(A8taxstdlife+$E573),(('PTRM input'!$G$150+'PTRM input'!$G$116)*$G$7)-SUM($G573:BE573),(('PTRM input'!$G$150+'PTRM input'!$G$116)*$G$7)/A8taxstdlife))</f>
        <v>0</v>
      </c>
      <c r="BG573" s="590">
        <f>IF(A8taxstdlife="n/a","n/a",IF(BG$3&gt;(A8taxstdlife+$E573),(('PTRM input'!$G$150+'PTRM input'!$G$116)*$G$7)-SUM($G573:BF573),(('PTRM input'!$G$150+'PTRM input'!$G$116)*$G$7)/A8taxstdlife))</f>
        <v>0</v>
      </c>
      <c r="BH573" s="590">
        <f>IF(A8taxstdlife="n/a","n/a",IF(BH$3&gt;(A8taxstdlife+$E573),(('PTRM input'!$G$150+'PTRM input'!$G$116)*$G$7)-SUM($G573:BG573),(('PTRM input'!$G$150+'PTRM input'!$G$116)*$G$7)/A8taxstdlife))</f>
        <v>0</v>
      </c>
      <c r="BI573" s="590">
        <f>IF(A8taxstdlife="n/a","n/a",IF(BI$3&gt;(A8taxstdlife+$E573),(('PTRM input'!$G$150+'PTRM input'!$G$116)*$G$7)-SUM($G573:BH573),(('PTRM input'!$G$150+'PTRM input'!$G$116)*$G$7)/A8taxstdlife))</f>
        <v>0</v>
      </c>
      <c r="BJ573" s="240"/>
      <c r="BK573" s="240"/>
      <c r="BL573" s="240"/>
      <c r="BM573" s="240"/>
    </row>
    <row r="574" spans="1:65" s="4" customFormat="1" hidden="1" outlineLevel="2">
      <c r="A574" s="240"/>
      <c r="B574" s="240"/>
      <c r="C574" s="595"/>
      <c r="D574" s="1618"/>
      <c r="E574" s="169">
        <v>2</v>
      </c>
      <c r="F574" s="35"/>
      <c r="G574" s="184"/>
      <c r="H574" s="185"/>
      <c r="I574" s="107">
        <f>IF(A8taxstdlife="n/a","n/a",IF(I$3&gt;(A8taxstdlife+$E574),(('PTRM input'!$H$150+'PTRM input'!$H$116)*$H$7)-SUM($H574:H574),(('PTRM input'!$H$150+'PTRM input'!$H$116)*$H$7)/A8taxstdlife))</f>
        <v>0</v>
      </c>
      <c r="J574" s="107">
        <f>IF(A8taxstdlife="n/a","n/a",IF(J$3&gt;(A8taxstdlife+$E574),(('PTRM input'!$H$150+'PTRM input'!$H$116)*$H$7)-SUM($H574:I574),(('PTRM input'!$H$150+'PTRM input'!$H$116)*$H$7)/A8taxstdlife))</f>
        <v>0</v>
      </c>
      <c r="K574" s="107">
        <f>IF(A8taxstdlife="n/a","n/a",IF(K$3&gt;(A8taxstdlife+$E574),(('PTRM input'!$H$150+'PTRM input'!$H$116)*$H$7)-SUM($H574:J574),(('PTRM input'!$H$150+'PTRM input'!$H$116)*$H$7)/A8taxstdlife))</f>
        <v>0</v>
      </c>
      <c r="L574" s="107">
        <f>IF(A8taxstdlife="n/a","n/a",IF(L$3&gt;(A8taxstdlife+$E574),(('PTRM input'!$H$150+'PTRM input'!$H$116)*$H$7)-SUM($H574:K574),(('PTRM input'!$H$150+'PTRM input'!$H$116)*$H$7)/A8taxstdlife))</f>
        <v>0</v>
      </c>
      <c r="M574" s="107">
        <f>IF(A8taxstdlife="n/a","n/a",IF(M$3&gt;(A8taxstdlife+$E574),(('PTRM input'!$H$150+'PTRM input'!$H$116)*$H$7)-SUM($H574:L574),(('PTRM input'!$H$150+'PTRM input'!$H$116)*$H$7)/A8taxstdlife))</f>
        <v>0</v>
      </c>
      <c r="N574" s="107">
        <f>IF(A8taxstdlife="n/a","n/a",IF(N$3&gt;(A8taxstdlife+$E574),(('PTRM input'!$H$150+'PTRM input'!$H$116)*$H$7)-SUM($H574:M574),(('PTRM input'!$H$150+'PTRM input'!$H$116)*$H$7)/A8taxstdlife))</f>
        <v>0</v>
      </c>
      <c r="O574" s="107">
        <f>IF(A8taxstdlife="n/a","n/a",IF(O$3&gt;(A8taxstdlife+$E574),(('PTRM input'!$H$150+'PTRM input'!$H$116)*$H$7)-SUM($H574:N574),(('PTRM input'!$H$150+'PTRM input'!$H$116)*$H$7)/A8taxstdlife))</f>
        <v>0</v>
      </c>
      <c r="P574" s="107">
        <f>IF(A8taxstdlife="n/a","n/a",IF(P$3&gt;(A8taxstdlife+$E574),(('PTRM input'!$H$150+'PTRM input'!$H$116)*$H$7)-SUM($H574:O574),(('PTRM input'!$H$150+'PTRM input'!$H$116)*$H$7)/A8taxstdlife))</f>
        <v>0</v>
      </c>
      <c r="Q574" s="590">
        <f>IF(A8taxstdlife="n/a","n/a",IF(Q$3&gt;(A8taxstdlife+$E574),(('PTRM input'!$H$150+'PTRM input'!$H$116)*$H$7)-SUM($H574:P574),(('PTRM input'!$H$150+'PTRM input'!$H$116)*$H$7)/A8taxstdlife))</f>
        <v>0</v>
      </c>
      <c r="R574" s="590">
        <f>IF(A8taxstdlife="n/a","n/a",IF(R$3&gt;(A8taxstdlife+$E574),(('PTRM input'!$H$150+'PTRM input'!$H$116)*$H$7)-SUM($H574:Q574),(('PTRM input'!$H$150+'PTRM input'!$H$116)*$H$7)/A8taxstdlife))</f>
        <v>0</v>
      </c>
      <c r="S574" s="590">
        <f>IF(A8taxstdlife="n/a","n/a",IF(S$3&gt;(A8taxstdlife+$E574),(('PTRM input'!$H$150+'PTRM input'!$H$116)*$H$7)-SUM($H574:R574),(('PTRM input'!$H$150+'PTRM input'!$H$116)*$H$7)/A8taxstdlife))</f>
        <v>0</v>
      </c>
      <c r="T574" s="590">
        <f>IF(A8taxstdlife="n/a","n/a",IF(T$3&gt;(A8taxstdlife+$E574),(('PTRM input'!$H$150+'PTRM input'!$H$116)*$H$7)-SUM($H574:S574),(('PTRM input'!$H$150+'PTRM input'!$H$116)*$H$7)/A8taxstdlife))</f>
        <v>0</v>
      </c>
      <c r="U574" s="590">
        <f>IF(A8taxstdlife="n/a","n/a",IF(U$3&gt;(A8taxstdlife+$E574),(('PTRM input'!$H$150+'PTRM input'!$H$116)*$H$7)-SUM($H574:T574),(('PTRM input'!$H$150+'PTRM input'!$H$116)*$H$7)/A8taxstdlife))</f>
        <v>0</v>
      </c>
      <c r="V574" s="590">
        <f>IF(A8taxstdlife="n/a","n/a",IF(V$3&gt;(A8taxstdlife+$E574),(('PTRM input'!$H$150+'PTRM input'!$H$116)*$H$7)-SUM($H574:U574),(('PTRM input'!$H$150+'PTRM input'!$H$116)*$H$7)/A8taxstdlife))</f>
        <v>0</v>
      </c>
      <c r="W574" s="590">
        <f>IF(A8taxstdlife="n/a","n/a",IF(W$3&gt;(A8taxstdlife+$E574),(('PTRM input'!$H$150+'PTRM input'!$H$116)*$H$7)-SUM($H574:V574),(('PTRM input'!$H$150+'PTRM input'!$H$116)*$H$7)/A8taxstdlife))</f>
        <v>0</v>
      </c>
      <c r="X574" s="590">
        <f>IF(A8taxstdlife="n/a","n/a",IF(X$3&gt;(A8taxstdlife+$E574),(('PTRM input'!$H$150+'PTRM input'!$H$116)*$H$7)-SUM($H574:W574),(('PTRM input'!$H$150+'PTRM input'!$H$116)*$H$7)/A8taxstdlife))</f>
        <v>0</v>
      </c>
      <c r="Y574" s="590">
        <f>IF(A8taxstdlife="n/a","n/a",IF(Y$3&gt;(A8taxstdlife+$E574),(('PTRM input'!$H$150+'PTRM input'!$H$116)*$H$7)-SUM($H574:X574),(('PTRM input'!$H$150+'PTRM input'!$H$116)*$H$7)/A8taxstdlife))</f>
        <v>0</v>
      </c>
      <c r="Z574" s="590">
        <f>IF(A8taxstdlife="n/a","n/a",IF(Z$3&gt;(A8taxstdlife+$E574),(('PTRM input'!$H$150+'PTRM input'!$H$116)*$H$7)-SUM($H574:Y574),(('PTRM input'!$H$150+'PTRM input'!$H$116)*$H$7)/A8taxstdlife))</f>
        <v>0</v>
      </c>
      <c r="AA574" s="590">
        <f>IF(A8taxstdlife="n/a","n/a",IF(AA$3&gt;(A8taxstdlife+$E574),(('PTRM input'!$H$150+'PTRM input'!$H$116)*$H$7)-SUM($H574:Z574),(('PTRM input'!$H$150+'PTRM input'!$H$116)*$H$7)/A8taxstdlife))</f>
        <v>0</v>
      </c>
      <c r="AB574" s="590">
        <f>IF(A8taxstdlife="n/a","n/a",IF(AB$3&gt;(A8taxstdlife+$E574),(('PTRM input'!$H$150+'PTRM input'!$H$116)*$H$7)-SUM($H574:AA574),(('PTRM input'!$H$150+'PTRM input'!$H$116)*$H$7)/A8taxstdlife))</f>
        <v>0</v>
      </c>
      <c r="AC574" s="590">
        <f>IF(A8taxstdlife="n/a","n/a",IF(AC$3&gt;(A8taxstdlife+$E574),(('PTRM input'!$H$150+'PTRM input'!$H$116)*$H$7)-SUM($H574:AB574),(('PTRM input'!$H$150+'PTRM input'!$H$116)*$H$7)/A8taxstdlife))</f>
        <v>0</v>
      </c>
      <c r="AD574" s="590">
        <f>IF(A8taxstdlife="n/a","n/a",IF(AD$3&gt;(A8taxstdlife+$E574),(('PTRM input'!$H$150+'PTRM input'!$H$116)*$H$7)-SUM($H574:AC574),(('PTRM input'!$H$150+'PTRM input'!$H$116)*$H$7)/A8taxstdlife))</f>
        <v>0</v>
      </c>
      <c r="AE574" s="590">
        <f>IF(A8taxstdlife="n/a","n/a",IF(AE$3&gt;(A8taxstdlife+$E574),(('PTRM input'!$H$150+'PTRM input'!$H$116)*$H$7)-SUM($H574:AD574),(('PTRM input'!$H$150+'PTRM input'!$H$116)*$H$7)/A8taxstdlife))</f>
        <v>0</v>
      </c>
      <c r="AF574" s="590">
        <f>IF(A8taxstdlife="n/a","n/a",IF(AF$3&gt;(A8taxstdlife+$E574),(('PTRM input'!$H$150+'PTRM input'!$H$116)*$H$7)-SUM($H574:AE574),(('PTRM input'!$H$150+'PTRM input'!$H$116)*$H$7)/A8taxstdlife))</f>
        <v>0</v>
      </c>
      <c r="AG574" s="590">
        <f>IF(A8taxstdlife="n/a","n/a",IF(AG$3&gt;(A8taxstdlife+$E574),(('PTRM input'!$H$150+'PTRM input'!$H$116)*$H$7)-SUM($H574:AF574),(('PTRM input'!$H$150+'PTRM input'!$H$116)*$H$7)/A8taxstdlife))</f>
        <v>0</v>
      </c>
      <c r="AH574" s="590">
        <f>IF(A8taxstdlife="n/a","n/a",IF(AH$3&gt;(A8taxstdlife+$E574),(('PTRM input'!$H$150+'PTRM input'!$H$116)*$H$7)-SUM($H574:AG574),(('PTRM input'!$H$150+'PTRM input'!$H$116)*$H$7)/A8taxstdlife))</f>
        <v>0</v>
      </c>
      <c r="AI574" s="590">
        <f>IF(A8taxstdlife="n/a","n/a",IF(AI$3&gt;(A8taxstdlife+$E574),(('PTRM input'!$H$150+'PTRM input'!$H$116)*$H$7)-SUM($H574:AH574),(('PTRM input'!$H$150+'PTRM input'!$H$116)*$H$7)/A8taxstdlife))</f>
        <v>0</v>
      </c>
      <c r="AJ574" s="590">
        <f>IF(A8taxstdlife="n/a","n/a",IF(AJ$3&gt;(A8taxstdlife+$E574),(('PTRM input'!$H$150+'PTRM input'!$H$116)*$H$7)-SUM($H574:AI574),(('PTRM input'!$H$150+'PTRM input'!$H$116)*$H$7)/A8taxstdlife))</f>
        <v>0</v>
      </c>
      <c r="AK574" s="590">
        <f>IF(A8taxstdlife="n/a","n/a",IF(AK$3&gt;(A8taxstdlife+$E574),(('PTRM input'!$H$150+'PTRM input'!$H$116)*$H$7)-SUM($H574:AJ574),(('PTRM input'!$H$150+'PTRM input'!$H$116)*$H$7)/A8taxstdlife))</f>
        <v>0</v>
      </c>
      <c r="AL574" s="590">
        <f>IF(A8taxstdlife="n/a","n/a",IF(AL$3&gt;(A8taxstdlife+$E574),(('PTRM input'!$H$150+'PTRM input'!$H$116)*$H$7)-SUM($H574:AK574),(('PTRM input'!$H$150+'PTRM input'!$H$116)*$H$7)/A8taxstdlife))</f>
        <v>0</v>
      </c>
      <c r="AM574" s="590">
        <f>IF(A8taxstdlife="n/a","n/a",IF(AM$3&gt;(A8taxstdlife+$E574),(('PTRM input'!$H$150+'PTRM input'!$H$116)*$H$7)-SUM($H574:AL574),(('PTRM input'!$H$150+'PTRM input'!$H$116)*$H$7)/A8taxstdlife))</f>
        <v>0</v>
      </c>
      <c r="AN574" s="590">
        <f>IF(A8taxstdlife="n/a","n/a",IF(AN$3&gt;(A8taxstdlife+$E574),(('PTRM input'!$H$150+'PTRM input'!$H$116)*$H$7)-SUM($H574:AM574),(('PTRM input'!$H$150+'PTRM input'!$H$116)*$H$7)/A8taxstdlife))</f>
        <v>0</v>
      </c>
      <c r="AO574" s="590">
        <f>IF(A8taxstdlife="n/a","n/a",IF(AO$3&gt;(A8taxstdlife+$E574),(('PTRM input'!$H$150+'PTRM input'!$H$116)*$H$7)-SUM($H574:AN574),(('PTRM input'!$H$150+'PTRM input'!$H$116)*$H$7)/A8taxstdlife))</f>
        <v>0</v>
      </c>
      <c r="AP574" s="590">
        <f>IF(A8taxstdlife="n/a","n/a",IF(AP$3&gt;(A8taxstdlife+$E574),(('PTRM input'!$H$150+'PTRM input'!$H$116)*$H$7)-SUM($H574:AO574),(('PTRM input'!$H$150+'PTRM input'!$H$116)*$H$7)/A8taxstdlife))</f>
        <v>0</v>
      </c>
      <c r="AQ574" s="590">
        <f>IF(A8taxstdlife="n/a","n/a",IF(AQ$3&gt;(A8taxstdlife+$E574),(('PTRM input'!$H$150+'PTRM input'!$H$116)*$H$7)-SUM($H574:AP574),(('PTRM input'!$H$150+'PTRM input'!$H$116)*$H$7)/A8taxstdlife))</f>
        <v>0</v>
      </c>
      <c r="AR574" s="590">
        <f>IF(A8taxstdlife="n/a","n/a",IF(AR$3&gt;(A8taxstdlife+$E574),(('PTRM input'!$H$150+'PTRM input'!$H$116)*$H$7)-SUM($H574:AQ574),(('PTRM input'!$H$150+'PTRM input'!$H$116)*$H$7)/A8taxstdlife))</f>
        <v>0</v>
      </c>
      <c r="AS574" s="590">
        <f>IF(A8taxstdlife="n/a","n/a",IF(AS$3&gt;(A8taxstdlife+$E574),(('PTRM input'!$H$150+'PTRM input'!$H$116)*$H$7)-SUM($H574:AR574),(('PTRM input'!$H$150+'PTRM input'!$H$116)*$H$7)/A8taxstdlife))</f>
        <v>0</v>
      </c>
      <c r="AT574" s="590">
        <f>IF(A8taxstdlife="n/a","n/a",IF(AT$3&gt;(A8taxstdlife+$E574),(('PTRM input'!$H$150+'PTRM input'!$H$116)*$H$7)-SUM($H574:AS574),(('PTRM input'!$H$150+'PTRM input'!$H$116)*$H$7)/A8taxstdlife))</f>
        <v>0</v>
      </c>
      <c r="AU574" s="590">
        <f>IF(A8taxstdlife="n/a","n/a",IF(AU$3&gt;(A8taxstdlife+$E574),(('PTRM input'!$H$150+'PTRM input'!$H$116)*$H$7)-SUM($H574:AT574),(('PTRM input'!$H$150+'PTRM input'!$H$116)*$H$7)/A8taxstdlife))</f>
        <v>0</v>
      </c>
      <c r="AV574" s="590">
        <f>IF(A8taxstdlife="n/a","n/a",IF(AV$3&gt;(A8taxstdlife+$E574),(('PTRM input'!$H$150+'PTRM input'!$H$116)*$H$7)-SUM($H574:AU574),(('PTRM input'!$H$150+'PTRM input'!$H$116)*$H$7)/A8taxstdlife))</f>
        <v>0</v>
      </c>
      <c r="AW574" s="590">
        <f>IF(A8taxstdlife="n/a","n/a",IF(AW$3&gt;(A8taxstdlife+$E574),(('PTRM input'!$H$150+'PTRM input'!$H$116)*$H$7)-SUM($H574:AV574),(('PTRM input'!$H$150+'PTRM input'!$H$116)*$H$7)/A8taxstdlife))</f>
        <v>0</v>
      </c>
      <c r="AX574" s="590">
        <f>IF(A8taxstdlife="n/a","n/a",IF(AX$3&gt;(A8taxstdlife+$E574),(('PTRM input'!$H$150+'PTRM input'!$H$116)*$H$7)-SUM($H574:AW574),(('PTRM input'!$H$150+'PTRM input'!$H$116)*$H$7)/A8taxstdlife))</f>
        <v>0</v>
      </c>
      <c r="AY574" s="590">
        <f>IF(A8taxstdlife="n/a","n/a",IF(AY$3&gt;(A8taxstdlife+$E574),(('PTRM input'!$H$150+'PTRM input'!$H$116)*$H$7)-SUM($H574:AX574),(('PTRM input'!$H$150+'PTRM input'!$H$116)*$H$7)/A8taxstdlife))</f>
        <v>0</v>
      </c>
      <c r="AZ574" s="590">
        <f>IF(A8taxstdlife="n/a","n/a",IF(AZ$3&gt;(A8taxstdlife+$E574),(('PTRM input'!$H$150+'PTRM input'!$H$116)*$H$7)-SUM($H574:AY574),(('PTRM input'!$H$150+'PTRM input'!$H$116)*$H$7)/A8taxstdlife))</f>
        <v>0</v>
      </c>
      <c r="BA574" s="590">
        <f>IF(A8taxstdlife="n/a","n/a",IF(BA$3&gt;(A8taxstdlife+$E574),(('PTRM input'!$H$150+'PTRM input'!$H$116)*$H$7)-SUM($H574:AZ574),(('PTRM input'!$H$150+'PTRM input'!$H$116)*$H$7)/A8taxstdlife))</f>
        <v>0</v>
      </c>
      <c r="BB574" s="590">
        <f>IF(A8taxstdlife="n/a","n/a",IF(BB$3&gt;(A8taxstdlife+$E574),(('PTRM input'!$H$150+'PTRM input'!$H$116)*$H$7)-SUM($H574:BA574),(('PTRM input'!$H$150+'PTRM input'!$H$116)*$H$7)/A8taxstdlife))</f>
        <v>0</v>
      </c>
      <c r="BC574" s="590">
        <f>IF(A8taxstdlife="n/a","n/a",IF(BC$3&gt;(A8taxstdlife+$E574),(('PTRM input'!$H$150+'PTRM input'!$H$116)*$H$7)-SUM($H574:BB574),(('PTRM input'!$H$150+'PTRM input'!$H$116)*$H$7)/A8taxstdlife))</f>
        <v>0</v>
      </c>
      <c r="BD574" s="590">
        <f>IF(A8taxstdlife="n/a","n/a",IF(BD$3&gt;(A8taxstdlife+$E574),(('PTRM input'!$H$150+'PTRM input'!$H$116)*$H$7)-SUM($H574:BC574),(('PTRM input'!$H$150+'PTRM input'!$H$116)*$H$7)/A8taxstdlife))</f>
        <v>0</v>
      </c>
      <c r="BE574" s="590">
        <f>IF(A8taxstdlife="n/a","n/a",IF(BE$3&gt;(A8taxstdlife+$E574),(('PTRM input'!$H$150+'PTRM input'!$H$116)*$H$7)-SUM($H574:BD574),(('PTRM input'!$H$150+'PTRM input'!$H$116)*$H$7)/A8taxstdlife))</f>
        <v>0</v>
      </c>
      <c r="BF574" s="590">
        <f>IF(A8taxstdlife="n/a","n/a",IF(BF$3&gt;(A8taxstdlife+$E574),(('PTRM input'!$H$150+'PTRM input'!$H$116)*$H$7)-SUM($H574:BE574),(('PTRM input'!$H$150+'PTRM input'!$H$116)*$H$7)/A8taxstdlife))</f>
        <v>0</v>
      </c>
      <c r="BG574" s="590">
        <f>IF(A8taxstdlife="n/a","n/a",IF(BG$3&gt;(A8taxstdlife+$E574),(('PTRM input'!$H$150+'PTRM input'!$H$116)*$H$7)-SUM($H574:BF574),(('PTRM input'!$H$150+'PTRM input'!$H$116)*$H$7)/A8taxstdlife))</f>
        <v>0</v>
      </c>
      <c r="BH574" s="590">
        <f>IF(A8taxstdlife="n/a","n/a",IF(BH$3&gt;(A8taxstdlife+$E574),(('PTRM input'!$H$150+'PTRM input'!$H$116)*$H$7)-SUM($H574:BG574),(('PTRM input'!$H$150+'PTRM input'!$H$116)*$H$7)/A8taxstdlife))</f>
        <v>0</v>
      </c>
      <c r="BI574" s="590">
        <f>IF(A8taxstdlife="n/a","n/a",IF(BI$3&gt;(A8taxstdlife+$E574),(('PTRM input'!$H$150+'PTRM input'!$H$116)*$H$7)-SUM($H574:BH574),(('PTRM input'!$H$150+'PTRM input'!$H$116)*$H$7)/A8taxstdlife))</f>
        <v>0</v>
      </c>
      <c r="BJ574" s="240"/>
      <c r="BK574" s="240"/>
      <c r="BL574" s="240"/>
      <c r="BM574" s="240"/>
    </row>
    <row r="575" spans="1:65" s="4" customFormat="1" hidden="1" outlineLevel="2">
      <c r="A575" s="240"/>
      <c r="B575" s="240"/>
      <c r="C575" s="595"/>
      <c r="D575" s="1618"/>
      <c r="E575" s="169">
        <v>3</v>
      </c>
      <c r="F575" s="35"/>
      <c r="G575" s="184"/>
      <c r="H575" s="186"/>
      <c r="I575" s="185"/>
      <c r="J575" s="107">
        <f>IF(A8taxstdlife="n/a","n/a",IF(J$3&gt;(A8taxstdlife+$E575),(('PTRM input'!$I$150+'PTRM input'!$I$116)*$I$7)-SUM($I575:I575),(('PTRM input'!$I$150+'PTRM input'!$I$116)*$I$7)/A8taxstdlife))</f>
        <v>0</v>
      </c>
      <c r="K575" s="107">
        <f>IF(A8taxstdlife="n/a","n/a",IF(K$3&gt;(A8taxstdlife+$E575),(('PTRM input'!$I$150+'PTRM input'!$I$116)*$I$7)-SUM($I575:J575),(('PTRM input'!$I$150+'PTRM input'!$I$116)*$I$7)/A8taxstdlife))</f>
        <v>0</v>
      </c>
      <c r="L575" s="107">
        <f>IF(A8taxstdlife="n/a","n/a",IF(L$3&gt;(A8taxstdlife+$E575),(('PTRM input'!$I$150+'PTRM input'!$I$116)*$I$7)-SUM($I575:K575),(('PTRM input'!$I$150+'PTRM input'!$I$116)*$I$7)/A8taxstdlife))</f>
        <v>0</v>
      </c>
      <c r="M575" s="107">
        <f>IF(A8taxstdlife="n/a","n/a",IF(M$3&gt;(A8taxstdlife+$E575),(('PTRM input'!$I$150+'PTRM input'!$I$116)*$I$7)-SUM($I575:L575),(('PTRM input'!$I$150+'PTRM input'!$I$116)*$I$7)/A8taxstdlife))</f>
        <v>0</v>
      </c>
      <c r="N575" s="107">
        <f>IF(A8taxstdlife="n/a","n/a",IF(N$3&gt;(A8taxstdlife+$E575),(('PTRM input'!$I$150+'PTRM input'!$I$116)*$I$7)-SUM($I575:M575),(('PTRM input'!$I$150+'PTRM input'!$I$116)*$I$7)/A8taxstdlife))</f>
        <v>0</v>
      </c>
      <c r="O575" s="107">
        <f>IF(A8taxstdlife="n/a","n/a",IF(O$3&gt;(A8taxstdlife+$E575),(('PTRM input'!$I$150+'PTRM input'!$I$116)*$I$7)-SUM($I575:N575),(('PTRM input'!$I$150+'PTRM input'!$I$116)*$I$7)/A8taxstdlife))</f>
        <v>0</v>
      </c>
      <c r="P575" s="107">
        <f>IF(A8taxstdlife="n/a","n/a",IF(P$3&gt;(A8taxstdlife+$E575),(('PTRM input'!$I$150+'PTRM input'!$I$116)*$I$7)-SUM($I575:O575),(('PTRM input'!$I$150+'PTRM input'!$I$116)*$I$7)/A8taxstdlife))</f>
        <v>0</v>
      </c>
      <c r="Q575" s="590">
        <f>IF(A8taxstdlife="n/a","n/a",IF(Q$3&gt;(A8taxstdlife+$E575),(('PTRM input'!$I$150+'PTRM input'!$I$116)*$I$7)-SUM($I575:P575),(('PTRM input'!$I$150+'PTRM input'!$I$116)*$I$7)/A8taxstdlife))</f>
        <v>0</v>
      </c>
      <c r="R575" s="590">
        <f>IF(A8taxstdlife="n/a","n/a",IF(R$3&gt;(A8taxstdlife+$E575),(('PTRM input'!$I$150+'PTRM input'!$I$116)*$I$7)-SUM($I575:Q575),(('PTRM input'!$I$150+'PTRM input'!$I$116)*$I$7)/A8taxstdlife))</f>
        <v>0</v>
      </c>
      <c r="S575" s="590">
        <f>IF(A8taxstdlife="n/a","n/a",IF(S$3&gt;(A8taxstdlife+$E575),(('PTRM input'!$I$150+'PTRM input'!$I$116)*$I$7)-SUM($I575:R575),(('PTRM input'!$I$150+'PTRM input'!$I$116)*$I$7)/A8taxstdlife))</f>
        <v>0</v>
      </c>
      <c r="T575" s="590">
        <f>IF(A8taxstdlife="n/a","n/a",IF(T$3&gt;(A8taxstdlife+$E575),(('PTRM input'!$I$150+'PTRM input'!$I$116)*$I$7)-SUM($I575:S575),(('PTRM input'!$I$150+'PTRM input'!$I$116)*$I$7)/A8taxstdlife))</f>
        <v>0</v>
      </c>
      <c r="U575" s="590">
        <f>IF(A8taxstdlife="n/a","n/a",IF(U$3&gt;(A8taxstdlife+$E575),(('PTRM input'!$I$150+'PTRM input'!$I$116)*$I$7)-SUM($I575:T575),(('PTRM input'!$I$150+'PTRM input'!$I$116)*$I$7)/A8taxstdlife))</f>
        <v>0</v>
      </c>
      <c r="V575" s="590">
        <f>IF(A8taxstdlife="n/a","n/a",IF(V$3&gt;(A8taxstdlife+$E575),(('PTRM input'!$I$150+'PTRM input'!$I$116)*$I$7)-SUM($I575:U575),(('PTRM input'!$I$150+'PTRM input'!$I$116)*$I$7)/A8taxstdlife))</f>
        <v>0</v>
      </c>
      <c r="W575" s="590">
        <f>IF(A8taxstdlife="n/a","n/a",IF(W$3&gt;(A8taxstdlife+$E575),(('PTRM input'!$I$150+'PTRM input'!$I$116)*$I$7)-SUM($I575:V575),(('PTRM input'!$I$150+'PTRM input'!$I$116)*$I$7)/A8taxstdlife))</f>
        <v>0</v>
      </c>
      <c r="X575" s="590">
        <f>IF(A8taxstdlife="n/a","n/a",IF(X$3&gt;(A8taxstdlife+$E575),(('PTRM input'!$I$150+'PTRM input'!$I$116)*$I$7)-SUM($I575:W575),(('PTRM input'!$I$150+'PTRM input'!$I$116)*$I$7)/A8taxstdlife))</f>
        <v>0</v>
      </c>
      <c r="Y575" s="590">
        <f>IF(A8taxstdlife="n/a","n/a",IF(Y$3&gt;(A8taxstdlife+$E575),(('PTRM input'!$I$150+'PTRM input'!$I$116)*$I$7)-SUM($I575:X575),(('PTRM input'!$I$150+'PTRM input'!$I$116)*$I$7)/A8taxstdlife))</f>
        <v>0</v>
      </c>
      <c r="Z575" s="590">
        <f>IF(A8taxstdlife="n/a","n/a",IF(Z$3&gt;(A8taxstdlife+$E575),(('PTRM input'!$I$150+'PTRM input'!$I$116)*$I$7)-SUM($I575:Y575),(('PTRM input'!$I$150+'PTRM input'!$I$116)*$I$7)/A8taxstdlife))</f>
        <v>0</v>
      </c>
      <c r="AA575" s="590">
        <f>IF(A8taxstdlife="n/a","n/a",IF(AA$3&gt;(A8taxstdlife+$E575),(('PTRM input'!$I$150+'PTRM input'!$I$116)*$I$7)-SUM($I575:Z575),(('PTRM input'!$I$150+'PTRM input'!$I$116)*$I$7)/A8taxstdlife))</f>
        <v>0</v>
      </c>
      <c r="AB575" s="590">
        <f>IF(A8taxstdlife="n/a","n/a",IF(AB$3&gt;(A8taxstdlife+$E575),(('PTRM input'!$I$150+'PTRM input'!$I$116)*$I$7)-SUM($I575:AA575),(('PTRM input'!$I$150+'PTRM input'!$I$116)*$I$7)/A8taxstdlife))</f>
        <v>0</v>
      </c>
      <c r="AC575" s="590">
        <f>IF(A8taxstdlife="n/a","n/a",IF(AC$3&gt;(A8taxstdlife+$E575),(('PTRM input'!$I$150+'PTRM input'!$I$116)*$I$7)-SUM($I575:AB575),(('PTRM input'!$I$150+'PTRM input'!$I$116)*$I$7)/A8taxstdlife))</f>
        <v>0</v>
      </c>
      <c r="AD575" s="590">
        <f>IF(A8taxstdlife="n/a","n/a",IF(AD$3&gt;(A8taxstdlife+$E575),(('PTRM input'!$I$150+'PTRM input'!$I$116)*$I$7)-SUM($I575:AC575),(('PTRM input'!$I$150+'PTRM input'!$I$116)*$I$7)/A8taxstdlife))</f>
        <v>0</v>
      </c>
      <c r="AE575" s="590">
        <f>IF(A8taxstdlife="n/a","n/a",IF(AE$3&gt;(A8taxstdlife+$E575),(('PTRM input'!$I$150+'PTRM input'!$I$116)*$I$7)-SUM($I575:AD575),(('PTRM input'!$I$150+'PTRM input'!$I$116)*$I$7)/A8taxstdlife))</f>
        <v>0</v>
      </c>
      <c r="AF575" s="590">
        <f>IF(A8taxstdlife="n/a","n/a",IF(AF$3&gt;(A8taxstdlife+$E575),(('PTRM input'!$I$150+'PTRM input'!$I$116)*$I$7)-SUM($I575:AE575),(('PTRM input'!$I$150+'PTRM input'!$I$116)*$I$7)/A8taxstdlife))</f>
        <v>0</v>
      </c>
      <c r="AG575" s="590">
        <f>IF(A8taxstdlife="n/a","n/a",IF(AG$3&gt;(A8taxstdlife+$E575),(('PTRM input'!$I$150+'PTRM input'!$I$116)*$I$7)-SUM($I575:AF575),(('PTRM input'!$I$150+'PTRM input'!$I$116)*$I$7)/A8taxstdlife))</f>
        <v>0</v>
      </c>
      <c r="AH575" s="590">
        <f>IF(A8taxstdlife="n/a","n/a",IF(AH$3&gt;(A8taxstdlife+$E575),(('PTRM input'!$I$150+'PTRM input'!$I$116)*$I$7)-SUM($I575:AG575),(('PTRM input'!$I$150+'PTRM input'!$I$116)*$I$7)/A8taxstdlife))</f>
        <v>0</v>
      </c>
      <c r="AI575" s="590">
        <f>IF(A8taxstdlife="n/a","n/a",IF(AI$3&gt;(A8taxstdlife+$E575),(('PTRM input'!$I$150+'PTRM input'!$I$116)*$I$7)-SUM($I575:AH575),(('PTRM input'!$I$150+'PTRM input'!$I$116)*$I$7)/A8taxstdlife))</f>
        <v>0</v>
      </c>
      <c r="AJ575" s="590">
        <f>IF(A8taxstdlife="n/a","n/a",IF(AJ$3&gt;(A8taxstdlife+$E575),(('PTRM input'!$I$150+'PTRM input'!$I$116)*$I$7)-SUM($I575:AI575),(('PTRM input'!$I$150+'PTRM input'!$I$116)*$I$7)/A8taxstdlife))</f>
        <v>0</v>
      </c>
      <c r="AK575" s="590">
        <f>IF(A8taxstdlife="n/a","n/a",IF(AK$3&gt;(A8taxstdlife+$E575),(('PTRM input'!$I$150+'PTRM input'!$I$116)*$I$7)-SUM($I575:AJ575),(('PTRM input'!$I$150+'PTRM input'!$I$116)*$I$7)/A8taxstdlife))</f>
        <v>0</v>
      </c>
      <c r="AL575" s="590">
        <f>IF(A8taxstdlife="n/a","n/a",IF(AL$3&gt;(A8taxstdlife+$E575),(('PTRM input'!$I$150+'PTRM input'!$I$116)*$I$7)-SUM($I575:AK575),(('PTRM input'!$I$150+'PTRM input'!$I$116)*$I$7)/A8taxstdlife))</f>
        <v>0</v>
      </c>
      <c r="AM575" s="590">
        <f>IF(A8taxstdlife="n/a","n/a",IF(AM$3&gt;(A8taxstdlife+$E575),(('PTRM input'!$I$150+'PTRM input'!$I$116)*$I$7)-SUM($I575:AL575),(('PTRM input'!$I$150+'PTRM input'!$I$116)*$I$7)/A8taxstdlife))</f>
        <v>0</v>
      </c>
      <c r="AN575" s="590">
        <f>IF(A8taxstdlife="n/a","n/a",IF(AN$3&gt;(A8taxstdlife+$E575),(('PTRM input'!$I$150+'PTRM input'!$I$116)*$I$7)-SUM($I575:AM575),(('PTRM input'!$I$150+'PTRM input'!$I$116)*$I$7)/A8taxstdlife))</f>
        <v>0</v>
      </c>
      <c r="AO575" s="590">
        <f>IF(A8taxstdlife="n/a","n/a",IF(AO$3&gt;(A8taxstdlife+$E575),(('PTRM input'!$I$150+'PTRM input'!$I$116)*$I$7)-SUM($I575:AN575),(('PTRM input'!$I$150+'PTRM input'!$I$116)*$I$7)/A8taxstdlife))</f>
        <v>0</v>
      </c>
      <c r="AP575" s="590">
        <f>IF(A8taxstdlife="n/a","n/a",IF(AP$3&gt;(A8taxstdlife+$E575),(('PTRM input'!$I$150+'PTRM input'!$I$116)*$I$7)-SUM($I575:AO575),(('PTRM input'!$I$150+'PTRM input'!$I$116)*$I$7)/A8taxstdlife))</f>
        <v>0</v>
      </c>
      <c r="AQ575" s="590">
        <f>IF(A8taxstdlife="n/a","n/a",IF(AQ$3&gt;(A8taxstdlife+$E575),(('PTRM input'!$I$150+'PTRM input'!$I$116)*$I$7)-SUM($I575:AP575),(('PTRM input'!$I$150+'PTRM input'!$I$116)*$I$7)/A8taxstdlife))</f>
        <v>0</v>
      </c>
      <c r="AR575" s="590">
        <f>IF(A8taxstdlife="n/a","n/a",IF(AR$3&gt;(A8taxstdlife+$E575),(('PTRM input'!$I$150+'PTRM input'!$I$116)*$I$7)-SUM($I575:AQ575),(('PTRM input'!$I$150+'PTRM input'!$I$116)*$I$7)/A8taxstdlife))</f>
        <v>0</v>
      </c>
      <c r="AS575" s="590">
        <f>IF(A8taxstdlife="n/a","n/a",IF(AS$3&gt;(A8taxstdlife+$E575),(('PTRM input'!$I$150+'PTRM input'!$I$116)*$I$7)-SUM($I575:AR575),(('PTRM input'!$I$150+'PTRM input'!$I$116)*$I$7)/A8taxstdlife))</f>
        <v>0</v>
      </c>
      <c r="AT575" s="590">
        <f>IF(A8taxstdlife="n/a","n/a",IF(AT$3&gt;(A8taxstdlife+$E575),(('PTRM input'!$I$150+'PTRM input'!$I$116)*$I$7)-SUM($I575:AS575),(('PTRM input'!$I$150+'PTRM input'!$I$116)*$I$7)/A8taxstdlife))</f>
        <v>0</v>
      </c>
      <c r="AU575" s="590">
        <f>IF(A8taxstdlife="n/a","n/a",IF(AU$3&gt;(A8taxstdlife+$E575),(('PTRM input'!$I$150+'PTRM input'!$I$116)*$I$7)-SUM($I575:AT575),(('PTRM input'!$I$150+'PTRM input'!$I$116)*$I$7)/A8taxstdlife))</f>
        <v>0</v>
      </c>
      <c r="AV575" s="590">
        <f>IF(A8taxstdlife="n/a","n/a",IF(AV$3&gt;(A8taxstdlife+$E575),(('PTRM input'!$I$150+'PTRM input'!$I$116)*$I$7)-SUM($I575:AU575),(('PTRM input'!$I$150+'PTRM input'!$I$116)*$I$7)/A8taxstdlife))</f>
        <v>0</v>
      </c>
      <c r="AW575" s="590">
        <f>IF(A8taxstdlife="n/a","n/a",IF(AW$3&gt;(A8taxstdlife+$E575),(('PTRM input'!$I$150+'PTRM input'!$I$116)*$I$7)-SUM($I575:AV575),(('PTRM input'!$I$150+'PTRM input'!$I$116)*$I$7)/A8taxstdlife))</f>
        <v>0</v>
      </c>
      <c r="AX575" s="590">
        <f>IF(A8taxstdlife="n/a","n/a",IF(AX$3&gt;(A8taxstdlife+$E575),(('PTRM input'!$I$150+'PTRM input'!$I$116)*$I$7)-SUM($I575:AW575),(('PTRM input'!$I$150+'PTRM input'!$I$116)*$I$7)/A8taxstdlife))</f>
        <v>0</v>
      </c>
      <c r="AY575" s="590">
        <f>IF(A8taxstdlife="n/a","n/a",IF(AY$3&gt;(A8taxstdlife+$E575),(('PTRM input'!$I$150+'PTRM input'!$I$116)*$I$7)-SUM($I575:AX575),(('PTRM input'!$I$150+'PTRM input'!$I$116)*$I$7)/A8taxstdlife))</f>
        <v>0</v>
      </c>
      <c r="AZ575" s="590">
        <f>IF(A8taxstdlife="n/a","n/a",IF(AZ$3&gt;(A8taxstdlife+$E575),(('PTRM input'!$I$150+'PTRM input'!$I$116)*$I$7)-SUM($I575:AY575),(('PTRM input'!$I$150+'PTRM input'!$I$116)*$I$7)/A8taxstdlife))</f>
        <v>0</v>
      </c>
      <c r="BA575" s="590">
        <f>IF(A8taxstdlife="n/a","n/a",IF(BA$3&gt;(A8taxstdlife+$E575),(('PTRM input'!$I$150+'PTRM input'!$I$116)*$I$7)-SUM($I575:AZ575),(('PTRM input'!$I$150+'PTRM input'!$I$116)*$I$7)/A8taxstdlife))</f>
        <v>0</v>
      </c>
      <c r="BB575" s="590">
        <f>IF(A8taxstdlife="n/a","n/a",IF(BB$3&gt;(A8taxstdlife+$E575),(('PTRM input'!$I$150+'PTRM input'!$I$116)*$I$7)-SUM($I575:BA575),(('PTRM input'!$I$150+'PTRM input'!$I$116)*$I$7)/A8taxstdlife))</f>
        <v>0</v>
      </c>
      <c r="BC575" s="590">
        <f>IF(A8taxstdlife="n/a","n/a",IF(BC$3&gt;(A8taxstdlife+$E575),(('PTRM input'!$I$150+'PTRM input'!$I$116)*$I$7)-SUM($I575:BB575),(('PTRM input'!$I$150+'PTRM input'!$I$116)*$I$7)/A8taxstdlife))</f>
        <v>0</v>
      </c>
      <c r="BD575" s="590">
        <f>IF(A8taxstdlife="n/a","n/a",IF(BD$3&gt;(A8taxstdlife+$E575),(('PTRM input'!$I$150+'PTRM input'!$I$116)*$I$7)-SUM($I575:BC575),(('PTRM input'!$I$150+'PTRM input'!$I$116)*$I$7)/A8taxstdlife))</f>
        <v>0</v>
      </c>
      <c r="BE575" s="590">
        <f>IF(A8taxstdlife="n/a","n/a",IF(BE$3&gt;(A8taxstdlife+$E575),(('PTRM input'!$I$150+'PTRM input'!$I$116)*$I$7)-SUM($I575:BD575),(('PTRM input'!$I$150+'PTRM input'!$I$116)*$I$7)/A8taxstdlife))</f>
        <v>0</v>
      </c>
      <c r="BF575" s="590">
        <f>IF(A8taxstdlife="n/a","n/a",IF(BF$3&gt;(A8taxstdlife+$E575),(('PTRM input'!$I$150+'PTRM input'!$I$116)*$I$7)-SUM($I575:BE575),(('PTRM input'!$I$150+'PTRM input'!$I$116)*$I$7)/A8taxstdlife))</f>
        <v>0</v>
      </c>
      <c r="BG575" s="590">
        <f>IF(A8taxstdlife="n/a","n/a",IF(BG$3&gt;(A8taxstdlife+$E575),(('PTRM input'!$I$150+'PTRM input'!$I$116)*$I$7)-SUM($I575:BF575),(('PTRM input'!$I$150+'PTRM input'!$I$116)*$I$7)/A8taxstdlife))</f>
        <v>0</v>
      </c>
      <c r="BH575" s="590">
        <f>IF(A8taxstdlife="n/a","n/a",IF(BH$3&gt;(A8taxstdlife+$E575),(('PTRM input'!$I$150+'PTRM input'!$I$116)*$I$7)-SUM($I575:BG575),(('PTRM input'!$I$150+'PTRM input'!$I$116)*$I$7)/A8taxstdlife))</f>
        <v>0</v>
      </c>
      <c r="BI575" s="590">
        <f>IF(A8taxstdlife="n/a","n/a",IF(BI$3&gt;(A8taxstdlife+$E575),(('PTRM input'!$I$150+'PTRM input'!$I$116)*$I$7)-SUM($I575:BH575),(('PTRM input'!$I$150+'PTRM input'!$I$116)*$I$7)/A8taxstdlife))</f>
        <v>0</v>
      </c>
      <c r="BJ575" s="240"/>
      <c r="BK575" s="240"/>
      <c r="BL575" s="240"/>
      <c r="BM575" s="240"/>
    </row>
    <row r="576" spans="1:65" s="4" customFormat="1" hidden="1" outlineLevel="2">
      <c r="A576" s="240"/>
      <c r="B576" s="240"/>
      <c r="C576" s="595"/>
      <c r="D576" s="1618"/>
      <c r="E576" s="169">
        <v>4</v>
      </c>
      <c r="F576" s="35"/>
      <c r="G576" s="184"/>
      <c r="H576" s="186"/>
      <c r="I576" s="186"/>
      <c r="J576" s="185"/>
      <c r="K576" s="107">
        <f>IF(A8taxstdlife="n/a","n/a",IF(K$3&gt;(A8taxstdlife+$E576),(('PTRM input'!$J$150+'PTRM input'!$J$116)*$J$7)-SUM($J576:J576),(('PTRM input'!$J$150+'PTRM input'!$J$116)*$J$7)/A8taxstdlife))</f>
        <v>0</v>
      </c>
      <c r="L576" s="107">
        <f>IF(A8taxstdlife="n/a","n/a",IF(L$3&gt;(A8taxstdlife+$E576),(('PTRM input'!$J$150+'PTRM input'!$J$116)*$J$7)-SUM($J576:K576),(('PTRM input'!$J$150+'PTRM input'!$J$116)*$J$7)/A8taxstdlife))</f>
        <v>0</v>
      </c>
      <c r="M576" s="107">
        <f>IF(A8taxstdlife="n/a","n/a",IF(M$3&gt;(A8taxstdlife+$E576),(('PTRM input'!$J$150+'PTRM input'!$J$116)*$J$7)-SUM($J576:L576),(('PTRM input'!$J$150+'PTRM input'!$J$116)*$J$7)/A8taxstdlife))</f>
        <v>0</v>
      </c>
      <c r="N576" s="107">
        <f>IF(A8taxstdlife="n/a","n/a",IF(N$3&gt;(A8taxstdlife+$E576),(('PTRM input'!$J$150+'PTRM input'!$J$116)*$J$7)-SUM($J576:M576),(('PTRM input'!$J$150+'PTRM input'!$J$116)*$J$7)/A8taxstdlife))</f>
        <v>0</v>
      </c>
      <c r="O576" s="107">
        <f>IF(A8taxstdlife="n/a","n/a",IF(O$3&gt;(A8taxstdlife+$E576),(('PTRM input'!$J$150+'PTRM input'!$J$116)*$J$7)-SUM($J576:N576),(('PTRM input'!$J$150+'PTRM input'!$J$116)*$J$7)/A8taxstdlife))</f>
        <v>0</v>
      </c>
      <c r="P576" s="107">
        <f>IF(A8taxstdlife="n/a","n/a",IF(P$3&gt;(A8taxstdlife+$E576),(('PTRM input'!$J$150+'PTRM input'!$J$116)*$J$7)-SUM($J576:O576),(('PTRM input'!$J$150+'PTRM input'!$J$116)*$J$7)/A8taxstdlife))</f>
        <v>0</v>
      </c>
      <c r="Q576" s="590">
        <f>IF(A8taxstdlife="n/a","n/a",IF(Q$3&gt;(A8taxstdlife+$E576),(('PTRM input'!$J$150+'PTRM input'!$J$116)*$J$7)-SUM($J576:P576),(('PTRM input'!$J$150+'PTRM input'!$J$116)*$J$7)/A8taxstdlife))</f>
        <v>0</v>
      </c>
      <c r="R576" s="590">
        <f>IF(A8taxstdlife="n/a","n/a",IF(R$3&gt;(A8taxstdlife+$E576),(('PTRM input'!$J$150+'PTRM input'!$J$116)*$J$7)-SUM($J576:Q576),(('PTRM input'!$J$150+'PTRM input'!$J$116)*$J$7)/A8taxstdlife))</f>
        <v>0</v>
      </c>
      <c r="S576" s="590">
        <f>IF(A8taxstdlife="n/a","n/a",IF(S$3&gt;(A8taxstdlife+$E576),(('PTRM input'!$J$150+'PTRM input'!$J$116)*$J$7)-SUM($J576:R576),(('PTRM input'!$J$150+'PTRM input'!$J$116)*$J$7)/A8taxstdlife))</f>
        <v>0</v>
      </c>
      <c r="T576" s="590">
        <f>IF(A8taxstdlife="n/a","n/a",IF(T$3&gt;(A8taxstdlife+$E576),(('PTRM input'!$J$150+'PTRM input'!$J$116)*$J$7)-SUM($J576:S576),(('PTRM input'!$J$150+'PTRM input'!$J$116)*$J$7)/A8taxstdlife))</f>
        <v>0</v>
      </c>
      <c r="U576" s="590">
        <f>IF(A8taxstdlife="n/a","n/a",IF(U$3&gt;(A8taxstdlife+$E576),(('PTRM input'!$J$150+'PTRM input'!$J$116)*$J$7)-SUM($J576:T576),(('PTRM input'!$J$150+'PTRM input'!$J$116)*$J$7)/A8taxstdlife))</f>
        <v>0</v>
      </c>
      <c r="V576" s="590">
        <f>IF(A8taxstdlife="n/a","n/a",IF(V$3&gt;(A8taxstdlife+$E576),(('PTRM input'!$J$150+'PTRM input'!$J$116)*$J$7)-SUM($J576:U576),(('PTRM input'!$J$150+'PTRM input'!$J$116)*$J$7)/A8taxstdlife))</f>
        <v>0</v>
      </c>
      <c r="W576" s="590">
        <f>IF(A8taxstdlife="n/a","n/a",IF(W$3&gt;(A8taxstdlife+$E576),(('PTRM input'!$J$150+'PTRM input'!$J$116)*$J$7)-SUM($J576:V576),(('PTRM input'!$J$150+'PTRM input'!$J$116)*$J$7)/A8taxstdlife))</f>
        <v>0</v>
      </c>
      <c r="X576" s="590">
        <f>IF(A8taxstdlife="n/a","n/a",IF(X$3&gt;(A8taxstdlife+$E576),(('PTRM input'!$J$150+'PTRM input'!$J$116)*$J$7)-SUM($J576:W576),(('PTRM input'!$J$150+'PTRM input'!$J$116)*$J$7)/A8taxstdlife))</f>
        <v>0</v>
      </c>
      <c r="Y576" s="590">
        <f>IF(A8taxstdlife="n/a","n/a",IF(Y$3&gt;(A8taxstdlife+$E576),(('PTRM input'!$J$150+'PTRM input'!$J$116)*$J$7)-SUM($J576:X576),(('PTRM input'!$J$150+'PTRM input'!$J$116)*$J$7)/A8taxstdlife))</f>
        <v>0</v>
      </c>
      <c r="Z576" s="590">
        <f>IF(A8taxstdlife="n/a","n/a",IF(Z$3&gt;(A8taxstdlife+$E576),(('PTRM input'!$J$150+'PTRM input'!$J$116)*$J$7)-SUM($J576:Y576),(('PTRM input'!$J$150+'PTRM input'!$J$116)*$J$7)/A8taxstdlife))</f>
        <v>0</v>
      </c>
      <c r="AA576" s="590">
        <f>IF(A8taxstdlife="n/a","n/a",IF(AA$3&gt;(A8taxstdlife+$E576),(('PTRM input'!$J$150+'PTRM input'!$J$116)*$J$7)-SUM($J576:Z576),(('PTRM input'!$J$150+'PTRM input'!$J$116)*$J$7)/A8taxstdlife))</f>
        <v>0</v>
      </c>
      <c r="AB576" s="590">
        <f>IF(A8taxstdlife="n/a","n/a",IF(AB$3&gt;(A8taxstdlife+$E576),(('PTRM input'!$J$150+'PTRM input'!$J$116)*$J$7)-SUM($J576:AA576),(('PTRM input'!$J$150+'PTRM input'!$J$116)*$J$7)/A8taxstdlife))</f>
        <v>0</v>
      </c>
      <c r="AC576" s="590">
        <f>IF(A8taxstdlife="n/a","n/a",IF(AC$3&gt;(A8taxstdlife+$E576),(('PTRM input'!$J$150+'PTRM input'!$J$116)*$J$7)-SUM($J576:AB576),(('PTRM input'!$J$150+'PTRM input'!$J$116)*$J$7)/A8taxstdlife))</f>
        <v>0</v>
      </c>
      <c r="AD576" s="590">
        <f>IF(A8taxstdlife="n/a","n/a",IF(AD$3&gt;(A8taxstdlife+$E576),(('PTRM input'!$J$150+'PTRM input'!$J$116)*$J$7)-SUM($J576:AC576),(('PTRM input'!$J$150+'PTRM input'!$J$116)*$J$7)/A8taxstdlife))</f>
        <v>0</v>
      </c>
      <c r="AE576" s="590">
        <f>IF(A8taxstdlife="n/a","n/a",IF(AE$3&gt;(A8taxstdlife+$E576),(('PTRM input'!$J$150+'PTRM input'!$J$116)*$J$7)-SUM($J576:AD576),(('PTRM input'!$J$150+'PTRM input'!$J$116)*$J$7)/A8taxstdlife))</f>
        <v>0</v>
      </c>
      <c r="AF576" s="590">
        <f>IF(A8taxstdlife="n/a","n/a",IF(AF$3&gt;(A8taxstdlife+$E576),(('PTRM input'!$J$150+'PTRM input'!$J$116)*$J$7)-SUM($J576:AE576),(('PTRM input'!$J$150+'PTRM input'!$J$116)*$J$7)/A8taxstdlife))</f>
        <v>0</v>
      </c>
      <c r="AG576" s="590">
        <f>IF(A8taxstdlife="n/a","n/a",IF(AG$3&gt;(A8taxstdlife+$E576),(('PTRM input'!$J$150+'PTRM input'!$J$116)*$J$7)-SUM($J576:AF576),(('PTRM input'!$J$150+'PTRM input'!$J$116)*$J$7)/A8taxstdlife))</f>
        <v>0</v>
      </c>
      <c r="AH576" s="590">
        <f>IF(A8taxstdlife="n/a","n/a",IF(AH$3&gt;(A8taxstdlife+$E576),(('PTRM input'!$J$150+'PTRM input'!$J$116)*$J$7)-SUM($J576:AG576),(('PTRM input'!$J$150+'PTRM input'!$J$116)*$J$7)/A8taxstdlife))</f>
        <v>0</v>
      </c>
      <c r="AI576" s="590">
        <f>IF(A8taxstdlife="n/a","n/a",IF(AI$3&gt;(A8taxstdlife+$E576),(('PTRM input'!$J$150+'PTRM input'!$J$116)*$J$7)-SUM($J576:AH576),(('PTRM input'!$J$150+'PTRM input'!$J$116)*$J$7)/A8taxstdlife))</f>
        <v>0</v>
      </c>
      <c r="AJ576" s="590">
        <f>IF(A8taxstdlife="n/a","n/a",IF(AJ$3&gt;(A8taxstdlife+$E576),(('PTRM input'!$J$150+'PTRM input'!$J$116)*$J$7)-SUM($J576:AI576),(('PTRM input'!$J$150+'PTRM input'!$J$116)*$J$7)/A8taxstdlife))</f>
        <v>0</v>
      </c>
      <c r="AK576" s="590">
        <f>IF(A8taxstdlife="n/a","n/a",IF(AK$3&gt;(A8taxstdlife+$E576),(('PTRM input'!$J$150+'PTRM input'!$J$116)*$J$7)-SUM($J576:AJ576),(('PTRM input'!$J$150+'PTRM input'!$J$116)*$J$7)/A8taxstdlife))</f>
        <v>0</v>
      </c>
      <c r="AL576" s="590">
        <f>IF(A8taxstdlife="n/a","n/a",IF(AL$3&gt;(A8taxstdlife+$E576),(('PTRM input'!$J$150+'PTRM input'!$J$116)*$J$7)-SUM($J576:AK576),(('PTRM input'!$J$150+'PTRM input'!$J$116)*$J$7)/A8taxstdlife))</f>
        <v>0</v>
      </c>
      <c r="AM576" s="590">
        <f>IF(A8taxstdlife="n/a","n/a",IF(AM$3&gt;(A8taxstdlife+$E576),(('PTRM input'!$J$150+'PTRM input'!$J$116)*$J$7)-SUM($J576:AL576),(('PTRM input'!$J$150+'PTRM input'!$J$116)*$J$7)/A8taxstdlife))</f>
        <v>0</v>
      </c>
      <c r="AN576" s="590">
        <f>IF(A8taxstdlife="n/a","n/a",IF(AN$3&gt;(A8taxstdlife+$E576),(('PTRM input'!$J$150+'PTRM input'!$J$116)*$J$7)-SUM($J576:AM576),(('PTRM input'!$J$150+'PTRM input'!$J$116)*$J$7)/A8taxstdlife))</f>
        <v>0</v>
      </c>
      <c r="AO576" s="590">
        <f>IF(A8taxstdlife="n/a","n/a",IF(AO$3&gt;(A8taxstdlife+$E576),(('PTRM input'!$J$150+'PTRM input'!$J$116)*$J$7)-SUM($J576:AN576),(('PTRM input'!$J$150+'PTRM input'!$J$116)*$J$7)/A8taxstdlife))</f>
        <v>0</v>
      </c>
      <c r="AP576" s="590">
        <f>IF(A8taxstdlife="n/a","n/a",IF(AP$3&gt;(A8taxstdlife+$E576),(('PTRM input'!$J$150+'PTRM input'!$J$116)*$J$7)-SUM($J576:AO576),(('PTRM input'!$J$150+'PTRM input'!$J$116)*$J$7)/A8taxstdlife))</f>
        <v>0</v>
      </c>
      <c r="AQ576" s="590">
        <f>IF(A8taxstdlife="n/a","n/a",IF(AQ$3&gt;(A8taxstdlife+$E576),(('PTRM input'!$J$150+'PTRM input'!$J$116)*$J$7)-SUM($J576:AP576),(('PTRM input'!$J$150+'PTRM input'!$J$116)*$J$7)/A8taxstdlife))</f>
        <v>0</v>
      </c>
      <c r="AR576" s="590">
        <f>IF(A8taxstdlife="n/a","n/a",IF(AR$3&gt;(A8taxstdlife+$E576),(('PTRM input'!$J$150+'PTRM input'!$J$116)*$J$7)-SUM($J576:AQ576),(('PTRM input'!$J$150+'PTRM input'!$J$116)*$J$7)/A8taxstdlife))</f>
        <v>0</v>
      </c>
      <c r="AS576" s="590">
        <f>IF(A8taxstdlife="n/a","n/a",IF(AS$3&gt;(A8taxstdlife+$E576),(('PTRM input'!$J$150+'PTRM input'!$J$116)*$J$7)-SUM($J576:AR576),(('PTRM input'!$J$150+'PTRM input'!$J$116)*$J$7)/A8taxstdlife))</f>
        <v>0</v>
      </c>
      <c r="AT576" s="590">
        <f>IF(A8taxstdlife="n/a","n/a",IF(AT$3&gt;(A8taxstdlife+$E576),(('PTRM input'!$J$150+'PTRM input'!$J$116)*$J$7)-SUM($J576:AS576),(('PTRM input'!$J$150+'PTRM input'!$J$116)*$J$7)/A8taxstdlife))</f>
        <v>0</v>
      </c>
      <c r="AU576" s="590">
        <f>IF(A8taxstdlife="n/a","n/a",IF(AU$3&gt;(A8taxstdlife+$E576),(('PTRM input'!$J$150+'PTRM input'!$J$116)*$J$7)-SUM($J576:AT576),(('PTRM input'!$J$150+'PTRM input'!$J$116)*$J$7)/A8taxstdlife))</f>
        <v>0</v>
      </c>
      <c r="AV576" s="590">
        <f>IF(A8taxstdlife="n/a","n/a",IF(AV$3&gt;(A8taxstdlife+$E576),(('PTRM input'!$J$150+'PTRM input'!$J$116)*$J$7)-SUM($J576:AU576),(('PTRM input'!$J$150+'PTRM input'!$J$116)*$J$7)/A8taxstdlife))</f>
        <v>0</v>
      </c>
      <c r="AW576" s="590">
        <f>IF(A8taxstdlife="n/a","n/a",IF(AW$3&gt;(A8taxstdlife+$E576),(('PTRM input'!$J$150+'PTRM input'!$J$116)*$J$7)-SUM($J576:AV576),(('PTRM input'!$J$150+'PTRM input'!$J$116)*$J$7)/A8taxstdlife))</f>
        <v>0</v>
      </c>
      <c r="AX576" s="590">
        <f>IF(A8taxstdlife="n/a","n/a",IF(AX$3&gt;(A8taxstdlife+$E576),(('PTRM input'!$J$150+'PTRM input'!$J$116)*$J$7)-SUM($J576:AW576),(('PTRM input'!$J$150+'PTRM input'!$J$116)*$J$7)/A8taxstdlife))</f>
        <v>0</v>
      </c>
      <c r="AY576" s="590">
        <f>IF(A8taxstdlife="n/a","n/a",IF(AY$3&gt;(A8taxstdlife+$E576),(('PTRM input'!$J$150+'PTRM input'!$J$116)*$J$7)-SUM($J576:AX576),(('PTRM input'!$J$150+'PTRM input'!$J$116)*$J$7)/A8taxstdlife))</f>
        <v>0</v>
      </c>
      <c r="AZ576" s="590">
        <f>IF(A8taxstdlife="n/a","n/a",IF(AZ$3&gt;(A8taxstdlife+$E576),(('PTRM input'!$J$150+'PTRM input'!$J$116)*$J$7)-SUM($J576:AY576),(('PTRM input'!$J$150+'PTRM input'!$J$116)*$J$7)/A8taxstdlife))</f>
        <v>0</v>
      </c>
      <c r="BA576" s="590">
        <f>IF(A8taxstdlife="n/a","n/a",IF(BA$3&gt;(A8taxstdlife+$E576),(('PTRM input'!$J$150+'PTRM input'!$J$116)*$J$7)-SUM($J576:AZ576),(('PTRM input'!$J$150+'PTRM input'!$J$116)*$J$7)/A8taxstdlife))</f>
        <v>0</v>
      </c>
      <c r="BB576" s="590">
        <f>IF(A8taxstdlife="n/a","n/a",IF(BB$3&gt;(A8taxstdlife+$E576),(('PTRM input'!$J$150+'PTRM input'!$J$116)*$J$7)-SUM($J576:BA576),(('PTRM input'!$J$150+'PTRM input'!$J$116)*$J$7)/A8taxstdlife))</f>
        <v>0</v>
      </c>
      <c r="BC576" s="590">
        <f>IF(A8taxstdlife="n/a","n/a",IF(BC$3&gt;(A8taxstdlife+$E576),(('PTRM input'!$J$150+'PTRM input'!$J$116)*$J$7)-SUM($J576:BB576),(('PTRM input'!$J$150+'PTRM input'!$J$116)*$J$7)/A8taxstdlife))</f>
        <v>0</v>
      </c>
      <c r="BD576" s="590">
        <f>IF(A8taxstdlife="n/a","n/a",IF(BD$3&gt;(A8taxstdlife+$E576),(('PTRM input'!$J$150+'PTRM input'!$J$116)*$J$7)-SUM($J576:BC576),(('PTRM input'!$J$150+'PTRM input'!$J$116)*$J$7)/A8taxstdlife))</f>
        <v>0</v>
      </c>
      <c r="BE576" s="590">
        <f>IF(A8taxstdlife="n/a","n/a",IF(BE$3&gt;(A8taxstdlife+$E576),(('PTRM input'!$J$150+'PTRM input'!$J$116)*$J$7)-SUM($J576:BD576),(('PTRM input'!$J$150+'PTRM input'!$J$116)*$J$7)/A8taxstdlife))</f>
        <v>0</v>
      </c>
      <c r="BF576" s="590">
        <f>IF(A8taxstdlife="n/a","n/a",IF(BF$3&gt;(A8taxstdlife+$E576),(('PTRM input'!$J$150+'PTRM input'!$J$116)*$J$7)-SUM($J576:BE576),(('PTRM input'!$J$150+'PTRM input'!$J$116)*$J$7)/A8taxstdlife))</f>
        <v>0</v>
      </c>
      <c r="BG576" s="590">
        <f>IF(A8taxstdlife="n/a","n/a",IF(BG$3&gt;(A8taxstdlife+$E576),(('PTRM input'!$J$150+'PTRM input'!$J$116)*$J$7)-SUM($J576:BF576),(('PTRM input'!$J$150+'PTRM input'!$J$116)*$J$7)/A8taxstdlife))</f>
        <v>0</v>
      </c>
      <c r="BH576" s="590">
        <f>IF(A8taxstdlife="n/a","n/a",IF(BH$3&gt;(A8taxstdlife+$E576),(('PTRM input'!$J$150+'PTRM input'!$J$116)*$J$7)-SUM($J576:BG576),(('PTRM input'!$J$150+'PTRM input'!$J$116)*$J$7)/A8taxstdlife))</f>
        <v>0</v>
      </c>
      <c r="BI576" s="590">
        <f>IF(A8taxstdlife="n/a","n/a",IF(BI$3&gt;(A8taxstdlife+$E576),(('PTRM input'!$J$150+'PTRM input'!$J$116)*$J$7)-SUM($J576:BH576),(('PTRM input'!$J$150+'PTRM input'!$J$116)*$J$7)/A8taxstdlife))</f>
        <v>0</v>
      </c>
      <c r="BJ576" s="240"/>
      <c r="BK576" s="240"/>
      <c r="BL576" s="240"/>
      <c r="BM576" s="240"/>
    </row>
    <row r="577" spans="1:65" s="4" customFormat="1" hidden="1" outlineLevel="2">
      <c r="A577" s="240"/>
      <c r="B577" s="240"/>
      <c r="C577" s="595"/>
      <c r="D577" s="1618"/>
      <c r="E577" s="169">
        <v>5</v>
      </c>
      <c r="F577" s="35"/>
      <c r="G577" s="184"/>
      <c r="H577" s="186"/>
      <c r="I577" s="186"/>
      <c r="J577" s="186"/>
      <c r="K577" s="185"/>
      <c r="L577" s="107">
        <f>IF(A8taxstdlife="n/a","n/a",IF(L$3&gt;(A8taxstdlife+$E577),(('PTRM input'!$K$150+'PTRM input'!$K$116)*$K$7)-SUM($K577:K577),(('PTRM input'!$K$150+'PTRM input'!$K$116)*$K$7)/A8taxstdlife))</f>
        <v>0</v>
      </c>
      <c r="M577" s="107">
        <f>IF(A8taxstdlife="n/a","n/a",IF(M$3&gt;(A8taxstdlife+$E577),(('PTRM input'!$K$150+'PTRM input'!$K$116)*$K$7)-SUM($K577:L577),(('PTRM input'!$K$150+'PTRM input'!$K$116)*$K$7)/A8taxstdlife))</f>
        <v>0</v>
      </c>
      <c r="N577" s="107">
        <f>IF(A8taxstdlife="n/a","n/a",IF(N$3&gt;(A8taxstdlife+$E577),(('PTRM input'!$K$150+'PTRM input'!$K$116)*$K$7)-SUM($K577:M577),(('PTRM input'!$K$150+'PTRM input'!$K$116)*$K$7)/A8taxstdlife))</f>
        <v>0</v>
      </c>
      <c r="O577" s="107">
        <f>IF(A8taxstdlife="n/a","n/a",IF(O$3&gt;(A8taxstdlife+$E577),(('PTRM input'!$K$150+'PTRM input'!$K$116)*$K$7)-SUM($K577:N577),(('PTRM input'!$K$150+'PTRM input'!$K$116)*$K$7)/A8taxstdlife))</f>
        <v>0</v>
      </c>
      <c r="P577" s="107">
        <f>IF(A8taxstdlife="n/a","n/a",IF(P$3&gt;(A8taxstdlife+$E577),(('PTRM input'!$K$150+'PTRM input'!$K$116)*$K$7)-SUM($K577:O577),(('PTRM input'!$K$150+'PTRM input'!$K$116)*$K$7)/A8taxstdlife))</f>
        <v>0</v>
      </c>
      <c r="Q577" s="590">
        <f>IF(A8taxstdlife="n/a","n/a",IF(Q$3&gt;(A8taxstdlife+$E577),(('PTRM input'!$K$150+'PTRM input'!$K$116)*$K$7)-SUM($K577:P577),(('PTRM input'!$K$150+'PTRM input'!$K$116)*$K$7)/A8taxstdlife))</f>
        <v>0</v>
      </c>
      <c r="R577" s="590">
        <f>IF(A8taxstdlife="n/a","n/a",IF(R$3&gt;(A8taxstdlife+$E577),(('PTRM input'!$K$150+'PTRM input'!$K$116)*$K$7)-SUM($K577:Q577),(('PTRM input'!$K$150+'PTRM input'!$K$116)*$K$7)/A8taxstdlife))</f>
        <v>0</v>
      </c>
      <c r="S577" s="590">
        <f>IF(A8taxstdlife="n/a","n/a",IF(S$3&gt;(A8taxstdlife+$E577),(('PTRM input'!$K$150+'PTRM input'!$K$116)*$K$7)-SUM($K577:R577),(('PTRM input'!$K$150+'PTRM input'!$K$116)*$K$7)/A8taxstdlife))</f>
        <v>0</v>
      </c>
      <c r="T577" s="590">
        <f>IF(A8taxstdlife="n/a","n/a",IF(T$3&gt;(A8taxstdlife+$E577),(('PTRM input'!$K$150+'PTRM input'!$K$116)*$K$7)-SUM($K577:S577),(('PTRM input'!$K$150+'PTRM input'!$K$116)*$K$7)/A8taxstdlife))</f>
        <v>0</v>
      </c>
      <c r="U577" s="590">
        <f>IF(A8taxstdlife="n/a","n/a",IF(U$3&gt;(A8taxstdlife+$E577),(('PTRM input'!$K$150+'PTRM input'!$K$116)*$K$7)-SUM($K577:T577),(('PTRM input'!$K$150+'PTRM input'!$K$116)*$K$7)/A8taxstdlife))</f>
        <v>0</v>
      </c>
      <c r="V577" s="590">
        <f>IF(A8taxstdlife="n/a","n/a",IF(V$3&gt;(A8taxstdlife+$E577),(('PTRM input'!$K$150+'PTRM input'!$K$116)*$K$7)-SUM($K577:U577),(('PTRM input'!$K$150+'PTRM input'!$K$116)*$K$7)/A8taxstdlife))</f>
        <v>0</v>
      </c>
      <c r="W577" s="590">
        <f>IF(A8taxstdlife="n/a","n/a",IF(W$3&gt;(A8taxstdlife+$E577),(('PTRM input'!$K$150+'PTRM input'!$K$116)*$K$7)-SUM($K577:V577),(('PTRM input'!$K$150+'PTRM input'!$K$116)*$K$7)/A8taxstdlife))</f>
        <v>0</v>
      </c>
      <c r="X577" s="590">
        <f>IF(A8taxstdlife="n/a","n/a",IF(X$3&gt;(A8taxstdlife+$E577),(('PTRM input'!$K$150+'PTRM input'!$K$116)*$K$7)-SUM($K577:W577),(('PTRM input'!$K$150+'PTRM input'!$K$116)*$K$7)/A8taxstdlife))</f>
        <v>0</v>
      </c>
      <c r="Y577" s="590">
        <f>IF(A8taxstdlife="n/a","n/a",IF(Y$3&gt;(A8taxstdlife+$E577),(('PTRM input'!$K$150+'PTRM input'!$K$116)*$K$7)-SUM($K577:X577),(('PTRM input'!$K$150+'PTRM input'!$K$116)*$K$7)/A8taxstdlife))</f>
        <v>0</v>
      </c>
      <c r="Z577" s="590">
        <f>IF(A8taxstdlife="n/a","n/a",IF(Z$3&gt;(A8taxstdlife+$E577),(('PTRM input'!$K$150+'PTRM input'!$K$116)*$K$7)-SUM($K577:Y577),(('PTRM input'!$K$150+'PTRM input'!$K$116)*$K$7)/A8taxstdlife))</f>
        <v>0</v>
      </c>
      <c r="AA577" s="590">
        <f>IF(A8taxstdlife="n/a","n/a",IF(AA$3&gt;(A8taxstdlife+$E577),(('PTRM input'!$K$150+'PTRM input'!$K$116)*$K$7)-SUM($K577:Z577),(('PTRM input'!$K$150+'PTRM input'!$K$116)*$K$7)/A8taxstdlife))</f>
        <v>0</v>
      </c>
      <c r="AB577" s="590">
        <f>IF(A8taxstdlife="n/a","n/a",IF(AB$3&gt;(A8taxstdlife+$E577),(('PTRM input'!$K$150+'PTRM input'!$K$116)*$K$7)-SUM($K577:AA577),(('PTRM input'!$K$150+'PTRM input'!$K$116)*$K$7)/A8taxstdlife))</f>
        <v>0</v>
      </c>
      <c r="AC577" s="590">
        <f>IF(A8taxstdlife="n/a","n/a",IF(AC$3&gt;(A8taxstdlife+$E577),(('PTRM input'!$K$150+'PTRM input'!$K$116)*$K$7)-SUM($K577:AB577),(('PTRM input'!$K$150+'PTRM input'!$K$116)*$K$7)/A8taxstdlife))</f>
        <v>0</v>
      </c>
      <c r="AD577" s="590">
        <f>IF(A8taxstdlife="n/a","n/a",IF(AD$3&gt;(A8taxstdlife+$E577),(('PTRM input'!$K$150+'PTRM input'!$K$116)*$K$7)-SUM($K577:AC577),(('PTRM input'!$K$150+'PTRM input'!$K$116)*$K$7)/A8taxstdlife))</f>
        <v>0</v>
      </c>
      <c r="AE577" s="590">
        <f>IF(A8taxstdlife="n/a","n/a",IF(AE$3&gt;(A8taxstdlife+$E577),(('PTRM input'!$K$150+'PTRM input'!$K$116)*$K$7)-SUM($K577:AD577),(('PTRM input'!$K$150+'PTRM input'!$K$116)*$K$7)/A8taxstdlife))</f>
        <v>0</v>
      </c>
      <c r="AF577" s="590">
        <f>IF(A8taxstdlife="n/a","n/a",IF(AF$3&gt;(A8taxstdlife+$E577),(('PTRM input'!$K$150+'PTRM input'!$K$116)*$K$7)-SUM($K577:AE577),(('PTRM input'!$K$150+'PTRM input'!$K$116)*$K$7)/A8taxstdlife))</f>
        <v>0</v>
      </c>
      <c r="AG577" s="590">
        <f>IF(A8taxstdlife="n/a","n/a",IF(AG$3&gt;(A8taxstdlife+$E577),(('PTRM input'!$K$150+'PTRM input'!$K$116)*$K$7)-SUM($K577:AF577),(('PTRM input'!$K$150+'PTRM input'!$K$116)*$K$7)/A8taxstdlife))</f>
        <v>0</v>
      </c>
      <c r="AH577" s="590">
        <f>IF(A8taxstdlife="n/a","n/a",IF(AH$3&gt;(A8taxstdlife+$E577),(('PTRM input'!$K$150+'PTRM input'!$K$116)*$K$7)-SUM($K577:AG577),(('PTRM input'!$K$150+'PTRM input'!$K$116)*$K$7)/A8taxstdlife))</f>
        <v>0</v>
      </c>
      <c r="AI577" s="590">
        <f>IF(A8taxstdlife="n/a","n/a",IF(AI$3&gt;(A8taxstdlife+$E577),(('PTRM input'!$K$150+'PTRM input'!$K$116)*$K$7)-SUM($K577:AH577),(('PTRM input'!$K$150+'PTRM input'!$K$116)*$K$7)/A8taxstdlife))</f>
        <v>0</v>
      </c>
      <c r="AJ577" s="590">
        <f>IF(A8taxstdlife="n/a","n/a",IF(AJ$3&gt;(A8taxstdlife+$E577),(('PTRM input'!$K$150+'PTRM input'!$K$116)*$K$7)-SUM($K577:AI577),(('PTRM input'!$K$150+'PTRM input'!$K$116)*$K$7)/A8taxstdlife))</f>
        <v>0</v>
      </c>
      <c r="AK577" s="590">
        <f>IF(A8taxstdlife="n/a","n/a",IF(AK$3&gt;(A8taxstdlife+$E577),(('PTRM input'!$K$150+'PTRM input'!$K$116)*$K$7)-SUM($K577:AJ577),(('PTRM input'!$K$150+'PTRM input'!$K$116)*$K$7)/A8taxstdlife))</f>
        <v>0</v>
      </c>
      <c r="AL577" s="590">
        <f>IF(A8taxstdlife="n/a","n/a",IF(AL$3&gt;(A8taxstdlife+$E577),(('PTRM input'!$K$150+'PTRM input'!$K$116)*$K$7)-SUM($K577:AK577),(('PTRM input'!$K$150+'PTRM input'!$K$116)*$K$7)/A8taxstdlife))</f>
        <v>0</v>
      </c>
      <c r="AM577" s="590">
        <f>IF(A8taxstdlife="n/a","n/a",IF(AM$3&gt;(A8taxstdlife+$E577),(('PTRM input'!$K$150+'PTRM input'!$K$116)*$K$7)-SUM($K577:AL577),(('PTRM input'!$K$150+'PTRM input'!$K$116)*$K$7)/A8taxstdlife))</f>
        <v>0</v>
      </c>
      <c r="AN577" s="590">
        <f>IF(A8taxstdlife="n/a","n/a",IF(AN$3&gt;(A8taxstdlife+$E577),(('PTRM input'!$K$150+'PTRM input'!$K$116)*$K$7)-SUM($K577:AM577),(('PTRM input'!$K$150+'PTRM input'!$K$116)*$K$7)/A8taxstdlife))</f>
        <v>0</v>
      </c>
      <c r="AO577" s="590">
        <f>IF(A8taxstdlife="n/a","n/a",IF(AO$3&gt;(A8taxstdlife+$E577),(('PTRM input'!$K$150+'PTRM input'!$K$116)*$K$7)-SUM($K577:AN577),(('PTRM input'!$K$150+'PTRM input'!$K$116)*$K$7)/A8taxstdlife))</f>
        <v>0</v>
      </c>
      <c r="AP577" s="590">
        <f>IF(A8taxstdlife="n/a","n/a",IF(AP$3&gt;(A8taxstdlife+$E577),(('PTRM input'!$K$150+'PTRM input'!$K$116)*$K$7)-SUM($K577:AO577),(('PTRM input'!$K$150+'PTRM input'!$K$116)*$K$7)/A8taxstdlife))</f>
        <v>0</v>
      </c>
      <c r="AQ577" s="590">
        <f>IF(A8taxstdlife="n/a","n/a",IF(AQ$3&gt;(A8taxstdlife+$E577),(('PTRM input'!$K$150+'PTRM input'!$K$116)*$K$7)-SUM($K577:AP577),(('PTRM input'!$K$150+'PTRM input'!$K$116)*$K$7)/A8taxstdlife))</f>
        <v>0</v>
      </c>
      <c r="AR577" s="590">
        <f>IF(A8taxstdlife="n/a","n/a",IF(AR$3&gt;(A8taxstdlife+$E577),(('PTRM input'!$K$150+'PTRM input'!$K$116)*$K$7)-SUM($K577:AQ577),(('PTRM input'!$K$150+'PTRM input'!$K$116)*$K$7)/A8taxstdlife))</f>
        <v>0</v>
      </c>
      <c r="AS577" s="590">
        <f>IF(A8taxstdlife="n/a","n/a",IF(AS$3&gt;(A8taxstdlife+$E577),(('PTRM input'!$K$150+'PTRM input'!$K$116)*$K$7)-SUM($K577:AR577),(('PTRM input'!$K$150+'PTRM input'!$K$116)*$K$7)/A8taxstdlife))</f>
        <v>0</v>
      </c>
      <c r="AT577" s="590">
        <f>IF(A8taxstdlife="n/a","n/a",IF(AT$3&gt;(A8taxstdlife+$E577),(('PTRM input'!$K$150+'PTRM input'!$K$116)*$K$7)-SUM($K577:AS577),(('PTRM input'!$K$150+'PTRM input'!$K$116)*$K$7)/A8taxstdlife))</f>
        <v>0</v>
      </c>
      <c r="AU577" s="590">
        <f>IF(A8taxstdlife="n/a","n/a",IF(AU$3&gt;(A8taxstdlife+$E577),(('PTRM input'!$K$150+'PTRM input'!$K$116)*$K$7)-SUM($K577:AT577),(('PTRM input'!$K$150+'PTRM input'!$K$116)*$K$7)/A8taxstdlife))</f>
        <v>0</v>
      </c>
      <c r="AV577" s="590">
        <f>IF(A8taxstdlife="n/a","n/a",IF(AV$3&gt;(A8taxstdlife+$E577),(('PTRM input'!$K$150+'PTRM input'!$K$116)*$K$7)-SUM($K577:AU577),(('PTRM input'!$K$150+'PTRM input'!$K$116)*$K$7)/A8taxstdlife))</f>
        <v>0</v>
      </c>
      <c r="AW577" s="590">
        <f>IF(A8taxstdlife="n/a","n/a",IF(AW$3&gt;(A8taxstdlife+$E577),(('PTRM input'!$K$150+'PTRM input'!$K$116)*$K$7)-SUM($K577:AV577),(('PTRM input'!$K$150+'PTRM input'!$K$116)*$K$7)/A8taxstdlife))</f>
        <v>0</v>
      </c>
      <c r="AX577" s="590">
        <f>IF(A8taxstdlife="n/a","n/a",IF(AX$3&gt;(A8taxstdlife+$E577),(('PTRM input'!$K$150+'PTRM input'!$K$116)*$K$7)-SUM($K577:AW577),(('PTRM input'!$K$150+'PTRM input'!$K$116)*$K$7)/A8taxstdlife))</f>
        <v>0</v>
      </c>
      <c r="AY577" s="590">
        <f>IF(A8taxstdlife="n/a","n/a",IF(AY$3&gt;(A8taxstdlife+$E577),(('PTRM input'!$K$150+'PTRM input'!$K$116)*$K$7)-SUM($K577:AX577),(('PTRM input'!$K$150+'PTRM input'!$K$116)*$K$7)/A8taxstdlife))</f>
        <v>0</v>
      </c>
      <c r="AZ577" s="590">
        <f>IF(A8taxstdlife="n/a","n/a",IF(AZ$3&gt;(A8taxstdlife+$E577),(('PTRM input'!$K$150+'PTRM input'!$K$116)*$K$7)-SUM($K577:AY577),(('PTRM input'!$K$150+'PTRM input'!$K$116)*$K$7)/A8taxstdlife))</f>
        <v>0</v>
      </c>
      <c r="BA577" s="590">
        <f>IF(A8taxstdlife="n/a","n/a",IF(BA$3&gt;(A8taxstdlife+$E577),(('PTRM input'!$K$150+'PTRM input'!$K$116)*$K$7)-SUM($K577:AZ577),(('PTRM input'!$K$150+'PTRM input'!$K$116)*$K$7)/A8taxstdlife))</f>
        <v>0</v>
      </c>
      <c r="BB577" s="590">
        <f>IF(A8taxstdlife="n/a","n/a",IF(BB$3&gt;(A8taxstdlife+$E577),(('PTRM input'!$K$150+'PTRM input'!$K$116)*$K$7)-SUM($K577:BA577),(('PTRM input'!$K$150+'PTRM input'!$K$116)*$K$7)/A8taxstdlife))</f>
        <v>0</v>
      </c>
      <c r="BC577" s="590">
        <f>IF(A8taxstdlife="n/a","n/a",IF(BC$3&gt;(A8taxstdlife+$E577),(('PTRM input'!$K$150+'PTRM input'!$K$116)*$K$7)-SUM($K577:BB577),(('PTRM input'!$K$150+'PTRM input'!$K$116)*$K$7)/A8taxstdlife))</f>
        <v>0</v>
      </c>
      <c r="BD577" s="590">
        <f>IF(A8taxstdlife="n/a","n/a",IF(BD$3&gt;(A8taxstdlife+$E577),(('PTRM input'!$K$150+'PTRM input'!$K$116)*$K$7)-SUM($K577:BC577),(('PTRM input'!$K$150+'PTRM input'!$K$116)*$K$7)/A8taxstdlife))</f>
        <v>0</v>
      </c>
      <c r="BE577" s="590">
        <f>IF(A8taxstdlife="n/a","n/a",IF(BE$3&gt;(A8taxstdlife+$E577),(('PTRM input'!$K$150+'PTRM input'!$K$116)*$K$7)-SUM($K577:BD577),(('PTRM input'!$K$150+'PTRM input'!$K$116)*$K$7)/A8taxstdlife))</f>
        <v>0</v>
      </c>
      <c r="BF577" s="590">
        <f>IF(A8taxstdlife="n/a","n/a",IF(BF$3&gt;(A8taxstdlife+$E577),(('PTRM input'!$K$150+'PTRM input'!$K$116)*$K$7)-SUM($K577:BE577),(('PTRM input'!$K$150+'PTRM input'!$K$116)*$K$7)/A8taxstdlife))</f>
        <v>0</v>
      </c>
      <c r="BG577" s="590">
        <f>IF(A8taxstdlife="n/a","n/a",IF(BG$3&gt;(A8taxstdlife+$E577),(('PTRM input'!$K$150+'PTRM input'!$K$116)*$K$7)-SUM($K577:BF577),(('PTRM input'!$K$150+'PTRM input'!$K$116)*$K$7)/A8taxstdlife))</f>
        <v>0</v>
      </c>
      <c r="BH577" s="590">
        <f>IF(A8taxstdlife="n/a","n/a",IF(BH$3&gt;(A8taxstdlife+$E577),(('PTRM input'!$K$150+'PTRM input'!$K$116)*$K$7)-SUM($K577:BG577),(('PTRM input'!$K$150+'PTRM input'!$K$116)*$K$7)/A8taxstdlife))</f>
        <v>0</v>
      </c>
      <c r="BI577" s="590">
        <f>IF(A8taxstdlife="n/a","n/a",IF(BI$3&gt;(A8taxstdlife+$E577),(('PTRM input'!$K$150+'PTRM input'!$K$116)*$K$7)-SUM($K577:BH577),(('PTRM input'!$K$150+'PTRM input'!$K$116)*$K$7)/A8taxstdlife))</f>
        <v>0</v>
      </c>
      <c r="BJ577" s="240"/>
      <c r="BK577" s="240"/>
      <c r="BL577" s="240"/>
      <c r="BM577" s="240"/>
    </row>
    <row r="578" spans="1:65" s="4" customFormat="1" hidden="1" outlineLevel="2">
      <c r="A578" s="240"/>
      <c r="B578" s="240"/>
      <c r="C578" s="595"/>
      <c r="D578" s="1618"/>
      <c r="E578" s="169">
        <v>6</v>
      </c>
      <c r="F578" s="35"/>
      <c r="G578" s="184"/>
      <c r="H578" s="186"/>
      <c r="I578" s="186"/>
      <c r="J578" s="186"/>
      <c r="K578" s="186"/>
      <c r="L578" s="185"/>
      <c r="M578" s="107">
        <f>IF(A8taxstdlife="n/a","n/a",IF(M$3&gt;(A8taxstdlife+$E578),(('PTRM input'!$L$150+'PTRM input'!$L$116)*$L$7)-SUM($L578:L578),(('PTRM input'!$L$150+'PTRM input'!$L$116)*$L$7)/A8taxstdlife))</f>
        <v>0</v>
      </c>
      <c r="N578" s="107">
        <f>IF(A8taxstdlife="n/a","n/a",IF(N$3&gt;(A8taxstdlife+$E578),(('PTRM input'!$L$150+'PTRM input'!$L$116)*$L$7)-SUM($L578:M578),(('PTRM input'!$L$150+'PTRM input'!$L$116)*$L$7)/A8taxstdlife))</f>
        <v>0</v>
      </c>
      <c r="O578" s="107">
        <f>IF(A8taxstdlife="n/a","n/a",IF(O$3&gt;(A8taxstdlife+$E578),(('PTRM input'!$L$150+'PTRM input'!$L$116)*$L$7)-SUM($L578:N578),(('PTRM input'!$L$150+'PTRM input'!$L$116)*$L$7)/A8taxstdlife))</f>
        <v>0</v>
      </c>
      <c r="P578" s="107">
        <f>IF(A8taxstdlife="n/a","n/a",IF(P$3&gt;(A8taxstdlife+$E578),(('PTRM input'!$L$150+'PTRM input'!$L$116)*$L$7)-SUM($L578:O578),(('PTRM input'!$L$150+'PTRM input'!$L$116)*$L$7)/A8taxstdlife))</f>
        <v>0</v>
      </c>
      <c r="Q578" s="590">
        <f>IF(A8taxstdlife="n/a","n/a",IF(Q$3&gt;(A8taxstdlife+$E578),(('PTRM input'!$L$150+'PTRM input'!$L$116)*$L$7)-SUM($L578:P578),(('PTRM input'!$L$150+'PTRM input'!$L$116)*$L$7)/A8taxstdlife))</f>
        <v>0</v>
      </c>
      <c r="R578" s="590">
        <f>IF(A8taxstdlife="n/a","n/a",IF(R$3&gt;(A8taxstdlife+$E578),(('PTRM input'!$L$150+'PTRM input'!$L$116)*$L$7)-SUM($L578:Q578),(('PTRM input'!$L$150+'PTRM input'!$L$116)*$L$7)/A8taxstdlife))</f>
        <v>0</v>
      </c>
      <c r="S578" s="590">
        <f>IF(A8taxstdlife="n/a","n/a",IF(S$3&gt;(A8taxstdlife+$E578),(('PTRM input'!$L$150+'PTRM input'!$L$116)*$L$7)-SUM($L578:R578),(('PTRM input'!$L$150+'PTRM input'!$L$116)*$L$7)/A8taxstdlife))</f>
        <v>0</v>
      </c>
      <c r="T578" s="590">
        <f>IF(A8taxstdlife="n/a","n/a",IF(T$3&gt;(A8taxstdlife+$E578),(('PTRM input'!$L$150+'PTRM input'!$L$116)*$L$7)-SUM($L578:S578),(('PTRM input'!$L$150+'PTRM input'!$L$116)*$L$7)/A8taxstdlife))</f>
        <v>0</v>
      </c>
      <c r="U578" s="590">
        <f>IF(A8taxstdlife="n/a","n/a",IF(U$3&gt;(A8taxstdlife+$E578),(('PTRM input'!$L$150+'PTRM input'!$L$116)*$L$7)-SUM($L578:T578),(('PTRM input'!$L$150+'PTRM input'!$L$116)*$L$7)/A8taxstdlife))</f>
        <v>0</v>
      </c>
      <c r="V578" s="590">
        <f>IF(A8taxstdlife="n/a","n/a",IF(V$3&gt;(A8taxstdlife+$E578),(('PTRM input'!$L$150+'PTRM input'!$L$116)*$L$7)-SUM($L578:U578),(('PTRM input'!$L$150+'PTRM input'!$L$116)*$L$7)/A8taxstdlife))</f>
        <v>0</v>
      </c>
      <c r="W578" s="590">
        <f>IF(A8taxstdlife="n/a","n/a",IF(W$3&gt;(A8taxstdlife+$E578),(('PTRM input'!$L$150+'PTRM input'!$L$116)*$L$7)-SUM($L578:V578),(('PTRM input'!$L$150+'PTRM input'!$L$116)*$L$7)/A8taxstdlife))</f>
        <v>0</v>
      </c>
      <c r="X578" s="590">
        <f>IF(A8taxstdlife="n/a","n/a",IF(X$3&gt;(A8taxstdlife+$E578),(('PTRM input'!$L$150+'PTRM input'!$L$116)*$L$7)-SUM($L578:W578),(('PTRM input'!$L$150+'PTRM input'!$L$116)*$L$7)/A8taxstdlife))</f>
        <v>0</v>
      </c>
      <c r="Y578" s="590">
        <f>IF(A8taxstdlife="n/a","n/a",IF(Y$3&gt;(A8taxstdlife+$E578),(('PTRM input'!$L$150+'PTRM input'!$L$116)*$L$7)-SUM($L578:X578),(('PTRM input'!$L$150+'PTRM input'!$L$116)*$L$7)/A8taxstdlife))</f>
        <v>0</v>
      </c>
      <c r="Z578" s="590">
        <f>IF(A8taxstdlife="n/a","n/a",IF(Z$3&gt;(A8taxstdlife+$E578),(('PTRM input'!$L$150+'PTRM input'!$L$116)*$L$7)-SUM($L578:Y578),(('PTRM input'!$L$150+'PTRM input'!$L$116)*$L$7)/A8taxstdlife))</f>
        <v>0</v>
      </c>
      <c r="AA578" s="590">
        <f>IF(A8taxstdlife="n/a","n/a",IF(AA$3&gt;(A8taxstdlife+$E578),(('PTRM input'!$L$150+'PTRM input'!$L$116)*$L$7)-SUM($L578:Z578),(('PTRM input'!$L$150+'PTRM input'!$L$116)*$L$7)/A8taxstdlife))</f>
        <v>0</v>
      </c>
      <c r="AB578" s="590">
        <f>IF(A8taxstdlife="n/a","n/a",IF(AB$3&gt;(A8taxstdlife+$E578),(('PTRM input'!$L$150+'PTRM input'!$L$116)*$L$7)-SUM($L578:AA578),(('PTRM input'!$L$150+'PTRM input'!$L$116)*$L$7)/A8taxstdlife))</f>
        <v>0</v>
      </c>
      <c r="AC578" s="590">
        <f>IF(A8taxstdlife="n/a","n/a",IF(AC$3&gt;(A8taxstdlife+$E578),(('PTRM input'!$L$150+'PTRM input'!$L$116)*$L$7)-SUM($L578:AB578),(('PTRM input'!$L$150+'PTRM input'!$L$116)*$L$7)/A8taxstdlife))</f>
        <v>0</v>
      </c>
      <c r="AD578" s="590">
        <f>IF(A8taxstdlife="n/a","n/a",IF(AD$3&gt;(A8taxstdlife+$E578),(('PTRM input'!$L$150+'PTRM input'!$L$116)*$L$7)-SUM($L578:AC578),(('PTRM input'!$L$150+'PTRM input'!$L$116)*$L$7)/A8taxstdlife))</f>
        <v>0</v>
      </c>
      <c r="AE578" s="590">
        <f>IF(A8taxstdlife="n/a","n/a",IF(AE$3&gt;(A8taxstdlife+$E578),(('PTRM input'!$L$150+'PTRM input'!$L$116)*$L$7)-SUM($L578:AD578),(('PTRM input'!$L$150+'PTRM input'!$L$116)*$L$7)/A8taxstdlife))</f>
        <v>0</v>
      </c>
      <c r="AF578" s="590">
        <f>IF(A8taxstdlife="n/a","n/a",IF(AF$3&gt;(A8taxstdlife+$E578),(('PTRM input'!$L$150+'PTRM input'!$L$116)*$L$7)-SUM($L578:AE578),(('PTRM input'!$L$150+'PTRM input'!$L$116)*$L$7)/A8taxstdlife))</f>
        <v>0</v>
      </c>
      <c r="AG578" s="590">
        <f>IF(A8taxstdlife="n/a","n/a",IF(AG$3&gt;(A8taxstdlife+$E578),(('PTRM input'!$L$150+'PTRM input'!$L$116)*$L$7)-SUM($L578:AF578),(('PTRM input'!$L$150+'PTRM input'!$L$116)*$L$7)/A8taxstdlife))</f>
        <v>0</v>
      </c>
      <c r="AH578" s="590">
        <f>IF(A8taxstdlife="n/a","n/a",IF(AH$3&gt;(A8taxstdlife+$E578),(('PTRM input'!$L$150+'PTRM input'!$L$116)*$L$7)-SUM($L578:AG578),(('PTRM input'!$L$150+'PTRM input'!$L$116)*$L$7)/A8taxstdlife))</f>
        <v>0</v>
      </c>
      <c r="AI578" s="590">
        <f>IF(A8taxstdlife="n/a","n/a",IF(AI$3&gt;(A8taxstdlife+$E578),(('PTRM input'!$L$150+'PTRM input'!$L$116)*$L$7)-SUM($L578:AH578),(('PTRM input'!$L$150+'PTRM input'!$L$116)*$L$7)/A8taxstdlife))</f>
        <v>0</v>
      </c>
      <c r="AJ578" s="590">
        <f>IF(A8taxstdlife="n/a","n/a",IF(AJ$3&gt;(A8taxstdlife+$E578),(('PTRM input'!$L$150+'PTRM input'!$L$116)*$L$7)-SUM($L578:AI578),(('PTRM input'!$L$150+'PTRM input'!$L$116)*$L$7)/A8taxstdlife))</f>
        <v>0</v>
      </c>
      <c r="AK578" s="590">
        <f>IF(A8taxstdlife="n/a","n/a",IF(AK$3&gt;(A8taxstdlife+$E578),(('PTRM input'!$L$150+'PTRM input'!$L$116)*$L$7)-SUM($L578:AJ578),(('PTRM input'!$L$150+'PTRM input'!$L$116)*$L$7)/A8taxstdlife))</f>
        <v>0</v>
      </c>
      <c r="AL578" s="590">
        <f>IF(A8taxstdlife="n/a","n/a",IF(AL$3&gt;(A8taxstdlife+$E578),(('PTRM input'!$L$150+'PTRM input'!$L$116)*$L$7)-SUM($L578:AK578),(('PTRM input'!$L$150+'PTRM input'!$L$116)*$L$7)/A8taxstdlife))</f>
        <v>0</v>
      </c>
      <c r="AM578" s="590">
        <f>IF(A8taxstdlife="n/a","n/a",IF(AM$3&gt;(A8taxstdlife+$E578),(('PTRM input'!$L$150+'PTRM input'!$L$116)*$L$7)-SUM($L578:AL578),(('PTRM input'!$L$150+'PTRM input'!$L$116)*$L$7)/A8taxstdlife))</f>
        <v>0</v>
      </c>
      <c r="AN578" s="590">
        <f>IF(A8taxstdlife="n/a","n/a",IF(AN$3&gt;(A8taxstdlife+$E578),(('PTRM input'!$L$150+'PTRM input'!$L$116)*$L$7)-SUM($L578:AM578),(('PTRM input'!$L$150+'PTRM input'!$L$116)*$L$7)/A8taxstdlife))</f>
        <v>0</v>
      </c>
      <c r="AO578" s="590">
        <f>IF(A8taxstdlife="n/a","n/a",IF(AO$3&gt;(A8taxstdlife+$E578),(('PTRM input'!$L$150+'PTRM input'!$L$116)*$L$7)-SUM($L578:AN578),(('PTRM input'!$L$150+'PTRM input'!$L$116)*$L$7)/A8taxstdlife))</f>
        <v>0</v>
      </c>
      <c r="AP578" s="590">
        <f>IF(A8taxstdlife="n/a","n/a",IF(AP$3&gt;(A8taxstdlife+$E578),(('PTRM input'!$L$150+'PTRM input'!$L$116)*$L$7)-SUM($L578:AO578),(('PTRM input'!$L$150+'PTRM input'!$L$116)*$L$7)/A8taxstdlife))</f>
        <v>0</v>
      </c>
      <c r="AQ578" s="590">
        <f>IF(A8taxstdlife="n/a","n/a",IF(AQ$3&gt;(A8taxstdlife+$E578),(('PTRM input'!$L$150+'PTRM input'!$L$116)*$L$7)-SUM($L578:AP578),(('PTRM input'!$L$150+'PTRM input'!$L$116)*$L$7)/A8taxstdlife))</f>
        <v>0</v>
      </c>
      <c r="AR578" s="590">
        <f>IF(A8taxstdlife="n/a","n/a",IF(AR$3&gt;(A8taxstdlife+$E578),(('PTRM input'!$L$150+'PTRM input'!$L$116)*$L$7)-SUM($L578:AQ578),(('PTRM input'!$L$150+'PTRM input'!$L$116)*$L$7)/A8taxstdlife))</f>
        <v>0</v>
      </c>
      <c r="AS578" s="590">
        <f>IF(A8taxstdlife="n/a","n/a",IF(AS$3&gt;(A8taxstdlife+$E578),(('PTRM input'!$L$150+'PTRM input'!$L$116)*$L$7)-SUM($L578:AR578),(('PTRM input'!$L$150+'PTRM input'!$L$116)*$L$7)/A8taxstdlife))</f>
        <v>0</v>
      </c>
      <c r="AT578" s="590">
        <f>IF(A8taxstdlife="n/a","n/a",IF(AT$3&gt;(A8taxstdlife+$E578),(('PTRM input'!$L$150+'PTRM input'!$L$116)*$L$7)-SUM($L578:AS578),(('PTRM input'!$L$150+'PTRM input'!$L$116)*$L$7)/A8taxstdlife))</f>
        <v>0</v>
      </c>
      <c r="AU578" s="590">
        <f>IF(A8taxstdlife="n/a","n/a",IF(AU$3&gt;(A8taxstdlife+$E578),(('PTRM input'!$L$150+'PTRM input'!$L$116)*$L$7)-SUM($L578:AT578),(('PTRM input'!$L$150+'PTRM input'!$L$116)*$L$7)/A8taxstdlife))</f>
        <v>0</v>
      </c>
      <c r="AV578" s="590">
        <f>IF(A8taxstdlife="n/a","n/a",IF(AV$3&gt;(A8taxstdlife+$E578),(('PTRM input'!$L$150+'PTRM input'!$L$116)*$L$7)-SUM($L578:AU578),(('PTRM input'!$L$150+'PTRM input'!$L$116)*$L$7)/A8taxstdlife))</f>
        <v>0</v>
      </c>
      <c r="AW578" s="590">
        <f>IF(A8taxstdlife="n/a","n/a",IF(AW$3&gt;(A8taxstdlife+$E578),(('PTRM input'!$L$150+'PTRM input'!$L$116)*$L$7)-SUM($L578:AV578),(('PTRM input'!$L$150+'PTRM input'!$L$116)*$L$7)/A8taxstdlife))</f>
        <v>0</v>
      </c>
      <c r="AX578" s="590">
        <f>IF(A8taxstdlife="n/a","n/a",IF(AX$3&gt;(A8taxstdlife+$E578),(('PTRM input'!$L$150+'PTRM input'!$L$116)*$L$7)-SUM($L578:AW578),(('PTRM input'!$L$150+'PTRM input'!$L$116)*$L$7)/A8taxstdlife))</f>
        <v>0</v>
      </c>
      <c r="AY578" s="590">
        <f>IF(A8taxstdlife="n/a","n/a",IF(AY$3&gt;(A8taxstdlife+$E578),(('PTRM input'!$L$150+'PTRM input'!$L$116)*$L$7)-SUM($L578:AX578),(('PTRM input'!$L$150+'PTRM input'!$L$116)*$L$7)/A8taxstdlife))</f>
        <v>0</v>
      </c>
      <c r="AZ578" s="590">
        <f>IF(A8taxstdlife="n/a","n/a",IF(AZ$3&gt;(A8taxstdlife+$E578),(('PTRM input'!$L$150+'PTRM input'!$L$116)*$L$7)-SUM($L578:AY578),(('PTRM input'!$L$150+'PTRM input'!$L$116)*$L$7)/A8taxstdlife))</f>
        <v>0</v>
      </c>
      <c r="BA578" s="590">
        <f>IF(A8taxstdlife="n/a","n/a",IF(BA$3&gt;(A8taxstdlife+$E578),(('PTRM input'!$L$150+'PTRM input'!$L$116)*$L$7)-SUM($L578:AZ578),(('PTRM input'!$L$150+'PTRM input'!$L$116)*$L$7)/A8taxstdlife))</f>
        <v>0</v>
      </c>
      <c r="BB578" s="590">
        <f>IF(A8taxstdlife="n/a","n/a",IF(BB$3&gt;(A8taxstdlife+$E578),(('PTRM input'!$L$150+'PTRM input'!$L$116)*$L$7)-SUM($L578:BA578),(('PTRM input'!$L$150+'PTRM input'!$L$116)*$L$7)/A8taxstdlife))</f>
        <v>0</v>
      </c>
      <c r="BC578" s="590">
        <f>IF(A8taxstdlife="n/a","n/a",IF(BC$3&gt;(A8taxstdlife+$E578),(('PTRM input'!$L$150+'PTRM input'!$L$116)*$L$7)-SUM($L578:BB578),(('PTRM input'!$L$150+'PTRM input'!$L$116)*$L$7)/A8taxstdlife))</f>
        <v>0</v>
      </c>
      <c r="BD578" s="590">
        <f>IF(A8taxstdlife="n/a","n/a",IF(BD$3&gt;(A8taxstdlife+$E578),(('PTRM input'!$L$150+'PTRM input'!$L$116)*$L$7)-SUM($L578:BC578),(('PTRM input'!$L$150+'PTRM input'!$L$116)*$L$7)/A8taxstdlife))</f>
        <v>0</v>
      </c>
      <c r="BE578" s="590">
        <f>IF(A8taxstdlife="n/a","n/a",IF(BE$3&gt;(A8taxstdlife+$E578),(('PTRM input'!$L$150+'PTRM input'!$L$116)*$L$7)-SUM($L578:BD578),(('PTRM input'!$L$150+'PTRM input'!$L$116)*$L$7)/A8taxstdlife))</f>
        <v>0</v>
      </c>
      <c r="BF578" s="590">
        <f>IF(A8taxstdlife="n/a","n/a",IF(BF$3&gt;(A8taxstdlife+$E578),(('PTRM input'!$L$150+'PTRM input'!$L$116)*$L$7)-SUM($L578:BE578),(('PTRM input'!$L$150+'PTRM input'!$L$116)*$L$7)/A8taxstdlife))</f>
        <v>0</v>
      </c>
      <c r="BG578" s="590">
        <f>IF(A8taxstdlife="n/a","n/a",IF(BG$3&gt;(A8taxstdlife+$E578),(('PTRM input'!$L$150+'PTRM input'!$L$116)*$L$7)-SUM($L578:BF578),(('PTRM input'!$L$150+'PTRM input'!$L$116)*$L$7)/A8taxstdlife))</f>
        <v>0</v>
      </c>
      <c r="BH578" s="590">
        <f>IF(A8taxstdlife="n/a","n/a",IF(BH$3&gt;(A8taxstdlife+$E578),(('PTRM input'!$L$150+'PTRM input'!$L$116)*$L$7)-SUM($L578:BG578),(('PTRM input'!$L$150+'PTRM input'!$L$116)*$L$7)/A8taxstdlife))</f>
        <v>0</v>
      </c>
      <c r="BI578" s="590">
        <f>IF(A8taxstdlife="n/a","n/a",IF(BI$3&gt;(A8taxstdlife+$E578),(('PTRM input'!$L$150+'PTRM input'!$L$116)*$L$7)-SUM($L578:BH578),(('PTRM input'!$L$150+'PTRM input'!$L$116)*$L$7)/A8taxstdlife))</f>
        <v>0</v>
      </c>
      <c r="BJ578" s="240"/>
      <c r="BK578" s="240"/>
      <c r="BL578" s="240"/>
      <c r="BM578" s="240"/>
    </row>
    <row r="579" spans="1:65" s="4" customFormat="1" hidden="1" outlineLevel="2">
      <c r="A579" s="240"/>
      <c r="B579" s="240"/>
      <c r="C579" s="595"/>
      <c r="D579" s="1618"/>
      <c r="E579" s="169">
        <v>7</v>
      </c>
      <c r="F579" s="35"/>
      <c r="G579" s="184"/>
      <c r="H579" s="186"/>
      <c r="I579" s="186"/>
      <c r="J579" s="186"/>
      <c r="K579" s="186"/>
      <c r="L579" s="186"/>
      <c r="M579" s="185"/>
      <c r="N579" s="107">
        <f>IF(A8taxstdlife="n/a","n/a",IF(N$3&gt;(A8taxstdlife+$E579),(('PTRM input'!$M$150+'PTRM input'!$M$116)*$M$7)-SUM($M579:M579),(('PTRM input'!$M$150+'PTRM input'!$M$116)*$M$7)/A8taxstdlife))</f>
        <v>0</v>
      </c>
      <c r="O579" s="107">
        <f>IF(A8taxstdlife="n/a","n/a",IF(O$3&gt;(A8taxstdlife+$E579),(('PTRM input'!$M$150+'PTRM input'!$M$116)*$M$7)-SUM($M579:N579),(('PTRM input'!$M$150+'PTRM input'!$M$116)*$M$7)/A8taxstdlife))</f>
        <v>0</v>
      </c>
      <c r="P579" s="107">
        <f>IF(A8taxstdlife="n/a","n/a",IF(P$3&gt;(A8taxstdlife+$E579),(('PTRM input'!$M$150+'PTRM input'!$M$116)*$M$7)-SUM($M579:O579),(('PTRM input'!$M$150+'PTRM input'!$M$116)*$M$7)/A8taxstdlife))</f>
        <v>0</v>
      </c>
      <c r="Q579" s="590">
        <f>IF(A8taxstdlife="n/a","n/a",IF(Q$3&gt;(A8taxstdlife+$E579),(('PTRM input'!$M$150+'PTRM input'!$M$116)*$M$7)-SUM($M579:P579),(('PTRM input'!$M$150+'PTRM input'!$M$116)*$M$7)/A8taxstdlife))</f>
        <v>0</v>
      </c>
      <c r="R579" s="590">
        <f>IF(A8taxstdlife="n/a","n/a",IF(R$3&gt;(A8taxstdlife+$E579),(('PTRM input'!$M$150+'PTRM input'!$M$116)*$M$7)-SUM($M579:Q579),(('PTRM input'!$M$150+'PTRM input'!$M$116)*$M$7)/A8taxstdlife))</f>
        <v>0</v>
      </c>
      <c r="S579" s="590">
        <f>IF(A8taxstdlife="n/a","n/a",IF(S$3&gt;(A8taxstdlife+$E579),(('PTRM input'!$M$150+'PTRM input'!$M$116)*$M$7)-SUM($M579:R579),(('PTRM input'!$M$150+'PTRM input'!$M$116)*$M$7)/A8taxstdlife))</f>
        <v>0</v>
      </c>
      <c r="T579" s="590">
        <f>IF(A8taxstdlife="n/a","n/a",IF(T$3&gt;(A8taxstdlife+$E579),(('PTRM input'!$M$150+'PTRM input'!$M$116)*$M$7)-SUM($M579:S579),(('PTRM input'!$M$150+'PTRM input'!$M$116)*$M$7)/A8taxstdlife))</f>
        <v>0</v>
      </c>
      <c r="U579" s="590">
        <f>IF(A8taxstdlife="n/a","n/a",IF(U$3&gt;(A8taxstdlife+$E579),(('PTRM input'!$M$150+'PTRM input'!$M$116)*$M$7)-SUM($M579:T579),(('PTRM input'!$M$150+'PTRM input'!$M$116)*$M$7)/A8taxstdlife))</f>
        <v>0</v>
      </c>
      <c r="V579" s="590">
        <f>IF(A8taxstdlife="n/a","n/a",IF(V$3&gt;(A8taxstdlife+$E579),(('PTRM input'!$M$150+'PTRM input'!$M$116)*$M$7)-SUM($M579:U579),(('PTRM input'!$M$150+'PTRM input'!$M$116)*$M$7)/A8taxstdlife))</f>
        <v>0</v>
      </c>
      <c r="W579" s="590">
        <f>IF(A8taxstdlife="n/a","n/a",IF(W$3&gt;(A8taxstdlife+$E579),(('PTRM input'!$M$150+'PTRM input'!$M$116)*$M$7)-SUM($M579:V579),(('PTRM input'!$M$150+'PTRM input'!$M$116)*$M$7)/A8taxstdlife))</f>
        <v>0</v>
      </c>
      <c r="X579" s="590">
        <f>IF(A8taxstdlife="n/a","n/a",IF(X$3&gt;(A8taxstdlife+$E579),(('PTRM input'!$M$150+'PTRM input'!$M$116)*$M$7)-SUM($M579:W579),(('PTRM input'!$M$150+'PTRM input'!$M$116)*$M$7)/A8taxstdlife))</f>
        <v>0</v>
      </c>
      <c r="Y579" s="590">
        <f>IF(A8taxstdlife="n/a","n/a",IF(Y$3&gt;(A8taxstdlife+$E579),(('PTRM input'!$M$150+'PTRM input'!$M$116)*$M$7)-SUM($M579:X579),(('PTRM input'!$M$150+'PTRM input'!$M$116)*$M$7)/A8taxstdlife))</f>
        <v>0</v>
      </c>
      <c r="Z579" s="590">
        <f>IF(A8taxstdlife="n/a","n/a",IF(Z$3&gt;(A8taxstdlife+$E579),(('PTRM input'!$M$150+'PTRM input'!$M$116)*$M$7)-SUM($M579:Y579),(('PTRM input'!$M$150+'PTRM input'!$M$116)*$M$7)/A8taxstdlife))</f>
        <v>0</v>
      </c>
      <c r="AA579" s="590">
        <f>IF(A8taxstdlife="n/a","n/a",IF(AA$3&gt;(A8taxstdlife+$E579),(('PTRM input'!$M$150+'PTRM input'!$M$116)*$M$7)-SUM($M579:Z579),(('PTRM input'!$M$150+'PTRM input'!$M$116)*$M$7)/A8taxstdlife))</f>
        <v>0</v>
      </c>
      <c r="AB579" s="590">
        <f>IF(A8taxstdlife="n/a","n/a",IF(AB$3&gt;(A8taxstdlife+$E579),(('PTRM input'!$M$150+'PTRM input'!$M$116)*$M$7)-SUM($M579:AA579),(('PTRM input'!$M$150+'PTRM input'!$M$116)*$M$7)/A8taxstdlife))</f>
        <v>0</v>
      </c>
      <c r="AC579" s="590">
        <f>IF(A8taxstdlife="n/a","n/a",IF(AC$3&gt;(A8taxstdlife+$E579),(('PTRM input'!$M$150+'PTRM input'!$M$116)*$M$7)-SUM($M579:AB579),(('PTRM input'!$M$150+'PTRM input'!$M$116)*$M$7)/A8taxstdlife))</f>
        <v>0</v>
      </c>
      <c r="AD579" s="590">
        <f>IF(A8taxstdlife="n/a","n/a",IF(AD$3&gt;(A8taxstdlife+$E579),(('PTRM input'!$M$150+'PTRM input'!$M$116)*$M$7)-SUM($M579:AC579),(('PTRM input'!$M$150+'PTRM input'!$M$116)*$M$7)/A8taxstdlife))</f>
        <v>0</v>
      </c>
      <c r="AE579" s="590">
        <f>IF(A8taxstdlife="n/a","n/a",IF(AE$3&gt;(A8taxstdlife+$E579),(('PTRM input'!$M$150+'PTRM input'!$M$116)*$M$7)-SUM($M579:AD579),(('PTRM input'!$M$150+'PTRM input'!$M$116)*$M$7)/A8taxstdlife))</f>
        <v>0</v>
      </c>
      <c r="AF579" s="590">
        <f>IF(A8taxstdlife="n/a","n/a",IF(AF$3&gt;(A8taxstdlife+$E579),(('PTRM input'!$M$150+'PTRM input'!$M$116)*$M$7)-SUM($M579:AE579),(('PTRM input'!$M$150+'PTRM input'!$M$116)*$M$7)/A8taxstdlife))</f>
        <v>0</v>
      </c>
      <c r="AG579" s="590">
        <f>IF(A8taxstdlife="n/a","n/a",IF(AG$3&gt;(A8taxstdlife+$E579),(('PTRM input'!$M$150+'PTRM input'!$M$116)*$M$7)-SUM($M579:AF579),(('PTRM input'!$M$150+'PTRM input'!$M$116)*$M$7)/A8taxstdlife))</f>
        <v>0</v>
      </c>
      <c r="AH579" s="590">
        <f>IF(A8taxstdlife="n/a","n/a",IF(AH$3&gt;(A8taxstdlife+$E579),(('PTRM input'!$M$150+'PTRM input'!$M$116)*$M$7)-SUM($M579:AG579),(('PTRM input'!$M$150+'PTRM input'!$M$116)*$M$7)/A8taxstdlife))</f>
        <v>0</v>
      </c>
      <c r="AI579" s="590">
        <f>IF(A8taxstdlife="n/a","n/a",IF(AI$3&gt;(A8taxstdlife+$E579),(('PTRM input'!$M$150+'PTRM input'!$M$116)*$M$7)-SUM($M579:AH579),(('PTRM input'!$M$150+'PTRM input'!$M$116)*$M$7)/A8taxstdlife))</f>
        <v>0</v>
      </c>
      <c r="AJ579" s="590">
        <f>IF(A8taxstdlife="n/a","n/a",IF(AJ$3&gt;(A8taxstdlife+$E579),(('PTRM input'!$M$150+'PTRM input'!$M$116)*$M$7)-SUM($M579:AI579),(('PTRM input'!$M$150+'PTRM input'!$M$116)*$M$7)/A8taxstdlife))</f>
        <v>0</v>
      </c>
      <c r="AK579" s="590">
        <f>IF(A8taxstdlife="n/a","n/a",IF(AK$3&gt;(A8taxstdlife+$E579),(('PTRM input'!$M$150+'PTRM input'!$M$116)*$M$7)-SUM($M579:AJ579),(('PTRM input'!$M$150+'PTRM input'!$M$116)*$M$7)/A8taxstdlife))</f>
        <v>0</v>
      </c>
      <c r="AL579" s="590">
        <f>IF(A8taxstdlife="n/a","n/a",IF(AL$3&gt;(A8taxstdlife+$E579),(('PTRM input'!$M$150+'PTRM input'!$M$116)*$M$7)-SUM($M579:AK579),(('PTRM input'!$M$150+'PTRM input'!$M$116)*$M$7)/A8taxstdlife))</f>
        <v>0</v>
      </c>
      <c r="AM579" s="590">
        <f>IF(A8taxstdlife="n/a","n/a",IF(AM$3&gt;(A8taxstdlife+$E579),(('PTRM input'!$M$150+'PTRM input'!$M$116)*$M$7)-SUM($M579:AL579),(('PTRM input'!$M$150+'PTRM input'!$M$116)*$M$7)/A8taxstdlife))</f>
        <v>0</v>
      </c>
      <c r="AN579" s="590">
        <f>IF(A8taxstdlife="n/a","n/a",IF(AN$3&gt;(A8taxstdlife+$E579),(('PTRM input'!$M$150+'PTRM input'!$M$116)*$M$7)-SUM($M579:AM579),(('PTRM input'!$M$150+'PTRM input'!$M$116)*$M$7)/A8taxstdlife))</f>
        <v>0</v>
      </c>
      <c r="AO579" s="590">
        <f>IF(A8taxstdlife="n/a","n/a",IF(AO$3&gt;(A8taxstdlife+$E579),(('PTRM input'!$M$150+'PTRM input'!$M$116)*$M$7)-SUM($M579:AN579),(('PTRM input'!$M$150+'PTRM input'!$M$116)*$M$7)/A8taxstdlife))</f>
        <v>0</v>
      </c>
      <c r="AP579" s="590">
        <f>IF(A8taxstdlife="n/a","n/a",IF(AP$3&gt;(A8taxstdlife+$E579),(('PTRM input'!$M$150+'PTRM input'!$M$116)*$M$7)-SUM($M579:AO579),(('PTRM input'!$M$150+'PTRM input'!$M$116)*$M$7)/A8taxstdlife))</f>
        <v>0</v>
      </c>
      <c r="AQ579" s="590">
        <f>IF(A8taxstdlife="n/a","n/a",IF(AQ$3&gt;(A8taxstdlife+$E579),(('PTRM input'!$M$150+'PTRM input'!$M$116)*$M$7)-SUM($M579:AP579),(('PTRM input'!$M$150+'PTRM input'!$M$116)*$M$7)/A8taxstdlife))</f>
        <v>0</v>
      </c>
      <c r="AR579" s="590">
        <f>IF(A8taxstdlife="n/a","n/a",IF(AR$3&gt;(A8taxstdlife+$E579),(('PTRM input'!$M$150+'PTRM input'!$M$116)*$M$7)-SUM($M579:AQ579),(('PTRM input'!$M$150+'PTRM input'!$M$116)*$M$7)/A8taxstdlife))</f>
        <v>0</v>
      </c>
      <c r="AS579" s="590">
        <f>IF(A8taxstdlife="n/a","n/a",IF(AS$3&gt;(A8taxstdlife+$E579),(('PTRM input'!$M$150+'PTRM input'!$M$116)*$M$7)-SUM($M579:AR579),(('PTRM input'!$M$150+'PTRM input'!$M$116)*$M$7)/A8taxstdlife))</f>
        <v>0</v>
      </c>
      <c r="AT579" s="590">
        <f>IF(A8taxstdlife="n/a","n/a",IF(AT$3&gt;(A8taxstdlife+$E579),(('PTRM input'!$M$150+'PTRM input'!$M$116)*$M$7)-SUM($M579:AS579),(('PTRM input'!$M$150+'PTRM input'!$M$116)*$M$7)/A8taxstdlife))</f>
        <v>0</v>
      </c>
      <c r="AU579" s="590">
        <f>IF(A8taxstdlife="n/a","n/a",IF(AU$3&gt;(A8taxstdlife+$E579),(('PTRM input'!$M$150+'PTRM input'!$M$116)*$M$7)-SUM($M579:AT579),(('PTRM input'!$M$150+'PTRM input'!$M$116)*$M$7)/A8taxstdlife))</f>
        <v>0</v>
      </c>
      <c r="AV579" s="590">
        <f>IF(A8taxstdlife="n/a","n/a",IF(AV$3&gt;(A8taxstdlife+$E579),(('PTRM input'!$M$150+'PTRM input'!$M$116)*$M$7)-SUM($M579:AU579),(('PTRM input'!$M$150+'PTRM input'!$M$116)*$M$7)/A8taxstdlife))</f>
        <v>0</v>
      </c>
      <c r="AW579" s="590">
        <f>IF(A8taxstdlife="n/a","n/a",IF(AW$3&gt;(A8taxstdlife+$E579),(('PTRM input'!$M$150+'PTRM input'!$M$116)*$M$7)-SUM($M579:AV579),(('PTRM input'!$M$150+'PTRM input'!$M$116)*$M$7)/A8taxstdlife))</f>
        <v>0</v>
      </c>
      <c r="AX579" s="590">
        <f>IF(A8taxstdlife="n/a","n/a",IF(AX$3&gt;(A8taxstdlife+$E579),(('PTRM input'!$M$150+'PTRM input'!$M$116)*$M$7)-SUM($M579:AW579),(('PTRM input'!$M$150+'PTRM input'!$M$116)*$M$7)/A8taxstdlife))</f>
        <v>0</v>
      </c>
      <c r="AY579" s="590">
        <f>IF(A8taxstdlife="n/a","n/a",IF(AY$3&gt;(A8taxstdlife+$E579),(('PTRM input'!$M$150+'PTRM input'!$M$116)*$M$7)-SUM($M579:AX579),(('PTRM input'!$M$150+'PTRM input'!$M$116)*$M$7)/A8taxstdlife))</f>
        <v>0</v>
      </c>
      <c r="AZ579" s="590">
        <f>IF(A8taxstdlife="n/a","n/a",IF(AZ$3&gt;(A8taxstdlife+$E579),(('PTRM input'!$M$150+'PTRM input'!$M$116)*$M$7)-SUM($M579:AY579),(('PTRM input'!$M$150+'PTRM input'!$M$116)*$M$7)/A8taxstdlife))</f>
        <v>0</v>
      </c>
      <c r="BA579" s="590">
        <f>IF(A8taxstdlife="n/a","n/a",IF(BA$3&gt;(A8taxstdlife+$E579),(('PTRM input'!$M$150+'PTRM input'!$M$116)*$M$7)-SUM($M579:AZ579),(('PTRM input'!$M$150+'PTRM input'!$M$116)*$M$7)/A8taxstdlife))</f>
        <v>0</v>
      </c>
      <c r="BB579" s="590">
        <f>IF(A8taxstdlife="n/a","n/a",IF(BB$3&gt;(A8taxstdlife+$E579),(('PTRM input'!$M$150+'PTRM input'!$M$116)*$M$7)-SUM($M579:BA579),(('PTRM input'!$M$150+'PTRM input'!$M$116)*$M$7)/A8taxstdlife))</f>
        <v>0</v>
      </c>
      <c r="BC579" s="590">
        <f>IF(A8taxstdlife="n/a","n/a",IF(BC$3&gt;(A8taxstdlife+$E579),(('PTRM input'!$M$150+'PTRM input'!$M$116)*$M$7)-SUM($M579:BB579),(('PTRM input'!$M$150+'PTRM input'!$M$116)*$M$7)/A8taxstdlife))</f>
        <v>0</v>
      </c>
      <c r="BD579" s="590">
        <f>IF(A8taxstdlife="n/a","n/a",IF(BD$3&gt;(A8taxstdlife+$E579),(('PTRM input'!$M$150+'PTRM input'!$M$116)*$M$7)-SUM($M579:BC579),(('PTRM input'!$M$150+'PTRM input'!$M$116)*$M$7)/A8taxstdlife))</f>
        <v>0</v>
      </c>
      <c r="BE579" s="590">
        <f>IF(A8taxstdlife="n/a","n/a",IF(BE$3&gt;(A8taxstdlife+$E579),(('PTRM input'!$M$150+'PTRM input'!$M$116)*$M$7)-SUM($M579:BD579),(('PTRM input'!$M$150+'PTRM input'!$M$116)*$M$7)/A8taxstdlife))</f>
        <v>0</v>
      </c>
      <c r="BF579" s="590">
        <f>IF(A8taxstdlife="n/a","n/a",IF(BF$3&gt;(A8taxstdlife+$E579),(('PTRM input'!$M$150+'PTRM input'!$M$116)*$M$7)-SUM($M579:BE579),(('PTRM input'!$M$150+'PTRM input'!$M$116)*$M$7)/A8taxstdlife))</f>
        <v>0</v>
      </c>
      <c r="BG579" s="590">
        <f>IF(A8taxstdlife="n/a","n/a",IF(BG$3&gt;(A8taxstdlife+$E579),(('PTRM input'!$M$150+'PTRM input'!$M$116)*$M$7)-SUM($M579:BF579),(('PTRM input'!$M$150+'PTRM input'!$M$116)*$M$7)/A8taxstdlife))</f>
        <v>0</v>
      </c>
      <c r="BH579" s="590">
        <f>IF(A8taxstdlife="n/a","n/a",IF(BH$3&gt;(A8taxstdlife+$E579),(('PTRM input'!$M$150+'PTRM input'!$M$116)*$M$7)-SUM($M579:BG579),(('PTRM input'!$M$150+'PTRM input'!$M$116)*$M$7)/A8taxstdlife))</f>
        <v>0</v>
      </c>
      <c r="BI579" s="590">
        <f>IF(A8taxstdlife="n/a","n/a",IF(BI$3&gt;(A8taxstdlife+$E579),(('PTRM input'!$M$150+'PTRM input'!$M$116)*$M$7)-SUM($M579:BH579),(('PTRM input'!$M$150+'PTRM input'!$M$116)*$M$7)/A8taxstdlife))</f>
        <v>0</v>
      </c>
      <c r="BJ579" s="240"/>
      <c r="BK579" s="240"/>
      <c r="BL579" s="240"/>
      <c r="BM579" s="240"/>
    </row>
    <row r="580" spans="1:65" s="4" customFormat="1" hidden="1" outlineLevel="2">
      <c r="A580" s="240"/>
      <c r="B580" s="240"/>
      <c r="C580" s="595"/>
      <c r="D580" s="1618"/>
      <c r="E580" s="169">
        <v>8</v>
      </c>
      <c r="F580" s="35"/>
      <c r="G580" s="184"/>
      <c r="H580" s="186"/>
      <c r="I580" s="186"/>
      <c r="J580" s="186"/>
      <c r="K580" s="186"/>
      <c r="L580" s="186"/>
      <c r="M580" s="186"/>
      <c r="N580" s="185"/>
      <c r="O580" s="107">
        <f>IF(A8taxstdlife="n/a","n/a",IF(O$3&gt;(A8taxstdlife+$E580),(('PTRM input'!$N$150+'PTRM input'!$N$116)*$N$7)-SUM($N580:N580),(('PTRM input'!$N$150+'PTRM input'!$N$116)*$N$7)/A8taxstdlife))</f>
        <v>0</v>
      </c>
      <c r="P580" s="107">
        <f>IF(A8taxstdlife="n/a","n/a",IF(P$3&gt;(A8taxstdlife+$E580),(('PTRM input'!$N$150+'PTRM input'!$N$116)*$N$7)-SUM($N580:O580),(('PTRM input'!$N$150+'PTRM input'!$N$116)*$N$7)/A8taxstdlife))</f>
        <v>0</v>
      </c>
      <c r="Q580" s="590">
        <f>IF(A8taxstdlife="n/a","n/a",IF(Q$3&gt;(A8taxstdlife+$E580),(('PTRM input'!$N$150+'PTRM input'!$N$116)*$N$7)-SUM($N580:P580),(('PTRM input'!$N$150+'PTRM input'!$N$116)*$N$7)/A8taxstdlife))</f>
        <v>0</v>
      </c>
      <c r="R580" s="590">
        <f>IF(A8taxstdlife="n/a","n/a",IF(R$3&gt;(A8taxstdlife+$E580),(('PTRM input'!$N$150+'PTRM input'!$N$116)*$N$7)-SUM($N580:Q580),(('PTRM input'!$N$150+'PTRM input'!$N$116)*$N$7)/A8taxstdlife))</f>
        <v>0</v>
      </c>
      <c r="S580" s="590">
        <f>IF(A8taxstdlife="n/a","n/a",IF(S$3&gt;(A8taxstdlife+$E580),(('PTRM input'!$N$150+'PTRM input'!$N$116)*$N$7)-SUM($N580:R580),(('PTRM input'!$N$150+'PTRM input'!$N$116)*$N$7)/A8taxstdlife))</f>
        <v>0</v>
      </c>
      <c r="T580" s="590">
        <f>IF(A8taxstdlife="n/a","n/a",IF(T$3&gt;(A8taxstdlife+$E580),(('PTRM input'!$N$150+'PTRM input'!$N$116)*$N$7)-SUM($N580:S580),(('PTRM input'!$N$150+'PTRM input'!$N$116)*$N$7)/A8taxstdlife))</f>
        <v>0</v>
      </c>
      <c r="U580" s="590">
        <f>IF(A8taxstdlife="n/a","n/a",IF(U$3&gt;(A8taxstdlife+$E580),(('PTRM input'!$N$150+'PTRM input'!$N$116)*$N$7)-SUM($N580:T580),(('PTRM input'!$N$150+'PTRM input'!$N$116)*$N$7)/A8taxstdlife))</f>
        <v>0</v>
      </c>
      <c r="V580" s="590">
        <f>IF(A8taxstdlife="n/a","n/a",IF(V$3&gt;(A8taxstdlife+$E580),(('PTRM input'!$N$150+'PTRM input'!$N$116)*$N$7)-SUM($N580:U580),(('PTRM input'!$N$150+'PTRM input'!$N$116)*$N$7)/A8taxstdlife))</f>
        <v>0</v>
      </c>
      <c r="W580" s="590">
        <f>IF(A8taxstdlife="n/a","n/a",IF(W$3&gt;(A8taxstdlife+$E580),(('PTRM input'!$N$150+'PTRM input'!$N$116)*$N$7)-SUM($N580:V580),(('PTRM input'!$N$150+'PTRM input'!$N$116)*$N$7)/A8taxstdlife))</f>
        <v>0</v>
      </c>
      <c r="X580" s="590">
        <f>IF(A8taxstdlife="n/a","n/a",IF(X$3&gt;(A8taxstdlife+$E580),(('PTRM input'!$N$150+'PTRM input'!$N$116)*$N$7)-SUM($N580:W580),(('PTRM input'!$N$150+'PTRM input'!$N$116)*$N$7)/A8taxstdlife))</f>
        <v>0</v>
      </c>
      <c r="Y580" s="590">
        <f>IF(A8taxstdlife="n/a","n/a",IF(Y$3&gt;(A8taxstdlife+$E580),(('PTRM input'!$N$150+'PTRM input'!$N$116)*$N$7)-SUM($N580:X580),(('PTRM input'!$N$150+'PTRM input'!$N$116)*$N$7)/A8taxstdlife))</f>
        <v>0</v>
      </c>
      <c r="Z580" s="590">
        <f>IF(A8taxstdlife="n/a","n/a",IF(Z$3&gt;(A8taxstdlife+$E580),(('PTRM input'!$N$150+'PTRM input'!$N$116)*$N$7)-SUM($N580:Y580),(('PTRM input'!$N$150+'PTRM input'!$N$116)*$N$7)/A8taxstdlife))</f>
        <v>0</v>
      </c>
      <c r="AA580" s="590">
        <f>IF(A8taxstdlife="n/a","n/a",IF(AA$3&gt;(A8taxstdlife+$E580),(('PTRM input'!$N$150+'PTRM input'!$N$116)*$N$7)-SUM($N580:Z580),(('PTRM input'!$N$150+'PTRM input'!$N$116)*$N$7)/A8taxstdlife))</f>
        <v>0</v>
      </c>
      <c r="AB580" s="590">
        <f>IF(A8taxstdlife="n/a","n/a",IF(AB$3&gt;(A8taxstdlife+$E580),(('PTRM input'!$N$150+'PTRM input'!$N$116)*$N$7)-SUM($N580:AA580),(('PTRM input'!$N$150+'PTRM input'!$N$116)*$N$7)/A8taxstdlife))</f>
        <v>0</v>
      </c>
      <c r="AC580" s="590">
        <f>IF(A8taxstdlife="n/a","n/a",IF(AC$3&gt;(A8taxstdlife+$E580),(('PTRM input'!$N$150+'PTRM input'!$N$116)*$N$7)-SUM($N580:AB580),(('PTRM input'!$N$150+'PTRM input'!$N$116)*$N$7)/A8taxstdlife))</f>
        <v>0</v>
      </c>
      <c r="AD580" s="590">
        <f>IF(A8taxstdlife="n/a","n/a",IF(AD$3&gt;(A8taxstdlife+$E580),(('PTRM input'!$N$150+'PTRM input'!$N$116)*$N$7)-SUM($N580:AC580),(('PTRM input'!$N$150+'PTRM input'!$N$116)*$N$7)/A8taxstdlife))</f>
        <v>0</v>
      </c>
      <c r="AE580" s="590">
        <f>IF(A8taxstdlife="n/a","n/a",IF(AE$3&gt;(A8taxstdlife+$E580),(('PTRM input'!$N$150+'PTRM input'!$N$116)*$N$7)-SUM($N580:AD580),(('PTRM input'!$N$150+'PTRM input'!$N$116)*$N$7)/A8taxstdlife))</f>
        <v>0</v>
      </c>
      <c r="AF580" s="590">
        <f>IF(A8taxstdlife="n/a","n/a",IF(AF$3&gt;(A8taxstdlife+$E580),(('PTRM input'!$N$150+'PTRM input'!$N$116)*$N$7)-SUM($N580:AE580),(('PTRM input'!$N$150+'PTRM input'!$N$116)*$N$7)/A8taxstdlife))</f>
        <v>0</v>
      </c>
      <c r="AG580" s="590">
        <f>IF(A8taxstdlife="n/a","n/a",IF(AG$3&gt;(A8taxstdlife+$E580),(('PTRM input'!$N$150+'PTRM input'!$N$116)*$N$7)-SUM($N580:AF580),(('PTRM input'!$N$150+'PTRM input'!$N$116)*$N$7)/A8taxstdlife))</f>
        <v>0</v>
      </c>
      <c r="AH580" s="590">
        <f>IF(A8taxstdlife="n/a","n/a",IF(AH$3&gt;(A8taxstdlife+$E580),(('PTRM input'!$N$150+'PTRM input'!$N$116)*$N$7)-SUM($N580:AG580),(('PTRM input'!$N$150+'PTRM input'!$N$116)*$N$7)/A8taxstdlife))</f>
        <v>0</v>
      </c>
      <c r="AI580" s="590">
        <f>IF(A8taxstdlife="n/a","n/a",IF(AI$3&gt;(A8taxstdlife+$E580),(('PTRM input'!$N$150+'PTRM input'!$N$116)*$N$7)-SUM($N580:AH580),(('PTRM input'!$N$150+'PTRM input'!$N$116)*$N$7)/A8taxstdlife))</f>
        <v>0</v>
      </c>
      <c r="AJ580" s="590">
        <f>IF(A8taxstdlife="n/a","n/a",IF(AJ$3&gt;(A8taxstdlife+$E580),(('PTRM input'!$N$150+'PTRM input'!$N$116)*$N$7)-SUM($N580:AI580),(('PTRM input'!$N$150+'PTRM input'!$N$116)*$N$7)/A8taxstdlife))</f>
        <v>0</v>
      </c>
      <c r="AK580" s="590">
        <f>IF(A8taxstdlife="n/a","n/a",IF(AK$3&gt;(A8taxstdlife+$E580),(('PTRM input'!$N$150+'PTRM input'!$N$116)*$N$7)-SUM($N580:AJ580),(('PTRM input'!$N$150+'PTRM input'!$N$116)*$N$7)/A8taxstdlife))</f>
        <v>0</v>
      </c>
      <c r="AL580" s="590">
        <f>IF(A8taxstdlife="n/a","n/a",IF(AL$3&gt;(A8taxstdlife+$E580),(('PTRM input'!$N$150+'PTRM input'!$N$116)*$N$7)-SUM($N580:AK580),(('PTRM input'!$N$150+'PTRM input'!$N$116)*$N$7)/A8taxstdlife))</f>
        <v>0</v>
      </c>
      <c r="AM580" s="590">
        <f>IF(A8taxstdlife="n/a","n/a",IF(AM$3&gt;(A8taxstdlife+$E580),(('PTRM input'!$N$150+'PTRM input'!$N$116)*$N$7)-SUM($N580:AL580),(('PTRM input'!$N$150+'PTRM input'!$N$116)*$N$7)/A8taxstdlife))</f>
        <v>0</v>
      </c>
      <c r="AN580" s="590">
        <f>IF(A8taxstdlife="n/a","n/a",IF(AN$3&gt;(A8taxstdlife+$E580),(('PTRM input'!$N$150+'PTRM input'!$N$116)*$N$7)-SUM($N580:AM580),(('PTRM input'!$N$150+'PTRM input'!$N$116)*$N$7)/A8taxstdlife))</f>
        <v>0</v>
      </c>
      <c r="AO580" s="590">
        <f>IF(A8taxstdlife="n/a","n/a",IF(AO$3&gt;(A8taxstdlife+$E580),(('PTRM input'!$N$150+'PTRM input'!$N$116)*$N$7)-SUM($N580:AN580),(('PTRM input'!$N$150+'PTRM input'!$N$116)*$N$7)/A8taxstdlife))</f>
        <v>0</v>
      </c>
      <c r="AP580" s="590">
        <f>IF(A8taxstdlife="n/a","n/a",IF(AP$3&gt;(A8taxstdlife+$E580),(('PTRM input'!$N$150+'PTRM input'!$N$116)*$N$7)-SUM($N580:AO580),(('PTRM input'!$N$150+'PTRM input'!$N$116)*$N$7)/A8taxstdlife))</f>
        <v>0</v>
      </c>
      <c r="AQ580" s="590">
        <f>IF(A8taxstdlife="n/a","n/a",IF(AQ$3&gt;(A8taxstdlife+$E580),(('PTRM input'!$N$150+'PTRM input'!$N$116)*$N$7)-SUM($N580:AP580),(('PTRM input'!$N$150+'PTRM input'!$N$116)*$N$7)/A8taxstdlife))</f>
        <v>0</v>
      </c>
      <c r="AR580" s="590">
        <f>IF(A8taxstdlife="n/a","n/a",IF(AR$3&gt;(A8taxstdlife+$E580),(('PTRM input'!$N$150+'PTRM input'!$N$116)*$N$7)-SUM($N580:AQ580),(('PTRM input'!$N$150+'PTRM input'!$N$116)*$N$7)/A8taxstdlife))</f>
        <v>0</v>
      </c>
      <c r="AS580" s="590">
        <f>IF(A8taxstdlife="n/a","n/a",IF(AS$3&gt;(A8taxstdlife+$E580),(('PTRM input'!$N$150+'PTRM input'!$N$116)*$N$7)-SUM($N580:AR580),(('PTRM input'!$N$150+'PTRM input'!$N$116)*$N$7)/A8taxstdlife))</f>
        <v>0</v>
      </c>
      <c r="AT580" s="590">
        <f>IF(A8taxstdlife="n/a","n/a",IF(AT$3&gt;(A8taxstdlife+$E580),(('PTRM input'!$N$150+'PTRM input'!$N$116)*$N$7)-SUM($N580:AS580),(('PTRM input'!$N$150+'PTRM input'!$N$116)*$N$7)/A8taxstdlife))</f>
        <v>0</v>
      </c>
      <c r="AU580" s="590">
        <f>IF(A8taxstdlife="n/a","n/a",IF(AU$3&gt;(A8taxstdlife+$E580),(('PTRM input'!$N$150+'PTRM input'!$N$116)*$N$7)-SUM($N580:AT580),(('PTRM input'!$N$150+'PTRM input'!$N$116)*$N$7)/A8taxstdlife))</f>
        <v>0</v>
      </c>
      <c r="AV580" s="590">
        <f>IF(A8taxstdlife="n/a","n/a",IF(AV$3&gt;(A8taxstdlife+$E580),(('PTRM input'!$N$150+'PTRM input'!$N$116)*$N$7)-SUM($N580:AU580),(('PTRM input'!$N$150+'PTRM input'!$N$116)*$N$7)/A8taxstdlife))</f>
        <v>0</v>
      </c>
      <c r="AW580" s="590">
        <f>IF(A8taxstdlife="n/a","n/a",IF(AW$3&gt;(A8taxstdlife+$E580),(('PTRM input'!$N$150+'PTRM input'!$N$116)*$N$7)-SUM($N580:AV580),(('PTRM input'!$N$150+'PTRM input'!$N$116)*$N$7)/A8taxstdlife))</f>
        <v>0</v>
      </c>
      <c r="AX580" s="590">
        <f>IF(A8taxstdlife="n/a","n/a",IF(AX$3&gt;(A8taxstdlife+$E580),(('PTRM input'!$N$150+'PTRM input'!$N$116)*$N$7)-SUM($N580:AW580),(('PTRM input'!$N$150+'PTRM input'!$N$116)*$N$7)/A8taxstdlife))</f>
        <v>0</v>
      </c>
      <c r="AY580" s="590">
        <f>IF(A8taxstdlife="n/a","n/a",IF(AY$3&gt;(A8taxstdlife+$E580),(('PTRM input'!$N$150+'PTRM input'!$N$116)*$N$7)-SUM($N580:AX580),(('PTRM input'!$N$150+'PTRM input'!$N$116)*$N$7)/A8taxstdlife))</f>
        <v>0</v>
      </c>
      <c r="AZ580" s="590">
        <f>IF(A8taxstdlife="n/a","n/a",IF(AZ$3&gt;(A8taxstdlife+$E580),(('PTRM input'!$N$150+'PTRM input'!$N$116)*$N$7)-SUM($N580:AY580),(('PTRM input'!$N$150+'PTRM input'!$N$116)*$N$7)/A8taxstdlife))</f>
        <v>0</v>
      </c>
      <c r="BA580" s="590">
        <f>IF(A8taxstdlife="n/a","n/a",IF(BA$3&gt;(A8taxstdlife+$E580),(('PTRM input'!$N$150+'PTRM input'!$N$116)*$N$7)-SUM($N580:AZ580),(('PTRM input'!$N$150+'PTRM input'!$N$116)*$N$7)/A8taxstdlife))</f>
        <v>0</v>
      </c>
      <c r="BB580" s="590">
        <f>IF(A8taxstdlife="n/a","n/a",IF(BB$3&gt;(A8taxstdlife+$E580),(('PTRM input'!$N$150+'PTRM input'!$N$116)*$N$7)-SUM($N580:BA580),(('PTRM input'!$N$150+'PTRM input'!$N$116)*$N$7)/A8taxstdlife))</f>
        <v>0</v>
      </c>
      <c r="BC580" s="590">
        <f>IF(A8taxstdlife="n/a","n/a",IF(BC$3&gt;(A8taxstdlife+$E580),(('PTRM input'!$N$150+'PTRM input'!$N$116)*$N$7)-SUM($N580:BB580),(('PTRM input'!$N$150+'PTRM input'!$N$116)*$N$7)/A8taxstdlife))</f>
        <v>0</v>
      </c>
      <c r="BD580" s="590">
        <f>IF(A8taxstdlife="n/a","n/a",IF(BD$3&gt;(A8taxstdlife+$E580),(('PTRM input'!$N$150+'PTRM input'!$N$116)*$N$7)-SUM($N580:BC580),(('PTRM input'!$N$150+'PTRM input'!$N$116)*$N$7)/A8taxstdlife))</f>
        <v>0</v>
      </c>
      <c r="BE580" s="590">
        <f>IF(A8taxstdlife="n/a","n/a",IF(BE$3&gt;(A8taxstdlife+$E580),(('PTRM input'!$N$150+'PTRM input'!$N$116)*$N$7)-SUM($N580:BD580),(('PTRM input'!$N$150+'PTRM input'!$N$116)*$N$7)/A8taxstdlife))</f>
        <v>0</v>
      </c>
      <c r="BF580" s="590">
        <f>IF(A8taxstdlife="n/a","n/a",IF(BF$3&gt;(A8taxstdlife+$E580),(('PTRM input'!$N$150+'PTRM input'!$N$116)*$N$7)-SUM($N580:BE580),(('PTRM input'!$N$150+'PTRM input'!$N$116)*$N$7)/A8taxstdlife))</f>
        <v>0</v>
      </c>
      <c r="BG580" s="590">
        <f>IF(A8taxstdlife="n/a","n/a",IF(BG$3&gt;(A8taxstdlife+$E580),(('PTRM input'!$N$150+'PTRM input'!$N$116)*$N$7)-SUM($N580:BF580),(('PTRM input'!$N$150+'PTRM input'!$N$116)*$N$7)/A8taxstdlife))</f>
        <v>0</v>
      </c>
      <c r="BH580" s="590">
        <f>IF(A8taxstdlife="n/a","n/a",IF(BH$3&gt;(A8taxstdlife+$E580),(('PTRM input'!$N$150+'PTRM input'!$N$116)*$N$7)-SUM($N580:BG580),(('PTRM input'!$N$150+'PTRM input'!$N$116)*$N$7)/A8taxstdlife))</f>
        <v>0</v>
      </c>
      <c r="BI580" s="590">
        <f>IF(A8taxstdlife="n/a","n/a",IF(BI$3&gt;(A8taxstdlife+$E580),(('PTRM input'!$N$150+'PTRM input'!$N$116)*$N$7)-SUM($N580:BH580),(('PTRM input'!$N$150+'PTRM input'!$N$116)*$N$7)/A8taxstdlife))</f>
        <v>0</v>
      </c>
      <c r="BJ580" s="240"/>
      <c r="BK580" s="240"/>
      <c r="BL580" s="240"/>
      <c r="BM580" s="240"/>
    </row>
    <row r="581" spans="1:65" s="4" customFormat="1" hidden="1" outlineLevel="2">
      <c r="A581" s="240"/>
      <c r="B581" s="240"/>
      <c r="C581" s="595"/>
      <c r="D581" s="1618"/>
      <c r="E581" s="169">
        <v>9</v>
      </c>
      <c r="F581" s="35"/>
      <c r="G581" s="184"/>
      <c r="H581" s="186"/>
      <c r="I581" s="186"/>
      <c r="J581" s="186"/>
      <c r="K581" s="186"/>
      <c r="L581" s="186"/>
      <c r="M581" s="186"/>
      <c r="N581" s="186"/>
      <c r="O581" s="185"/>
      <c r="P581" s="107">
        <f>IF(A8taxstdlife="n/a","n/a",IF(P$3&gt;(A8taxstdlife+$E581),(('PTRM input'!$O$150+'PTRM input'!$O$116)*$O$7)-SUM($O581:O581),(('PTRM input'!$O$150+'PTRM input'!$O$116)*$O$7)/A8taxstdlife))</f>
        <v>0</v>
      </c>
      <c r="Q581" s="590">
        <f>IF(A8taxstdlife="n/a","n/a",IF(Q$3&gt;(A8taxstdlife+$E581),(('PTRM input'!$O$150+'PTRM input'!$O$116)*$O$7)-SUM($O581:P581),(('PTRM input'!$O$150+'PTRM input'!$O$116)*$O$7)/A8taxstdlife))</f>
        <v>0</v>
      </c>
      <c r="R581" s="590">
        <f>IF(A8taxstdlife="n/a","n/a",IF(R$3&gt;(A8taxstdlife+$E581),(('PTRM input'!$O$150+'PTRM input'!$O$116)*$O$7)-SUM($O581:Q581),(('PTRM input'!$O$150+'PTRM input'!$O$116)*$O$7)/A8taxstdlife))</f>
        <v>0</v>
      </c>
      <c r="S581" s="590">
        <f>IF(A8taxstdlife="n/a","n/a",IF(S$3&gt;(A8taxstdlife+$E581),(('PTRM input'!$O$150+'PTRM input'!$O$116)*$O$7)-SUM($O581:R581),(('PTRM input'!$O$150+'PTRM input'!$O$116)*$O$7)/A8taxstdlife))</f>
        <v>0</v>
      </c>
      <c r="T581" s="590">
        <f>IF(A8taxstdlife="n/a","n/a",IF(T$3&gt;(A8taxstdlife+$E581),(('PTRM input'!$O$150+'PTRM input'!$O$116)*$O$7)-SUM($O581:S581),(('PTRM input'!$O$150+'PTRM input'!$O$116)*$O$7)/A8taxstdlife))</f>
        <v>0</v>
      </c>
      <c r="U581" s="590">
        <f>IF(A8taxstdlife="n/a","n/a",IF(U$3&gt;(A8taxstdlife+$E581),(('PTRM input'!$O$150+'PTRM input'!$O$116)*$O$7)-SUM($O581:T581),(('PTRM input'!$O$150+'PTRM input'!$O$116)*$O$7)/A8taxstdlife))</f>
        <v>0</v>
      </c>
      <c r="V581" s="590">
        <f>IF(A8taxstdlife="n/a","n/a",IF(V$3&gt;(A8taxstdlife+$E581),(('PTRM input'!$O$150+'PTRM input'!$O$116)*$O$7)-SUM($O581:U581),(('PTRM input'!$O$150+'PTRM input'!$O$116)*$O$7)/A8taxstdlife))</f>
        <v>0</v>
      </c>
      <c r="W581" s="590">
        <f>IF(A8taxstdlife="n/a","n/a",IF(W$3&gt;(A8taxstdlife+$E581),(('PTRM input'!$O$150+'PTRM input'!$O$116)*$O$7)-SUM($O581:V581),(('PTRM input'!$O$150+'PTRM input'!$O$116)*$O$7)/A8taxstdlife))</f>
        <v>0</v>
      </c>
      <c r="X581" s="590">
        <f>IF(A8taxstdlife="n/a","n/a",IF(X$3&gt;(A8taxstdlife+$E581),(('PTRM input'!$O$150+'PTRM input'!$O$116)*$O$7)-SUM($O581:W581),(('PTRM input'!$O$150+'PTRM input'!$O$116)*$O$7)/A8taxstdlife))</f>
        <v>0</v>
      </c>
      <c r="Y581" s="590">
        <f>IF(A8taxstdlife="n/a","n/a",IF(Y$3&gt;(A8taxstdlife+$E581),(('PTRM input'!$O$150+'PTRM input'!$O$116)*$O$7)-SUM($O581:X581),(('PTRM input'!$O$150+'PTRM input'!$O$116)*$O$7)/A8taxstdlife))</f>
        <v>0</v>
      </c>
      <c r="Z581" s="590">
        <f>IF(A8taxstdlife="n/a","n/a",IF(Z$3&gt;(A8taxstdlife+$E581),(('PTRM input'!$O$150+'PTRM input'!$O$116)*$O$7)-SUM($O581:Y581),(('PTRM input'!$O$150+'PTRM input'!$O$116)*$O$7)/A8taxstdlife))</f>
        <v>0</v>
      </c>
      <c r="AA581" s="590">
        <f>IF(A8taxstdlife="n/a","n/a",IF(AA$3&gt;(A8taxstdlife+$E581),(('PTRM input'!$O$150+'PTRM input'!$O$116)*$O$7)-SUM($O581:Z581),(('PTRM input'!$O$150+'PTRM input'!$O$116)*$O$7)/A8taxstdlife))</f>
        <v>0</v>
      </c>
      <c r="AB581" s="590">
        <f>IF(A8taxstdlife="n/a","n/a",IF(AB$3&gt;(A8taxstdlife+$E581),(('PTRM input'!$O$150+'PTRM input'!$O$116)*$O$7)-SUM($O581:AA581),(('PTRM input'!$O$150+'PTRM input'!$O$116)*$O$7)/A8taxstdlife))</f>
        <v>0</v>
      </c>
      <c r="AC581" s="590">
        <f>IF(A8taxstdlife="n/a","n/a",IF(AC$3&gt;(A8taxstdlife+$E581),(('PTRM input'!$O$150+'PTRM input'!$O$116)*$O$7)-SUM($O581:AB581),(('PTRM input'!$O$150+'PTRM input'!$O$116)*$O$7)/A8taxstdlife))</f>
        <v>0</v>
      </c>
      <c r="AD581" s="590">
        <f>IF(A8taxstdlife="n/a","n/a",IF(AD$3&gt;(A8taxstdlife+$E581),(('PTRM input'!$O$150+'PTRM input'!$O$116)*$O$7)-SUM($O581:AC581),(('PTRM input'!$O$150+'PTRM input'!$O$116)*$O$7)/A8taxstdlife))</f>
        <v>0</v>
      </c>
      <c r="AE581" s="590">
        <f>IF(A8taxstdlife="n/a","n/a",IF(AE$3&gt;(A8taxstdlife+$E581),(('PTRM input'!$O$150+'PTRM input'!$O$116)*$O$7)-SUM($O581:AD581),(('PTRM input'!$O$150+'PTRM input'!$O$116)*$O$7)/A8taxstdlife))</f>
        <v>0</v>
      </c>
      <c r="AF581" s="590">
        <f>IF(A8taxstdlife="n/a","n/a",IF(AF$3&gt;(A8taxstdlife+$E581),(('PTRM input'!$O$150+'PTRM input'!$O$116)*$O$7)-SUM($O581:AE581),(('PTRM input'!$O$150+'PTRM input'!$O$116)*$O$7)/A8taxstdlife))</f>
        <v>0</v>
      </c>
      <c r="AG581" s="590">
        <f>IF(A8taxstdlife="n/a","n/a",IF(AG$3&gt;(A8taxstdlife+$E581),(('PTRM input'!$O$150+'PTRM input'!$O$116)*$O$7)-SUM($O581:AF581),(('PTRM input'!$O$150+'PTRM input'!$O$116)*$O$7)/A8taxstdlife))</f>
        <v>0</v>
      </c>
      <c r="AH581" s="590">
        <f>IF(A8taxstdlife="n/a","n/a",IF(AH$3&gt;(A8taxstdlife+$E581),(('PTRM input'!$O$150+'PTRM input'!$O$116)*$O$7)-SUM($O581:AG581),(('PTRM input'!$O$150+'PTRM input'!$O$116)*$O$7)/A8taxstdlife))</f>
        <v>0</v>
      </c>
      <c r="AI581" s="590">
        <f>IF(A8taxstdlife="n/a","n/a",IF(AI$3&gt;(A8taxstdlife+$E581),(('PTRM input'!$O$150+'PTRM input'!$O$116)*$O$7)-SUM($O581:AH581),(('PTRM input'!$O$150+'PTRM input'!$O$116)*$O$7)/A8taxstdlife))</f>
        <v>0</v>
      </c>
      <c r="AJ581" s="590">
        <f>IF(A8taxstdlife="n/a","n/a",IF(AJ$3&gt;(A8taxstdlife+$E581),(('PTRM input'!$O$150+'PTRM input'!$O$116)*$O$7)-SUM($O581:AI581),(('PTRM input'!$O$150+'PTRM input'!$O$116)*$O$7)/A8taxstdlife))</f>
        <v>0</v>
      </c>
      <c r="AK581" s="590">
        <f>IF(A8taxstdlife="n/a","n/a",IF(AK$3&gt;(A8taxstdlife+$E581),(('PTRM input'!$O$150+'PTRM input'!$O$116)*$O$7)-SUM($O581:AJ581),(('PTRM input'!$O$150+'PTRM input'!$O$116)*$O$7)/A8taxstdlife))</f>
        <v>0</v>
      </c>
      <c r="AL581" s="590">
        <f>IF(A8taxstdlife="n/a","n/a",IF(AL$3&gt;(A8taxstdlife+$E581),(('PTRM input'!$O$150+'PTRM input'!$O$116)*$O$7)-SUM($O581:AK581),(('PTRM input'!$O$150+'PTRM input'!$O$116)*$O$7)/A8taxstdlife))</f>
        <v>0</v>
      </c>
      <c r="AM581" s="590">
        <f>IF(A8taxstdlife="n/a","n/a",IF(AM$3&gt;(A8taxstdlife+$E581),(('PTRM input'!$O$150+'PTRM input'!$O$116)*$O$7)-SUM($O581:AL581),(('PTRM input'!$O$150+'PTRM input'!$O$116)*$O$7)/A8taxstdlife))</f>
        <v>0</v>
      </c>
      <c r="AN581" s="590">
        <f>IF(A8taxstdlife="n/a","n/a",IF(AN$3&gt;(A8taxstdlife+$E581),(('PTRM input'!$O$150+'PTRM input'!$O$116)*$O$7)-SUM($O581:AM581),(('PTRM input'!$O$150+'PTRM input'!$O$116)*$O$7)/A8taxstdlife))</f>
        <v>0</v>
      </c>
      <c r="AO581" s="590">
        <f>IF(A8taxstdlife="n/a","n/a",IF(AO$3&gt;(A8taxstdlife+$E581),(('PTRM input'!$O$150+'PTRM input'!$O$116)*$O$7)-SUM($O581:AN581),(('PTRM input'!$O$150+'PTRM input'!$O$116)*$O$7)/A8taxstdlife))</f>
        <v>0</v>
      </c>
      <c r="AP581" s="590">
        <f>IF(A8taxstdlife="n/a","n/a",IF(AP$3&gt;(A8taxstdlife+$E581),(('PTRM input'!$O$150+'PTRM input'!$O$116)*$O$7)-SUM($O581:AO581),(('PTRM input'!$O$150+'PTRM input'!$O$116)*$O$7)/A8taxstdlife))</f>
        <v>0</v>
      </c>
      <c r="AQ581" s="590">
        <f>IF(A8taxstdlife="n/a","n/a",IF(AQ$3&gt;(A8taxstdlife+$E581),(('PTRM input'!$O$150+'PTRM input'!$O$116)*$O$7)-SUM($O581:AP581),(('PTRM input'!$O$150+'PTRM input'!$O$116)*$O$7)/A8taxstdlife))</f>
        <v>0</v>
      </c>
      <c r="AR581" s="590">
        <f>IF(A8taxstdlife="n/a","n/a",IF(AR$3&gt;(A8taxstdlife+$E581),(('PTRM input'!$O$150+'PTRM input'!$O$116)*$O$7)-SUM($O581:AQ581),(('PTRM input'!$O$150+'PTRM input'!$O$116)*$O$7)/A8taxstdlife))</f>
        <v>0</v>
      </c>
      <c r="AS581" s="590">
        <f>IF(A8taxstdlife="n/a","n/a",IF(AS$3&gt;(A8taxstdlife+$E581),(('PTRM input'!$O$150+'PTRM input'!$O$116)*$O$7)-SUM($O581:AR581),(('PTRM input'!$O$150+'PTRM input'!$O$116)*$O$7)/A8taxstdlife))</f>
        <v>0</v>
      </c>
      <c r="AT581" s="590">
        <f>IF(A8taxstdlife="n/a","n/a",IF(AT$3&gt;(A8taxstdlife+$E581),(('PTRM input'!$O$150+'PTRM input'!$O$116)*$O$7)-SUM($O581:AS581),(('PTRM input'!$O$150+'PTRM input'!$O$116)*$O$7)/A8taxstdlife))</f>
        <v>0</v>
      </c>
      <c r="AU581" s="590">
        <f>IF(A8taxstdlife="n/a","n/a",IF(AU$3&gt;(A8taxstdlife+$E581),(('PTRM input'!$O$150+'PTRM input'!$O$116)*$O$7)-SUM($O581:AT581),(('PTRM input'!$O$150+'PTRM input'!$O$116)*$O$7)/A8taxstdlife))</f>
        <v>0</v>
      </c>
      <c r="AV581" s="590">
        <f>IF(A8taxstdlife="n/a","n/a",IF(AV$3&gt;(A8taxstdlife+$E581),(('PTRM input'!$O$150+'PTRM input'!$O$116)*$O$7)-SUM($O581:AU581),(('PTRM input'!$O$150+'PTRM input'!$O$116)*$O$7)/A8taxstdlife))</f>
        <v>0</v>
      </c>
      <c r="AW581" s="590">
        <f>IF(A8taxstdlife="n/a","n/a",IF(AW$3&gt;(A8taxstdlife+$E581),(('PTRM input'!$O$150+'PTRM input'!$O$116)*$O$7)-SUM($O581:AV581),(('PTRM input'!$O$150+'PTRM input'!$O$116)*$O$7)/A8taxstdlife))</f>
        <v>0</v>
      </c>
      <c r="AX581" s="590">
        <f>IF(A8taxstdlife="n/a","n/a",IF(AX$3&gt;(A8taxstdlife+$E581),(('PTRM input'!$O$150+'PTRM input'!$O$116)*$O$7)-SUM($O581:AW581),(('PTRM input'!$O$150+'PTRM input'!$O$116)*$O$7)/A8taxstdlife))</f>
        <v>0</v>
      </c>
      <c r="AY581" s="590">
        <f>IF(A8taxstdlife="n/a","n/a",IF(AY$3&gt;(A8taxstdlife+$E581),(('PTRM input'!$O$150+'PTRM input'!$O$116)*$O$7)-SUM($O581:AX581),(('PTRM input'!$O$150+'PTRM input'!$O$116)*$O$7)/A8taxstdlife))</f>
        <v>0</v>
      </c>
      <c r="AZ581" s="590">
        <f>IF(A8taxstdlife="n/a","n/a",IF(AZ$3&gt;(A8taxstdlife+$E581),(('PTRM input'!$O$150+'PTRM input'!$O$116)*$O$7)-SUM($O581:AY581),(('PTRM input'!$O$150+'PTRM input'!$O$116)*$O$7)/A8taxstdlife))</f>
        <v>0</v>
      </c>
      <c r="BA581" s="590">
        <f>IF(A8taxstdlife="n/a","n/a",IF(BA$3&gt;(A8taxstdlife+$E581),(('PTRM input'!$O$150+'PTRM input'!$O$116)*$O$7)-SUM($O581:AZ581),(('PTRM input'!$O$150+'PTRM input'!$O$116)*$O$7)/A8taxstdlife))</f>
        <v>0</v>
      </c>
      <c r="BB581" s="590">
        <f>IF(A8taxstdlife="n/a","n/a",IF(BB$3&gt;(A8taxstdlife+$E581),(('PTRM input'!$O$150+'PTRM input'!$O$116)*$O$7)-SUM($O581:BA581),(('PTRM input'!$O$150+'PTRM input'!$O$116)*$O$7)/A8taxstdlife))</f>
        <v>0</v>
      </c>
      <c r="BC581" s="590">
        <f>IF(A8taxstdlife="n/a","n/a",IF(BC$3&gt;(A8taxstdlife+$E581),(('PTRM input'!$O$150+'PTRM input'!$O$116)*$O$7)-SUM($O581:BB581),(('PTRM input'!$O$150+'PTRM input'!$O$116)*$O$7)/A8taxstdlife))</f>
        <v>0</v>
      </c>
      <c r="BD581" s="590">
        <f>IF(A8taxstdlife="n/a","n/a",IF(BD$3&gt;(A8taxstdlife+$E581),(('PTRM input'!$O$150+'PTRM input'!$O$116)*$O$7)-SUM($O581:BC581),(('PTRM input'!$O$150+'PTRM input'!$O$116)*$O$7)/A8taxstdlife))</f>
        <v>0</v>
      </c>
      <c r="BE581" s="590">
        <f>IF(A8taxstdlife="n/a","n/a",IF(BE$3&gt;(A8taxstdlife+$E581),(('PTRM input'!$O$150+'PTRM input'!$O$116)*$O$7)-SUM($O581:BD581),(('PTRM input'!$O$150+'PTRM input'!$O$116)*$O$7)/A8taxstdlife))</f>
        <v>0</v>
      </c>
      <c r="BF581" s="590">
        <f>IF(A8taxstdlife="n/a","n/a",IF(BF$3&gt;(A8taxstdlife+$E581),(('PTRM input'!$O$150+'PTRM input'!$O$116)*$O$7)-SUM($O581:BE581),(('PTRM input'!$O$150+'PTRM input'!$O$116)*$O$7)/A8taxstdlife))</f>
        <v>0</v>
      </c>
      <c r="BG581" s="590">
        <f>IF(A8taxstdlife="n/a","n/a",IF(BG$3&gt;(A8taxstdlife+$E581),(('PTRM input'!$O$150+'PTRM input'!$O$116)*$O$7)-SUM($O581:BF581),(('PTRM input'!$O$150+'PTRM input'!$O$116)*$O$7)/A8taxstdlife))</f>
        <v>0</v>
      </c>
      <c r="BH581" s="590">
        <f>IF(A8taxstdlife="n/a","n/a",IF(BH$3&gt;(A8taxstdlife+$E581),(('PTRM input'!$O$150+'PTRM input'!$O$116)*$O$7)-SUM($O581:BG581),(('PTRM input'!$O$150+'PTRM input'!$O$116)*$O$7)/A8taxstdlife))</f>
        <v>0</v>
      </c>
      <c r="BI581" s="590">
        <f>IF(A8taxstdlife="n/a","n/a",IF(BI$3&gt;(A8taxstdlife+$E581),(('PTRM input'!$O$150+'PTRM input'!$O$116)*$O$7)-SUM($O581:BH581),(('PTRM input'!$O$150+'PTRM input'!$O$116)*$O$7)/A8taxstdlife))</f>
        <v>0</v>
      </c>
      <c r="BJ581" s="240"/>
      <c r="BK581" s="240"/>
      <c r="BL581" s="240"/>
      <c r="BM581" s="240"/>
    </row>
    <row r="582" spans="1:65" s="4" customFormat="1" hidden="1" outlineLevel="2">
      <c r="A582" s="240"/>
      <c r="B582" s="240"/>
      <c r="C582" s="595"/>
      <c r="D582" s="1618"/>
      <c r="E582" s="170">
        <v>10</v>
      </c>
      <c r="F582" s="35"/>
      <c r="G582" s="184"/>
      <c r="H582" s="186"/>
      <c r="I582" s="186"/>
      <c r="J582" s="186"/>
      <c r="K582" s="186"/>
      <c r="L582" s="186"/>
      <c r="M582" s="186"/>
      <c r="N582" s="186"/>
      <c r="O582" s="186"/>
      <c r="P582" s="185"/>
      <c r="Q582" s="590">
        <f>IF(A8taxstdlife="n/a","n/a",IF(Q$3&gt;(A8taxstdlife+$E582),(('PTRM input'!$P$150+'PTRM input'!$P$116)*$P$7)-SUM($P582:P582),(('PTRM input'!$P$150+'PTRM input'!$P$116)*$P$7)/A8taxstdlife))</f>
        <v>0</v>
      </c>
      <c r="R582" s="590">
        <f>IF(A8taxstdlife="n/a","n/a",IF(R$3&gt;(A8taxstdlife+$E582),(('PTRM input'!$P$150+'PTRM input'!$P$116)*$P$7)-SUM($P582:Q582),(('PTRM input'!$P$150+'PTRM input'!$P$116)*$P$7)/A8taxstdlife))</f>
        <v>0</v>
      </c>
      <c r="S582" s="590">
        <f>IF(A8taxstdlife="n/a","n/a",IF(S$3&gt;(A8taxstdlife+$E582),(('PTRM input'!$P$150+'PTRM input'!$P$116)*$P$7)-SUM($P582:R582),(('PTRM input'!$P$150+'PTRM input'!$P$116)*$P$7)/A8taxstdlife))</f>
        <v>0</v>
      </c>
      <c r="T582" s="590">
        <f>IF(A8taxstdlife="n/a","n/a",IF(T$3&gt;(A8taxstdlife+$E582),(('PTRM input'!$P$150+'PTRM input'!$P$116)*$P$7)-SUM($P582:S582),(('PTRM input'!$P$150+'PTRM input'!$P$116)*$P$7)/A8taxstdlife))</f>
        <v>0</v>
      </c>
      <c r="U582" s="590">
        <f>IF(A8taxstdlife="n/a","n/a",IF(U$3&gt;(A8taxstdlife+$E582),(('PTRM input'!$P$150+'PTRM input'!$P$116)*$P$7)-SUM($P582:T582),(('PTRM input'!$P$150+'PTRM input'!$P$116)*$P$7)/A8taxstdlife))</f>
        <v>0</v>
      </c>
      <c r="V582" s="590">
        <f>IF(A8taxstdlife="n/a","n/a",IF(V$3&gt;(A8taxstdlife+$E582),(('PTRM input'!$P$150+'PTRM input'!$P$116)*$P$7)-SUM($P582:U582),(('PTRM input'!$P$150+'PTRM input'!$P$116)*$P$7)/A8taxstdlife))</f>
        <v>0</v>
      </c>
      <c r="W582" s="590">
        <f>IF(A8taxstdlife="n/a","n/a",IF(W$3&gt;(A8taxstdlife+$E582),(('PTRM input'!$P$150+'PTRM input'!$P$116)*$P$7)-SUM($P582:V582),(('PTRM input'!$P$150+'PTRM input'!$P$116)*$P$7)/A8taxstdlife))</f>
        <v>0</v>
      </c>
      <c r="X582" s="590">
        <f>IF(A8taxstdlife="n/a","n/a",IF(X$3&gt;(A8taxstdlife+$E582),(('PTRM input'!$P$150+'PTRM input'!$P$116)*$P$7)-SUM($P582:W582),(('PTRM input'!$P$150+'PTRM input'!$P$116)*$P$7)/A8taxstdlife))</f>
        <v>0</v>
      </c>
      <c r="Y582" s="590">
        <f>IF(A8taxstdlife="n/a","n/a",IF(Y$3&gt;(A8taxstdlife+$E582),(('PTRM input'!$P$150+'PTRM input'!$P$116)*$P$7)-SUM($P582:X582),(('PTRM input'!$P$150+'PTRM input'!$P$116)*$P$7)/A8taxstdlife))</f>
        <v>0</v>
      </c>
      <c r="Z582" s="590">
        <f>IF(A8taxstdlife="n/a","n/a",IF(Z$3&gt;(A8taxstdlife+$E582),(('PTRM input'!$P$150+'PTRM input'!$P$116)*$P$7)-SUM($P582:Y582),(('PTRM input'!$P$150+'PTRM input'!$P$116)*$P$7)/A8taxstdlife))</f>
        <v>0</v>
      </c>
      <c r="AA582" s="590">
        <f>IF(A8taxstdlife="n/a","n/a",IF(AA$3&gt;(A8taxstdlife+$E582),(('PTRM input'!$P$150+'PTRM input'!$P$116)*$P$7)-SUM($P582:Z582),(('PTRM input'!$P$150+'PTRM input'!$P$116)*$P$7)/A8taxstdlife))</f>
        <v>0</v>
      </c>
      <c r="AB582" s="590">
        <f>IF(A8taxstdlife="n/a","n/a",IF(AB$3&gt;(A8taxstdlife+$E582),(('PTRM input'!$P$150+'PTRM input'!$P$116)*$P$7)-SUM($P582:AA582),(('PTRM input'!$P$150+'PTRM input'!$P$116)*$P$7)/A8taxstdlife))</f>
        <v>0</v>
      </c>
      <c r="AC582" s="590">
        <f>IF(A8taxstdlife="n/a","n/a",IF(AC$3&gt;(A8taxstdlife+$E582),(('PTRM input'!$P$150+'PTRM input'!$P$116)*$P$7)-SUM($P582:AB582),(('PTRM input'!$P$150+'PTRM input'!$P$116)*$P$7)/A8taxstdlife))</f>
        <v>0</v>
      </c>
      <c r="AD582" s="590">
        <f>IF(A8taxstdlife="n/a","n/a",IF(AD$3&gt;(A8taxstdlife+$E582),(('PTRM input'!$P$150+'PTRM input'!$P$116)*$P$7)-SUM($P582:AC582),(('PTRM input'!$P$150+'PTRM input'!$P$116)*$P$7)/A8taxstdlife))</f>
        <v>0</v>
      </c>
      <c r="AE582" s="590">
        <f>IF(A8taxstdlife="n/a","n/a",IF(AE$3&gt;(A8taxstdlife+$E582),(('PTRM input'!$P$150+'PTRM input'!$P$116)*$P$7)-SUM($P582:AD582),(('PTRM input'!$P$150+'PTRM input'!$P$116)*$P$7)/A8taxstdlife))</f>
        <v>0</v>
      </c>
      <c r="AF582" s="590">
        <f>IF(A8taxstdlife="n/a","n/a",IF(AF$3&gt;(A8taxstdlife+$E582),(('PTRM input'!$P$150+'PTRM input'!$P$116)*$P$7)-SUM($P582:AE582),(('PTRM input'!$P$150+'PTRM input'!$P$116)*$P$7)/A8taxstdlife))</f>
        <v>0</v>
      </c>
      <c r="AG582" s="590">
        <f>IF(A8taxstdlife="n/a","n/a",IF(AG$3&gt;(A8taxstdlife+$E582),(('PTRM input'!$P$150+'PTRM input'!$P$116)*$P$7)-SUM($P582:AF582),(('PTRM input'!$P$150+'PTRM input'!$P$116)*$P$7)/A8taxstdlife))</f>
        <v>0</v>
      </c>
      <c r="AH582" s="590">
        <f>IF(A8taxstdlife="n/a","n/a",IF(AH$3&gt;(A8taxstdlife+$E582),(('PTRM input'!$P$150+'PTRM input'!$P$116)*$P$7)-SUM($P582:AG582),(('PTRM input'!$P$150+'PTRM input'!$P$116)*$P$7)/A8taxstdlife))</f>
        <v>0</v>
      </c>
      <c r="AI582" s="590">
        <f>IF(A8taxstdlife="n/a","n/a",IF(AI$3&gt;(A8taxstdlife+$E582),(('PTRM input'!$P$150+'PTRM input'!$P$116)*$P$7)-SUM($P582:AH582),(('PTRM input'!$P$150+'PTRM input'!$P$116)*$P$7)/A8taxstdlife))</f>
        <v>0</v>
      </c>
      <c r="AJ582" s="590">
        <f>IF(A8taxstdlife="n/a","n/a",IF(AJ$3&gt;(A8taxstdlife+$E582),(('PTRM input'!$P$150+'PTRM input'!$P$116)*$P$7)-SUM($P582:AI582),(('PTRM input'!$P$150+'PTRM input'!$P$116)*$P$7)/A8taxstdlife))</f>
        <v>0</v>
      </c>
      <c r="AK582" s="590">
        <f>IF(A8taxstdlife="n/a","n/a",IF(AK$3&gt;(A8taxstdlife+$E582),(('PTRM input'!$P$150+'PTRM input'!$P$116)*$P$7)-SUM($P582:AJ582),(('PTRM input'!$P$150+'PTRM input'!$P$116)*$P$7)/A8taxstdlife))</f>
        <v>0</v>
      </c>
      <c r="AL582" s="590">
        <f>IF(A8taxstdlife="n/a","n/a",IF(AL$3&gt;(A8taxstdlife+$E582),(('PTRM input'!$P$150+'PTRM input'!$P$116)*$P$7)-SUM($P582:AK582),(('PTRM input'!$P$150+'PTRM input'!$P$116)*$P$7)/A8taxstdlife))</f>
        <v>0</v>
      </c>
      <c r="AM582" s="590">
        <f>IF(A8taxstdlife="n/a","n/a",IF(AM$3&gt;(A8taxstdlife+$E582),(('PTRM input'!$P$150+'PTRM input'!$P$116)*$P$7)-SUM($P582:AL582),(('PTRM input'!$P$150+'PTRM input'!$P$116)*$P$7)/A8taxstdlife))</f>
        <v>0</v>
      </c>
      <c r="AN582" s="590">
        <f>IF(A8taxstdlife="n/a","n/a",IF(AN$3&gt;(A8taxstdlife+$E582),(('PTRM input'!$P$150+'PTRM input'!$P$116)*$P$7)-SUM($P582:AM582),(('PTRM input'!$P$150+'PTRM input'!$P$116)*$P$7)/A8taxstdlife))</f>
        <v>0</v>
      </c>
      <c r="AO582" s="590">
        <f>IF(A8taxstdlife="n/a","n/a",IF(AO$3&gt;(A8taxstdlife+$E582),(('PTRM input'!$P$150+'PTRM input'!$P$116)*$P$7)-SUM($P582:AN582),(('PTRM input'!$P$150+'PTRM input'!$P$116)*$P$7)/A8taxstdlife))</f>
        <v>0</v>
      </c>
      <c r="AP582" s="590">
        <f>IF(A8taxstdlife="n/a","n/a",IF(AP$3&gt;(A8taxstdlife+$E582),(('PTRM input'!$P$150+'PTRM input'!$P$116)*$P$7)-SUM($P582:AO582),(('PTRM input'!$P$150+'PTRM input'!$P$116)*$P$7)/A8taxstdlife))</f>
        <v>0</v>
      </c>
      <c r="AQ582" s="590">
        <f>IF(A8taxstdlife="n/a","n/a",IF(AQ$3&gt;(A8taxstdlife+$E582),(('PTRM input'!$P$150+'PTRM input'!$P$116)*$P$7)-SUM($P582:AP582),(('PTRM input'!$P$150+'PTRM input'!$P$116)*$P$7)/A8taxstdlife))</f>
        <v>0</v>
      </c>
      <c r="AR582" s="590">
        <f>IF(A8taxstdlife="n/a","n/a",IF(AR$3&gt;(A8taxstdlife+$E582),(('PTRM input'!$P$150+'PTRM input'!$P$116)*$P$7)-SUM($P582:AQ582),(('PTRM input'!$P$150+'PTRM input'!$P$116)*$P$7)/A8taxstdlife))</f>
        <v>0</v>
      </c>
      <c r="AS582" s="590">
        <f>IF(A8taxstdlife="n/a","n/a",IF(AS$3&gt;(A8taxstdlife+$E582),(('PTRM input'!$P$150+'PTRM input'!$P$116)*$P$7)-SUM($P582:AR582),(('PTRM input'!$P$150+'PTRM input'!$P$116)*$P$7)/A8taxstdlife))</f>
        <v>0</v>
      </c>
      <c r="AT582" s="590">
        <f>IF(A8taxstdlife="n/a","n/a",IF(AT$3&gt;(A8taxstdlife+$E582),(('PTRM input'!$P$150+'PTRM input'!$P$116)*$P$7)-SUM($P582:AS582),(('PTRM input'!$P$150+'PTRM input'!$P$116)*$P$7)/A8taxstdlife))</f>
        <v>0</v>
      </c>
      <c r="AU582" s="590">
        <f>IF(A8taxstdlife="n/a","n/a",IF(AU$3&gt;(A8taxstdlife+$E582),(('PTRM input'!$P$150+'PTRM input'!$P$116)*$P$7)-SUM($P582:AT582),(('PTRM input'!$P$150+'PTRM input'!$P$116)*$P$7)/A8taxstdlife))</f>
        <v>0</v>
      </c>
      <c r="AV582" s="590">
        <f>IF(A8taxstdlife="n/a","n/a",IF(AV$3&gt;(A8taxstdlife+$E582),(('PTRM input'!$P$150+'PTRM input'!$P$116)*$P$7)-SUM($P582:AU582),(('PTRM input'!$P$150+'PTRM input'!$P$116)*$P$7)/A8taxstdlife))</f>
        <v>0</v>
      </c>
      <c r="AW582" s="590">
        <f>IF(A8taxstdlife="n/a","n/a",IF(AW$3&gt;(A8taxstdlife+$E582),(('PTRM input'!$P$150+'PTRM input'!$P$116)*$P$7)-SUM($P582:AV582),(('PTRM input'!$P$150+'PTRM input'!$P$116)*$P$7)/A8taxstdlife))</f>
        <v>0</v>
      </c>
      <c r="AX582" s="590">
        <f>IF(A8taxstdlife="n/a","n/a",IF(AX$3&gt;(A8taxstdlife+$E582),(('PTRM input'!$P$150+'PTRM input'!$P$116)*$P$7)-SUM($P582:AW582),(('PTRM input'!$P$150+'PTRM input'!$P$116)*$P$7)/A8taxstdlife))</f>
        <v>0</v>
      </c>
      <c r="AY582" s="590">
        <f>IF(A8taxstdlife="n/a","n/a",IF(AY$3&gt;(A8taxstdlife+$E582),(('PTRM input'!$P$150+'PTRM input'!$P$116)*$P$7)-SUM($P582:AX582),(('PTRM input'!$P$150+'PTRM input'!$P$116)*$P$7)/A8taxstdlife))</f>
        <v>0</v>
      </c>
      <c r="AZ582" s="590">
        <f>IF(A8taxstdlife="n/a","n/a",IF(AZ$3&gt;(A8taxstdlife+$E582),(('PTRM input'!$P$150+'PTRM input'!$P$116)*$P$7)-SUM($P582:AY582),(('PTRM input'!$P$150+'PTRM input'!$P$116)*$P$7)/A8taxstdlife))</f>
        <v>0</v>
      </c>
      <c r="BA582" s="590">
        <f>IF(A8taxstdlife="n/a","n/a",IF(BA$3&gt;(A8taxstdlife+$E582),(('PTRM input'!$P$150+'PTRM input'!$P$116)*$P$7)-SUM($P582:AZ582),(('PTRM input'!$P$150+'PTRM input'!$P$116)*$P$7)/A8taxstdlife))</f>
        <v>0</v>
      </c>
      <c r="BB582" s="590">
        <f>IF(A8taxstdlife="n/a","n/a",IF(BB$3&gt;(A8taxstdlife+$E582),(('PTRM input'!$P$150+'PTRM input'!$P$116)*$P$7)-SUM($P582:BA582),(('PTRM input'!$P$150+'PTRM input'!$P$116)*$P$7)/A8taxstdlife))</f>
        <v>0</v>
      </c>
      <c r="BC582" s="590">
        <f>IF(A8taxstdlife="n/a","n/a",IF(BC$3&gt;(A8taxstdlife+$E582),(('PTRM input'!$P$150+'PTRM input'!$P$116)*$P$7)-SUM($P582:BB582),(('PTRM input'!$P$150+'PTRM input'!$P$116)*$P$7)/A8taxstdlife))</f>
        <v>0</v>
      </c>
      <c r="BD582" s="590">
        <f>IF(A8taxstdlife="n/a","n/a",IF(BD$3&gt;(A8taxstdlife+$E582),(('PTRM input'!$P$150+'PTRM input'!$P$116)*$P$7)-SUM($P582:BC582),(('PTRM input'!$P$150+'PTRM input'!$P$116)*$P$7)/A8taxstdlife))</f>
        <v>0</v>
      </c>
      <c r="BE582" s="590">
        <f>IF(A8taxstdlife="n/a","n/a",IF(BE$3&gt;(A8taxstdlife+$E582),(('PTRM input'!$P$150+'PTRM input'!$P$116)*$P$7)-SUM($P582:BD582),(('PTRM input'!$P$150+'PTRM input'!$P$116)*$P$7)/A8taxstdlife))</f>
        <v>0</v>
      </c>
      <c r="BF582" s="590">
        <f>IF(A8taxstdlife="n/a","n/a",IF(BF$3&gt;(A8taxstdlife+$E582),(('PTRM input'!$P$150+'PTRM input'!$P$116)*$P$7)-SUM($P582:BE582),(('PTRM input'!$P$150+'PTRM input'!$P$116)*$P$7)/A8taxstdlife))</f>
        <v>0</v>
      </c>
      <c r="BG582" s="590">
        <f>IF(A8taxstdlife="n/a","n/a",IF(BG$3&gt;(A8taxstdlife+$E582),(('PTRM input'!$P$150+'PTRM input'!$P$116)*$P$7)-SUM($P582:BF582),(('PTRM input'!$P$150+'PTRM input'!$P$116)*$P$7)/A8taxstdlife))</f>
        <v>0</v>
      </c>
      <c r="BH582" s="590">
        <f>IF(A8taxstdlife="n/a","n/a",IF(BH$3&gt;(A8taxstdlife+$E582),(('PTRM input'!$P$150+'PTRM input'!$P$116)*$P$7)-SUM($P582:BG582),(('PTRM input'!$P$150+'PTRM input'!$P$116)*$P$7)/A8taxstdlife))</f>
        <v>0</v>
      </c>
      <c r="BI582" s="590">
        <f>IF(A8taxstdlife="n/a","n/a",IF(BI$3&gt;(A8taxstdlife+$E582),(('PTRM input'!$P$150+'PTRM input'!$P$116)*$P$7)-SUM($P582:BH582),(('PTRM input'!$P$150+'PTRM input'!$P$116)*$P$7)/A8taxstdlife))</f>
        <v>0</v>
      </c>
      <c r="BJ582" s="240"/>
      <c r="BK582" s="240"/>
      <c r="BL582" s="240"/>
      <c r="BM582" s="240"/>
    </row>
    <row r="583" spans="1:65" s="4" customFormat="1" hidden="1" outlineLevel="1">
      <c r="A583" s="240"/>
      <c r="B583" s="240"/>
      <c r="C583" s="595">
        <f>Asset8</f>
        <v>0</v>
      </c>
      <c r="D583" s="240"/>
      <c r="E583" s="240"/>
      <c r="F583" s="596"/>
      <c r="G583" s="591">
        <f t="shared" ref="G583:AL583" si="120">SUM(G571:G582)</f>
        <v>0</v>
      </c>
      <c r="H583" s="591">
        <f t="shared" si="120"/>
        <v>0</v>
      </c>
      <c r="I583" s="591">
        <f t="shared" si="120"/>
        <v>0</v>
      </c>
      <c r="J583" s="591">
        <f t="shared" si="120"/>
        <v>0</v>
      </c>
      <c r="K583" s="591">
        <f t="shared" si="120"/>
        <v>0</v>
      </c>
      <c r="L583" s="591">
        <f t="shared" si="120"/>
        <v>0</v>
      </c>
      <c r="M583" s="591">
        <f t="shared" si="120"/>
        <v>0</v>
      </c>
      <c r="N583" s="591">
        <f t="shared" si="120"/>
        <v>0</v>
      </c>
      <c r="O583" s="591">
        <f t="shared" si="120"/>
        <v>0</v>
      </c>
      <c r="P583" s="591">
        <f t="shared" si="120"/>
        <v>0</v>
      </c>
      <c r="Q583" s="591">
        <f t="shared" si="120"/>
        <v>0</v>
      </c>
      <c r="R583" s="591">
        <f t="shared" si="120"/>
        <v>0</v>
      </c>
      <c r="S583" s="591">
        <f t="shared" si="120"/>
        <v>0</v>
      </c>
      <c r="T583" s="591">
        <f t="shared" si="120"/>
        <v>0</v>
      </c>
      <c r="U583" s="591">
        <f t="shared" si="120"/>
        <v>0</v>
      </c>
      <c r="V583" s="591">
        <f t="shared" si="120"/>
        <v>0</v>
      </c>
      <c r="W583" s="591">
        <f t="shared" si="120"/>
        <v>0</v>
      </c>
      <c r="X583" s="591">
        <f t="shared" si="120"/>
        <v>0</v>
      </c>
      <c r="Y583" s="591">
        <f t="shared" si="120"/>
        <v>0</v>
      </c>
      <c r="Z583" s="591">
        <f t="shared" si="120"/>
        <v>0</v>
      </c>
      <c r="AA583" s="591">
        <f t="shared" si="120"/>
        <v>0</v>
      </c>
      <c r="AB583" s="591">
        <f t="shared" si="120"/>
        <v>0</v>
      </c>
      <c r="AC583" s="591">
        <f t="shared" si="120"/>
        <v>0</v>
      </c>
      <c r="AD583" s="591">
        <f t="shared" si="120"/>
        <v>0</v>
      </c>
      <c r="AE583" s="591">
        <f t="shared" si="120"/>
        <v>0</v>
      </c>
      <c r="AF583" s="591">
        <f t="shared" si="120"/>
        <v>0</v>
      </c>
      <c r="AG583" s="591">
        <f t="shared" si="120"/>
        <v>0</v>
      </c>
      <c r="AH583" s="591">
        <f t="shared" si="120"/>
        <v>0</v>
      </c>
      <c r="AI583" s="591">
        <f t="shared" si="120"/>
        <v>0</v>
      </c>
      <c r="AJ583" s="591">
        <f t="shared" si="120"/>
        <v>0</v>
      </c>
      <c r="AK583" s="591">
        <f t="shared" si="120"/>
        <v>0</v>
      </c>
      <c r="AL583" s="591">
        <f t="shared" si="120"/>
        <v>0</v>
      </c>
      <c r="AM583" s="591">
        <f t="shared" ref="AM583:BI583" si="121">SUM(AM571:AM582)</f>
        <v>0</v>
      </c>
      <c r="AN583" s="591">
        <f t="shared" si="121"/>
        <v>0</v>
      </c>
      <c r="AO583" s="591">
        <f t="shared" si="121"/>
        <v>0</v>
      </c>
      <c r="AP583" s="591">
        <f t="shared" si="121"/>
        <v>0</v>
      </c>
      <c r="AQ583" s="591">
        <f t="shared" si="121"/>
        <v>0</v>
      </c>
      <c r="AR583" s="591">
        <f t="shared" si="121"/>
        <v>0</v>
      </c>
      <c r="AS583" s="591">
        <f t="shared" si="121"/>
        <v>0</v>
      </c>
      <c r="AT583" s="591">
        <f t="shared" si="121"/>
        <v>0</v>
      </c>
      <c r="AU583" s="591">
        <f t="shared" si="121"/>
        <v>0</v>
      </c>
      <c r="AV583" s="591">
        <f t="shared" si="121"/>
        <v>0</v>
      </c>
      <c r="AW583" s="591">
        <f t="shared" si="121"/>
        <v>0</v>
      </c>
      <c r="AX583" s="591">
        <f t="shared" si="121"/>
        <v>0</v>
      </c>
      <c r="AY583" s="591">
        <f t="shared" si="121"/>
        <v>0</v>
      </c>
      <c r="AZ583" s="591">
        <f t="shared" si="121"/>
        <v>0</v>
      </c>
      <c r="BA583" s="591">
        <f t="shared" si="121"/>
        <v>0</v>
      </c>
      <c r="BB583" s="591">
        <f t="shared" si="121"/>
        <v>0</v>
      </c>
      <c r="BC583" s="591">
        <f t="shared" si="121"/>
        <v>0</v>
      </c>
      <c r="BD583" s="591">
        <f t="shared" si="121"/>
        <v>0</v>
      </c>
      <c r="BE583" s="591">
        <f t="shared" si="121"/>
        <v>0</v>
      </c>
      <c r="BF583" s="591">
        <f t="shared" si="121"/>
        <v>0</v>
      </c>
      <c r="BG583" s="591">
        <f t="shared" si="121"/>
        <v>0</v>
      </c>
      <c r="BH583" s="591">
        <f t="shared" si="121"/>
        <v>0</v>
      </c>
      <c r="BI583" s="591">
        <f t="shared" si="121"/>
        <v>0</v>
      </c>
      <c r="BJ583" s="240"/>
      <c r="BK583" s="240"/>
      <c r="BL583" s="240"/>
      <c r="BM583" s="240"/>
    </row>
    <row r="584" spans="1:65" s="4" customFormat="1" hidden="1" outlineLevel="2">
      <c r="A584" s="240"/>
      <c r="B584" s="597">
        <f>C596</f>
        <v>0</v>
      </c>
      <c r="C584" s="488"/>
      <c r="D584" s="598" t="s">
        <v>58</v>
      </c>
      <c r="E584" s="488"/>
      <c r="F584" s="599"/>
      <c r="G584" s="592">
        <f>IF(G$3&gt;A9taxremlife,A9taxvalue-SUM($F584:F584),IF(A9taxremlife="N/A","n/a",A9taxvalue/A9taxremlife))</f>
        <v>0</v>
      </c>
      <c r="H584" s="592">
        <f>IF(H$3&gt;A9taxremlife,A9taxvalue-SUM($F584:G584),IF(A9taxremlife="N/A","n/a",A9taxvalue/A9taxremlife))</f>
        <v>0</v>
      </c>
      <c r="I584" s="592">
        <f>IF(I$3&gt;A9taxremlife,A9taxvalue-SUM($F584:H584),IF(A9taxremlife="N/A","n/a",A9taxvalue/A9taxremlife))</f>
        <v>0</v>
      </c>
      <c r="J584" s="592">
        <f>IF(J$3&gt;A9taxremlife,A9taxvalue-SUM($F584:I584),IF(A9taxremlife="N/A","n/a",A9taxvalue/A9taxremlife))</f>
        <v>0</v>
      </c>
      <c r="K584" s="592">
        <f>IF(K$3&gt;A9taxremlife,A9taxvalue-SUM($F584:J584),IF(A9taxremlife="N/A","n/a",A9taxvalue/A9taxremlife))</f>
        <v>0</v>
      </c>
      <c r="L584" s="592">
        <f>IF(L$3&gt;A9taxremlife,A9taxvalue-SUM($F584:K584),IF(A9taxremlife="N/A","n/a",A9taxvalue/A9taxremlife))</f>
        <v>0</v>
      </c>
      <c r="M584" s="592">
        <f>IF(M$3&gt;A9taxremlife,A9taxvalue-SUM($F584:L584),IF(A9taxremlife="N/A","n/a",A9taxvalue/A9taxremlife))</f>
        <v>0</v>
      </c>
      <c r="N584" s="592">
        <f>IF(N$3&gt;A9taxremlife,A9taxvalue-SUM($F584:M584),IF(A9taxremlife="N/A","n/a",A9taxvalue/A9taxremlife))</f>
        <v>0</v>
      </c>
      <c r="O584" s="592">
        <f>IF(O$3&gt;A9taxremlife,A9taxvalue-SUM($F584:N584),IF(A9taxremlife="N/A","n/a",A9taxvalue/A9taxremlife))</f>
        <v>0</v>
      </c>
      <c r="P584" s="592">
        <f>IF(P$3&gt;A9taxremlife,A9taxvalue-SUM($F584:O584),IF(A9taxremlife="N/A","n/a",A9taxvalue/A9taxremlife))</f>
        <v>0</v>
      </c>
      <c r="Q584" s="592">
        <f>IF(Q$3&gt;A9taxremlife,A9taxvalue-SUM($F584:P584),IF(A9taxremlife="N/A","n/a",A9taxvalue/A9taxremlife))</f>
        <v>0</v>
      </c>
      <c r="R584" s="592">
        <f>IF(R$3&gt;A9taxremlife,A9taxvalue-SUM($F584:Q584),IF(A9taxremlife="N/A","n/a",A9taxvalue/A9taxremlife))</f>
        <v>0</v>
      </c>
      <c r="S584" s="592">
        <f>IF(S$3&gt;A9taxremlife,A9taxvalue-SUM($F584:R584),IF(A9taxremlife="N/A","n/a",A9taxvalue/A9taxremlife))</f>
        <v>0</v>
      </c>
      <c r="T584" s="592">
        <f>IF(T$3&gt;A9taxremlife,A9taxvalue-SUM($F584:S584),IF(A9taxremlife="N/A","n/a",A9taxvalue/A9taxremlife))</f>
        <v>0</v>
      </c>
      <c r="U584" s="592">
        <f>IF(U$3&gt;A9taxremlife,A9taxvalue-SUM($F584:T584),IF(A9taxremlife="N/A","n/a",A9taxvalue/A9taxremlife))</f>
        <v>0</v>
      </c>
      <c r="V584" s="592">
        <f>IF(V$3&gt;A9taxremlife,A9taxvalue-SUM($F584:U584),IF(A9taxremlife="N/A","n/a",A9taxvalue/A9taxremlife))</f>
        <v>0</v>
      </c>
      <c r="W584" s="592">
        <f>IF(W$3&gt;A9taxremlife,A9taxvalue-SUM($F584:V584),IF(A9taxremlife="N/A","n/a",A9taxvalue/A9taxremlife))</f>
        <v>0</v>
      </c>
      <c r="X584" s="592">
        <f>IF(X$3&gt;A9taxremlife,A9taxvalue-SUM($F584:W584),IF(A9taxremlife="N/A","n/a",A9taxvalue/A9taxremlife))</f>
        <v>0</v>
      </c>
      <c r="Y584" s="592">
        <f>IF(Y$3&gt;A9taxremlife,A9taxvalue-SUM($F584:X584),IF(A9taxremlife="N/A","n/a",A9taxvalue/A9taxremlife))</f>
        <v>0</v>
      </c>
      <c r="Z584" s="592">
        <f>IF(Z$3&gt;A9taxremlife,A9taxvalue-SUM($F584:Y584),IF(A9taxremlife="N/A","n/a",A9taxvalue/A9taxremlife))</f>
        <v>0</v>
      </c>
      <c r="AA584" s="592">
        <f>IF(AA$3&gt;A9taxremlife,A9taxvalue-SUM($F584:Z584),IF(A9taxremlife="N/A","n/a",A9taxvalue/A9taxremlife))</f>
        <v>0</v>
      </c>
      <c r="AB584" s="592">
        <f>IF(AB$3&gt;A9taxremlife,A9taxvalue-SUM($F584:AA584),IF(A9taxremlife="N/A","n/a",A9taxvalue/A9taxremlife))</f>
        <v>0</v>
      </c>
      <c r="AC584" s="592">
        <f>IF(AC$3&gt;A9taxremlife,A9taxvalue-SUM($F584:AB584),IF(A9taxremlife="N/A","n/a",A9taxvalue/A9taxremlife))</f>
        <v>0</v>
      </c>
      <c r="AD584" s="592">
        <f>IF(AD$3&gt;A9taxremlife,A9taxvalue-SUM($F584:AC584),IF(A9taxremlife="N/A","n/a",A9taxvalue/A9taxremlife))</f>
        <v>0</v>
      </c>
      <c r="AE584" s="592">
        <f>IF(AE$3&gt;A9taxremlife,A9taxvalue-SUM($F584:AD584),IF(A9taxremlife="N/A","n/a",A9taxvalue/A9taxremlife))</f>
        <v>0</v>
      </c>
      <c r="AF584" s="592">
        <f>IF(AF$3&gt;A9taxremlife,A9taxvalue-SUM($F584:AE584),IF(A9taxremlife="N/A","n/a",A9taxvalue/A9taxremlife))</f>
        <v>0</v>
      </c>
      <c r="AG584" s="592">
        <f>IF(AG$3&gt;A9taxremlife,A9taxvalue-SUM($F584:AF584),IF(A9taxremlife="N/A","n/a",A9taxvalue/A9taxremlife))</f>
        <v>0</v>
      </c>
      <c r="AH584" s="592">
        <f>IF(AH$3&gt;A9taxremlife,A9taxvalue-SUM($F584:AG584),IF(A9taxremlife="N/A","n/a",A9taxvalue/A9taxremlife))</f>
        <v>0</v>
      </c>
      <c r="AI584" s="592">
        <f>IF(AI$3&gt;A9taxremlife,A9taxvalue-SUM($F584:AH584),IF(A9taxremlife="N/A","n/a",A9taxvalue/A9taxremlife))</f>
        <v>0</v>
      </c>
      <c r="AJ584" s="592">
        <f>IF(AJ$3&gt;A9taxremlife,A9taxvalue-SUM($F584:AI584),IF(A9taxremlife="N/A","n/a",A9taxvalue/A9taxremlife))</f>
        <v>0</v>
      </c>
      <c r="AK584" s="592">
        <f>IF(AK$3&gt;A9taxremlife,A9taxvalue-SUM($F584:AJ584),IF(A9taxremlife="N/A","n/a",A9taxvalue/A9taxremlife))</f>
        <v>0</v>
      </c>
      <c r="AL584" s="592">
        <f>IF(AL$3&gt;A9taxremlife,A9taxvalue-SUM($F584:AK584),IF(A9taxremlife="N/A","n/a",A9taxvalue/A9taxremlife))</f>
        <v>0</v>
      </c>
      <c r="AM584" s="592">
        <f>IF(AM$3&gt;A9taxremlife,A9taxvalue-SUM($F584:AL584),IF(A9taxremlife="N/A","n/a",A9taxvalue/A9taxremlife))</f>
        <v>0</v>
      </c>
      <c r="AN584" s="592">
        <f>IF(AN$3&gt;A9taxremlife,A9taxvalue-SUM($F584:AM584),IF(A9taxremlife="N/A","n/a",A9taxvalue/A9taxremlife))</f>
        <v>0</v>
      </c>
      <c r="AO584" s="592">
        <f>IF(AO$3&gt;A9taxremlife,A9taxvalue-SUM($F584:AN584),IF(A9taxremlife="N/A","n/a",A9taxvalue/A9taxremlife))</f>
        <v>0</v>
      </c>
      <c r="AP584" s="592">
        <f>IF(AP$3&gt;A9taxremlife,A9taxvalue-SUM($F584:AO584),IF(A9taxremlife="N/A","n/a",A9taxvalue/A9taxremlife))</f>
        <v>0</v>
      </c>
      <c r="AQ584" s="592">
        <f>IF(AQ$3&gt;A9taxremlife,A9taxvalue-SUM($F584:AP584),IF(A9taxremlife="N/A","n/a",A9taxvalue/A9taxremlife))</f>
        <v>0</v>
      </c>
      <c r="AR584" s="592">
        <f>IF(AR$3&gt;A9taxremlife,A9taxvalue-SUM($F584:AQ584),IF(A9taxremlife="N/A","n/a",A9taxvalue/A9taxremlife))</f>
        <v>0</v>
      </c>
      <c r="AS584" s="592">
        <f>IF(AS$3&gt;A9taxremlife,A9taxvalue-SUM($F584:AR584),IF(A9taxremlife="N/A","n/a",A9taxvalue/A9taxremlife))</f>
        <v>0</v>
      </c>
      <c r="AT584" s="592">
        <f>IF(AT$3&gt;A9taxremlife,A9taxvalue-SUM($F584:AS584),IF(A9taxremlife="N/A","n/a",A9taxvalue/A9taxremlife))</f>
        <v>0</v>
      </c>
      <c r="AU584" s="592">
        <f>IF(AU$3&gt;A9taxremlife,A9taxvalue-SUM($F584:AT584),IF(A9taxremlife="N/A","n/a",A9taxvalue/A9taxremlife))</f>
        <v>0</v>
      </c>
      <c r="AV584" s="592">
        <f>IF(AV$3&gt;A9taxremlife,A9taxvalue-SUM($F584:AU584),IF(A9taxremlife="N/A","n/a",A9taxvalue/A9taxremlife))</f>
        <v>0</v>
      </c>
      <c r="AW584" s="592">
        <f>IF(AW$3&gt;A9taxremlife,A9taxvalue-SUM($F584:AV584),IF(A9taxremlife="N/A","n/a",A9taxvalue/A9taxremlife))</f>
        <v>0</v>
      </c>
      <c r="AX584" s="592">
        <f>IF(AX$3&gt;A9taxremlife,A9taxvalue-SUM($F584:AW584),IF(A9taxremlife="N/A","n/a",A9taxvalue/A9taxremlife))</f>
        <v>0</v>
      </c>
      <c r="AY584" s="592">
        <f>IF(AY$3&gt;A9taxremlife,A9taxvalue-SUM($F584:AX584),IF(A9taxremlife="N/A","n/a",A9taxvalue/A9taxremlife))</f>
        <v>0</v>
      </c>
      <c r="AZ584" s="592">
        <f>IF(AZ$3&gt;A9taxremlife,A9taxvalue-SUM($F584:AY584),IF(A9taxremlife="N/A","n/a",A9taxvalue/A9taxremlife))</f>
        <v>0</v>
      </c>
      <c r="BA584" s="592">
        <f>IF(BA$3&gt;A9taxremlife,A9taxvalue-SUM($F584:AZ584),IF(A9taxremlife="N/A","n/a",A9taxvalue/A9taxremlife))</f>
        <v>0</v>
      </c>
      <c r="BB584" s="592">
        <f>IF(BB$3&gt;A9taxremlife,A9taxvalue-SUM($F584:BA584),IF(A9taxremlife="N/A","n/a",A9taxvalue/A9taxremlife))</f>
        <v>0</v>
      </c>
      <c r="BC584" s="592">
        <f>IF(BC$3&gt;A9taxremlife,A9taxvalue-SUM($F584:BB584),IF(A9taxremlife="N/A","n/a",A9taxvalue/A9taxremlife))</f>
        <v>0</v>
      </c>
      <c r="BD584" s="592">
        <f>IF(BD$3&gt;A9taxremlife,A9taxvalue-SUM($F584:BC584),IF(A9taxremlife="N/A","n/a",A9taxvalue/A9taxremlife))</f>
        <v>0</v>
      </c>
      <c r="BE584" s="592">
        <f>IF(BE$3&gt;A9taxremlife,A9taxvalue-SUM($F584:BD584),IF(A9taxremlife="N/A","n/a",A9taxvalue/A9taxremlife))</f>
        <v>0</v>
      </c>
      <c r="BF584" s="592">
        <f>IF(BF$3&gt;A9taxremlife,A9taxvalue-SUM($F584:BE584),IF(A9taxremlife="N/A","n/a",A9taxvalue/A9taxremlife))</f>
        <v>0</v>
      </c>
      <c r="BG584" s="592">
        <f>IF(BG$3&gt;A9taxremlife,A9taxvalue-SUM($F584:BF584),IF(A9taxremlife="N/A","n/a",A9taxvalue/A9taxremlife))</f>
        <v>0</v>
      </c>
      <c r="BH584" s="592">
        <f>IF(BH$3&gt;A9taxremlife,A9taxvalue-SUM($F584:BG584),IF(A9taxremlife="N/A","n/a",A9taxvalue/A9taxremlife))</f>
        <v>0</v>
      </c>
      <c r="BI584" s="592">
        <f>IF(BI$3&gt;A9taxremlife,A9taxvalue-SUM($F584:BH584),IF(A9taxremlife="N/A","n/a",A9taxvalue/A9taxremlife))</f>
        <v>0</v>
      </c>
      <c r="BJ584" s="240"/>
      <c r="BK584" s="240"/>
      <c r="BL584" s="240"/>
      <c r="BM584" s="240"/>
    </row>
    <row r="585" spans="1:65" s="4" customFormat="1" ht="12.75" hidden="1" customHeight="1" outlineLevel="2">
      <c r="A585" s="240"/>
      <c r="B585" s="240"/>
      <c r="C585" s="595"/>
      <c r="D585" s="1618" t="s">
        <v>357</v>
      </c>
      <c r="E585" s="169">
        <v>0</v>
      </c>
      <c r="F585" s="35"/>
      <c r="G585" s="107"/>
      <c r="H585" s="107"/>
      <c r="I585" s="107"/>
      <c r="J585" s="107"/>
      <c r="K585" s="107"/>
      <c r="L585" s="107"/>
      <c r="M585" s="107"/>
      <c r="N585" s="107"/>
      <c r="O585" s="107"/>
      <c r="P585" s="107"/>
      <c r="Q585" s="590"/>
      <c r="R585" s="590"/>
      <c r="S585" s="590"/>
      <c r="T585" s="590"/>
      <c r="U585" s="590"/>
      <c r="V585" s="590"/>
      <c r="W585" s="590"/>
      <c r="X585" s="590"/>
      <c r="Y585" s="590"/>
      <c r="Z585" s="590"/>
      <c r="AA585" s="590"/>
      <c r="AB585" s="590"/>
      <c r="AC585" s="590"/>
      <c r="AD585" s="590"/>
      <c r="AE585" s="590"/>
      <c r="AF585" s="590"/>
      <c r="AG585" s="590"/>
      <c r="AH585" s="590"/>
      <c r="AI585" s="590"/>
      <c r="AJ585" s="590"/>
      <c r="AK585" s="590"/>
      <c r="AL585" s="590"/>
      <c r="AM585" s="590"/>
      <c r="AN585" s="590"/>
      <c r="AO585" s="590"/>
      <c r="AP585" s="590"/>
      <c r="AQ585" s="590"/>
      <c r="AR585" s="590"/>
      <c r="AS585" s="590"/>
      <c r="AT585" s="590"/>
      <c r="AU585" s="590"/>
      <c r="AV585" s="590"/>
      <c r="AW585" s="590"/>
      <c r="AX585" s="590"/>
      <c r="AY585" s="590"/>
      <c r="AZ585" s="590"/>
      <c r="BA585" s="590"/>
      <c r="BB585" s="590"/>
      <c r="BC585" s="590"/>
      <c r="BD585" s="590"/>
      <c r="BE585" s="590"/>
      <c r="BF585" s="590"/>
      <c r="BG585" s="590"/>
      <c r="BH585" s="590"/>
      <c r="BI585" s="590"/>
      <c r="BJ585" s="240"/>
      <c r="BK585" s="240"/>
      <c r="BL585" s="240"/>
      <c r="BM585" s="240"/>
    </row>
    <row r="586" spans="1:65" s="4" customFormat="1" hidden="1" outlineLevel="2">
      <c r="A586" s="240"/>
      <c r="B586" s="240"/>
      <c r="C586" s="595"/>
      <c r="D586" s="1618"/>
      <c r="E586" s="169">
        <v>1</v>
      </c>
      <c r="F586" s="35"/>
      <c r="G586" s="183"/>
      <c r="H586" s="107">
        <f>IF(A9taxstdlife="n/a","n/a",IF(H$3&gt;(A9taxstdlife+$E586),(('PTRM input'!$G$151+'PTRM input'!$G$117)*$G$7)-SUM($G586:G586),(('PTRM input'!$G$151+'PTRM input'!$G$117)*$G$7)/A9taxstdlife))</f>
        <v>0</v>
      </c>
      <c r="I586" s="107">
        <f>IF(A9taxstdlife="n/a","n/a",IF(I$3&gt;(A9taxstdlife+$E586),(('PTRM input'!$G$151+'PTRM input'!$G$117)*$G$7)-SUM($G586:H586),(('PTRM input'!$G$151+'PTRM input'!$G$117)*$G$7)/A9taxstdlife))</f>
        <v>0</v>
      </c>
      <c r="J586" s="107">
        <f>IF(A9taxstdlife="n/a","n/a",IF(J$3&gt;(A9taxstdlife+$E586),(('PTRM input'!$G$151+'PTRM input'!$G$117)*$G$7)-SUM($G586:I586),(('PTRM input'!$G$151+'PTRM input'!$G$117)*$G$7)/A9taxstdlife))</f>
        <v>0</v>
      </c>
      <c r="K586" s="107">
        <f>IF(A9taxstdlife="n/a","n/a",IF(K$3&gt;(A9taxstdlife+$E586),(('PTRM input'!$G$151+'PTRM input'!$G$117)*$G$7)-SUM($G586:J586),(('PTRM input'!$G$151+'PTRM input'!$G$117)*$G$7)/A9taxstdlife))</f>
        <v>0</v>
      </c>
      <c r="L586" s="107">
        <f>IF(A9taxstdlife="n/a","n/a",IF(L$3&gt;(A9taxstdlife+$E586),(('PTRM input'!$G$151+'PTRM input'!$G$117)*$G$7)-SUM($G586:K586),(('PTRM input'!$G$151+'PTRM input'!$G$117)*$G$7)/A9taxstdlife))</f>
        <v>0</v>
      </c>
      <c r="M586" s="107">
        <f>IF(A9taxstdlife="n/a","n/a",IF(M$3&gt;(A9taxstdlife+$E586),(('PTRM input'!$G$151+'PTRM input'!$G$117)*$G$7)-SUM($G586:L586),(('PTRM input'!$G$151+'PTRM input'!$G$117)*$G$7)/A9taxstdlife))</f>
        <v>0</v>
      </c>
      <c r="N586" s="107">
        <f>IF(A9taxstdlife="n/a","n/a",IF(N$3&gt;(A9taxstdlife+$E586),(('PTRM input'!$G$151+'PTRM input'!$G$117)*$G$7)-SUM($G586:M586),(('PTRM input'!$G$151+'PTRM input'!$G$117)*$G$7)/A9taxstdlife))</f>
        <v>0</v>
      </c>
      <c r="O586" s="107">
        <f>IF(A9taxstdlife="n/a","n/a",IF(O$3&gt;(A9taxstdlife+$E586),(('PTRM input'!$G$151+'PTRM input'!$G$117)*$G$7)-SUM($G586:N586),(('PTRM input'!$G$151+'PTRM input'!$G$117)*$G$7)/A9taxstdlife))</f>
        <v>0</v>
      </c>
      <c r="P586" s="107">
        <f>IF(A9taxstdlife="n/a","n/a",IF(P$3&gt;(A9taxstdlife+$E586),(('PTRM input'!$G$151+'PTRM input'!$G$117)*$G$7)-SUM($G586:O586),(('PTRM input'!$G$151+'PTRM input'!$G$117)*$G$7)/A9taxstdlife))</f>
        <v>0</v>
      </c>
      <c r="Q586" s="590">
        <f>IF(A9taxstdlife="n/a","n/a",IF(Q$3&gt;(A9taxstdlife+$E586),(('PTRM input'!$G$151+'PTRM input'!$G$117)*$G$7)-SUM($G586:P586),(('PTRM input'!$G$151+'PTRM input'!$G$117)*$G$7)/A9taxstdlife))</f>
        <v>0</v>
      </c>
      <c r="R586" s="590">
        <f>IF(A9taxstdlife="n/a","n/a",IF(R$3&gt;(A9taxstdlife+$E586),(('PTRM input'!$G$151+'PTRM input'!$G$117)*$G$7)-SUM($G586:Q586),(('PTRM input'!$G$151+'PTRM input'!$G$117)*$G$7)/A9taxstdlife))</f>
        <v>0</v>
      </c>
      <c r="S586" s="590">
        <f>IF(A9taxstdlife="n/a","n/a",IF(S$3&gt;(A9taxstdlife+$E586),(('PTRM input'!$G$151+'PTRM input'!$G$117)*$G$7)-SUM($G586:R586),(('PTRM input'!$G$151+'PTRM input'!$G$117)*$G$7)/A9taxstdlife))</f>
        <v>0</v>
      </c>
      <c r="T586" s="590">
        <f>IF(A9taxstdlife="n/a","n/a",IF(T$3&gt;(A9taxstdlife+$E586),(('PTRM input'!$G$151+'PTRM input'!$G$117)*$G$7)-SUM($G586:S586),(('PTRM input'!$G$151+'PTRM input'!$G$117)*$G$7)/A9taxstdlife))</f>
        <v>0</v>
      </c>
      <c r="U586" s="590">
        <f>IF(A9taxstdlife="n/a","n/a",IF(U$3&gt;(A9taxstdlife+$E586),(('PTRM input'!$G$151+'PTRM input'!$G$117)*$G$7)-SUM($G586:T586),(('PTRM input'!$G$151+'PTRM input'!$G$117)*$G$7)/A9taxstdlife))</f>
        <v>0</v>
      </c>
      <c r="V586" s="590">
        <f>IF(A9taxstdlife="n/a","n/a",IF(V$3&gt;(A9taxstdlife+$E586),(('PTRM input'!$G$151+'PTRM input'!$G$117)*$G$7)-SUM($G586:U586),(('PTRM input'!$G$151+'PTRM input'!$G$117)*$G$7)/A9taxstdlife))</f>
        <v>0</v>
      </c>
      <c r="W586" s="590">
        <f>IF(A9taxstdlife="n/a","n/a",IF(W$3&gt;(A9taxstdlife+$E586),(('PTRM input'!$G$151+'PTRM input'!$G$117)*$G$7)-SUM($G586:V586),(('PTRM input'!$G$151+'PTRM input'!$G$117)*$G$7)/A9taxstdlife))</f>
        <v>0</v>
      </c>
      <c r="X586" s="590">
        <f>IF(A9taxstdlife="n/a","n/a",IF(X$3&gt;(A9taxstdlife+$E586),(('PTRM input'!$G$151+'PTRM input'!$G$117)*$G$7)-SUM($G586:W586),(('PTRM input'!$G$151+'PTRM input'!$G$117)*$G$7)/A9taxstdlife))</f>
        <v>0</v>
      </c>
      <c r="Y586" s="590">
        <f>IF(A9taxstdlife="n/a","n/a",IF(Y$3&gt;(A9taxstdlife+$E586),(('PTRM input'!$G$151+'PTRM input'!$G$117)*$G$7)-SUM($G586:X586),(('PTRM input'!$G$151+'PTRM input'!$G$117)*$G$7)/A9taxstdlife))</f>
        <v>0</v>
      </c>
      <c r="Z586" s="590">
        <f>IF(A9taxstdlife="n/a","n/a",IF(Z$3&gt;(A9taxstdlife+$E586),(('PTRM input'!$G$151+'PTRM input'!$G$117)*$G$7)-SUM($G586:Y586),(('PTRM input'!$G$151+'PTRM input'!$G$117)*$G$7)/A9taxstdlife))</f>
        <v>0</v>
      </c>
      <c r="AA586" s="590">
        <f>IF(A9taxstdlife="n/a","n/a",IF(AA$3&gt;(A9taxstdlife+$E586),(('PTRM input'!$G$151+'PTRM input'!$G$117)*$G$7)-SUM($G586:Z586),(('PTRM input'!$G$151+'PTRM input'!$G$117)*$G$7)/A9taxstdlife))</f>
        <v>0</v>
      </c>
      <c r="AB586" s="590">
        <f>IF(A9taxstdlife="n/a","n/a",IF(AB$3&gt;(A9taxstdlife+$E586),(('PTRM input'!$G$151+'PTRM input'!$G$117)*$G$7)-SUM($G586:AA586),(('PTRM input'!$G$151+'PTRM input'!$G$117)*$G$7)/A9taxstdlife))</f>
        <v>0</v>
      </c>
      <c r="AC586" s="590">
        <f>IF(A9taxstdlife="n/a","n/a",IF(AC$3&gt;(A9taxstdlife+$E586),(('PTRM input'!$G$151+'PTRM input'!$G$117)*$G$7)-SUM($G586:AB586),(('PTRM input'!$G$151+'PTRM input'!$G$117)*$G$7)/A9taxstdlife))</f>
        <v>0</v>
      </c>
      <c r="AD586" s="590">
        <f>IF(A9taxstdlife="n/a","n/a",IF(AD$3&gt;(A9taxstdlife+$E586),(('PTRM input'!$G$151+'PTRM input'!$G$117)*$G$7)-SUM($G586:AC586),(('PTRM input'!$G$151+'PTRM input'!$G$117)*$G$7)/A9taxstdlife))</f>
        <v>0</v>
      </c>
      <c r="AE586" s="590">
        <f>IF(A9taxstdlife="n/a","n/a",IF(AE$3&gt;(A9taxstdlife+$E586),(('PTRM input'!$G$151+'PTRM input'!$G$117)*$G$7)-SUM($G586:AD586),(('PTRM input'!$G$151+'PTRM input'!$G$117)*$G$7)/A9taxstdlife))</f>
        <v>0</v>
      </c>
      <c r="AF586" s="590">
        <f>IF(A9taxstdlife="n/a","n/a",IF(AF$3&gt;(A9taxstdlife+$E586),(('PTRM input'!$G$151+'PTRM input'!$G$117)*$G$7)-SUM($G586:AE586),(('PTRM input'!$G$151+'PTRM input'!$G$117)*$G$7)/A9taxstdlife))</f>
        <v>0</v>
      </c>
      <c r="AG586" s="590">
        <f>IF(A9taxstdlife="n/a","n/a",IF(AG$3&gt;(A9taxstdlife+$E586),(('PTRM input'!$G$151+'PTRM input'!$G$117)*$G$7)-SUM($G586:AF586),(('PTRM input'!$G$151+'PTRM input'!$G$117)*$G$7)/A9taxstdlife))</f>
        <v>0</v>
      </c>
      <c r="AH586" s="590">
        <f>IF(A9taxstdlife="n/a","n/a",IF(AH$3&gt;(A9taxstdlife+$E586),(('PTRM input'!$G$151+'PTRM input'!$G$117)*$G$7)-SUM($G586:AG586),(('PTRM input'!$G$151+'PTRM input'!$G$117)*$G$7)/A9taxstdlife))</f>
        <v>0</v>
      </c>
      <c r="AI586" s="590">
        <f>IF(A9taxstdlife="n/a","n/a",IF(AI$3&gt;(A9taxstdlife+$E586),(('PTRM input'!$G$151+'PTRM input'!$G$117)*$G$7)-SUM($G586:AH586),(('PTRM input'!$G$151+'PTRM input'!$G$117)*$G$7)/A9taxstdlife))</f>
        <v>0</v>
      </c>
      <c r="AJ586" s="590">
        <f>IF(A9taxstdlife="n/a","n/a",IF(AJ$3&gt;(A9taxstdlife+$E586),(('PTRM input'!$G$151+'PTRM input'!$G$117)*$G$7)-SUM($G586:AI586),(('PTRM input'!$G$151+'PTRM input'!$G$117)*$G$7)/A9taxstdlife))</f>
        <v>0</v>
      </c>
      <c r="AK586" s="590">
        <f>IF(A9taxstdlife="n/a","n/a",IF(AK$3&gt;(A9taxstdlife+$E586),(('PTRM input'!$G$151+'PTRM input'!$G$117)*$G$7)-SUM($G586:AJ586),(('PTRM input'!$G$151+'PTRM input'!$G$117)*$G$7)/A9taxstdlife))</f>
        <v>0</v>
      </c>
      <c r="AL586" s="590">
        <f>IF(A9taxstdlife="n/a","n/a",IF(AL$3&gt;(A9taxstdlife+$E586),(('PTRM input'!$G$151+'PTRM input'!$G$117)*$G$7)-SUM($G586:AK586),(('PTRM input'!$G$151+'PTRM input'!$G$117)*$G$7)/A9taxstdlife))</f>
        <v>0</v>
      </c>
      <c r="AM586" s="590">
        <f>IF(A9taxstdlife="n/a","n/a",IF(AM$3&gt;(A9taxstdlife+$E586),(('PTRM input'!$G$151+'PTRM input'!$G$117)*$G$7)-SUM($G586:AL586),(('PTRM input'!$G$151+'PTRM input'!$G$117)*$G$7)/A9taxstdlife))</f>
        <v>0</v>
      </c>
      <c r="AN586" s="590">
        <f>IF(A9taxstdlife="n/a","n/a",IF(AN$3&gt;(A9taxstdlife+$E586),(('PTRM input'!$G$151+'PTRM input'!$G$117)*$G$7)-SUM($G586:AM586),(('PTRM input'!$G$151+'PTRM input'!$G$117)*$G$7)/A9taxstdlife))</f>
        <v>0</v>
      </c>
      <c r="AO586" s="590">
        <f>IF(A9taxstdlife="n/a","n/a",IF(AO$3&gt;(A9taxstdlife+$E586),(('PTRM input'!$G$151+'PTRM input'!$G$117)*$G$7)-SUM($G586:AN586),(('PTRM input'!$G$151+'PTRM input'!$G$117)*$G$7)/A9taxstdlife))</f>
        <v>0</v>
      </c>
      <c r="AP586" s="590">
        <f>IF(A9taxstdlife="n/a","n/a",IF(AP$3&gt;(A9taxstdlife+$E586),(('PTRM input'!$G$151+'PTRM input'!$G$117)*$G$7)-SUM($G586:AO586),(('PTRM input'!$G$151+'PTRM input'!$G$117)*$G$7)/A9taxstdlife))</f>
        <v>0</v>
      </c>
      <c r="AQ586" s="590">
        <f>IF(A9taxstdlife="n/a","n/a",IF(AQ$3&gt;(A9taxstdlife+$E586),(('PTRM input'!$G$151+'PTRM input'!$G$117)*$G$7)-SUM($G586:AP586),(('PTRM input'!$G$151+'PTRM input'!$G$117)*$G$7)/A9taxstdlife))</f>
        <v>0</v>
      </c>
      <c r="AR586" s="590">
        <f>IF(A9taxstdlife="n/a","n/a",IF(AR$3&gt;(A9taxstdlife+$E586),(('PTRM input'!$G$151+'PTRM input'!$G$117)*$G$7)-SUM($G586:AQ586),(('PTRM input'!$G$151+'PTRM input'!$G$117)*$G$7)/A9taxstdlife))</f>
        <v>0</v>
      </c>
      <c r="AS586" s="590">
        <f>IF(A9taxstdlife="n/a","n/a",IF(AS$3&gt;(A9taxstdlife+$E586),(('PTRM input'!$G$151+'PTRM input'!$G$117)*$G$7)-SUM($G586:AR586),(('PTRM input'!$G$151+'PTRM input'!$G$117)*$G$7)/A9taxstdlife))</f>
        <v>0</v>
      </c>
      <c r="AT586" s="590">
        <f>IF(A9taxstdlife="n/a","n/a",IF(AT$3&gt;(A9taxstdlife+$E586),(('PTRM input'!$G$151+'PTRM input'!$G$117)*$G$7)-SUM($G586:AS586),(('PTRM input'!$G$151+'PTRM input'!$G$117)*$G$7)/A9taxstdlife))</f>
        <v>0</v>
      </c>
      <c r="AU586" s="590">
        <f>IF(A9taxstdlife="n/a","n/a",IF(AU$3&gt;(A9taxstdlife+$E586),(('PTRM input'!$G$151+'PTRM input'!$G$117)*$G$7)-SUM($G586:AT586),(('PTRM input'!$G$151+'PTRM input'!$G$117)*$G$7)/A9taxstdlife))</f>
        <v>0</v>
      </c>
      <c r="AV586" s="590">
        <f>IF(A9taxstdlife="n/a","n/a",IF(AV$3&gt;(A9taxstdlife+$E586),(('PTRM input'!$G$151+'PTRM input'!$G$117)*$G$7)-SUM($G586:AU586),(('PTRM input'!$G$151+'PTRM input'!$G$117)*$G$7)/A9taxstdlife))</f>
        <v>0</v>
      </c>
      <c r="AW586" s="590">
        <f>IF(A9taxstdlife="n/a","n/a",IF(AW$3&gt;(A9taxstdlife+$E586),(('PTRM input'!$G$151+'PTRM input'!$G$117)*$G$7)-SUM($G586:AV586),(('PTRM input'!$G$151+'PTRM input'!$G$117)*$G$7)/A9taxstdlife))</f>
        <v>0</v>
      </c>
      <c r="AX586" s="590">
        <f>IF(A9taxstdlife="n/a","n/a",IF(AX$3&gt;(A9taxstdlife+$E586),(('PTRM input'!$G$151+'PTRM input'!$G$117)*$G$7)-SUM($G586:AW586),(('PTRM input'!$G$151+'PTRM input'!$G$117)*$G$7)/A9taxstdlife))</f>
        <v>0</v>
      </c>
      <c r="AY586" s="590">
        <f>IF(A9taxstdlife="n/a","n/a",IF(AY$3&gt;(A9taxstdlife+$E586),(('PTRM input'!$G$151+'PTRM input'!$G$117)*$G$7)-SUM($G586:AX586),(('PTRM input'!$G$151+'PTRM input'!$G$117)*$G$7)/A9taxstdlife))</f>
        <v>0</v>
      </c>
      <c r="AZ586" s="590">
        <f>IF(A9taxstdlife="n/a","n/a",IF(AZ$3&gt;(A9taxstdlife+$E586),(('PTRM input'!$G$151+'PTRM input'!$G$117)*$G$7)-SUM($G586:AY586),(('PTRM input'!$G$151+'PTRM input'!$G$117)*$G$7)/A9taxstdlife))</f>
        <v>0</v>
      </c>
      <c r="BA586" s="590">
        <f>IF(A9taxstdlife="n/a","n/a",IF(BA$3&gt;(A9taxstdlife+$E586),(('PTRM input'!$G$151+'PTRM input'!$G$117)*$G$7)-SUM($G586:AZ586),(('PTRM input'!$G$151+'PTRM input'!$G$117)*$G$7)/A9taxstdlife))</f>
        <v>0</v>
      </c>
      <c r="BB586" s="590">
        <f>IF(A9taxstdlife="n/a","n/a",IF(BB$3&gt;(A9taxstdlife+$E586),(('PTRM input'!$G$151+'PTRM input'!$G$117)*$G$7)-SUM($G586:BA586),(('PTRM input'!$G$151+'PTRM input'!$G$117)*$G$7)/A9taxstdlife))</f>
        <v>0</v>
      </c>
      <c r="BC586" s="590">
        <f>IF(A9taxstdlife="n/a","n/a",IF(BC$3&gt;(A9taxstdlife+$E586),(('PTRM input'!$G$151+'PTRM input'!$G$117)*$G$7)-SUM($G586:BB586),(('PTRM input'!$G$151+'PTRM input'!$G$117)*$G$7)/A9taxstdlife))</f>
        <v>0</v>
      </c>
      <c r="BD586" s="590">
        <f>IF(A9taxstdlife="n/a","n/a",IF(BD$3&gt;(A9taxstdlife+$E586),(('PTRM input'!$G$151+'PTRM input'!$G$117)*$G$7)-SUM($G586:BC586),(('PTRM input'!$G$151+'PTRM input'!$G$117)*$G$7)/A9taxstdlife))</f>
        <v>0</v>
      </c>
      <c r="BE586" s="590">
        <f>IF(A9taxstdlife="n/a","n/a",IF(BE$3&gt;(A9taxstdlife+$E586),(('PTRM input'!$G$151+'PTRM input'!$G$117)*$G$7)-SUM($G586:BD586),(('PTRM input'!$G$151+'PTRM input'!$G$117)*$G$7)/A9taxstdlife))</f>
        <v>0</v>
      </c>
      <c r="BF586" s="590">
        <f>IF(A9taxstdlife="n/a","n/a",IF(BF$3&gt;(A9taxstdlife+$E586),(('PTRM input'!$G$151+'PTRM input'!$G$117)*$G$7)-SUM($G586:BE586),(('PTRM input'!$G$151+'PTRM input'!$G$117)*$G$7)/A9taxstdlife))</f>
        <v>0</v>
      </c>
      <c r="BG586" s="590">
        <f>IF(A9taxstdlife="n/a","n/a",IF(BG$3&gt;(A9taxstdlife+$E586),(('PTRM input'!$G$151+'PTRM input'!$G$117)*$G$7)-SUM($G586:BF586),(('PTRM input'!$G$151+'PTRM input'!$G$117)*$G$7)/A9taxstdlife))</f>
        <v>0</v>
      </c>
      <c r="BH586" s="590">
        <f>IF(A9taxstdlife="n/a","n/a",IF(BH$3&gt;(A9taxstdlife+$E586),(('PTRM input'!$G$151+'PTRM input'!$G$117)*$G$7)-SUM($G586:BG586),(('PTRM input'!$G$151+'PTRM input'!$G$117)*$G$7)/A9taxstdlife))</f>
        <v>0</v>
      </c>
      <c r="BI586" s="590">
        <f>IF(A9taxstdlife="n/a","n/a",IF(BI$3&gt;(A9taxstdlife+$E586),(('PTRM input'!$G$151+'PTRM input'!$G$117)*$G$7)-SUM($G586:BH586),(('PTRM input'!$G$151+'PTRM input'!$G$117)*$G$7)/A9taxstdlife))</f>
        <v>0</v>
      </c>
      <c r="BJ586" s="240"/>
      <c r="BK586" s="240"/>
      <c r="BL586" s="240"/>
      <c r="BM586" s="240"/>
    </row>
    <row r="587" spans="1:65" s="4" customFormat="1" hidden="1" outlineLevel="2">
      <c r="A587" s="240"/>
      <c r="B587" s="240"/>
      <c r="C587" s="595"/>
      <c r="D587" s="1618"/>
      <c r="E587" s="169">
        <v>2</v>
      </c>
      <c r="F587" s="35"/>
      <c r="G587" s="184"/>
      <c r="H587" s="185"/>
      <c r="I587" s="107">
        <f>IF(A9taxstdlife="n/a","n/a",IF(I$3&gt;(A9taxstdlife+$E587),(('PTRM input'!$H$151+'PTRM input'!$H$117)*$H$7)-SUM($H587:H587),(('PTRM input'!$H$151+'PTRM input'!$H$117)*$H$7)/A9taxstdlife))</f>
        <v>0</v>
      </c>
      <c r="J587" s="107">
        <f>IF(A9taxstdlife="n/a","n/a",IF(J$3&gt;(A9taxstdlife+$E587),(('PTRM input'!$H$151+'PTRM input'!$H$117)*$H$7)-SUM($H587:I587),(('PTRM input'!$H$151+'PTRM input'!$H$117)*$H$7)/A9taxstdlife))</f>
        <v>0</v>
      </c>
      <c r="K587" s="107">
        <f>IF(A9taxstdlife="n/a","n/a",IF(K$3&gt;(A9taxstdlife+$E587),(('PTRM input'!$H$151+'PTRM input'!$H$117)*$H$7)-SUM($H587:J587),(('PTRM input'!$H$151+'PTRM input'!$H$117)*$H$7)/A9taxstdlife))</f>
        <v>0</v>
      </c>
      <c r="L587" s="107">
        <f>IF(A9taxstdlife="n/a","n/a",IF(L$3&gt;(A9taxstdlife+$E587),(('PTRM input'!$H$151+'PTRM input'!$H$117)*$H$7)-SUM($H587:K587),(('PTRM input'!$H$151+'PTRM input'!$H$117)*$H$7)/A9taxstdlife))</f>
        <v>0</v>
      </c>
      <c r="M587" s="107">
        <f>IF(A9taxstdlife="n/a","n/a",IF(M$3&gt;(A9taxstdlife+$E587),(('PTRM input'!$H$151+'PTRM input'!$H$117)*$H$7)-SUM($H587:L587),(('PTRM input'!$H$151+'PTRM input'!$H$117)*$H$7)/A9taxstdlife))</f>
        <v>0</v>
      </c>
      <c r="N587" s="107">
        <f>IF(A9taxstdlife="n/a","n/a",IF(N$3&gt;(A9taxstdlife+$E587),(('PTRM input'!$H$151+'PTRM input'!$H$117)*$H$7)-SUM($H587:M587),(('PTRM input'!$H$151+'PTRM input'!$H$117)*$H$7)/A9taxstdlife))</f>
        <v>0</v>
      </c>
      <c r="O587" s="107">
        <f>IF(A9taxstdlife="n/a","n/a",IF(O$3&gt;(A9taxstdlife+$E587),(('PTRM input'!$H$151+'PTRM input'!$H$117)*$H$7)-SUM($H587:N587),(('PTRM input'!$H$151+'PTRM input'!$H$117)*$H$7)/A9taxstdlife))</f>
        <v>0</v>
      </c>
      <c r="P587" s="107">
        <f>IF(A9taxstdlife="n/a","n/a",IF(P$3&gt;(A9taxstdlife+$E587),(('PTRM input'!$H$151+'PTRM input'!$H$117)*$H$7)-SUM($H587:O587),(('PTRM input'!$H$151+'PTRM input'!$H$117)*$H$7)/A9taxstdlife))</f>
        <v>0</v>
      </c>
      <c r="Q587" s="590">
        <f>IF(A9taxstdlife="n/a","n/a",IF(Q$3&gt;(A9taxstdlife+$E587),(('PTRM input'!$H$151+'PTRM input'!$H$117)*$H$7)-SUM($H587:P587),(('PTRM input'!$H$151+'PTRM input'!$H$117)*$H$7)/A9taxstdlife))</f>
        <v>0</v>
      </c>
      <c r="R587" s="590">
        <f>IF(A9taxstdlife="n/a","n/a",IF(R$3&gt;(A9taxstdlife+$E587),(('PTRM input'!$H$151+'PTRM input'!$H$117)*$H$7)-SUM($H587:Q587),(('PTRM input'!$H$151+'PTRM input'!$H$117)*$H$7)/A9taxstdlife))</f>
        <v>0</v>
      </c>
      <c r="S587" s="590">
        <f>IF(A9taxstdlife="n/a","n/a",IF(S$3&gt;(A9taxstdlife+$E587),(('PTRM input'!$H$151+'PTRM input'!$H$117)*$H$7)-SUM($H587:R587),(('PTRM input'!$H$151+'PTRM input'!$H$117)*$H$7)/A9taxstdlife))</f>
        <v>0</v>
      </c>
      <c r="T587" s="590">
        <f>IF(A9taxstdlife="n/a","n/a",IF(T$3&gt;(A9taxstdlife+$E587),(('PTRM input'!$H$151+'PTRM input'!$H$117)*$H$7)-SUM($H587:S587),(('PTRM input'!$H$151+'PTRM input'!$H$117)*$H$7)/A9taxstdlife))</f>
        <v>0</v>
      </c>
      <c r="U587" s="590">
        <f>IF(A9taxstdlife="n/a","n/a",IF(U$3&gt;(A9taxstdlife+$E587),(('PTRM input'!$H$151+'PTRM input'!$H$117)*$H$7)-SUM($H587:T587),(('PTRM input'!$H$151+'PTRM input'!$H$117)*$H$7)/A9taxstdlife))</f>
        <v>0</v>
      </c>
      <c r="V587" s="590">
        <f>IF(A9taxstdlife="n/a","n/a",IF(V$3&gt;(A9taxstdlife+$E587),(('PTRM input'!$H$151+'PTRM input'!$H$117)*$H$7)-SUM($H587:U587),(('PTRM input'!$H$151+'PTRM input'!$H$117)*$H$7)/A9taxstdlife))</f>
        <v>0</v>
      </c>
      <c r="W587" s="590">
        <f>IF(A9taxstdlife="n/a","n/a",IF(W$3&gt;(A9taxstdlife+$E587),(('PTRM input'!$H$151+'PTRM input'!$H$117)*$H$7)-SUM($H587:V587),(('PTRM input'!$H$151+'PTRM input'!$H$117)*$H$7)/A9taxstdlife))</f>
        <v>0</v>
      </c>
      <c r="X587" s="590">
        <f>IF(A9taxstdlife="n/a","n/a",IF(X$3&gt;(A9taxstdlife+$E587),(('PTRM input'!$H$151+'PTRM input'!$H$117)*$H$7)-SUM($H587:W587),(('PTRM input'!$H$151+'PTRM input'!$H$117)*$H$7)/A9taxstdlife))</f>
        <v>0</v>
      </c>
      <c r="Y587" s="590">
        <f>IF(A9taxstdlife="n/a","n/a",IF(Y$3&gt;(A9taxstdlife+$E587),(('PTRM input'!$H$151+'PTRM input'!$H$117)*$H$7)-SUM($H587:X587),(('PTRM input'!$H$151+'PTRM input'!$H$117)*$H$7)/A9taxstdlife))</f>
        <v>0</v>
      </c>
      <c r="Z587" s="590">
        <f>IF(A9taxstdlife="n/a","n/a",IF(Z$3&gt;(A9taxstdlife+$E587),(('PTRM input'!$H$151+'PTRM input'!$H$117)*$H$7)-SUM($H587:Y587),(('PTRM input'!$H$151+'PTRM input'!$H$117)*$H$7)/A9taxstdlife))</f>
        <v>0</v>
      </c>
      <c r="AA587" s="590">
        <f>IF(A9taxstdlife="n/a","n/a",IF(AA$3&gt;(A9taxstdlife+$E587),(('PTRM input'!$H$151+'PTRM input'!$H$117)*$H$7)-SUM($H587:Z587),(('PTRM input'!$H$151+'PTRM input'!$H$117)*$H$7)/A9taxstdlife))</f>
        <v>0</v>
      </c>
      <c r="AB587" s="590">
        <f>IF(A9taxstdlife="n/a","n/a",IF(AB$3&gt;(A9taxstdlife+$E587),(('PTRM input'!$H$151+'PTRM input'!$H$117)*$H$7)-SUM($H587:AA587),(('PTRM input'!$H$151+'PTRM input'!$H$117)*$H$7)/A9taxstdlife))</f>
        <v>0</v>
      </c>
      <c r="AC587" s="590">
        <f>IF(A9taxstdlife="n/a","n/a",IF(AC$3&gt;(A9taxstdlife+$E587),(('PTRM input'!$H$151+'PTRM input'!$H$117)*$H$7)-SUM($H587:AB587),(('PTRM input'!$H$151+'PTRM input'!$H$117)*$H$7)/A9taxstdlife))</f>
        <v>0</v>
      </c>
      <c r="AD587" s="590">
        <f>IF(A9taxstdlife="n/a","n/a",IF(AD$3&gt;(A9taxstdlife+$E587),(('PTRM input'!$H$151+'PTRM input'!$H$117)*$H$7)-SUM($H587:AC587),(('PTRM input'!$H$151+'PTRM input'!$H$117)*$H$7)/A9taxstdlife))</f>
        <v>0</v>
      </c>
      <c r="AE587" s="590">
        <f>IF(A9taxstdlife="n/a","n/a",IF(AE$3&gt;(A9taxstdlife+$E587),(('PTRM input'!$H$151+'PTRM input'!$H$117)*$H$7)-SUM($H587:AD587),(('PTRM input'!$H$151+'PTRM input'!$H$117)*$H$7)/A9taxstdlife))</f>
        <v>0</v>
      </c>
      <c r="AF587" s="590">
        <f>IF(A9taxstdlife="n/a","n/a",IF(AF$3&gt;(A9taxstdlife+$E587),(('PTRM input'!$H$151+'PTRM input'!$H$117)*$H$7)-SUM($H587:AE587),(('PTRM input'!$H$151+'PTRM input'!$H$117)*$H$7)/A9taxstdlife))</f>
        <v>0</v>
      </c>
      <c r="AG587" s="590">
        <f>IF(A9taxstdlife="n/a","n/a",IF(AG$3&gt;(A9taxstdlife+$E587),(('PTRM input'!$H$151+'PTRM input'!$H$117)*$H$7)-SUM($H587:AF587),(('PTRM input'!$H$151+'PTRM input'!$H$117)*$H$7)/A9taxstdlife))</f>
        <v>0</v>
      </c>
      <c r="AH587" s="590">
        <f>IF(A9taxstdlife="n/a","n/a",IF(AH$3&gt;(A9taxstdlife+$E587),(('PTRM input'!$H$151+'PTRM input'!$H$117)*$H$7)-SUM($H587:AG587),(('PTRM input'!$H$151+'PTRM input'!$H$117)*$H$7)/A9taxstdlife))</f>
        <v>0</v>
      </c>
      <c r="AI587" s="590">
        <f>IF(A9taxstdlife="n/a","n/a",IF(AI$3&gt;(A9taxstdlife+$E587),(('PTRM input'!$H$151+'PTRM input'!$H$117)*$H$7)-SUM($H587:AH587),(('PTRM input'!$H$151+'PTRM input'!$H$117)*$H$7)/A9taxstdlife))</f>
        <v>0</v>
      </c>
      <c r="AJ587" s="590">
        <f>IF(A9taxstdlife="n/a","n/a",IF(AJ$3&gt;(A9taxstdlife+$E587),(('PTRM input'!$H$151+'PTRM input'!$H$117)*$H$7)-SUM($H587:AI587),(('PTRM input'!$H$151+'PTRM input'!$H$117)*$H$7)/A9taxstdlife))</f>
        <v>0</v>
      </c>
      <c r="AK587" s="590">
        <f>IF(A9taxstdlife="n/a","n/a",IF(AK$3&gt;(A9taxstdlife+$E587),(('PTRM input'!$H$151+'PTRM input'!$H$117)*$H$7)-SUM($H587:AJ587),(('PTRM input'!$H$151+'PTRM input'!$H$117)*$H$7)/A9taxstdlife))</f>
        <v>0</v>
      </c>
      <c r="AL587" s="590">
        <f>IF(A9taxstdlife="n/a","n/a",IF(AL$3&gt;(A9taxstdlife+$E587),(('PTRM input'!$H$151+'PTRM input'!$H$117)*$H$7)-SUM($H587:AK587),(('PTRM input'!$H$151+'PTRM input'!$H$117)*$H$7)/A9taxstdlife))</f>
        <v>0</v>
      </c>
      <c r="AM587" s="590">
        <f>IF(A9taxstdlife="n/a","n/a",IF(AM$3&gt;(A9taxstdlife+$E587),(('PTRM input'!$H$151+'PTRM input'!$H$117)*$H$7)-SUM($H587:AL587),(('PTRM input'!$H$151+'PTRM input'!$H$117)*$H$7)/A9taxstdlife))</f>
        <v>0</v>
      </c>
      <c r="AN587" s="590">
        <f>IF(A9taxstdlife="n/a","n/a",IF(AN$3&gt;(A9taxstdlife+$E587),(('PTRM input'!$H$151+'PTRM input'!$H$117)*$H$7)-SUM($H587:AM587),(('PTRM input'!$H$151+'PTRM input'!$H$117)*$H$7)/A9taxstdlife))</f>
        <v>0</v>
      </c>
      <c r="AO587" s="590">
        <f>IF(A9taxstdlife="n/a","n/a",IF(AO$3&gt;(A9taxstdlife+$E587),(('PTRM input'!$H$151+'PTRM input'!$H$117)*$H$7)-SUM($H587:AN587),(('PTRM input'!$H$151+'PTRM input'!$H$117)*$H$7)/A9taxstdlife))</f>
        <v>0</v>
      </c>
      <c r="AP587" s="590">
        <f>IF(A9taxstdlife="n/a","n/a",IF(AP$3&gt;(A9taxstdlife+$E587),(('PTRM input'!$H$151+'PTRM input'!$H$117)*$H$7)-SUM($H587:AO587),(('PTRM input'!$H$151+'PTRM input'!$H$117)*$H$7)/A9taxstdlife))</f>
        <v>0</v>
      </c>
      <c r="AQ587" s="590">
        <f>IF(A9taxstdlife="n/a","n/a",IF(AQ$3&gt;(A9taxstdlife+$E587),(('PTRM input'!$H$151+'PTRM input'!$H$117)*$H$7)-SUM($H587:AP587),(('PTRM input'!$H$151+'PTRM input'!$H$117)*$H$7)/A9taxstdlife))</f>
        <v>0</v>
      </c>
      <c r="AR587" s="590">
        <f>IF(A9taxstdlife="n/a","n/a",IF(AR$3&gt;(A9taxstdlife+$E587),(('PTRM input'!$H$151+'PTRM input'!$H$117)*$H$7)-SUM($H587:AQ587),(('PTRM input'!$H$151+'PTRM input'!$H$117)*$H$7)/A9taxstdlife))</f>
        <v>0</v>
      </c>
      <c r="AS587" s="590">
        <f>IF(A9taxstdlife="n/a","n/a",IF(AS$3&gt;(A9taxstdlife+$E587),(('PTRM input'!$H$151+'PTRM input'!$H$117)*$H$7)-SUM($H587:AR587),(('PTRM input'!$H$151+'PTRM input'!$H$117)*$H$7)/A9taxstdlife))</f>
        <v>0</v>
      </c>
      <c r="AT587" s="590">
        <f>IF(A9taxstdlife="n/a","n/a",IF(AT$3&gt;(A9taxstdlife+$E587),(('PTRM input'!$H$151+'PTRM input'!$H$117)*$H$7)-SUM($H587:AS587),(('PTRM input'!$H$151+'PTRM input'!$H$117)*$H$7)/A9taxstdlife))</f>
        <v>0</v>
      </c>
      <c r="AU587" s="590">
        <f>IF(A9taxstdlife="n/a","n/a",IF(AU$3&gt;(A9taxstdlife+$E587),(('PTRM input'!$H$151+'PTRM input'!$H$117)*$H$7)-SUM($H587:AT587),(('PTRM input'!$H$151+'PTRM input'!$H$117)*$H$7)/A9taxstdlife))</f>
        <v>0</v>
      </c>
      <c r="AV587" s="590">
        <f>IF(A9taxstdlife="n/a","n/a",IF(AV$3&gt;(A9taxstdlife+$E587),(('PTRM input'!$H$151+'PTRM input'!$H$117)*$H$7)-SUM($H587:AU587),(('PTRM input'!$H$151+'PTRM input'!$H$117)*$H$7)/A9taxstdlife))</f>
        <v>0</v>
      </c>
      <c r="AW587" s="590">
        <f>IF(A9taxstdlife="n/a","n/a",IF(AW$3&gt;(A9taxstdlife+$E587),(('PTRM input'!$H$151+'PTRM input'!$H$117)*$H$7)-SUM($H587:AV587),(('PTRM input'!$H$151+'PTRM input'!$H$117)*$H$7)/A9taxstdlife))</f>
        <v>0</v>
      </c>
      <c r="AX587" s="590">
        <f>IF(A9taxstdlife="n/a","n/a",IF(AX$3&gt;(A9taxstdlife+$E587),(('PTRM input'!$H$151+'PTRM input'!$H$117)*$H$7)-SUM($H587:AW587),(('PTRM input'!$H$151+'PTRM input'!$H$117)*$H$7)/A9taxstdlife))</f>
        <v>0</v>
      </c>
      <c r="AY587" s="590">
        <f>IF(A9taxstdlife="n/a","n/a",IF(AY$3&gt;(A9taxstdlife+$E587),(('PTRM input'!$H$151+'PTRM input'!$H$117)*$H$7)-SUM($H587:AX587),(('PTRM input'!$H$151+'PTRM input'!$H$117)*$H$7)/A9taxstdlife))</f>
        <v>0</v>
      </c>
      <c r="AZ587" s="590">
        <f>IF(A9taxstdlife="n/a","n/a",IF(AZ$3&gt;(A9taxstdlife+$E587),(('PTRM input'!$H$151+'PTRM input'!$H$117)*$H$7)-SUM($H587:AY587),(('PTRM input'!$H$151+'PTRM input'!$H$117)*$H$7)/A9taxstdlife))</f>
        <v>0</v>
      </c>
      <c r="BA587" s="590">
        <f>IF(A9taxstdlife="n/a","n/a",IF(BA$3&gt;(A9taxstdlife+$E587),(('PTRM input'!$H$151+'PTRM input'!$H$117)*$H$7)-SUM($H587:AZ587),(('PTRM input'!$H$151+'PTRM input'!$H$117)*$H$7)/A9taxstdlife))</f>
        <v>0</v>
      </c>
      <c r="BB587" s="590">
        <f>IF(A9taxstdlife="n/a","n/a",IF(BB$3&gt;(A9taxstdlife+$E587),(('PTRM input'!$H$151+'PTRM input'!$H$117)*$H$7)-SUM($H587:BA587),(('PTRM input'!$H$151+'PTRM input'!$H$117)*$H$7)/A9taxstdlife))</f>
        <v>0</v>
      </c>
      <c r="BC587" s="590">
        <f>IF(A9taxstdlife="n/a","n/a",IF(BC$3&gt;(A9taxstdlife+$E587),(('PTRM input'!$H$151+'PTRM input'!$H$117)*$H$7)-SUM($H587:BB587),(('PTRM input'!$H$151+'PTRM input'!$H$117)*$H$7)/A9taxstdlife))</f>
        <v>0</v>
      </c>
      <c r="BD587" s="590">
        <f>IF(A9taxstdlife="n/a","n/a",IF(BD$3&gt;(A9taxstdlife+$E587),(('PTRM input'!$H$151+'PTRM input'!$H$117)*$H$7)-SUM($H587:BC587),(('PTRM input'!$H$151+'PTRM input'!$H$117)*$H$7)/A9taxstdlife))</f>
        <v>0</v>
      </c>
      <c r="BE587" s="590">
        <f>IF(A9taxstdlife="n/a","n/a",IF(BE$3&gt;(A9taxstdlife+$E587),(('PTRM input'!$H$151+'PTRM input'!$H$117)*$H$7)-SUM($H587:BD587),(('PTRM input'!$H$151+'PTRM input'!$H$117)*$H$7)/A9taxstdlife))</f>
        <v>0</v>
      </c>
      <c r="BF587" s="590">
        <f>IF(A9taxstdlife="n/a","n/a",IF(BF$3&gt;(A9taxstdlife+$E587),(('PTRM input'!$H$151+'PTRM input'!$H$117)*$H$7)-SUM($H587:BE587),(('PTRM input'!$H$151+'PTRM input'!$H$117)*$H$7)/A9taxstdlife))</f>
        <v>0</v>
      </c>
      <c r="BG587" s="590">
        <f>IF(A9taxstdlife="n/a","n/a",IF(BG$3&gt;(A9taxstdlife+$E587),(('PTRM input'!$H$151+'PTRM input'!$H$117)*$H$7)-SUM($H587:BF587),(('PTRM input'!$H$151+'PTRM input'!$H$117)*$H$7)/A9taxstdlife))</f>
        <v>0</v>
      </c>
      <c r="BH587" s="590">
        <f>IF(A9taxstdlife="n/a","n/a",IF(BH$3&gt;(A9taxstdlife+$E587),(('PTRM input'!$H$151+'PTRM input'!$H$117)*$H$7)-SUM($H587:BG587),(('PTRM input'!$H$151+'PTRM input'!$H$117)*$H$7)/A9taxstdlife))</f>
        <v>0</v>
      </c>
      <c r="BI587" s="590">
        <f>IF(A9taxstdlife="n/a","n/a",IF(BI$3&gt;(A9taxstdlife+$E587),(('PTRM input'!$H$151+'PTRM input'!$H$117)*$H$7)-SUM($H587:BH587),(('PTRM input'!$H$151+'PTRM input'!$H$117)*$H$7)/A9taxstdlife))</f>
        <v>0</v>
      </c>
      <c r="BJ587" s="240"/>
      <c r="BK587" s="240"/>
      <c r="BL587" s="240"/>
      <c r="BM587" s="240"/>
    </row>
    <row r="588" spans="1:65" s="4" customFormat="1" hidden="1" outlineLevel="2">
      <c r="A588" s="240"/>
      <c r="B588" s="240"/>
      <c r="C588" s="595"/>
      <c r="D588" s="1618"/>
      <c r="E588" s="169">
        <v>3</v>
      </c>
      <c r="F588" s="35"/>
      <c r="G588" s="184"/>
      <c r="H588" s="186"/>
      <c r="I588" s="185"/>
      <c r="J588" s="107">
        <f>IF(A9taxstdlife="n/a","n/a",IF(J$3&gt;(A9taxstdlife+$E588),(('PTRM input'!$I$151+'PTRM input'!$I$117)*$I$7)-SUM($I588:I588),(('PTRM input'!$I$151+'PTRM input'!$I$117)*$I$7)/A9taxstdlife))</f>
        <v>0</v>
      </c>
      <c r="K588" s="107">
        <f>IF(A9taxstdlife="n/a","n/a",IF(K$3&gt;(A9taxstdlife+$E588),(('PTRM input'!$I$151+'PTRM input'!$I$117)*$I$7)-SUM($I588:J588),(('PTRM input'!$I$151+'PTRM input'!$I$117)*$I$7)/A9taxstdlife))</f>
        <v>0</v>
      </c>
      <c r="L588" s="107">
        <f>IF(A9taxstdlife="n/a","n/a",IF(L$3&gt;(A9taxstdlife+$E588),(('PTRM input'!$I$151+'PTRM input'!$I$117)*$I$7)-SUM($I588:K588),(('PTRM input'!$I$151+'PTRM input'!$I$117)*$I$7)/A9taxstdlife))</f>
        <v>0</v>
      </c>
      <c r="M588" s="107">
        <f>IF(A9taxstdlife="n/a","n/a",IF(M$3&gt;(A9taxstdlife+$E588),(('PTRM input'!$I$151+'PTRM input'!$I$117)*$I$7)-SUM($I588:L588),(('PTRM input'!$I$151+'PTRM input'!$I$117)*$I$7)/A9taxstdlife))</f>
        <v>0</v>
      </c>
      <c r="N588" s="107">
        <f>IF(A9taxstdlife="n/a","n/a",IF(N$3&gt;(A9taxstdlife+$E588),(('PTRM input'!$I$151+'PTRM input'!$I$117)*$I$7)-SUM($I588:M588),(('PTRM input'!$I$151+'PTRM input'!$I$117)*$I$7)/A9taxstdlife))</f>
        <v>0</v>
      </c>
      <c r="O588" s="107">
        <f>IF(A9taxstdlife="n/a","n/a",IF(O$3&gt;(A9taxstdlife+$E588),(('PTRM input'!$I$151+'PTRM input'!$I$117)*$I$7)-SUM($I588:N588),(('PTRM input'!$I$151+'PTRM input'!$I$117)*$I$7)/A9taxstdlife))</f>
        <v>0</v>
      </c>
      <c r="P588" s="107">
        <f>IF(A9taxstdlife="n/a","n/a",IF(P$3&gt;(A9taxstdlife+$E588),(('PTRM input'!$I$151+'PTRM input'!$I$117)*$I$7)-SUM($I588:O588),(('PTRM input'!$I$151+'PTRM input'!$I$117)*$I$7)/A9taxstdlife))</f>
        <v>0</v>
      </c>
      <c r="Q588" s="590">
        <f>IF(A9taxstdlife="n/a","n/a",IF(Q$3&gt;(A9taxstdlife+$E588),(('PTRM input'!$I$151+'PTRM input'!$I$117)*$I$7)-SUM($I588:P588),(('PTRM input'!$I$151+'PTRM input'!$I$117)*$I$7)/A9taxstdlife))</f>
        <v>0</v>
      </c>
      <c r="R588" s="590">
        <f>IF(A9taxstdlife="n/a","n/a",IF(R$3&gt;(A9taxstdlife+$E588),(('PTRM input'!$I$151+'PTRM input'!$I$117)*$I$7)-SUM($I588:Q588),(('PTRM input'!$I$151+'PTRM input'!$I$117)*$I$7)/A9taxstdlife))</f>
        <v>0</v>
      </c>
      <c r="S588" s="590">
        <f>IF(A9taxstdlife="n/a","n/a",IF(S$3&gt;(A9taxstdlife+$E588),(('PTRM input'!$I$151+'PTRM input'!$I$117)*$I$7)-SUM($I588:R588),(('PTRM input'!$I$151+'PTRM input'!$I$117)*$I$7)/A9taxstdlife))</f>
        <v>0</v>
      </c>
      <c r="T588" s="590">
        <f>IF(A9taxstdlife="n/a","n/a",IF(T$3&gt;(A9taxstdlife+$E588),(('PTRM input'!$I$151+'PTRM input'!$I$117)*$I$7)-SUM($I588:S588),(('PTRM input'!$I$151+'PTRM input'!$I$117)*$I$7)/A9taxstdlife))</f>
        <v>0</v>
      </c>
      <c r="U588" s="590">
        <f>IF(A9taxstdlife="n/a","n/a",IF(U$3&gt;(A9taxstdlife+$E588),(('PTRM input'!$I$151+'PTRM input'!$I$117)*$I$7)-SUM($I588:T588),(('PTRM input'!$I$151+'PTRM input'!$I$117)*$I$7)/A9taxstdlife))</f>
        <v>0</v>
      </c>
      <c r="V588" s="590">
        <f>IF(A9taxstdlife="n/a","n/a",IF(V$3&gt;(A9taxstdlife+$E588),(('PTRM input'!$I$151+'PTRM input'!$I$117)*$I$7)-SUM($I588:U588),(('PTRM input'!$I$151+'PTRM input'!$I$117)*$I$7)/A9taxstdlife))</f>
        <v>0</v>
      </c>
      <c r="W588" s="590">
        <f>IF(A9taxstdlife="n/a","n/a",IF(W$3&gt;(A9taxstdlife+$E588),(('PTRM input'!$I$151+'PTRM input'!$I$117)*$I$7)-SUM($I588:V588),(('PTRM input'!$I$151+'PTRM input'!$I$117)*$I$7)/A9taxstdlife))</f>
        <v>0</v>
      </c>
      <c r="X588" s="590">
        <f>IF(A9taxstdlife="n/a","n/a",IF(X$3&gt;(A9taxstdlife+$E588),(('PTRM input'!$I$151+'PTRM input'!$I$117)*$I$7)-SUM($I588:W588),(('PTRM input'!$I$151+'PTRM input'!$I$117)*$I$7)/A9taxstdlife))</f>
        <v>0</v>
      </c>
      <c r="Y588" s="590">
        <f>IF(A9taxstdlife="n/a","n/a",IF(Y$3&gt;(A9taxstdlife+$E588),(('PTRM input'!$I$151+'PTRM input'!$I$117)*$I$7)-SUM($I588:X588),(('PTRM input'!$I$151+'PTRM input'!$I$117)*$I$7)/A9taxstdlife))</f>
        <v>0</v>
      </c>
      <c r="Z588" s="590">
        <f>IF(A9taxstdlife="n/a","n/a",IF(Z$3&gt;(A9taxstdlife+$E588),(('PTRM input'!$I$151+'PTRM input'!$I$117)*$I$7)-SUM($I588:Y588),(('PTRM input'!$I$151+'PTRM input'!$I$117)*$I$7)/A9taxstdlife))</f>
        <v>0</v>
      </c>
      <c r="AA588" s="590">
        <f>IF(A9taxstdlife="n/a","n/a",IF(AA$3&gt;(A9taxstdlife+$E588),(('PTRM input'!$I$151+'PTRM input'!$I$117)*$I$7)-SUM($I588:Z588),(('PTRM input'!$I$151+'PTRM input'!$I$117)*$I$7)/A9taxstdlife))</f>
        <v>0</v>
      </c>
      <c r="AB588" s="590">
        <f>IF(A9taxstdlife="n/a","n/a",IF(AB$3&gt;(A9taxstdlife+$E588),(('PTRM input'!$I$151+'PTRM input'!$I$117)*$I$7)-SUM($I588:AA588),(('PTRM input'!$I$151+'PTRM input'!$I$117)*$I$7)/A9taxstdlife))</f>
        <v>0</v>
      </c>
      <c r="AC588" s="590">
        <f>IF(A9taxstdlife="n/a","n/a",IF(AC$3&gt;(A9taxstdlife+$E588),(('PTRM input'!$I$151+'PTRM input'!$I$117)*$I$7)-SUM($I588:AB588),(('PTRM input'!$I$151+'PTRM input'!$I$117)*$I$7)/A9taxstdlife))</f>
        <v>0</v>
      </c>
      <c r="AD588" s="590">
        <f>IF(A9taxstdlife="n/a","n/a",IF(AD$3&gt;(A9taxstdlife+$E588),(('PTRM input'!$I$151+'PTRM input'!$I$117)*$I$7)-SUM($I588:AC588),(('PTRM input'!$I$151+'PTRM input'!$I$117)*$I$7)/A9taxstdlife))</f>
        <v>0</v>
      </c>
      <c r="AE588" s="590">
        <f>IF(A9taxstdlife="n/a","n/a",IF(AE$3&gt;(A9taxstdlife+$E588),(('PTRM input'!$I$151+'PTRM input'!$I$117)*$I$7)-SUM($I588:AD588),(('PTRM input'!$I$151+'PTRM input'!$I$117)*$I$7)/A9taxstdlife))</f>
        <v>0</v>
      </c>
      <c r="AF588" s="590">
        <f>IF(A9taxstdlife="n/a","n/a",IF(AF$3&gt;(A9taxstdlife+$E588),(('PTRM input'!$I$151+'PTRM input'!$I$117)*$I$7)-SUM($I588:AE588),(('PTRM input'!$I$151+'PTRM input'!$I$117)*$I$7)/A9taxstdlife))</f>
        <v>0</v>
      </c>
      <c r="AG588" s="590">
        <f>IF(A9taxstdlife="n/a","n/a",IF(AG$3&gt;(A9taxstdlife+$E588),(('PTRM input'!$I$151+'PTRM input'!$I$117)*$I$7)-SUM($I588:AF588),(('PTRM input'!$I$151+'PTRM input'!$I$117)*$I$7)/A9taxstdlife))</f>
        <v>0</v>
      </c>
      <c r="AH588" s="590">
        <f>IF(A9taxstdlife="n/a","n/a",IF(AH$3&gt;(A9taxstdlife+$E588),(('PTRM input'!$I$151+'PTRM input'!$I$117)*$I$7)-SUM($I588:AG588),(('PTRM input'!$I$151+'PTRM input'!$I$117)*$I$7)/A9taxstdlife))</f>
        <v>0</v>
      </c>
      <c r="AI588" s="590">
        <f>IF(A9taxstdlife="n/a","n/a",IF(AI$3&gt;(A9taxstdlife+$E588),(('PTRM input'!$I$151+'PTRM input'!$I$117)*$I$7)-SUM($I588:AH588),(('PTRM input'!$I$151+'PTRM input'!$I$117)*$I$7)/A9taxstdlife))</f>
        <v>0</v>
      </c>
      <c r="AJ588" s="590">
        <f>IF(A9taxstdlife="n/a","n/a",IF(AJ$3&gt;(A9taxstdlife+$E588),(('PTRM input'!$I$151+'PTRM input'!$I$117)*$I$7)-SUM($I588:AI588),(('PTRM input'!$I$151+'PTRM input'!$I$117)*$I$7)/A9taxstdlife))</f>
        <v>0</v>
      </c>
      <c r="AK588" s="590">
        <f>IF(A9taxstdlife="n/a","n/a",IF(AK$3&gt;(A9taxstdlife+$E588),(('PTRM input'!$I$151+'PTRM input'!$I$117)*$I$7)-SUM($I588:AJ588),(('PTRM input'!$I$151+'PTRM input'!$I$117)*$I$7)/A9taxstdlife))</f>
        <v>0</v>
      </c>
      <c r="AL588" s="590">
        <f>IF(A9taxstdlife="n/a","n/a",IF(AL$3&gt;(A9taxstdlife+$E588),(('PTRM input'!$I$151+'PTRM input'!$I$117)*$I$7)-SUM($I588:AK588),(('PTRM input'!$I$151+'PTRM input'!$I$117)*$I$7)/A9taxstdlife))</f>
        <v>0</v>
      </c>
      <c r="AM588" s="590">
        <f>IF(A9taxstdlife="n/a","n/a",IF(AM$3&gt;(A9taxstdlife+$E588),(('PTRM input'!$I$151+'PTRM input'!$I$117)*$I$7)-SUM($I588:AL588),(('PTRM input'!$I$151+'PTRM input'!$I$117)*$I$7)/A9taxstdlife))</f>
        <v>0</v>
      </c>
      <c r="AN588" s="590">
        <f>IF(A9taxstdlife="n/a","n/a",IF(AN$3&gt;(A9taxstdlife+$E588),(('PTRM input'!$I$151+'PTRM input'!$I$117)*$I$7)-SUM($I588:AM588),(('PTRM input'!$I$151+'PTRM input'!$I$117)*$I$7)/A9taxstdlife))</f>
        <v>0</v>
      </c>
      <c r="AO588" s="590">
        <f>IF(A9taxstdlife="n/a","n/a",IF(AO$3&gt;(A9taxstdlife+$E588),(('PTRM input'!$I$151+'PTRM input'!$I$117)*$I$7)-SUM($I588:AN588),(('PTRM input'!$I$151+'PTRM input'!$I$117)*$I$7)/A9taxstdlife))</f>
        <v>0</v>
      </c>
      <c r="AP588" s="590">
        <f>IF(A9taxstdlife="n/a","n/a",IF(AP$3&gt;(A9taxstdlife+$E588),(('PTRM input'!$I$151+'PTRM input'!$I$117)*$I$7)-SUM($I588:AO588),(('PTRM input'!$I$151+'PTRM input'!$I$117)*$I$7)/A9taxstdlife))</f>
        <v>0</v>
      </c>
      <c r="AQ588" s="590">
        <f>IF(A9taxstdlife="n/a","n/a",IF(AQ$3&gt;(A9taxstdlife+$E588),(('PTRM input'!$I$151+'PTRM input'!$I$117)*$I$7)-SUM($I588:AP588),(('PTRM input'!$I$151+'PTRM input'!$I$117)*$I$7)/A9taxstdlife))</f>
        <v>0</v>
      </c>
      <c r="AR588" s="590">
        <f>IF(A9taxstdlife="n/a","n/a",IF(AR$3&gt;(A9taxstdlife+$E588),(('PTRM input'!$I$151+'PTRM input'!$I$117)*$I$7)-SUM($I588:AQ588),(('PTRM input'!$I$151+'PTRM input'!$I$117)*$I$7)/A9taxstdlife))</f>
        <v>0</v>
      </c>
      <c r="AS588" s="590">
        <f>IF(A9taxstdlife="n/a","n/a",IF(AS$3&gt;(A9taxstdlife+$E588),(('PTRM input'!$I$151+'PTRM input'!$I$117)*$I$7)-SUM($I588:AR588),(('PTRM input'!$I$151+'PTRM input'!$I$117)*$I$7)/A9taxstdlife))</f>
        <v>0</v>
      </c>
      <c r="AT588" s="590">
        <f>IF(A9taxstdlife="n/a","n/a",IF(AT$3&gt;(A9taxstdlife+$E588),(('PTRM input'!$I$151+'PTRM input'!$I$117)*$I$7)-SUM($I588:AS588),(('PTRM input'!$I$151+'PTRM input'!$I$117)*$I$7)/A9taxstdlife))</f>
        <v>0</v>
      </c>
      <c r="AU588" s="590">
        <f>IF(A9taxstdlife="n/a","n/a",IF(AU$3&gt;(A9taxstdlife+$E588),(('PTRM input'!$I$151+'PTRM input'!$I$117)*$I$7)-SUM($I588:AT588),(('PTRM input'!$I$151+'PTRM input'!$I$117)*$I$7)/A9taxstdlife))</f>
        <v>0</v>
      </c>
      <c r="AV588" s="590">
        <f>IF(A9taxstdlife="n/a","n/a",IF(AV$3&gt;(A9taxstdlife+$E588),(('PTRM input'!$I$151+'PTRM input'!$I$117)*$I$7)-SUM($I588:AU588),(('PTRM input'!$I$151+'PTRM input'!$I$117)*$I$7)/A9taxstdlife))</f>
        <v>0</v>
      </c>
      <c r="AW588" s="590">
        <f>IF(A9taxstdlife="n/a","n/a",IF(AW$3&gt;(A9taxstdlife+$E588),(('PTRM input'!$I$151+'PTRM input'!$I$117)*$I$7)-SUM($I588:AV588),(('PTRM input'!$I$151+'PTRM input'!$I$117)*$I$7)/A9taxstdlife))</f>
        <v>0</v>
      </c>
      <c r="AX588" s="590">
        <f>IF(A9taxstdlife="n/a","n/a",IF(AX$3&gt;(A9taxstdlife+$E588),(('PTRM input'!$I$151+'PTRM input'!$I$117)*$I$7)-SUM($I588:AW588),(('PTRM input'!$I$151+'PTRM input'!$I$117)*$I$7)/A9taxstdlife))</f>
        <v>0</v>
      </c>
      <c r="AY588" s="590">
        <f>IF(A9taxstdlife="n/a","n/a",IF(AY$3&gt;(A9taxstdlife+$E588),(('PTRM input'!$I$151+'PTRM input'!$I$117)*$I$7)-SUM($I588:AX588),(('PTRM input'!$I$151+'PTRM input'!$I$117)*$I$7)/A9taxstdlife))</f>
        <v>0</v>
      </c>
      <c r="AZ588" s="590">
        <f>IF(A9taxstdlife="n/a","n/a",IF(AZ$3&gt;(A9taxstdlife+$E588),(('PTRM input'!$I$151+'PTRM input'!$I$117)*$I$7)-SUM($I588:AY588),(('PTRM input'!$I$151+'PTRM input'!$I$117)*$I$7)/A9taxstdlife))</f>
        <v>0</v>
      </c>
      <c r="BA588" s="590">
        <f>IF(A9taxstdlife="n/a","n/a",IF(BA$3&gt;(A9taxstdlife+$E588),(('PTRM input'!$I$151+'PTRM input'!$I$117)*$I$7)-SUM($I588:AZ588),(('PTRM input'!$I$151+'PTRM input'!$I$117)*$I$7)/A9taxstdlife))</f>
        <v>0</v>
      </c>
      <c r="BB588" s="590">
        <f>IF(A9taxstdlife="n/a","n/a",IF(BB$3&gt;(A9taxstdlife+$E588),(('PTRM input'!$I$151+'PTRM input'!$I$117)*$I$7)-SUM($I588:BA588),(('PTRM input'!$I$151+'PTRM input'!$I$117)*$I$7)/A9taxstdlife))</f>
        <v>0</v>
      </c>
      <c r="BC588" s="590">
        <f>IF(A9taxstdlife="n/a","n/a",IF(BC$3&gt;(A9taxstdlife+$E588),(('PTRM input'!$I$151+'PTRM input'!$I$117)*$I$7)-SUM($I588:BB588),(('PTRM input'!$I$151+'PTRM input'!$I$117)*$I$7)/A9taxstdlife))</f>
        <v>0</v>
      </c>
      <c r="BD588" s="590">
        <f>IF(A9taxstdlife="n/a","n/a",IF(BD$3&gt;(A9taxstdlife+$E588),(('PTRM input'!$I$151+'PTRM input'!$I$117)*$I$7)-SUM($I588:BC588),(('PTRM input'!$I$151+'PTRM input'!$I$117)*$I$7)/A9taxstdlife))</f>
        <v>0</v>
      </c>
      <c r="BE588" s="590">
        <f>IF(A9taxstdlife="n/a","n/a",IF(BE$3&gt;(A9taxstdlife+$E588),(('PTRM input'!$I$151+'PTRM input'!$I$117)*$I$7)-SUM($I588:BD588),(('PTRM input'!$I$151+'PTRM input'!$I$117)*$I$7)/A9taxstdlife))</f>
        <v>0</v>
      </c>
      <c r="BF588" s="590">
        <f>IF(A9taxstdlife="n/a","n/a",IF(BF$3&gt;(A9taxstdlife+$E588),(('PTRM input'!$I$151+'PTRM input'!$I$117)*$I$7)-SUM($I588:BE588),(('PTRM input'!$I$151+'PTRM input'!$I$117)*$I$7)/A9taxstdlife))</f>
        <v>0</v>
      </c>
      <c r="BG588" s="590">
        <f>IF(A9taxstdlife="n/a","n/a",IF(BG$3&gt;(A9taxstdlife+$E588),(('PTRM input'!$I$151+'PTRM input'!$I$117)*$I$7)-SUM($I588:BF588),(('PTRM input'!$I$151+'PTRM input'!$I$117)*$I$7)/A9taxstdlife))</f>
        <v>0</v>
      </c>
      <c r="BH588" s="590">
        <f>IF(A9taxstdlife="n/a","n/a",IF(BH$3&gt;(A9taxstdlife+$E588),(('PTRM input'!$I$151+'PTRM input'!$I$117)*$I$7)-SUM($I588:BG588),(('PTRM input'!$I$151+'PTRM input'!$I$117)*$I$7)/A9taxstdlife))</f>
        <v>0</v>
      </c>
      <c r="BI588" s="590">
        <f>IF(A9taxstdlife="n/a","n/a",IF(BI$3&gt;(A9taxstdlife+$E588),(('PTRM input'!$I$151+'PTRM input'!$I$117)*$I$7)-SUM($I588:BH588),(('PTRM input'!$I$151+'PTRM input'!$I$117)*$I$7)/A9taxstdlife))</f>
        <v>0</v>
      </c>
      <c r="BJ588" s="240"/>
      <c r="BK588" s="240"/>
      <c r="BL588" s="240"/>
      <c r="BM588" s="240"/>
    </row>
    <row r="589" spans="1:65" s="4" customFormat="1" hidden="1" outlineLevel="2">
      <c r="A589" s="240"/>
      <c r="B589" s="240"/>
      <c r="C589" s="595"/>
      <c r="D589" s="1618"/>
      <c r="E589" s="169">
        <v>4</v>
      </c>
      <c r="F589" s="35"/>
      <c r="G589" s="184"/>
      <c r="H589" s="186"/>
      <c r="I589" s="186"/>
      <c r="J589" s="185"/>
      <c r="K589" s="107">
        <f>IF(A9taxstdlife="n/a","n/a",IF(K$3&gt;(A9taxstdlife+$E589),(('PTRM input'!$J$151+'PTRM input'!$J$117)*$J$7)-SUM($J589:J589),(('PTRM input'!$J$151+'PTRM input'!$J$117)*$J$7)/A9taxstdlife))</f>
        <v>0</v>
      </c>
      <c r="L589" s="107">
        <f>IF(A9taxstdlife="n/a","n/a",IF(L$3&gt;(A9taxstdlife+$E589),(('PTRM input'!$J$151+'PTRM input'!$J$117)*$J$7)-SUM($J589:K589),(('PTRM input'!$J$151+'PTRM input'!$J$117)*$J$7)/A9taxstdlife))</f>
        <v>0</v>
      </c>
      <c r="M589" s="107">
        <f>IF(A9taxstdlife="n/a","n/a",IF(M$3&gt;(A9taxstdlife+$E589),(('PTRM input'!$J$151+'PTRM input'!$J$117)*$J$7)-SUM($J589:L589),(('PTRM input'!$J$151+'PTRM input'!$J$117)*$J$7)/A9taxstdlife))</f>
        <v>0</v>
      </c>
      <c r="N589" s="107">
        <f>IF(A9taxstdlife="n/a","n/a",IF(N$3&gt;(A9taxstdlife+$E589),(('PTRM input'!$J$151+'PTRM input'!$J$117)*$J$7)-SUM($J589:M589),(('PTRM input'!$J$151+'PTRM input'!$J$117)*$J$7)/A9taxstdlife))</f>
        <v>0</v>
      </c>
      <c r="O589" s="107">
        <f>IF(A9taxstdlife="n/a","n/a",IF(O$3&gt;(A9taxstdlife+$E589),(('PTRM input'!$J$151+'PTRM input'!$J$117)*$J$7)-SUM($J589:N589),(('PTRM input'!$J$151+'PTRM input'!$J$117)*$J$7)/A9taxstdlife))</f>
        <v>0</v>
      </c>
      <c r="P589" s="107">
        <f>IF(A9taxstdlife="n/a","n/a",IF(P$3&gt;(A9taxstdlife+$E589),(('PTRM input'!$J$151+'PTRM input'!$J$117)*$J$7)-SUM($J589:O589),(('PTRM input'!$J$151+'PTRM input'!$J$117)*$J$7)/A9taxstdlife))</f>
        <v>0</v>
      </c>
      <c r="Q589" s="590">
        <f>IF(A9taxstdlife="n/a","n/a",IF(Q$3&gt;(A9taxstdlife+$E589),(('PTRM input'!$J$151+'PTRM input'!$J$117)*$J$7)-SUM($J589:P589),(('PTRM input'!$J$151+'PTRM input'!$J$117)*$J$7)/A9taxstdlife))</f>
        <v>0</v>
      </c>
      <c r="R589" s="590">
        <f>IF(A9taxstdlife="n/a","n/a",IF(R$3&gt;(A9taxstdlife+$E589),(('PTRM input'!$J$151+'PTRM input'!$J$117)*$J$7)-SUM($J589:Q589),(('PTRM input'!$J$151+'PTRM input'!$J$117)*$J$7)/A9taxstdlife))</f>
        <v>0</v>
      </c>
      <c r="S589" s="590">
        <f>IF(A9taxstdlife="n/a","n/a",IF(S$3&gt;(A9taxstdlife+$E589),(('PTRM input'!$J$151+'PTRM input'!$J$117)*$J$7)-SUM($J589:R589),(('PTRM input'!$J$151+'PTRM input'!$J$117)*$J$7)/A9taxstdlife))</f>
        <v>0</v>
      </c>
      <c r="T589" s="590">
        <f>IF(A9taxstdlife="n/a","n/a",IF(T$3&gt;(A9taxstdlife+$E589),(('PTRM input'!$J$151+'PTRM input'!$J$117)*$J$7)-SUM($J589:S589),(('PTRM input'!$J$151+'PTRM input'!$J$117)*$J$7)/A9taxstdlife))</f>
        <v>0</v>
      </c>
      <c r="U589" s="590">
        <f>IF(A9taxstdlife="n/a","n/a",IF(U$3&gt;(A9taxstdlife+$E589),(('PTRM input'!$J$151+'PTRM input'!$J$117)*$J$7)-SUM($J589:T589),(('PTRM input'!$J$151+'PTRM input'!$J$117)*$J$7)/A9taxstdlife))</f>
        <v>0</v>
      </c>
      <c r="V589" s="590">
        <f>IF(A9taxstdlife="n/a","n/a",IF(V$3&gt;(A9taxstdlife+$E589),(('PTRM input'!$J$151+'PTRM input'!$J$117)*$J$7)-SUM($J589:U589),(('PTRM input'!$J$151+'PTRM input'!$J$117)*$J$7)/A9taxstdlife))</f>
        <v>0</v>
      </c>
      <c r="W589" s="590">
        <f>IF(A9taxstdlife="n/a","n/a",IF(W$3&gt;(A9taxstdlife+$E589),(('PTRM input'!$J$151+'PTRM input'!$J$117)*$J$7)-SUM($J589:V589),(('PTRM input'!$J$151+'PTRM input'!$J$117)*$J$7)/A9taxstdlife))</f>
        <v>0</v>
      </c>
      <c r="X589" s="590">
        <f>IF(A9taxstdlife="n/a","n/a",IF(X$3&gt;(A9taxstdlife+$E589),(('PTRM input'!$J$151+'PTRM input'!$J$117)*$J$7)-SUM($J589:W589),(('PTRM input'!$J$151+'PTRM input'!$J$117)*$J$7)/A9taxstdlife))</f>
        <v>0</v>
      </c>
      <c r="Y589" s="590">
        <f>IF(A9taxstdlife="n/a","n/a",IF(Y$3&gt;(A9taxstdlife+$E589),(('PTRM input'!$J$151+'PTRM input'!$J$117)*$J$7)-SUM($J589:X589),(('PTRM input'!$J$151+'PTRM input'!$J$117)*$J$7)/A9taxstdlife))</f>
        <v>0</v>
      </c>
      <c r="Z589" s="590">
        <f>IF(A9taxstdlife="n/a","n/a",IF(Z$3&gt;(A9taxstdlife+$E589),(('PTRM input'!$J$151+'PTRM input'!$J$117)*$J$7)-SUM($J589:Y589),(('PTRM input'!$J$151+'PTRM input'!$J$117)*$J$7)/A9taxstdlife))</f>
        <v>0</v>
      </c>
      <c r="AA589" s="590">
        <f>IF(A9taxstdlife="n/a","n/a",IF(AA$3&gt;(A9taxstdlife+$E589),(('PTRM input'!$J$151+'PTRM input'!$J$117)*$J$7)-SUM($J589:Z589),(('PTRM input'!$J$151+'PTRM input'!$J$117)*$J$7)/A9taxstdlife))</f>
        <v>0</v>
      </c>
      <c r="AB589" s="590">
        <f>IF(A9taxstdlife="n/a","n/a",IF(AB$3&gt;(A9taxstdlife+$E589),(('PTRM input'!$J$151+'PTRM input'!$J$117)*$J$7)-SUM($J589:AA589),(('PTRM input'!$J$151+'PTRM input'!$J$117)*$J$7)/A9taxstdlife))</f>
        <v>0</v>
      </c>
      <c r="AC589" s="590">
        <f>IF(A9taxstdlife="n/a","n/a",IF(AC$3&gt;(A9taxstdlife+$E589),(('PTRM input'!$J$151+'PTRM input'!$J$117)*$J$7)-SUM($J589:AB589),(('PTRM input'!$J$151+'PTRM input'!$J$117)*$J$7)/A9taxstdlife))</f>
        <v>0</v>
      </c>
      <c r="AD589" s="590">
        <f>IF(A9taxstdlife="n/a","n/a",IF(AD$3&gt;(A9taxstdlife+$E589),(('PTRM input'!$J$151+'PTRM input'!$J$117)*$J$7)-SUM($J589:AC589),(('PTRM input'!$J$151+'PTRM input'!$J$117)*$J$7)/A9taxstdlife))</f>
        <v>0</v>
      </c>
      <c r="AE589" s="590">
        <f>IF(A9taxstdlife="n/a","n/a",IF(AE$3&gt;(A9taxstdlife+$E589),(('PTRM input'!$J$151+'PTRM input'!$J$117)*$J$7)-SUM($J589:AD589),(('PTRM input'!$J$151+'PTRM input'!$J$117)*$J$7)/A9taxstdlife))</f>
        <v>0</v>
      </c>
      <c r="AF589" s="590">
        <f>IF(A9taxstdlife="n/a","n/a",IF(AF$3&gt;(A9taxstdlife+$E589),(('PTRM input'!$J$151+'PTRM input'!$J$117)*$J$7)-SUM($J589:AE589),(('PTRM input'!$J$151+'PTRM input'!$J$117)*$J$7)/A9taxstdlife))</f>
        <v>0</v>
      </c>
      <c r="AG589" s="590">
        <f>IF(A9taxstdlife="n/a","n/a",IF(AG$3&gt;(A9taxstdlife+$E589),(('PTRM input'!$J$151+'PTRM input'!$J$117)*$J$7)-SUM($J589:AF589),(('PTRM input'!$J$151+'PTRM input'!$J$117)*$J$7)/A9taxstdlife))</f>
        <v>0</v>
      </c>
      <c r="AH589" s="590">
        <f>IF(A9taxstdlife="n/a","n/a",IF(AH$3&gt;(A9taxstdlife+$E589),(('PTRM input'!$J$151+'PTRM input'!$J$117)*$J$7)-SUM($J589:AG589),(('PTRM input'!$J$151+'PTRM input'!$J$117)*$J$7)/A9taxstdlife))</f>
        <v>0</v>
      </c>
      <c r="AI589" s="590">
        <f>IF(A9taxstdlife="n/a","n/a",IF(AI$3&gt;(A9taxstdlife+$E589),(('PTRM input'!$J$151+'PTRM input'!$J$117)*$J$7)-SUM($J589:AH589),(('PTRM input'!$J$151+'PTRM input'!$J$117)*$J$7)/A9taxstdlife))</f>
        <v>0</v>
      </c>
      <c r="AJ589" s="590">
        <f>IF(A9taxstdlife="n/a","n/a",IF(AJ$3&gt;(A9taxstdlife+$E589),(('PTRM input'!$J$151+'PTRM input'!$J$117)*$J$7)-SUM($J589:AI589),(('PTRM input'!$J$151+'PTRM input'!$J$117)*$J$7)/A9taxstdlife))</f>
        <v>0</v>
      </c>
      <c r="AK589" s="590">
        <f>IF(A9taxstdlife="n/a","n/a",IF(AK$3&gt;(A9taxstdlife+$E589),(('PTRM input'!$J$151+'PTRM input'!$J$117)*$J$7)-SUM($J589:AJ589),(('PTRM input'!$J$151+'PTRM input'!$J$117)*$J$7)/A9taxstdlife))</f>
        <v>0</v>
      </c>
      <c r="AL589" s="590">
        <f>IF(A9taxstdlife="n/a","n/a",IF(AL$3&gt;(A9taxstdlife+$E589),(('PTRM input'!$J$151+'PTRM input'!$J$117)*$J$7)-SUM($J589:AK589),(('PTRM input'!$J$151+'PTRM input'!$J$117)*$J$7)/A9taxstdlife))</f>
        <v>0</v>
      </c>
      <c r="AM589" s="590">
        <f>IF(A9taxstdlife="n/a","n/a",IF(AM$3&gt;(A9taxstdlife+$E589),(('PTRM input'!$J$151+'PTRM input'!$J$117)*$J$7)-SUM($J589:AL589),(('PTRM input'!$J$151+'PTRM input'!$J$117)*$J$7)/A9taxstdlife))</f>
        <v>0</v>
      </c>
      <c r="AN589" s="590">
        <f>IF(A9taxstdlife="n/a","n/a",IF(AN$3&gt;(A9taxstdlife+$E589),(('PTRM input'!$J$151+'PTRM input'!$J$117)*$J$7)-SUM($J589:AM589),(('PTRM input'!$J$151+'PTRM input'!$J$117)*$J$7)/A9taxstdlife))</f>
        <v>0</v>
      </c>
      <c r="AO589" s="590">
        <f>IF(A9taxstdlife="n/a","n/a",IF(AO$3&gt;(A9taxstdlife+$E589),(('PTRM input'!$J$151+'PTRM input'!$J$117)*$J$7)-SUM($J589:AN589),(('PTRM input'!$J$151+'PTRM input'!$J$117)*$J$7)/A9taxstdlife))</f>
        <v>0</v>
      </c>
      <c r="AP589" s="590">
        <f>IF(A9taxstdlife="n/a","n/a",IF(AP$3&gt;(A9taxstdlife+$E589),(('PTRM input'!$J$151+'PTRM input'!$J$117)*$J$7)-SUM($J589:AO589),(('PTRM input'!$J$151+'PTRM input'!$J$117)*$J$7)/A9taxstdlife))</f>
        <v>0</v>
      </c>
      <c r="AQ589" s="590">
        <f>IF(A9taxstdlife="n/a","n/a",IF(AQ$3&gt;(A9taxstdlife+$E589),(('PTRM input'!$J$151+'PTRM input'!$J$117)*$J$7)-SUM($J589:AP589),(('PTRM input'!$J$151+'PTRM input'!$J$117)*$J$7)/A9taxstdlife))</f>
        <v>0</v>
      </c>
      <c r="AR589" s="590">
        <f>IF(A9taxstdlife="n/a","n/a",IF(AR$3&gt;(A9taxstdlife+$E589),(('PTRM input'!$J$151+'PTRM input'!$J$117)*$J$7)-SUM($J589:AQ589),(('PTRM input'!$J$151+'PTRM input'!$J$117)*$J$7)/A9taxstdlife))</f>
        <v>0</v>
      </c>
      <c r="AS589" s="590">
        <f>IF(A9taxstdlife="n/a","n/a",IF(AS$3&gt;(A9taxstdlife+$E589),(('PTRM input'!$J$151+'PTRM input'!$J$117)*$J$7)-SUM($J589:AR589),(('PTRM input'!$J$151+'PTRM input'!$J$117)*$J$7)/A9taxstdlife))</f>
        <v>0</v>
      </c>
      <c r="AT589" s="590">
        <f>IF(A9taxstdlife="n/a","n/a",IF(AT$3&gt;(A9taxstdlife+$E589),(('PTRM input'!$J$151+'PTRM input'!$J$117)*$J$7)-SUM($J589:AS589),(('PTRM input'!$J$151+'PTRM input'!$J$117)*$J$7)/A9taxstdlife))</f>
        <v>0</v>
      </c>
      <c r="AU589" s="590">
        <f>IF(A9taxstdlife="n/a","n/a",IF(AU$3&gt;(A9taxstdlife+$E589),(('PTRM input'!$J$151+'PTRM input'!$J$117)*$J$7)-SUM($J589:AT589),(('PTRM input'!$J$151+'PTRM input'!$J$117)*$J$7)/A9taxstdlife))</f>
        <v>0</v>
      </c>
      <c r="AV589" s="590">
        <f>IF(A9taxstdlife="n/a","n/a",IF(AV$3&gt;(A9taxstdlife+$E589),(('PTRM input'!$J$151+'PTRM input'!$J$117)*$J$7)-SUM($J589:AU589),(('PTRM input'!$J$151+'PTRM input'!$J$117)*$J$7)/A9taxstdlife))</f>
        <v>0</v>
      </c>
      <c r="AW589" s="590">
        <f>IF(A9taxstdlife="n/a","n/a",IF(AW$3&gt;(A9taxstdlife+$E589),(('PTRM input'!$J$151+'PTRM input'!$J$117)*$J$7)-SUM($J589:AV589),(('PTRM input'!$J$151+'PTRM input'!$J$117)*$J$7)/A9taxstdlife))</f>
        <v>0</v>
      </c>
      <c r="AX589" s="590">
        <f>IF(A9taxstdlife="n/a","n/a",IF(AX$3&gt;(A9taxstdlife+$E589),(('PTRM input'!$J$151+'PTRM input'!$J$117)*$J$7)-SUM($J589:AW589),(('PTRM input'!$J$151+'PTRM input'!$J$117)*$J$7)/A9taxstdlife))</f>
        <v>0</v>
      </c>
      <c r="AY589" s="590">
        <f>IF(A9taxstdlife="n/a","n/a",IF(AY$3&gt;(A9taxstdlife+$E589),(('PTRM input'!$J$151+'PTRM input'!$J$117)*$J$7)-SUM($J589:AX589),(('PTRM input'!$J$151+'PTRM input'!$J$117)*$J$7)/A9taxstdlife))</f>
        <v>0</v>
      </c>
      <c r="AZ589" s="590">
        <f>IF(A9taxstdlife="n/a","n/a",IF(AZ$3&gt;(A9taxstdlife+$E589),(('PTRM input'!$J$151+'PTRM input'!$J$117)*$J$7)-SUM($J589:AY589),(('PTRM input'!$J$151+'PTRM input'!$J$117)*$J$7)/A9taxstdlife))</f>
        <v>0</v>
      </c>
      <c r="BA589" s="590">
        <f>IF(A9taxstdlife="n/a","n/a",IF(BA$3&gt;(A9taxstdlife+$E589),(('PTRM input'!$J$151+'PTRM input'!$J$117)*$J$7)-SUM($J589:AZ589),(('PTRM input'!$J$151+'PTRM input'!$J$117)*$J$7)/A9taxstdlife))</f>
        <v>0</v>
      </c>
      <c r="BB589" s="590">
        <f>IF(A9taxstdlife="n/a","n/a",IF(BB$3&gt;(A9taxstdlife+$E589),(('PTRM input'!$J$151+'PTRM input'!$J$117)*$J$7)-SUM($J589:BA589),(('PTRM input'!$J$151+'PTRM input'!$J$117)*$J$7)/A9taxstdlife))</f>
        <v>0</v>
      </c>
      <c r="BC589" s="590">
        <f>IF(A9taxstdlife="n/a","n/a",IF(BC$3&gt;(A9taxstdlife+$E589),(('PTRM input'!$J$151+'PTRM input'!$J$117)*$J$7)-SUM($J589:BB589),(('PTRM input'!$J$151+'PTRM input'!$J$117)*$J$7)/A9taxstdlife))</f>
        <v>0</v>
      </c>
      <c r="BD589" s="590">
        <f>IF(A9taxstdlife="n/a","n/a",IF(BD$3&gt;(A9taxstdlife+$E589),(('PTRM input'!$J$151+'PTRM input'!$J$117)*$J$7)-SUM($J589:BC589),(('PTRM input'!$J$151+'PTRM input'!$J$117)*$J$7)/A9taxstdlife))</f>
        <v>0</v>
      </c>
      <c r="BE589" s="590">
        <f>IF(A9taxstdlife="n/a","n/a",IF(BE$3&gt;(A9taxstdlife+$E589),(('PTRM input'!$J$151+'PTRM input'!$J$117)*$J$7)-SUM($J589:BD589),(('PTRM input'!$J$151+'PTRM input'!$J$117)*$J$7)/A9taxstdlife))</f>
        <v>0</v>
      </c>
      <c r="BF589" s="590">
        <f>IF(A9taxstdlife="n/a","n/a",IF(BF$3&gt;(A9taxstdlife+$E589),(('PTRM input'!$J$151+'PTRM input'!$J$117)*$J$7)-SUM($J589:BE589),(('PTRM input'!$J$151+'PTRM input'!$J$117)*$J$7)/A9taxstdlife))</f>
        <v>0</v>
      </c>
      <c r="BG589" s="590">
        <f>IF(A9taxstdlife="n/a","n/a",IF(BG$3&gt;(A9taxstdlife+$E589),(('PTRM input'!$J$151+'PTRM input'!$J$117)*$J$7)-SUM($J589:BF589),(('PTRM input'!$J$151+'PTRM input'!$J$117)*$J$7)/A9taxstdlife))</f>
        <v>0</v>
      </c>
      <c r="BH589" s="590">
        <f>IF(A9taxstdlife="n/a","n/a",IF(BH$3&gt;(A9taxstdlife+$E589),(('PTRM input'!$J$151+'PTRM input'!$J$117)*$J$7)-SUM($J589:BG589),(('PTRM input'!$J$151+'PTRM input'!$J$117)*$J$7)/A9taxstdlife))</f>
        <v>0</v>
      </c>
      <c r="BI589" s="590">
        <f>IF(A9taxstdlife="n/a","n/a",IF(BI$3&gt;(A9taxstdlife+$E589),(('PTRM input'!$J$151+'PTRM input'!$J$117)*$J$7)-SUM($J589:BH589),(('PTRM input'!$J$151+'PTRM input'!$J$117)*$J$7)/A9taxstdlife))</f>
        <v>0</v>
      </c>
      <c r="BJ589" s="240"/>
      <c r="BK589" s="240"/>
      <c r="BL589" s="240"/>
      <c r="BM589" s="240"/>
    </row>
    <row r="590" spans="1:65" s="4" customFormat="1" hidden="1" outlineLevel="2">
      <c r="A590" s="240"/>
      <c r="B590" s="240"/>
      <c r="C590" s="595"/>
      <c r="D590" s="1618"/>
      <c r="E590" s="169">
        <v>5</v>
      </c>
      <c r="F590" s="35"/>
      <c r="G590" s="184"/>
      <c r="H590" s="186"/>
      <c r="I590" s="186"/>
      <c r="J590" s="186"/>
      <c r="K590" s="185"/>
      <c r="L590" s="107">
        <f>IF(A9taxstdlife="n/a","n/a",IF(L$3&gt;(A9taxstdlife+$E590),(('PTRM input'!$K$151+'PTRM input'!$K$117)*$K$7)-SUM($K590:K590),(('PTRM input'!$K$151+'PTRM input'!$K$117)*$K$7)/A9taxstdlife))</f>
        <v>0</v>
      </c>
      <c r="M590" s="107">
        <f>IF(A9taxstdlife="n/a","n/a",IF(M$3&gt;(A9taxstdlife+$E590),(('PTRM input'!$K$151+'PTRM input'!$K$117)*$K$7)-SUM($K590:L590),(('PTRM input'!$K$151+'PTRM input'!$K$117)*$K$7)/A9taxstdlife))</f>
        <v>0</v>
      </c>
      <c r="N590" s="107">
        <f>IF(A9taxstdlife="n/a","n/a",IF(N$3&gt;(A9taxstdlife+$E590),(('PTRM input'!$K$151+'PTRM input'!$K$117)*$K$7)-SUM($K590:M590),(('PTRM input'!$K$151+'PTRM input'!$K$117)*$K$7)/A9taxstdlife))</f>
        <v>0</v>
      </c>
      <c r="O590" s="107">
        <f>IF(A9taxstdlife="n/a","n/a",IF(O$3&gt;(A9taxstdlife+$E590),(('PTRM input'!$K$151+'PTRM input'!$K$117)*$K$7)-SUM($K590:N590),(('PTRM input'!$K$151+'PTRM input'!$K$117)*$K$7)/A9taxstdlife))</f>
        <v>0</v>
      </c>
      <c r="P590" s="107">
        <f>IF(A9taxstdlife="n/a","n/a",IF(P$3&gt;(A9taxstdlife+$E590),(('PTRM input'!$K$151+'PTRM input'!$K$117)*$K$7)-SUM($K590:O590),(('PTRM input'!$K$151+'PTRM input'!$K$117)*$K$7)/A9taxstdlife))</f>
        <v>0</v>
      </c>
      <c r="Q590" s="590">
        <f>IF(A9taxstdlife="n/a","n/a",IF(Q$3&gt;(A9taxstdlife+$E590),(('PTRM input'!$K$151+'PTRM input'!$K$117)*$K$7)-SUM($K590:P590),(('PTRM input'!$K$151+'PTRM input'!$K$117)*$K$7)/A9taxstdlife))</f>
        <v>0</v>
      </c>
      <c r="R590" s="590">
        <f>IF(A9taxstdlife="n/a","n/a",IF(R$3&gt;(A9taxstdlife+$E590),(('PTRM input'!$K$151+'PTRM input'!$K$117)*$K$7)-SUM($K590:Q590),(('PTRM input'!$K$151+'PTRM input'!$K$117)*$K$7)/A9taxstdlife))</f>
        <v>0</v>
      </c>
      <c r="S590" s="590">
        <f>IF(A9taxstdlife="n/a","n/a",IF(S$3&gt;(A9taxstdlife+$E590),(('PTRM input'!$K$151+'PTRM input'!$K$117)*$K$7)-SUM($K590:R590),(('PTRM input'!$K$151+'PTRM input'!$K$117)*$K$7)/A9taxstdlife))</f>
        <v>0</v>
      </c>
      <c r="T590" s="590">
        <f>IF(A9taxstdlife="n/a","n/a",IF(T$3&gt;(A9taxstdlife+$E590),(('PTRM input'!$K$151+'PTRM input'!$K$117)*$K$7)-SUM($K590:S590),(('PTRM input'!$K$151+'PTRM input'!$K$117)*$K$7)/A9taxstdlife))</f>
        <v>0</v>
      </c>
      <c r="U590" s="590">
        <f>IF(A9taxstdlife="n/a","n/a",IF(U$3&gt;(A9taxstdlife+$E590),(('PTRM input'!$K$151+'PTRM input'!$K$117)*$K$7)-SUM($K590:T590),(('PTRM input'!$K$151+'PTRM input'!$K$117)*$K$7)/A9taxstdlife))</f>
        <v>0</v>
      </c>
      <c r="V590" s="590">
        <f>IF(A9taxstdlife="n/a","n/a",IF(V$3&gt;(A9taxstdlife+$E590),(('PTRM input'!$K$151+'PTRM input'!$K$117)*$K$7)-SUM($K590:U590),(('PTRM input'!$K$151+'PTRM input'!$K$117)*$K$7)/A9taxstdlife))</f>
        <v>0</v>
      </c>
      <c r="W590" s="590">
        <f>IF(A9taxstdlife="n/a","n/a",IF(W$3&gt;(A9taxstdlife+$E590),(('PTRM input'!$K$151+'PTRM input'!$K$117)*$K$7)-SUM($K590:V590),(('PTRM input'!$K$151+'PTRM input'!$K$117)*$K$7)/A9taxstdlife))</f>
        <v>0</v>
      </c>
      <c r="X590" s="590">
        <f>IF(A9taxstdlife="n/a","n/a",IF(X$3&gt;(A9taxstdlife+$E590),(('PTRM input'!$K$151+'PTRM input'!$K$117)*$K$7)-SUM($K590:W590),(('PTRM input'!$K$151+'PTRM input'!$K$117)*$K$7)/A9taxstdlife))</f>
        <v>0</v>
      </c>
      <c r="Y590" s="590">
        <f>IF(A9taxstdlife="n/a","n/a",IF(Y$3&gt;(A9taxstdlife+$E590),(('PTRM input'!$K$151+'PTRM input'!$K$117)*$K$7)-SUM($K590:X590),(('PTRM input'!$K$151+'PTRM input'!$K$117)*$K$7)/A9taxstdlife))</f>
        <v>0</v>
      </c>
      <c r="Z590" s="590">
        <f>IF(A9taxstdlife="n/a","n/a",IF(Z$3&gt;(A9taxstdlife+$E590),(('PTRM input'!$K$151+'PTRM input'!$K$117)*$K$7)-SUM($K590:Y590),(('PTRM input'!$K$151+'PTRM input'!$K$117)*$K$7)/A9taxstdlife))</f>
        <v>0</v>
      </c>
      <c r="AA590" s="590">
        <f>IF(A9taxstdlife="n/a","n/a",IF(AA$3&gt;(A9taxstdlife+$E590),(('PTRM input'!$K$151+'PTRM input'!$K$117)*$K$7)-SUM($K590:Z590),(('PTRM input'!$K$151+'PTRM input'!$K$117)*$K$7)/A9taxstdlife))</f>
        <v>0</v>
      </c>
      <c r="AB590" s="590">
        <f>IF(A9taxstdlife="n/a","n/a",IF(AB$3&gt;(A9taxstdlife+$E590),(('PTRM input'!$K$151+'PTRM input'!$K$117)*$K$7)-SUM($K590:AA590),(('PTRM input'!$K$151+'PTRM input'!$K$117)*$K$7)/A9taxstdlife))</f>
        <v>0</v>
      </c>
      <c r="AC590" s="590">
        <f>IF(A9taxstdlife="n/a","n/a",IF(AC$3&gt;(A9taxstdlife+$E590),(('PTRM input'!$K$151+'PTRM input'!$K$117)*$K$7)-SUM($K590:AB590),(('PTRM input'!$K$151+'PTRM input'!$K$117)*$K$7)/A9taxstdlife))</f>
        <v>0</v>
      </c>
      <c r="AD590" s="590">
        <f>IF(A9taxstdlife="n/a","n/a",IF(AD$3&gt;(A9taxstdlife+$E590),(('PTRM input'!$K$151+'PTRM input'!$K$117)*$K$7)-SUM($K590:AC590),(('PTRM input'!$K$151+'PTRM input'!$K$117)*$K$7)/A9taxstdlife))</f>
        <v>0</v>
      </c>
      <c r="AE590" s="590">
        <f>IF(A9taxstdlife="n/a","n/a",IF(AE$3&gt;(A9taxstdlife+$E590),(('PTRM input'!$K$151+'PTRM input'!$K$117)*$K$7)-SUM($K590:AD590),(('PTRM input'!$K$151+'PTRM input'!$K$117)*$K$7)/A9taxstdlife))</f>
        <v>0</v>
      </c>
      <c r="AF590" s="590">
        <f>IF(A9taxstdlife="n/a","n/a",IF(AF$3&gt;(A9taxstdlife+$E590),(('PTRM input'!$K$151+'PTRM input'!$K$117)*$K$7)-SUM($K590:AE590),(('PTRM input'!$K$151+'PTRM input'!$K$117)*$K$7)/A9taxstdlife))</f>
        <v>0</v>
      </c>
      <c r="AG590" s="590">
        <f>IF(A9taxstdlife="n/a","n/a",IF(AG$3&gt;(A9taxstdlife+$E590),(('PTRM input'!$K$151+'PTRM input'!$K$117)*$K$7)-SUM($K590:AF590),(('PTRM input'!$K$151+'PTRM input'!$K$117)*$K$7)/A9taxstdlife))</f>
        <v>0</v>
      </c>
      <c r="AH590" s="590">
        <f>IF(A9taxstdlife="n/a","n/a",IF(AH$3&gt;(A9taxstdlife+$E590),(('PTRM input'!$K$151+'PTRM input'!$K$117)*$K$7)-SUM($K590:AG590),(('PTRM input'!$K$151+'PTRM input'!$K$117)*$K$7)/A9taxstdlife))</f>
        <v>0</v>
      </c>
      <c r="AI590" s="590">
        <f>IF(A9taxstdlife="n/a","n/a",IF(AI$3&gt;(A9taxstdlife+$E590),(('PTRM input'!$K$151+'PTRM input'!$K$117)*$K$7)-SUM($K590:AH590),(('PTRM input'!$K$151+'PTRM input'!$K$117)*$K$7)/A9taxstdlife))</f>
        <v>0</v>
      </c>
      <c r="AJ590" s="590">
        <f>IF(A9taxstdlife="n/a","n/a",IF(AJ$3&gt;(A9taxstdlife+$E590),(('PTRM input'!$K$151+'PTRM input'!$K$117)*$K$7)-SUM($K590:AI590),(('PTRM input'!$K$151+'PTRM input'!$K$117)*$K$7)/A9taxstdlife))</f>
        <v>0</v>
      </c>
      <c r="AK590" s="590">
        <f>IF(A9taxstdlife="n/a","n/a",IF(AK$3&gt;(A9taxstdlife+$E590),(('PTRM input'!$K$151+'PTRM input'!$K$117)*$K$7)-SUM($K590:AJ590),(('PTRM input'!$K$151+'PTRM input'!$K$117)*$K$7)/A9taxstdlife))</f>
        <v>0</v>
      </c>
      <c r="AL590" s="590">
        <f>IF(A9taxstdlife="n/a","n/a",IF(AL$3&gt;(A9taxstdlife+$E590),(('PTRM input'!$K$151+'PTRM input'!$K$117)*$K$7)-SUM($K590:AK590),(('PTRM input'!$K$151+'PTRM input'!$K$117)*$K$7)/A9taxstdlife))</f>
        <v>0</v>
      </c>
      <c r="AM590" s="590">
        <f>IF(A9taxstdlife="n/a","n/a",IF(AM$3&gt;(A9taxstdlife+$E590),(('PTRM input'!$K$151+'PTRM input'!$K$117)*$K$7)-SUM($K590:AL590),(('PTRM input'!$K$151+'PTRM input'!$K$117)*$K$7)/A9taxstdlife))</f>
        <v>0</v>
      </c>
      <c r="AN590" s="590">
        <f>IF(A9taxstdlife="n/a","n/a",IF(AN$3&gt;(A9taxstdlife+$E590),(('PTRM input'!$K$151+'PTRM input'!$K$117)*$K$7)-SUM($K590:AM590),(('PTRM input'!$K$151+'PTRM input'!$K$117)*$K$7)/A9taxstdlife))</f>
        <v>0</v>
      </c>
      <c r="AO590" s="590">
        <f>IF(A9taxstdlife="n/a","n/a",IF(AO$3&gt;(A9taxstdlife+$E590),(('PTRM input'!$K$151+'PTRM input'!$K$117)*$K$7)-SUM($K590:AN590),(('PTRM input'!$K$151+'PTRM input'!$K$117)*$K$7)/A9taxstdlife))</f>
        <v>0</v>
      </c>
      <c r="AP590" s="590">
        <f>IF(A9taxstdlife="n/a","n/a",IF(AP$3&gt;(A9taxstdlife+$E590),(('PTRM input'!$K$151+'PTRM input'!$K$117)*$K$7)-SUM($K590:AO590),(('PTRM input'!$K$151+'PTRM input'!$K$117)*$K$7)/A9taxstdlife))</f>
        <v>0</v>
      </c>
      <c r="AQ590" s="590">
        <f>IF(A9taxstdlife="n/a","n/a",IF(AQ$3&gt;(A9taxstdlife+$E590),(('PTRM input'!$K$151+'PTRM input'!$K$117)*$K$7)-SUM($K590:AP590),(('PTRM input'!$K$151+'PTRM input'!$K$117)*$K$7)/A9taxstdlife))</f>
        <v>0</v>
      </c>
      <c r="AR590" s="590">
        <f>IF(A9taxstdlife="n/a","n/a",IF(AR$3&gt;(A9taxstdlife+$E590),(('PTRM input'!$K$151+'PTRM input'!$K$117)*$K$7)-SUM($K590:AQ590),(('PTRM input'!$K$151+'PTRM input'!$K$117)*$K$7)/A9taxstdlife))</f>
        <v>0</v>
      </c>
      <c r="AS590" s="590">
        <f>IF(A9taxstdlife="n/a","n/a",IF(AS$3&gt;(A9taxstdlife+$E590),(('PTRM input'!$K$151+'PTRM input'!$K$117)*$K$7)-SUM($K590:AR590),(('PTRM input'!$K$151+'PTRM input'!$K$117)*$K$7)/A9taxstdlife))</f>
        <v>0</v>
      </c>
      <c r="AT590" s="590">
        <f>IF(A9taxstdlife="n/a","n/a",IF(AT$3&gt;(A9taxstdlife+$E590),(('PTRM input'!$K$151+'PTRM input'!$K$117)*$K$7)-SUM($K590:AS590),(('PTRM input'!$K$151+'PTRM input'!$K$117)*$K$7)/A9taxstdlife))</f>
        <v>0</v>
      </c>
      <c r="AU590" s="590">
        <f>IF(A9taxstdlife="n/a","n/a",IF(AU$3&gt;(A9taxstdlife+$E590),(('PTRM input'!$K$151+'PTRM input'!$K$117)*$K$7)-SUM($K590:AT590),(('PTRM input'!$K$151+'PTRM input'!$K$117)*$K$7)/A9taxstdlife))</f>
        <v>0</v>
      </c>
      <c r="AV590" s="590">
        <f>IF(A9taxstdlife="n/a","n/a",IF(AV$3&gt;(A9taxstdlife+$E590),(('PTRM input'!$K$151+'PTRM input'!$K$117)*$K$7)-SUM($K590:AU590),(('PTRM input'!$K$151+'PTRM input'!$K$117)*$K$7)/A9taxstdlife))</f>
        <v>0</v>
      </c>
      <c r="AW590" s="590">
        <f>IF(A9taxstdlife="n/a","n/a",IF(AW$3&gt;(A9taxstdlife+$E590),(('PTRM input'!$K$151+'PTRM input'!$K$117)*$K$7)-SUM($K590:AV590),(('PTRM input'!$K$151+'PTRM input'!$K$117)*$K$7)/A9taxstdlife))</f>
        <v>0</v>
      </c>
      <c r="AX590" s="590">
        <f>IF(A9taxstdlife="n/a","n/a",IF(AX$3&gt;(A9taxstdlife+$E590),(('PTRM input'!$K$151+'PTRM input'!$K$117)*$K$7)-SUM($K590:AW590),(('PTRM input'!$K$151+'PTRM input'!$K$117)*$K$7)/A9taxstdlife))</f>
        <v>0</v>
      </c>
      <c r="AY590" s="590">
        <f>IF(A9taxstdlife="n/a","n/a",IF(AY$3&gt;(A9taxstdlife+$E590),(('PTRM input'!$K$151+'PTRM input'!$K$117)*$K$7)-SUM($K590:AX590),(('PTRM input'!$K$151+'PTRM input'!$K$117)*$K$7)/A9taxstdlife))</f>
        <v>0</v>
      </c>
      <c r="AZ590" s="590">
        <f>IF(A9taxstdlife="n/a","n/a",IF(AZ$3&gt;(A9taxstdlife+$E590),(('PTRM input'!$K$151+'PTRM input'!$K$117)*$K$7)-SUM($K590:AY590),(('PTRM input'!$K$151+'PTRM input'!$K$117)*$K$7)/A9taxstdlife))</f>
        <v>0</v>
      </c>
      <c r="BA590" s="590">
        <f>IF(A9taxstdlife="n/a","n/a",IF(BA$3&gt;(A9taxstdlife+$E590),(('PTRM input'!$K$151+'PTRM input'!$K$117)*$K$7)-SUM($K590:AZ590),(('PTRM input'!$K$151+'PTRM input'!$K$117)*$K$7)/A9taxstdlife))</f>
        <v>0</v>
      </c>
      <c r="BB590" s="590">
        <f>IF(A9taxstdlife="n/a","n/a",IF(BB$3&gt;(A9taxstdlife+$E590),(('PTRM input'!$K$151+'PTRM input'!$K$117)*$K$7)-SUM($K590:BA590),(('PTRM input'!$K$151+'PTRM input'!$K$117)*$K$7)/A9taxstdlife))</f>
        <v>0</v>
      </c>
      <c r="BC590" s="590">
        <f>IF(A9taxstdlife="n/a","n/a",IF(BC$3&gt;(A9taxstdlife+$E590),(('PTRM input'!$K$151+'PTRM input'!$K$117)*$K$7)-SUM($K590:BB590),(('PTRM input'!$K$151+'PTRM input'!$K$117)*$K$7)/A9taxstdlife))</f>
        <v>0</v>
      </c>
      <c r="BD590" s="590">
        <f>IF(A9taxstdlife="n/a","n/a",IF(BD$3&gt;(A9taxstdlife+$E590),(('PTRM input'!$K$151+'PTRM input'!$K$117)*$K$7)-SUM($K590:BC590),(('PTRM input'!$K$151+'PTRM input'!$K$117)*$K$7)/A9taxstdlife))</f>
        <v>0</v>
      </c>
      <c r="BE590" s="590">
        <f>IF(A9taxstdlife="n/a","n/a",IF(BE$3&gt;(A9taxstdlife+$E590),(('PTRM input'!$K$151+'PTRM input'!$K$117)*$K$7)-SUM($K590:BD590),(('PTRM input'!$K$151+'PTRM input'!$K$117)*$K$7)/A9taxstdlife))</f>
        <v>0</v>
      </c>
      <c r="BF590" s="590">
        <f>IF(A9taxstdlife="n/a","n/a",IF(BF$3&gt;(A9taxstdlife+$E590),(('PTRM input'!$K$151+'PTRM input'!$K$117)*$K$7)-SUM($K590:BE590),(('PTRM input'!$K$151+'PTRM input'!$K$117)*$K$7)/A9taxstdlife))</f>
        <v>0</v>
      </c>
      <c r="BG590" s="590">
        <f>IF(A9taxstdlife="n/a","n/a",IF(BG$3&gt;(A9taxstdlife+$E590),(('PTRM input'!$K$151+'PTRM input'!$K$117)*$K$7)-SUM($K590:BF590),(('PTRM input'!$K$151+'PTRM input'!$K$117)*$K$7)/A9taxstdlife))</f>
        <v>0</v>
      </c>
      <c r="BH590" s="590">
        <f>IF(A9taxstdlife="n/a","n/a",IF(BH$3&gt;(A9taxstdlife+$E590),(('PTRM input'!$K$151+'PTRM input'!$K$117)*$K$7)-SUM($K590:BG590),(('PTRM input'!$K$151+'PTRM input'!$K$117)*$K$7)/A9taxstdlife))</f>
        <v>0</v>
      </c>
      <c r="BI590" s="590">
        <f>IF(A9taxstdlife="n/a","n/a",IF(BI$3&gt;(A9taxstdlife+$E590),(('PTRM input'!$K$151+'PTRM input'!$K$117)*$K$7)-SUM($K590:BH590),(('PTRM input'!$K$151+'PTRM input'!$K$117)*$K$7)/A9taxstdlife))</f>
        <v>0</v>
      </c>
      <c r="BJ590" s="590"/>
      <c r="BK590" s="240"/>
      <c r="BL590" s="240"/>
      <c r="BM590" s="240"/>
    </row>
    <row r="591" spans="1:65" s="4" customFormat="1" hidden="1" outlineLevel="2">
      <c r="A591" s="240"/>
      <c r="B591" s="240"/>
      <c r="C591" s="595"/>
      <c r="D591" s="1618"/>
      <c r="E591" s="169">
        <v>6</v>
      </c>
      <c r="F591" s="35"/>
      <c r="G591" s="184"/>
      <c r="H591" s="186"/>
      <c r="I591" s="186"/>
      <c r="J591" s="186"/>
      <c r="K591" s="186"/>
      <c r="L591" s="185"/>
      <c r="M591" s="107">
        <f>IF(A9taxstdlife="n/a","n/a",IF(M$3&gt;(A9taxstdlife+$E591),(('PTRM input'!$L$151+'PTRM input'!$L$117)*$L$7)-SUM($L591:L591),(('PTRM input'!$L$151+'PTRM input'!$L$117)*$L$7)/A9taxstdlife))</f>
        <v>0</v>
      </c>
      <c r="N591" s="107">
        <f>IF(A9taxstdlife="n/a","n/a",IF(N$3&gt;(A9taxstdlife+$E591),(('PTRM input'!$L$151+'PTRM input'!$L$117)*$L$7)-SUM($L591:M591),(('PTRM input'!$L$151+'PTRM input'!$L$117)*$L$7)/A9taxstdlife))</f>
        <v>0</v>
      </c>
      <c r="O591" s="107">
        <f>IF(A9taxstdlife="n/a","n/a",IF(O$3&gt;(A9taxstdlife+$E591),(('PTRM input'!$L$151+'PTRM input'!$L$117)*$L$7)-SUM($L591:N591),(('PTRM input'!$L$151+'PTRM input'!$L$117)*$L$7)/A9taxstdlife))</f>
        <v>0</v>
      </c>
      <c r="P591" s="107">
        <f>IF(A9taxstdlife="n/a","n/a",IF(P$3&gt;(A9taxstdlife+$E591),(('PTRM input'!$L$151+'PTRM input'!$L$117)*$L$7)-SUM($L591:O591),(('PTRM input'!$L$151+'PTRM input'!$L$117)*$L$7)/A9taxstdlife))</f>
        <v>0</v>
      </c>
      <c r="Q591" s="590">
        <f>IF(A9taxstdlife="n/a","n/a",IF(Q$3&gt;(A9taxstdlife+$E591),(('PTRM input'!$L$151+'PTRM input'!$L$117)*$L$7)-SUM($L591:P591),(('PTRM input'!$L$151+'PTRM input'!$L$117)*$L$7)/A9taxstdlife))</f>
        <v>0</v>
      </c>
      <c r="R591" s="590">
        <f>IF(A9taxstdlife="n/a","n/a",IF(R$3&gt;(A9taxstdlife+$E591),(('PTRM input'!$L$151+'PTRM input'!$L$117)*$L$7)-SUM($L591:Q591),(('PTRM input'!$L$151+'PTRM input'!$L$117)*$L$7)/A9taxstdlife))</f>
        <v>0</v>
      </c>
      <c r="S591" s="590">
        <f>IF(A9taxstdlife="n/a","n/a",IF(S$3&gt;(A9taxstdlife+$E591),(('PTRM input'!$L$151+'PTRM input'!$L$117)*$L$7)-SUM($L591:R591),(('PTRM input'!$L$151+'PTRM input'!$L$117)*$L$7)/A9taxstdlife))</f>
        <v>0</v>
      </c>
      <c r="T591" s="590">
        <f>IF(A9taxstdlife="n/a","n/a",IF(T$3&gt;(A9taxstdlife+$E591),(('PTRM input'!$L$151+'PTRM input'!$L$117)*$L$7)-SUM($L591:S591),(('PTRM input'!$L$151+'PTRM input'!$L$117)*$L$7)/A9taxstdlife))</f>
        <v>0</v>
      </c>
      <c r="U591" s="590">
        <f>IF(A9taxstdlife="n/a","n/a",IF(U$3&gt;(A9taxstdlife+$E591),(('PTRM input'!$L$151+'PTRM input'!$L$117)*$L$7)-SUM($L591:T591),(('PTRM input'!$L$151+'PTRM input'!$L$117)*$L$7)/A9taxstdlife))</f>
        <v>0</v>
      </c>
      <c r="V591" s="590">
        <f>IF(A9taxstdlife="n/a","n/a",IF(V$3&gt;(A9taxstdlife+$E591),(('PTRM input'!$L$151+'PTRM input'!$L$117)*$L$7)-SUM($L591:U591),(('PTRM input'!$L$151+'PTRM input'!$L$117)*$L$7)/A9taxstdlife))</f>
        <v>0</v>
      </c>
      <c r="W591" s="590">
        <f>IF(A9taxstdlife="n/a","n/a",IF(W$3&gt;(A9taxstdlife+$E591),(('PTRM input'!$L$151+'PTRM input'!$L$117)*$L$7)-SUM($L591:V591),(('PTRM input'!$L$151+'PTRM input'!$L$117)*$L$7)/A9taxstdlife))</f>
        <v>0</v>
      </c>
      <c r="X591" s="590">
        <f>IF(A9taxstdlife="n/a","n/a",IF(X$3&gt;(A9taxstdlife+$E591),(('PTRM input'!$L$151+'PTRM input'!$L$117)*$L$7)-SUM($L591:W591),(('PTRM input'!$L$151+'PTRM input'!$L$117)*$L$7)/A9taxstdlife))</f>
        <v>0</v>
      </c>
      <c r="Y591" s="590">
        <f>IF(A9taxstdlife="n/a","n/a",IF(Y$3&gt;(A9taxstdlife+$E591),(('PTRM input'!$L$151+'PTRM input'!$L$117)*$L$7)-SUM($L591:X591),(('PTRM input'!$L$151+'PTRM input'!$L$117)*$L$7)/A9taxstdlife))</f>
        <v>0</v>
      </c>
      <c r="Z591" s="590">
        <f>IF(A9taxstdlife="n/a","n/a",IF(Z$3&gt;(A9taxstdlife+$E591),(('PTRM input'!$L$151+'PTRM input'!$L$117)*$L$7)-SUM($L591:Y591),(('PTRM input'!$L$151+'PTRM input'!$L$117)*$L$7)/A9taxstdlife))</f>
        <v>0</v>
      </c>
      <c r="AA591" s="590">
        <f>IF(A9taxstdlife="n/a","n/a",IF(AA$3&gt;(A9taxstdlife+$E591),(('PTRM input'!$L$151+'PTRM input'!$L$117)*$L$7)-SUM($L591:Z591),(('PTRM input'!$L$151+'PTRM input'!$L$117)*$L$7)/A9taxstdlife))</f>
        <v>0</v>
      </c>
      <c r="AB591" s="590">
        <f>IF(A9taxstdlife="n/a","n/a",IF(AB$3&gt;(A9taxstdlife+$E591),(('PTRM input'!$L$151+'PTRM input'!$L$117)*$L$7)-SUM($L591:AA591),(('PTRM input'!$L$151+'PTRM input'!$L$117)*$L$7)/A9taxstdlife))</f>
        <v>0</v>
      </c>
      <c r="AC591" s="590">
        <f>IF(A9taxstdlife="n/a","n/a",IF(AC$3&gt;(A9taxstdlife+$E591),(('PTRM input'!$L$151+'PTRM input'!$L$117)*$L$7)-SUM($L591:AB591),(('PTRM input'!$L$151+'PTRM input'!$L$117)*$L$7)/A9taxstdlife))</f>
        <v>0</v>
      </c>
      <c r="AD591" s="590">
        <f>IF(A9taxstdlife="n/a","n/a",IF(AD$3&gt;(A9taxstdlife+$E591),(('PTRM input'!$L$151+'PTRM input'!$L$117)*$L$7)-SUM($L591:AC591),(('PTRM input'!$L$151+'PTRM input'!$L$117)*$L$7)/A9taxstdlife))</f>
        <v>0</v>
      </c>
      <c r="AE591" s="590">
        <f>IF(A9taxstdlife="n/a","n/a",IF(AE$3&gt;(A9taxstdlife+$E591),(('PTRM input'!$L$151+'PTRM input'!$L$117)*$L$7)-SUM($L591:AD591),(('PTRM input'!$L$151+'PTRM input'!$L$117)*$L$7)/A9taxstdlife))</f>
        <v>0</v>
      </c>
      <c r="AF591" s="590">
        <f>IF(A9taxstdlife="n/a","n/a",IF(AF$3&gt;(A9taxstdlife+$E591),(('PTRM input'!$L$151+'PTRM input'!$L$117)*$L$7)-SUM($L591:AE591),(('PTRM input'!$L$151+'PTRM input'!$L$117)*$L$7)/A9taxstdlife))</f>
        <v>0</v>
      </c>
      <c r="AG591" s="590">
        <f>IF(A9taxstdlife="n/a","n/a",IF(AG$3&gt;(A9taxstdlife+$E591),(('PTRM input'!$L$151+'PTRM input'!$L$117)*$L$7)-SUM($L591:AF591),(('PTRM input'!$L$151+'PTRM input'!$L$117)*$L$7)/A9taxstdlife))</f>
        <v>0</v>
      </c>
      <c r="AH591" s="590">
        <f>IF(A9taxstdlife="n/a","n/a",IF(AH$3&gt;(A9taxstdlife+$E591),(('PTRM input'!$L$151+'PTRM input'!$L$117)*$L$7)-SUM($L591:AG591),(('PTRM input'!$L$151+'PTRM input'!$L$117)*$L$7)/A9taxstdlife))</f>
        <v>0</v>
      </c>
      <c r="AI591" s="590">
        <f>IF(A9taxstdlife="n/a","n/a",IF(AI$3&gt;(A9taxstdlife+$E591),(('PTRM input'!$L$151+'PTRM input'!$L$117)*$L$7)-SUM($L591:AH591),(('PTRM input'!$L$151+'PTRM input'!$L$117)*$L$7)/A9taxstdlife))</f>
        <v>0</v>
      </c>
      <c r="AJ591" s="590">
        <f>IF(A9taxstdlife="n/a","n/a",IF(AJ$3&gt;(A9taxstdlife+$E591),(('PTRM input'!$L$151+'PTRM input'!$L$117)*$L$7)-SUM($L591:AI591),(('PTRM input'!$L$151+'PTRM input'!$L$117)*$L$7)/A9taxstdlife))</f>
        <v>0</v>
      </c>
      <c r="AK591" s="590">
        <f>IF(A9taxstdlife="n/a","n/a",IF(AK$3&gt;(A9taxstdlife+$E591),(('PTRM input'!$L$151+'PTRM input'!$L$117)*$L$7)-SUM($L591:AJ591),(('PTRM input'!$L$151+'PTRM input'!$L$117)*$L$7)/A9taxstdlife))</f>
        <v>0</v>
      </c>
      <c r="AL591" s="590">
        <f>IF(A9taxstdlife="n/a","n/a",IF(AL$3&gt;(A9taxstdlife+$E591),(('PTRM input'!$L$151+'PTRM input'!$L$117)*$L$7)-SUM($L591:AK591),(('PTRM input'!$L$151+'PTRM input'!$L$117)*$L$7)/A9taxstdlife))</f>
        <v>0</v>
      </c>
      <c r="AM591" s="590">
        <f>IF(A9taxstdlife="n/a","n/a",IF(AM$3&gt;(A9taxstdlife+$E591),(('PTRM input'!$L$151+'PTRM input'!$L$117)*$L$7)-SUM($L591:AL591),(('PTRM input'!$L$151+'PTRM input'!$L$117)*$L$7)/A9taxstdlife))</f>
        <v>0</v>
      </c>
      <c r="AN591" s="590">
        <f>IF(A9taxstdlife="n/a","n/a",IF(AN$3&gt;(A9taxstdlife+$E591),(('PTRM input'!$L$151+'PTRM input'!$L$117)*$L$7)-SUM($L591:AM591),(('PTRM input'!$L$151+'PTRM input'!$L$117)*$L$7)/A9taxstdlife))</f>
        <v>0</v>
      </c>
      <c r="AO591" s="590">
        <f>IF(A9taxstdlife="n/a","n/a",IF(AO$3&gt;(A9taxstdlife+$E591),(('PTRM input'!$L$151+'PTRM input'!$L$117)*$L$7)-SUM($L591:AN591),(('PTRM input'!$L$151+'PTRM input'!$L$117)*$L$7)/A9taxstdlife))</f>
        <v>0</v>
      </c>
      <c r="AP591" s="590">
        <f>IF(A9taxstdlife="n/a","n/a",IF(AP$3&gt;(A9taxstdlife+$E591),(('PTRM input'!$L$151+'PTRM input'!$L$117)*$L$7)-SUM($L591:AO591),(('PTRM input'!$L$151+'PTRM input'!$L$117)*$L$7)/A9taxstdlife))</f>
        <v>0</v>
      </c>
      <c r="AQ591" s="590">
        <f>IF(A9taxstdlife="n/a","n/a",IF(AQ$3&gt;(A9taxstdlife+$E591),(('PTRM input'!$L$151+'PTRM input'!$L$117)*$L$7)-SUM($L591:AP591),(('PTRM input'!$L$151+'PTRM input'!$L$117)*$L$7)/A9taxstdlife))</f>
        <v>0</v>
      </c>
      <c r="AR591" s="590">
        <f>IF(A9taxstdlife="n/a","n/a",IF(AR$3&gt;(A9taxstdlife+$E591),(('PTRM input'!$L$151+'PTRM input'!$L$117)*$L$7)-SUM($L591:AQ591),(('PTRM input'!$L$151+'PTRM input'!$L$117)*$L$7)/A9taxstdlife))</f>
        <v>0</v>
      </c>
      <c r="AS591" s="590">
        <f>IF(A9taxstdlife="n/a","n/a",IF(AS$3&gt;(A9taxstdlife+$E591),(('PTRM input'!$L$151+'PTRM input'!$L$117)*$L$7)-SUM($L591:AR591),(('PTRM input'!$L$151+'PTRM input'!$L$117)*$L$7)/A9taxstdlife))</f>
        <v>0</v>
      </c>
      <c r="AT591" s="590">
        <f>IF(A9taxstdlife="n/a","n/a",IF(AT$3&gt;(A9taxstdlife+$E591),(('PTRM input'!$L$151+'PTRM input'!$L$117)*$L$7)-SUM($L591:AS591),(('PTRM input'!$L$151+'PTRM input'!$L$117)*$L$7)/A9taxstdlife))</f>
        <v>0</v>
      </c>
      <c r="AU591" s="590">
        <f>IF(A9taxstdlife="n/a","n/a",IF(AU$3&gt;(A9taxstdlife+$E591),(('PTRM input'!$L$151+'PTRM input'!$L$117)*$L$7)-SUM($L591:AT591),(('PTRM input'!$L$151+'PTRM input'!$L$117)*$L$7)/A9taxstdlife))</f>
        <v>0</v>
      </c>
      <c r="AV591" s="590">
        <f>IF(A9taxstdlife="n/a","n/a",IF(AV$3&gt;(A9taxstdlife+$E591),(('PTRM input'!$L$151+'PTRM input'!$L$117)*$L$7)-SUM($L591:AU591),(('PTRM input'!$L$151+'PTRM input'!$L$117)*$L$7)/A9taxstdlife))</f>
        <v>0</v>
      </c>
      <c r="AW591" s="590">
        <f>IF(A9taxstdlife="n/a","n/a",IF(AW$3&gt;(A9taxstdlife+$E591),(('PTRM input'!$L$151+'PTRM input'!$L$117)*$L$7)-SUM($L591:AV591),(('PTRM input'!$L$151+'PTRM input'!$L$117)*$L$7)/A9taxstdlife))</f>
        <v>0</v>
      </c>
      <c r="AX591" s="590">
        <f>IF(A9taxstdlife="n/a","n/a",IF(AX$3&gt;(A9taxstdlife+$E591),(('PTRM input'!$L$151+'PTRM input'!$L$117)*$L$7)-SUM($L591:AW591),(('PTRM input'!$L$151+'PTRM input'!$L$117)*$L$7)/A9taxstdlife))</f>
        <v>0</v>
      </c>
      <c r="AY591" s="590">
        <f>IF(A9taxstdlife="n/a","n/a",IF(AY$3&gt;(A9taxstdlife+$E591),(('PTRM input'!$L$151+'PTRM input'!$L$117)*$L$7)-SUM($L591:AX591),(('PTRM input'!$L$151+'PTRM input'!$L$117)*$L$7)/A9taxstdlife))</f>
        <v>0</v>
      </c>
      <c r="AZ591" s="590">
        <f>IF(A9taxstdlife="n/a","n/a",IF(AZ$3&gt;(A9taxstdlife+$E591),(('PTRM input'!$L$151+'PTRM input'!$L$117)*$L$7)-SUM($L591:AY591),(('PTRM input'!$L$151+'PTRM input'!$L$117)*$L$7)/A9taxstdlife))</f>
        <v>0</v>
      </c>
      <c r="BA591" s="590">
        <f>IF(A9taxstdlife="n/a","n/a",IF(BA$3&gt;(A9taxstdlife+$E591),(('PTRM input'!$L$151+'PTRM input'!$L$117)*$L$7)-SUM($L591:AZ591),(('PTRM input'!$L$151+'PTRM input'!$L$117)*$L$7)/A9taxstdlife))</f>
        <v>0</v>
      </c>
      <c r="BB591" s="590">
        <f>IF(A9taxstdlife="n/a","n/a",IF(BB$3&gt;(A9taxstdlife+$E591),(('PTRM input'!$L$151+'PTRM input'!$L$117)*$L$7)-SUM($L591:BA591),(('PTRM input'!$L$151+'PTRM input'!$L$117)*$L$7)/A9taxstdlife))</f>
        <v>0</v>
      </c>
      <c r="BC591" s="590">
        <f>IF(A9taxstdlife="n/a","n/a",IF(BC$3&gt;(A9taxstdlife+$E591),(('PTRM input'!$L$151+'PTRM input'!$L$117)*$L$7)-SUM($L591:BB591),(('PTRM input'!$L$151+'PTRM input'!$L$117)*$L$7)/A9taxstdlife))</f>
        <v>0</v>
      </c>
      <c r="BD591" s="590">
        <f>IF(A9taxstdlife="n/a","n/a",IF(BD$3&gt;(A9taxstdlife+$E591),(('PTRM input'!$L$151+'PTRM input'!$L$117)*$L$7)-SUM($L591:BC591),(('PTRM input'!$L$151+'PTRM input'!$L$117)*$L$7)/A9taxstdlife))</f>
        <v>0</v>
      </c>
      <c r="BE591" s="590">
        <f>IF(A9taxstdlife="n/a","n/a",IF(BE$3&gt;(A9taxstdlife+$E591),(('PTRM input'!$L$151+'PTRM input'!$L$117)*$L$7)-SUM($L591:BD591),(('PTRM input'!$L$151+'PTRM input'!$L$117)*$L$7)/A9taxstdlife))</f>
        <v>0</v>
      </c>
      <c r="BF591" s="590">
        <f>IF(A9taxstdlife="n/a","n/a",IF(BF$3&gt;(A9taxstdlife+$E591),(('PTRM input'!$L$151+'PTRM input'!$L$117)*$L$7)-SUM($L591:BE591),(('PTRM input'!$L$151+'PTRM input'!$L$117)*$L$7)/A9taxstdlife))</f>
        <v>0</v>
      </c>
      <c r="BG591" s="590">
        <f>IF(A9taxstdlife="n/a","n/a",IF(BG$3&gt;(A9taxstdlife+$E591),(('PTRM input'!$L$151+'PTRM input'!$L$117)*$L$7)-SUM($L591:BF591),(('PTRM input'!$L$151+'PTRM input'!$L$117)*$L$7)/A9taxstdlife))</f>
        <v>0</v>
      </c>
      <c r="BH591" s="590">
        <f>IF(A9taxstdlife="n/a","n/a",IF(BH$3&gt;(A9taxstdlife+$E591),(('PTRM input'!$L$151+'PTRM input'!$L$117)*$L$7)-SUM($L591:BG591),(('PTRM input'!$L$151+'PTRM input'!$L$117)*$L$7)/A9taxstdlife))</f>
        <v>0</v>
      </c>
      <c r="BI591" s="590">
        <f>IF(A9taxstdlife="n/a","n/a",IF(BI$3&gt;(A9taxstdlife+$E591),(('PTRM input'!$L$151+'PTRM input'!$L$117)*$L$7)-SUM($L591:BH591),(('PTRM input'!$L$151+'PTRM input'!$L$117)*$L$7)/A9taxstdlife))</f>
        <v>0</v>
      </c>
      <c r="BJ591" s="240"/>
      <c r="BK591" s="240"/>
      <c r="BL591" s="240"/>
      <c r="BM591" s="240"/>
    </row>
    <row r="592" spans="1:65" s="4" customFormat="1" hidden="1" outlineLevel="2">
      <c r="A592" s="240"/>
      <c r="B592" s="240"/>
      <c r="C592" s="595"/>
      <c r="D592" s="1618"/>
      <c r="E592" s="169">
        <v>7</v>
      </c>
      <c r="F592" s="35"/>
      <c r="G592" s="184"/>
      <c r="H592" s="186"/>
      <c r="I592" s="186"/>
      <c r="J592" s="186"/>
      <c r="K592" s="186"/>
      <c r="L592" s="186"/>
      <c r="M592" s="185"/>
      <c r="N592" s="107">
        <f>IF(A9taxstdlife="n/a","n/a",IF(N$3&gt;(A9taxstdlife+$E592),(('PTRM input'!$M$151+'PTRM input'!$M$117)*$M$7)-SUM($M592:M592),(('PTRM input'!$M$151+'PTRM input'!$M$117)*$M$7)/A9taxstdlife))</f>
        <v>0</v>
      </c>
      <c r="O592" s="107">
        <f>IF(A9taxstdlife="n/a","n/a",IF(O$3&gt;(A9taxstdlife+$E592),(('PTRM input'!$M$151+'PTRM input'!$M$117)*$M$7)-SUM($M592:N592),(('PTRM input'!$M$151+'PTRM input'!$M$117)*$M$7)/A9taxstdlife))</f>
        <v>0</v>
      </c>
      <c r="P592" s="107">
        <f>IF(A9taxstdlife="n/a","n/a",IF(P$3&gt;(A9taxstdlife+$E592),(('PTRM input'!$M$151+'PTRM input'!$M$117)*$M$7)-SUM($M592:O592),(('PTRM input'!$M$151+'PTRM input'!$M$117)*$M$7)/A9taxstdlife))</f>
        <v>0</v>
      </c>
      <c r="Q592" s="590">
        <f>IF(A9taxstdlife="n/a","n/a",IF(Q$3&gt;(A9taxstdlife+$E592),(('PTRM input'!$M$151+'PTRM input'!$M$117)*$M$7)-SUM($M592:P592),(('PTRM input'!$M$151+'PTRM input'!$M$117)*$M$7)/A9taxstdlife))</f>
        <v>0</v>
      </c>
      <c r="R592" s="590">
        <f>IF(A9taxstdlife="n/a","n/a",IF(R$3&gt;(A9taxstdlife+$E592),(('PTRM input'!$M$151+'PTRM input'!$M$117)*$M$7)-SUM($M592:Q592),(('PTRM input'!$M$151+'PTRM input'!$M$117)*$M$7)/A9taxstdlife))</f>
        <v>0</v>
      </c>
      <c r="S592" s="590">
        <f>IF(A9taxstdlife="n/a","n/a",IF(S$3&gt;(A9taxstdlife+$E592),(('PTRM input'!$M$151+'PTRM input'!$M$117)*$M$7)-SUM($M592:R592),(('PTRM input'!$M$151+'PTRM input'!$M$117)*$M$7)/A9taxstdlife))</f>
        <v>0</v>
      </c>
      <c r="T592" s="590">
        <f>IF(A9taxstdlife="n/a","n/a",IF(T$3&gt;(A9taxstdlife+$E592),(('PTRM input'!$M$151+'PTRM input'!$M$117)*$M$7)-SUM($M592:S592),(('PTRM input'!$M$151+'PTRM input'!$M$117)*$M$7)/A9taxstdlife))</f>
        <v>0</v>
      </c>
      <c r="U592" s="590">
        <f>IF(A9taxstdlife="n/a","n/a",IF(U$3&gt;(A9taxstdlife+$E592),(('PTRM input'!$M$151+'PTRM input'!$M$117)*$M$7)-SUM($M592:T592),(('PTRM input'!$M$151+'PTRM input'!$M$117)*$M$7)/A9taxstdlife))</f>
        <v>0</v>
      </c>
      <c r="V592" s="590">
        <f>IF(A9taxstdlife="n/a","n/a",IF(V$3&gt;(A9taxstdlife+$E592),(('PTRM input'!$M$151+'PTRM input'!$M$117)*$M$7)-SUM($M592:U592),(('PTRM input'!$M$151+'PTRM input'!$M$117)*$M$7)/A9taxstdlife))</f>
        <v>0</v>
      </c>
      <c r="W592" s="590">
        <f>IF(A9taxstdlife="n/a","n/a",IF(W$3&gt;(A9taxstdlife+$E592),(('PTRM input'!$M$151+'PTRM input'!$M$117)*$M$7)-SUM($M592:V592),(('PTRM input'!$M$151+'PTRM input'!$M$117)*$M$7)/A9taxstdlife))</f>
        <v>0</v>
      </c>
      <c r="X592" s="590">
        <f>IF(A9taxstdlife="n/a","n/a",IF(X$3&gt;(A9taxstdlife+$E592),(('PTRM input'!$M$151+'PTRM input'!$M$117)*$M$7)-SUM($M592:W592),(('PTRM input'!$M$151+'PTRM input'!$M$117)*$M$7)/A9taxstdlife))</f>
        <v>0</v>
      </c>
      <c r="Y592" s="590">
        <f>IF(A9taxstdlife="n/a","n/a",IF(Y$3&gt;(A9taxstdlife+$E592),(('PTRM input'!$M$151+'PTRM input'!$M$117)*$M$7)-SUM($M592:X592),(('PTRM input'!$M$151+'PTRM input'!$M$117)*$M$7)/A9taxstdlife))</f>
        <v>0</v>
      </c>
      <c r="Z592" s="590">
        <f>IF(A9taxstdlife="n/a","n/a",IF(Z$3&gt;(A9taxstdlife+$E592),(('PTRM input'!$M$151+'PTRM input'!$M$117)*$M$7)-SUM($M592:Y592),(('PTRM input'!$M$151+'PTRM input'!$M$117)*$M$7)/A9taxstdlife))</f>
        <v>0</v>
      </c>
      <c r="AA592" s="590">
        <f>IF(A9taxstdlife="n/a","n/a",IF(AA$3&gt;(A9taxstdlife+$E592),(('PTRM input'!$M$151+'PTRM input'!$M$117)*$M$7)-SUM($M592:Z592),(('PTRM input'!$M$151+'PTRM input'!$M$117)*$M$7)/A9taxstdlife))</f>
        <v>0</v>
      </c>
      <c r="AB592" s="590">
        <f>IF(A9taxstdlife="n/a","n/a",IF(AB$3&gt;(A9taxstdlife+$E592),(('PTRM input'!$M$151+'PTRM input'!$M$117)*$M$7)-SUM($M592:AA592),(('PTRM input'!$M$151+'PTRM input'!$M$117)*$M$7)/A9taxstdlife))</f>
        <v>0</v>
      </c>
      <c r="AC592" s="590">
        <f>IF(A9taxstdlife="n/a","n/a",IF(AC$3&gt;(A9taxstdlife+$E592),(('PTRM input'!$M$151+'PTRM input'!$M$117)*$M$7)-SUM($M592:AB592),(('PTRM input'!$M$151+'PTRM input'!$M$117)*$M$7)/A9taxstdlife))</f>
        <v>0</v>
      </c>
      <c r="AD592" s="590">
        <f>IF(A9taxstdlife="n/a","n/a",IF(AD$3&gt;(A9taxstdlife+$E592),(('PTRM input'!$M$151+'PTRM input'!$M$117)*$M$7)-SUM($M592:AC592),(('PTRM input'!$M$151+'PTRM input'!$M$117)*$M$7)/A9taxstdlife))</f>
        <v>0</v>
      </c>
      <c r="AE592" s="590">
        <f>IF(A9taxstdlife="n/a","n/a",IF(AE$3&gt;(A9taxstdlife+$E592),(('PTRM input'!$M$151+'PTRM input'!$M$117)*$M$7)-SUM($M592:AD592),(('PTRM input'!$M$151+'PTRM input'!$M$117)*$M$7)/A9taxstdlife))</f>
        <v>0</v>
      </c>
      <c r="AF592" s="590">
        <f>IF(A9taxstdlife="n/a","n/a",IF(AF$3&gt;(A9taxstdlife+$E592),(('PTRM input'!$M$151+'PTRM input'!$M$117)*$M$7)-SUM($M592:AE592),(('PTRM input'!$M$151+'PTRM input'!$M$117)*$M$7)/A9taxstdlife))</f>
        <v>0</v>
      </c>
      <c r="AG592" s="590">
        <f>IF(A9taxstdlife="n/a","n/a",IF(AG$3&gt;(A9taxstdlife+$E592),(('PTRM input'!$M$151+'PTRM input'!$M$117)*$M$7)-SUM($M592:AF592),(('PTRM input'!$M$151+'PTRM input'!$M$117)*$M$7)/A9taxstdlife))</f>
        <v>0</v>
      </c>
      <c r="AH592" s="590">
        <f>IF(A9taxstdlife="n/a","n/a",IF(AH$3&gt;(A9taxstdlife+$E592),(('PTRM input'!$M$151+'PTRM input'!$M$117)*$M$7)-SUM($M592:AG592),(('PTRM input'!$M$151+'PTRM input'!$M$117)*$M$7)/A9taxstdlife))</f>
        <v>0</v>
      </c>
      <c r="AI592" s="590">
        <f>IF(A9taxstdlife="n/a","n/a",IF(AI$3&gt;(A9taxstdlife+$E592),(('PTRM input'!$M$151+'PTRM input'!$M$117)*$M$7)-SUM($M592:AH592),(('PTRM input'!$M$151+'PTRM input'!$M$117)*$M$7)/A9taxstdlife))</f>
        <v>0</v>
      </c>
      <c r="AJ592" s="590">
        <f>IF(A9taxstdlife="n/a","n/a",IF(AJ$3&gt;(A9taxstdlife+$E592),(('PTRM input'!$M$151+'PTRM input'!$M$117)*$M$7)-SUM($M592:AI592),(('PTRM input'!$M$151+'PTRM input'!$M$117)*$M$7)/A9taxstdlife))</f>
        <v>0</v>
      </c>
      <c r="AK592" s="590">
        <f>IF(A9taxstdlife="n/a","n/a",IF(AK$3&gt;(A9taxstdlife+$E592),(('PTRM input'!$M$151+'PTRM input'!$M$117)*$M$7)-SUM($M592:AJ592),(('PTRM input'!$M$151+'PTRM input'!$M$117)*$M$7)/A9taxstdlife))</f>
        <v>0</v>
      </c>
      <c r="AL592" s="590">
        <f>IF(A9taxstdlife="n/a","n/a",IF(AL$3&gt;(A9taxstdlife+$E592),(('PTRM input'!$M$151+'PTRM input'!$M$117)*$M$7)-SUM($M592:AK592),(('PTRM input'!$M$151+'PTRM input'!$M$117)*$M$7)/A9taxstdlife))</f>
        <v>0</v>
      </c>
      <c r="AM592" s="590">
        <f>IF(A9taxstdlife="n/a","n/a",IF(AM$3&gt;(A9taxstdlife+$E592),(('PTRM input'!$M$151+'PTRM input'!$M$117)*$M$7)-SUM($M592:AL592),(('PTRM input'!$M$151+'PTRM input'!$M$117)*$M$7)/A9taxstdlife))</f>
        <v>0</v>
      </c>
      <c r="AN592" s="590">
        <f>IF(A9taxstdlife="n/a","n/a",IF(AN$3&gt;(A9taxstdlife+$E592),(('PTRM input'!$M$151+'PTRM input'!$M$117)*$M$7)-SUM($M592:AM592),(('PTRM input'!$M$151+'PTRM input'!$M$117)*$M$7)/A9taxstdlife))</f>
        <v>0</v>
      </c>
      <c r="AO592" s="590">
        <f>IF(A9taxstdlife="n/a","n/a",IF(AO$3&gt;(A9taxstdlife+$E592),(('PTRM input'!$M$151+'PTRM input'!$M$117)*$M$7)-SUM($M592:AN592),(('PTRM input'!$M$151+'PTRM input'!$M$117)*$M$7)/A9taxstdlife))</f>
        <v>0</v>
      </c>
      <c r="AP592" s="590">
        <f>IF(A9taxstdlife="n/a","n/a",IF(AP$3&gt;(A9taxstdlife+$E592),(('PTRM input'!$M$151+'PTRM input'!$M$117)*$M$7)-SUM($M592:AO592),(('PTRM input'!$M$151+'PTRM input'!$M$117)*$M$7)/A9taxstdlife))</f>
        <v>0</v>
      </c>
      <c r="AQ592" s="590">
        <f>IF(A9taxstdlife="n/a","n/a",IF(AQ$3&gt;(A9taxstdlife+$E592),(('PTRM input'!$M$151+'PTRM input'!$M$117)*$M$7)-SUM($M592:AP592),(('PTRM input'!$M$151+'PTRM input'!$M$117)*$M$7)/A9taxstdlife))</f>
        <v>0</v>
      </c>
      <c r="AR592" s="590">
        <f>IF(A9taxstdlife="n/a","n/a",IF(AR$3&gt;(A9taxstdlife+$E592),(('PTRM input'!$M$151+'PTRM input'!$M$117)*$M$7)-SUM($M592:AQ592),(('PTRM input'!$M$151+'PTRM input'!$M$117)*$M$7)/A9taxstdlife))</f>
        <v>0</v>
      </c>
      <c r="AS592" s="590">
        <f>IF(A9taxstdlife="n/a","n/a",IF(AS$3&gt;(A9taxstdlife+$E592),(('PTRM input'!$M$151+'PTRM input'!$M$117)*$M$7)-SUM($M592:AR592),(('PTRM input'!$M$151+'PTRM input'!$M$117)*$M$7)/A9taxstdlife))</f>
        <v>0</v>
      </c>
      <c r="AT592" s="590">
        <f>IF(A9taxstdlife="n/a","n/a",IF(AT$3&gt;(A9taxstdlife+$E592),(('PTRM input'!$M$151+'PTRM input'!$M$117)*$M$7)-SUM($M592:AS592),(('PTRM input'!$M$151+'PTRM input'!$M$117)*$M$7)/A9taxstdlife))</f>
        <v>0</v>
      </c>
      <c r="AU592" s="590">
        <f>IF(A9taxstdlife="n/a","n/a",IF(AU$3&gt;(A9taxstdlife+$E592),(('PTRM input'!$M$151+'PTRM input'!$M$117)*$M$7)-SUM($M592:AT592),(('PTRM input'!$M$151+'PTRM input'!$M$117)*$M$7)/A9taxstdlife))</f>
        <v>0</v>
      </c>
      <c r="AV592" s="590">
        <f>IF(A9taxstdlife="n/a","n/a",IF(AV$3&gt;(A9taxstdlife+$E592),(('PTRM input'!$M$151+'PTRM input'!$M$117)*$M$7)-SUM($M592:AU592),(('PTRM input'!$M$151+'PTRM input'!$M$117)*$M$7)/A9taxstdlife))</f>
        <v>0</v>
      </c>
      <c r="AW592" s="590">
        <f>IF(A9taxstdlife="n/a","n/a",IF(AW$3&gt;(A9taxstdlife+$E592),(('PTRM input'!$M$151+'PTRM input'!$M$117)*$M$7)-SUM($M592:AV592),(('PTRM input'!$M$151+'PTRM input'!$M$117)*$M$7)/A9taxstdlife))</f>
        <v>0</v>
      </c>
      <c r="AX592" s="590">
        <f>IF(A9taxstdlife="n/a","n/a",IF(AX$3&gt;(A9taxstdlife+$E592),(('PTRM input'!$M$151+'PTRM input'!$M$117)*$M$7)-SUM($M592:AW592),(('PTRM input'!$M$151+'PTRM input'!$M$117)*$M$7)/A9taxstdlife))</f>
        <v>0</v>
      </c>
      <c r="AY592" s="590">
        <f>IF(A9taxstdlife="n/a","n/a",IF(AY$3&gt;(A9taxstdlife+$E592),(('PTRM input'!$M$151+'PTRM input'!$M$117)*$M$7)-SUM($M592:AX592),(('PTRM input'!$M$151+'PTRM input'!$M$117)*$M$7)/A9taxstdlife))</f>
        <v>0</v>
      </c>
      <c r="AZ592" s="590">
        <f>IF(A9taxstdlife="n/a","n/a",IF(AZ$3&gt;(A9taxstdlife+$E592),(('PTRM input'!$M$151+'PTRM input'!$M$117)*$M$7)-SUM($M592:AY592),(('PTRM input'!$M$151+'PTRM input'!$M$117)*$M$7)/A9taxstdlife))</f>
        <v>0</v>
      </c>
      <c r="BA592" s="590">
        <f>IF(A9taxstdlife="n/a","n/a",IF(BA$3&gt;(A9taxstdlife+$E592),(('PTRM input'!$M$151+'PTRM input'!$M$117)*$M$7)-SUM($M592:AZ592),(('PTRM input'!$M$151+'PTRM input'!$M$117)*$M$7)/A9taxstdlife))</f>
        <v>0</v>
      </c>
      <c r="BB592" s="590">
        <f>IF(A9taxstdlife="n/a","n/a",IF(BB$3&gt;(A9taxstdlife+$E592),(('PTRM input'!$M$151+'PTRM input'!$M$117)*$M$7)-SUM($M592:BA592),(('PTRM input'!$M$151+'PTRM input'!$M$117)*$M$7)/A9taxstdlife))</f>
        <v>0</v>
      </c>
      <c r="BC592" s="590">
        <f>IF(A9taxstdlife="n/a","n/a",IF(BC$3&gt;(A9taxstdlife+$E592),(('PTRM input'!$M$151+'PTRM input'!$M$117)*$M$7)-SUM($M592:BB592),(('PTRM input'!$M$151+'PTRM input'!$M$117)*$M$7)/A9taxstdlife))</f>
        <v>0</v>
      </c>
      <c r="BD592" s="590">
        <f>IF(A9taxstdlife="n/a","n/a",IF(BD$3&gt;(A9taxstdlife+$E592),(('PTRM input'!$M$151+'PTRM input'!$M$117)*$M$7)-SUM($M592:BC592),(('PTRM input'!$M$151+'PTRM input'!$M$117)*$M$7)/A9taxstdlife))</f>
        <v>0</v>
      </c>
      <c r="BE592" s="590">
        <f>IF(A9taxstdlife="n/a","n/a",IF(BE$3&gt;(A9taxstdlife+$E592),(('PTRM input'!$M$151+'PTRM input'!$M$117)*$M$7)-SUM($M592:BD592),(('PTRM input'!$M$151+'PTRM input'!$M$117)*$M$7)/A9taxstdlife))</f>
        <v>0</v>
      </c>
      <c r="BF592" s="590">
        <f>IF(A9taxstdlife="n/a","n/a",IF(BF$3&gt;(A9taxstdlife+$E592),(('PTRM input'!$M$151+'PTRM input'!$M$117)*$M$7)-SUM($M592:BE592),(('PTRM input'!$M$151+'PTRM input'!$M$117)*$M$7)/A9taxstdlife))</f>
        <v>0</v>
      </c>
      <c r="BG592" s="590">
        <f>IF(A9taxstdlife="n/a","n/a",IF(BG$3&gt;(A9taxstdlife+$E592),(('PTRM input'!$M$151+'PTRM input'!$M$117)*$M$7)-SUM($M592:BF592),(('PTRM input'!$M$151+'PTRM input'!$M$117)*$M$7)/A9taxstdlife))</f>
        <v>0</v>
      </c>
      <c r="BH592" s="590">
        <f>IF(A9taxstdlife="n/a","n/a",IF(BH$3&gt;(A9taxstdlife+$E592),(('PTRM input'!$M$151+'PTRM input'!$M$117)*$M$7)-SUM($M592:BG592),(('PTRM input'!$M$151+'PTRM input'!$M$117)*$M$7)/A9taxstdlife))</f>
        <v>0</v>
      </c>
      <c r="BI592" s="590">
        <f>IF(A9taxstdlife="n/a","n/a",IF(BI$3&gt;(A9taxstdlife+$E592),(('PTRM input'!$M$151+'PTRM input'!$M$117)*$M$7)-SUM($M592:BH592),(('PTRM input'!$M$151+'PTRM input'!$M$117)*$M$7)/A9taxstdlife))</f>
        <v>0</v>
      </c>
      <c r="BJ592" s="240"/>
      <c r="BK592" s="240"/>
      <c r="BL592" s="240"/>
      <c r="BM592" s="240"/>
    </row>
    <row r="593" spans="1:65" s="4" customFormat="1" hidden="1" outlineLevel="2">
      <c r="A593" s="240"/>
      <c r="B593" s="240"/>
      <c r="C593" s="595"/>
      <c r="D593" s="1618"/>
      <c r="E593" s="169">
        <v>8</v>
      </c>
      <c r="F593" s="35"/>
      <c r="G593" s="184"/>
      <c r="H593" s="186"/>
      <c r="I593" s="186"/>
      <c r="J593" s="186"/>
      <c r="K593" s="186"/>
      <c r="L593" s="186"/>
      <c r="M593" s="186"/>
      <c r="N593" s="185"/>
      <c r="O593" s="107">
        <f>IF(A9taxstdlife="n/a","n/a",IF(O$3&gt;(A9taxstdlife+$E593),(('PTRM input'!$N$151+'PTRM input'!$N$117)*$N$7)-SUM($N593:N593),(('PTRM input'!$N$151+'PTRM input'!$N$117)*$N$7)/A9taxstdlife))</f>
        <v>0</v>
      </c>
      <c r="P593" s="107">
        <f>IF(A9taxstdlife="n/a","n/a",IF(P$3&gt;(A9taxstdlife+$E593),(('PTRM input'!$N$151+'PTRM input'!$N$117)*$N$7)-SUM($N593:O593),(('PTRM input'!$N$151+'PTRM input'!$N$117)*$N$7)/A9taxstdlife))</f>
        <v>0</v>
      </c>
      <c r="Q593" s="590">
        <f>IF(A9taxstdlife="n/a","n/a",IF(Q$3&gt;(A9taxstdlife+$E593),(('PTRM input'!$N$151+'PTRM input'!$N$117)*$N$7)-SUM($N593:P593),(('PTRM input'!$N$151+'PTRM input'!$N$117)*$N$7)/A9taxstdlife))</f>
        <v>0</v>
      </c>
      <c r="R593" s="590">
        <f>IF(A9taxstdlife="n/a","n/a",IF(R$3&gt;(A9taxstdlife+$E593),(('PTRM input'!$N$151+'PTRM input'!$N$117)*$N$7)-SUM($N593:Q593),(('PTRM input'!$N$151+'PTRM input'!$N$117)*$N$7)/A9taxstdlife))</f>
        <v>0</v>
      </c>
      <c r="S593" s="590">
        <f>IF(A9taxstdlife="n/a","n/a",IF(S$3&gt;(A9taxstdlife+$E593),(('PTRM input'!$N$151+'PTRM input'!$N$117)*$N$7)-SUM($N593:R593),(('PTRM input'!$N$151+'PTRM input'!$N$117)*$N$7)/A9taxstdlife))</f>
        <v>0</v>
      </c>
      <c r="T593" s="590">
        <f>IF(A9taxstdlife="n/a","n/a",IF(T$3&gt;(A9taxstdlife+$E593),(('PTRM input'!$N$151+'PTRM input'!$N$117)*$N$7)-SUM($N593:S593),(('PTRM input'!$N$151+'PTRM input'!$N$117)*$N$7)/A9taxstdlife))</f>
        <v>0</v>
      </c>
      <c r="U593" s="590">
        <f>IF(A9taxstdlife="n/a","n/a",IF(U$3&gt;(A9taxstdlife+$E593),(('PTRM input'!$N$151+'PTRM input'!$N$117)*$N$7)-SUM($N593:T593),(('PTRM input'!$N$151+'PTRM input'!$N$117)*$N$7)/A9taxstdlife))</f>
        <v>0</v>
      </c>
      <c r="V593" s="590">
        <f>IF(A9taxstdlife="n/a","n/a",IF(V$3&gt;(A9taxstdlife+$E593),(('PTRM input'!$N$151+'PTRM input'!$N$117)*$N$7)-SUM($N593:U593),(('PTRM input'!$N$151+'PTRM input'!$N$117)*$N$7)/A9taxstdlife))</f>
        <v>0</v>
      </c>
      <c r="W593" s="590">
        <f>IF(A9taxstdlife="n/a","n/a",IF(W$3&gt;(A9taxstdlife+$E593),(('PTRM input'!$N$151+'PTRM input'!$N$117)*$N$7)-SUM($N593:V593),(('PTRM input'!$N$151+'PTRM input'!$N$117)*$N$7)/A9taxstdlife))</f>
        <v>0</v>
      </c>
      <c r="X593" s="590">
        <f>IF(A9taxstdlife="n/a","n/a",IF(X$3&gt;(A9taxstdlife+$E593),(('PTRM input'!$N$151+'PTRM input'!$N$117)*$N$7)-SUM($N593:W593),(('PTRM input'!$N$151+'PTRM input'!$N$117)*$N$7)/A9taxstdlife))</f>
        <v>0</v>
      </c>
      <c r="Y593" s="590">
        <f>IF(A9taxstdlife="n/a","n/a",IF(Y$3&gt;(A9taxstdlife+$E593),(('PTRM input'!$N$151+'PTRM input'!$N$117)*$N$7)-SUM($N593:X593),(('PTRM input'!$N$151+'PTRM input'!$N$117)*$N$7)/A9taxstdlife))</f>
        <v>0</v>
      </c>
      <c r="Z593" s="590">
        <f>IF(A9taxstdlife="n/a","n/a",IF(Z$3&gt;(A9taxstdlife+$E593),(('PTRM input'!$N$151+'PTRM input'!$N$117)*$N$7)-SUM($N593:Y593),(('PTRM input'!$N$151+'PTRM input'!$N$117)*$N$7)/A9taxstdlife))</f>
        <v>0</v>
      </c>
      <c r="AA593" s="590">
        <f>IF(A9taxstdlife="n/a","n/a",IF(AA$3&gt;(A9taxstdlife+$E593),(('PTRM input'!$N$151+'PTRM input'!$N$117)*$N$7)-SUM($N593:Z593),(('PTRM input'!$N$151+'PTRM input'!$N$117)*$N$7)/A9taxstdlife))</f>
        <v>0</v>
      </c>
      <c r="AB593" s="590">
        <f>IF(A9taxstdlife="n/a","n/a",IF(AB$3&gt;(A9taxstdlife+$E593),(('PTRM input'!$N$151+'PTRM input'!$N$117)*$N$7)-SUM($N593:AA593),(('PTRM input'!$N$151+'PTRM input'!$N$117)*$N$7)/A9taxstdlife))</f>
        <v>0</v>
      </c>
      <c r="AC593" s="590">
        <f>IF(A9taxstdlife="n/a","n/a",IF(AC$3&gt;(A9taxstdlife+$E593),(('PTRM input'!$N$151+'PTRM input'!$N$117)*$N$7)-SUM($N593:AB593),(('PTRM input'!$N$151+'PTRM input'!$N$117)*$N$7)/A9taxstdlife))</f>
        <v>0</v>
      </c>
      <c r="AD593" s="590">
        <f>IF(A9taxstdlife="n/a","n/a",IF(AD$3&gt;(A9taxstdlife+$E593),(('PTRM input'!$N$151+'PTRM input'!$N$117)*$N$7)-SUM($N593:AC593),(('PTRM input'!$N$151+'PTRM input'!$N$117)*$N$7)/A9taxstdlife))</f>
        <v>0</v>
      </c>
      <c r="AE593" s="590">
        <f>IF(A9taxstdlife="n/a","n/a",IF(AE$3&gt;(A9taxstdlife+$E593),(('PTRM input'!$N$151+'PTRM input'!$N$117)*$N$7)-SUM($N593:AD593),(('PTRM input'!$N$151+'PTRM input'!$N$117)*$N$7)/A9taxstdlife))</f>
        <v>0</v>
      </c>
      <c r="AF593" s="590">
        <f>IF(A9taxstdlife="n/a","n/a",IF(AF$3&gt;(A9taxstdlife+$E593),(('PTRM input'!$N$151+'PTRM input'!$N$117)*$N$7)-SUM($N593:AE593),(('PTRM input'!$N$151+'PTRM input'!$N$117)*$N$7)/A9taxstdlife))</f>
        <v>0</v>
      </c>
      <c r="AG593" s="590">
        <f>IF(A9taxstdlife="n/a","n/a",IF(AG$3&gt;(A9taxstdlife+$E593),(('PTRM input'!$N$151+'PTRM input'!$N$117)*$N$7)-SUM($N593:AF593),(('PTRM input'!$N$151+'PTRM input'!$N$117)*$N$7)/A9taxstdlife))</f>
        <v>0</v>
      </c>
      <c r="AH593" s="590">
        <f>IF(A9taxstdlife="n/a","n/a",IF(AH$3&gt;(A9taxstdlife+$E593),(('PTRM input'!$N$151+'PTRM input'!$N$117)*$N$7)-SUM($N593:AG593),(('PTRM input'!$N$151+'PTRM input'!$N$117)*$N$7)/A9taxstdlife))</f>
        <v>0</v>
      </c>
      <c r="AI593" s="590">
        <f>IF(A9taxstdlife="n/a","n/a",IF(AI$3&gt;(A9taxstdlife+$E593),(('PTRM input'!$N$151+'PTRM input'!$N$117)*$N$7)-SUM($N593:AH593),(('PTRM input'!$N$151+'PTRM input'!$N$117)*$N$7)/A9taxstdlife))</f>
        <v>0</v>
      </c>
      <c r="AJ593" s="590">
        <f>IF(A9taxstdlife="n/a","n/a",IF(AJ$3&gt;(A9taxstdlife+$E593),(('PTRM input'!$N$151+'PTRM input'!$N$117)*$N$7)-SUM($N593:AI593),(('PTRM input'!$N$151+'PTRM input'!$N$117)*$N$7)/A9taxstdlife))</f>
        <v>0</v>
      </c>
      <c r="AK593" s="590">
        <f>IF(A9taxstdlife="n/a","n/a",IF(AK$3&gt;(A9taxstdlife+$E593),(('PTRM input'!$N$151+'PTRM input'!$N$117)*$N$7)-SUM($N593:AJ593),(('PTRM input'!$N$151+'PTRM input'!$N$117)*$N$7)/A9taxstdlife))</f>
        <v>0</v>
      </c>
      <c r="AL593" s="590">
        <f>IF(A9taxstdlife="n/a","n/a",IF(AL$3&gt;(A9taxstdlife+$E593),(('PTRM input'!$N$151+'PTRM input'!$N$117)*$N$7)-SUM($N593:AK593),(('PTRM input'!$N$151+'PTRM input'!$N$117)*$N$7)/A9taxstdlife))</f>
        <v>0</v>
      </c>
      <c r="AM593" s="590">
        <f>IF(A9taxstdlife="n/a","n/a",IF(AM$3&gt;(A9taxstdlife+$E593),(('PTRM input'!$N$151+'PTRM input'!$N$117)*$N$7)-SUM($N593:AL593),(('PTRM input'!$N$151+'PTRM input'!$N$117)*$N$7)/A9taxstdlife))</f>
        <v>0</v>
      </c>
      <c r="AN593" s="590">
        <f>IF(A9taxstdlife="n/a","n/a",IF(AN$3&gt;(A9taxstdlife+$E593),(('PTRM input'!$N$151+'PTRM input'!$N$117)*$N$7)-SUM($N593:AM593),(('PTRM input'!$N$151+'PTRM input'!$N$117)*$N$7)/A9taxstdlife))</f>
        <v>0</v>
      </c>
      <c r="AO593" s="590">
        <f>IF(A9taxstdlife="n/a","n/a",IF(AO$3&gt;(A9taxstdlife+$E593),(('PTRM input'!$N$151+'PTRM input'!$N$117)*$N$7)-SUM($N593:AN593),(('PTRM input'!$N$151+'PTRM input'!$N$117)*$N$7)/A9taxstdlife))</f>
        <v>0</v>
      </c>
      <c r="AP593" s="590">
        <f>IF(A9taxstdlife="n/a","n/a",IF(AP$3&gt;(A9taxstdlife+$E593),(('PTRM input'!$N$151+'PTRM input'!$N$117)*$N$7)-SUM($N593:AO593),(('PTRM input'!$N$151+'PTRM input'!$N$117)*$N$7)/A9taxstdlife))</f>
        <v>0</v>
      </c>
      <c r="AQ593" s="590">
        <f>IF(A9taxstdlife="n/a","n/a",IF(AQ$3&gt;(A9taxstdlife+$E593),(('PTRM input'!$N$151+'PTRM input'!$N$117)*$N$7)-SUM($N593:AP593),(('PTRM input'!$N$151+'PTRM input'!$N$117)*$N$7)/A9taxstdlife))</f>
        <v>0</v>
      </c>
      <c r="AR593" s="590">
        <f>IF(A9taxstdlife="n/a","n/a",IF(AR$3&gt;(A9taxstdlife+$E593),(('PTRM input'!$N$151+'PTRM input'!$N$117)*$N$7)-SUM($N593:AQ593),(('PTRM input'!$N$151+'PTRM input'!$N$117)*$N$7)/A9taxstdlife))</f>
        <v>0</v>
      </c>
      <c r="AS593" s="590">
        <f>IF(A9taxstdlife="n/a","n/a",IF(AS$3&gt;(A9taxstdlife+$E593),(('PTRM input'!$N$151+'PTRM input'!$N$117)*$N$7)-SUM($N593:AR593),(('PTRM input'!$N$151+'PTRM input'!$N$117)*$N$7)/A9taxstdlife))</f>
        <v>0</v>
      </c>
      <c r="AT593" s="590">
        <f>IF(A9taxstdlife="n/a","n/a",IF(AT$3&gt;(A9taxstdlife+$E593),(('PTRM input'!$N$151+'PTRM input'!$N$117)*$N$7)-SUM($N593:AS593),(('PTRM input'!$N$151+'PTRM input'!$N$117)*$N$7)/A9taxstdlife))</f>
        <v>0</v>
      </c>
      <c r="AU593" s="590">
        <f>IF(A9taxstdlife="n/a","n/a",IF(AU$3&gt;(A9taxstdlife+$E593),(('PTRM input'!$N$151+'PTRM input'!$N$117)*$N$7)-SUM($N593:AT593),(('PTRM input'!$N$151+'PTRM input'!$N$117)*$N$7)/A9taxstdlife))</f>
        <v>0</v>
      </c>
      <c r="AV593" s="590">
        <f>IF(A9taxstdlife="n/a","n/a",IF(AV$3&gt;(A9taxstdlife+$E593),(('PTRM input'!$N$151+'PTRM input'!$N$117)*$N$7)-SUM($N593:AU593),(('PTRM input'!$N$151+'PTRM input'!$N$117)*$N$7)/A9taxstdlife))</f>
        <v>0</v>
      </c>
      <c r="AW593" s="590">
        <f>IF(A9taxstdlife="n/a","n/a",IF(AW$3&gt;(A9taxstdlife+$E593),(('PTRM input'!$N$151+'PTRM input'!$N$117)*$N$7)-SUM($N593:AV593),(('PTRM input'!$N$151+'PTRM input'!$N$117)*$N$7)/A9taxstdlife))</f>
        <v>0</v>
      </c>
      <c r="AX593" s="590">
        <f>IF(A9taxstdlife="n/a","n/a",IF(AX$3&gt;(A9taxstdlife+$E593),(('PTRM input'!$N$151+'PTRM input'!$N$117)*$N$7)-SUM($N593:AW593),(('PTRM input'!$N$151+'PTRM input'!$N$117)*$N$7)/A9taxstdlife))</f>
        <v>0</v>
      </c>
      <c r="AY593" s="590">
        <f>IF(A9taxstdlife="n/a","n/a",IF(AY$3&gt;(A9taxstdlife+$E593),(('PTRM input'!$N$151+'PTRM input'!$N$117)*$N$7)-SUM($N593:AX593),(('PTRM input'!$N$151+'PTRM input'!$N$117)*$N$7)/A9taxstdlife))</f>
        <v>0</v>
      </c>
      <c r="AZ593" s="590">
        <f>IF(A9taxstdlife="n/a","n/a",IF(AZ$3&gt;(A9taxstdlife+$E593),(('PTRM input'!$N$151+'PTRM input'!$N$117)*$N$7)-SUM($N593:AY593),(('PTRM input'!$N$151+'PTRM input'!$N$117)*$N$7)/A9taxstdlife))</f>
        <v>0</v>
      </c>
      <c r="BA593" s="590">
        <f>IF(A9taxstdlife="n/a","n/a",IF(BA$3&gt;(A9taxstdlife+$E593),(('PTRM input'!$N$151+'PTRM input'!$N$117)*$N$7)-SUM($N593:AZ593),(('PTRM input'!$N$151+'PTRM input'!$N$117)*$N$7)/A9taxstdlife))</f>
        <v>0</v>
      </c>
      <c r="BB593" s="590">
        <f>IF(A9taxstdlife="n/a","n/a",IF(BB$3&gt;(A9taxstdlife+$E593),(('PTRM input'!$N$151+'PTRM input'!$N$117)*$N$7)-SUM($N593:BA593),(('PTRM input'!$N$151+'PTRM input'!$N$117)*$N$7)/A9taxstdlife))</f>
        <v>0</v>
      </c>
      <c r="BC593" s="590">
        <f>IF(A9taxstdlife="n/a","n/a",IF(BC$3&gt;(A9taxstdlife+$E593),(('PTRM input'!$N$151+'PTRM input'!$N$117)*$N$7)-SUM($N593:BB593),(('PTRM input'!$N$151+'PTRM input'!$N$117)*$N$7)/A9taxstdlife))</f>
        <v>0</v>
      </c>
      <c r="BD593" s="590">
        <f>IF(A9taxstdlife="n/a","n/a",IF(BD$3&gt;(A9taxstdlife+$E593),(('PTRM input'!$N$151+'PTRM input'!$N$117)*$N$7)-SUM($N593:BC593),(('PTRM input'!$N$151+'PTRM input'!$N$117)*$N$7)/A9taxstdlife))</f>
        <v>0</v>
      </c>
      <c r="BE593" s="590">
        <f>IF(A9taxstdlife="n/a","n/a",IF(BE$3&gt;(A9taxstdlife+$E593),(('PTRM input'!$N$151+'PTRM input'!$N$117)*$N$7)-SUM($N593:BD593),(('PTRM input'!$N$151+'PTRM input'!$N$117)*$N$7)/A9taxstdlife))</f>
        <v>0</v>
      </c>
      <c r="BF593" s="590">
        <f>IF(A9taxstdlife="n/a","n/a",IF(BF$3&gt;(A9taxstdlife+$E593),(('PTRM input'!$N$151+'PTRM input'!$N$117)*$N$7)-SUM($N593:BE593),(('PTRM input'!$N$151+'PTRM input'!$N$117)*$N$7)/A9taxstdlife))</f>
        <v>0</v>
      </c>
      <c r="BG593" s="590">
        <f>IF(A9taxstdlife="n/a","n/a",IF(BG$3&gt;(A9taxstdlife+$E593),(('PTRM input'!$N$151+'PTRM input'!$N$117)*$N$7)-SUM($N593:BF593),(('PTRM input'!$N$151+'PTRM input'!$N$117)*$N$7)/A9taxstdlife))</f>
        <v>0</v>
      </c>
      <c r="BH593" s="590">
        <f>IF(A9taxstdlife="n/a","n/a",IF(BH$3&gt;(A9taxstdlife+$E593),(('PTRM input'!$N$151+'PTRM input'!$N$117)*$N$7)-SUM($N593:BG593),(('PTRM input'!$N$151+'PTRM input'!$N$117)*$N$7)/A9taxstdlife))</f>
        <v>0</v>
      </c>
      <c r="BI593" s="590">
        <f>IF(A9taxstdlife="n/a","n/a",IF(BI$3&gt;(A9taxstdlife+$E593),(('PTRM input'!$N$151+'PTRM input'!$N$117)*$N$7)-SUM($N593:BH593),(('PTRM input'!$N$151+'PTRM input'!$N$117)*$N$7)/A9taxstdlife))</f>
        <v>0</v>
      </c>
      <c r="BJ593" s="240"/>
      <c r="BK593" s="240"/>
      <c r="BL593" s="240"/>
      <c r="BM593" s="240"/>
    </row>
    <row r="594" spans="1:65" s="4" customFormat="1" hidden="1" outlineLevel="2">
      <c r="A594" s="240"/>
      <c r="B594" s="240"/>
      <c r="C594" s="595"/>
      <c r="D594" s="1618"/>
      <c r="E594" s="169">
        <v>9</v>
      </c>
      <c r="F594" s="35"/>
      <c r="G594" s="184"/>
      <c r="H594" s="186"/>
      <c r="I594" s="186"/>
      <c r="J594" s="186"/>
      <c r="K594" s="186"/>
      <c r="L594" s="186"/>
      <c r="M594" s="186"/>
      <c r="N594" s="186"/>
      <c r="O594" s="185"/>
      <c r="P594" s="107">
        <f>IF(A9taxstdlife="n/a","n/a",IF(P$3&gt;(A9taxstdlife+$E594),(('PTRM input'!$O$151+'PTRM input'!$O$117)*$O$7)-SUM($O594:O594),(('PTRM input'!$O$151+'PTRM input'!$O$117)*$O$7)/A9taxstdlife))</f>
        <v>0</v>
      </c>
      <c r="Q594" s="590">
        <f>IF(A9taxstdlife="n/a","n/a",IF(Q$3&gt;(A9taxstdlife+$E594),(('PTRM input'!$O$151+'PTRM input'!$O$117)*$O$7)-SUM($O594:P594),(('PTRM input'!$O$151+'PTRM input'!$O$117)*$O$7)/A9taxstdlife))</f>
        <v>0</v>
      </c>
      <c r="R594" s="590">
        <f>IF(A9taxstdlife="n/a","n/a",IF(R$3&gt;(A9taxstdlife+$E594),(('PTRM input'!$O$151+'PTRM input'!$O$117)*$O$7)-SUM($O594:Q594),(('PTRM input'!$O$151+'PTRM input'!$O$117)*$O$7)/A9taxstdlife))</f>
        <v>0</v>
      </c>
      <c r="S594" s="590">
        <f>IF(A9taxstdlife="n/a","n/a",IF(S$3&gt;(A9taxstdlife+$E594),(('PTRM input'!$O$151+'PTRM input'!$O$117)*$O$7)-SUM($O594:R594),(('PTRM input'!$O$151+'PTRM input'!$O$117)*$O$7)/A9taxstdlife))</f>
        <v>0</v>
      </c>
      <c r="T594" s="590">
        <f>IF(A9taxstdlife="n/a","n/a",IF(T$3&gt;(A9taxstdlife+$E594),(('PTRM input'!$O$151+'PTRM input'!$O$117)*$O$7)-SUM($O594:S594),(('PTRM input'!$O$151+'PTRM input'!$O$117)*$O$7)/A9taxstdlife))</f>
        <v>0</v>
      </c>
      <c r="U594" s="590">
        <f>IF(A9taxstdlife="n/a","n/a",IF(U$3&gt;(A9taxstdlife+$E594),(('PTRM input'!$O$151+'PTRM input'!$O$117)*$O$7)-SUM($O594:T594),(('PTRM input'!$O$151+'PTRM input'!$O$117)*$O$7)/A9taxstdlife))</f>
        <v>0</v>
      </c>
      <c r="V594" s="590">
        <f>IF(A9taxstdlife="n/a","n/a",IF(V$3&gt;(A9taxstdlife+$E594),(('PTRM input'!$O$151+'PTRM input'!$O$117)*$O$7)-SUM($O594:U594),(('PTRM input'!$O$151+'PTRM input'!$O$117)*$O$7)/A9taxstdlife))</f>
        <v>0</v>
      </c>
      <c r="W594" s="590">
        <f>IF(A9taxstdlife="n/a","n/a",IF(W$3&gt;(A9taxstdlife+$E594),(('PTRM input'!$O$151+'PTRM input'!$O$117)*$O$7)-SUM($O594:V594),(('PTRM input'!$O$151+'PTRM input'!$O$117)*$O$7)/A9taxstdlife))</f>
        <v>0</v>
      </c>
      <c r="X594" s="590">
        <f>IF(A9taxstdlife="n/a","n/a",IF(X$3&gt;(A9taxstdlife+$E594),(('PTRM input'!$O$151+'PTRM input'!$O$117)*$O$7)-SUM($O594:W594),(('PTRM input'!$O$151+'PTRM input'!$O$117)*$O$7)/A9taxstdlife))</f>
        <v>0</v>
      </c>
      <c r="Y594" s="590">
        <f>IF(A9taxstdlife="n/a","n/a",IF(Y$3&gt;(A9taxstdlife+$E594),(('PTRM input'!$O$151+'PTRM input'!$O$117)*$O$7)-SUM($O594:X594),(('PTRM input'!$O$151+'PTRM input'!$O$117)*$O$7)/A9taxstdlife))</f>
        <v>0</v>
      </c>
      <c r="Z594" s="590">
        <f>IF(A9taxstdlife="n/a","n/a",IF(Z$3&gt;(A9taxstdlife+$E594),(('PTRM input'!$O$151+'PTRM input'!$O$117)*$O$7)-SUM($O594:Y594),(('PTRM input'!$O$151+'PTRM input'!$O$117)*$O$7)/A9taxstdlife))</f>
        <v>0</v>
      </c>
      <c r="AA594" s="590">
        <f>IF(A9taxstdlife="n/a","n/a",IF(AA$3&gt;(A9taxstdlife+$E594),(('PTRM input'!$O$151+'PTRM input'!$O$117)*$O$7)-SUM($O594:Z594),(('PTRM input'!$O$151+'PTRM input'!$O$117)*$O$7)/A9taxstdlife))</f>
        <v>0</v>
      </c>
      <c r="AB594" s="590">
        <f>IF(A9taxstdlife="n/a","n/a",IF(AB$3&gt;(A9taxstdlife+$E594),(('PTRM input'!$O$151+'PTRM input'!$O$117)*$O$7)-SUM($O594:AA594),(('PTRM input'!$O$151+'PTRM input'!$O$117)*$O$7)/A9taxstdlife))</f>
        <v>0</v>
      </c>
      <c r="AC594" s="590">
        <f>IF(A9taxstdlife="n/a","n/a",IF(AC$3&gt;(A9taxstdlife+$E594),(('PTRM input'!$O$151+'PTRM input'!$O$117)*$O$7)-SUM($O594:AB594),(('PTRM input'!$O$151+'PTRM input'!$O$117)*$O$7)/A9taxstdlife))</f>
        <v>0</v>
      </c>
      <c r="AD594" s="590">
        <f>IF(A9taxstdlife="n/a","n/a",IF(AD$3&gt;(A9taxstdlife+$E594),(('PTRM input'!$O$151+'PTRM input'!$O$117)*$O$7)-SUM($O594:AC594),(('PTRM input'!$O$151+'PTRM input'!$O$117)*$O$7)/A9taxstdlife))</f>
        <v>0</v>
      </c>
      <c r="AE594" s="590">
        <f>IF(A9taxstdlife="n/a","n/a",IF(AE$3&gt;(A9taxstdlife+$E594),(('PTRM input'!$O$151+'PTRM input'!$O$117)*$O$7)-SUM($O594:AD594),(('PTRM input'!$O$151+'PTRM input'!$O$117)*$O$7)/A9taxstdlife))</f>
        <v>0</v>
      </c>
      <c r="AF594" s="590">
        <f>IF(A9taxstdlife="n/a","n/a",IF(AF$3&gt;(A9taxstdlife+$E594),(('PTRM input'!$O$151+'PTRM input'!$O$117)*$O$7)-SUM($O594:AE594),(('PTRM input'!$O$151+'PTRM input'!$O$117)*$O$7)/A9taxstdlife))</f>
        <v>0</v>
      </c>
      <c r="AG594" s="590">
        <f>IF(A9taxstdlife="n/a","n/a",IF(AG$3&gt;(A9taxstdlife+$E594),(('PTRM input'!$O$151+'PTRM input'!$O$117)*$O$7)-SUM($O594:AF594),(('PTRM input'!$O$151+'PTRM input'!$O$117)*$O$7)/A9taxstdlife))</f>
        <v>0</v>
      </c>
      <c r="AH594" s="590">
        <f>IF(A9taxstdlife="n/a","n/a",IF(AH$3&gt;(A9taxstdlife+$E594),(('PTRM input'!$O$151+'PTRM input'!$O$117)*$O$7)-SUM($O594:AG594),(('PTRM input'!$O$151+'PTRM input'!$O$117)*$O$7)/A9taxstdlife))</f>
        <v>0</v>
      </c>
      <c r="AI594" s="590">
        <f>IF(A9taxstdlife="n/a","n/a",IF(AI$3&gt;(A9taxstdlife+$E594),(('PTRM input'!$O$151+'PTRM input'!$O$117)*$O$7)-SUM($O594:AH594),(('PTRM input'!$O$151+'PTRM input'!$O$117)*$O$7)/A9taxstdlife))</f>
        <v>0</v>
      </c>
      <c r="AJ594" s="590">
        <f>IF(A9taxstdlife="n/a","n/a",IF(AJ$3&gt;(A9taxstdlife+$E594),(('PTRM input'!$O$151+'PTRM input'!$O$117)*$O$7)-SUM($O594:AI594),(('PTRM input'!$O$151+'PTRM input'!$O$117)*$O$7)/A9taxstdlife))</f>
        <v>0</v>
      </c>
      <c r="AK594" s="590">
        <f>IF(A9taxstdlife="n/a","n/a",IF(AK$3&gt;(A9taxstdlife+$E594),(('PTRM input'!$O$151+'PTRM input'!$O$117)*$O$7)-SUM($O594:AJ594),(('PTRM input'!$O$151+'PTRM input'!$O$117)*$O$7)/A9taxstdlife))</f>
        <v>0</v>
      </c>
      <c r="AL594" s="590">
        <f>IF(A9taxstdlife="n/a","n/a",IF(AL$3&gt;(A9taxstdlife+$E594),(('PTRM input'!$O$151+'PTRM input'!$O$117)*$O$7)-SUM($O594:AK594),(('PTRM input'!$O$151+'PTRM input'!$O$117)*$O$7)/A9taxstdlife))</f>
        <v>0</v>
      </c>
      <c r="AM594" s="590">
        <f>IF(A9taxstdlife="n/a","n/a",IF(AM$3&gt;(A9taxstdlife+$E594),(('PTRM input'!$O$151+'PTRM input'!$O$117)*$O$7)-SUM($O594:AL594),(('PTRM input'!$O$151+'PTRM input'!$O$117)*$O$7)/A9taxstdlife))</f>
        <v>0</v>
      </c>
      <c r="AN594" s="590">
        <f>IF(A9taxstdlife="n/a","n/a",IF(AN$3&gt;(A9taxstdlife+$E594),(('PTRM input'!$O$151+'PTRM input'!$O$117)*$O$7)-SUM($O594:AM594),(('PTRM input'!$O$151+'PTRM input'!$O$117)*$O$7)/A9taxstdlife))</f>
        <v>0</v>
      </c>
      <c r="AO594" s="590">
        <f>IF(A9taxstdlife="n/a","n/a",IF(AO$3&gt;(A9taxstdlife+$E594),(('PTRM input'!$O$151+'PTRM input'!$O$117)*$O$7)-SUM($O594:AN594),(('PTRM input'!$O$151+'PTRM input'!$O$117)*$O$7)/A9taxstdlife))</f>
        <v>0</v>
      </c>
      <c r="AP594" s="590">
        <f>IF(A9taxstdlife="n/a","n/a",IF(AP$3&gt;(A9taxstdlife+$E594),(('PTRM input'!$O$151+'PTRM input'!$O$117)*$O$7)-SUM($O594:AO594),(('PTRM input'!$O$151+'PTRM input'!$O$117)*$O$7)/A9taxstdlife))</f>
        <v>0</v>
      </c>
      <c r="AQ594" s="590">
        <f>IF(A9taxstdlife="n/a","n/a",IF(AQ$3&gt;(A9taxstdlife+$E594),(('PTRM input'!$O$151+'PTRM input'!$O$117)*$O$7)-SUM($O594:AP594),(('PTRM input'!$O$151+'PTRM input'!$O$117)*$O$7)/A9taxstdlife))</f>
        <v>0</v>
      </c>
      <c r="AR594" s="590">
        <f>IF(A9taxstdlife="n/a","n/a",IF(AR$3&gt;(A9taxstdlife+$E594),(('PTRM input'!$O$151+'PTRM input'!$O$117)*$O$7)-SUM($O594:AQ594),(('PTRM input'!$O$151+'PTRM input'!$O$117)*$O$7)/A9taxstdlife))</f>
        <v>0</v>
      </c>
      <c r="AS594" s="590">
        <f>IF(A9taxstdlife="n/a","n/a",IF(AS$3&gt;(A9taxstdlife+$E594),(('PTRM input'!$O$151+'PTRM input'!$O$117)*$O$7)-SUM($O594:AR594),(('PTRM input'!$O$151+'PTRM input'!$O$117)*$O$7)/A9taxstdlife))</f>
        <v>0</v>
      </c>
      <c r="AT594" s="590">
        <f>IF(A9taxstdlife="n/a","n/a",IF(AT$3&gt;(A9taxstdlife+$E594),(('PTRM input'!$O$151+'PTRM input'!$O$117)*$O$7)-SUM($O594:AS594),(('PTRM input'!$O$151+'PTRM input'!$O$117)*$O$7)/A9taxstdlife))</f>
        <v>0</v>
      </c>
      <c r="AU594" s="590">
        <f>IF(A9taxstdlife="n/a","n/a",IF(AU$3&gt;(A9taxstdlife+$E594),(('PTRM input'!$O$151+'PTRM input'!$O$117)*$O$7)-SUM($O594:AT594),(('PTRM input'!$O$151+'PTRM input'!$O$117)*$O$7)/A9taxstdlife))</f>
        <v>0</v>
      </c>
      <c r="AV594" s="590">
        <f>IF(A9taxstdlife="n/a","n/a",IF(AV$3&gt;(A9taxstdlife+$E594),(('PTRM input'!$O$151+'PTRM input'!$O$117)*$O$7)-SUM($O594:AU594),(('PTRM input'!$O$151+'PTRM input'!$O$117)*$O$7)/A9taxstdlife))</f>
        <v>0</v>
      </c>
      <c r="AW594" s="590">
        <f>IF(A9taxstdlife="n/a","n/a",IF(AW$3&gt;(A9taxstdlife+$E594),(('PTRM input'!$O$151+'PTRM input'!$O$117)*$O$7)-SUM($O594:AV594),(('PTRM input'!$O$151+'PTRM input'!$O$117)*$O$7)/A9taxstdlife))</f>
        <v>0</v>
      </c>
      <c r="AX594" s="590">
        <f>IF(A9taxstdlife="n/a","n/a",IF(AX$3&gt;(A9taxstdlife+$E594),(('PTRM input'!$O$151+'PTRM input'!$O$117)*$O$7)-SUM($O594:AW594),(('PTRM input'!$O$151+'PTRM input'!$O$117)*$O$7)/A9taxstdlife))</f>
        <v>0</v>
      </c>
      <c r="AY594" s="590">
        <f>IF(A9taxstdlife="n/a","n/a",IF(AY$3&gt;(A9taxstdlife+$E594),(('PTRM input'!$O$151+'PTRM input'!$O$117)*$O$7)-SUM($O594:AX594),(('PTRM input'!$O$151+'PTRM input'!$O$117)*$O$7)/A9taxstdlife))</f>
        <v>0</v>
      </c>
      <c r="AZ594" s="590">
        <f>IF(A9taxstdlife="n/a","n/a",IF(AZ$3&gt;(A9taxstdlife+$E594),(('PTRM input'!$O$151+'PTRM input'!$O$117)*$O$7)-SUM($O594:AY594),(('PTRM input'!$O$151+'PTRM input'!$O$117)*$O$7)/A9taxstdlife))</f>
        <v>0</v>
      </c>
      <c r="BA594" s="590">
        <f>IF(A9taxstdlife="n/a","n/a",IF(BA$3&gt;(A9taxstdlife+$E594),(('PTRM input'!$O$151+'PTRM input'!$O$117)*$O$7)-SUM($O594:AZ594),(('PTRM input'!$O$151+'PTRM input'!$O$117)*$O$7)/A9taxstdlife))</f>
        <v>0</v>
      </c>
      <c r="BB594" s="590">
        <f>IF(A9taxstdlife="n/a","n/a",IF(BB$3&gt;(A9taxstdlife+$E594),(('PTRM input'!$O$151+'PTRM input'!$O$117)*$O$7)-SUM($O594:BA594),(('PTRM input'!$O$151+'PTRM input'!$O$117)*$O$7)/A9taxstdlife))</f>
        <v>0</v>
      </c>
      <c r="BC594" s="590">
        <f>IF(A9taxstdlife="n/a","n/a",IF(BC$3&gt;(A9taxstdlife+$E594),(('PTRM input'!$O$151+'PTRM input'!$O$117)*$O$7)-SUM($O594:BB594),(('PTRM input'!$O$151+'PTRM input'!$O$117)*$O$7)/A9taxstdlife))</f>
        <v>0</v>
      </c>
      <c r="BD594" s="590">
        <f>IF(A9taxstdlife="n/a","n/a",IF(BD$3&gt;(A9taxstdlife+$E594),(('PTRM input'!$O$151+'PTRM input'!$O$117)*$O$7)-SUM($O594:BC594),(('PTRM input'!$O$151+'PTRM input'!$O$117)*$O$7)/A9taxstdlife))</f>
        <v>0</v>
      </c>
      <c r="BE594" s="590">
        <f>IF(A9taxstdlife="n/a","n/a",IF(BE$3&gt;(A9taxstdlife+$E594),(('PTRM input'!$O$151+'PTRM input'!$O$117)*$O$7)-SUM($O594:BD594),(('PTRM input'!$O$151+'PTRM input'!$O$117)*$O$7)/A9taxstdlife))</f>
        <v>0</v>
      </c>
      <c r="BF594" s="590">
        <f>IF(A9taxstdlife="n/a","n/a",IF(BF$3&gt;(A9taxstdlife+$E594),(('PTRM input'!$O$151+'PTRM input'!$O$117)*$O$7)-SUM($O594:BE594),(('PTRM input'!$O$151+'PTRM input'!$O$117)*$O$7)/A9taxstdlife))</f>
        <v>0</v>
      </c>
      <c r="BG594" s="590">
        <f>IF(A9taxstdlife="n/a","n/a",IF(BG$3&gt;(A9taxstdlife+$E594),(('PTRM input'!$O$151+'PTRM input'!$O$117)*$O$7)-SUM($O594:BF594),(('PTRM input'!$O$151+'PTRM input'!$O$117)*$O$7)/A9taxstdlife))</f>
        <v>0</v>
      </c>
      <c r="BH594" s="590">
        <f>IF(A9taxstdlife="n/a","n/a",IF(BH$3&gt;(A9taxstdlife+$E594),(('PTRM input'!$O$151+'PTRM input'!$O$117)*$O$7)-SUM($O594:BG594),(('PTRM input'!$O$151+'PTRM input'!$O$117)*$O$7)/A9taxstdlife))</f>
        <v>0</v>
      </c>
      <c r="BI594" s="590">
        <f>IF(A9taxstdlife="n/a","n/a",IF(BI$3&gt;(A9taxstdlife+$E594),(('PTRM input'!$O$151+'PTRM input'!$O$117)*$O$7)-SUM($O594:BH594),(('PTRM input'!$O$151+'PTRM input'!$O$117)*$O$7)/A9taxstdlife))</f>
        <v>0</v>
      </c>
      <c r="BJ594" s="240"/>
      <c r="BK594" s="240"/>
      <c r="BL594" s="240"/>
      <c r="BM594" s="240"/>
    </row>
    <row r="595" spans="1:65" s="4" customFormat="1" hidden="1" outlineLevel="2">
      <c r="A595" s="240"/>
      <c r="B595" s="240"/>
      <c r="C595" s="595"/>
      <c r="D595" s="1618"/>
      <c r="E595" s="170">
        <v>10</v>
      </c>
      <c r="F595" s="35"/>
      <c r="G595" s="184"/>
      <c r="H595" s="186"/>
      <c r="I595" s="186"/>
      <c r="J595" s="186"/>
      <c r="K595" s="186"/>
      <c r="L595" s="186"/>
      <c r="M595" s="186"/>
      <c r="N595" s="186"/>
      <c r="O595" s="186"/>
      <c r="P595" s="185"/>
      <c r="Q595" s="590">
        <f>IF(A9taxstdlife="n/a","n/a",IF(Q$3&gt;(A9taxstdlife+$E595),(('PTRM input'!$P$151+'PTRM input'!$P$117)*$P$7)-SUM($P595:P595),(('PTRM input'!$P$151+'PTRM input'!$P$117)*$P$7)/A9taxstdlife))</f>
        <v>0</v>
      </c>
      <c r="R595" s="590">
        <f>IF(A9taxstdlife="n/a","n/a",IF(R$3&gt;(A9taxstdlife+$E595),(('PTRM input'!$P$151+'PTRM input'!$P$117)*$P$7)-SUM($P595:Q595),(('PTRM input'!$P$151+'PTRM input'!$P$117)*$P$7)/A9taxstdlife))</f>
        <v>0</v>
      </c>
      <c r="S595" s="590">
        <f>IF(A9taxstdlife="n/a","n/a",IF(S$3&gt;(A9taxstdlife+$E595),(('PTRM input'!$P$151+'PTRM input'!$P$117)*$P$7)-SUM($P595:R595),(('PTRM input'!$P$151+'PTRM input'!$P$117)*$P$7)/A9taxstdlife))</f>
        <v>0</v>
      </c>
      <c r="T595" s="590">
        <f>IF(A9taxstdlife="n/a","n/a",IF(T$3&gt;(A9taxstdlife+$E595),(('PTRM input'!$P$151+'PTRM input'!$P$117)*$P$7)-SUM($P595:S595),(('PTRM input'!$P$151+'PTRM input'!$P$117)*$P$7)/A9taxstdlife))</f>
        <v>0</v>
      </c>
      <c r="U595" s="590">
        <f>IF(A9taxstdlife="n/a","n/a",IF(U$3&gt;(A9taxstdlife+$E595),(('PTRM input'!$P$151+'PTRM input'!$P$117)*$P$7)-SUM($P595:T595),(('PTRM input'!$P$151+'PTRM input'!$P$117)*$P$7)/A9taxstdlife))</f>
        <v>0</v>
      </c>
      <c r="V595" s="590">
        <f>IF(A9taxstdlife="n/a","n/a",IF(V$3&gt;(A9taxstdlife+$E595),(('PTRM input'!$P$151+'PTRM input'!$P$117)*$P$7)-SUM($P595:U595),(('PTRM input'!$P$151+'PTRM input'!$P$117)*$P$7)/A9taxstdlife))</f>
        <v>0</v>
      </c>
      <c r="W595" s="590">
        <f>IF(A9taxstdlife="n/a","n/a",IF(W$3&gt;(A9taxstdlife+$E595),(('PTRM input'!$P$151+'PTRM input'!$P$117)*$P$7)-SUM($P595:V595),(('PTRM input'!$P$151+'PTRM input'!$P$117)*$P$7)/A9taxstdlife))</f>
        <v>0</v>
      </c>
      <c r="X595" s="590">
        <f>IF(A9taxstdlife="n/a","n/a",IF(X$3&gt;(A9taxstdlife+$E595),(('PTRM input'!$P$151+'PTRM input'!$P$117)*$P$7)-SUM($P595:W595),(('PTRM input'!$P$151+'PTRM input'!$P$117)*$P$7)/A9taxstdlife))</f>
        <v>0</v>
      </c>
      <c r="Y595" s="590">
        <f>IF(A9taxstdlife="n/a","n/a",IF(Y$3&gt;(A9taxstdlife+$E595),(('PTRM input'!$P$151+'PTRM input'!$P$117)*$P$7)-SUM($P595:X595),(('PTRM input'!$P$151+'PTRM input'!$P$117)*$P$7)/A9taxstdlife))</f>
        <v>0</v>
      </c>
      <c r="Z595" s="590">
        <f>IF(A9taxstdlife="n/a","n/a",IF(Z$3&gt;(A9taxstdlife+$E595),(('PTRM input'!$P$151+'PTRM input'!$P$117)*$P$7)-SUM($P595:Y595),(('PTRM input'!$P$151+'PTRM input'!$P$117)*$P$7)/A9taxstdlife))</f>
        <v>0</v>
      </c>
      <c r="AA595" s="590">
        <f>IF(A9taxstdlife="n/a","n/a",IF(AA$3&gt;(A9taxstdlife+$E595),(('PTRM input'!$P$151+'PTRM input'!$P$117)*$P$7)-SUM($P595:Z595),(('PTRM input'!$P$151+'PTRM input'!$P$117)*$P$7)/A9taxstdlife))</f>
        <v>0</v>
      </c>
      <c r="AB595" s="590">
        <f>IF(A9taxstdlife="n/a","n/a",IF(AB$3&gt;(A9taxstdlife+$E595),(('PTRM input'!$P$151+'PTRM input'!$P$117)*$P$7)-SUM($P595:AA595),(('PTRM input'!$P$151+'PTRM input'!$P$117)*$P$7)/A9taxstdlife))</f>
        <v>0</v>
      </c>
      <c r="AC595" s="590">
        <f>IF(A9taxstdlife="n/a","n/a",IF(AC$3&gt;(A9taxstdlife+$E595),(('PTRM input'!$P$151+'PTRM input'!$P$117)*$P$7)-SUM($P595:AB595),(('PTRM input'!$P$151+'PTRM input'!$P$117)*$P$7)/A9taxstdlife))</f>
        <v>0</v>
      </c>
      <c r="AD595" s="590">
        <f>IF(A9taxstdlife="n/a","n/a",IF(AD$3&gt;(A9taxstdlife+$E595),(('PTRM input'!$P$151+'PTRM input'!$P$117)*$P$7)-SUM($P595:AC595),(('PTRM input'!$P$151+'PTRM input'!$P$117)*$P$7)/A9taxstdlife))</f>
        <v>0</v>
      </c>
      <c r="AE595" s="590">
        <f>IF(A9taxstdlife="n/a","n/a",IF(AE$3&gt;(A9taxstdlife+$E595),(('PTRM input'!$P$151+'PTRM input'!$P$117)*$P$7)-SUM($P595:AD595),(('PTRM input'!$P$151+'PTRM input'!$P$117)*$P$7)/A9taxstdlife))</f>
        <v>0</v>
      </c>
      <c r="AF595" s="590">
        <f>IF(A9taxstdlife="n/a","n/a",IF(AF$3&gt;(A9taxstdlife+$E595),(('PTRM input'!$P$151+'PTRM input'!$P$117)*$P$7)-SUM($P595:AE595),(('PTRM input'!$P$151+'PTRM input'!$P$117)*$P$7)/A9taxstdlife))</f>
        <v>0</v>
      </c>
      <c r="AG595" s="590">
        <f>IF(A9taxstdlife="n/a","n/a",IF(AG$3&gt;(A9taxstdlife+$E595),(('PTRM input'!$P$151+'PTRM input'!$P$117)*$P$7)-SUM($P595:AF595),(('PTRM input'!$P$151+'PTRM input'!$P$117)*$P$7)/A9taxstdlife))</f>
        <v>0</v>
      </c>
      <c r="AH595" s="590">
        <f>IF(A9taxstdlife="n/a","n/a",IF(AH$3&gt;(A9taxstdlife+$E595),(('PTRM input'!$P$151+'PTRM input'!$P$117)*$P$7)-SUM($P595:AG595),(('PTRM input'!$P$151+'PTRM input'!$P$117)*$P$7)/A9taxstdlife))</f>
        <v>0</v>
      </c>
      <c r="AI595" s="590">
        <f>IF(A9taxstdlife="n/a","n/a",IF(AI$3&gt;(A9taxstdlife+$E595),(('PTRM input'!$P$151+'PTRM input'!$P$117)*$P$7)-SUM($P595:AH595),(('PTRM input'!$P$151+'PTRM input'!$P$117)*$P$7)/A9taxstdlife))</f>
        <v>0</v>
      </c>
      <c r="AJ595" s="590">
        <f>IF(A9taxstdlife="n/a","n/a",IF(AJ$3&gt;(A9taxstdlife+$E595),(('PTRM input'!$P$151+'PTRM input'!$P$117)*$P$7)-SUM($P595:AI595),(('PTRM input'!$P$151+'PTRM input'!$P$117)*$P$7)/A9taxstdlife))</f>
        <v>0</v>
      </c>
      <c r="AK595" s="590">
        <f>IF(A9taxstdlife="n/a","n/a",IF(AK$3&gt;(A9taxstdlife+$E595),(('PTRM input'!$P$151+'PTRM input'!$P$117)*$P$7)-SUM($P595:AJ595),(('PTRM input'!$P$151+'PTRM input'!$P$117)*$P$7)/A9taxstdlife))</f>
        <v>0</v>
      </c>
      <c r="AL595" s="590">
        <f>IF(A9taxstdlife="n/a","n/a",IF(AL$3&gt;(A9taxstdlife+$E595),(('PTRM input'!$P$151+'PTRM input'!$P$117)*$P$7)-SUM($P595:AK595),(('PTRM input'!$P$151+'PTRM input'!$P$117)*$P$7)/A9taxstdlife))</f>
        <v>0</v>
      </c>
      <c r="AM595" s="590">
        <f>IF(A9taxstdlife="n/a","n/a",IF(AM$3&gt;(A9taxstdlife+$E595),(('PTRM input'!$P$151+'PTRM input'!$P$117)*$P$7)-SUM($P595:AL595),(('PTRM input'!$P$151+'PTRM input'!$P$117)*$P$7)/A9taxstdlife))</f>
        <v>0</v>
      </c>
      <c r="AN595" s="590">
        <f>IF(A9taxstdlife="n/a","n/a",IF(AN$3&gt;(A9taxstdlife+$E595),(('PTRM input'!$P$151+'PTRM input'!$P$117)*$P$7)-SUM($P595:AM595),(('PTRM input'!$P$151+'PTRM input'!$P$117)*$P$7)/A9taxstdlife))</f>
        <v>0</v>
      </c>
      <c r="AO595" s="590">
        <f>IF(A9taxstdlife="n/a","n/a",IF(AO$3&gt;(A9taxstdlife+$E595),(('PTRM input'!$P$151+'PTRM input'!$P$117)*$P$7)-SUM($P595:AN595),(('PTRM input'!$P$151+'PTRM input'!$P$117)*$P$7)/A9taxstdlife))</f>
        <v>0</v>
      </c>
      <c r="AP595" s="590">
        <f>IF(A9taxstdlife="n/a","n/a",IF(AP$3&gt;(A9taxstdlife+$E595),(('PTRM input'!$P$151+'PTRM input'!$P$117)*$P$7)-SUM($P595:AO595),(('PTRM input'!$P$151+'PTRM input'!$P$117)*$P$7)/A9taxstdlife))</f>
        <v>0</v>
      </c>
      <c r="AQ595" s="590">
        <f>IF(A9taxstdlife="n/a","n/a",IF(AQ$3&gt;(A9taxstdlife+$E595),(('PTRM input'!$P$151+'PTRM input'!$P$117)*$P$7)-SUM($P595:AP595),(('PTRM input'!$P$151+'PTRM input'!$P$117)*$P$7)/A9taxstdlife))</f>
        <v>0</v>
      </c>
      <c r="AR595" s="590">
        <f>IF(A9taxstdlife="n/a","n/a",IF(AR$3&gt;(A9taxstdlife+$E595),(('PTRM input'!$P$151+'PTRM input'!$P$117)*$P$7)-SUM($P595:AQ595),(('PTRM input'!$P$151+'PTRM input'!$P$117)*$P$7)/A9taxstdlife))</f>
        <v>0</v>
      </c>
      <c r="AS595" s="590">
        <f>IF(A9taxstdlife="n/a","n/a",IF(AS$3&gt;(A9taxstdlife+$E595),(('PTRM input'!$P$151+'PTRM input'!$P$117)*$P$7)-SUM($P595:AR595),(('PTRM input'!$P$151+'PTRM input'!$P$117)*$P$7)/A9taxstdlife))</f>
        <v>0</v>
      </c>
      <c r="AT595" s="590">
        <f>IF(A9taxstdlife="n/a","n/a",IF(AT$3&gt;(A9taxstdlife+$E595),(('PTRM input'!$P$151+'PTRM input'!$P$117)*$P$7)-SUM($P595:AS595),(('PTRM input'!$P$151+'PTRM input'!$P$117)*$P$7)/A9taxstdlife))</f>
        <v>0</v>
      </c>
      <c r="AU595" s="590">
        <f>IF(A9taxstdlife="n/a","n/a",IF(AU$3&gt;(A9taxstdlife+$E595),(('PTRM input'!$P$151+'PTRM input'!$P$117)*$P$7)-SUM($P595:AT595),(('PTRM input'!$P$151+'PTRM input'!$P$117)*$P$7)/A9taxstdlife))</f>
        <v>0</v>
      </c>
      <c r="AV595" s="590">
        <f>IF(A9taxstdlife="n/a","n/a",IF(AV$3&gt;(A9taxstdlife+$E595),(('PTRM input'!$P$151+'PTRM input'!$P$117)*$P$7)-SUM($P595:AU595),(('PTRM input'!$P$151+'PTRM input'!$P$117)*$P$7)/A9taxstdlife))</f>
        <v>0</v>
      </c>
      <c r="AW595" s="590">
        <f>IF(A9taxstdlife="n/a","n/a",IF(AW$3&gt;(A9taxstdlife+$E595),(('PTRM input'!$P$151+'PTRM input'!$P$117)*$P$7)-SUM($P595:AV595),(('PTRM input'!$P$151+'PTRM input'!$P$117)*$P$7)/A9taxstdlife))</f>
        <v>0</v>
      </c>
      <c r="AX595" s="590">
        <f>IF(A9taxstdlife="n/a","n/a",IF(AX$3&gt;(A9taxstdlife+$E595),(('PTRM input'!$P$151+'PTRM input'!$P$117)*$P$7)-SUM($P595:AW595),(('PTRM input'!$P$151+'PTRM input'!$P$117)*$P$7)/A9taxstdlife))</f>
        <v>0</v>
      </c>
      <c r="AY595" s="590">
        <f>IF(A9taxstdlife="n/a","n/a",IF(AY$3&gt;(A9taxstdlife+$E595),(('PTRM input'!$P$151+'PTRM input'!$P$117)*$P$7)-SUM($P595:AX595),(('PTRM input'!$P$151+'PTRM input'!$P$117)*$P$7)/A9taxstdlife))</f>
        <v>0</v>
      </c>
      <c r="AZ595" s="590">
        <f>IF(A9taxstdlife="n/a","n/a",IF(AZ$3&gt;(A9taxstdlife+$E595),(('PTRM input'!$P$151+'PTRM input'!$P$117)*$P$7)-SUM($P595:AY595),(('PTRM input'!$P$151+'PTRM input'!$P$117)*$P$7)/A9taxstdlife))</f>
        <v>0</v>
      </c>
      <c r="BA595" s="590">
        <f>IF(A9taxstdlife="n/a","n/a",IF(BA$3&gt;(A9taxstdlife+$E595),(('PTRM input'!$P$151+'PTRM input'!$P$117)*$P$7)-SUM($P595:AZ595),(('PTRM input'!$P$151+'PTRM input'!$P$117)*$P$7)/A9taxstdlife))</f>
        <v>0</v>
      </c>
      <c r="BB595" s="590">
        <f>IF(A9taxstdlife="n/a","n/a",IF(BB$3&gt;(A9taxstdlife+$E595),(('PTRM input'!$P$151+'PTRM input'!$P$117)*$P$7)-SUM($P595:BA595),(('PTRM input'!$P$151+'PTRM input'!$P$117)*$P$7)/A9taxstdlife))</f>
        <v>0</v>
      </c>
      <c r="BC595" s="590">
        <f>IF(A9taxstdlife="n/a","n/a",IF(BC$3&gt;(A9taxstdlife+$E595),(('PTRM input'!$P$151+'PTRM input'!$P$117)*$P$7)-SUM($P595:BB595),(('PTRM input'!$P$151+'PTRM input'!$P$117)*$P$7)/A9taxstdlife))</f>
        <v>0</v>
      </c>
      <c r="BD595" s="590">
        <f>IF(A9taxstdlife="n/a","n/a",IF(BD$3&gt;(A9taxstdlife+$E595),(('PTRM input'!$P$151+'PTRM input'!$P$117)*$P$7)-SUM($P595:BC595),(('PTRM input'!$P$151+'PTRM input'!$P$117)*$P$7)/A9taxstdlife))</f>
        <v>0</v>
      </c>
      <c r="BE595" s="590">
        <f>IF(A9taxstdlife="n/a","n/a",IF(BE$3&gt;(A9taxstdlife+$E595),(('PTRM input'!$P$151+'PTRM input'!$P$117)*$P$7)-SUM($P595:BD595),(('PTRM input'!$P$151+'PTRM input'!$P$117)*$P$7)/A9taxstdlife))</f>
        <v>0</v>
      </c>
      <c r="BF595" s="590">
        <f>IF(A9taxstdlife="n/a","n/a",IF(BF$3&gt;(A9taxstdlife+$E595),(('PTRM input'!$P$151+'PTRM input'!$P$117)*$P$7)-SUM($P595:BE595),(('PTRM input'!$P$151+'PTRM input'!$P$117)*$P$7)/A9taxstdlife))</f>
        <v>0</v>
      </c>
      <c r="BG595" s="590">
        <f>IF(A9taxstdlife="n/a","n/a",IF(BG$3&gt;(A9taxstdlife+$E595),(('PTRM input'!$P$151+'PTRM input'!$P$117)*$P$7)-SUM($P595:BF595),(('PTRM input'!$P$151+'PTRM input'!$P$117)*$P$7)/A9taxstdlife))</f>
        <v>0</v>
      </c>
      <c r="BH595" s="590">
        <f>IF(A9taxstdlife="n/a","n/a",IF(BH$3&gt;(A9taxstdlife+$E595),(('PTRM input'!$P$151+'PTRM input'!$P$117)*$P$7)-SUM($P595:BG595),(('PTRM input'!$P$151+'PTRM input'!$P$117)*$P$7)/A9taxstdlife))</f>
        <v>0</v>
      </c>
      <c r="BI595" s="590">
        <f>IF(A9taxstdlife="n/a","n/a",IF(BI$3&gt;(A9taxstdlife+$E595),(('PTRM input'!$P$151+'PTRM input'!$P$117)*$P$7)-SUM($P595:BH595),(('PTRM input'!$P$151+'PTRM input'!$P$117)*$P$7)/A9taxstdlife))</f>
        <v>0</v>
      </c>
      <c r="BJ595" s="240"/>
      <c r="BK595" s="240"/>
      <c r="BL595" s="240"/>
      <c r="BM595" s="240"/>
    </row>
    <row r="596" spans="1:65" s="4" customFormat="1" hidden="1" outlineLevel="1">
      <c r="A596" s="240"/>
      <c r="B596" s="240"/>
      <c r="C596" s="595">
        <f>Asset9</f>
        <v>0</v>
      </c>
      <c r="D596" s="240"/>
      <c r="E596" s="240"/>
      <c r="F596" s="596"/>
      <c r="G596" s="591">
        <f t="shared" ref="G596:AL596" si="122">SUM(G584:G595)</f>
        <v>0</v>
      </c>
      <c r="H596" s="591">
        <f t="shared" si="122"/>
        <v>0</v>
      </c>
      <c r="I596" s="591">
        <f t="shared" si="122"/>
        <v>0</v>
      </c>
      <c r="J596" s="591">
        <f t="shared" si="122"/>
        <v>0</v>
      </c>
      <c r="K596" s="591">
        <f t="shared" si="122"/>
        <v>0</v>
      </c>
      <c r="L596" s="591">
        <f t="shared" si="122"/>
        <v>0</v>
      </c>
      <c r="M596" s="591">
        <f t="shared" si="122"/>
        <v>0</v>
      </c>
      <c r="N596" s="591">
        <f t="shared" si="122"/>
        <v>0</v>
      </c>
      <c r="O596" s="591">
        <f t="shared" si="122"/>
        <v>0</v>
      </c>
      <c r="P596" s="591">
        <f t="shared" si="122"/>
        <v>0</v>
      </c>
      <c r="Q596" s="591">
        <f t="shared" si="122"/>
        <v>0</v>
      </c>
      <c r="R596" s="591">
        <f t="shared" si="122"/>
        <v>0</v>
      </c>
      <c r="S596" s="591">
        <f t="shared" si="122"/>
        <v>0</v>
      </c>
      <c r="T596" s="591">
        <f t="shared" si="122"/>
        <v>0</v>
      </c>
      <c r="U596" s="591">
        <f t="shared" si="122"/>
        <v>0</v>
      </c>
      <c r="V596" s="591">
        <f t="shared" si="122"/>
        <v>0</v>
      </c>
      <c r="W596" s="591">
        <f t="shared" si="122"/>
        <v>0</v>
      </c>
      <c r="X596" s="591">
        <f t="shared" si="122"/>
        <v>0</v>
      </c>
      <c r="Y596" s="591">
        <f t="shared" si="122"/>
        <v>0</v>
      </c>
      <c r="Z596" s="591">
        <f t="shared" si="122"/>
        <v>0</v>
      </c>
      <c r="AA596" s="591">
        <f t="shared" si="122"/>
        <v>0</v>
      </c>
      <c r="AB596" s="591">
        <f t="shared" si="122"/>
        <v>0</v>
      </c>
      <c r="AC596" s="591">
        <f t="shared" si="122"/>
        <v>0</v>
      </c>
      <c r="AD596" s="591">
        <f t="shared" si="122"/>
        <v>0</v>
      </c>
      <c r="AE596" s="591">
        <f t="shared" si="122"/>
        <v>0</v>
      </c>
      <c r="AF596" s="591">
        <f t="shared" si="122"/>
        <v>0</v>
      </c>
      <c r="AG596" s="591">
        <f t="shared" si="122"/>
        <v>0</v>
      </c>
      <c r="AH596" s="591">
        <f t="shared" si="122"/>
        <v>0</v>
      </c>
      <c r="AI596" s="591">
        <f t="shared" si="122"/>
        <v>0</v>
      </c>
      <c r="AJ596" s="591">
        <f t="shared" si="122"/>
        <v>0</v>
      </c>
      <c r="AK596" s="591">
        <f t="shared" si="122"/>
        <v>0</v>
      </c>
      <c r="AL596" s="591">
        <f t="shared" si="122"/>
        <v>0</v>
      </c>
      <c r="AM596" s="591">
        <f t="shared" ref="AM596:BI596" si="123">SUM(AM584:AM595)</f>
        <v>0</v>
      </c>
      <c r="AN596" s="591">
        <f t="shared" si="123"/>
        <v>0</v>
      </c>
      <c r="AO596" s="591">
        <f t="shared" si="123"/>
        <v>0</v>
      </c>
      <c r="AP596" s="591">
        <f t="shared" si="123"/>
        <v>0</v>
      </c>
      <c r="AQ596" s="591">
        <f t="shared" si="123"/>
        <v>0</v>
      </c>
      <c r="AR596" s="591">
        <f t="shared" si="123"/>
        <v>0</v>
      </c>
      <c r="AS596" s="591">
        <f t="shared" si="123"/>
        <v>0</v>
      </c>
      <c r="AT596" s="591">
        <f t="shared" si="123"/>
        <v>0</v>
      </c>
      <c r="AU596" s="591">
        <f t="shared" si="123"/>
        <v>0</v>
      </c>
      <c r="AV596" s="591">
        <f t="shared" si="123"/>
        <v>0</v>
      </c>
      <c r="AW596" s="591">
        <f t="shared" si="123"/>
        <v>0</v>
      </c>
      <c r="AX596" s="591">
        <f t="shared" si="123"/>
        <v>0</v>
      </c>
      <c r="AY596" s="591">
        <f t="shared" si="123"/>
        <v>0</v>
      </c>
      <c r="AZ596" s="591">
        <f t="shared" si="123"/>
        <v>0</v>
      </c>
      <c r="BA596" s="591">
        <f t="shared" si="123"/>
        <v>0</v>
      </c>
      <c r="BB596" s="591">
        <f t="shared" si="123"/>
        <v>0</v>
      </c>
      <c r="BC596" s="591">
        <f t="shared" si="123"/>
        <v>0</v>
      </c>
      <c r="BD596" s="591">
        <f t="shared" si="123"/>
        <v>0</v>
      </c>
      <c r="BE596" s="591">
        <f t="shared" si="123"/>
        <v>0</v>
      </c>
      <c r="BF596" s="591">
        <f t="shared" si="123"/>
        <v>0</v>
      </c>
      <c r="BG596" s="591">
        <f t="shared" si="123"/>
        <v>0</v>
      </c>
      <c r="BH596" s="591">
        <f t="shared" si="123"/>
        <v>0</v>
      </c>
      <c r="BI596" s="591">
        <f t="shared" si="123"/>
        <v>0</v>
      </c>
      <c r="BJ596" s="240"/>
      <c r="BK596" s="240"/>
      <c r="BL596" s="240"/>
      <c r="BM596" s="240"/>
    </row>
    <row r="597" spans="1:65" s="4" customFormat="1" hidden="1" outlineLevel="2">
      <c r="A597" s="240"/>
      <c r="B597" s="597">
        <f>C609</f>
        <v>0</v>
      </c>
      <c r="C597" s="488"/>
      <c r="D597" s="598" t="s">
        <v>58</v>
      </c>
      <c r="E597" s="488"/>
      <c r="F597" s="599"/>
      <c r="G597" s="592">
        <f>IF(G$3&gt;A10taxremlife,A10taxvalue-SUM($F597:F597),IF(A10taxremlife="N/A","n/a",A10taxvalue/A10taxremlife))</f>
        <v>0</v>
      </c>
      <c r="H597" s="592">
        <f>IF(H$3&gt;A10taxremlife,A10taxvalue-SUM($F597:G597),IF(A10taxremlife="N/A","n/a",A10taxvalue/A10taxremlife))</f>
        <v>0</v>
      </c>
      <c r="I597" s="592">
        <f>IF(I$3&gt;A10taxremlife,A10taxvalue-SUM($F597:H597),IF(A10taxremlife="N/A","n/a",A10taxvalue/A10taxremlife))</f>
        <v>0</v>
      </c>
      <c r="J597" s="592">
        <f>IF(J$3&gt;A10taxremlife,A10taxvalue-SUM($F597:I597),IF(A10taxremlife="N/A","n/a",A10taxvalue/A10taxremlife))</f>
        <v>0</v>
      </c>
      <c r="K597" s="592">
        <f>IF(K$3&gt;A10taxremlife,A10taxvalue-SUM($F597:J597),IF(A10taxremlife="N/A","n/a",A10taxvalue/A10taxremlife))</f>
        <v>0</v>
      </c>
      <c r="L597" s="592">
        <f>IF(L$3&gt;A10taxremlife,A10taxvalue-SUM($F597:K597),IF(A10taxremlife="N/A","n/a",A10taxvalue/A10taxremlife))</f>
        <v>0</v>
      </c>
      <c r="M597" s="592">
        <f>IF(M$3&gt;A10taxremlife,A10taxvalue-SUM($F597:L597),IF(A10taxremlife="N/A","n/a",A10taxvalue/A10taxremlife))</f>
        <v>0</v>
      </c>
      <c r="N597" s="592">
        <f>IF(N$3&gt;A10taxremlife,A10taxvalue-SUM($F597:M597),IF(A10taxremlife="N/A","n/a",A10taxvalue/A10taxremlife))</f>
        <v>0</v>
      </c>
      <c r="O597" s="592">
        <f>IF(O$3&gt;A10taxremlife,A10taxvalue-SUM($F597:N597),IF(A10taxremlife="N/A","n/a",A10taxvalue/A10taxremlife))</f>
        <v>0</v>
      </c>
      <c r="P597" s="592">
        <f>IF(P$3&gt;A10taxremlife,A10taxvalue-SUM($F597:O597),IF(A10taxremlife="N/A","n/a",A10taxvalue/A10taxremlife))</f>
        <v>0</v>
      </c>
      <c r="Q597" s="592">
        <f>IF(Q$3&gt;A10taxremlife,A10taxvalue-SUM($F597:P597),IF(A10taxremlife="N/A","n/a",A10taxvalue/A10taxremlife))</f>
        <v>0</v>
      </c>
      <c r="R597" s="592">
        <f>IF(R$3&gt;A10taxremlife,A10taxvalue-SUM($F597:Q597),IF(A10taxremlife="N/A","n/a",A10taxvalue/A10taxremlife))</f>
        <v>0</v>
      </c>
      <c r="S597" s="592">
        <f>IF(S$3&gt;A10taxremlife,A10taxvalue-SUM($F597:R597),IF(A10taxremlife="N/A","n/a",A10taxvalue/A10taxremlife))</f>
        <v>0</v>
      </c>
      <c r="T597" s="592">
        <f>IF(T$3&gt;A10taxremlife,A10taxvalue-SUM($F597:S597),IF(A10taxremlife="N/A","n/a",A10taxvalue/A10taxremlife))</f>
        <v>0</v>
      </c>
      <c r="U597" s="592">
        <f>IF(U$3&gt;A10taxremlife,A10taxvalue-SUM($F597:T597),IF(A10taxremlife="N/A","n/a",A10taxvalue/A10taxremlife))</f>
        <v>0</v>
      </c>
      <c r="V597" s="592">
        <f>IF(V$3&gt;A10taxremlife,A10taxvalue-SUM($F597:U597),IF(A10taxremlife="N/A","n/a",A10taxvalue/A10taxremlife))</f>
        <v>0</v>
      </c>
      <c r="W597" s="592">
        <f>IF(W$3&gt;A10taxremlife,A10taxvalue-SUM($F597:V597),IF(A10taxremlife="N/A","n/a",A10taxvalue/A10taxremlife))</f>
        <v>0</v>
      </c>
      <c r="X597" s="592">
        <f>IF(X$3&gt;A10taxremlife,A10taxvalue-SUM($F597:W597),IF(A10taxremlife="N/A","n/a",A10taxvalue/A10taxremlife))</f>
        <v>0</v>
      </c>
      <c r="Y597" s="592">
        <f>IF(Y$3&gt;A10taxremlife,A10taxvalue-SUM($F597:X597),IF(A10taxremlife="N/A","n/a",A10taxvalue/A10taxremlife))</f>
        <v>0</v>
      </c>
      <c r="Z597" s="592">
        <f>IF(Z$3&gt;A10taxremlife,A10taxvalue-SUM($F597:Y597),IF(A10taxremlife="N/A","n/a",A10taxvalue/A10taxremlife))</f>
        <v>0</v>
      </c>
      <c r="AA597" s="592">
        <f>IF(AA$3&gt;A10taxremlife,A10taxvalue-SUM($F597:Z597),IF(A10taxremlife="N/A","n/a",A10taxvalue/A10taxremlife))</f>
        <v>0</v>
      </c>
      <c r="AB597" s="592">
        <f>IF(AB$3&gt;A10taxremlife,A10taxvalue-SUM($F597:AA597),IF(A10taxremlife="N/A","n/a",A10taxvalue/A10taxremlife))</f>
        <v>0</v>
      </c>
      <c r="AC597" s="592">
        <f>IF(AC$3&gt;A10taxremlife,A10taxvalue-SUM($F597:AB597),IF(A10taxremlife="N/A","n/a",A10taxvalue/A10taxremlife))</f>
        <v>0</v>
      </c>
      <c r="AD597" s="592">
        <f>IF(AD$3&gt;A10taxremlife,A10taxvalue-SUM($F597:AC597),IF(A10taxremlife="N/A","n/a",A10taxvalue/A10taxremlife))</f>
        <v>0</v>
      </c>
      <c r="AE597" s="592">
        <f>IF(AE$3&gt;A10taxremlife,A10taxvalue-SUM($F597:AD597),IF(A10taxremlife="N/A","n/a",A10taxvalue/A10taxremlife))</f>
        <v>0</v>
      </c>
      <c r="AF597" s="592">
        <f>IF(AF$3&gt;A10taxremlife,A10taxvalue-SUM($F597:AE597),IF(A10taxremlife="N/A","n/a",A10taxvalue/A10taxremlife))</f>
        <v>0</v>
      </c>
      <c r="AG597" s="592">
        <f>IF(AG$3&gt;A10taxremlife,A10taxvalue-SUM($F597:AF597),IF(A10taxremlife="N/A","n/a",A10taxvalue/A10taxremlife))</f>
        <v>0</v>
      </c>
      <c r="AH597" s="592">
        <f>IF(AH$3&gt;A10taxremlife,A10taxvalue-SUM($F597:AG597),IF(A10taxremlife="N/A","n/a",A10taxvalue/A10taxremlife))</f>
        <v>0</v>
      </c>
      <c r="AI597" s="592">
        <f>IF(AI$3&gt;A10taxremlife,A10taxvalue-SUM($F597:AH597),IF(A10taxremlife="N/A","n/a",A10taxvalue/A10taxremlife))</f>
        <v>0</v>
      </c>
      <c r="AJ597" s="592">
        <f>IF(AJ$3&gt;A10taxremlife,A10taxvalue-SUM($F597:AI597),IF(A10taxremlife="N/A","n/a",A10taxvalue/A10taxremlife))</f>
        <v>0</v>
      </c>
      <c r="AK597" s="592">
        <f>IF(AK$3&gt;A10taxremlife,A10taxvalue-SUM($F597:AJ597),IF(A10taxremlife="N/A","n/a",A10taxvalue/A10taxremlife))</f>
        <v>0</v>
      </c>
      <c r="AL597" s="592">
        <f>IF(AL$3&gt;A10taxremlife,A10taxvalue-SUM($F597:AK597),IF(A10taxremlife="N/A","n/a",A10taxvalue/A10taxremlife))</f>
        <v>0</v>
      </c>
      <c r="AM597" s="592">
        <f>IF(AM$3&gt;A10taxremlife,A10taxvalue-SUM($F597:AL597),IF(A10taxremlife="N/A","n/a",A10taxvalue/A10taxremlife))</f>
        <v>0</v>
      </c>
      <c r="AN597" s="592">
        <f>IF(AN$3&gt;A10taxremlife,A10taxvalue-SUM($F597:AM597),IF(A10taxremlife="N/A","n/a",A10taxvalue/A10taxremlife))</f>
        <v>0</v>
      </c>
      <c r="AO597" s="592">
        <f>IF(AO$3&gt;A10taxremlife,A10taxvalue-SUM($F597:AN597),IF(A10taxremlife="N/A","n/a",A10taxvalue/A10taxremlife))</f>
        <v>0</v>
      </c>
      <c r="AP597" s="592">
        <f>IF(AP$3&gt;A10taxremlife,A10taxvalue-SUM($F597:AO597),IF(A10taxremlife="N/A","n/a",A10taxvalue/A10taxremlife))</f>
        <v>0</v>
      </c>
      <c r="AQ597" s="592">
        <f>IF(AQ$3&gt;A10taxremlife,A10taxvalue-SUM($F597:AP597),IF(A10taxremlife="N/A","n/a",A10taxvalue/A10taxremlife))</f>
        <v>0</v>
      </c>
      <c r="AR597" s="592">
        <f>IF(AR$3&gt;A10taxremlife,A10taxvalue-SUM($F597:AQ597),IF(A10taxremlife="N/A","n/a",A10taxvalue/A10taxremlife))</f>
        <v>0</v>
      </c>
      <c r="AS597" s="592">
        <f>IF(AS$3&gt;A10taxremlife,A10taxvalue-SUM($F597:AR597),IF(A10taxremlife="N/A","n/a",A10taxvalue/A10taxremlife))</f>
        <v>0</v>
      </c>
      <c r="AT597" s="592">
        <f>IF(AT$3&gt;A10taxremlife,A10taxvalue-SUM($F597:AS597),IF(A10taxremlife="N/A","n/a",A10taxvalue/A10taxremlife))</f>
        <v>0</v>
      </c>
      <c r="AU597" s="592">
        <f>IF(AU$3&gt;A10taxremlife,A10taxvalue-SUM($F597:AT597),IF(A10taxremlife="N/A","n/a",A10taxvalue/A10taxremlife))</f>
        <v>0</v>
      </c>
      <c r="AV597" s="592">
        <f>IF(AV$3&gt;A10taxremlife,A10taxvalue-SUM($F597:AU597),IF(A10taxremlife="N/A","n/a",A10taxvalue/A10taxremlife))</f>
        <v>0</v>
      </c>
      <c r="AW597" s="592">
        <f>IF(AW$3&gt;A10taxremlife,A10taxvalue-SUM($F597:AV597),IF(A10taxremlife="N/A","n/a",A10taxvalue/A10taxremlife))</f>
        <v>0</v>
      </c>
      <c r="AX597" s="592">
        <f>IF(AX$3&gt;A10taxremlife,A10taxvalue-SUM($F597:AW597),IF(A10taxremlife="N/A","n/a",A10taxvalue/A10taxremlife))</f>
        <v>0</v>
      </c>
      <c r="AY597" s="592">
        <f>IF(AY$3&gt;A10taxremlife,A10taxvalue-SUM($F597:AX597),IF(A10taxremlife="N/A","n/a",A10taxvalue/A10taxremlife))</f>
        <v>0</v>
      </c>
      <c r="AZ597" s="592">
        <f>IF(AZ$3&gt;A10taxremlife,A10taxvalue-SUM($F597:AY597),IF(A10taxremlife="N/A","n/a",A10taxvalue/A10taxremlife))</f>
        <v>0</v>
      </c>
      <c r="BA597" s="592">
        <f>IF(BA$3&gt;A10taxremlife,A10taxvalue-SUM($F597:AZ597),IF(A10taxremlife="N/A","n/a",A10taxvalue/A10taxremlife))</f>
        <v>0</v>
      </c>
      <c r="BB597" s="592">
        <f>IF(BB$3&gt;A10taxremlife,A10taxvalue-SUM($F597:BA597),IF(A10taxremlife="N/A","n/a",A10taxvalue/A10taxremlife))</f>
        <v>0</v>
      </c>
      <c r="BC597" s="592">
        <f>IF(BC$3&gt;A10taxremlife,A10taxvalue-SUM($F597:BB597),IF(A10taxremlife="N/A","n/a",A10taxvalue/A10taxremlife))</f>
        <v>0</v>
      </c>
      <c r="BD597" s="592">
        <f>IF(BD$3&gt;A10taxremlife,A10taxvalue-SUM($F597:BC597),IF(A10taxremlife="N/A","n/a",A10taxvalue/A10taxremlife))</f>
        <v>0</v>
      </c>
      <c r="BE597" s="592">
        <f>IF(BE$3&gt;A10taxremlife,A10taxvalue-SUM($F597:BD597),IF(A10taxremlife="N/A","n/a",A10taxvalue/A10taxremlife))</f>
        <v>0</v>
      </c>
      <c r="BF597" s="592">
        <f>IF(BF$3&gt;A10taxremlife,A10taxvalue-SUM($F597:BE597),IF(A10taxremlife="N/A","n/a",A10taxvalue/A10taxremlife))</f>
        <v>0</v>
      </c>
      <c r="BG597" s="592">
        <f>IF(BG$3&gt;A10taxremlife,A10taxvalue-SUM($F597:BF597),IF(A10taxremlife="N/A","n/a",A10taxvalue/A10taxremlife))</f>
        <v>0</v>
      </c>
      <c r="BH597" s="592">
        <f>IF(BH$3&gt;A10taxremlife,A10taxvalue-SUM($F597:BG597),IF(A10taxremlife="N/A","n/a",A10taxvalue/A10taxremlife))</f>
        <v>0</v>
      </c>
      <c r="BI597" s="592">
        <f>IF(BI$3&gt;A10taxremlife,A10taxvalue-SUM($F597:BH597),IF(A10taxremlife="N/A","n/a",A10taxvalue/A10taxremlife))</f>
        <v>0</v>
      </c>
      <c r="BJ597" s="240"/>
      <c r="BK597" s="240"/>
      <c r="BL597" s="240"/>
      <c r="BM597" s="240"/>
    </row>
    <row r="598" spans="1:65" s="4" customFormat="1" ht="12.75" hidden="1" customHeight="1" outlineLevel="2">
      <c r="A598" s="240"/>
      <c r="B598" s="240"/>
      <c r="C598" s="595"/>
      <c r="D598" s="1618" t="s">
        <v>357</v>
      </c>
      <c r="E598" s="169">
        <v>0</v>
      </c>
      <c r="F598" s="35"/>
      <c r="G598" s="107"/>
      <c r="H598" s="107"/>
      <c r="I598" s="107"/>
      <c r="J598" s="107"/>
      <c r="K598" s="107"/>
      <c r="L598" s="107"/>
      <c r="M598" s="107"/>
      <c r="N598" s="107"/>
      <c r="O598" s="107"/>
      <c r="P598" s="107"/>
      <c r="Q598" s="590"/>
      <c r="R598" s="590"/>
      <c r="S598" s="590"/>
      <c r="T598" s="590"/>
      <c r="U598" s="590"/>
      <c r="V598" s="590"/>
      <c r="W598" s="590"/>
      <c r="X598" s="590"/>
      <c r="Y598" s="590"/>
      <c r="Z598" s="590"/>
      <c r="AA598" s="590"/>
      <c r="AB598" s="590"/>
      <c r="AC598" s="590"/>
      <c r="AD598" s="590"/>
      <c r="AE598" s="590"/>
      <c r="AF598" s="590"/>
      <c r="AG598" s="590"/>
      <c r="AH598" s="590"/>
      <c r="AI598" s="590"/>
      <c r="AJ598" s="590"/>
      <c r="AK598" s="590"/>
      <c r="AL598" s="590"/>
      <c r="AM598" s="590"/>
      <c r="AN598" s="590"/>
      <c r="AO598" s="590"/>
      <c r="AP598" s="590"/>
      <c r="AQ598" s="590"/>
      <c r="AR598" s="590"/>
      <c r="AS598" s="590"/>
      <c r="AT598" s="590"/>
      <c r="AU598" s="590"/>
      <c r="AV598" s="590"/>
      <c r="AW598" s="590"/>
      <c r="AX598" s="590"/>
      <c r="AY598" s="590"/>
      <c r="AZ598" s="590"/>
      <c r="BA598" s="590"/>
      <c r="BB598" s="590"/>
      <c r="BC598" s="590"/>
      <c r="BD598" s="590"/>
      <c r="BE598" s="590"/>
      <c r="BF598" s="590"/>
      <c r="BG598" s="590"/>
      <c r="BH598" s="590"/>
      <c r="BI598" s="590"/>
      <c r="BJ598" s="240"/>
      <c r="BK598" s="240"/>
      <c r="BL598" s="240"/>
      <c r="BM598" s="240"/>
    </row>
    <row r="599" spans="1:65" s="4" customFormat="1" hidden="1" outlineLevel="2">
      <c r="A599" s="240"/>
      <c r="B599" s="240"/>
      <c r="C599" s="595"/>
      <c r="D599" s="1618"/>
      <c r="E599" s="169">
        <v>1</v>
      </c>
      <c r="F599" s="35"/>
      <c r="G599" s="183"/>
      <c r="H599" s="107">
        <f>IF(A10taxstdlife="n/a","n/a",IF(H$3&gt;(A10taxstdlife+$E599),(('PTRM input'!$G$152+'PTRM input'!$G$118)*$G$7)-SUM($G599:G599),(('PTRM input'!$G$152+'PTRM input'!$G$118)*$G$7)/A10taxstdlife))</f>
        <v>0</v>
      </c>
      <c r="I599" s="107">
        <f>IF(A10taxstdlife="n/a","n/a",IF(I$3&gt;(A10taxstdlife+$E599),(('PTRM input'!$G$152+'PTRM input'!$G$118)*$G$7)-SUM($G599:H599),(('PTRM input'!$G$152+'PTRM input'!$G$118)*$G$7)/A10taxstdlife))</f>
        <v>0</v>
      </c>
      <c r="J599" s="107">
        <f>IF(A10taxstdlife="n/a","n/a",IF(J$3&gt;(A10taxstdlife+$E599),(('PTRM input'!$G$152+'PTRM input'!$G$118)*$G$7)-SUM($G599:I599),(('PTRM input'!$G$152+'PTRM input'!$G$118)*$G$7)/A10taxstdlife))</f>
        <v>0</v>
      </c>
      <c r="K599" s="107">
        <f>IF(A10taxstdlife="n/a","n/a",IF(K$3&gt;(A10taxstdlife+$E599),(('PTRM input'!$G$152+'PTRM input'!$G$118)*$G$7)-SUM($G599:J599),(('PTRM input'!$G$152+'PTRM input'!$G$118)*$G$7)/A10taxstdlife))</f>
        <v>0</v>
      </c>
      <c r="L599" s="107">
        <f>IF(A10taxstdlife="n/a","n/a",IF(L$3&gt;(A10taxstdlife+$E599),(('PTRM input'!$G$152+'PTRM input'!$G$118)*$G$7)-SUM($G599:K599),(('PTRM input'!$G$152+'PTRM input'!$G$118)*$G$7)/A10taxstdlife))</f>
        <v>0</v>
      </c>
      <c r="M599" s="107">
        <f>IF(A10taxstdlife="n/a","n/a",IF(M$3&gt;(A10taxstdlife+$E599),(('PTRM input'!$G$152+'PTRM input'!$G$118)*$G$7)-SUM($G599:L599),(('PTRM input'!$G$152+'PTRM input'!$G$118)*$G$7)/A10taxstdlife))</f>
        <v>0</v>
      </c>
      <c r="N599" s="107">
        <f>IF(A10taxstdlife="n/a","n/a",IF(N$3&gt;(A10taxstdlife+$E599),(('PTRM input'!$G$152+'PTRM input'!$G$118)*$G$7)-SUM($G599:M599),(('PTRM input'!$G$152+'PTRM input'!$G$118)*$G$7)/A10taxstdlife))</f>
        <v>0</v>
      </c>
      <c r="O599" s="107">
        <f>IF(A10taxstdlife="n/a","n/a",IF(O$3&gt;(A10taxstdlife+$E599),(('PTRM input'!$G$152+'PTRM input'!$G$118)*$G$7)-SUM($G599:N599),(('PTRM input'!$G$152+'PTRM input'!$G$118)*$G$7)/A10taxstdlife))</f>
        <v>0</v>
      </c>
      <c r="P599" s="107">
        <f>IF(A10taxstdlife="n/a","n/a",IF(P$3&gt;(A10taxstdlife+$E599),(('PTRM input'!$G$152+'PTRM input'!$G$118)*$G$7)-SUM($G599:O599),(('PTRM input'!$G$152+'PTRM input'!$G$118)*$G$7)/A10taxstdlife))</f>
        <v>0</v>
      </c>
      <c r="Q599" s="590">
        <f>IF(A10taxstdlife="n/a","n/a",IF(Q$3&gt;(A10taxstdlife+$E599),(('PTRM input'!$G$152+'PTRM input'!$G$118)*$G$7)-SUM($G599:P599),(('PTRM input'!$G$152+'PTRM input'!$G$118)*$G$7)/A10taxstdlife))</f>
        <v>0</v>
      </c>
      <c r="R599" s="590">
        <f>IF(A10taxstdlife="n/a","n/a",IF(R$3&gt;(A10taxstdlife+$E599),(('PTRM input'!$G$152+'PTRM input'!$G$118)*$G$7)-SUM($G599:Q599),(('PTRM input'!$G$152+'PTRM input'!$G$118)*$G$7)/A10taxstdlife))</f>
        <v>0</v>
      </c>
      <c r="S599" s="590">
        <f>IF(A10taxstdlife="n/a","n/a",IF(S$3&gt;(A10taxstdlife+$E599),(('PTRM input'!$G$152+'PTRM input'!$G$118)*$G$7)-SUM($G599:R599),(('PTRM input'!$G$152+'PTRM input'!$G$118)*$G$7)/A10taxstdlife))</f>
        <v>0</v>
      </c>
      <c r="T599" s="590">
        <f>IF(A10taxstdlife="n/a","n/a",IF(T$3&gt;(A10taxstdlife+$E599),(('PTRM input'!$G$152+'PTRM input'!$G$118)*$G$7)-SUM($G599:S599),(('PTRM input'!$G$152+'PTRM input'!$G$118)*$G$7)/A10taxstdlife))</f>
        <v>0</v>
      </c>
      <c r="U599" s="590">
        <f>IF(A10taxstdlife="n/a","n/a",IF(U$3&gt;(A10taxstdlife+$E599),(('PTRM input'!$G$152+'PTRM input'!$G$118)*$G$7)-SUM($G599:T599),(('PTRM input'!$G$152+'PTRM input'!$G$118)*$G$7)/A10taxstdlife))</f>
        <v>0</v>
      </c>
      <c r="V599" s="590">
        <f>IF(A10taxstdlife="n/a","n/a",IF(V$3&gt;(A10taxstdlife+$E599),(('PTRM input'!$G$152+'PTRM input'!$G$118)*$G$7)-SUM($G599:U599),(('PTRM input'!$G$152+'PTRM input'!$G$118)*$G$7)/A10taxstdlife))</f>
        <v>0</v>
      </c>
      <c r="W599" s="590">
        <f>IF(A10taxstdlife="n/a","n/a",IF(W$3&gt;(A10taxstdlife+$E599),(('PTRM input'!$G$152+'PTRM input'!$G$118)*$G$7)-SUM($G599:V599),(('PTRM input'!$G$152+'PTRM input'!$G$118)*$G$7)/A10taxstdlife))</f>
        <v>0</v>
      </c>
      <c r="X599" s="590">
        <f>IF(A10taxstdlife="n/a","n/a",IF(X$3&gt;(A10taxstdlife+$E599),(('PTRM input'!$G$152+'PTRM input'!$G$118)*$G$7)-SUM($G599:W599),(('PTRM input'!$G$152+'PTRM input'!$G$118)*$G$7)/A10taxstdlife))</f>
        <v>0</v>
      </c>
      <c r="Y599" s="590">
        <f>IF(A10taxstdlife="n/a","n/a",IF(Y$3&gt;(A10taxstdlife+$E599),(('PTRM input'!$G$152+'PTRM input'!$G$118)*$G$7)-SUM($G599:X599),(('PTRM input'!$G$152+'PTRM input'!$G$118)*$G$7)/A10taxstdlife))</f>
        <v>0</v>
      </c>
      <c r="Z599" s="590">
        <f>IF(A10taxstdlife="n/a","n/a",IF(Z$3&gt;(A10taxstdlife+$E599),(('PTRM input'!$G$152+'PTRM input'!$G$118)*$G$7)-SUM($G599:Y599),(('PTRM input'!$G$152+'PTRM input'!$G$118)*$G$7)/A10taxstdlife))</f>
        <v>0</v>
      </c>
      <c r="AA599" s="590">
        <f>IF(A10taxstdlife="n/a","n/a",IF(AA$3&gt;(A10taxstdlife+$E599),(('PTRM input'!$G$152+'PTRM input'!$G$118)*$G$7)-SUM($G599:Z599),(('PTRM input'!$G$152+'PTRM input'!$G$118)*$G$7)/A10taxstdlife))</f>
        <v>0</v>
      </c>
      <c r="AB599" s="590">
        <f>IF(A10taxstdlife="n/a","n/a",IF(AB$3&gt;(A10taxstdlife+$E599),(('PTRM input'!$G$152+'PTRM input'!$G$118)*$G$7)-SUM($G599:AA599),(('PTRM input'!$G$152+'PTRM input'!$G$118)*$G$7)/A10taxstdlife))</f>
        <v>0</v>
      </c>
      <c r="AC599" s="590">
        <f>IF(A10taxstdlife="n/a","n/a",IF(AC$3&gt;(A10taxstdlife+$E599),(('PTRM input'!$G$152+'PTRM input'!$G$118)*$G$7)-SUM($G599:AB599),(('PTRM input'!$G$152+'PTRM input'!$G$118)*$G$7)/A10taxstdlife))</f>
        <v>0</v>
      </c>
      <c r="AD599" s="590">
        <f>IF(A10taxstdlife="n/a","n/a",IF(AD$3&gt;(A10taxstdlife+$E599),(('PTRM input'!$G$152+'PTRM input'!$G$118)*$G$7)-SUM($G599:AC599),(('PTRM input'!$G$152+'PTRM input'!$G$118)*$G$7)/A10taxstdlife))</f>
        <v>0</v>
      </c>
      <c r="AE599" s="590">
        <f>IF(A10taxstdlife="n/a","n/a",IF(AE$3&gt;(A10taxstdlife+$E599),(('PTRM input'!$G$152+'PTRM input'!$G$118)*$G$7)-SUM($G599:AD599),(('PTRM input'!$G$152+'PTRM input'!$G$118)*$G$7)/A10taxstdlife))</f>
        <v>0</v>
      </c>
      <c r="AF599" s="590">
        <f>IF(A10taxstdlife="n/a","n/a",IF(AF$3&gt;(A10taxstdlife+$E599),(('PTRM input'!$G$152+'PTRM input'!$G$118)*$G$7)-SUM($G599:AE599),(('PTRM input'!$G$152+'PTRM input'!$G$118)*$G$7)/A10taxstdlife))</f>
        <v>0</v>
      </c>
      <c r="AG599" s="590">
        <f>IF(A10taxstdlife="n/a","n/a",IF(AG$3&gt;(A10taxstdlife+$E599),(('PTRM input'!$G$152+'PTRM input'!$G$118)*$G$7)-SUM($G599:AF599),(('PTRM input'!$G$152+'PTRM input'!$G$118)*$G$7)/A10taxstdlife))</f>
        <v>0</v>
      </c>
      <c r="AH599" s="590">
        <f>IF(A10taxstdlife="n/a","n/a",IF(AH$3&gt;(A10taxstdlife+$E599),(('PTRM input'!$G$152+'PTRM input'!$G$118)*$G$7)-SUM($G599:AG599),(('PTRM input'!$G$152+'PTRM input'!$G$118)*$G$7)/A10taxstdlife))</f>
        <v>0</v>
      </c>
      <c r="AI599" s="590">
        <f>IF(A10taxstdlife="n/a","n/a",IF(AI$3&gt;(A10taxstdlife+$E599),(('PTRM input'!$G$152+'PTRM input'!$G$118)*$G$7)-SUM($G599:AH599),(('PTRM input'!$G$152+'PTRM input'!$G$118)*$G$7)/A10taxstdlife))</f>
        <v>0</v>
      </c>
      <c r="AJ599" s="590">
        <f>IF(A10taxstdlife="n/a","n/a",IF(AJ$3&gt;(A10taxstdlife+$E599),(('PTRM input'!$G$152+'PTRM input'!$G$118)*$G$7)-SUM($G599:AI599),(('PTRM input'!$G$152+'PTRM input'!$G$118)*$G$7)/A10taxstdlife))</f>
        <v>0</v>
      </c>
      <c r="AK599" s="590">
        <f>IF(A10taxstdlife="n/a","n/a",IF(AK$3&gt;(A10taxstdlife+$E599),(('PTRM input'!$G$152+'PTRM input'!$G$118)*$G$7)-SUM($G599:AJ599),(('PTRM input'!$G$152+'PTRM input'!$G$118)*$G$7)/A10taxstdlife))</f>
        <v>0</v>
      </c>
      <c r="AL599" s="590">
        <f>IF(A10taxstdlife="n/a","n/a",IF(AL$3&gt;(A10taxstdlife+$E599),(('PTRM input'!$G$152+'PTRM input'!$G$118)*$G$7)-SUM($G599:AK599),(('PTRM input'!$G$152+'PTRM input'!$G$118)*$G$7)/A10taxstdlife))</f>
        <v>0</v>
      </c>
      <c r="AM599" s="590">
        <f>IF(A10taxstdlife="n/a","n/a",IF(AM$3&gt;(A10taxstdlife+$E599),(('PTRM input'!$G$152+'PTRM input'!$G$118)*$G$7)-SUM($G599:AL599),(('PTRM input'!$G$152+'PTRM input'!$G$118)*$G$7)/A10taxstdlife))</f>
        <v>0</v>
      </c>
      <c r="AN599" s="590">
        <f>IF(A10taxstdlife="n/a","n/a",IF(AN$3&gt;(A10taxstdlife+$E599),(('PTRM input'!$G$152+'PTRM input'!$G$118)*$G$7)-SUM($G599:AM599),(('PTRM input'!$G$152+'PTRM input'!$G$118)*$G$7)/A10taxstdlife))</f>
        <v>0</v>
      </c>
      <c r="AO599" s="590">
        <f>IF(A10taxstdlife="n/a","n/a",IF(AO$3&gt;(A10taxstdlife+$E599),(('PTRM input'!$G$152+'PTRM input'!$G$118)*$G$7)-SUM($G599:AN599),(('PTRM input'!$G$152+'PTRM input'!$G$118)*$G$7)/A10taxstdlife))</f>
        <v>0</v>
      </c>
      <c r="AP599" s="590">
        <f>IF(A10taxstdlife="n/a","n/a",IF(AP$3&gt;(A10taxstdlife+$E599),(('PTRM input'!$G$152+'PTRM input'!$G$118)*$G$7)-SUM($G599:AO599),(('PTRM input'!$G$152+'PTRM input'!$G$118)*$G$7)/A10taxstdlife))</f>
        <v>0</v>
      </c>
      <c r="AQ599" s="590">
        <f>IF(A10taxstdlife="n/a","n/a",IF(AQ$3&gt;(A10taxstdlife+$E599),(('PTRM input'!$G$152+'PTRM input'!$G$118)*$G$7)-SUM($G599:AP599),(('PTRM input'!$G$152+'PTRM input'!$G$118)*$G$7)/A10taxstdlife))</f>
        <v>0</v>
      </c>
      <c r="AR599" s="590">
        <f>IF(A10taxstdlife="n/a","n/a",IF(AR$3&gt;(A10taxstdlife+$E599),(('PTRM input'!$G$152+'PTRM input'!$G$118)*$G$7)-SUM($G599:AQ599),(('PTRM input'!$G$152+'PTRM input'!$G$118)*$G$7)/A10taxstdlife))</f>
        <v>0</v>
      </c>
      <c r="AS599" s="590">
        <f>IF(A10taxstdlife="n/a","n/a",IF(AS$3&gt;(A10taxstdlife+$E599),(('PTRM input'!$G$152+'PTRM input'!$G$118)*$G$7)-SUM($G599:AR599),(('PTRM input'!$G$152+'PTRM input'!$G$118)*$G$7)/A10taxstdlife))</f>
        <v>0</v>
      </c>
      <c r="AT599" s="590">
        <f>IF(A10taxstdlife="n/a","n/a",IF(AT$3&gt;(A10taxstdlife+$E599),(('PTRM input'!$G$152+'PTRM input'!$G$118)*$G$7)-SUM($G599:AS599),(('PTRM input'!$G$152+'PTRM input'!$G$118)*$G$7)/A10taxstdlife))</f>
        <v>0</v>
      </c>
      <c r="AU599" s="590">
        <f>IF(A10taxstdlife="n/a","n/a",IF(AU$3&gt;(A10taxstdlife+$E599),(('PTRM input'!$G$152+'PTRM input'!$G$118)*$G$7)-SUM($G599:AT599),(('PTRM input'!$G$152+'PTRM input'!$G$118)*$G$7)/A10taxstdlife))</f>
        <v>0</v>
      </c>
      <c r="AV599" s="590">
        <f>IF(A10taxstdlife="n/a","n/a",IF(AV$3&gt;(A10taxstdlife+$E599),(('PTRM input'!$G$152+'PTRM input'!$G$118)*$G$7)-SUM($G599:AU599),(('PTRM input'!$G$152+'PTRM input'!$G$118)*$G$7)/A10taxstdlife))</f>
        <v>0</v>
      </c>
      <c r="AW599" s="590">
        <f>IF(A10taxstdlife="n/a","n/a",IF(AW$3&gt;(A10taxstdlife+$E599),(('PTRM input'!$G$152+'PTRM input'!$G$118)*$G$7)-SUM($G599:AV599),(('PTRM input'!$G$152+'PTRM input'!$G$118)*$G$7)/A10taxstdlife))</f>
        <v>0</v>
      </c>
      <c r="AX599" s="590">
        <f>IF(A10taxstdlife="n/a","n/a",IF(AX$3&gt;(A10taxstdlife+$E599),(('PTRM input'!$G$152+'PTRM input'!$G$118)*$G$7)-SUM($G599:AW599),(('PTRM input'!$G$152+'PTRM input'!$G$118)*$G$7)/A10taxstdlife))</f>
        <v>0</v>
      </c>
      <c r="AY599" s="590">
        <f>IF(A10taxstdlife="n/a","n/a",IF(AY$3&gt;(A10taxstdlife+$E599),(('PTRM input'!$G$152+'PTRM input'!$G$118)*$G$7)-SUM($G599:AX599),(('PTRM input'!$G$152+'PTRM input'!$G$118)*$G$7)/A10taxstdlife))</f>
        <v>0</v>
      </c>
      <c r="AZ599" s="590">
        <f>IF(A10taxstdlife="n/a","n/a",IF(AZ$3&gt;(A10taxstdlife+$E599),(('PTRM input'!$G$152+'PTRM input'!$G$118)*$G$7)-SUM($G599:AY599),(('PTRM input'!$G$152+'PTRM input'!$G$118)*$G$7)/A10taxstdlife))</f>
        <v>0</v>
      </c>
      <c r="BA599" s="590">
        <f>IF(A10taxstdlife="n/a","n/a",IF(BA$3&gt;(A10taxstdlife+$E599),(('PTRM input'!$G$152+'PTRM input'!$G$118)*$G$7)-SUM($G599:AZ599),(('PTRM input'!$G$152+'PTRM input'!$G$118)*$G$7)/A10taxstdlife))</f>
        <v>0</v>
      </c>
      <c r="BB599" s="590">
        <f>IF(A10taxstdlife="n/a","n/a",IF(BB$3&gt;(A10taxstdlife+$E599),(('PTRM input'!$G$152+'PTRM input'!$G$118)*$G$7)-SUM($G599:BA599),(('PTRM input'!$G$152+'PTRM input'!$G$118)*$G$7)/A10taxstdlife))</f>
        <v>0</v>
      </c>
      <c r="BC599" s="590">
        <f>IF(A10taxstdlife="n/a","n/a",IF(BC$3&gt;(A10taxstdlife+$E599),(('PTRM input'!$G$152+'PTRM input'!$G$118)*$G$7)-SUM($G599:BB599),(('PTRM input'!$G$152+'PTRM input'!$G$118)*$G$7)/A10taxstdlife))</f>
        <v>0</v>
      </c>
      <c r="BD599" s="590">
        <f>IF(A10taxstdlife="n/a","n/a",IF(BD$3&gt;(A10taxstdlife+$E599),(('PTRM input'!$G$152+'PTRM input'!$G$118)*$G$7)-SUM($G599:BC599),(('PTRM input'!$G$152+'PTRM input'!$G$118)*$G$7)/A10taxstdlife))</f>
        <v>0</v>
      </c>
      <c r="BE599" s="590">
        <f>IF(A10taxstdlife="n/a","n/a",IF(BE$3&gt;(A10taxstdlife+$E599),(('PTRM input'!$G$152+'PTRM input'!$G$118)*$G$7)-SUM($G599:BD599),(('PTRM input'!$G$152+'PTRM input'!$G$118)*$G$7)/A10taxstdlife))</f>
        <v>0</v>
      </c>
      <c r="BF599" s="590">
        <f>IF(A10taxstdlife="n/a","n/a",IF(BF$3&gt;(A10taxstdlife+$E599),(('PTRM input'!$G$152+'PTRM input'!$G$118)*$G$7)-SUM($G599:BE599),(('PTRM input'!$G$152+'PTRM input'!$G$118)*$G$7)/A10taxstdlife))</f>
        <v>0</v>
      </c>
      <c r="BG599" s="590">
        <f>IF(A10taxstdlife="n/a","n/a",IF(BG$3&gt;(A10taxstdlife+$E599),(('PTRM input'!$G$152+'PTRM input'!$G$118)*$G$7)-SUM($G599:BF599),(('PTRM input'!$G$152+'PTRM input'!$G$118)*$G$7)/A10taxstdlife))</f>
        <v>0</v>
      </c>
      <c r="BH599" s="590">
        <f>IF(A10taxstdlife="n/a","n/a",IF(BH$3&gt;(A10taxstdlife+$E599),(('PTRM input'!$G$152+'PTRM input'!$G$118)*$G$7)-SUM($G599:BG599),(('PTRM input'!$G$152+'PTRM input'!$G$118)*$G$7)/A10taxstdlife))</f>
        <v>0</v>
      </c>
      <c r="BI599" s="590">
        <f>IF(A10taxstdlife="n/a","n/a",IF(BI$3&gt;(A10taxstdlife+$E599),(('PTRM input'!$G$152+'PTRM input'!$G$118)*$G$7)-SUM($G599:BH599),(('PTRM input'!$G$152+'PTRM input'!$G$118)*$G$7)/A10taxstdlife))</f>
        <v>0</v>
      </c>
      <c r="BJ599" s="240"/>
      <c r="BK599" s="240"/>
      <c r="BL599" s="240"/>
      <c r="BM599" s="240"/>
    </row>
    <row r="600" spans="1:65" s="4" customFormat="1" hidden="1" outlineLevel="2">
      <c r="A600" s="240"/>
      <c r="B600" s="240"/>
      <c r="C600" s="595"/>
      <c r="D600" s="1618"/>
      <c r="E600" s="169">
        <v>2</v>
      </c>
      <c r="F600" s="35"/>
      <c r="G600" s="184"/>
      <c r="H600" s="185"/>
      <c r="I600" s="107">
        <f>IF(A10taxstdlife="n/a","n/a",IF(I$3&gt;(A10taxstdlife+$E600),(('PTRM input'!$H$152+'PTRM input'!$H$118)*$H$7)-SUM($H600:H600),(('PTRM input'!$H$152+'PTRM input'!$H$118)*$H$7)/A10taxstdlife))</f>
        <v>0</v>
      </c>
      <c r="J600" s="107">
        <f>IF(A10taxstdlife="n/a","n/a",IF(J$3&gt;(A10taxstdlife+$E600),(('PTRM input'!$H$152+'PTRM input'!$H$118)*$H$7)-SUM($H600:I600),(('PTRM input'!$H$152+'PTRM input'!$H$118)*$H$7)/A10taxstdlife))</f>
        <v>0</v>
      </c>
      <c r="K600" s="107">
        <f>IF(A10taxstdlife="n/a","n/a",IF(K$3&gt;(A10taxstdlife+$E600),(('PTRM input'!$H$152+'PTRM input'!$H$118)*$H$7)-SUM($H600:J600),(('PTRM input'!$H$152+'PTRM input'!$H$118)*$H$7)/A10taxstdlife))</f>
        <v>0</v>
      </c>
      <c r="L600" s="107">
        <f>IF(A10taxstdlife="n/a","n/a",IF(L$3&gt;(A10taxstdlife+$E600),(('PTRM input'!$H$152+'PTRM input'!$H$118)*$H$7)-SUM($H600:K600),(('PTRM input'!$H$152+'PTRM input'!$H$118)*$H$7)/A10taxstdlife))</f>
        <v>0</v>
      </c>
      <c r="M600" s="107">
        <f>IF(A10taxstdlife="n/a","n/a",IF(M$3&gt;(A10taxstdlife+$E600),(('PTRM input'!$H$152+'PTRM input'!$H$118)*$H$7)-SUM($H600:L600),(('PTRM input'!$H$152+'PTRM input'!$H$118)*$H$7)/A10taxstdlife))</f>
        <v>0</v>
      </c>
      <c r="N600" s="107">
        <f>IF(A10taxstdlife="n/a","n/a",IF(N$3&gt;(A10taxstdlife+$E600),(('PTRM input'!$H$152+'PTRM input'!$H$118)*$H$7)-SUM($H600:M600),(('PTRM input'!$H$152+'PTRM input'!$H$118)*$H$7)/A10taxstdlife))</f>
        <v>0</v>
      </c>
      <c r="O600" s="107">
        <f>IF(A10taxstdlife="n/a","n/a",IF(O$3&gt;(A10taxstdlife+$E600),(('PTRM input'!$H$152+'PTRM input'!$H$118)*$H$7)-SUM($H600:N600),(('PTRM input'!$H$152+'PTRM input'!$H$118)*$H$7)/A10taxstdlife))</f>
        <v>0</v>
      </c>
      <c r="P600" s="107">
        <f>IF(A10taxstdlife="n/a","n/a",IF(P$3&gt;(A10taxstdlife+$E600),(('PTRM input'!$H$152+'PTRM input'!$H$118)*$H$7)-SUM($H600:O600),(('PTRM input'!$H$152+'PTRM input'!$H$118)*$H$7)/A10taxstdlife))</f>
        <v>0</v>
      </c>
      <c r="Q600" s="590">
        <f>IF(A10taxstdlife="n/a","n/a",IF(Q$3&gt;(A10taxstdlife+$E600),(('PTRM input'!$H$152+'PTRM input'!$H$118)*$H$7)-SUM($H600:P600),(('PTRM input'!$H$152+'PTRM input'!$H$118)*$H$7)/A10taxstdlife))</f>
        <v>0</v>
      </c>
      <c r="R600" s="590">
        <f>IF(A10taxstdlife="n/a","n/a",IF(R$3&gt;(A10taxstdlife+$E600),(('PTRM input'!$H$152+'PTRM input'!$H$118)*$H$7)-SUM($H600:Q600),(('PTRM input'!$H$152+'PTRM input'!$H$118)*$H$7)/A10taxstdlife))</f>
        <v>0</v>
      </c>
      <c r="S600" s="590">
        <f>IF(A10taxstdlife="n/a","n/a",IF(S$3&gt;(A10taxstdlife+$E600),(('PTRM input'!$H$152+'PTRM input'!$H$118)*$H$7)-SUM($H600:R600),(('PTRM input'!$H$152+'PTRM input'!$H$118)*$H$7)/A10taxstdlife))</f>
        <v>0</v>
      </c>
      <c r="T600" s="590">
        <f>IF(A10taxstdlife="n/a","n/a",IF(T$3&gt;(A10taxstdlife+$E600),(('PTRM input'!$H$152+'PTRM input'!$H$118)*$H$7)-SUM($H600:S600),(('PTRM input'!$H$152+'PTRM input'!$H$118)*$H$7)/A10taxstdlife))</f>
        <v>0</v>
      </c>
      <c r="U600" s="590">
        <f>IF(A10taxstdlife="n/a","n/a",IF(U$3&gt;(A10taxstdlife+$E600),(('PTRM input'!$H$152+'PTRM input'!$H$118)*$H$7)-SUM($H600:T600),(('PTRM input'!$H$152+'PTRM input'!$H$118)*$H$7)/A10taxstdlife))</f>
        <v>0</v>
      </c>
      <c r="V600" s="590">
        <f>IF(A10taxstdlife="n/a","n/a",IF(V$3&gt;(A10taxstdlife+$E600),(('PTRM input'!$H$152+'PTRM input'!$H$118)*$H$7)-SUM($H600:U600),(('PTRM input'!$H$152+'PTRM input'!$H$118)*$H$7)/A10taxstdlife))</f>
        <v>0</v>
      </c>
      <c r="W600" s="590">
        <f>IF(A10taxstdlife="n/a","n/a",IF(W$3&gt;(A10taxstdlife+$E600),(('PTRM input'!$H$152+'PTRM input'!$H$118)*$H$7)-SUM($H600:V600),(('PTRM input'!$H$152+'PTRM input'!$H$118)*$H$7)/A10taxstdlife))</f>
        <v>0</v>
      </c>
      <c r="X600" s="590">
        <f>IF(A10taxstdlife="n/a","n/a",IF(X$3&gt;(A10taxstdlife+$E600),(('PTRM input'!$H$152+'PTRM input'!$H$118)*$H$7)-SUM($H600:W600),(('PTRM input'!$H$152+'PTRM input'!$H$118)*$H$7)/A10taxstdlife))</f>
        <v>0</v>
      </c>
      <c r="Y600" s="590">
        <f>IF(A10taxstdlife="n/a","n/a",IF(Y$3&gt;(A10taxstdlife+$E600),(('PTRM input'!$H$152+'PTRM input'!$H$118)*$H$7)-SUM($H600:X600),(('PTRM input'!$H$152+'PTRM input'!$H$118)*$H$7)/A10taxstdlife))</f>
        <v>0</v>
      </c>
      <c r="Z600" s="590">
        <f>IF(A10taxstdlife="n/a","n/a",IF(Z$3&gt;(A10taxstdlife+$E600),(('PTRM input'!$H$152+'PTRM input'!$H$118)*$H$7)-SUM($H600:Y600),(('PTRM input'!$H$152+'PTRM input'!$H$118)*$H$7)/A10taxstdlife))</f>
        <v>0</v>
      </c>
      <c r="AA600" s="590">
        <f>IF(A10taxstdlife="n/a","n/a",IF(AA$3&gt;(A10taxstdlife+$E600),(('PTRM input'!$H$152+'PTRM input'!$H$118)*$H$7)-SUM($H600:Z600),(('PTRM input'!$H$152+'PTRM input'!$H$118)*$H$7)/A10taxstdlife))</f>
        <v>0</v>
      </c>
      <c r="AB600" s="590">
        <f>IF(A10taxstdlife="n/a","n/a",IF(AB$3&gt;(A10taxstdlife+$E600),(('PTRM input'!$H$152+'PTRM input'!$H$118)*$H$7)-SUM($H600:AA600),(('PTRM input'!$H$152+'PTRM input'!$H$118)*$H$7)/A10taxstdlife))</f>
        <v>0</v>
      </c>
      <c r="AC600" s="590">
        <f>IF(A10taxstdlife="n/a","n/a",IF(AC$3&gt;(A10taxstdlife+$E600),(('PTRM input'!$H$152+'PTRM input'!$H$118)*$H$7)-SUM($H600:AB600),(('PTRM input'!$H$152+'PTRM input'!$H$118)*$H$7)/A10taxstdlife))</f>
        <v>0</v>
      </c>
      <c r="AD600" s="590">
        <f>IF(A10taxstdlife="n/a","n/a",IF(AD$3&gt;(A10taxstdlife+$E600),(('PTRM input'!$H$152+'PTRM input'!$H$118)*$H$7)-SUM($H600:AC600),(('PTRM input'!$H$152+'PTRM input'!$H$118)*$H$7)/A10taxstdlife))</f>
        <v>0</v>
      </c>
      <c r="AE600" s="590">
        <f>IF(A10taxstdlife="n/a","n/a",IF(AE$3&gt;(A10taxstdlife+$E600),(('PTRM input'!$H$152+'PTRM input'!$H$118)*$H$7)-SUM($H600:AD600),(('PTRM input'!$H$152+'PTRM input'!$H$118)*$H$7)/A10taxstdlife))</f>
        <v>0</v>
      </c>
      <c r="AF600" s="590">
        <f>IF(A10taxstdlife="n/a","n/a",IF(AF$3&gt;(A10taxstdlife+$E600),(('PTRM input'!$H$152+'PTRM input'!$H$118)*$H$7)-SUM($H600:AE600),(('PTRM input'!$H$152+'PTRM input'!$H$118)*$H$7)/A10taxstdlife))</f>
        <v>0</v>
      </c>
      <c r="AG600" s="590">
        <f>IF(A10taxstdlife="n/a","n/a",IF(AG$3&gt;(A10taxstdlife+$E600),(('PTRM input'!$H$152+'PTRM input'!$H$118)*$H$7)-SUM($H600:AF600),(('PTRM input'!$H$152+'PTRM input'!$H$118)*$H$7)/A10taxstdlife))</f>
        <v>0</v>
      </c>
      <c r="AH600" s="590">
        <f>IF(A10taxstdlife="n/a","n/a",IF(AH$3&gt;(A10taxstdlife+$E600),(('PTRM input'!$H$152+'PTRM input'!$H$118)*$H$7)-SUM($H600:AG600),(('PTRM input'!$H$152+'PTRM input'!$H$118)*$H$7)/A10taxstdlife))</f>
        <v>0</v>
      </c>
      <c r="AI600" s="590">
        <f>IF(A10taxstdlife="n/a","n/a",IF(AI$3&gt;(A10taxstdlife+$E600),(('PTRM input'!$H$152+'PTRM input'!$H$118)*$H$7)-SUM($H600:AH600),(('PTRM input'!$H$152+'PTRM input'!$H$118)*$H$7)/A10taxstdlife))</f>
        <v>0</v>
      </c>
      <c r="AJ600" s="590">
        <f>IF(A10taxstdlife="n/a","n/a",IF(AJ$3&gt;(A10taxstdlife+$E600),(('PTRM input'!$H$152+'PTRM input'!$H$118)*$H$7)-SUM($H600:AI600),(('PTRM input'!$H$152+'PTRM input'!$H$118)*$H$7)/A10taxstdlife))</f>
        <v>0</v>
      </c>
      <c r="AK600" s="590">
        <f>IF(A10taxstdlife="n/a","n/a",IF(AK$3&gt;(A10taxstdlife+$E600),(('PTRM input'!$H$152+'PTRM input'!$H$118)*$H$7)-SUM($H600:AJ600),(('PTRM input'!$H$152+'PTRM input'!$H$118)*$H$7)/A10taxstdlife))</f>
        <v>0</v>
      </c>
      <c r="AL600" s="590">
        <f>IF(A10taxstdlife="n/a","n/a",IF(AL$3&gt;(A10taxstdlife+$E600),(('PTRM input'!$H$152+'PTRM input'!$H$118)*$H$7)-SUM($H600:AK600),(('PTRM input'!$H$152+'PTRM input'!$H$118)*$H$7)/A10taxstdlife))</f>
        <v>0</v>
      </c>
      <c r="AM600" s="590">
        <f>IF(A10taxstdlife="n/a","n/a",IF(AM$3&gt;(A10taxstdlife+$E600),(('PTRM input'!$H$152+'PTRM input'!$H$118)*$H$7)-SUM($H600:AL600),(('PTRM input'!$H$152+'PTRM input'!$H$118)*$H$7)/A10taxstdlife))</f>
        <v>0</v>
      </c>
      <c r="AN600" s="590">
        <f>IF(A10taxstdlife="n/a","n/a",IF(AN$3&gt;(A10taxstdlife+$E600),(('PTRM input'!$H$152+'PTRM input'!$H$118)*$H$7)-SUM($H600:AM600),(('PTRM input'!$H$152+'PTRM input'!$H$118)*$H$7)/A10taxstdlife))</f>
        <v>0</v>
      </c>
      <c r="AO600" s="590">
        <f>IF(A10taxstdlife="n/a","n/a",IF(AO$3&gt;(A10taxstdlife+$E600),(('PTRM input'!$H$152+'PTRM input'!$H$118)*$H$7)-SUM($H600:AN600),(('PTRM input'!$H$152+'PTRM input'!$H$118)*$H$7)/A10taxstdlife))</f>
        <v>0</v>
      </c>
      <c r="AP600" s="590">
        <f>IF(A10taxstdlife="n/a","n/a",IF(AP$3&gt;(A10taxstdlife+$E600),(('PTRM input'!$H$152+'PTRM input'!$H$118)*$H$7)-SUM($H600:AO600),(('PTRM input'!$H$152+'PTRM input'!$H$118)*$H$7)/A10taxstdlife))</f>
        <v>0</v>
      </c>
      <c r="AQ600" s="590">
        <f>IF(A10taxstdlife="n/a","n/a",IF(AQ$3&gt;(A10taxstdlife+$E600),(('PTRM input'!$H$152+'PTRM input'!$H$118)*$H$7)-SUM($H600:AP600),(('PTRM input'!$H$152+'PTRM input'!$H$118)*$H$7)/A10taxstdlife))</f>
        <v>0</v>
      </c>
      <c r="AR600" s="590">
        <f>IF(A10taxstdlife="n/a","n/a",IF(AR$3&gt;(A10taxstdlife+$E600),(('PTRM input'!$H$152+'PTRM input'!$H$118)*$H$7)-SUM($H600:AQ600),(('PTRM input'!$H$152+'PTRM input'!$H$118)*$H$7)/A10taxstdlife))</f>
        <v>0</v>
      </c>
      <c r="AS600" s="590">
        <f>IF(A10taxstdlife="n/a","n/a",IF(AS$3&gt;(A10taxstdlife+$E600),(('PTRM input'!$H$152+'PTRM input'!$H$118)*$H$7)-SUM($H600:AR600),(('PTRM input'!$H$152+'PTRM input'!$H$118)*$H$7)/A10taxstdlife))</f>
        <v>0</v>
      </c>
      <c r="AT600" s="590">
        <f>IF(A10taxstdlife="n/a","n/a",IF(AT$3&gt;(A10taxstdlife+$E600),(('PTRM input'!$H$152+'PTRM input'!$H$118)*$H$7)-SUM($H600:AS600),(('PTRM input'!$H$152+'PTRM input'!$H$118)*$H$7)/A10taxstdlife))</f>
        <v>0</v>
      </c>
      <c r="AU600" s="590">
        <f>IF(A10taxstdlife="n/a","n/a",IF(AU$3&gt;(A10taxstdlife+$E600),(('PTRM input'!$H$152+'PTRM input'!$H$118)*$H$7)-SUM($H600:AT600),(('PTRM input'!$H$152+'PTRM input'!$H$118)*$H$7)/A10taxstdlife))</f>
        <v>0</v>
      </c>
      <c r="AV600" s="590">
        <f>IF(A10taxstdlife="n/a","n/a",IF(AV$3&gt;(A10taxstdlife+$E600),(('PTRM input'!$H$152+'PTRM input'!$H$118)*$H$7)-SUM($H600:AU600),(('PTRM input'!$H$152+'PTRM input'!$H$118)*$H$7)/A10taxstdlife))</f>
        <v>0</v>
      </c>
      <c r="AW600" s="590">
        <f>IF(A10taxstdlife="n/a","n/a",IF(AW$3&gt;(A10taxstdlife+$E600),(('PTRM input'!$H$152+'PTRM input'!$H$118)*$H$7)-SUM($H600:AV600),(('PTRM input'!$H$152+'PTRM input'!$H$118)*$H$7)/A10taxstdlife))</f>
        <v>0</v>
      </c>
      <c r="AX600" s="590">
        <f>IF(A10taxstdlife="n/a","n/a",IF(AX$3&gt;(A10taxstdlife+$E600),(('PTRM input'!$H$152+'PTRM input'!$H$118)*$H$7)-SUM($H600:AW600),(('PTRM input'!$H$152+'PTRM input'!$H$118)*$H$7)/A10taxstdlife))</f>
        <v>0</v>
      </c>
      <c r="AY600" s="590">
        <f>IF(A10taxstdlife="n/a","n/a",IF(AY$3&gt;(A10taxstdlife+$E600),(('PTRM input'!$H$152+'PTRM input'!$H$118)*$H$7)-SUM($H600:AX600),(('PTRM input'!$H$152+'PTRM input'!$H$118)*$H$7)/A10taxstdlife))</f>
        <v>0</v>
      </c>
      <c r="AZ600" s="590">
        <f>IF(A10taxstdlife="n/a","n/a",IF(AZ$3&gt;(A10taxstdlife+$E600),(('PTRM input'!$H$152+'PTRM input'!$H$118)*$H$7)-SUM($H600:AY600),(('PTRM input'!$H$152+'PTRM input'!$H$118)*$H$7)/A10taxstdlife))</f>
        <v>0</v>
      </c>
      <c r="BA600" s="590">
        <f>IF(A10taxstdlife="n/a","n/a",IF(BA$3&gt;(A10taxstdlife+$E600),(('PTRM input'!$H$152+'PTRM input'!$H$118)*$H$7)-SUM($H600:AZ600),(('PTRM input'!$H$152+'PTRM input'!$H$118)*$H$7)/A10taxstdlife))</f>
        <v>0</v>
      </c>
      <c r="BB600" s="590">
        <f>IF(A10taxstdlife="n/a","n/a",IF(BB$3&gt;(A10taxstdlife+$E600),(('PTRM input'!$H$152+'PTRM input'!$H$118)*$H$7)-SUM($H600:BA600),(('PTRM input'!$H$152+'PTRM input'!$H$118)*$H$7)/A10taxstdlife))</f>
        <v>0</v>
      </c>
      <c r="BC600" s="590">
        <f>IF(A10taxstdlife="n/a","n/a",IF(BC$3&gt;(A10taxstdlife+$E600),(('PTRM input'!$H$152+'PTRM input'!$H$118)*$H$7)-SUM($H600:BB600),(('PTRM input'!$H$152+'PTRM input'!$H$118)*$H$7)/A10taxstdlife))</f>
        <v>0</v>
      </c>
      <c r="BD600" s="590">
        <f>IF(A10taxstdlife="n/a","n/a",IF(BD$3&gt;(A10taxstdlife+$E600),(('PTRM input'!$H$152+'PTRM input'!$H$118)*$H$7)-SUM($H600:BC600),(('PTRM input'!$H$152+'PTRM input'!$H$118)*$H$7)/A10taxstdlife))</f>
        <v>0</v>
      </c>
      <c r="BE600" s="590">
        <f>IF(A10taxstdlife="n/a","n/a",IF(BE$3&gt;(A10taxstdlife+$E600),(('PTRM input'!$H$152+'PTRM input'!$H$118)*$H$7)-SUM($H600:BD600),(('PTRM input'!$H$152+'PTRM input'!$H$118)*$H$7)/A10taxstdlife))</f>
        <v>0</v>
      </c>
      <c r="BF600" s="590">
        <f>IF(A10taxstdlife="n/a","n/a",IF(BF$3&gt;(A10taxstdlife+$E600),(('PTRM input'!$H$152+'PTRM input'!$H$118)*$H$7)-SUM($H600:BE600),(('PTRM input'!$H$152+'PTRM input'!$H$118)*$H$7)/A10taxstdlife))</f>
        <v>0</v>
      </c>
      <c r="BG600" s="590">
        <f>IF(A10taxstdlife="n/a","n/a",IF(BG$3&gt;(A10taxstdlife+$E600),(('PTRM input'!$H$152+'PTRM input'!$H$118)*$H$7)-SUM($H600:BF600),(('PTRM input'!$H$152+'PTRM input'!$H$118)*$H$7)/A10taxstdlife))</f>
        <v>0</v>
      </c>
      <c r="BH600" s="590">
        <f>IF(A10taxstdlife="n/a","n/a",IF(BH$3&gt;(A10taxstdlife+$E600),(('PTRM input'!$H$152+'PTRM input'!$H$118)*$H$7)-SUM($H600:BG600),(('PTRM input'!$H$152+'PTRM input'!$H$118)*$H$7)/A10taxstdlife))</f>
        <v>0</v>
      </c>
      <c r="BI600" s="590">
        <f>IF(A10taxstdlife="n/a","n/a",IF(BI$3&gt;(A10taxstdlife+$E600),(('PTRM input'!$H$152+'PTRM input'!$H$118)*$H$7)-SUM($H600:BH600),(('PTRM input'!$H$152+'PTRM input'!$H$118)*$H$7)/A10taxstdlife))</f>
        <v>0</v>
      </c>
      <c r="BJ600" s="240"/>
      <c r="BK600" s="240"/>
      <c r="BL600" s="240"/>
      <c r="BM600" s="240"/>
    </row>
    <row r="601" spans="1:65" s="4" customFormat="1" hidden="1" outlineLevel="2">
      <c r="A601" s="240"/>
      <c r="B601" s="240"/>
      <c r="C601" s="595"/>
      <c r="D601" s="1618"/>
      <c r="E601" s="169">
        <v>3</v>
      </c>
      <c r="F601" s="35"/>
      <c r="G601" s="184"/>
      <c r="H601" s="186"/>
      <c r="I601" s="185"/>
      <c r="J601" s="107">
        <f>IF(A10taxstdlife="n/a","n/a",IF(J$3&gt;(A10taxstdlife+$E601),(('PTRM input'!$I$152+'PTRM input'!$I$118)*$I$7)-SUM($I601:I601),(('PTRM input'!$I$152+'PTRM input'!$I$118)*$I$7)/A10taxstdlife))</f>
        <v>0</v>
      </c>
      <c r="K601" s="107">
        <f>IF(A10taxstdlife="n/a","n/a",IF(K$3&gt;(A10taxstdlife+$E601),(('PTRM input'!$I$152+'PTRM input'!$I$118)*$I$7)-SUM($I601:J601),(('PTRM input'!$I$152+'PTRM input'!$I$118)*$I$7)/A10taxstdlife))</f>
        <v>0</v>
      </c>
      <c r="L601" s="107">
        <f>IF(A10taxstdlife="n/a","n/a",IF(L$3&gt;(A10taxstdlife+$E601),(('PTRM input'!$I$152+'PTRM input'!$I$118)*$I$7)-SUM($I601:K601),(('PTRM input'!$I$152+'PTRM input'!$I$118)*$I$7)/A10taxstdlife))</f>
        <v>0</v>
      </c>
      <c r="M601" s="107">
        <f>IF(A10taxstdlife="n/a","n/a",IF(M$3&gt;(A10taxstdlife+$E601),(('PTRM input'!$I$152+'PTRM input'!$I$118)*$I$7)-SUM($I601:L601),(('PTRM input'!$I$152+'PTRM input'!$I$118)*$I$7)/A10taxstdlife))</f>
        <v>0</v>
      </c>
      <c r="N601" s="107">
        <f>IF(A10taxstdlife="n/a","n/a",IF(N$3&gt;(A10taxstdlife+$E601),(('PTRM input'!$I$152+'PTRM input'!$I$118)*$I$7)-SUM($I601:M601),(('PTRM input'!$I$152+'PTRM input'!$I$118)*$I$7)/A10taxstdlife))</f>
        <v>0</v>
      </c>
      <c r="O601" s="107">
        <f>IF(A10taxstdlife="n/a","n/a",IF(O$3&gt;(A10taxstdlife+$E601),(('PTRM input'!$I$152+'PTRM input'!$I$118)*$I$7)-SUM($I601:N601),(('PTRM input'!$I$152+'PTRM input'!$I$118)*$I$7)/A10taxstdlife))</f>
        <v>0</v>
      </c>
      <c r="P601" s="107">
        <f>IF(A10taxstdlife="n/a","n/a",IF(P$3&gt;(A10taxstdlife+$E601),(('PTRM input'!$I$152+'PTRM input'!$I$118)*$I$7)-SUM($I601:O601),(('PTRM input'!$I$152+'PTRM input'!$I$118)*$I$7)/A10taxstdlife))</f>
        <v>0</v>
      </c>
      <c r="Q601" s="590">
        <f>IF(A10taxstdlife="n/a","n/a",IF(Q$3&gt;(A10taxstdlife+$E601),(('PTRM input'!$I$152+'PTRM input'!$I$118)*$I$7)-SUM($I601:P601),(('PTRM input'!$I$152+'PTRM input'!$I$118)*$I$7)/A10taxstdlife))</f>
        <v>0</v>
      </c>
      <c r="R601" s="590">
        <f>IF(A10taxstdlife="n/a","n/a",IF(R$3&gt;(A10taxstdlife+$E601),(('PTRM input'!$I$152+'PTRM input'!$I$118)*$I$7)-SUM($I601:Q601),(('PTRM input'!$I$152+'PTRM input'!$I$118)*$I$7)/A10taxstdlife))</f>
        <v>0</v>
      </c>
      <c r="S601" s="590">
        <f>IF(A10taxstdlife="n/a","n/a",IF(S$3&gt;(A10taxstdlife+$E601),(('PTRM input'!$I$152+'PTRM input'!$I$118)*$I$7)-SUM($I601:R601),(('PTRM input'!$I$152+'PTRM input'!$I$118)*$I$7)/A10taxstdlife))</f>
        <v>0</v>
      </c>
      <c r="T601" s="590">
        <f>IF(A10taxstdlife="n/a","n/a",IF(T$3&gt;(A10taxstdlife+$E601),(('PTRM input'!$I$152+'PTRM input'!$I$118)*$I$7)-SUM($I601:S601),(('PTRM input'!$I$152+'PTRM input'!$I$118)*$I$7)/A10taxstdlife))</f>
        <v>0</v>
      </c>
      <c r="U601" s="590">
        <f>IF(A10taxstdlife="n/a","n/a",IF(U$3&gt;(A10taxstdlife+$E601),(('PTRM input'!$I$152+'PTRM input'!$I$118)*$I$7)-SUM($I601:T601),(('PTRM input'!$I$152+'PTRM input'!$I$118)*$I$7)/A10taxstdlife))</f>
        <v>0</v>
      </c>
      <c r="V601" s="590">
        <f>IF(A10taxstdlife="n/a","n/a",IF(V$3&gt;(A10taxstdlife+$E601),(('PTRM input'!$I$152+'PTRM input'!$I$118)*$I$7)-SUM($I601:U601),(('PTRM input'!$I$152+'PTRM input'!$I$118)*$I$7)/A10taxstdlife))</f>
        <v>0</v>
      </c>
      <c r="W601" s="590">
        <f>IF(A10taxstdlife="n/a","n/a",IF(W$3&gt;(A10taxstdlife+$E601),(('PTRM input'!$I$152+'PTRM input'!$I$118)*$I$7)-SUM($I601:V601),(('PTRM input'!$I$152+'PTRM input'!$I$118)*$I$7)/A10taxstdlife))</f>
        <v>0</v>
      </c>
      <c r="X601" s="590">
        <f>IF(A10taxstdlife="n/a","n/a",IF(X$3&gt;(A10taxstdlife+$E601),(('PTRM input'!$I$152+'PTRM input'!$I$118)*$I$7)-SUM($I601:W601),(('PTRM input'!$I$152+'PTRM input'!$I$118)*$I$7)/A10taxstdlife))</f>
        <v>0</v>
      </c>
      <c r="Y601" s="590">
        <f>IF(A10taxstdlife="n/a","n/a",IF(Y$3&gt;(A10taxstdlife+$E601),(('PTRM input'!$I$152+'PTRM input'!$I$118)*$I$7)-SUM($I601:X601),(('PTRM input'!$I$152+'PTRM input'!$I$118)*$I$7)/A10taxstdlife))</f>
        <v>0</v>
      </c>
      <c r="Z601" s="590">
        <f>IF(A10taxstdlife="n/a","n/a",IF(Z$3&gt;(A10taxstdlife+$E601),(('PTRM input'!$I$152+'PTRM input'!$I$118)*$I$7)-SUM($I601:Y601),(('PTRM input'!$I$152+'PTRM input'!$I$118)*$I$7)/A10taxstdlife))</f>
        <v>0</v>
      </c>
      <c r="AA601" s="590">
        <f>IF(A10taxstdlife="n/a","n/a",IF(AA$3&gt;(A10taxstdlife+$E601),(('PTRM input'!$I$152+'PTRM input'!$I$118)*$I$7)-SUM($I601:Z601),(('PTRM input'!$I$152+'PTRM input'!$I$118)*$I$7)/A10taxstdlife))</f>
        <v>0</v>
      </c>
      <c r="AB601" s="590">
        <f>IF(A10taxstdlife="n/a","n/a",IF(AB$3&gt;(A10taxstdlife+$E601),(('PTRM input'!$I$152+'PTRM input'!$I$118)*$I$7)-SUM($I601:AA601),(('PTRM input'!$I$152+'PTRM input'!$I$118)*$I$7)/A10taxstdlife))</f>
        <v>0</v>
      </c>
      <c r="AC601" s="590">
        <f>IF(A10taxstdlife="n/a","n/a",IF(AC$3&gt;(A10taxstdlife+$E601),(('PTRM input'!$I$152+'PTRM input'!$I$118)*$I$7)-SUM($I601:AB601),(('PTRM input'!$I$152+'PTRM input'!$I$118)*$I$7)/A10taxstdlife))</f>
        <v>0</v>
      </c>
      <c r="AD601" s="590">
        <f>IF(A10taxstdlife="n/a","n/a",IF(AD$3&gt;(A10taxstdlife+$E601),(('PTRM input'!$I$152+'PTRM input'!$I$118)*$I$7)-SUM($I601:AC601),(('PTRM input'!$I$152+'PTRM input'!$I$118)*$I$7)/A10taxstdlife))</f>
        <v>0</v>
      </c>
      <c r="AE601" s="590">
        <f>IF(A10taxstdlife="n/a","n/a",IF(AE$3&gt;(A10taxstdlife+$E601),(('PTRM input'!$I$152+'PTRM input'!$I$118)*$I$7)-SUM($I601:AD601),(('PTRM input'!$I$152+'PTRM input'!$I$118)*$I$7)/A10taxstdlife))</f>
        <v>0</v>
      </c>
      <c r="AF601" s="590">
        <f>IF(A10taxstdlife="n/a","n/a",IF(AF$3&gt;(A10taxstdlife+$E601),(('PTRM input'!$I$152+'PTRM input'!$I$118)*$I$7)-SUM($I601:AE601),(('PTRM input'!$I$152+'PTRM input'!$I$118)*$I$7)/A10taxstdlife))</f>
        <v>0</v>
      </c>
      <c r="AG601" s="590">
        <f>IF(A10taxstdlife="n/a","n/a",IF(AG$3&gt;(A10taxstdlife+$E601),(('PTRM input'!$I$152+'PTRM input'!$I$118)*$I$7)-SUM($I601:AF601),(('PTRM input'!$I$152+'PTRM input'!$I$118)*$I$7)/A10taxstdlife))</f>
        <v>0</v>
      </c>
      <c r="AH601" s="590">
        <f>IF(A10taxstdlife="n/a","n/a",IF(AH$3&gt;(A10taxstdlife+$E601),(('PTRM input'!$I$152+'PTRM input'!$I$118)*$I$7)-SUM($I601:AG601),(('PTRM input'!$I$152+'PTRM input'!$I$118)*$I$7)/A10taxstdlife))</f>
        <v>0</v>
      </c>
      <c r="AI601" s="590">
        <f>IF(A10taxstdlife="n/a","n/a",IF(AI$3&gt;(A10taxstdlife+$E601),(('PTRM input'!$I$152+'PTRM input'!$I$118)*$I$7)-SUM($I601:AH601),(('PTRM input'!$I$152+'PTRM input'!$I$118)*$I$7)/A10taxstdlife))</f>
        <v>0</v>
      </c>
      <c r="AJ601" s="590">
        <f>IF(A10taxstdlife="n/a","n/a",IF(AJ$3&gt;(A10taxstdlife+$E601),(('PTRM input'!$I$152+'PTRM input'!$I$118)*$I$7)-SUM($I601:AI601),(('PTRM input'!$I$152+'PTRM input'!$I$118)*$I$7)/A10taxstdlife))</f>
        <v>0</v>
      </c>
      <c r="AK601" s="590">
        <f>IF(A10taxstdlife="n/a","n/a",IF(AK$3&gt;(A10taxstdlife+$E601),(('PTRM input'!$I$152+'PTRM input'!$I$118)*$I$7)-SUM($I601:AJ601),(('PTRM input'!$I$152+'PTRM input'!$I$118)*$I$7)/A10taxstdlife))</f>
        <v>0</v>
      </c>
      <c r="AL601" s="590">
        <f>IF(A10taxstdlife="n/a","n/a",IF(AL$3&gt;(A10taxstdlife+$E601),(('PTRM input'!$I$152+'PTRM input'!$I$118)*$I$7)-SUM($I601:AK601),(('PTRM input'!$I$152+'PTRM input'!$I$118)*$I$7)/A10taxstdlife))</f>
        <v>0</v>
      </c>
      <c r="AM601" s="590">
        <f>IF(A10taxstdlife="n/a","n/a",IF(AM$3&gt;(A10taxstdlife+$E601),(('PTRM input'!$I$152+'PTRM input'!$I$118)*$I$7)-SUM($I601:AL601),(('PTRM input'!$I$152+'PTRM input'!$I$118)*$I$7)/A10taxstdlife))</f>
        <v>0</v>
      </c>
      <c r="AN601" s="590">
        <f>IF(A10taxstdlife="n/a","n/a",IF(AN$3&gt;(A10taxstdlife+$E601),(('PTRM input'!$I$152+'PTRM input'!$I$118)*$I$7)-SUM($I601:AM601),(('PTRM input'!$I$152+'PTRM input'!$I$118)*$I$7)/A10taxstdlife))</f>
        <v>0</v>
      </c>
      <c r="AO601" s="590">
        <f>IF(A10taxstdlife="n/a","n/a",IF(AO$3&gt;(A10taxstdlife+$E601),(('PTRM input'!$I$152+'PTRM input'!$I$118)*$I$7)-SUM($I601:AN601),(('PTRM input'!$I$152+'PTRM input'!$I$118)*$I$7)/A10taxstdlife))</f>
        <v>0</v>
      </c>
      <c r="AP601" s="590">
        <f>IF(A10taxstdlife="n/a","n/a",IF(AP$3&gt;(A10taxstdlife+$E601),(('PTRM input'!$I$152+'PTRM input'!$I$118)*$I$7)-SUM($I601:AO601),(('PTRM input'!$I$152+'PTRM input'!$I$118)*$I$7)/A10taxstdlife))</f>
        <v>0</v>
      </c>
      <c r="AQ601" s="590">
        <f>IF(A10taxstdlife="n/a","n/a",IF(AQ$3&gt;(A10taxstdlife+$E601),(('PTRM input'!$I$152+'PTRM input'!$I$118)*$I$7)-SUM($I601:AP601),(('PTRM input'!$I$152+'PTRM input'!$I$118)*$I$7)/A10taxstdlife))</f>
        <v>0</v>
      </c>
      <c r="AR601" s="590">
        <f>IF(A10taxstdlife="n/a","n/a",IF(AR$3&gt;(A10taxstdlife+$E601),(('PTRM input'!$I$152+'PTRM input'!$I$118)*$I$7)-SUM($I601:AQ601),(('PTRM input'!$I$152+'PTRM input'!$I$118)*$I$7)/A10taxstdlife))</f>
        <v>0</v>
      </c>
      <c r="AS601" s="590">
        <f>IF(A10taxstdlife="n/a","n/a",IF(AS$3&gt;(A10taxstdlife+$E601),(('PTRM input'!$I$152+'PTRM input'!$I$118)*$I$7)-SUM($I601:AR601),(('PTRM input'!$I$152+'PTRM input'!$I$118)*$I$7)/A10taxstdlife))</f>
        <v>0</v>
      </c>
      <c r="AT601" s="590">
        <f>IF(A10taxstdlife="n/a","n/a",IF(AT$3&gt;(A10taxstdlife+$E601),(('PTRM input'!$I$152+'PTRM input'!$I$118)*$I$7)-SUM($I601:AS601),(('PTRM input'!$I$152+'PTRM input'!$I$118)*$I$7)/A10taxstdlife))</f>
        <v>0</v>
      </c>
      <c r="AU601" s="590">
        <f>IF(A10taxstdlife="n/a","n/a",IF(AU$3&gt;(A10taxstdlife+$E601),(('PTRM input'!$I$152+'PTRM input'!$I$118)*$I$7)-SUM($I601:AT601),(('PTRM input'!$I$152+'PTRM input'!$I$118)*$I$7)/A10taxstdlife))</f>
        <v>0</v>
      </c>
      <c r="AV601" s="590">
        <f>IF(A10taxstdlife="n/a","n/a",IF(AV$3&gt;(A10taxstdlife+$E601),(('PTRM input'!$I$152+'PTRM input'!$I$118)*$I$7)-SUM($I601:AU601),(('PTRM input'!$I$152+'PTRM input'!$I$118)*$I$7)/A10taxstdlife))</f>
        <v>0</v>
      </c>
      <c r="AW601" s="590">
        <f>IF(A10taxstdlife="n/a","n/a",IF(AW$3&gt;(A10taxstdlife+$E601),(('PTRM input'!$I$152+'PTRM input'!$I$118)*$I$7)-SUM($I601:AV601),(('PTRM input'!$I$152+'PTRM input'!$I$118)*$I$7)/A10taxstdlife))</f>
        <v>0</v>
      </c>
      <c r="AX601" s="590">
        <f>IF(A10taxstdlife="n/a","n/a",IF(AX$3&gt;(A10taxstdlife+$E601),(('PTRM input'!$I$152+'PTRM input'!$I$118)*$I$7)-SUM($I601:AW601),(('PTRM input'!$I$152+'PTRM input'!$I$118)*$I$7)/A10taxstdlife))</f>
        <v>0</v>
      </c>
      <c r="AY601" s="590">
        <f>IF(A10taxstdlife="n/a","n/a",IF(AY$3&gt;(A10taxstdlife+$E601),(('PTRM input'!$I$152+'PTRM input'!$I$118)*$I$7)-SUM($I601:AX601),(('PTRM input'!$I$152+'PTRM input'!$I$118)*$I$7)/A10taxstdlife))</f>
        <v>0</v>
      </c>
      <c r="AZ601" s="590">
        <f>IF(A10taxstdlife="n/a","n/a",IF(AZ$3&gt;(A10taxstdlife+$E601),(('PTRM input'!$I$152+'PTRM input'!$I$118)*$I$7)-SUM($I601:AY601),(('PTRM input'!$I$152+'PTRM input'!$I$118)*$I$7)/A10taxstdlife))</f>
        <v>0</v>
      </c>
      <c r="BA601" s="590">
        <f>IF(A10taxstdlife="n/a","n/a",IF(BA$3&gt;(A10taxstdlife+$E601),(('PTRM input'!$I$152+'PTRM input'!$I$118)*$I$7)-SUM($I601:AZ601),(('PTRM input'!$I$152+'PTRM input'!$I$118)*$I$7)/A10taxstdlife))</f>
        <v>0</v>
      </c>
      <c r="BB601" s="590">
        <f>IF(A10taxstdlife="n/a","n/a",IF(BB$3&gt;(A10taxstdlife+$E601),(('PTRM input'!$I$152+'PTRM input'!$I$118)*$I$7)-SUM($I601:BA601),(('PTRM input'!$I$152+'PTRM input'!$I$118)*$I$7)/A10taxstdlife))</f>
        <v>0</v>
      </c>
      <c r="BC601" s="590">
        <f>IF(A10taxstdlife="n/a","n/a",IF(BC$3&gt;(A10taxstdlife+$E601),(('PTRM input'!$I$152+'PTRM input'!$I$118)*$I$7)-SUM($I601:BB601),(('PTRM input'!$I$152+'PTRM input'!$I$118)*$I$7)/A10taxstdlife))</f>
        <v>0</v>
      </c>
      <c r="BD601" s="590">
        <f>IF(A10taxstdlife="n/a","n/a",IF(BD$3&gt;(A10taxstdlife+$E601),(('PTRM input'!$I$152+'PTRM input'!$I$118)*$I$7)-SUM($I601:BC601),(('PTRM input'!$I$152+'PTRM input'!$I$118)*$I$7)/A10taxstdlife))</f>
        <v>0</v>
      </c>
      <c r="BE601" s="590">
        <f>IF(A10taxstdlife="n/a","n/a",IF(BE$3&gt;(A10taxstdlife+$E601),(('PTRM input'!$I$152+'PTRM input'!$I$118)*$I$7)-SUM($I601:BD601),(('PTRM input'!$I$152+'PTRM input'!$I$118)*$I$7)/A10taxstdlife))</f>
        <v>0</v>
      </c>
      <c r="BF601" s="590">
        <f>IF(A10taxstdlife="n/a","n/a",IF(BF$3&gt;(A10taxstdlife+$E601),(('PTRM input'!$I$152+'PTRM input'!$I$118)*$I$7)-SUM($I601:BE601),(('PTRM input'!$I$152+'PTRM input'!$I$118)*$I$7)/A10taxstdlife))</f>
        <v>0</v>
      </c>
      <c r="BG601" s="590">
        <f>IF(A10taxstdlife="n/a","n/a",IF(BG$3&gt;(A10taxstdlife+$E601),(('PTRM input'!$I$152+'PTRM input'!$I$118)*$I$7)-SUM($I601:BF601),(('PTRM input'!$I$152+'PTRM input'!$I$118)*$I$7)/A10taxstdlife))</f>
        <v>0</v>
      </c>
      <c r="BH601" s="590">
        <f>IF(A10taxstdlife="n/a","n/a",IF(BH$3&gt;(A10taxstdlife+$E601),(('PTRM input'!$I$152+'PTRM input'!$I$118)*$I$7)-SUM($I601:BG601),(('PTRM input'!$I$152+'PTRM input'!$I$118)*$I$7)/A10taxstdlife))</f>
        <v>0</v>
      </c>
      <c r="BI601" s="590">
        <f>IF(A10taxstdlife="n/a","n/a",IF(BI$3&gt;(A10taxstdlife+$E601),(('PTRM input'!$I$152+'PTRM input'!$I$118)*$I$7)-SUM($I601:BH601),(('PTRM input'!$I$152+'PTRM input'!$I$118)*$I$7)/A10taxstdlife))</f>
        <v>0</v>
      </c>
      <c r="BJ601" s="240"/>
      <c r="BK601" s="240"/>
      <c r="BL601" s="240"/>
      <c r="BM601" s="240"/>
    </row>
    <row r="602" spans="1:65" s="4" customFormat="1" hidden="1" outlineLevel="2">
      <c r="A602" s="240"/>
      <c r="B602" s="240"/>
      <c r="C602" s="595"/>
      <c r="D602" s="1618"/>
      <c r="E602" s="169">
        <v>4</v>
      </c>
      <c r="F602" s="35"/>
      <c r="G602" s="184"/>
      <c r="H602" s="186"/>
      <c r="I602" s="186"/>
      <c r="J602" s="185"/>
      <c r="K602" s="107">
        <f>IF(A10taxstdlife="n/a","n/a",IF(K$3&gt;(A10taxstdlife+$E602),(('PTRM input'!$J$152+'PTRM input'!$J$118)*$J$7)-SUM($J602:J602),(('PTRM input'!$J$152+'PTRM input'!$J$118)*$J$7)/A10taxstdlife))</f>
        <v>0</v>
      </c>
      <c r="L602" s="107">
        <f>IF(A10taxstdlife="n/a","n/a",IF(L$3&gt;(A10taxstdlife+$E602),(('PTRM input'!$J$152+'PTRM input'!$J$118)*$J$7)-SUM($J602:K602),(('PTRM input'!$J$152+'PTRM input'!$J$118)*$J$7)/A10taxstdlife))</f>
        <v>0</v>
      </c>
      <c r="M602" s="107">
        <f>IF(A10taxstdlife="n/a","n/a",IF(M$3&gt;(A10taxstdlife+$E602),(('PTRM input'!$J$152+'PTRM input'!$J$118)*$J$7)-SUM($J602:L602),(('PTRM input'!$J$152+'PTRM input'!$J$118)*$J$7)/A10taxstdlife))</f>
        <v>0</v>
      </c>
      <c r="N602" s="107">
        <f>IF(A10taxstdlife="n/a","n/a",IF(N$3&gt;(A10taxstdlife+$E602),(('PTRM input'!$J$152+'PTRM input'!$J$118)*$J$7)-SUM($J602:M602),(('PTRM input'!$J$152+'PTRM input'!$J$118)*$J$7)/A10taxstdlife))</f>
        <v>0</v>
      </c>
      <c r="O602" s="107">
        <f>IF(A10taxstdlife="n/a","n/a",IF(O$3&gt;(A10taxstdlife+$E602),(('PTRM input'!$J$152+'PTRM input'!$J$118)*$J$7)-SUM($J602:N602),(('PTRM input'!$J$152+'PTRM input'!$J$118)*$J$7)/A10taxstdlife))</f>
        <v>0</v>
      </c>
      <c r="P602" s="107">
        <f>IF(A10taxstdlife="n/a","n/a",IF(P$3&gt;(A10taxstdlife+$E602),(('PTRM input'!$J$152+'PTRM input'!$J$118)*$J$7)-SUM($J602:O602),(('PTRM input'!$J$152+'PTRM input'!$J$118)*$J$7)/A10taxstdlife))</f>
        <v>0</v>
      </c>
      <c r="Q602" s="590">
        <f>IF(A10taxstdlife="n/a","n/a",IF(Q$3&gt;(A10taxstdlife+$E602),(('PTRM input'!$J$152+'PTRM input'!$J$118)*$J$7)-SUM($J602:P602),(('PTRM input'!$J$152+'PTRM input'!$J$118)*$J$7)/A10taxstdlife))</f>
        <v>0</v>
      </c>
      <c r="R602" s="590">
        <f>IF(A10taxstdlife="n/a","n/a",IF(R$3&gt;(A10taxstdlife+$E602),(('PTRM input'!$J$152+'PTRM input'!$J$118)*$J$7)-SUM($J602:Q602),(('PTRM input'!$J$152+'PTRM input'!$J$118)*$J$7)/A10taxstdlife))</f>
        <v>0</v>
      </c>
      <c r="S602" s="590">
        <f>IF(A10taxstdlife="n/a","n/a",IF(S$3&gt;(A10taxstdlife+$E602),(('PTRM input'!$J$152+'PTRM input'!$J$118)*$J$7)-SUM($J602:R602),(('PTRM input'!$J$152+'PTRM input'!$J$118)*$J$7)/A10taxstdlife))</f>
        <v>0</v>
      </c>
      <c r="T602" s="590">
        <f>IF(A10taxstdlife="n/a","n/a",IF(T$3&gt;(A10taxstdlife+$E602),(('PTRM input'!$J$152+'PTRM input'!$J$118)*$J$7)-SUM($J602:S602),(('PTRM input'!$J$152+'PTRM input'!$J$118)*$J$7)/A10taxstdlife))</f>
        <v>0</v>
      </c>
      <c r="U602" s="590">
        <f>IF(A10taxstdlife="n/a","n/a",IF(U$3&gt;(A10taxstdlife+$E602),(('PTRM input'!$J$152+'PTRM input'!$J$118)*$J$7)-SUM($J602:T602),(('PTRM input'!$J$152+'PTRM input'!$J$118)*$J$7)/A10taxstdlife))</f>
        <v>0</v>
      </c>
      <c r="V602" s="590">
        <f>IF(A10taxstdlife="n/a","n/a",IF(V$3&gt;(A10taxstdlife+$E602),(('PTRM input'!$J$152+'PTRM input'!$J$118)*$J$7)-SUM($J602:U602),(('PTRM input'!$J$152+'PTRM input'!$J$118)*$J$7)/A10taxstdlife))</f>
        <v>0</v>
      </c>
      <c r="W602" s="590">
        <f>IF(A10taxstdlife="n/a","n/a",IF(W$3&gt;(A10taxstdlife+$E602),(('PTRM input'!$J$152+'PTRM input'!$J$118)*$J$7)-SUM($J602:V602),(('PTRM input'!$J$152+'PTRM input'!$J$118)*$J$7)/A10taxstdlife))</f>
        <v>0</v>
      </c>
      <c r="X602" s="590">
        <f>IF(A10taxstdlife="n/a","n/a",IF(X$3&gt;(A10taxstdlife+$E602),(('PTRM input'!$J$152+'PTRM input'!$J$118)*$J$7)-SUM($J602:W602),(('PTRM input'!$J$152+'PTRM input'!$J$118)*$J$7)/A10taxstdlife))</f>
        <v>0</v>
      </c>
      <c r="Y602" s="590">
        <f>IF(A10taxstdlife="n/a","n/a",IF(Y$3&gt;(A10taxstdlife+$E602),(('PTRM input'!$J$152+'PTRM input'!$J$118)*$J$7)-SUM($J602:X602),(('PTRM input'!$J$152+'PTRM input'!$J$118)*$J$7)/A10taxstdlife))</f>
        <v>0</v>
      </c>
      <c r="Z602" s="590">
        <f>IF(A10taxstdlife="n/a","n/a",IF(Z$3&gt;(A10taxstdlife+$E602),(('PTRM input'!$J$152+'PTRM input'!$J$118)*$J$7)-SUM($J602:Y602),(('PTRM input'!$J$152+'PTRM input'!$J$118)*$J$7)/A10taxstdlife))</f>
        <v>0</v>
      </c>
      <c r="AA602" s="590">
        <f>IF(A10taxstdlife="n/a","n/a",IF(AA$3&gt;(A10taxstdlife+$E602),(('PTRM input'!$J$152+'PTRM input'!$J$118)*$J$7)-SUM($J602:Z602),(('PTRM input'!$J$152+'PTRM input'!$J$118)*$J$7)/A10taxstdlife))</f>
        <v>0</v>
      </c>
      <c r="AB602" s="590">
        <f>IF(A10taxstdlife="n/a","n/a",IF(AB$3&gt;(A10taxstdlife+$E602),(('PTRM input'!$J$152+'PTRM input'!$J$118)*$J$7)-SUM($J602:AA602),(('PTRM input'!$J$152+'PTRM input'!$J$118)*$J$7)/A10taxstdlife))</f>
        <v>0</v>
      </c>
      <c r="AC602" s="590">
        <f>IF(A10taxstdlife="n/a","n/a",IF(AC$3&gt;(A10taxstdlife+$E602),(('PTRM input'!$J$152+'PTRM input'!$J$118)*$J$7)-SUM($J602:AB602),(('PTRM input'!$J$152+'PTRM input'!$J$118)*$J$7)/A10taxstdlife))</f>
        <v>0</v>
      </c>
      <c r="AD602" s="590">
        <f>IF(A10taxstdlife="n/a","n/a",IF(AD$3&gt;(A10taxstdlife+$E602),(('PTRM input'!$J$152+'PTRM input'!$J$118)*$J$7)-SUM($J602:AC602),(('PTRM input'!$J$152+'PTRM input'!$J$118)*$J$7)/A10taxstdlife))</f>
        <v>0</v>
      </c>
      <c r="AE602" s="590">
        <f>IF(A10taxstdlife="n/a","n/a",IF(AE$3&gt;(A10taxstdlife+$E602),(('PTRM input'!$J$152+'PTRM input'!$J$118)*$J$7)-SUM($J602:AD602),(('PTRM input'!$J$152+'PTRM input'!$J$118)*$J$7)/A10taxstdlife))</f>
        <v>0</v>
      </c>
      <c r="AF602" s="590">
        <f>IF(A10taxstdlife="n/a","n/a",IF(AF$3&gt;(A10taxstdlife+$E602),(('PTRM input'!$J$152+'PTRM input'!$J$118)*$J$7)-SUM($J602:AE602),(('PTRM input'!$J$152+'PTRM input'!$J$118)*$J$7)/A10taxstdlife))</f>
        <v>0</v>
      </c>
      <c r="AG602" s="590">
        <f>IF(A10taxstdlife="n/a","n/a",IF(AG$3&gt;(A10taxstdlife+$E602),(('PTRM input'!$J$152+'PTRM input'!$J$118)*$J$7)-SUM($J602:AF602),(('PTRM input'!$J$152+'PTRM input'!$J$118)*$J$7)/A10taxstdlife))</f>
        <v>0</v>
      </c>
      <c r="AH602" s="590">
        <f>IF(A10taxstdlife="n/a","n/a",IF(AH$3&gt;(A10taxstdlife+$E602),(('PTRM input'!$J$152+'PTRM input'!$J$118)*$J$7)-SUM($J602:AG602),(('PTRM input'!$J$152+'PTRM input'!$J$118)*$J$7)/A10taxstdlife))</f>
        <v>0</v>
      </c>
      <c r="AI602" s="590">
        <f>IF(A10taxstdlife="n/a","n/a",IF(AI$3&gt;(A10taxstdlife+$E602),(('PTRM input'!$J$152+'PTRM input'!$J$118)*$J$7)-SUM($J602:AH602),(('PTRM input'!$J$152+'PTRM input'!$J$118)*$J$7)/A10taxstdlife))</f>
        <v>0</v>
      </c>
      <c r="AJ602" s="590">
        <f>IF(A10taxstdlife="n/a","n/a",IF(AJ$3&gt;(A10taxstdlife+$E602),(('PTRM input'!$J$152+'PTRM input'!$J$118)*$J$7)-SUM($J602:AI602),(('PTRM input'!$J$152+'PTRM input'!$J$118)*$J$7)/A10taxstdlife))</f>
        <v>0</v>
      </c>
      <c r="AK602" s="590">
        <f>IF(A10taxstdlife="n/a","n/a",IF(AK$3&gt;(A10taxstdlife+$E602),(('PTRM input'!$J$152+'PTRM input'!$J$118)*$J$7)-SUM($J602:AJ602),(('PTRM input'!$J$152+'PTRM input'!$J$118)*$J$7)/A10taxstdlife))</f>
        <v>0</v>
      </c>
      <c r="AL602" s="590">
        <f>IF(A10taxstdlife="n/a","n/a",IF(AL$3&gt;(A10taxstdlife+$E602),(('PTRM input'!$J$152+'PTRM input'!$J$118)*$J$7)-SUM($J602:AK602),(('PTRM input'!$J$152+'PTRM input'!$J$118)*$J$7)/A10taxstdlife))</f>
        <v>0</v>
      </c>
      <c r="AM602" s="590">
        <f>IF(A10taxstdlife="n/a","n/a",IF(AM$3&gt;(A10taxstdlife+$E602),(('PTRM input'!$J$152+'PTRM input'!$J$118)*$J$7)-SUM($J602:AL602),(('PTRM input'!$J$152+'PTRM input'!$J$118)*$J$7)/A10taxstdlife))</f>
        <v>0</v>
      </c>
      <c r="AN602" s="590">
        <f>IF(A10taxstdlife="n/a","n/a",IF(AN$3&gt;(A10taxstdlife+$E602),(('PTRM input'!$J$152+'PTRM input'!$J$118)*$J$7)-SUM($J602:AM602),(('PTRM input'!$J$152+'PTRM input'!$J$118)*$J$7)/A10taxstdlife))</f>
        <v>0</v>
      </c>
      <c r="AO602" s="590">
        <f>IF(A10taxstdlife="n/a","n/a",IF(AO$3&gt;(A10taxstdlife+$E602),(('PTRM input'!$J$152+'PTRM input'!$J$118)*$J$7)-SUM($J602:AN602),(('PTRM input'!$J$152+'PTRM input'!$J$118)*$J$7)/A10taxstdlife))</f>
        <v>0</v>
      </c>
      <c r="AP602" s="590">
        <f>IF(A10taxstdlife="n/a","n/a",IF(AP$3&gt;(A10taxstdlife+$E602),(('PTRM input'!$J$152+'PTRM input'!$J$118)*$J$7)-SUM($J602:AO602),(('PTRM input'!$J$152+'PTRM input'!$J$118)*$J$7)/A10taxstdlife))</f>
        <v>0</v>
      </c>
      <c r="AQ602" s="590">
        <f>IF(A10taxstdlife="n/a","n/a",IF(AQ$3&gt;(A10taxstdlife+$E602),(('PTRM input'!$J$152+'PTRM input'!$J$118)*$J$7)-SUM($J602:AP602),(('PTRM input'!$J$152+'PTRM input'!$J$118)*$J$7)/A10taxstdlife))</f>
        <v>0</v>
      </c>
      <c r="AR602" s="590">
        <f>IF(A10taxstdlife="n/a","n/a",IF(AR$3&gt;(A10taxstdlife+$E602),(('PTRM input'!$J$152+'PTRM input'!$J$118)*$J$7)-SUM($J602:AQ602),(('PTRM input'!$J$152+'PTRM input'!$J$118)*$J$7)/A10taxstdlife))</f>
        <v>0</v>
      </c>
      <c r="AS602" s="590">
        <f>IF(A10taxstdlife="n/a","n/a",IF(AS$3&gt;(A10taxstdlife+$E602),(('PTRM input'!$J$152+'PTRM input'!$J$118)*$J$7)-SUM($J602:AR602),(('PTRM input'!$J$152+'PTRM input'!$J$118)*$J$7)/A10taxstdlife))</f>
        <v>0</v>
      </c>
      <c r="AT602" s="590">
        <f>IF(A10taxstdlife="n/a","n/a",IF(AT$3&gt;(A10taxstdlife+$E602),(('PTRM input'!$J$152+'PTRM input'!$J$118)*$J$7)-SUM($J602:AS602),(('PTRM input'!$J$152+'PTRM input'!$J$118)*$J$7)/A10taxstdlife))</f>
        <v>0</v>
      </c>
      <c r="AU602" s="590">
        <f>IF(A10taxstdlife="n/a","n/a",IF(AU$3&gt;(A10taxstdlife+$E602),(('PTRM input'!$J$152+'PTRM input'!$J$118)*$J$7)-SUM($J602:AT602),(('PTRM input'!$J$152+'PTRM input'!$J$118)*$J$7)/A10taxstdlife))</f>
        <v>0</v>
      </c>
      <c r="AV602" s="590">
        <f>IF(A10taxstdlife="n/a","n/a",IF(AV$3&gt;(A10taxstdlife+$E602),(('PTRM input'!$J$152+'PTRM input'!$J$118)*$J$7)-SUM($J602:AU602),(('PTRM input'!$J$152+'PTRM input'!$J$118)*$J$7)/A10taxstdlife))</f>
        <v>0</v>
      </c>
      <c r="AW602" s="590">
        <f>IF(A10taxstdlife="n/a","n/a",IF(AW$3&gt;(A10taxstdlife+$E602),(('PTRM input'!$J$152+'PTRM input'!$J$118)*$J$7)-SUM($J602:AV602),(('PTRM input'!$J$152+'PTRM input'!$J$118)*$J$7)/A10taxstdlife))</f>
        <v>0</v>
      </c>
      <c r="AX602" s="590">
        <f>IF(A10taxstdlife="n/a","n/a",IF(AX$3&gt;(A10taxstdlife+$E602),(('PTRM input'!$J$152+'PTRM input'!$J$118)*$J$7)-SUM($J602:AW602),(('PTRM input'!$J$152+'PTRM input'!$J$118)*$J$7)/A10taxstdlife))</f>
        <v>0</v>
      </c>
      <c r="AY602" s="590">
        <f>IF(A10taxstdlife="n/a","n/a",IF(AY$3&gt;(A10taxstdlife+$E602),(('PTRM input'!$J$152+'PTRM input'!$J$118)*$J$7)-SUM($J602:AX602),(('PTRM input'!$J$152+'PTRM input'!$J$118)*$J$7)/A10taxstdlife))</f>
        <v>0</v>
      </c>
      <c r="AZ602" s="590">
        <f>IF(A10taxstdlife="n/a","n/a",IF(AZ$3&gt;(A10taxstdlife+$E602),(('PTRM input'!$J$152+'PTRM input'!$J$118)*$J$7)-SUM($J602:AY602),(('PTRM input'!$J$152+'PTRM input'!$J$118)*$J$7)/A10taxstdlife))</f>
        <v>0</v>
      </c>
      <c r="BA602" s="590">
        <f>IF(A10taxstdlife="n/a","n/a",IF(BA$3&gt;(A10taxstdlife+$E602),(('PTRM input'!$J$152+'PTRM input'!$J$118)*$J$7)-SUM($J602:AZ602),(('PTRM input'!$J$152+'PTRM input'!$J$118)*$J$7)/A10taxstdlife))</f>
        <v>0</v>
      </c>
      <c r="BB602" s="590">
        <f>IF(A10taxstdlife="n/a","n/a",IF(BB$3&gt;(A10taxstdlife+$E602),(('PTRM input'!$J$152+'PTRM input'!$J$118)*$J$7)-SUM($J602:BA602),(('PTRM input'!$J$152+'PTRM input'!$J$118)*$J$7)/A10taxstdlife))</f>
        <v>0</v>
      </c>
      <c r="BC602" s="590">
        <f>IF(A10taxstdlife="n/a","n/a",IF(BC$3&gt;(A10taxstdlife+$E602),(('PTRM input'!$J$152+'PTRM input'!$J$118)*$J$7)-SUM($J602:BB602),(('PTRM input'!$J$152+'PTRM input'!$J$118)*$J$7)/A10taxstdlife))</f>
        <v>0</v>
      </c>
      <c r="BD602" s="590">
        <f>IF(A10taxstdlife="n/a","n/a",IF(BD$3&gt;(A10taxstdlife+$E602),(('PTRM input'!$J$152+'PTRM input'!$J$118)*$J$7)-SUM($J602:BC602),(('PTRM input'!$J$152+'PTRM input'!$J$118)*$J$7)/A10taxstdlife))</f>
        <v>0</v>
      </c>
      <c r="BE602" s="590">
        <f>IF(A10taxstdlife="n/a","n/a",IF(BE$3&gt;(A10taxstdlife+$E602),(('PTRM input'!$J$152+'PTRM input'!$J$118)*$J$7)-SUM($J602:BD602),(('PTRM input'!$J$152+'PTRM input'!$J$118)*$J$7)/A10taxstdlife))</f>
        <v>0</v>
      </c>
      <c r="BF602" s="590">
        <f>IF(A10taxstdlife="n/a","n/a",IF(BF$3&gt;(A10taxstdlife+$E602),(('PTRM input'!$J$152+'PTRM input'!$J$118)*$J$7)-SUM($J602:BE602),(('PTRM input'!$J$152+'PTRM input'!$J$118)*$J$7)/A10taxstdlife))</f>
        <v>0</v>
      </c>
      <c r="BG602" s="590">
        <f>IF(A10taxstdlife="n/a","n/a",IF(BG$3&gt;(A10taxstdlife+$E602),(('PTRM input'!$J$152+'PTRM input'!$J$118)*$J$7)-SUM($J602:BF602),(('PTRM input'!$J$152+'PTRM input'!$J$118)*$J$7)/A10taxstdlife))</f>
        <v>0</v>
      </c>
      <c r="BH602" s="590">
        <f>IF(A10taxstdlife="n/a","n/a",IF(BH$3&gt;(A10taxstdlife+$E602),(('PTRM input'!$J$152+'PTRM input'!$J$118)*$J$7)-SUM($J602:BG602),(('PTRM input'!$J$152+'PTRM input'!$J$118)*$J$7)/A10taxstdlife))</f>
        <v>0</v>
      </c>
      <c r="BI602" s="590">
        <f>IF(A10taxstdlife="n/a","n/a",IF(BI$3&gt;(A10taxstdlife+$E602),(('PTRM input'!$J$152+'PTRM input'!$J$118)*$J$7)-SUM($J602:BH602),(('PTRM input'!$J$152+'PTRM input'!$J$118)*$J$7)/A10taxstdlife))</f>
        <v>0</v>
      </c>
      <c r="BJ602" s="240"/>
      <c r="BK602" s="240"/>
      <c r="BL602" s="240"/>
      <c r="BM602" s="240"/>
    </row>
    <row r="603" spans="1:65" s="4" customFormat="1" hidden="1" outlineLevel="2">
      <c r="A603" s="240"/>
      <c r="B603" s="240"/>
      <c r="C603" s="595"/>
      <c r="D603" s="1618"/>
      <c r="E603" s="169">
        <v>5</v>
      </c>
      <c r="F603" s="35"/>
      <c r="G603" s="184"/>
      <c r="H603" s="186"/>
      <c r="I603" s="186"/>
      <c r="J603" s="186"/>
      <c r="K603" s="185"/>
      <c r="L603" s="107">
        <f>IF(A10taxstdlife="n/a","n/a",IF(L$3&gt;(A10taxstdlife+$E603),(('PTRM input'!$K$152+'PTRM input'!$K$118)*$K$7)-SUM($K603:K603),(('PTRM input'!$K$152+'PTRM input'!$K$118)*$K$7)/A10taxstdlife))</f>
        <v>0</v>
      </c>
      <c r="M603" s="107">
        <f>IF(A10taxstdlife="n/a","n/a",IF(M$3&gt;(A10taxstdlife+$E603),(('PTRM input'!$K$152+'PTRM input'!$K$118)*$K$7)-SUM($K603:L603),(('PTRM input'!$K$152+'PTRM input'!$K$118)*$K$7)/A10taxstdlife))</f>
        <v>0</v>
      </c>
      <c r="N603" s="107">
        <f>IF(A10taxstdlife="n/a","n/a",IF(N$3&gt;(A10taxstdlife+$E603),(('PTRM input'!$K$152+'PTRM input'!$K$118)*$K$7)-SUM($K603:M603),(('PTRM input'!$K$152+'PTRM input'!$K$118)*$K$7)/A10taxstdlife))</f>
        <v>0</v>
      </c>
      <c r="O603" s="107">
        <f>IF(A10taxstdlife="n/a","n/a",IF(O$3&gt;(A10taxstdlife+$E603),(('PTRM input'!$K$152+'PTRM input'!$K$118)*$K$7)-SUM($K603:N603),(('PTRM input'!$K$152+'PTRM input'!$K$118)*$K$7)/A10taxstdlife))</f>
        <v>0</v>
      </c>
      <c r="P603" s="107">
        <f>IF(A10taxstdlife="n/a","n/a",IF(P$3&gt;(A10taxstdlife+$E603),(('PTRM input'!$K$152+'PTRM input'!$K$118)*$K$7)-SUM($K603:O603),(('PTRM input'!$K$152+'PTRM input'!$K$118)*$K$7)/A10taxstdlife))</f>
        <v>0</v>
      </c>
      <c r="Q603" s="590">
        <f>IF(A10taxstdlife="n/a","n/a",IF(Q$3&gt;(A10taxstdlife+$E603),(('PTRM input'!$K$152+'PTRM input'!$K$118)*$K$7)-SUM($K603:P603),(('PTRM input'!$K$152+'PTRM input'!$K$118)*$K$7)/A10taxstdlife))</f>
        <v>0</v>
      </c>
      <c r="R603" s="590">
        <f>IF(A10taxstdlife="n/a","n/a",IF(R$3&gt;(A10taxstdlife+$E603),(('PTRM input'!$K$152+'PTRM input'!$K$118)*$K$7)-SUM($K603:Q603),(('PTRM input'!$K$152+'PTRM input'!$K$118)*$K$7)/A10taxstdlife))</f>
        <v>0</v>
      </c>
      <c r="S603" s="590">
        <f>IF(A10taxstdlife="n/a","n/a",IF(S$3&gt;(A10taxstdlife+$E603),(('PTRM input'!$K$152+'PTRM input'!$K$118)*$K$7)-SUM($K603:R603),(('PTRM input'!$K$152+'PTRM input'!$K$118)*$K$7)/A10taxstdlife))</f>
        <v>0</v>
      </c>
      <c r="T603" s="590">
        <f>IF(A10taxstdlife="n/a","n/a",IF(T$3&gt;(A10taxstdlife+$E603),(('PTRM input'!$K$152+'PTRM input'!$K$118)*$K$7)-SUM($K603:S603),(('PTRM input'!$K$152+'PTRM input'!$K$118)*$K$7)/A10taxstdlife))</f>
        <v>0</v>
      </c>
      <c r="U603" s="590">
        <f>IF(A10taxstdlife="n/a","n/a",IF(U$3&gt;(A10taxstdlife+$E603),(('PTRM input'!$K$152+'PTRM input'!$K$118)*$K$7)-SUM($K603:T603),(('PTRM input'!$K$152+'PTRM input'!$K$118)*$K$7)/A10taxstdlife))</f>
        <v>0</v>
      </c>
      <c r="V603" s="590">
        <f>IF(A10taxstdlife="n/a","n/a",IF(V$3&gt;(A10taxstdlife+$E603),(('PTRM input'!$K$152+'PTRM input'!$K$118)*$K$7)-SUM($K603:U603),(('PTRM input'!$K$152+'PTRM input'!$K$118)*$K$7)/A10taxstdlife))</f>
        <v>0</v>
      </c>
      <c r="W603" s="590">
        <f>IF(A10taxstdlife="n/a","n/a",IF(W$3&gt;(A10taxstdlife+$E603),(('PTRM input'!$K$152+'PTRM input'!$K$118)*$K$7)-SUM($K603:V603),(('PTRM input'!$K$152+'PTRM input'!$K$118)*$K$7)/A10taxstdlife))</f>
        <v>0</v>
      </c>
      <c r="X603" s="590">
        <f>IF(A10taxstdlife="n/a","n/a",IF(X$3&gt;(A10taxstdlife+$E603),(('PTRM input'!$K$152+'PTRM input'!$K$118)*$K$7)-SUM($K603:W603),(('PTRM input'!$K$152+'PTRM input'!$K$118)*$K$7)/A10taxstdlife))</f>
        <v>0</v>
      </c>
      <c r="Y603" s="590">
        <f>IF(A10taxstdlife="n/a","n/a",IF(Y$3&gt;(A10taxstdlife+$E603),(('PTRM input'!$K$152+'PTRM input'!$K$118)*$K$7)-SUM($K603:X603),(('PTRM input'!$K$152+'PTRM input'!$K$118)*$K$7)/A10taxstdlife))</f>
        <v>0</v>
      </c>
      <c r="Z603" s="590">
        <f>IF(A10taxstdlife="n/a","n/a",IF(Z$3&gt;(A10taxstdlife+$E603),(('PTRM input'!$K$152+'PTRM input'!$K$118)*$K$7)-SUM($K603:Y603),(('PTRM input'!$K$152+'PTRM input'!$K$118)*$K$7)/A10taxstdlife))</f>
        <v>0</v>
      </c>
      <c r="AA603" s="590">
        <f>IF(A10taxstdlife="n/a","n/a",IF(AA$3&gt;(A10taxstdlife+$E603),(('PTRM input'!$K$152+'PTRM input'!$K$118)*$K$7)-SUM($K603:Z603),(('PTRM input'!$K$152+'PTRM input'!$K$118)*$K$7)/A10taxstdlife))</f>
        <v>0</v>
      </c>
      <c r="AB603" s="590">
        <f>IF(A10taxstdlife="n/a","n/a",IF(AB$3&gt;(A10taxstdlife+$E603),(('PTRM input'!$K$152+'PTRM input'!$K$118)*$K$7)-SUM($K603:AA603),(('PTRM input'!$K$152+'PTRM input'!$K$118)*$K$7)/A10taxstdlife))</f>
        <v>0</v>
      </c>
      <c r="AC603" s="590">
        <f>IF(A10taxstdlife="n/a","n/a",IF(AC$3&gt;(A10taxstdlife+$E603),(('PTRM input'!$K$152+'PTRM input'!$K$118)*$K$7)-SUM($K603:AB603),(('PTRM input'!$K$152+'PTRM input'!$K$118)*$K$7)/A10taxstdlife))</f>
        <v>0</v>
      </c>
      <c r="AD603" s="590">
        <f>IF(A10taxstdlife="n/a","n/a",IF(AD$3&gt;(A10taxstdlife+$E603),(('PTRM input'!$K$152+'PTRM input'!$K$118)*$K$7)-SUM($K603:AC603),(('PTRM input'!$K$152+'PTRM input'!$K$118)*$K$7)/A10taxstdlife))</f>
        <v>0</v>
      </c>
      <c r="AE603" s="590">
        <f>IF(A10taxstdlife="n/a","n/a",IF(AE$3&gt;(A10taxstdlife+$E603),(('PTRM input'!$K$152+'PTRM input'!$K$118)*$K$7)-SUM($K603:AD603),(('PTRM input'!$K$152+'PTRM input'!$K$118)*$K$7)/A10taxstdlife))</f>
        <v>0</v>
      </c>
      <c r="AF603" s="590">
        <f>IF(A10taxstdlife="n/a","n/a",IF(AF$3&gt;(A10taxstdlife+$E603),(('PTRM input'!$K$152+'PTRM input'!$K$118)*$K$7)-SUM($K603:AE603),(('PTRM input'!$K$152+'PTRM input'!$K$118)*$K$7)/A10taxstdlife))</f>
        <v>0</v>
      </c>
      <c r="AG603" s="590">
        <f>IF(A10taxstdlife="n/a","n/a",IF(AG$3&gt;(A10taxstdlife+$E603),(('PTRM input'!$K$152+'PTRM input'!$K$118)*$K$7)-SUM($K603:AF603),(('PTRM input'!$K$152+'PTRM input'!$K$118)*$K$7)/A10taxstdlife))</f>
        <v>0</v>
      </c>
      <c r="AH603" s="590">
        <f>IF(A10taxstdlife="n/a","n/a",IF(AH$3&gt;(A10taxstdlife+$E603),(('PTRM input'!$K$152+'PTRM input'!$K$118)*$K$7)-SUM($K603:AG603),(('PTRM input'!$K$152+'PTRM input'!$K$118)*$K$7)/A10taxstdlife))</f>
        <v>0</v>
      </c>
      <c r="AI603" s="590">
        <f>IF(A10taxstdlife="n/a","n/a",IF(AI$3&gt;(A10taxstdlife+$E603),(('PTRM input'!$K$152+'PTRM input'!$K$118)*$K$7)-SUM($K603:AH603),(('PTRM input'!$K$152+'PTRM input'!$K$118)*$K$7)/A10taxstdlife))</f>
        <v>0</v>
      </c>
      <c r="AJ603" s="590">
        <f>IF(A10taxstdlife="n/a","n/a",IF(AJ$3&gt;(A10taxstdlife+$E603),(('PTRM input'!$K$152+'PTRM input'!$K$118)*$K$7)-SUM($K603:AI603),(('PTRM input'!$K$152+'PTRM input'!$K$118)*$K$7)/A10taxstdlife))</f>
        <v>0</v>
      </c>
      <c r="AK603" s="590">
        <f>IF(A10taxstdlife="n/a","n/a",IF(AK$3&gt;(A10taxstdlife+$E603),(('PTRM input'!$K$152+'PTRM input'!$K$118)*$K$7)-SUM($K603:AJ603),(('PTRM input'!$K$152+'PTRM input'!$K$118)*$K$7)/A10taxstdlife))</f>
        <v>0</v>
      </c>
      <c r="AL603" s="590">
        <f>IF(A10taxstdlife="n/a","n/a",IF(AL$3&gt;(A10taxstdlife+$E603),(('PTRM input'!$K$152+'PTRM input'!$K$118)*$K$7)-SUM($K603:AK603),(('PTRM input'!$K$152+'PTRM input'!$K$118)*$K$7)/A10taxstdlife))</f>
        <v>0</v>
      </c>
      <c r="AM603" s="590">
        <f>IF(A10taxstdlife="n/a","n/a",IF(AM$3&gt;(A10taxstdlife+$E603),(('PTRM input'!$K$152+'PTRM input'!$K$118)*$K$7)-SUM($K603:AL603),(('PTRM input'!$K$152+'PTRM input'!$K$118)*$K$7)/A10taxstdlife))</f>
        <v>0</v>
      </c>
      <c r="AN603" s="590">
        <f>IF(A10taxstdlife="n/a","n/a",IF(AN$3&gt;(A10taxstdlife+$E603),(('PTRM input'!$K$152+'PTRM input'!$K$118)*$K$7)-SUM($K603:AM603),(('PTRM input'!$K$152+'PTRM input'!$K$118)*$K$7)/A10taxstdlife))</f>
        <v>0</v>
      </c>
      <c r="AO603" s="590">
        <f>IF(A10taxstdlife="n/a","n/a",IF(AO$3&gt;(A10taxstdlife+$E603),(('PTRM input'!$K$152+'PTRM input'!$K$118)*$K$7)-SUM($K603:AN603),(('PTRM input'!$K$152+'PTRM input'!$K$118)*$K$7)/A10taxstdlife))</f>
        <v>0</v>
      </c>
      <c r="AP603" s="590">
        <f>IF(A10taxstdlife="n/a","n/a",IF(AP$3&gt;(A10taxstdlife+$E603),(('PTRM input'!$K$152+'PTRM input'!$K$118)*$K$7)-SUM($K603:AO603),(('PTRM input'!$K$152+'PTRM input'!$K$118)*$K$7)/A10taxstdlife))</f>
        <v>0</v>
      </c>
      <c r="AQ603" s="590">
        <f>IF(A10taxstdlife="n/a","n/a",IF(AQ$3&gt;(A10taxstdlife+$E603),(('PTRM input'!$K$152+'PTRM input'!$K$118)*$K$7)-SUM($K603:AP603),(('PTRM input'!$K$152+'PTRM input'!$K$118)*$K$7)/A10taxstdlife))</f>
        <v>0</v>
      </c>
      <c r="AR603" s="590">
        <f>IF(A10taxstdlife="n/a","n/a",IF(AR$3&gt;(A10taxstdlife+$E603),(('PTRM input'!$K$152+'PTRM input'!$K$118)*$K$7)-SUM($K603:AQ603),(('PTRM input'!$K$152+'PTRM input'!$K$118)*$K$7)/A10taxstdlife))</f>
        <v>0</v>
      </c>
      <c r="AS603" s="590">
        <f>IF(A10taxstdlife="n/a","n/a",IF(AS$3&gt;(A10taxstdlife+$E603),(('PTRM input'!$K$152+'PTRM input'!$K$118)*$K$7)-SUM($K603:AR603),(('PTRM input'!$K$152+'PTRM input'!$K$118)*$K$7)/A10taxstdlife))</f>
        <v>0</v>
      </c>
      <c r="AT603" s="590">
        <f>IF(A10taxstdlife="n/a","n/a",IF(AT$3&gt;(A10taxstdlife+$E603),(('PTRM input'!$K$152+'PTRM input'!$K$118)*$K$7)-SUM($K603:AS603),(('PTRM input'!$K$152+'PTRM input'!$K$118)*$K$7)/A10taxstdlife))</f>
        <v>0</v>
      </c>
      <c r="AU603" s="590">
        <f>IF(A10taxstdlife="n/a","n/a",IF(AU$3&gt;(A10taxstdlife+$E603),(('PTRM input'!$K$152+'PTRM input'!$K$118)*$K$7)-SUM($K603:AT603),(('PTRM input'!$K$152+'PTRM input'!$K$118)*$K$7)/A10taxstdlife))</f>
        <v>0</v>
      </c>
      <c r="AV603" s="590">
        <f>IF(A10taxstdlife="n/a","n/a",IF(AV$3&gt;(A10taxstdlife+$E603),(('PTRM input'!$K$152+'PTRM input'!$K$118)*$K$7)-SUM($K603:AU603),(('PTRM input'!$K$152+'PTRM input'!$K$118)*$K$7)/A10taxstdlife))</f>
        <v>0</v>
      </c>
      <c r="AW603" s="590">
        <f>IF(A10taxstdlife="n/a","n/a",IF(AW$3&gt;(A10taxstdlife+$E603),(('PTRM input'!$K$152+'PTRM input'!$K$118)*$K$7)-SUM($K603:AV603),(('PTRM input'!$K$152+'PTRM input'!$K$118)*$K$7)/A10taxstdlife))</f>
        <v>0</v>
      </c>
      <c r="AX603" s="590">
        <f>IF(A10taxstdlife="n/a","n/a",IF(AX$3&gt;(A10taxstdlife+$E603),(('PTRM input'!$K$152+'PTRM input'!$K$118)*$K$7)-SUM($K603:AW603),(('PTRM input'!$K$152+'PTRM input'!$K$118)*$K$7)/A10taxstdlife))</f>
        <v>0</v>
      </c>
      <c r="AY603" s="590">
        <f>IF(A10taxstdlife="n/a","n/a",IF(AY$3&gt;(A10taxstdlife+$E603),(('PTRM input'!$K$152+'PTRM input'!$K$118)*$K$7)-SUM($K603:AX603),(('PTRM input'!$K$152+'PTRM input'!$K$118)*$K$7)/A10taxstdlife))</f>
        <v>0</v>
      </c>
      <c r="AZ603" s="590">
        <f>IF(A10taxstdlife="n/a","n/a",IF(AZ$3&gt;(A10taxstdlife+$E603),(('PTRM input'!$K$152+'PTRM input'!$K$118)*$K$7)-SUM($K603:AY603),(('PTRM input'!$K$152+'PTRM input'!$K$118)*$K$7)/A10taxstdlife))</f>
        <v>0</v>
      </c>
      <c r="BA603" s="590">
        <f>IF(A10taxstdlife="n/a","n/a",IF(BA$3&gt;(A10taxstdlife+$E603),(('PTRM input'!$K$152+'PTRM input'!$K$118)*$K$7)-SUM($K603:AZ603),(('PTRM input'!$K$152+'PTRM input'!$K$118)*$K$7)/A10taxstdlife))</f>
        <v>0</v>
      </c>
      <c r="BB603" s="590">
        <f>IF(A10taxstdlife="n/a","n/a",IF(BB$3&gt;(A10taxstdlife+$E603),(('PTRM input'!$K$152+'PTRM input'!$K$118)*$K$7)-SUM($K603:BA603),(('PTRM input'!$K$152+'PTRM input'!$K$118)*$K$7)/A10taxstdlife))</f>
        <v>0</v>
      </c>
      <c r="BC603" s="590">
        <f>IF(A10taxstdlife="n/a","n/a",IF(BC$3&gt;(A10taxstdlife+$E603),(('PTRM input'!$K$152+'PTRM input'!$K$118)*$K$7)-SUM($K603:BB603),(('PTRM input'!$K$152+'PTRM input'!$K$118)*$K$7)/A10taxstdlife))</f>
        <v>0</v>
      </c>
      <c r="BD603" s="590">
        <f>IF(A10taxstdlife="n/a","n/a",IF(BD$3&gt;(A10taxstdlife+$E603),(('PTRM input'!$K$152+'PTRM input'!$K$118)*$K$7)-SUM($K603:BC603),(('PTRM input'!$K$152+'PTRM input'!$K$118)*$K$7)/A10taxstdlife))</f>
        <v>0</v>
      </c>
      <c r="BE603" s="590">
        <f>IF(A10taxstdlife="n/a","n/a",IF(BE$3&gt;(A10taxstdlife+$E603),(('PTRM input'!$K$152+'PTRM input'!$K$118)*$K$7)-SUM($K603:BD603),(('PTRM input'!$K$152+'PTRM input'!$K$118)*$K$7)/A10taxstdlife))</f>
        <v>0</v>
      </c>
      <c r="BF603" s="590">
        <f>IF(A10taxstdlife="n/a","n/a",IF(BF$3&gt;(A10taxstdlife+$E603),(('PTRM input'!$K$152+'PTRM input'!$K$118)*$K$7)-SUM($K603:BE603),(('PTRM input'!$K$152+'PTRM input'!$K$118)*$K$7)/A10taxstdlife))</f>
        <v>0</v>
      </c>
      <c r="BG603" s="590">
        <f>IF(A10taxstdlife="n/a","n/a",IF(BG$3&gt;(A10taxstdlife+$E603),(('PTRM input'!$K$152+'PTRM input'!$K$118)*$K$7)-SUM($K603:BF603),(('PTRM input'!$K$152+'PTRM input'!$K$118)*$K$7)/A10taxstdlife))</f>
        <v>0</v>
      </c>
      <c r="BH603" s="590">
        <f>IF(A10taxstdlife="n/a","n/a",IF(BH$3&gt;(A10taxstdlife+$E603),(('PTRM input'!$K$152+'PTRM input'!$K$118)*$K$7)-SUM($K603:BG603),(('PTRM input'!$K$152+'PTRM input'!$K$118)*$K$7)/A10taxstdlife))</f>
        <v>0</v>
      </c>
      <c r="BI603" s="590">
        <f>IF(A10taxstdlife="n/a","n/a",IF(BI$3&gt;(A10taxstdlife+$E603),(('PTRM input'!$K$152+'PTRM input'!$K$118)*$K$7)-SUM($K603:BH603),(('PTRM input'!$K$152+'PTRM input'!$K$118)*$K$7)/A10taxstdlife))</f>
        <v>0</v>
      </c>
      <c r="BJ603" s="240"/>
      <c r="BK603" s="240"/>
      <c r="BL603" s="240"/>
      <c r="BM603" s="240"/>
    </row>
    <row r="604" spans="1:65" s="4" customFormat="1" hidden="1" outlineLevel="2">
      <c r="A604" s="240"/>
      <c r="B604" s="240"/>
      <c r="C604" s="595"/>
      <c r="D604" s="1618"/>
      <c r="E604" s="169">
        <v>6</v>
      </c>
      <c r="F604" s="35"/>
      <c r="G604" s="184"/>
      <c r="H604" s="186"/>
      <c r="I604" s="186"/>
      <c r="J604" s="186"/>
      <c r="K604" s="186"/>
      <c r="L604" s="185"/>
      <c r="M604" s="107">
        <f>IF(A10taxstdlife="n/a","n/a",IF(M$3&gt;(A10taxstdlife+$E604),(('PTRM input'!$L$152+'PTRM input'!$L$118)*$L$7)-SUM($L604:L604),(('PTRM input'!$L$152+'PTRM input'!$L$118)*$L$7)/A10taxstdlife))</f>
        <v>0</v>
      </c>
      <c r="N604" s="107">
        <f>IF(A10taxstdlife="n/a","n/a",IF(N$3&gt;(A10taxstdlife+$E604),(('PTRM input'!$L$152+'PTRM input'!$L$118)*$L$7)-SUM($L604:M604),(('PTRM input'!$L$152+'PTRM input'!$L$118)*$L$7)/A10taxstdlife))</f>
        <v>0</v>
      </c>
      <c r="O604" s="107">
        <f>IF(A10taxstdlife="n/a","n/a",IF(O$3&gt;(A10taxstdlife+$E604),(('PTRM input'!$L$152+'PTRM input'!$L$118)*$L$7)-SUM($L604:N604),(('PTRM input'!$L$152+'PTRM input'!$L$118)*$L$7)/A10taxstdlife))</f>
        <v>0</v>
      </c>
      <c r="P604" s="107">
        <f>IF(A10taxstdlife="n/a","n/a",IF(P$3&gt;(A10taxstdlife+$E604),(('PTRM input'!$L$152+'PTRM input'!$L$118)*$L$7)-SUM($L604:O604),(('PTRM input'!$L$152+'PTRM input'!$L$118)*$L$7)/A10taxstdlife))</f>
        <v>0</v>
      </c>
      <c r="Q604" s="590">
        <f>IF(A10taxstdlife="n/a","n/a",IF(Q$3&gt;(A10taxstdlife+$E604),(('PTRM input'!$L$152+'PTRM input'!$L$118)*$L$7)-SUM($L604:P604),(('PTRM input'!$L$152+'PTRM input'!$L$118)*$L$7)/A10taxstdlife))</f>
        <v>0</v>
      </c>
      <c r="R604" s="590">
        <f>IF(A10taxstdlife="n/a","n/a",IF(R$3&gt;(A10taxstdlife+$E604),(('PTRM input'!$L$152+'PTRM input'!$L$118)*$L$7)-SUM($L604:Q604),(('PTRM input'!$L$152+'PTRM input'!$L$118)*$L$7)/A10taxstdlife))</f>
        <v>0</v>
      </c>
      <c r="S604" s="590">
        <f>IF(A10taxstdlife="n/a","n/a",IF(S$3&gt;(A10taxstdlife+$E604),(('PTRM input'!$L$152+'PTRM input'!$L$118)*$L$7)-SUM($L604:R604),(('PTRM input'!$L$152+'PTRM input'!$L$118)*$L$7)/A10taxstdlife))</f>
        <v>0</v>
      </c>
      <c r="T604" s="590">
        <f>IF(A10taxstdlife="n/a","n/a",IF(T$3&gt;(A10taxstdlife+$E604),(('PTRM input'!$L$152+'PTRM input'!$L$118)*$L$7)-SUM($L604:S604),(('PTRM input'!$L$152+'PTRM input'!$L$118)*$L$7)/A10taxstdlife))</f>
        <v>0</v>
      </c>
      <c r="U604" s="590">
        <f>IF(A10taxstdlife="n/a","n/a",IF(U$3&gt;(A10taxstdlife+$E604),(('PTRM input'!$L$152+'PTRM input'!$L$118)*$L$7)-SUM($L604:T604),(('PTRM input'!$L$152+'PTRM input'!$L$118)*$L$7)/A10taxstdlife))</f>
        <v>0</v>
      </c>
      <c r="V604" s="590">
        <f>IF(A10taxstdlife="n/a","n/a",IF(V$3&gt;(A10taxstdlife+$E604),(('PTRM input'!$L$152+'PTRM input'!$L$118)*$L$7)-SUM($L604:U604),(('PTRM input'!$L$152+'PTRM input'!$L$118)*$L$7)/A10taxstdlife))</f>
        <v>0</v>
      </c>
      <c r="W604" s="590">
        <f>IF(A10taxstdlife="n/a","n/a",IF(W$3&gt;(A10taxstdlife+$E604),(('PTRM input'!$L$152+'PTRM input'!$L$118)*$L$7)-SUM($L604:V604),(('PTRM input'!$L$152+'PTRM input'!$L$118)*$L$7)/A10taxstdlife))</f>
        <v>0</v>
      </c>
      <c r="X604" s="590">
        <f>IF(A10taxstdlife="n/a","n/a",IF(X$3&gt;(A10taxstdlife+$E604),(('PTRM input'!$L$152+'PTRM input'!$L$118)*$L$7)-SUM($L604:W604),(('PTRM input'!$L$152+'PTRM input'!$L$118)*$L$7)/A10taxstdlife))</f>
        <v>0</v>
      </c>
      <c r="Y604" s="590">
        <f>IF(A10taxstdlife="n/a","n/a",IF(Y$3&gt;(A10taxstdlife+$E604),(('PTRM input'!$L$152+'PTRM input'!$L$118)*$L$7)-SUM($L604:X604),(('PTRM input'!$L$152+'PTRM input'!$L$118)*$L$7)/A10taxstdlife))</f>
        <v>0</v>
      </c>
      <c r="Z604" s="590">
        <f>IF(A10taxstdlife="n/a","n/a",IF(Z$3&gt;(A10taxstdlife+$E604),(('PTRM input'!$L$152+'PTRM input'!$L$118)*$L$7)-SUM($L604:Y604),(('PTRM input'!$L$152+'PTRM input'!$L$118)*$L$7)/A10taxstdlife))</f>
        <v>0</v>
      </c>
      <c r="AA604" s="590">
        <f>IF(A10taxstdlife="n/a","n/a",IF(AA$3&gt;(A10taxstdlife+$E604),(('PTRM input'!$L$152+'PTRM input'!$L$118)*$L$7)-SUM($L604:Z604),(('PTRM input'!$L$152+'PTRM input'!$L$118)*$L$7)/A10taxstdlife))</f>
        <v>0</v>
      </c>
      <c r="AB604" s="590">
        <f>IF(A10taxstdlife="n/a","n/a",IF(AB$3&gt;(A10taxstdlife+$E604),(('PTRM input'!$L$152+'PTRM input'!$L$118)*$L$7)-SUM($L604:AA604),(('PTRM input'!$L$152+'PTRM input'!$L$118)*$L$7)/A10taxstdlife))</f>
        <v>0</v>
      </c>
      <c r="AC604" s="590">
        <f>IF(A10taxstdlife="n/a","n/a",IF(AC$3&gt;(A10taxstdlife+$E604),(('PTRM input'!$L$152+'PTRM input'!$L$118)*$L$7)-SUM($L604:AB604),(('PTRM input'!$L$152+'PTRM input'!$L$118)*$L$7)/A10taxstdlife))</f>
        <v>0</v>
      </c>
      <c r="AD604" s="590">
        <f>IF(A10taxstdlife="n/a","n/a",IF(AD$3&gt;(A10taxstdlife+$E604),(('PTRM input'!$L$152+'PTRM input'!$L$118)*$L$7)-SUM($L604:AC604),(('PTRM input'!$L$152+'PTRM input'!$L$118)*$L$7)/A10taxstdlife))</f>
        <v>0</v>
      </c>
      <c r="AE604" s="590">
        <f>IF(A10taxstdlife="n/a","n/a",IF(AE$3&gt;(A10taxstdlife+$E604),(('PTRM input'!$L$152+'PTRM input'!$L$118)*$L$7)-SUM($L604:AD604),(('PTRM input'!$L$152+'PTRM input'!$L$118)*$L$7)/A10taxstdlife))</f>
        <v>0</v>
      </c>
      <c r="AF604" s="590">
        <f>IF(A10taxstdlife="n/a","n/a",IF(AF$3&gt;(A10taxstdlife+$E604),(('PTRM input'!$L$152+'PTRM input'!$L$118)*$L$7)-SUM($L604:AE604),(('PTRM input'!$L$152+'PTRM input'!$L$118)*$L$7)/A10taxstdlife))</f>
        <v>0</v>
      </c>
      <c r="AG604" s="590">
        <f>IF(A10taxstdlife="n/a","n/a",IF(AG$3&gt;(A10taxstdlife+$E604),(('PTRM input'!$L$152+'PTRM input'!$L$118)*$L$7)-SUM($L604:AF604),(('PTRM input'!$L$152+'PTRM input'!$L$118)*$L$7)/A10taxstdlife))</f>
        <v>0</v>
      </c>
      <c r="AH604" s="590">
        <f>IF(A10taxstdlife="n/a","n/a",IF(AH$3&gt;(A10taxstdlife+$E604),(('PTRM input'!$L$152+'PTRM input'!$L$118)*$L$7)-SUM($L604:AG604),(('PTRM input'!$L$152+'PTRM input'!$L$118)*$L$7)/A10taxstdlife))</f>
        <v>0</v>
      </c>
      <c r="AI604" s="590">
        <f>IF(A10taxstdlife="n/a","n/a",IF(AI$3&gt;(A10taxstdlife+$E604),(('PTRM input'!$L$152+'PTRM input'!$L$118)*$L$7)-SUM($L604:AH604),(('PTRM input'!$L$152+'PTRM input'!$L$118)*$L$7)/A10taxstdlife))</f>
        <v>0</v>
      </c>
      <c r="AJ604" s="590">
        <f>IF(A10taxstdlife="n/a","n/a",IF(AJ$3&gt;(A10taxstdlife+$E604),(('PTRM input'!$L$152+'PTRM input'!$L$118)*$L$7)-SUM($L604:AI604),(('PTRM input'!$L$152+'PTRM input'!$L$118)*$L$7)/A10taxstdlife))</f>
        <v>0</v>
      </c>
      <c r="AK604" s="590">
        <f>IF(A10taxstdlife="n/a","n/a",IF(AK$3&gt;(A10taxstdlife+$E604),(('PTRM input'!$L$152+'PTRM input'!$L$118)*$L$7)-SUM($L604:AJ604),(('PTRM input'!$L$152+'PTRM input'!$L$118)*$L$7)/A10taxstdlife))</f>
        <v>0</v>
      </c>
      <c r="AL604" s="590">
        <f>IF(A10taxstdlife="n/a","n/a",IF(AL$3&gt;(A10taxstdlife+$E604),(('PTRM input'!$L$152+'PTRM input'!$L$118)*$L$7)-SUM($L604:AK604),(('PTRM input'!$L$152+'PTRM input'!$L$118)*$L$7)/A10taxstdlife))</f>
        <v>0</v>
      </c>
      <c r="AM604" s="590">
        <f>IF(A10taxstdlife="n/a","n/a",IF(AM$3&gt;(A10taxstdlife+$E604),(('PTRM input'!$L$152+'PTRM input'!$L$118)*$L$7)-SUM($L604:AL604),(('PTRM input'!$L$152+'PTRM input'!$L$118)*$L$7)/A10taxstdlife))</f>
        <v>0</v>
      </c>
      <c r="AN604" s="590">
        <f>IF(A10taxstdlife="n/a","n/a",IF(AN$3&gt;(A10taxstdlife+$E604),(('PTRM input'!$L$152+'PTRM input'!$L$118)*$L$7)-SUM($L604:AM604),(('PTRM input'!$L$152+'PTRM input'!$L$118)*$L$7)/A10taxstdlife))</f>
        <v>0</v>
      </c>
      <c r="AO604" s="590">
        <f>IF(A10taxstdlife="n/a","n/a",IF(AO$3&gt;(A10taxstdlife+$E604),(('PTRM input'!$L$152+'PTRM input'!$L$118)*$L$7)-SUM($L604:AN604),(('PTRM input'!$L$152+'PTRM input'!$L$118)*$L$7)/A10taxstdlife))</f>
        <v>0</v>
      </c>
      <c r="AP604" s="590">
        <f>IF(A10taxstdlife="n/a","n/a",IF(AP$3&gt;(A10taxstdlife+$E604),(('PTRM input'!$L$152+'PTRM input'!$L$118)*$L$7)-SUM($L604:AO604),(('PTRM input'!$L$152+'PTRM input'!$L$118)*$L$7)/A10taxstdlife))</f>
        <v>0</v>
      </c>
      <c r="AQ604" s="590">
        <f>IF(A10taxstdlife="n/a","n/a",IF(AQ$3&gt;(A10taxstdlife+$E604),(('PTRM input'!$L$152+'PTRM input'!$L$118)*$L$7)-SUM($L604:AP604),(('PTRM input'!$L$152+'PTRM input'!$L$118)*$L$7)/A10taxstdlife))</f>
        <v>0</v>
      </c>
      <c r="AR604" s="590">
        <f>IF(A10taxstdlife="n/a","n/a",IF(AR$3&gt;(A10taxstdlife+$E604),(('PTRM input'!$L$152+'PTRM input'!$L$118)*$L$7)-SUM($L604:AQ604),(('PTRM input'!$L$152+'PTRM input'!$L$118)*$L$7)/A10taxstdlife))</f>
        <v>0</v>
      </c>
      <c r="AS604" s="590">
        <f>IF(A10taxstdlife="n/a","n/a",IF(AS$3&gt;(A10taxstdlife+$E604),(('PTRM input'!$L$152+'PTRM input'!$L$118)*$L$7)-SUM($L604:AR604),(('PTRM input'!$L$152+'PTRM input'!$L$118)*$L$7)/A10taxstdlife))</f>
        <v>0</v>
      </c>
      <c r="AT604" s="590">
        <f>IF(A10taxstdlife="n/a","n/a",IF(AT$3&gt;(A10taxstdlife+$E604),(('PTRM input'!$L$152+'PTRM input'!$L$118)*$L$7)-SUM($L604:AS604),(('PTRM input'!$L$152+'PTRM input'!$L$118)*$L$7)/A10taxstdlife))</f>
        <v>0</v>
      </c>
      <c r="AU604" s="590">
        <f>IF(A10taxstdlife="n/a","n/a",IF(AU$3&gt;(A10taxstdlife+$E604),(('PTRM input'!$L$152+'PTRM input'!$L$118)*$L$7)-SUM($L604:AT604),(('PTRM input'!$L$152+'PTRM input'!$L$118)*$L$7)/A10taxstdlife))</f>
        <v>0</v>
      </c>
      <c r="AV604" s="590">
        <f>IF(A10taxstdlife="n/a","n/a",IF(AV$3&gt;(A10taxstdlife+$E604),(('PTRM input'!$L$152+'PTRM input'!$L$118)*$L$7)-SUM($L604:AU604),(('PTRM input'!$L$152+'PTRM input'!$L$118)*$L$7)/A10taxstdlife))</f>
        <v>0</v>
      </c>
      <c r="AW604" s="590">
        <f>IF(A10taxstdlife="n/a","n/a",IF(AW$3&gt;(A10taxstdlife+$E604),(('PTRM input'!$L$152+'PTRM input'!$L$118)*$L$7)-SUM($L604:AV604),(('PTRM input'!$L$152+'PTRM input'!$L$118)*$L$7)/A10taxstdlife))</f>
        <v>0</v>
      </c>
      <c r="AX604" s="590">
        <f>IF(A10taxstdlife="n/a","n/a",IF(AX$3&gt;(A10taxstdlife+$E604),(('PTRM input'!$L$152+'PTRM input'!$L$118)*$L$7)-SUM($L604:AW604),(('PTRM input'!$L$152+'PTRM input'!$L$118)*$L$7)/A10taxstdlife))</f>
        <v>0</v>
      </c>
      <c r="AY604" s="590">
        <f>IF(A10taxstdlife="n/a","n/a",IF(AY$3&gt;(A10taxstdlife+$E604),(('PTRM input'!$L$152+'PTRM input'!$L$118)*$L$7)-SUM($L604:AX604),(('PTRM input'!$L$152+'PTRM input'!$L$118)*$L$7)/A10taxstdlife))</f>
        <v>0</v>
      </c>
      <c r="AZ604" s="590">
        <f>IF(A10taxstdlife="n/a","n/a",IF(AZ$3&gt;(A10taxstdlife+$E604),(('PTRM input'!$L$152+'PTRM input'!$L$118)*$L$7)-SUM($L604:AY604),(('PTRM input'!$L$152+'PTRM input'!$L$118)*$L$7)/A10taxstdlife))</f>
        <v>0</v>
      </c>
      <c r="BA604" s="590">
        <f>IF(A10taxstdlife="n/a","n/a",IF(BA$3&gt;(A10taxstdlife+$E604),(('PTRM input'!$L$152+'PTRM input'!$L$118)*$L$7)-SUM($L604:AZ604),(('PTRM input'!$L$152+'PTRM input'!$L$118)*$L$7)/A10taxstdlife))</f>
        <v>0</v>
      </c>
      <c r="BB604" s="590">
        <f>IF(A10taxstdlife="n/a","n/a",IF(BB$3&gt;(A10taxstdlife+$E604),(('PTRM input'!$L$152+'PTRM input'!$L$118)*$L$7)-SUM($L604:BA604),(('PTRM input'!$L$152+'PTRM input'!$L$118)*$L$7)/A10taxstdlife))</f>
        <v>0</v>
      </c>
      <c r="BC604" s="590">
        <f>IF(A10taxstdlife="n/a","n/a",IF(BC$3&gt;(A10taxstdlife+$E604),(('PTRM input'!$L$152+'PTRM input'!$L$118)*$L$7)-SUM($L604:BB604),(('PTRM input'!$L$152+'PTRM input'!$L$118)*$L$7)/A10taxstdlife))</f>
        <v>0</v>
      </c>
      <c r="BD604" s="590">
        <f>IF(A10taxstdlife="n/a","n/a",IF(BD$3&gt;(A10taxstdlife+$E604),(('PTRM input'!$L$152+'PTRM input'!$L$118)*$L$7)-SUM($L604:BC604),(('PTRM input'!$L$152+'PTRM input'!$L$118)*$L$7)/A10taxstdlife))</f>
        <v>0</v>
      </c>
      <c r="BE604" s="590">
        <f>IF(A10taxstdlife="n/a","n/a",IF(BE$3&gt;(A10taxstdlife+$E604),(('PTRM input'!$L$152+'PTRM input'!$L$118)*$L$7)-SUM($L604:BD604),(('PTRM input'!$L$152+'PTRM input'!$L$118)*$L$7)/A10taxstdlife))</f>
        <v>0</v>
      </c>
      <c r="BF604" s="590">
        <f>IF(A10taxstdlife="n/a","n/a",IF(BF$3&gt;(A10taxstdlife+$E604),(('PTRM input'!$L$152+'PTRM input'!$L$118)*$L$7)-SUM($L604:BE604),(('PTRM input'!$L$152+'PTRM input'!$L$118)*$L$7)/A10taxstdlife))</f>
        <v>0</v>
      </c>
      <c r="BG604" s="590">
        <f>IF(A10taxstdlife="n/a","n/a",IF(BG$3&gt;(A10taxstdlife+$E604),(('PTRM input'!$L$152+'PTRM input'!$L$118)*$L$7)-SUM($L604:BF604),(('PTRM input'!$L$152+'PTRM input'!$L$118)*$L$7)/A10taxstdlife))</f>
        <v>0</v>
      </c>
      <c r="BH604" s="590">
        <f>IF(A10taxstdlife="n/a","n/a",IF(BH$3&gt;(A10taxstdlife+$E604),(('PTRM input'!$L$152+'PTRM input'!$L$118)*$L$7)-SUM($L604:BG604),(('PTRM input'!$L$152+'PTRM input'!$L$118)*$L$7)/A10taxstdlife))</f>
        <v>0</v>
      </c>
      <c r="BI604" s="590">
        <f>IF(A10taxstdlife="n/a","n/a",IF(BI$3&gt;(A10taxstdlife+$E604),(('PTRM input'!$L$152+'PTRM input'!$L$118)*$L$7)-SUM($L604:BH604),(('PTRM input'!$L$152+'PTRM input'!$L$118)*$L$7)/A10taxstdlife))</f>
        <v>0</v>
      </c>
      <c r="BJ604" s="240"/>
      <c r="BK604" s="240"/>
      <c r="BL604" s="240"/>
      <c r="BM604" s="240"/>
    </row>
    <row r="605" spans="1:65" s="4" customFormat="1" hidden="1" outlineLevel="2">
      <c r="A605" s="240"/>
      <c r="B605" s="240"/>
      <c r="C605" s="595"/>
      <c r="D605" s="1618"/>
      <c r="E605" s="169">
        <v>7</v>
      </c>
      <c r="F605" s="35"/>
      <c r="G605" s="184"/>
      <c r="H605" s="186"/>
      <c r="I605" s="186"/>
      <c r="J605" s="186"/>
      <c r="K605" s="186"/>
      <c r="L605" s="186"/>
      <c r="M605" s="185"/>
      <c r="N605" s="107">
        <f>IF(A10taxstdlife="n/a","n/a",IF(N$3&gt;(A10taxstdlife+$E605),(('PTRM input'!$M$152+'PTRM input'!$M$118)*$M$7)-SUM($M605:M605),(('PTRM input'!$M$152+'PTRM input'!$M$118)*$M$7)/A10taxstdlife))</f>
        <v>0</v>
      </c>
      <c r="O605" s="107">
        <f>IF(A10taxstdlife="n/a","n/a",IF(O$3&gt;(A10taxstdlife+$E605),(('PTRM input'!$M$152+'PTRM input'!$M$118)*$M$7)-SUM($M605:N605),(('PTRM input'!$M$152+'PTRM input'!$M$118)*$M$7)/A10taxstdlife))</f>
        <v>0</v>
      </c>
      <c r="P605" s="107">
        <f>IF(A10taxstdlife="n/a","n/a",IF(P$3&gt;(A10taxstdlife+$E605),(('PTRM input'!$M$152+'PTRM input'!$M$118)*$M$7)-SUM($M605:O605),(('PTRM input'!$M$152+'PTRM input'!$M$118)*$M$7)/A10taxstdlife))</f>
        <v>0</v>
      </c>
      <c r="Q605" s="590">
        <f>IF(A10taxstdlife="n/a","n/a",IF(Q$3&gt;(A10taxstdlife+$E605),(('PTRM input'!$M$152+'PTRM input'!$M$118)*$M$7)-SUM($M605:P605),(('PTRM input'!$M$152+'PTRM input'!$M$118)*$M$7)/A10taxstdlife))</f>
        <v>0</v>
      </c>
      <c r="R605" s="590">
        <f>IF(A10taxstdlife="n/a","n/a",IF(R$3&gt;(A10taxstdlife+$E605),(('PTRM input'!$M$152+'PTRM input'!$M$118)*$M$7)-SUM($M605:Q605),(('PTRM input'!$M$152+'PTRM input'!$M$118)*$M$7)/A10taxstdlife))</f>
        <v>0</v>
      </c>
      <c r="S605" s="590">
        <f>IF(A10taxstdlife="n/a","n/a",IF(S$3&gt;(A10taxstdlife+$E605),(('PTRM input'!$M$152+'PTRM input'!$M$118)*$M$7)-SUM($M605:R605),(('PTRM input'!$M$152+'PTRM input'!$M$118)*$M$7)/A10taxstdlife))</f>
        <v>0</v>
      </c>
      <c r="T605" s="590">
        <f>IF(A10taxstdlife="n/a","n/a",IF(T$3&gt;(A10taxstdlife+$E605),(('PTRM input'!$M$152+'PTRM input'!$M$118)*$M$7)-SUM($M605:S605),(('PTRM input'!$M$152+'PTRM input'!$M$118)*$M$7)/A10taxstdlife))</f>
        <v>0</v>
      </c>
      <c r="U605" s="590">
        <f>IF(A10taxstdlife="n/a","n/a",IF(U$3&gt;(A10taxstdlife+$E605),(('PTRM input'!$M$152+'PTRM input'!$M$118)*$M$7)-SUM($M605:T605),(('PTRM input'!$M$152+'PTRM input'!$M$118)*$M$7)/A10taxstdlife))</f>
        <v>0</v>
      </c>
      <c r="V605" s="590">
        <f>IF(A10taxstdlife="n/a","n/a",IF(V$3&gt;(A10taxstdlife+$E605),(('PTRM input'!$M$152+'PTRM input'!$M$118)*$M$7)-SUM($M605:U605),(('PTRM input'!$M$152+'PTRM input'!$M$118)*$M$7)/A10taxstdlife))</f>
        <v>0</v>
      </c>
      <c r="W605" s="590">
        <f>IF(A10taxstdlife="n/a","n/a",IF(W$3&gt;(A10taxstdlife+$E605),(('PTRM input'!$M$152+'PTRM input'!$M$118)*$M$7)-SUM($M605:V605),(('PTRM input'!$M$152+'PTRM input'!$M$118)*$M$7)/A10taxstdlife))</f>
        <v>0</v>
      </c>
      <c r="X605" s="590">
        <f>IF(A10taxstdlife="n/a","n/a",IF(X$3&gt;(A10taxstdlife+$E605),(('PTRM input'!$M$152+'PTRM input'!$M$118)*$M$7)-SUM($M605:W605),(('PTRM input'!$M$152+'PTRM input'!$M$118)*$M$7)/A10taxstdlife))</f>
        <v>0</v>
      </c>
      <c r="Y605" s="590">
        <f>IF(A10taxstdlife="n/a","n/a",IF(Y$3&gt;(A10taxstdlife+$E605),(('PTRM input'!$M$152+'PTRM input'!$M$118)*$M$7)-SUM($M605:X605),(('PTRM input'!$M$152+'PTRM input'!$M$118)*$M$7)/A10taxstdlife))</f>
        <v>0</v>
      </c>
      <c r="Z605" s="590">
        <f>IF(A10taxstdlife="n/a","n/a",IF(Z$3&gt;(A10taxstdlife+$E605),(('PTRM input'!$M$152+'PTRM input'!$M$118)*$M$7)-SUM($M605:Y605),(('PTRM input'!$M$152+'PTRM input'!$M$118)*$M$7)/A10taxstdlife))</f>
        <v>0</v>
      </c>
      <c r="AA605" s="590">
        <f>IF(A10taxstdlife="n/a","n/a",IF(AA$3&gt;(A10taxstdlife+$E605),(('PTRM input'!$M$152+'PTRM input'!$M$118)*$M$7)-SUM($M605:Z605),(('PTRM input'!$M$152+'PTRM input'!$M$118)*$M$7)/A10taxstdlife))</f>
        <v>0</v>
      </c>
      <c r="AB605" s="590">
        <f>IF(A10taxstdlife="n/a","n/a",IF(AB$3&gt;(A10taxstdlife+$E605),(('PTRM input'!$M$152+'PTRM input'!$M$118)*$M$7)-SUM($M605:AA605),(('PTRM input'!$M$152+'PTRM input'!$M$118)*$M$7)/A10taxstdlife))</f>
        <v>0</v>
      </c>
      <c r="AC605" s="590">
        <f>IF(A10taxstdlife="n/a","n/a",IF(AC$3&gt;(A10taxstdlife+$E605),(('PTRM input'!$M$152+'PTRM input'!$M$118)*$M$7)-SUM($M605:AB605),(('PTRM input'!$M$152+'PTRM input'!$M$118)*$M$7)/A10taxstdlife))</f>
        <v>0</v>
      </c>
      <c r="AD605" s="590">
        <f>IF(A10taxstdlife="n/a","n/a",IF(AD$3&gt;(A10taxstdlife+$E605),(('PTRM input'!$M$152+'PTRM input'!$M$118)*$M$7)-SUM($M605:AC605),(('PTRM input'!$M$152+'PTRM input'!$M$118)*$M$7)/A10taxstdlife))</f>
        <v>0</v>
      </c>
      <c r="AE605" s="590">
        <f>IF(A10taxstdlife="n/a","n/a",IF(AE$3&gt;(A10taxstdlife+$E605),(('PTRM input'!$M$152+'PTRM input'!$M$118)*$M$7)-SUM($M605:AD605),(('PTRM input'!$M$152+'PTRM input'!$M$118)*$M$7)/A10taxstdlife))</f>
        <v>0</v>
      </c>
      <c r="AF605" s="590">
        <f>IF(A10taxstdlife="n/a","n/a",IF(AF$3&gt;(A10taxstdlife+$E605),(('PTRM input'!$M$152+'PTRM input'!$M$118)*$M$7)-SUM($M605:AE605),(('PTRM input'!$M$152+'PTRM input'!$M$118)*$M$7)/A10taxstdlife))</f>
        <v>0</v>
      </c>
      <c r="AG605" s="590">
        <f>IF(A10taxstdlife="n/a","n/a",IF(AG$3&gt;(A10taxstdlife+$E605),(('PTRM input'!$M$152+'PTRM input'!$M$118)*$M$7)-SUM($M605:AF605),(('PTRM input'!$M$152+'PTRM input'!$M$118)*$M$7)/A10taxstdlife))</f>
        <v>0</v>
      </c>
      <c r="AH605" s="590">
        <f>IF(A10taxstdlife="n/a","n/a",IF(AH$3&gt;(A10taxstdlife+$E605),(('PTRM input'!$M$152+'PTRM input'!$M$118)*$M$7)-SUM($M605:AG605),(('PTRM input'!$M$152+'PTRM input'!$M$118)*$M$7)/A10taxstdlife))</f>
        <v>0</v>
      </c>
      <c r="AI605" s="590">
        <f>IF(A10taxstdlife="n/a","n/a",IF(AI$3&gt;(A10taxstdlife+$E605),(('PTRM input'!$M$152+'PTRM input'!$M$118)*$M$7)-SUM($M605:AH605),(('PTRM input'!$M$152+'PTRM input'!$M$118)*$M$7)/A10taxstdlife))</f>
        <v>0</v>
      </c>
      <c r="AJ605" s="590">
        <f>IF(A10taxstdlife="n/a","n/a",IF(AJ$3&gt;(A10taxstdlife+$E605),(('PTRM input'!$M$152+'PTRM input'!$M$118)*$M$7)-SUM($M605:AI605),(('PTRM input'!$M$152+'PTRM input'!$M$118)*$M$7)/A10taxstdlife))</f>
        <v>0</v>
      </c>
      <c r="AK605" s="590">
        <f>IF(A10taxstdlife="n/a","n/a",IF(AK$3&gt;(A10taxstdlife+$E605),(('PTRM input'!$M$152+'PTRM input'!$M$118)*$M$7)-SUM($M605:AJ605),(('PTRM input'!$M$152+'PTRM input'!$M$118)*$M$7)/A10taxstdlife))</f>
        <v>0</v>
      </c>
      <c r="AL605" s="590">
        <f>IF(A10taxstdlife="n/a","n/a",IF(AL$3&gt;(A10taxstdlife+$E605),(('PTRM input'!$M$152+'PTRM input'!$M$118)*$M$7)-SUM($M605:AK605),(('PTRM input'!$M$152+'PTRM input'!$M$118)*$M$7)/A10taxstdlife))</f>
        <v>0</v>
      </c>
      <c r="AM605" s="590">
        <f>IF(A10taxstdlife="n/a","n/a",IF(AM$3&gt;(A10taxstdlife+$E605),(('PTRM input'!$M$152+'PTRM input'!$M$118)*$M$7)-SUM($M605:AL605),(('PTRM input'!$M$152+'PTRM input'!$M$118)*$M$7)/A10taxstdlife))</f>
        <v>0</v>
      </c>
      <c r="AN605" s="590">
        <f>IF(A10taxstdlife="n/a","n/a",IF(AN$3&gt;(A10taxstdlife+$E605),(('PTRM input'!$M$152+'PTRM input'!$M$118)*$M$7)-SUM($M605:AM605),(('PTRM input'!$M$152+'PTRM input'!$M$118)*$M$7)/A10taxstdlife))</f>
        <v>0</v>
      </c>
      <c r="AO605" s="590">
        <f>IF(A10taxstdlife="n/a","n/a",IF(AO$3&gt;(A10taxstdlife+$E605),(('PTRM input'!$M$152+'PTRM input'!$M$118)*$M$7)-SUM($M605:AN605),(('PTRM input'!$M$152+'PTRM input'!$M$118)*$M$7)/A10taxstdlife))</f>
        <v>0</v>
      </c>
      <c r="AP605" s="590">
        <f>IF(A10taxstdlife="n/a","n/a",IF(AP$3&gt;(A10taxstdlife+$E605),(('PTRM input'!$M$152+'PTRM input'!$M$118)*$M$7)-SUM($M605:AO605),(('PTRM input'!$M$152+'PTRM input'!$M$118)*$M$7)/A10taxstdlife))</f>
        <v>0</v>
      </c>
      <c r="AQ605" s="590">
        <f>IF(A10taxstdlife="n/a","n/a",IF(AQ$3&gt;(A10taxstdlife+$E605),(('PTRM input'!$M$152+'PTRM input'!$M$118)*$M$7)-SUM($M605:AP605),(('PTRM input'!$M$152+'PTRM input'!$M$118)*$M$7)/A10taxstdlife))</f>
        <v>0</v>
      </c>
      <c r="AR605" s="590">
        <f>IF(A10taxstdlife="n/a","n/a",IF(AR$3&gt;(A10taxstdlife+$E605),(('PTRM input'!$M$152+'PTRM input'!$M$118)*$M$7)-SUM($M605:AQ605),(('PTRM input'!$M$152+'PTRM input'!$M$118)*$M$7)/A10taxstdlife))</f>
        <v>0</v>
      </c>
      <c r="AS605" s="590">
        <f>IF(A10taxstdlife="n/a","n/a",IF(AS$3&gt;(A10taxstdlife+$E605),(('PTRM input'!$M$152+'PTRM input'!$M$118)*$M$7)-SUM($M605:AR605),(('PTRM input'!$M$152+'PTRM input'!$M$118)*$M$7)/A10taxstdlife))</f>
        <v>0</v>
      </c>
      <c r="AT605" s="590">
        <f>IF(A10taxstdlife="n/a","n/a",IF(AT$3&gt;(A10taxstdlife+$E605),(('PTRM input'!$M$152+'PTRM input'!$M$118)*$M$7)-SUM($M605:AS605),(('PTRM input'!$M$152+'PTRM input'!$M$118)*$M$7)/A10taxstdlife))</f>
        <v>0</v>
      </c>
      <c r="AU605" s="590">
        <f>IF(A10taxstdlife="n/a","n/a",IF(AU$3&gt;(A10taxstdlife+$E605),(('PTRM input'!$M$152+'PTRM input'!$M$118)*$M$7)-SUM($M605:AT605),(('PTRM input'!$M$152+'PTRM input'!$M$118)*$M$7)/A10taxstdlife))</f>
        <v>0</v>
      </c>
      <c r="AV605" s="590">
        <f>IF(A10taxstdlife="n/a","n/a",IF(AV$3&gt;(A10taxstdlife+$E605),(('PTRM input'!$M$152+'PTRM input'!$M$118)*$M$7)-SUM($M605:AU605),(('PTRM input'!$M$152+'PTRM input'!$M$118)*$M$7)/A10taxstdlife))</f>
        <v>0</v>
      </c>
      <c r="AW605" s="590">
        <f>IF(A10taxstdlife="n/a","n/a",IF(AW$3&gt;(A10taxstdlife+$E605),(('PTRM input'!$M$152+'PTRM input'!$M$118)*$M$7)-SUM($M605:AV605),(('PTRM input'!$M$152+'PTRM input'!$M$118)*$M$7)/A10taxstdlife))</f>
        <v>0</v>
      </c>
      <c r="AX605" s="590">
        <f>IF(A10taxstdlife="n/a","n/a",IF(AX$3&gt;(A10taxstdlife+$E605),(('PTRM input'!$M$152+'PTRM input'!$M$118)*$M$7)-SUM($M605:AW605),(('PTRM input'!$M$152+'PTRM input'!$M$118)*$M$7)/A10taxstdlife))</f>
        <v>0</v>
      </c>
      <c r="AY605" s="590">
        <f>IF(A10taxstdlife="n/a","n/a",IF(AY$3&gt;(A10taxstdlife+$E605),(('PTRM input'!$M$152+'PTRM input'!$M$118)*$M$7)-SUM($M605:AX605),(('PTRM input'!$M$152+'PTRM input'!$M$118)*$M$7)/A10taxstdlife))</f>
        <v>0</v>
      </c>
      <c r="AZ605" s="590">
        <f>IF(A10taxstdlife="n/a","n/a",IF(AZ$3&gt;(A10taxstdlife+$E605),(('PTRM input'!$M$152+'PTRM input'!$M$118)*$M$7)-SUM($M605:AY605),(('PTRM input'!$M$152+'PTRM input'!$M$118)*$M$7)/A10taxstdlife))</f>
        <v>0</v>
      </c>
      <c r="BA605" s="590">
        <f>IF(A10taxstdlife="n/a","n/a",IF(BA$3&gt;(A10taxstdlife+$E605),(('PTRM input'!$M$152+'PTRM input'!$M$118)*$M$7)-SUM($M605:AZ605),(('PTRM input'!$M$152+'PTRM input'!$M$118)*$M$7)/A10taxstdlife))</f>
        <v>0</v>
      </c>
      <c r="BB605" s="590">
        <f>IF(A10taxstdlife="n/a","n/a",IF(BB$3&gt;(A10taxstdlife+$E605),(('PTRM input'!$M$152+'PTRM input'!$M$118)*$M$7)-SUM($M605:BA605),(('PTRM input'!$M$152+'PTRM input'!$M$118)*$M$7)/A10taxstdlife))</f>
        <v>0</v>
      </c>
      <c r="BC605" s="590">
        <f>IF(A10taxstdlife="n/a","n/a",IF(BC$3&gt;(A10taxstdlife+$E605),(('PTRM input'!$M$152+'PTRM input'!$M$118)*$M$7)-SUM($M605:BB605),(('PTRM input'!$M$152+'PTRM input'!$M$118)*$M$7)/A10taxstdlife))</f>
        <v>0</v>
      </c>
      <c r="BD605" s="590">
        <f>IF(A10taxstdlife="n/a","n/a",IF(BD$3&gt;(A10taxstdlife+$E605),(('PTRM input'!$M$152+'PTRM input'!$M$118)*$M$7)-SUM($M605:BC605),(('PTRM input'!$M$152+'PTRM input'!$M$118)*$M$7)/A10taxstdlife))</f>
        <v>0</v>
      </c>
      <c r="BE605" s="590">
        <f>IF(A10taxstdlife="n/a","n/a",IF(BE$3&gt;(A10taxstdlife+$E605),(('PTRM input'!$M$152+'PTRM input'!$M$118)*$M$7)-SUM($M605:BD605),(('PTRM input'!$M$152+'PTRM input'!$M$118)*$M$7)/A10taxstdlife))</f>
        <v>0</v>
      </c>
      <c r="BF605" s="590">
        <f>IF(A10taxstdlife="n/a","n/a",IF(BF$3&gt;(A10taxstdlife+$E605),(('PTRM input'!$M$152+'PTRM input'!$M$118)*$M$7)-SUM($M605:BE605),(('PTRM input'!$M$152+'PTRM input'!$M$118)*$M$7)/A10taxstdlife))</f>
        <v>0</v>
      </c>
      <c r="BG605" s="590">
        <f>IF(A10taxstdlife="n/a","n/a",IF(BG$3&gt;(A10taxstdlife+$E605),(('PTRM input'!$M$152+'PTRM input'!$M$118)*$M$7)-SUM($M605:BF605),(('PTRM input'!$M$152+'PTRM input'!$M$118)*$M$7)/A10taxstdlife))</f>
        <v>0</v>
      </c>
      <c r="BH605" s="590">
        <f>IF(A10taxstdlife="n/a","n/a",IF(BH$3&gt;(A10taxstdlife+$E605),(('PTRM input'!$M$152+'PTRM input'!$M$118)*$M$7)-SUM($M605:BG605),(('PTRM input'!$M$152+'PTRM input'!$M$118)*$M$7)/A10taxstdlife))</f>
        <v>0</v>
      </c>
      <c r="BI605" s="590">
        <f>IF(A10taxstdlife="n/a","n/a",IF(BI$3&gt;(A10taxstdlife+$E605),(('PTRM input'!$M$152+'PTRM input'!$M$118)*$M$7)-SUM($M605:BH605),(('PTRM input'!$M$152+'PTRM input'!$M$118)*$M$7)/A10taxstdlife))</f>
        <v>0</v>
      </c>
      <c r="BJ605" s="240"/>
      <c r="BK605" s="240"/>
      <c r="BL605" s="240"/>
      <c r="BM605" s="240"/>
    </row>
    <row r="606" spans="1:65" s="4" customFormat="1" hidden="1" outlineLevel="2">
      <c r="A606" s="240"/>
      <c r="B606" s="240"/>
      <c r="C606" s="595"/>
      <c r="D606" s="1618"/>
      <c r="E606" s="169">
        <v>8</v>
      </c>
      <c r="F606" s="35"/>
      <c r="G606" s="184"/>
      <c r="H606" s="186"/>
      <c r="I606" s="186"/>
      <c r="J606" s="186"/>
      <c r="K606" s="186"/>
      <c r="L606" s="186"/>
      <c r="M606" s="186"/>
      <c r="N606" s="185"/>
      <c r="O606" s="107">
        <f>IF(A10taxstdlife="n/a","n/a",IF(O$3&gt;(A10taxstdlife+$E606),(('PTRM input'!$N$152+'PTRM input'!$N$118)*$N$7)-SUM($N606:N606),(('PTRM input'!$N$152+'PTRM input'!$N$118)*$N$7)/A10taxstdlife))</f>
        <v>0</v>
      </c>
      <c r="P606" s="107">
        <f>IF(A10taxstdlife="n/a","n/a",IF(P$3&gt;(A10taxstdlife+$E606),(('PTRM input'!$N$152+'PTRM input'!$N$118)*$N$7)-SUM($N606:O606),(('PTRM input'!$N$152+'PTRM input'!$N$118)*$N$7)/A10taxstdlife))</f>
        <v>0</v>
      </c>
      <c r="Q606" s="590">
        <f>IF(A10taxstdlife="n/a","n/a",IF(Q$3&gt;(A10taxstdlife+$E606),(('PTRM input'!$N$152+'PTRM input'!$N$118)*$N$7)-SUM($N606:P606),(('PTRM input'!$N$152+'PTRM input'!$N$118)*$N$7)/A10taxstdlife))</f>
        <v>0</v>
      </c>
      <c r="R606" s="590">
        <f>IF(A10taxstdlife="n/a","n/a",IF(R$3&gt;(A10taxstdlife+$E606),(('PTRM input'!$N$152+'PTRM input'!$N$118)*$N$7)-SUM($N606:Q606),(('PTRM input'!$N$152+'PTRM input'!$N$118)*$N$7)/A10taxstdlife))</f>
        <v>0</v>
      </c>
      <c r="S606" s="590">
        <f>IF(A10taxstdlife="n/a","n/a",IF(S$3&gt;(A10taxstdlife+$E606),(('PTRM input'!$N$152+'PTRM input'!$N$118)*$N$7)-SUM($N606:R606),(('PTRM input'!$N$152+'PTRM input'!$N$118)*$N$7)/A10taxstdlife))</f>
        <v>0</v>
      </c>
      <c r="T606" s="590">
        <f>IF(A10taxstdlife="n/a","n/a",IF(T$3&gt;(A10taxstdlife+$E606),(('PTRM input'!$N$152+'PTRM input'!$N$118)*$N$7)-SUM($N606:S606),(('PTRM input'!$N$152+'PTRM input'!$N$118)*$N$7)/A10taxstdlife))</f>
        <v>0</v>
      </c>
      <c r="U606" s="590">
        <f>IF(A10taxstdlife="n/a","n/a",IF(U$3&gt;(A10taxstdlife+$E606),(('PTRM input'!$N$152+'PTRM input'!$N$118)*$N$7)-SUM($N606:T606),(('PTRM input'!$N$152+'PTRM input'!$N$118)*$N$7)/A10taxstdlife))</f>
        <v>0</v>
      </c>
      <c r="V606" s="590">
        <f>IF(A10taxstdlife="n/a","n/a",IF(V$3&gt;(A10taxstdlife+$E606),(('PTRM input'!$N$152+'PTRM input'!$N$118)*$N$7)-SUM($N606:U606),(('PTRM input'!$N$152+'PTRM input'!$N$118)*$N$7)/A10taxstdlife))</f>
        <v>0</v>
      </c>
      <c r="W606" s="590">
        <f>IF(A10taxstdlife="n/a","n/a",IF(W$3&gt;(A10taxstdlife+$E606),(('PTRM input'!$N$152+'PTRM input'!$N$118)*$N$7)-SUM($N606:V606),(('PTRM input'!$N$152+'PTRM input'!$N$118)*$N$7)/A10taxstdlife))</f>
        <v>0</v>
      </c>
      <c r="X606" s="590">
        <f>IF(A10taxstdlife="n/a","n/a",IF(X$3&gt;(A10taxstdlife+$E606),(('PTRM input'!$N$152+'PTRM input'!$N$118)*$N$7)-SUM($N606:W606),(('PTRM input'!$N$152+'PTRM input'!$N$118)*$N$7)/A10taxstdlife))</f>
        <v>0</v>
      </c>
      <c r="Y606" s="590">
        <f>IF(A10taxstdlife="n/a","n/a",IF(Y$3&gt;(A10taxstdlife+$E606),(('PTRM input'!$N$152+'PTRM input'!$N$118)*$N$7)-SUM($N606:X606),(('PTRM input'!$N$152+'PTRM input'!$N$118)*$N$7)/A10taxstdlife))</f>
        <v>0</v>
      </c>
      <c r="Z606" s="590">
        <f>IF(A10taxstdlife="n/a","n/a",IF(Z$3&gt;(A10taxstdlife+$E606),(('PTRM input'!$N$152+'PTRM input'!$N$118)*$N$7)-SUM($N606:Y606),(('PTRM input'!$N$152+'PTRM input'!$N$118)*$N$7)/A10taxstdlife))</f>
        <v>0</v>
      </c>
      <c r="AA606" s="590">
        <f>IF(A10taxstdlife="n/a","n/a",IF(AA$3&gt;(A10taxstdlife+$E606),(('PTRM input'!$N$152+'PTRM input'!$N$118)*$N$7)-SUM($N606:Z606),(('PTRM input'!$N$152+'PTRM input'!$N$118)*$N$7)/A10taxstdlife))</f>
        <v>0</v>
      </c>
      <c r="AB606" s="590">
        <f>IF(A10taxstdlife="n/a","n/a",IF(AB$3&gt;(A10taxstdlife+$E606),(('PTRM input'!$N$152+'PTRM input'!$N$118)*$N$7)-SUM($N606:AA606),(('PTRM input'!$N$152+'PTRM input'!$N$118)*$N$7)/A10taxstdlife))</f>
        <v>0</v>
      </c>
      <c r="AC606" s="590">
        <f>IF(A10taxstdlife="n/a","n/a",IF(AC$3&gt;(A10taxstdlife+$E606),(('PTRM input'!$N$152+'PTRM input'!$N$118)*$N$7)-SUM($N606:AB606),(('PTRM input'!$N$152+'PTRM input'!$N$118)*$N$7)/A10taxstdlife))</f>
        <v>0</v>
      </c>
      <c r="AD606" s="590">
        <f>IF(A10taxstdlife="n/a","n/a",IF(AD$3&gt;(A10taxstdlife+$E606),(('PTRM input'!$N$152+'PTRM input'!$N$118)*$N$7)-SUM($N606:AC606),(('PTRM input'!$N$152+'PTRM input'!$N$118)*$N$7)/A10taxstdlife))</f>
        <v>0</v>
      </c>
      <c r="AE606" s="590">
        <f>IF(A10taxstdlife="n/a","n/a",IF(AE$3&gt;(A10taxstdlife+$E606),(('PTRM input'!$N$152+'PTRM input'!$N$118)*$N$7)-SUM($N606:AD606),(('PTRM input'!$N$152+'PTRM input'!$N$118)*$N$7)/A10taxstdlife))</f>
        <v>0</v>
      </c>
      <c r="AF606" s="590">
        <f>IF(A10taxstdlife="n/a","n/a",IF(AF$3&gt;(A10taxstdlife+$E606),(('PTRM input'!$N$152+'PTRM input'!$N$118)*$N$7)-SUM($N606:AE606),(('PTRM input'!$N$152+'PTRM input'!$N$118)*$N$7)/A10taxstdlife))</f>
        <v>0</v>
      </c>
      <c r="AG606" s="590">
        <f>IF(A10taxstdlife="n/a","n/a",IF(AG$3&gt;(A10taxstdlife+$E606),(('PTRM input'!$N$152+'PTRM input'!$N$118)*$N$7)-SUM($N606:AF606),(('PTRM input'!$N$152+'PTRM input'!$N$118)*$N$7)/A10taxstdlife))</f>
        <v>0</v>
      </c>
      <c r="AH606" s="590">
        <f>IF(A10taxstdlife="n/a","n/a",IF(AH$3&gt;(A10taxstdlife+$E606),(('PTRM input'!$N$152+'PTRM input'!$N$118)*$N$7)-SUM($N606:AG606),(('PTRM input'!$N$152+'PTRM input'!$N$118)*$N$7)/A10taxstdlife))</f>
        <v>0</v>
      </c>
      <c r="AI606" s="590">
        <f>IF(A10taxstdlife="n/a","n/a",IF(AI$3&gt;(A10taxstdlife+$E606),(('PTRM input'!$N$152+'PTRM input'!$N$118)*$N$7)-SUM($N606:AH606),(('PTRM input'!$N$152+'PTRM input'!$N$118)*$N$7)/A10taxstdlife))</f>
        <v>0</v>
      </c>
      <c r="AJ606" s="590">
        <f>IF(A10taxstdlife="n/a","n/a",IF(AJ$3&gt;(A10taxstdlife+$E606),(('PTRM input'!$N$152+'PTRM input'!$N$118)*$N$7)-SUM($N606:AI606),(('PTRM input'!$N$152+'PTRM input'!$N$118)*$N$7)/A10taxstdlife))</f>
        <v>0</v>
      </c>
      <c r="AK606" s="590">
        <f>IF(A10taxstdlife="n/a","n/a",IF(AK$3&gt;(A10taxstdlife+$E606),(('PTRM input'!$N$152+'PTRM input'!$N$118)*$N$7)-SUM($N606:AJ606),(('PTRM input'!$N$152+'PTRM input'!$N$118)*$N$7)/A10taxstdlife))</f>
        <v>0</v>
      </c>
      <c r="AL606" s="590">
        <f>IF(A10taxstdlife="n/a","n/a",IF(AL$3&gt;(A10taxstdlife+$E606),(('PTRM input'!$N$152+'PTRM input'!$N$118)*$N$7)-SUM($N606:AK606),(('PTRM input'!$N$152+'PTRM input'!$N$118)*$N$7)/A10taxstdlife))</f>
        <v>0</v>
      </c>
      <c r="AM606" s="590">
        <f>IF(A10taxstdlife="n/a","n/a",IF(AM$3&gt;(A10taxstdlife+$E606),(('PTRM input'!$N$152+'PTRM input'!$N$118)*$N$7)-SUM($N606:AL606),(('PTRM input'!$N$152+'PTRM input'!$N$118)*$N$7)/A10taxstdlife))</f>
        <v>0</v>
      </c>
      <c r="AN606" s="590">
        <f>IF(A10taxstdlife="n/a","n/a",IF(AN$3&gt;(A10taxstdlife+$E606),(('PTRM input'!$N$152+'PTRM input'!$N$118)*$N$7)-SUM($N606:AM606),(('PTRM input'!$N$152+'PTRM input'!$N$118)*$N$7)/A10taxstdlife))</f>
        <v>0</v>
      </c>
      <c r="AO606" s="590">
        <f>IF(A10taxstdlife="n/a","n/a",IF(AO$3&gt;(A10taxstdlife+$E606),(('PTRM input'!$N$152+'PTRM input'!$N$118)*$N$7)-SUM($N606:AN606),(('PTRM input'!$N$152+'PTRM input'!$N$118)*$N$7)/A10taxstdlife))</f>
        <v>0</v>
      </c>
      <c r="AP606" s="590">
        <f>IF(A10taxstdlife="n/a","n/a",IF(AP$3&gt;(A10taxstdlife+$E606),(('PTRM input'!$N$152+'PTRM input'!$N$118)*$N$7)-SUM($N606:AO606),(('PTRM input'!$N$152+'PTRM input'!$N$118)*$N$7)/A10taxstdlife))</f>
        <v>0</v>
      </c>
      <c r="AQ606" s="590">
        <f>IF(A10taxstdlife="n/a","n/a",IF(AQ$3&gt;(A10taxstdlife+$E606),(('PTRM input'!$N$152+'PTRM input'!$N$118)*$N$7)-SUM($N606:AP606),(('PTRM input'!$N$152+'PTRM input'!$N$118)*$N$7)/A10taxstdlife))</f>
        <v>0</v>
      </c>
      <c r="AR606" s="590">
        <f>IF(A10taxstdlife="n/a","n/a",IF(AR$3&gt;(A10taxstdlife+$E606),(('PTRM input'!$N$152+'PTRM input'!$N$118)*$N$7)-SUM($N606:AQ606),(('PTRM input'!$N$152+'PTRM input'!$N$118)*$N$7)/A10taxstdlife))</f>
        <v>0</v>
      </c>
      <c r="AS606" s="590">
        <f>IF(A10taxstdlife="n/a","n/a",IF(AS$3&gt;(A10taxstdlife+$E606),(('PTRM input'!$N$152+'PTRM input'!$N$118)*$N$7)-SUM($N606:AR606),(('PTRM input'!$N$152+'PTRM input'!$N$118)*$N$7)/A10taxstdlife))</f>
        <v>0</v>
      </c>
      <c r="AT606" s="590">
        <f>IF(A10taxstdlife="n/a","n/a",IF(AT$3&gt;(A10taxstdlife+$E606),(('PTRM input'!$N$152+'PTRM input'!$N$118)*$N$7)-SUM($N606:AS606),(('PTRM input'!$N$152+'PTRM input'!$N$118)*$N$7)/A10taxstdlife))</f>
        <v>0</v>
      </c>
      <c r="AU606" s="590">
        <f>IF(A10taxstdlife="n/a","n/a",IF(AU$3&gt;(A10taxstdlife+$E606),(('PTRM input'!$N$152+'PTRM input'!$N$118)*$N$7)-SUM($N606:AT606),(('PTRM input'!$N$152+'PTRM input'!$N$118)*$N$7)/A10taxstdlife))</f>
        <v>0</v>
      </c>
      <c r="AV606" s="590">
        <f>IF(A10taxstdlife="n/a","n/a",IF(AV$3&gt;(A10taxstdlife+$E606),(('PTRM input'!$N$152+'PTRM input'!$N$118)*$N$7)-SUM($N606:AU606),(('PTRM input'!$N$152+'PTRM input'!$N$118)*$N$7)/A10taxstdlife))</f>
        <v>0</v>
      </c>
      <c r="AW606" s="590">
        <f>IF(A10taxstdlife="n/a","n/a",IF(AW$3&gt;(A10taxstdlife+$E606),(('PTRM input'!$N$152+'PTRM input'!$N$118)*$N$7)-SUM($N606:AV606),(('PTRM input'!$N$152+'PTRM input'!$N$118)*$N$7)/A10taxstdlife))</f>
        <v>0</v>
      </c>
      <c r="AX606" s="590">
        <f>IF(A10taxstdlife="n/a","n/a",IF(AX$3&gt;(A10taxstdlife+$E606),(('PTRM input'!$N$152+'PTRM input'!$N$118)*$N$7)-SUM($N606:AW606),(('PTRM input'!$N$152+'PTRM input'!$N$118)*$N$7)/A10taxstdlife))</f>
        <v>0</v>
      </c>
      <c r="AY606" s="590">
        <f>IF(A10taxstdlife="n/a","n/a",IF(AY$3&gt;(A10taxstdlife+$E606),(('PTRM input'!$N$152+'PTRM input'!$N$118)*$N$7)-SUM($N606:AX606),(('PTRM input'!$N$152+'PTRM input'!$N$118)*$N$7)/A10taxstdlife))</f>
        <v>0</v>
      </c>
      <c r="AZ606" s="590">
        <f>IF(A10taxstdlife="n/a","n/a",IF(AZ$3&gt;(A10taxstdlife+$E606),(('PTRM input'!$N$152+'PTRM input'!$N$118)*$N$7)-SUM($N606:AY606),(('PTRM input'!$N$152+'PTRM input'!$N$118)*$N$7)/A10taxstdlife))</f>
        <v>0</v>
      </c>
      <c r="BA606" s="590">
        <f>IF(A10taxstdlife="n/a","n/a",IF(BA$3&gt;(A10taxstdlife+$E606),(('PTRM input'!$N$152+'PTRM input'!$N$118)*$N$7)-SUM($N606:AZ606),(('PTRM input'!$N$152+'PTRM input'!$N$118)*$N$7)/A10taxstdlife))</f>
        <v>0</v>
      </c>
      <c r="BB606" s="590">
        <f>IF(A10taxstdlife="n/a","n/a",IF(BB$3&gt;(A10taxstdlife+$E606),(('PTRM input'!$N$152+'PTRM input'!$N$118)*$N$7)-SUM($N606:BA606),(('PTRM input'!$N$152+'PTRM input'!$N$118)*$N$7)/A10taxstdlife))</f>
        <v>0</v>
      </c>
      <c r="BC606" s="590">
        <f>IF(A10taxstdlife="n/a","n/a",IF(BC$3&gt;(A10taxstdlife+$E606),(('PTRM input'!$N$152+'PTRM input'!$N$118)*$N$7)-SUM($N606:BB606),(('PTRM input'!$N$152+'PTRM input'!$N$118)*$N$7)/A10taxstdlife))</f>
        <v>0</v>
      </c>
      <c r="BD606" s="590">
        <f>IF(A10taxstdlife="n/a","n/a",IF(BD$3&gt;(A10taxstdlife+$E606),(('PTRM input'!$N$152+'PTRM input'!$N$118)*$N$7)-SUM($N606:BC606),(('PTRM input'!$N$152+'PTRM input'!$N$118)*$N$7)/A10taxstdlife))</f>
        <v>0</v>
      </c>
      <c r="BE606" s="590">
        <f>IF(A10taxstdlife="n/a","n/a",IF(BE$3&gt;(A10taxstdlife+$E606),(('PTRM input'!$N$152+'PTRM input'!$N$118)*$N$7)-SUM($N606:BD606),(('PTRM input'!$N$152+'PTRM input'!$N$118)*$N$7)/A10taxstdlife))</f>
        <v>0</v>
      </c>
      <c r="BF606" s="590">
        <f>IF(A10taxstdlife="n/a","n/a",IF(BF$3&gt;(A10taxstdlife+$E606),(('PTRM input'!$N$152+'PTRM input'!$N$118)*$N$7)-SUM($N606:BE606),(('PTRM input'!$N$152+'PTRM input'!$N$118)*$N$7)/A10taxstdlife))</f>
        <v>0</v>
      </c>
      <c r="BG606" s="590">
        <f>IF(A10taxstdlife="n/a","n/a",IF(BG$3&gt;(A10taxstdlife+$E606),(('PTRM input'!$N$152+'PTRM input'!$N$118)*$N$7)-SUM($N606:BF606),(('PTRM input'!$N$152+'PTRM input'!$N$118)*$N$7)/A10taxstdlife))</f>
        <v>0</v>
      </c>
      <c r="BH606" s="590">
        <f>IF(A10taxstdlife="n/a","n/a",IF(BH$3&gt;(A10taxstdlife+$E606),(('PTRM input'!$N$152+'PTRM input'!$N$118)*$N$7)-SUM($N606:BG606),(('PTRM input'!$N$152+'PTRM input'!$N$118)*$N$7)/A10taxstdlife))</f>
        <v>0</v>
      </c>
      <c r="BI606" s="590">
        <f>IF(A10taxstdlife="n/a","n/a",IF(BI$3&gt;(A10taxstdlife+$E606),(('PTRM input'!$N$152+'PTRM input'!$N$118)*$N$7)-SUM($N606:BH606),(('PTRM input'!$N$152+'PTRM input'!$N$118)*$N$7)/A10taxstdlife))</f>
        <v>0</v>
      </c>
      <c r="BJ606" s="240"/>
      <c r="BK606" s="240"/>
      <c r="BL606" s="240"/>
      <c r="BM606" s="240"/>
    </row>
    <row r="607" spans="1:65" s="4" customFormat="1" hidden="1" outlineLevel="2">
      <c r="A607" s="240"/>
      <c r="B607" s="240"/>
      <c r="C607" s="595"/>
      <c r="D607" s="1618"/>
      <c r="E607" s="169">
        <v>9</v>
      </c>
      <c r="F607" s="35"/>
      <c r="G607" s="184"/>
      <c r="H607" s="186"/>
      <c r="I607" s="186"/>
      <c r="J607" s="186"/>
      <c r="K607" s="186"/>
      <c r="L607" s="186"/>
      <c r="M607" s="186"/>
      <c r="N607" s="186"/>
      <c r="O607" s="185"/>
      <c r="P607" s="107">
        <f>IF(A10taxstdlife="n/a","n/a",IF(P$3&gt;(A10taxstdlife+$E607),(('PTRM input'!$O$152+'PTRM input'!$O$118)*$O$7)-SUM($O607:O607),(('PTRM input'!$O$152+'PTRM input'!$O$118)*$O$7)/A10taxstdlife))</f>
        <v>0</v>
      </c>
      <c r="Q607" s="590">
        <f>IF(A10taxstdlife="n/a","n/a",IF(Q$3&gt;(A10taxstdlife+$E607),(('PTRM input'!$O$152+'PTRM input'!$O$118)*$O$7)-SUM($O607:P607),(('PTRM input'!$O$152+'PTRM input'!$O$118)*$O$7)/A10taxstdlife))</f>
        <v>0</v>
      </c>
      <c r="R607" s="590">
        <f>IF(A10taxstdlife="n/a","n/a",IF(R$3&gt;(A10taxstdlife+$E607),(('PTRM input'!$O$152+'PTRM input'!$O$118)*$O$7)-SUM($O607:Q607),(('PTRM input'!$O$152+'PTRM input'!$O$118)*$O$7)/A10taxstdlife))</f>
        <v>0</v>
      </c>
      <c r="S607" s="590">
        <f>IF(A10taxstdlife="n/a","n/a",IF(S$3&gt;(A10taxstdlife+$E607),(('PTRM input'!$O$152+'PTRM input'!$O$118)*$O$7)-SUM($O607:R607),(('PTRM input'!$O$152+'PTRM input'!$O$118)*$O$7)/A10taxstdlife))</f>
        <v>0</v>
      </c>
      <c r="T607" s="590">
        <f>IF(A10taxstdlife="n/a","n/a",IF(T$3&gt;(A10taxstdlife+$E607),(('PTRM input'!$O$152+'PTRM input'!$O$118)*$O$7)-SUM($O607:S607),(('PTRM input'!$O$152+'PTRM input'!$O$118)*$O$7)/A10taxstdlife))</f>
        <v>0</v>
      </c>
      <c r="U607" s="590">
        <f>IF(A10taxstdlife="n/a","n/a",IF(U$3&gt;(A10taxstdlife+$E607),(('PTRM input'!$O$152+'PTRM input'!$O$118)*$O$7)-SUM($O607:T607),(('PTRM input'!$O$152+'PTRM input'!$O$118)*$O$7)/A10taxstdlife))</f>
        <v>0</v>
      </c>
      <c r="V607" s="590">
        <f>IF(A10taxstdlife="n/a","n/a",IF(V$3&gt;(A10taxstdlife+$E607),(('PTRM input'!$O$152+'PTRM input'!$O$118)*$O$7)-SUM($O607:U607),(('PTRM input'!$O$152+'PTRM input'!$O$118)*$O$7)/A10taxstdlife))</f>
        <v>0</v>
      </c>
      <c r="W607" s="590">
        <f>IF(A10taxstdlife="n/a","n/a",IF(W$3&gt;(A10taxstdlife+$E607),(('PTRM input'!$O$152+'PTRM input'!$O$118)*$O$7)-SUM($O607:V607),(('PTRM input'!$O$152+'PTRM input'!$O$118)*$O$7)/A10taxstdlife))</f>
        <v>0</v>
      </c>
      <c r="X607" s="590">
        <f>IF(A10taxstdlife="n/a","n/a",IF(X$3&gt;(A10taxstdlife+$E607),(('PTRM input'!$O$152+'PTRM input'!$O$118)*$O$7)-SUM($O607:W607),(('PTRM input'!$O$152+'PTRM input'!$O$118)*$O$7)/A10taxstdlife))</f>
        <v>0</v>
      </c>
      <c r="Y607" s="590">
        <f>IF(A10taxstdlife="n/a","n/a",IF(Y$3&gt;(A10taxstdlife+$E607),(('PTRM input'!$O$152+'PTRM input'!$O$118)*$O$7)-SUM($O607:X607),(('PTRM input'!$O$152+'PTRM input'!$O$118)*$O$7)/A10taxstdlife))</f>
        <v>0</v>
      </c>
      <c r="Z607" s="590">
        <f>IF(A10taxstdlife="n/a","n/a",IF(Z$3&gt;(A10taxstdlife+$E607),(('PTRM input'!$O$152+'PTRM input'!$O$118)*$O$7)-SUM($O607:Y607),(('PTRM input'!$O$152+'PTRM input'!$O$118)*$O$7)/A10taxstdlife))</f>
        <v>0</v>
      </c>
      <c r="AA607" s="590">
        <f>IF(A10taxstdlife="n/a","n/a",IF(AA$3&gt;(A10taxstdlife+$E607),(('PTRM input'!$O$152+'PTRM input'!$O$118)*$O$7)-SUM($O607:Z607),(('PTRM input'!$O$152+'PTRM input'!$O$118)*$O$7)/A10taxstdlife))</f>
        <v>0</v>
      </c>
      <c r="AB607" s="590">
        <f>IF(A10taxstdlife="n/a","n/a",IF(AB$3&gt;(A10taxstdlife+$E607),(('PTRM input'!$O$152+'PTRM input'!$O$118)*$O$7)-SUM($O607:AA607),(('PTRM input'!$O$152+'PTRM input'!$O$118)*$O$7)/A10taxstdlife))</f>
        <v>0</v>
      </c>
      <c r="AC607" s="590">
        <f>IF(A10taxstdlife="n/a","n/a",IF(AC$3&gt;(A10taxstdlife+$E607),(('PTRM input'!$O$152+'PTRM input'!$O$118)*$O$7)-SUM($O607:AB607),(('PTRM input'!$O$152+'PTRM input'!$O$118)*$O$7)/A10taxstdlife))</f>
        <v>0</v>
      </c>
      <c r="AD607" s="590">
        <f>IF(A10taxstdlife="n/a","n/a",IF(AD$3&gt;(A10taxstdlife+$E607),(('PTRM input'!$O$152+'PTRM input'!$O$118)*$O$7)-SUM($O607:AC607),(('PTRM input'!$O$152+'PTRM input'!$O$118)*$O$7)/A10taxstdlife))</f>
        <v>0</v>
      </c>
      <c r="AE607" s="590">
        <f>IF(A10taxstdlife="n/a","n/a",IF(AE$3&gt;(A10taxstdlife+$E607),(('PTRM input'!$O$152+'PTRM input'!$O$118)*$O$7)-SUM($O607:AD607),(('PTRM input'!$O$152+'PTRM input'!$O$118)*$O$7)/A10taxstdlife))</f>
        <v>0</v>
      </c>
      <c r="AF607" s="590">
        <f>IF(A10taxstdlife="n/a","n/a",IF(AF$3&gt;(A10taxstdlife+$E607),(('PTRM input'!$O$152+'PTRM input'!$O$118)*$O$7)-SUM($O607:AE607),(('PTRM input'!$O$152+'PTRM input'!$O$118)*$O$7)/A10taxstdlife))</f>
        <v>0</v>
      </c>
      <c r="AG607" s="590">
        <f>IF(A10taxstdlife="n/a","n/a",IF(AG$3&gt;(A10taxstdlife+$E607),(('PTRM input'!$O$152+'PTRM input'!$O$118)*$O$7)-SUM($O607:AF607),(('PTRM input'!$O$152+'PTRM input'!$O$118)*$O$7)/A10taxstdlife))</f>
        <v>0</v>
      </c>
      <c r="AH607" s="590">
        <f>IF(A10taxstdlife="n/a","n/a",IF(AH$3&gt;(A10taxstdlife+$E607),(('PTRM input'!$O$152+'PTRM input'!$O$118)*$O$7)-SUM($O607:AG607),(('PTRM input'!$O$152+'PTRM input'!$O$118)*$O$7)/A10taxstdlife))</f>
        <v>0</v>
      </c>
      <c r="AI607" s="590">
        <f>IF(A10taxstdlife="n/a","n/a",IF(AI$3&gt;(A10taxstdlife+$E607),(('PTRM input'!$O$152+'PTRM input'!$O$118)*$O$7)-SUM($O607:AH607),(('PTRM input'!$O$152+'PTRM input'!$O$118)*$O$7)/A10taxstdlife))</f>
        <v>0</v>
      </c>
      <c r="AJ607" s="590">
        <f>IF(A10taxstdlife="n/a","n/a",IF(AJ$3&gt;(A10taxstdlife+$E607),(('PTRM input'!$O$152+'PTRM input'!$O$118)*$O$7)-SUM($O607:AI607),(('PTRM input'!$O$152+'PTRM input'!$O$118)*$O$7)/A10taxstdlife))</f>
        <v>0</v>
      </c>
      <c r="AK607" s="590">
        <f>IF(A10taxstdlife="n/a","n/a",IF(AK$3&gt;(A10taxstdlife+$E607),(('PTRM input'!$O$152+'PTRM input'!$O$118)*$O$7)-SUM($O607:AJ607),(('PTRM input'!$O$152+'PTRM input'!$O$118)*$O$7)/A10taxstdlife))</f>
        <v>0</v>
      </c>
      <c r="AL607" s="590">
        <f>IF(A10taxstdlife="n/a","n/a",IF(AL$3&gt;(A10taxstdlife+$E607),(('PTRM input'!$O$152+'PTRM input'!$O$118)*$O$7)-SUM($O607:AK607),(('PTRM input'!$O$152+'PTRM input'!$O$118)*$O$7)/A10taxstdlife))</f>
        <v>0</v>
      </c>
      <c r="AM607" s="590">
        <f>IF(A10taxstdlife="n/a","n/a",IF(AM$3&gt;(A10taxstdlife+$E607),(('PTRM input'!$O$152+'PTRM input'!$O$118)*$O$7)-SUM($O607:AL607),(('PTRM input'!$O$152+'PTRM input'!$O$118)*$O$7)/A10taxstdlife))</f>
        <v>0</v>
      </c>
      <c r="AN607" s="590">
        <f>IF(A10taxstdlife="n/a","n/a",IF(AN$3&gt;(A10taxstdlife+$E607),(('PTRM input'!$O$152+'PTRM input'!$O$118)*$O$7)-SUM($O607:AM607),(('PTRM input'!$O$152+'PTRM input'!$O$118)*$O$7)/A10taxstdlife))</f>
        <v>0</v>
      </c>
      <c r="AO607" s="590">
        <f>IF(A10taxstdlife="n/a","n/a",IF(AO$3&gt;(A10taxstdlife+$E607),(('PTRM input'!$O$152+'PTRM input'!$O$118)*$O$7)-SUM($O607:AN607),(('PTRM input'!$O$152+'PTRM input'!$O$118)*$O$7)/A10taxstdlife))</f>
        <v>0</v>
      </c>
      <c r="AP607" s="590">
        <f>IF(A10taxstdlife="n/a","n/a",IF(AP$3&gt;(A10taxstdlife+$E607),(('PTRM input'!$O$152+'PTRM input'!$O$118)*$O$7)-SUM($O607:AO607),(('PTRM input'!$O$152+'PTRM input'!$O$118)*$O$7)/A10taxstdlife))</f>
        <v>0</v>
      </c>
      <c r="AQ607" s="590">
        <f>IF(A10taxstdlife="n/a","n/a",IF(AQ$3&gt;(A10taxstdlife+$E607),(('PTRM input'!$O$152+'PTRM input'!$O$118)*$O$7)-SUM($O607:AP607),(('PTRM input'!$O$152+'PTRM input'!$O$118)*$O$7)/A10taxstdlife))</f>
        <v>0</v>
      </c>
      <c r="AR607" s="590">
        <f>IF(A10taxstdlife="n/a","n/a",IF(AR$3&gt;(A10taxstdlife+$E607),(('PTRM input'!$O$152+'PTRM input'!$O$118)*$O$7)-SUM($O607:AQ607),(('PTRM input'!$O$152+'PTRM input'!$O$118)*$O$7)/A10taxstdlife))</f>
        <v>0</v>
      </c>
      <c r="AS607" s="590">
        <f>IF(A10taxstdlife="n/a","n/a",IF(AS$3&gt;(A10taxstdlife+$E607),(('PTRM input'!$O$152+'PTRM input'!$O$118)*$O$7)-SUM($O607:AR607),(('PTRM input'!$O$152+'PTRM input'!$O$118)*$O$7)/A10taxstdlife))</f>
        <v>0</v>
      </c>
      <c r="AT607" s="590">
        <f>IF(A10taxstdlife="n/a","n/a",IF(AT$3&gt;(A10taxstdlife+$E607),(('PTRM input'!$O$152+'PTRM input'!$O$118)*$O$7)-SUM($O607:AS607),(('PTRM input'!$O$152+'PTRM input'!$O$118)*$O$7)/A10taxstdlife))</f>
        <v>0</v>
      </c>
      <c r="AU607" s="590">
        <f>IF(A10taxstdlife="n/a","n/a",IF(AU$3&gt;(A10taxstdlife+$E607),(('PTRM input'!$O$152+'PTRM input'!$O$118)*$O$7)-SUM($O607:AT607),(('PTRM input'!$O$152+'PTRM input'!$O$118)*$O$7)/A10taxstdlife))</f>
        <v>0</v>
      </c>
      <c r="AV607" s="590">
        <f>IF(A10taxstdlife="n/a","n/a",IF(AV$3&gt;(A10taxstdlife+$E607),(('PTRM input'!$O$152+'PTRM input'!$O$118)*$O$7)-SUM($O607:AU607),(('PTRM input'!$O$152+'PTRM input'!$O$118)*$O$7)/A10taxstdlife))</f>
        <v>0</v>
      </c>
      <c r="AW607" s="590">
        <f>IF(A10taxstdlife="n/a","n/a",IF(AW$3&gt;(A10taxstdlife+$E607),(('PTRM input'!$O$152+'PTRM input'!$O$118)*$O$7)-SUM($O607:AV607),(('PTRM input'!$O$152+'PTRM input'!$O$118)*$O$7)/A10taxstdlife))</f>
        <v>0</v>
      </c>
      <c r="AX607" s="590">
        <f>IF(A10taxstdlife="n/a","n/a",IF(AX$3&gt;(A10taxstdlife+$E607),(('PTRM input'!$O$152+'PTRM input'!$O$118)*$O$7)-SUM($O607:AW607),(('PTRM input'!$O$152+'PTRM input'!$O$118)*$O$7)/A10taxstdlife))</f>
        <v>0</v>
      </c>
      <c r="AY607" s="590">
        <f>IF(A10taxstdlife="n/a","n/a",IF(AY$3&gt;(A10taxstdlife+$E607),(('PTRM input'!$O$152+'PTRM input'!$O$118)*$O$7)-SUM($O607:AX607),(('PTRM input'!$O$152+'PTRM input'!$O$118)*$O$7)/A10taxstdlife))</f>
        <v>0</v>
      </c>
      <c r="AZ607" s="590">
        <f>IF(A10taxstdlife="n/a","n/a",IF(AZ$3&gt;(A10taxstdlife+$E607),(('PTRM input'!$O$152+'PTRM input'!$O$118)*$O$7)-SUM($O607:AY607),(('PTRM input'!$O$152+'PTRM input'!$O$118)*$O$7)/A10taxstdlife))</f>
        <v>0</v>
      </c>
      <c r="BA607" s="590">
        <f>IF(A10taxstdlife="n/a","n/a",IF(BA$3&gt;(A10taxstdlife+$E607),(('PTRM input'!$O$152+'PTRM input'!$O$118)*$O$7)-SUM($O607:AZ607),(('PTRM input'!$O$152+'PTRM input'!$O$118)*$O$7)/A10taxstdlife))</f>
        <v>0</v>
      </c>
      <c r="BB607" s="590">
        <f>IF(A10taxstdlife="n/a","n/a",IF(BB$3&gt;(A10taxstdlife+$E607),(('PTRM input'!$O$152+'PTRM input'!$O$118)*$O$7)-SUM($O607:BA607),(('PTRM input'!$O$152+'PTRM input'!$O$118)*$O$7)/A10taxstdlife))</f>
        <v>0</v>
      </c>
      <c r="BC607" s="590">
        <f>IF(A10taxstdlife="n/a","n/a",IF(BC$3&gt;(A10taxstdlife+$E607),(('PTRM input'!$O$152+'PTRM input'!$O$118)*$O$7)-SUM($O607:BB607),(('PTRM input'!$O$152+'PTRM input'!$O$118)*$O$7)/A10taxstdlife))</f>
        <v>0</v>
      </c>
      <c r="BD607" s="590">
        <f>IF(A10taxstdlife="n/a","n/a",IF(BD$3&gt;(A10taxstdlife+$E607),(('PTRM input'!$O$152+'PTRM input'!$O$118)*$O$7)-SUM($O607:BC607),(('PTRM input'!$O$152+'PTRM input'!$O$118)*$O$7)/A10taxstdlife))</f>
        <v>0</v>
      </c>
      <c r="BE607" s="590">
        <f>IF(A10taxstdlife="n/a","n/a",IF(BE$3&gt;(A10taxstdlife+$E607),(('PTRM input'!$O$152+'PTRM input'!$O$118)*$O$7)-SUM($O607:BD607),(('PTRM input'!$O$152+'PTRM input'!$O$118)*$O$7)/A10taxstdlife))</f>
        <v>0</v>
      </c>
      <c r="BF607" s="590">
        <f>IF(A10taxstdlife="n/a","n/a",IF(BF$3&gt;(A10taxstdlife+$E607),(('PTRM input'!$O$152+'PTRM input'!$O$118)*$O$7)-SUM($O607:BE607),(('PTRM input'!$O$152+'PTRM input'!$O$118)*$O$7)/A10taxstdlife))</f>
        <v>0</v>
      </c>
      <c r="BG607" s="590">
        <f>IF(A10taxstdlife="n/a","n/a",IF(BG$3&gt;(A10taxstdlife+$E607),(('PTRM input'!$O$152+'PTRM input'!$O$118)*$O$7)-SUM($O607:BF607),(('PTRM input'!$O$152+'PTRM input'!$O$118)*$O$7)/A10taxstdlife))</f>
        <v>0</v>
      </c>
      <c r="BH607" s="590">
        <f>IF(A10taxstdlife="n/a","n/a",IF(BH$3&gt;(A10taxstdlife+$E607),(('PTRM input'!$O$152+'PTRM input'!$O$118)*$O$7)-SUM($O607:BG607),(('PTRM input'!$O$152+'PTRM input'!$O$118)*$O$7)/A10taxstdlife))</f>
        <v>0</v>
      </c>
      <c r="BI607" s="590">
        <f>IF(A10taxstdlife="n/a","n/a",IF(BI$3&gt;(A10taxstdlife+$E607),(('PTRM input'!$O$152+'PTRM input'!$O$118)*$O$7)-SUM($O607:BH607),(('PTRM input'!$O$152+'PTRM input'!$O$118)*$O$7)/A10taxstdlife))</f>
        <v>0</v>
      </c>
      <c r="BJ607" s="593"/>
      <c r="BK607" s="240"/>
      <c r="BL607" s="240"/>
      <c r="BM607" s="240"/>
    </row>
    <row r="608" spans="1:65" s="4" customFormat="1" hidden="1" outlineLevel="2">
      <c r="A608" s="240"/>
      <c r="B608" s="240"/>
      <c r="C608" s="595"/>
      <c r="D608" s="1618"/>
      <c r="E608" s="170">
        <v>10</v>
      </c>
      <c r="F608" s="35"/>
      <c r="G608" s="184"/>
      <c r="H608" s="186"/>
      <c r="I608" s="186"/>
      <c r="J608" s="186"/>
      <c r="K608" s="186"/>
      <c r="L608" s="186"/>
      <c r="M608" s="186"/>
      <c r="N608" s="186"/>
      <c r="O608" s="186"/>
      <c r="P608" s="185"/>
      <c r="Q608" s="590">
        <f>IF(A10taxstdlife="n/a","n/a",IF(Q$3&gt;(A10taxstdlife+$E608),(('PTRM input'!$P$152+'PTRM input'!$P$118)*$P$7)-SUM($P608:P608),(('PTRM input'!$P$152+'PTRM input'!$P$118)*$P$7)/A10taxstdlife))</f>
        <v>0</v>
      </c>
      <c r="R608" s="590">
        <f>IF(A10taxstdlife="n/a","n/a",IF(R$3&gt;(A10taxstdlife+$E608),(('PTRM input'!$P$152+'PTRM input'!$P$118)*$P$7)-SUM($P608:Q608),(('PTRM input'!$P$152+'PTRM input'!$P$118)*$P$7)/A10taxstdlife))</f>
        <v>0</v>
      </c>
      <c r="S608" s="590">
        <f>IF(A10taxstdlife="n/a","n/a",IF(S$3&gt;(A10taxstdlife+$E608),(('PTRM input'!$P$152+'PTRM input'!$P$118)*$P$7)-SUM($P608:R608),(('PTRM input'!$P$152+'PTRM input'!$P$118)*$P$7)/A10taxstdlife))</f>
        <v>0</v>
      </c>
      <c r="T608" s="590">
        <f>IF(A10taxstdlife="n/a","n/a",IF(T$3&gt;(A10taxstdlife+$E608),(('PTRM input'!$P$152+'PTRM input'!$P$118)*$P$7)-SUM($P608:S608),(('PTRM input'!$P$152+'PTRM input'!$P$118)*$P$7)/A10taxstdlife))</f>
        <v>0</v>
      </c>
      <c r="U608" s="590">
        <f>IF(A10taxstdlife="n/a","n/a",IF(U$3&gt;(A10taxstdlife+$E608),(('PTRM input'!$P$152+'PTRM input'!$P$118)*$P$7)-SUM($P608:T608),(('PTRM input'!$P$152+'PTRM input'!$P$118)*$P$7)/A10taxstdlife))</f>
        <v>0</v>
      </c>
      <c r="V608" s="590">
        <f>IF(A10taxstdlife="n/a","n/a",IF(V$3&gt;(A10taxstdlife+$E608),(('PTRM input'!$P$152+'PTRM input'!$P$118)*$P$7)-SUM($P608:U608),(('PTRM input'!$P$152+'PTRM input'!$P$118)*$P$7)/A10taxstdlife))</f>
        <v>0</v>
      </c>
      <c r="W608" s="590">
        <f>IF(A10taxstdlife="n/a","n/a",IF(W$3&gt;(A10taxstdlife+$E608),(('PTRM input'!$P$152+'PTRM input'!$P$118)*$P$7)-SUM($P608:V608),(('PTRM input'!$P$152+'PTRM input'!$P$118)*$P$7)/A10taxstdlife))</f>
        <v>0</v>
      </c>
      <c r="X608" s="590">
        <f>IF(A10taxstdlife="n/a","n/a",IF(X$3&gt;(A10taxstdlife+$E608),(('PTRM input'!$P$152+'PTRM input'!$P$118)*$P$7)-SUM($P608:W608),(('PTRM input'!$P$152+'PTRM input'!$P$118)*$P$7)/A10taxstdlife))</f>
        <v>0</v>
      </c>
      <c r="Y608" s="590">
        <f>IF(A10taxstdlife="n/a","n/a",IF(Y$3&gt;(A10taxstdlife+$E608),(('PTRM input'!$P$152+'PTRM input'!$P$118)*$P$7)-SUM($P608:X608),(('PTRM input'!$P$152+'PTRM input'!$P$118)*$P$7)/A10taxstdlife))</f>
        <v>0</v>
      </c>
      <c r="Z608" s="590">
        <f>IF(A10taxstdlife="n/a","n/a",IF(Z$3&gt;(A10taxstdlife+$E608),(('PTRM input'!$P$152+'PTRM input'!$P$118)*$P$7)-SUM($P608:Y608),(('PTRM input'!$P$152+'PTRM input'!$P$118)*$P$7)/A10taxstdlife))</f>
        <v>0</v>
      </c>
      <c r="AA608" s="590">
        <f>IF(A10taxstdlife="n/a","n/a",IF(AA$3&gt;(A10taxstdlife+$E608),(('PTRM input'!$P$152+'PTRM input'!$P$118)*$P$7)-SUM($P608:Z608),(('PTRM input'!$P$152+'PTRM input'!$P$118)*$P$7)/A10taxstdlife))</f>
        <v>0</v>
      </c>
      <c r="AB608" s="590">
        <f>IF(A10taxstdlife="n/a","n/a",IF(AB$3&gt;(A10taxstdlife+$E608),(('PTRM input'!$P$152+'PTRM input'!$P$118)*$P$7)-SUM($P608:AA608),(('PTRM input'!$P$152+'PTRM input'!$P$118)*$P$7)/A10taxstdlife))</f>
        <v>0</v>
      </c>
      <c r="AC608" s="590">
        <f>IF(A10taxstdlife="n/a","n/a",IF(AC$3&gt;(A10taxstdlife+$E608),(('PTRM input'!$P$152+'PTRM input'!$P$118)*$P$7)-SUM($P608:AB608),(('PTRM input'!$P$152+'PTRM input'!$P$118)*$P$7)/A10taxstdlife))</f>
        <v>0</v>
      </c>
      <c r="AD608" s="590">
        <f>IF(A10taxstdlife="n/a","n/a",IF(AD$3&gt;(A10taxstdlife+$E608),(('PTRM input'!$P$152+'PTRM input'!$P$118)*$P$7)-SUM($P608:AC608),(('PTRM input'!$P$152+'PTRM input'!$P$118)*$P$7)/A10taxstdlife))</f>
        <v>0</v>
      </c>
      <c r="AE608" s="590">
        <f>IF(A10taxstdlife="n/a","n/a",IF(AE$3&gt;(A10taxstdlife+$E608),(('PTRM input'!$P$152+'PTRM input'!$P$118)*$P$7)-SUM($P608:AD608),(('PTRM input'!$P$152+'PTRM input'!$P$118)*$P$7)/A10taxstdlife))</f>
        <v>0</v>
      </c>
      <c r="AF608" s="590">
        <f>IF(A10taxstdlife="n/a","n/a",IF(AF$3&gt;(A10taxstdlife+$E608),(('PTRM input'!$P$152+'PTRM input'!$P$118)*$P$7)-SUM($P608:AE608),(('PTRM input'!$P$152+'PTRM input'!$P$118)*$P$7)/A10taxstdlife))</f>
        <v>0</v>
      </c>
      <c r="AG608" s="590">
        <f>IF(A10taxstdlife="n/a","n/a",IF(AG$3&gt;(A10taxstdlife+$E608),(('PTRM input'!$P$152+'PTRM input'!$P$118)*$P$7)-SUM($P608:AF608),(('PTRM input'!$P$152+'PTRM input'!$P$118)*$P$7)/A10taxstdlife))</f>
        <v>0</v>
      </c>
      <c r="AH608" s="590">
        <f>IF(A10taxstdlife="n/a","n/a",IF(AH$3&gt;(A10taxstdlife+$E608),(('PTRM input'!$P$152+'PTRM input'!$P$118)*$P$7)-SUM($P608:AG608),(('PTRM input'!$P$152+'PTRM input'!$P$118)*$P$7)/A10taxstdlife))</f>
        <v>0</v>
      </c>
      <c r="AI608" s="590">
        <f>IF(A10taxstdlife="n/a","n/a",IF(AI$3&gt;(A10taxstdlife+$E608),(('PTRM input'!$P$152+'PTRM input'!$P$118)*$P$7)-SUM($P608:AH608),(('PTRM input'!$P$152+'PTRM input'!$P$118)*$P$7)/A10taxstdlife))</f>
        <v>0</v>
      </c>
      <c r="AJ608" s="590">
        <f>IF(A10taxstdlife="n/a","n/a",IF(AJ$3&gt;(A10taxstdlife+$E608),(('PTRM input'!$P$152+'PTRM input'!$P$118)*$P$7)-SUM($P608:AI608),(('PTRM input'!$P$152+'PTRM input'!$P$118)*$P$7)/A10taxstdlife))</f>
        <v>0</v>
      </c>
      <c r="AK608" s="590">
        <f>IF(A10taxstdlife="n/a","n/a",IF(AK$3&gt;(A10taxstdlife+$E608),(('PTRM input'!$P$152+'PTRM input'!$P$118)*$P$7)-SUM($P608:AJ608),(('PTRM input'!$P$152+'PTRM input'!$P$118)*$P$7)/A10taxstdlife))</f>
        <v>0</v>
      </c>
      <c r="AL608" s="590">
        <f>IF(A10taxstdlife="n/a","n/a",IF(AL$3&gt;(A10taxstdlife+$E608),(('PTRM input'!$P$152+'PTRM input'!$P$118)*$P$7)-SUM($P608:AK608),(('PTRM input'!$P$152+'PTRM input'!$P$118)*$P$7)/A10taxstdlife))</f>
        <v>0</v>
      </c>
      <c r="AM608" s="590">
        <f>IF(A10taxstdlife="n/a","n/a",IF(AM$3&gt;(A10taxstdlife+$E608),(('PTRM input'!$P$152+'PTRM input'!$P$118)*$P$7)-SUM($P608:AL608),(('PTRM input'!$P$152+'PTRM input'!$P$118)*$P$7)/A10taxstdlife))</f>
        <v>0</v>
      </c>
      <c r="AN608" s="590">
        <f>IF(A10taxstdlife="n/a","n/a",IF(AN$3&gt;(A10taxstdlife+$E608),(('PTRM input'!$P$152+'PTRM input'!$P$118)*$P$7)-SUM($P608:AM608),(('PTRM input'!$P$152+'PTRM input'!$P$118)*$P$7)/A10taxstdlife))</f>
        <v>0</v>
      </c>
      <c r="AO608" s="590">
        <f>IF(A10taxstdlife="n/a","n/a",IF(AO$3&gt;(A10taxstdlife+$E608),(('PTRM input'!$P$152+'PTRM input'!$P$118)*$P$7)-SUM($P608:AN608),(('PTRM input'!$P$152+'PTRM input'!$P$118)*$P$7)/A10taxstdlife))</f>
        <v>0</v>
      </c>
      <c r="AP608" s="590">
        <f>IF(A10taxstdlife="n/a","n/a",IF(AP$3&gt;(A10taxstdlife+$E608),(('PTRM input'!$P$152+'PTRM input'!$P$118)*$P$7)-SUM($P608:AO608),(('PTRM input'!$P$152+'PTRM input'!$P$118)*$P$7)/A10taxstdlife))</f>
        <v>0</v>
      </c>
      <c r="AQ608" s="590">
        <f>IF(A10taxstdlife="n/a","n/a",IF(AQ$3&gt;(A10taxstdlife+$E608),(('PTRM input'!$P$152+'PTRM input'!$P$118)*$P$7)-SUM($P608:AP608),(('PTRM input'!$P$152+'PTRM input'!$P$118)*$P$7)/A10taxstdlife))</f>
        <v>0</v>
      </c>
      <c r="AR608" s="590">
        <f>IF(A10taxstdlife="n/a","n/a",IF(AR$3&gt;(A10taxstdlife+$E608),(('PTRM input'!$P$152+'PTRM input'!$P$118)*$P$7)-SUM($P608:AQ608),(('PTRM input'!$P$152+'PTRM input'!$P$118)*$P$7)/A10taxstdlife))</f>
        <v>0</v>
      </c>
      <c r="AS608" s="590">
        <f>IF(A10taxstdlife="n/a","n/a",IF(AS$3&gt;(A10taxstdlife+$E608),(('PTRM input'!$P$152+'PTRM input'!$P$118)*$P$7)-SUM($P608:AR608),(('PTRM input'!$P$152+'PTRM input'!$P$118)*$P$7)/A10taxstdlife))</f>
        <v>0</v>
      </c>
      <c r="AT608" s="590">
        <f>IF(A10taxstdlife="n/a","n/a",IF(AT$3&gt;(A10taxstdlife+$E608),(('PTRM input'!$P$152+'PTRM input'!$P$118)*$P$7)-SUM($P608:AS608),(('PTRM input'!$P$152+'PTRM input'!$P$118)*$P$7)/A10taxstdlife))</f>
        <v>0</v>
      </c>
      <c r="AU608" s="590">
        <f>IF(A10taxstdlife="n/a","n/a",IF(AU$3&gt;(A10taxstdlife+$E608),(('PTRM input'!$P$152+'PTRM input'!$P$118)*$P$7)-SUM($P608:AT608),(('PTRM input'!$P$152+'PTRM input'!$P$118)*$P$7)/A10taxstdlife))</f>
        <v>0</v>
      </c>
      <c r="AV608" s="590">
        <f>IF(A10taxstdlife="n/a","n/a",IF(AV$3&gt;(A10taxstdlife+$E608),(('PTRM input'!$P$152+'PTRM input'!$P$118)*$P$7)-SUM($P608:AU608),(('PTRM input'!$P$152+'PTRM input'!$P$118)*$P$7)/A10taxstdlife))</f>
        <v>0</v>
      </c>
      <c r="AW608" s="590">
        <f>IF(A10taxstdlife="n/a","n/a",IF(AW$3&gt;(A10taxstdlife+$E608),(('PTRM input'!$P$152+'PTRM input'!$P$118)*$P$7)-SUM($P608:AV608),(('PTRM input'!$P$152+'PTRM input'!$P$118)*$P$7)/A10taxstdlife))</f>
        <v>0</v>
      </c>
      <c r="AX608" s="590">
        <f>IF(A10taxstdlife="n/a","n/a",IF(AX$3&gt;(A10taxstdlife+$E608),(('PTRM input'!$P$152+'PTRM input'!$P$118)*$P$7)-SUM($P608:AW608),(('PTRM input'!$P$152+'PTRM input'!$P$118)*$P$7)/A10taxstdlife))</f>
        <v>0</v>
      </c>
      <c r="AY608" s="590">
        <f>IF(A10taxstdlife="n/a","n/a",IF(AY$3&gt;(A10taxstdlife+$E608),(('PTRM input'!$P$152+'PTRM input'!$P$118)*$P$7)-SUM($P608:AX608),(('PTRM input'!$P$152+'PTRM input'!$P$118)*$P$7)/A10taxstdlife))</f>
        <v>0</v>
      </c>
      <c r="AZ608" s="590">
        <f>IF(A10taxstdlife="n/a","n/a",IF(AZ$3&gt;(A10taxstdlife+$E608),(('PTRM input'!$P$152+'PTRM input'!$P$118)*$P$7)-SUM($P608:AY608),(('PTRM input'!$P$152+'PTRM input'!$P$118)*$P$7)/A10taxstdlife))</f>
        <v>0</v>
      </c>
      <c r="BA608" s="590">
        <f>IF(A10taxstdlife="n/a","n/a",IF(BA$3&gt;(A10taxstdlife+$E608),(('PTRM input'!$P$152+'PTRM input'!$P$118)*$P$7)-SUM($P608:AZ608),(('PTRM input'!$P$152+'PTRM input'!$P$118)*$P$7)/A10taxstdlife))</f>
        <v>0</v>
      </c>
      <c r="BB608" s="590">
        <f>IF(A10taxstdlife="n/a","n/a",IF(BB$3&gt;(A10taxstdlife+$E608),(('PTRM input'!$P$152+'PTRM input'!$P$118)*$P$7)-SUM($P608:BA608),(('PTRM input'!$P$152+'PTRM input'!$P$118)*$P$7)/A10taxstdlife))</f>
        <v>0</v>
      </c>
      <c r="BC608" s="590">
        <f>IF(A10taxstdlife="n/a","n/a",IF(BC$3&gt;(A10taxstdlife+$E608),(('PTRM input'!$P$152+'PTRM input'!$P$118)*$P$7)-SUM($P608:BB608),(('PTRM input'!$P$152+'PTRM input'!$P$118)*$P$7)/A10taxstdlife))</f>
        <v>0</v>
      </c>
      <c r="BD608" s="590">
        <f>IF(A10taxstdlife="n/a","n/a",IF(BD$3&gt;(A10taxstdlife+$E608),(('PTRM input'!$P$152+'PTRM input'!$P$118)*$P$7)-SUM($P608:BC608),(('PTRM input'!$P$152+'PTRM input'!$P$118)*$P$7)/A10taxstdlife))</f>
        <v>0</v>
      </c>
      <c r="BE608" s="590">
        <f>IF(A10taxstdlife="n/a","n/a",IF(BE$3&gt;(A10taxstdlife+$E608),(('PTRM input'!$P$152+'PTRM input'!$P$118)*$P$7)-SUM($P608:BD608),(('PTRM input'!$P$152+'PTRM input'!$P$118)*$P$7)/A10taxstdlife))</f>
        <v>0</v>
      </c>
      <c r="BF608" s="590">
        <f>IF(A10taxstdlife="n/a","n/a",IF(BF$3&gt;(A10taxstdlife+$E608),(('PTRM input'!$P$152+'PTRM input'!$P$118)*$P$7)-SUM($P608:BE608),(('PTRM input'!$P$152+'PTRM input'!$P$118)*$P$7)/A10taxstdlife))</f>
        <v>0</v>
      </c>
      <c r="BG608" s="590">
        <f>IF(A10taxstdlife="n/a","n/a",IF(BG$3&gt;(A10taxstdlife+$E608),(('PTRM input'!$P$152+'PTRM input'!$P$118)*$P$7)-SUM($P608:BF608),(('PTRM input'!$P$152+'PTRM input'!$P$118)*$P$7)/A10taxstdlife))</f>
        <v>0</v>
      </c>
      <c r="BH608" s="590">
        <f>IF(A10taxstdlife="n/a","n/a",IF(BH$3&gt;(A10taxstdlife+$E608),(('PTRM input'!$P$152+'PTRM input'!$P$118)*$P$7)-SUM($P608:BG608),(('PTRM input'!$P$152+'PTRM input'!$P$118)*$P$7)/A10taxstdlife))</f>
        <v>0</v>
      </c>
      <c r="BI608" s="590">
        <f>IF(A10taxstdlife="n/a","n/a",IF(BI$3&gt;(A10taxstdlife+$E608),(('PTRM input'!$P$152+'PTRM input'!$P$118)*$P$7)-SUM($P608:BH608),(('PTRM input'!$P$152+'PTRM input'!$P$118)*$P$7)/A10taxstdlife))</f>
        <v>0</v>
      </c>
      <c r="BJ608" s="240"/>
      <c r="BK608" s="240"/>
      <c r="BL608" s="240"/>
      <c r="BM608" s="240"/>
    </row>
    <row r="609" spans="1:65" s="4" customFormat="1" hidden="1" outlineLevel="1">
      <c r="A609" s="240"/>
      <c r="B609" s="240"/>
      <c r="C609" s="595">
        <f>Asset10</f>
        <v>0</v>
      </c>
      <c r="D609" s="240"/>
      <c r="E609" s="240"/>
      <c r="F609" s="596"/>
      <c r="G609" s="591">
        <f t="shared" ref="G609:AL609" si="124">SUM(G597:G608)</f>
        <v>0</v>
      </c>
      <c r="H609" s="591">
        <f t="shared" si="124"/>
        <v>0</v>
      </c>
      <c r="I609" s="591">
        <f t="shared" si="124"/>
        <v>0</v>
      </c>
      <c r="J609" s="591">
        <f t="shared" si="124"/>
        <v>0</v>
      </c>
      <c r="K609" s="591">
        <f t="shared" si="124"/>
        <v>0</v>
      </c>
      <c r="L609" s="591">
        <f t="shared" si="124"/>
        <v>0</v>
      </c>
      <c r="M609" s="591">
        <f t="shared" si="124"/>
        <v>0</v>
      </c>
      <c r="N609" s="591">
        <f t="shared" si="124"/>
        <v>0</v>
      </c>
      <c r="O609" s="591">
        <f t="shared" si="124"/>
        <v>0</v>
      </c>
      <c r="P609" s="591">
        <f t="shared" si="124"/>
        <v>0</v>
      </c>
      <c r="Q609" s="591">
        <f t="shared" si="124"/>
        <v>0</v>
      </c>
      <c r="R609" s="591">
        <f t="shared" si="124"/>
        <v>0</v>
      </c>
      <c r="S609" s="591">
        <f t="shared" si="124"/>
        <v>0</v>
      </c>
      <c r="T609" s="591">
        <f t="shared" si="124"/>
        <v>0</v>
      </c>
      <c r="U609" s="591">
        <f t="shared" si="124"/>
        <v>0</v>
      </c>
      <c r="V609" s="591">
        <f t="shared" si="124"/>
        <v>0</v>
      </c>
      <c r="W609" s="591">
        <f t="shared" si="124"/>
        <v>0</v>
      </c>
      <c r="X609" s="591">
        <f t="shared" si="124"/>
        <v>0</v>
      </c>
      <c r="Y609" s="591">
        <f t="shared" si="124"/>
        <v>0</v>
      </c>
      <c r="Z609" s="591">
        <f t="shared" si="124"/>
        <v>0</v>
      </c>
      <c r="AA609" s="591">
        <f t="shared" si="124"/>
        <v>0</v>
      </c>
      <c r="AB609" s="591">
        <f t="shared" si="124"/>
        <v>0</v>
      </c>
      <c r="AC609" s="591">
        <f t="shared" si="124"/>
        <v>0</v>
      </c>
      <c r="AD609" s="591">
        <f t="shared" si="124"/>
        <v>0</v>
      </c>
      <c r="AE609" s="591">
        <f t="shared" si="124"/>
        <v>0</v>
      </c>
      <c r="AF609" s="591">
        <f t="shared" si="124"/>
        <v>0</v>
      </c>
      <c r="AG609" s="591">
        <f t="shared" si="124"/>
        <v>0</v>
      </c>
      <c r="AH609" s="591">
        <f t="shared" si="124"/>
        <v>0</v>
      </c>
      <c r="AI609" s="591">
        <f t="shared" si="124"/>
        <v>0</v>
      </c>
      <c r="AJ609" s="591">
        <f t="shared" si="124"/>
        <v>0</v>
      </c>
      <c r="AK609" s="591">
        <f t="shared" si="124"/>
        <v>0</v>
      </c>
      <c r="AL609" s="591">
        <f t="shared" si="124"/>
        <v>0</v>
      </c>
      <c r="AM609" s="591">
        <f t="shared" ref="AM609:BI609" si="125">SUM(AM597:AM608)</f>
        <v>0</v>
      </c>
      <c r="AN609" s="591">
        <f t="shared" si="125"/>
        <v>0</v>
      </c>
      <c r="AO609" s="591">
        <f t="shared" si="125"/>
        <v>0</v>
      </c>
      <c r="AP609" s="591">
        <f t="shared" si="125"/>
        <v>0</v>
      </c>
      <c r="AQ609" s="591">
        <f t="shared" si="125"/>
        <v>0</v>
      </c>
      <c r="AR609" s="591">
        <f t="shared" si="125"/>
        <v>0</v>
      </c>
      <c r="AS609" s="591">
        <f t="shared" si="125"/>
        <v>0</v>
      </c>
      <c r="AT609" s="591">
        <f t="shared" si="125"/>
        <v>0</v>
      </c>
      <c r="AU609" s="591">
        <f t="shared" si="125"/>
        <v>0</v>
      </c>
      <c r="AV609" s="591">
        <f t="shared" si="125"/>
        <v>0</v>
      </c>
      <c r="AW609" s="591">
        <f t="shared" si="125"/>
        <v>0</v>
      </c>
      <c r="AX609" s="591">
        <f t="shared" si="125"/>
        <v>0</v>
      </c>
      <c r="AY609" s="591">
        <f t="shared" si="125"/>
        <v>0</v>
      </c>
      <c r="AZ609" s="591">
        <f t="shared" si="125"/>
        <v>0</v>
      </c>
      <c r="BA609" s="591">
        <f t="shared" si="125"/>
        <v>0</v>
      </c>
      <c r="BB609" s="591">
        <f t="shared" si="125"/>
        <v>0</v>
      </c>
      <c r="BC609" s="591">
        <f t="shared" si="125"/>
        <v>0</v>
      </c>
      <c r="BD609" s="591">
        <f t="shared" si="125"/>
        <v>0</v>
      </c>
      <c r="BE609" s="591">
        <f t="shared" si="125"/>
        <v>0</v>
      </c>
      <c r="BF609" s="591">
        <f t="shared" si="125"/>
        <v>0</v>
      </c>
      <c r="BG609" s="591">
        <f t="shared" si="125"/>
        <v>0</v>
      </c>
      <c r="BH609" s="591">
        <f t="shared" si="125"/>
        <v>0</v>
      </c>
      <c r="BI609" s="591">
        <f t="shared" si="125"/>
        <v>0</v>
      </c>
      <c r="BJ609" s="240"/>
      <c r="BK609" s="240"/>
      <c r="BL609" s="240"/>
      <c r="BM609" s="240"/>
    </row>
    <row r="610" spans="1:65" s="4" customFormat="1" hidden="1" outlineLevel="2">
      <c r="A610" s="240"/>
      <c r="B610" s="597">
        <f>C622</f>
        <v>0</v>
      </c>
      <c r="C610" s="488"/>
      <c r="D610" s="598" t="s">
        <v>58</v>
      </c>
      <c r="E610" s="488"/>
      <c r="F610" s="599"/>
      <c r="G610" s="592">
        <f>IF(G$3&gt;A11taxremlife,A11taxvalue-SUM($F610:F610),IF(A11taxremlife="N/A","n/a",A11taxvalue/A11taxremlife))</f>
        <v>0</v>
      </c>
      <c r="H610" s="592">
        <f>IF(H$3&gt;A11taxremlife,A11taxvalue-SUM($F610:G610),IF(A11taxremlife="N/A","n/a",A11taxvalue/A11taxremlife))</f>
        <v>0</v>
      </c>
      <c r="I610" s="592">
        <f>IF(I$3&gt;A11taxremlife,A11taxvalue-SUM($F610:H610),IF(A11taxremlife="N/A","n/a",A11taxvalue/A11taxremlife))</f>
        <v>0</v>
      </c>
      <c r="J610" s="592">
        <f>IF(J$3&gt;A11taxremlife,A11taxvalue-SUM($F610:I610),IF(A11taxremlife="N/A","n/a",A11taxvalue/A11taxremlife))</f>
        <v>0</v>
      </c>
      <c r="K610" s="592">
        <f>IF(K$3&gt;A11taxremlife,A11taxvalue-SUM($F610:J610),IF(A11taxremlife="N/A","n/a",A11taxvalue/A11taxremlife))</f>
        <v>0</v>
      </c>
      <c r="L610" s="592">
        <f>IF(L$3&gt;A11taxremlife,A11taxvalue-SUM($F610:K610),IF(A11taxremlife="N/A","n/a",A11taxvalue/A11taxremlife))</f>
        <v>0</v>
      </c>
      <c r="M610" s="592">
        <f>IF(M$3&gt;A11taxremlife,A11taxvalue-SUM($F610:L610),IF(A11taxremlife="N/A","n/a",A11taxvalue/A11taxremlife))</f>
        <v>0</v>
      </c>
      <c r="N610" s="592">
        <f>IF(N$3&gt;A11taxremlife,A11taxvalue-SUM($F610:M610),IF(A11taxremlife="N/A","n/a",A11taxvalue/A11taxremlife))</f>
        <v>0</v>
      </c>
      <c r="O610" s="592">
        <f>IF(O$3&gt;A11taxremlife,A11taxvalue-SUM($F610:N610),IF(A11taxremlife="N/A","n/a",A11taxvalue/A11taxremlife))</f>
        <v>0</v>
      </c>
      <c r="P610" s="592">
        <f>IF(P$3&gt;A11taxremlife,A11taxvalue-SUM($F610:O610),IF(A11taxremlife="N/A","n/a",A11taxvalue/A11taxremlife))</f>
        <v>0</v>
      </c>
      <c r="Q610" s="592">
        <f>IF(Q$3&gt;A11taxremlife,A11taxvalue-SUM($F610:P610),IF(A11taxremlife="N/A","n/a",A11taxvalue/A11taxremlife))</f>
        <v>0</v>
      </c>
      <c r="R610" s="592">
        <f>IF(R$3&gt;A11taxremlife,A11taxvalue-SUM($F610:Q610),IF(A11taxremlife="N/A","n/a",A11taxvalue/A11taxremlife))</f>
        <v>0</v>
      </c>
      <c r="S610" s="592">
        <f>IF(S$3&gt;A11taxremlife,A11taxvalue-SUM($F610:R610),IF(A11taxremlife="N/A","n/a",A11taxvalue/A11taxremlife))</f>
        <v>0</v>
      </c>
      <c r="T610" s="592">
        <f>IF(T$3&gt;A11taxremlife,A11taxvalue-SUM($F610:S610),IF(A11taxremlife="N/A","n/a",A11taxvalue/A11taxremlife))</f>
        <v>0</v>
      </c>
      <c r="U610" s="592">
        <f>IF(U$3&gt;A11taxremlife,A11taxvalue-SUM($F610:T610),IF(A11taxremlife="N/A","n/a",A11taxvalue/A11taxremlife))</f>
        <v>0</v>
      </c>
      <c r="V610" s="592">
        <f>IF(V$3&gt;A11taxremlife,A11taxvalue-SUM($F610:U610),IF(A11taxremlife="N/A","n/a",A11taxvalue/A11taxremlife))</f>
        <v>0</v>
      </c>
      <c r="W610" s="592">
        <f>IF(W$3&gt;A11taxremlife,A11taxvalue-SUM($F610:V610),IF(A11taxremlife="N/A","n/a",A11taxvalue/A11taxremlife))</f>
        <v>0</v>
      </c>
      <c r="X610" s="592">
        <f>IF(X$3&gt;A11taxremlife,A11taxvalue-SUM($F610:W610),IF(A11taxremlife="N/A","n/a",A11taxvalue/A11taxremlife))</f>
        <v>0</v>
      </c>
      <c r="Y610" s="592">
        <f>IF(Y$3&gt;A11taxremlife,A11taxvalue-SUM($F610:X610),IF(A11taxremlife="N/A","n/a",A11taxvalue/A11taxremlife))</f>
        <v>0</v>
      </c>
      <c r="Z610" s="592">
        <f>IF(Z$3&gt;A11taxremlife,A11taxvalue-SUM($F610:Y610),IF(A11taxremlife="N/A","n/a",A11taxvalue/A11taxremlife))</f>
        <v>0</v>
      </c>
      <c r="AA610" s="592">
        <f>IF(AA$3&gt;A11taxremlife,A11taxvalue-SUM($F610:Z610),IF(A11taxremlife="N/A","n/a",A11taxvalue/A11taxremlife))</f>
        <v>0</v>
      </c>
      <c r="AB610" s="592">
        <f>IF(AB$3&gt;A11taxremlife,A11taxvalue-SUM($F610:AA610),IF(A11taxremlife="N/A","n/a",A11taxvalue/A11taxremlife))</f>
        <v>0</v>
      </c>
      <c r="AC610" s="592">
        <f>IF(AC$3&gt;A11taxremlife,A11taxvalue-SUM($F610:AB610),IF(A11taxremlife="N/A","n/a",A11taxvalue/A11taxremlife))</f>
        <v>0</v>
      </c>
      <c r="AD610" s="592">
        <f>IF(AD$3&gt;A11taxremlife,A11taxvalue-SUM($F610:AC610),IF(A11taxremlife="N/A","n/a",A11taxvalue/A11taxremlife))</f>
        <v>0</v>
      </c>
      <c r="AE610" s="592">
        <f>IF(AE$3&gt;A11taxremlife,A11taxvalue-SUM($F610:AD610),IF(A11taxremlife="N/A","n/a",A11taxvalue/A11taxremlife))</f>
        <v>0</v>
      </c>
      <c r="AF610" s="592">
        <f>IF(AF$3&gt;A11taxremlife,A11taxvalue-SUM($F610:AE610),IF(A11taxremlife="N/A","n/a",A11taxvalue/A11taxremlife))</f>
        <v>0</v>
      </c>
      <c r="AG610" s="592">
        <f>IF(AG$3&gt;A11taxremlife,A11taxvalue-SUM($F610:AF610),IF(A11taxremlife="N/A","n/a",A11taxvalue/A11taxremlife))</f>
        <v>0</v>
      </c>
      <c r="AH610" s="592">
        <f>IF(AH$3&gt;A11taxremlife,A11taxvalue-SUM($F610:AG610),IF(A11taxremlife="N/A","n/a",A11taxvalue/A11taxremlife))</f>
        <v>0</v>
      </c>
      <c r="AI610" s="592">
        <f>IF(AI$3&gt;A11taxremlife,A11taxvalue-SUM($F610:AH610),IF(A11taxremlife="N/A","n/a",A11taxvalue/A11taxremlife))</f>
        <v>0</v>
      </c>
      <c r="AJ610" s="592">
        <f>IF(AJ$3&gt;A11taxremlife,A11taxvalue-SUM($F610:AI610),IF(A11taxremlife="N/A","n/a",A11taxvalue/A11taxremlife))</f>
        <v>0</v>
      </c>
      <c r="AK610" s="592">
        <f>IF(AK$3&gt;A11taxremlife,A11taxvalue-SUM($F610:AJ610),IF(A11taxremlife="N/A","n/a",A11taxvalue/A11taxremlife))</f>
        <v>0</v>
      </c>
      <c r="AL610" s="592">
        <f>IF(AL$3&gt;A11taxremlife,A11taxvalue-SUM($F610:AK610),IF(A11taxremlife="N/A","n/a",A11taxvalue/A11taxremlife))</f>
        <v>0</v>
      </c>
      <c r="AM610" s="592">
        <f>IF(AM$3&gt;A11taxremlife,A11taxvalue-SUM($F610:AL610),IF(A11taxremlife="N/A","n/a",A11taxvalue/A11taxremlife))</f>
        <v>0</v>
      </c>
      <c r="AN610" s="592">
        <f>IF(AN$3&gt;A11taxremlife,A11taxvalue-SUM($F610:AM610),IF(A11taxremlife="N/A","n/a",A11taxvalue/A11taxremlife))</f>
        <v>0</v>
      </c>
      <c r="AO610" s="592">
        <f>IF(AO$3&gt;A11taxremlife,A11taxvalue-SUM($F610:AN610),IF(A11taxremlife="N/A","n/a",A11taxvalue/A11taxremlife))</f>
        <v>0</v>
      </c>
      <c r="AP610" s="592">
        <f>IF(AP$3&gt;A11taxremlife,A11taxvalue-SUM($F610:AO610),IF(A11taxremlife="N/A","n/a",A11taxvalue/A11taxremlife))</f>
        <v>0</v>
      </c>
      <c r="AQ610" s="592">
        <f>IF(AQ$3&gt;A11taxremlife,A11taxvalue-SUM($F610:AP610),IF(A11taxremlife="N/A","n/a",A11taxvalue/A11taxremlife))</f>
        <v>0</v>
      </c>
      <c r="AR610" s="592">
        <f>IF(AR$3&gt;A11taxremlife,A11taxvalue-SUM($F610:AQ610),IF(A11taxremlife="N/A","n/a",A11taxvalue/A11taxremlife))</f>
        <v>0</v>
      </c>
      <c r="AS610" s="592">
        <f>IF(AS$3&gt;A11taxremlife,A11taxvalue-SUM($F610:AR610),IF(A11taxremlife="N/A","n/a",A11taxvalue/A11taxremlife))</f>
        <v>0</v>
      </c>
      <c r="AT610" s="592">
        <f>IF(AT$3&gt;A11taxremlife,A11taxvalue-SUM($F610:AS610),IF(A11taxremlife="N/A","n/a",A11taxvalue/A11taxremlife))</f>
        <v>0</v>
      </c>
      <c r="AU610" s="592">
        <f>IF(AU$3&gt;A11taxremlife,A11taxvalue-SUM($F610:AT610),IF(A11taxremlife="N/A","n/a",A11taxvalue/A11taxremlife))</f>
        <v>0</v>
      </c>
      <c r="AV610" s="592">
        <f>IF(AV$3&gt;A11taxremlife,A11taxvalue-SUM($F610:AU610),IF(A11taxremlife="N/A","n/a",A11taxvalue/A11taxremlife))</f>
        <v>0</v>
      </c>
      <c r="AW610" s="592">
        <f>IF(AW$3&gt;A11taxremlife,A11taxvalue-SUM($F610:AV610),IF(A11taxremlife="N/A","n/a",A11taxvalue/A11taxremlife))</f>
        <v>0</v>
      </c>
      <c r="AX610" s="592">
        <f>IF(AX$3&gt;A11taxremlife,A11taxvalue-SUM($F610:AW610),IF(A11taxremlife="N/A","n/a",A11taxvalue/A11taxremlife))</f>
        <v>0</v>
      </c>
      <c r="AY610" s="592">
        <f>IF(AY$3&gt;A11taxremlife,A11taxvalue-SUM($F610:AX610),IF(A11taxremlife="N/A","n/a",A11taxvalue/A11taxremlife))</f>
        <v>0</v>
      </c>
      <c r="AZ610" s="592">
        <f>IF(AZ$3&gt;A11taxremlife,A11taxvalue-SUM($F610:AY610),IF(A11taxremlife="N/A","n/a",A11taxvalue/A11taxremlife))</f>
        <v>0</v>
      </c>
      <c r="BA610" s="592">
        <f>IF(BA$3&gt;A11taxremlife,A11taxvalue-SUM($F610:AZ610),IF(A11taxremlife="N/A","n/a",A11taxvalue/A11taxremlife))</f>
        <v>0</v>
      </c>
      <c r="BB610" s="592">
        <f>IF(BB$3&gt;A11taxremlife,A11taxvalue-SUM($F610:BA610),IF(A11taxremlife="N/A","n/a",A11taxvalue/A11taxremlife))</f>
        <v>0</v>
      </c>
      <c r="BC610" s="592">
        <f>IF(BC$3&gt;A11taxremlife,A11taxvalue-SUM($F610:BB610),IF(A11taxremlife="N/A","n/a",A11taxvalue/A11taxremlife))</f>
        <v>0</v>
      </c>
      <c r="BD610" s="592">
        <f>IF(BD$3&gt;A11taxremlife,A11taxvalue-SUM($F610:BC610),IF(A11taxremlife="N/A","n/a",A11taxvalue/A11taxremlife))</f>
        <v>0</v>
      </c>
      <c r="BE610" s="592">
        <f>IF(BE$3&gt;A11taxremlife,A11taxvalue-SUM($F610:BD610),IF(A11taxremlife="N/A","n/a",A11taxvalue/A11taxremlife))</f>
        <v>0</v>
      </c>
      <c r="BF610" s="592">
        <f>IF(BF$3&gt;A11taxremlife,A11taxvalue-SUM($F610:BE610),IF(A11taxremlife="N/A","n/a",A11taxvalue/A11taxremlife))</f>
        <v>0</v>
      </c>
      <c r="BG610" s="592">
        <f>IF(BG$3&gt;A11taxremlife,A11taxvalue-SUM($F610:BF610),IF(A11taxremlife="N/A","n/a",A11taxvalue/A11taxremlife))</f>
        <v>0</v>
      </c>
      <c r="BH610" s="592">
        <f>IF(BH$3&gt;A11taxremlife,A11taxvalue-SUM($F610:BG610),IF(A11taxremlife="N/A","n/a",A11taxvalue/A11taxremlife))</f>
        <v>0</v>
      </c>
      <c r="BI610" s="592">
        <f>IF(BI$3&gt;A11taxremlife,A11taxvalue-SUM($F610:BH610),IF(A11taxremlife="N/A","n/a",A11taxvalue/A11taxremlife))</f>
        <v>0</v>
      </c>
      <c r="BJ610" s="240"/>
      <c r="BK610" s="240"/>
      <c r="BL610" s="240"/>
      <c r="BM610" s="240"/>
    </row>
    <row r="611" spans="1:65" s="4" customFormat="1" ht="12.75" hidden="1" customHeight="1" outlineLevel="2">
      <c r="A611" s="240"/>
      <c r="B611" s="240"/>
      <c r="C611" s="595"/>
      <c r="D611" s="1618" t="s">
        <v>357</v>
      </c>
      <c r="E611" s="169">
        <v>0</v>
      </c>
      <c r="F611" s="35"/>
      <c r="G611" s="107"/>
      <c r="H611" s="107"/>
      <c r="I611" s="107"/>
      <c r="J611" s="107"/>
      <c r="K611" s="107"/>
      <c r="L611" s="107"/>
      <c r="M611" s="107"/>
      <c r="N611" s="107"/>
      <c r="O611" s="107"/>
      <c r="P611" s="107"/>
      <c r="Q611" s="590"/>
      <c r="R611" s="590"/>
      <c r="S611" s="590"/>
      <c r="T611" s="590"/>
      <c r="U611" s="590"/>
      <c r="V611" s="590"/>
      <c r="W611" s="590"/>
      <c r="X611" s="590"/>
      <c r="Y611" s="590"/>
      <c r="Z611" s="590"/>
      <c r="AA611" s="590"/>
      <c r="AB611" s="590"/>
      <c r="AC611" s="590"/>
      <c r="AD611" s="590"/>
      <c r="AE611" s="590"/>
      <c r="AF611" s="590"/>
      <c r="AG611" s="590"/>
      <c r="AH611" s="590"/>
      <c r="AI611" s="590"/>
      <c r="AJ611" s="590"/>
      <c r="AK611" s="590"/>
      <c r="AL611" s="590"/>
      <c r="AM611" s="590"/>
      <c r="AN611" s="590"/>
      <c r="AO611" s="590"/>
      <c r="AP611" s="590"/>
      <c r="AQ611" s="590"/>
      <c r="AR611" s="590"/>
      <c r="AS611" s="590"/>
      <c r="AT611" s="590"/>
      <c r="AU611" s="590"/>
      <c r="AV611" s="590"/>
      <c r="AW611" s="590"/>
      <c r="AX611" s="590"/>
      <c r="AY611" s="590"/>
      <c r="AZ611" s="590"/>
      <c r="BA611" s="590"/>
      <c r="BB611" s="590"/>
      <c r="BC611" s="590"/>
      <c r="BD611" s="590"/>
      <c r="BE611" s="590"/>
      <c r="BF611" s="590"/>
      <c r="BG611" s="590"/>
      <c r="BH611" s="590"/>
      <c r="BI611" s="590"/>
      <c r="BJ611" s="240"/>
      <c r="BK611" s="240"/>
      <c r="BL611" s="240"/>
      <c r="BM611" s="240"/>
    </row>
    <row r="612" spans="1:65" s="4" customFormat="1" hidden="1" outlineLevel="2">
      <c r="A612" s="240"/>
      <c r="B612" s="240"/>
      <c r="C612" s="595"/>
      <c r="D612" s="1618"/>
      <c r="E612" s="169">
        <v>1</v>
      </c>
      <c r="F612" s="35"/>
      <c r="G612" s="183"/>
      <c r="H612" s="107">
        <f>IF(A11taxstdlife="n/a","n/a",IF(H$3&gt;(A11taxstdlife+$E612),(('PTRM input'!$G$153+'PTRM input'!$G$119)*$G$7)-SUM($G612:G612),(('PTRM input'!$G$153+'PTRM input'!$G$119)*$G$7)/A11taxstdlife))</f>
        <v>0</v>
      </c>
      <c r="I612" s="107">
        <f>IF(A11taxstdlife="n/a","n/a",IF(I$3&gt;(A11taxstdlife+$E612),(('PTRM input'!$G$153+'PTRM input'!$G$119)*$G$7)-SUM($G612:H612),(('PTRM input'!$G$153+'PTRM input'!$G$119)*$G$7)/A11taxstdlife))</f>
        <v>0</v>
      </c>
      <c r="J612" s="107">
        <f>IF(A11taxstdlife="n/a","n/a",IF(J$3&gt;(A11taxstdlife+$E612),(('PTRM input'!$G$153+'PTRM input'!$G$119)*$G$7)-SUM($G612:I612),(('PTRM input'!$G$153+'PTRM input'!$G$119)*$G$7)/A11taxstdlife))</f>
        <v>0</v>
      </c>
      <c r="K612" s="107">
        <f>IF(A11taxstdlife="n/a","n/a",IF(K$3&gt;(A11taxstdlife+$E612),(('PTRM input'!$G$153+'PTRM input'!$G$119)*$G$7)-SUM($G612:J612),(('PTRM input'!$G$153+'PTRM input'!$G$119)*$G$7)/A11taxstdlife))</f>
        <v>0</v>
      </c>
      <c r="L612" s="107">
        <f>IF(A11taxstdlife="n/a","n/a",IF(L$3&gt;(A11taxstdlife+$E612),(('PTRM input'!$G$153+'PTRM input'!$G$119)*$G$7)-SUM($G612:K612),(('PTRM input'!$G$153+'PTRM input'!$G$119)*$G$7)/A11taxstdlife))</f>
        <v>0</v>
      </c>
      <c r="M612" s="107">
        <f>IF(A11taxstdlife="n/a","n/a",IF(M$3&gt;(A11taxstdlife+$E612),(('PTRM input'!$G$153+'PTRM input'!$G$119)*$G$7)-SUM($G612:L612),(('PTRM input'!$G$153+'PTRM input'!$G$119)*$G$7)/A11taxstdlife))</f>
        <v>0</v>
      </c>
      <c r="N612" s="107">
        <f>IF(A11taxstdlife="n/a","n/a",IF(N$3&gt;(A11taxstdlife+$E612),(('PTRM input'!$G$153+'PTRM input'!$G$119)*$G$7)-SUM($G612:M612),(('PTRM input'!$G$153+'PTRM input'!$G$119)*$G$7)/A11taxstdlife))</f>
        <v>0</v>
      </c>
      <c r="O612" s="107">
        <f>IF(A11taxstdlife="n/a","n/a",IF(O$3&gt;(A11taxstdlife+$E612),(('PTRM input'!$G$153+'PTRM input'!$G$119)*$G$7)-SUM($G612:N612),(('PTRM input'!$G$153+'PTRM input'!$G$119)*$G$7)/A11taxstdlife))</f>
        <v>0</v>
      </c>
      <c r="P612" s="107">
        <f>IF(A11taxstdlife="n/a","n/a",IF(P$3&gt;(A11taxstdlife+$E612),(('PTRM input'!$G$153+'PTRM input'!$G$119)*$G$7)-SUM($G612:O612),(('PTRM input'!$G$153+'PTRM input'!$G$119)*$G$7)/A11taxstdlife))</f>
        <v>0</v>
      </c>
      <c r="Q612" s="590">
        <f>IF(A11taxstdlife="n/a","n/a",IF(Q$3&gt;(A11taxstdlife+$E612),(('PTRM input'!$G$153+'PTRM input'!$G$119)*$G$7)-SUM($G612:P612),(('PTRM input'!$G$153+'PTRM input'!$G$119)*$G$7)/A11taxstdlife))</f>
        <v>0</v>
      </c>
      <c r="R612" s="590">
        <f>IF(A11taxstdlife="n/a","n/a",IF(R$3&gt;(A11taxstdlife+$E612),(('PTRM input'!$G$153+'PTRM input'!$G$119)*$G$7)-SUM($G612:Q612),(('PTRM input'!$G$153+'PTRM input'!$G$119)*$G$7)/A11taxstdlife))</f>
        <v>0</v>
      </c>
      <c r="S612" s="590">
        <f>IF(A11taxstdlife="n/a","n/a",IF(S$3&gt;(A11taxstdlife+$E612),(('PTRM input'!$G$153+'PTRM input'!$G$119)*$G$7)-SUM($G612:R612),(('PTRM input'!$G$153+'PTRM input'!$G$119)*$G$7)/A11taxstdlife))</f>
        <v>0</v>
      </c>
      <c r="T612" s="590">
        <f>IF(A11taxstdlife="n/a","n/a",IF(T$3&gt;(A11taxstdlife+$E612),(('PTRM input'!$G$153+'PTRM input'!$G$119)*$G$7)-SUM($G612:S612),(('PTRM input'!$G$153+'PTRM input'!$G$119)*$G$7)/A11taxstdlife))</f>
        <v>0</v>
      </c>
      <c r="U612" s="590">
        <f>IF(A11taxstdlife="n/a","n/a",IF(U$3&gt;(A11taxstdlife+$E612),(('PTRM input'!$G$153+'PTRM input'!$G$119)*$G$7)-SUM($G612:T612),(('PTRM input'!$G$153+'PTRM input'!$G$119)*$G$7)/A11taxstdlife))</f>
        <v>0</v>
      </c>
      <c r="V612" s="590">
        <f>IF(A11taxstdlife="n/a","n/a",IF(V$3&gt;(A11taxstdlife+$E612),(('PTRM input'!$G$153+'PTRM input'!$G$119)*$G$7)-SUM($G612:U612),(('PTRM input'!$G$153+'PTRM input'!$G$119)*$G$7)/A11taxstdlife))</f>
        <v>0</v>
      </c>
      <c r="W612" s="590">
        <f>IF(A11taxstdlife="n/a","n/a",IF(W$3&gt;(A11taxstdlife+$E612),(('PTRM input'!$G$153+'PTRM input'!$G$119)*$G$7)-SUM($G612:V612),(('PTRM input'!$G$153+'PTRM input'!$G$119)*$G$7)/A11taxstdlife))</f>
        <v>0</v>
      </c>
      <c r="X612" s="590">
        <f>IF(A11taxstdlife="n/a","n/a",IF(X$3&gt;(A11taxstdlife+$E612),(('PTRM input'!$G$153+'PTRM input'!$G$119)*$G$7)-SUM($G612:W612),(('PTRM input'!$G$153+'PTRM input'!$G$119)*$G$7)/A11taxstdlife))</f>
        <v>0</v>
      </c>
      <c r="Y612" s="590">
        <f>IF(A11taxstdlife="n/a","n/a",IF(Y$3&gt;(A11taxstdlife+$E612),(('PTRM input'!$G$153+'PTRM input'!$G$119)*$G$7)-SUM($G612:X612),(('PTRM input'!$G$153+'PTRM input'!$G$119)*$G$7)/A11taxstdlife))</f>
        <v>0</v>
      </c>
      <c r="Z612" s="590">
        <f>IF(A11taxstdlife="n/a","n/a",IF(Z$3&gt;(A11taxstdlife+$E612),(('PTRM input'!$G$153+'PTRM input'!$G$119)*$G$7)-SUM($G612:Y612),(('PTRM input'!$G$153+'PTRM input'!$G$119)*$G$7)/A11taxstdlife))</f>
        <v>0</v>
      </c>
      <c r="AA612" s="590">
        <f>IF(A11taxstdlife="n/a","n/a",IF(AA$3&gt;(A11taxstdlife+$E612),(('PTRM input'!$G$153+'PTRM input'!$G$119)*$G$7)-SUM($G612:Z612),(('PTRM input'!$G$153+'PTRM input'!$G$119)*$G$7)/A11taxstdlife))</f>
        <v>0</v>
      </c>
      <c r="AB612" s="590">
        <f>IF(A11taxstdlife="n/a","n/a",IF(AB$3&gt;(A11taxstdlife+$E612),(('PTRM input'!$G$153+'PTRM input'!$G$119)*$G$7)-SUM($G612:AA612),(('PTRM input'!$G$153+'PTRM input'!$G$119)*$G$7)/A11taxstdlife))</f>
        <v>0</v>
      </c>
      <c r="AC612" s="590">
        <f>IF(A11taxstdlife="n/a","n/a",IF(AC$3&gt;(A11taxstdlife+$E612),(('PTRM input'!$G$153+'PTRM input'!$G$119)*$G$7)-SUM($G612:AB612),(('PTRM input'!$G$153+'PTRM input'!$G$119)*$G$7)/A11taxstdlife))</f>
        <v>0</v>
      </c>
      <c r="AD612" s="590">
        <f>IF(A11taxstdlife="n/a","n/a",IF(AD$3&gt;(A11taxstdlife+$E612),(('PTRM input'!$G$153+'PTRM input'!$G$119)*$G$7)-SUM($G612:AC612),(('PTRM input'!$G$153+'PTRM input'!$G$119)*$G$7)/A11taxstdlife))</f>
        <v>0</v>
      </c>
      <c r="AE612" s="590">
        <f>IF(A11taxstdlife="n/a","n/a",IF(AE$3&gt;(A11taxstdlife+$E612),(('PTRM input'!$G$153+'PTRM input'!$G$119)*$G$7)-SUM($G612:AD612),(('PTRM input'!$G$153+'PTRM input'!$G$119)*$G$7)/A11taxstdlife))</f>
        <v>0</v>
      </c>
      <c r="AF612" s="590">
        <f>IF(A11taxstdlife="n/a","n/a",IF(AF$3&gt;(A11taxstdlife+$E612),(('PTRM input'!$G$153+'PTRM input'!$G$119)*$G$7)-SUM($G612:AE612),(('PTRM input'!$G$153+'PTRM input'!$G$119)*$G$7)/A11taxstdlife))</f>
        <v>0</v>
      </c>
      <c r="AG612" s="590">
        <f>IF(A11taxstdlife="n/a","n/a",IF(AG$3&gt;(A11taxstdlife+$E612),(('PTRM input'!$G$153+'PTRM input'!$G$119)*$G$7)-SUM($G612:AF612),(('PTRM input'!$G$153+'PTRM input'!$G$119)*$G$7)/A11taxstdlife))</f>
        <v>0</v>
      </c>
      <c r="AH612" s="590">
        <f>IF(A11taxstdlife="n/a","n/a",IF(AH$3&gt;(A11taxstdlife+$E612),(('PTRM input'!$G$153+'PTRM input'!$G$119)*$G$7)-SUM($G612:AG612),(('PTRM input'!$G$153+'PTRM input'!$G$119)*$G$7)/A11taxstdlife))</f>
        <v>0</v>
      </c>
      <c r="AI612" s="590">
        <f>IF(A11taxstdlife="n/a","n/a",IF(AI$3&gt;(A11taxstdlife+$E612),(('PTRM input'!$G$153+'PTRM input'!$G$119)*$G$7)-SUM($G612:AH612),(('PTRM input'!$G$153+'PTRM input'!$G$119)*$G$7)/A11taxstdlife))</f>
        <v>0</v>
      </c>
      <c r="AJ612" s="590">
        <f>IF(A11taxstdlife="n/a","n/a",IF(AJ$3&gt;(A11taxstdlife+$E612),(('PTRM input'!$G$153+'PTRM input'!$G$119)*$G$7)-SUM($G612:AI612),(('PTRM input'!$G$153+'PTRM input'!$G$119)*$G$7)/A11taxstdlife))</f>
        <v>0</v>
      </c>
      <c r="AK612" s="590">
        <f>IF(A11taxstdlife="n/a","n/a",IF(AK$3&gt;(A11taxstdlife+$E612),(('PTRM input'!$G$153+'PTRM input'!$G$119)*$G$7)-SUM($G612:AJ612),(('PTRM input'!$G$153+'PTRM input'!$G$119)*$G$7)/A11taxstdlife))</f>
        <v>0</v>
      </c>
      <c r="AL612" s="590">
        <f>IF(A11taxstdlife="n/a","n/a",IF(AL$3&gt;(A11taxstdlife+$E612),(('PTRM input'!$G$153+'PTRM input'!$G$119)*$G$7)-SUM($G612:AK612),(('PTRM input'!$G$153+'PTRM input'!$G$119)*$G$7)/A11taxstdlife))</f>
        <v>0</v>
      </c>
      <c r="AM612" s="590">
        <f>IF(A11taxstdlife="n/a","n/a",IF(AM$3&gt;(A11taxstdlife+$E612),(('PTRM input'!$G$153+'PTRM input'!$G$119)*$G$7)-SUM($G612:AL612),(('PTRM input'!$G$153+'PTRM input'!$G$119)*$G$7)/A11taxstdlife))</f>
        <v>0</v>
      </c>
      <c r="AN612" s="590">
        <f>IF(A11taxstdlife="n/a","n/a",IF(AN$3&gt;(A11taxstdlife+$E612),(('PTRM input'!$G$153+'PTRM input'!$G$119)*$G$7)-SUM($G612:AM612),(('PTRM input'!$G$153+'PTRM input'!$G$119)*$G$7)/A11taxstdlife))</f>
        <v>0</v>
      </c>
      <c r="AO612" s="590">
        <f>IF(A11taxstdlife="n/a","n/a",IF(AO$3&gt;(A11taxstdlife+$E612),(('PTRM input'!$G$153+'PTRM input'!$G$119)*$G$7)-SUM($G612:AN612),(('PTRM input'!$G$153+'PTRM input'!$G$119)*$G$7)/A11taxstdlife))</f>
        <v>0</v>
      </c>
      <c r="AP612" s="590">
        <f>IF(A11taxstdlife="n/a","n/a",IF(AP$3&gt;(A11taxstdlife+$E612),(('PTRM input'!$G$153+'PTRM input'!$G$119)*$G$7)-SUM($G612:AO612),(('PTRM input'!$G$153+'PTRM input'!$G$119)*$G$7)/A11taxstdlife))</f>
        <v>0</v>
      </c>
      <c r="AQ612" s="590">
        <f>IF(A11taxstdlife="n/a","n/a",IF(AQ$3&gt;(A11taxstdlife+$E612),(('PTRM input'!$G$153+'PTRM input'!$G$119)*$G$7)-SUM($G612:AP612),(('PTRM input'!$G$153+'PTRM input'!$G$119)*$G$7)/A11taxstdlife))</f>
        <v>0</v>
      </c>
      <c r="AR612" s="590">
        <f>IF(A11taxstdlife="n/a","n/a",IF(AR$3&gt;(A11taxstdlife+$E612),(('PTRM input'!$G$153+'PTRM input'!$G$119)*$G$7)-SUM($G612:AQ612),(('PTRM input'!$G$153+'PTRM input'!$G$119)*$G$7)/A11taxstdlife))</f>
        <v>0</v>
      </c>
      <c r="AS612" s="590">
        <f>IF(A11taxstdlife="n/a","n/a",IF(AS$3&gt;(A11taxstdlife+$E612),(('PTRM input'!$G$153+'PTRM input'!$G$119)*$G$7)-SUM($G612:AR612),(('PTRM input'!$G$153+'PTRM input'!$G$119)*$G$7)/A11taxstdlife))</f>
        <v>0</v>
      </c>
      <c r="AT612" s="590">
        <f>IF(A11taxstdlife="n/a","n/a",IF(AT$3&gt;(A11taxstdlife+$E612),(('PTRM input'!$G$153+'PTRM input'!$G$119)*$G$7)-SUM($G612:AS612),(('PTRM input'!$G$153+'PTRM input'!$G$119)*$G$7)/A11taxstdlife))</f>
        <v>0</v>
      </c>
      <c r="AU612" s="590">
        <f>IF(A11taxstdlife="n/a","n/a",IF(AU$3&gt;(A11taxstdlife+$E612),(('PTRM input'!$G$153+'PTRM input'!$G$119)*$G$7)-SUM($G612:AT612),(('PTRM input'!$G$153+'PTRM input'!$G$119)*$G$7)/A11taxstdlife))</f>
        <v>0</v>
      </c>
      <c r="AV612" s="590">
        <f>IF(A11taxstdlife="n/a","n/a",IF(AV$3&gt;(A11taxstdlife+$E612),(('PTRM input'!$G$153+'PTRM input'!$G$119)*$G$7)-SUM($G612:AU612),(('PTRM input'!$G$153+'PTRM input'!$G$119)*$G$7)/A11taxstdlife))</f>
        <v>0</v>
      </c>
      <c r="AW612" s="590">
        <f>IF(A11taxstdlife="n/a","n/a",IF(AW$3&gt;(A11taxstdlife+$E612),(('PTRM input'!$G$153+'PTRM input'!$G$119)*$G$7)-SUM($G612:AV612),(('PTRM input'!$G$153+'PTRM input'!$G$119)*$G$7)/A11taxstdlife))</f>
        <v>0</v>
      </c>
      <c r="AX612" s="590">
        <f>IF(A11taxstdlife="n/a","n/a",IF(AX$3&gt;(A11taxstdlife+$E612),(('PTRM input'!$G$153+'PTRM input'!$G$119)*$G$7)-SUM($G612:AW612),(('PTRM input'!$G$153+'PTRM input'!$G$119)*$G$7)/A11taxstdlife))</f>
        <v>0</v>
      </c>
      <c r="AY612" s="590">
        <f>IF(A11taxstdlife="n/a","n/a",IF(AY$3&gt;(A11taxstdlife+$E612),(('PTRM input'!$G$153+'PTRM input'!$G$119)*$G$7)-SUM($G612:AX612),(('PTRM input'!$G$153+'PTRM input'!$G$119)*$G$7)/A11taxstdlife))</f>
        <v>0</v>
      </c>
      <c r="AZ612" s="590">
        <f>IF(A11taxstdlife="n/a","n/a",IF(AZ$3&gt;(A11taxstdlife+$E612),(('PTRM input'!$G$153+'PTRM input'!$G$119)*$G$7)-SUM($G612:AY612),(('PTRM input'!$G$153+'PTRM input'!$G$119)*$G$7)/A11taxstdlife))</f>
        <v>0</v>
      </c>
      <c r="BA612" s="590">
        <f>IF(A11taxstdlife="n/a","n/a",IF(BA$3&gt;(A11taxstdlife+$E612),(('PTRM input'!$G$153+'PTRM input'!$G$119)*$G$7)-SUM($G612:AZ612),(('PTRM input'!$G$153+'PTRM input'!$G$119)*$G$7)/A11taxstdlife))</f>
        <v>0</v>
      </c>
      <c r="BB612" s="590">
        <f>IF(A11taxstdlife="n/a","n/a",IF(BB$3&gt;(A11taxstdlife+$E612),(('PTRM input'!$G$153+'PTRM input'!$G$119)*$G$7)-SUM($G612:BA612),(('PTRM input'!$G$153+'PTRM input'!$G$119)*$G$7)/A11taxstdlife))</f>
        <v>0</v>
      </c>
      <c r="BC612" s="590">
        <f>IF(A11taxstdlife="n/a","n/a",IF(BC$3&gt;(A11taxstdlife+$E612),(('PTRM input'!$G$153+'PTRM input'!$G$119)*$G$7)-SUM($G612:BB612),(('PTRM input'!$G$153+'PTRM input'!$G$119)*$G$7)/A11taxstdlife))</f>
        <v>0</v>
      </c>
      <c r="BD612" s="590">
        <f>IF(A11taxstdlife="n/a","n/a",IF(BD$3&gt;(A11taxstdlife+$E612),(('PTRM input'!$G$153+'PTRM input'!$G$119)*$G$7)-SUM($G612:BC612),(('PTRM input'!$G$153+'PTRM input'!$G$119)*$G$7)/A11taxstdlife))</f>
        <v>0</v>
      </c>
      <c r="BE612" s="590">
        <f>IF(A11taxstdlife="n/a","n/a",IF(BE$3&gt;(A11taxstdlife+$E612),(('PTRM input'!$G$153+'PTRM input'!$G$119)*$G$7)-SUM($G612:BD612),(('PTRM input'!$G$153+'PTRM input'!$G$119)*$G$7)/A11taxstdlife))</f>
        <v>0</v>
      </c>
      <c r="BF612" s="590">
        <f>IF(A11taxstdlife="n/a","n/a",IF(BF$3&gt;(A11taxstdlife+$E612),(('PTRM input'!$G$153+'PTRM input'!$G$119)*$G$7)-SUM($G612:BE612),(('PTRM input'!$G$153+'PTRM input'!$G$119)*$G$7)/A11taxstdlife))</f>
        <v>0</v>
      </c>
      <c r="BG612" s="590">
        <f>IF(A11taxstdlife="n/a","n/a",IF(BG$3&gt;(A11taxstdlife+$E612),(('PTRM input'!$G$153+'PTRM input'!$G$119)*$G$7)-SUM($G612:BF612),(('PTRM input'!$G$153+'PTRM input'!$G$119)*$G$7)/A11taxstdlife))</f>
        <v>0</v>
      </c>
      <c r="BH612" s="590">
        <f>IF(A11taxstdlife="n/a","n/a",IF(BH$3&gt;(A11taxstdlife+$E612),(('PTRM input'!$G$153+'PTRM input'!$G$119)*$G$7)-SUM($G612:BG612),(('PTRM input'!$G$153+'PTRM input'!$G$119)*$G$7)/A11taxstdlife))</f>
        <v>0</v>
      </c>
      <c r="BI612" s="590">
        <f>IF(A11taxstdlife="n/a","n/a",IF(BI$3&gt;(A11taxstdlife+$E612),(('PTRM input'!$G$153+'PTRM input'!$G$119)*$G$7)-SUM($G612:BH612),(('PTRM input'!$G$153+'PTRM input'!$G$119)*$G$7)/A11taxstdlife))</f>
        <v>0</v>
      </c>
      <c r="BJ612" s="240"/>
      <c r="BK612" s="240"/>
      <c r="BL612" s="240"/>
      <c r="BM612" s="240"/>
    </row>
    <row r="613" spans="1:65" s="4" customFormat="1" hidden="1" outlineLevel="2">
      <c r="A613" s="240"/>
      <c r="B613" s="240"/>
      <c r="C613" s="595"/>
      <c r="D613" s="1618"/>
      <c r="E613" s="169">
        <v>2</v>
      </c>
      <c r="F613" s="35"/>
      <c r="G613" s="184"/>
      <c r="H613" s="185"/>
      <c r="I613" s="107">
        <f>IF(A11taxstdlife="n/a","n/a",IF(I$3&gt;(A11taxstdlife+$E613),(('PTRM input'!$H$153+'PTRM input'!$H$119)*$H$7)-SUM($H613:H613),(('PTRM input'!$H$153+'PTRM input'!$H$119)*$H$7)/A11taxstdlife))</f>
        <v>0</v>
      </c>
      <c r="J613" s="107">
        <f>IF(A11taxstdlife="n/a","n/a",IF(J$3&gt;(A11taxstdlife+$E613),(('PTRM input'!$H$153+'PTRM input'!$H$119)*$H$7)-SUM($H613:I613),(('PTRM input'!$H$153+'PTRM input'!$H$119)*$H$7)/A11taxstdlife))</f>
        <v>0</v>
      </c>
      <c r="K613" s="107">
        <f>IF(A11taxstdlife="n/a","n/a",IF(K$3&gt;(A11taxstdlife+$E613),(('PTRM input'!$H$153+'PTRM input'!$H$119)*$H$7)-SUM($H613:J613),(('PTRM input'!$H$153+'PTRM input'!$H$119)*$H$7)/A11taxstdlife))</f>
        <v>0</v>
      </c>
      <c r="L613" s="107">
        <f>IF(A11taxstdlife="n/a","n/a",IF(L$3&gt;(A11taxstdlife+$E613),(('PTRM input'!$H$153+'PTRM input'!$H$119)*$H$7)-SUM($H613:K613),(('PTRM input'!$H$153+'PTRM input'!$H$119)*$H$7)/A11taxstdlife))</f>
        <v>0</v>
      </c>
      <c r="M613" s="107">
        <f>IF(A11taxstdlife="n/a","n/a",IF(M$3&gt;(A11taxstdlife+$E613),(('PTRM input'!$H$153+'PTRM input'!$H$119)*$H$7)-SUM($H613:L613),(('PTRM input'!$H$153+'PTRM input'!$H$119)*$H$7)/A11taxstdlife))</f>
        <v>0</v>
      </c>
      <c r="N613" s="107">
        <f>IF(A11taxstdlife="n/a","n/a",IF(N$3&gt;(A11taxstdlife+$E613),(('PTRM input'!$H$153+'PTRM input'!$H$119)*$H$7)-SUM($H613:M613),(('PTRM input'!$H$153+'PTRM input'!$H$119)*$H$7)/A11taxstdlife))</f>
        <v>0</v>
      </c>
      <c r="O613" s="107">
        <f>IF(A11taxstdlife="n/a","n/a",IF(O$3&gt;(A11taxstdlife+$E613),(('PTRM input'!$H$153+'PTRM input'!$H$119)*$H$7)-SUM($H613:N613),(('PTRM input'!$H$153+'PTRM input'!$H$119)*$H$7)/A11taxstdlife))</f>
        <v>0</v>
      </c>
      <c r="P613" s="107">
        <f>IF(A11taxstdlife="n/a","n/a",IF(P$3&gt;(A11taxstdlife+$E613),(('PTRM input'!$H$153+'PTRM input'!$H$119)*$H$7)-SUM($H613:O613),(('PTRM input'!$H$153+'PTRM input'!$H$119)*$H$7)/A11taxstdlife))</f>
        <v>0</v>
      </c>
      <c r="Q613" s="590">
        <f>IF(A11taxstdlife="n/a","n/a",IF(Q$3&gt;(A11taxstdlife+$E613),(('PTRM input'!$H$153+'PTRM input'!$H$119)*$H$7)-SUM($H613:P613),(('PTRM input'!$H$153+'PTRM input'!$H$119)*$H$7)/A11taxstdlife))</f>
        <v>0</v>
      </c>
      <c r="R613" s="590">
        <f>IF(A11taxstdlife="n/a","n/a",IF(R$3&gt;(A11taxstdlife+$E613),(('PTRM input'!$H$153+'PTRM input'!$H$119)*$H$7)-SUM($H613:Q613),(('PTRM input'!$H$153+'PTRM input'!$H$119)*$H$7)/A11taxstdlife))</f>
        <v>0</v>
      </c>
      <c r="S613" s="590">
        <f>IF(A11taxstdlife="n/a","n/a",IF(S$3&gt;(A11taxstdlife+$E613),(('PTRM input'!$H$153+'PTRM input'!$H$119)*$H$7)-SUM($H613:R613),(('PTRM input'!$H$153+'PTRM input'!$H$119)*$H$7)/A11taxstdlife))</f>
        <v>0</v>
      </c>
      <c r="T613" s="590">
        <f>IF(A11taxstdlife="n/a","n/a",IF(T$3&gt;(A11taxstdlife+$E613),(('PTRM input'!$H$153+'PTRM input'!$H$119)*$H$7)-SUM($H613:S613),(('PTRM input'!$H$153+'PTRM input'!$H$119)*$H$7)/A11taxstdlife))</f>
        <v>0</v>
      </c>
      <c r="U613" s="590">
        <f>IF(A11taxstdlife="n/a","n/a",IF(U$3&gt;(A11taxstdlife+$E613),(('PTRM input'!$H$153+'PTRM input'!$H$119)*$H$7)-SUM($H613:T613),(('PTRM input'!$H$153+'PTRM input'!$H$119)*$H$7)/A11taxstdlife))</f>
        <v>0</v>
      </c>
      <c r="V613" s="590">
        <f>IF(A11taxstdlife="n/a","n/a",IF(V$3&gt;(A11taxstdlife+$E613),(('PTRM input'!$H$153+'PTRM input'!$H$119)*$H$7)-SUM($H613:U613),(('PTRM input'!$H$153+'PTRM input'!$H$119)*$H$7)/A11taxstdlife))</f>
        <v>0</v>
      </c>
      <c r="W613" s="590">
        <f>IF(A11taxstdlife="n/a","n/a",IF(W$3&gt;(A11taxstdlife+$E613),(('PTRM input'!$H$153+'PTRM input'!$H$119)*$H$7)-SUM($H613:V613),(('PTRM input'!$H$153+'PTRM input'!$H$119)*$H$7)/A11taxstdlife))</f>
        <v>0</v>
      </c>
      <c r="X613" s="590">
        <f>IF(A11taxstdlife="n/a","n/a",IF(X$3&gt;(A11taxstdlife+$E613),(('PTRM input'!$H$153+'PTRM input'!$H$119)*$H$7)-SUM($H613:W613),(('PTRM input'!$H$153+'PTRM input'!$H$119)*$H$7)/A11taxstdlife))</f>
        <v>0</v>
      </c>
      <c r="Y613" s="590">
        <f>IF(A11taxstdlife="n/a","n/a",IF(Y$3&gt;(A11taxstdlife+$E613),(('PTRM input'!$H$153+'PTRM input'!$H$119)*$H$7)-SUM($H613:X613),(('PTRM input'!$H$153+'PTRM input'!$H$119)*$H$7)/A11taxstdlife))</f>
        <v>0</v>
      </c>
      <c r="Z613" s="590">
        <f>IF(A11taxstdlife="n/a","n/a",IF(Z$3&gt;(A11taxstdlife+$E613),(('PTRM input'!$H$153+'PTRM input'!$H$119)*$H$7)-SUM($H613:Y613),(('PTRM input'!$H$153+'PTRM input'!$H$119)*$H$7)/A11taxstdlife))</f>
        <v>0</v>
      </c>
      <c r="AA613" s="590">
        <f>IF(A11taxstdlife="n/a","n/a",IF(AA$3&gt;(A11taxstdlife+$E613),(('PTRM input'!$H$153+'PTRM input'!$H$119)*$H$7)-SUM($H613:Z613),(('PTRM input'!$H$153+'PTRM input'!$H$119)*$H$7)/A11taxstdlife))</f>
        <v>0</v>
      </c>
      <c r="AB613" s="590">
        <f>IF(A11taxstdlife="n/a","n/a",IF(AB$3&gt;(A11taxstdlife+$E613),(('PTRM input'!$H$153+'PTRM input'!$H$119)*$H$7)-SUM($H613:AA613),(('PTRM input'!$H$153+'PTRM input'!$H$119)*$H$7)/A11taxstdlife))</f>
        <v>0</v>
      </c>
      <c r="AC613" s="590">
        <f>IF(A11taxstdlife="n/a","n/a",IF(AC$3&gt;(A11taxstdlife+$E613),(('PTRM input'!$H$153+'PTRM input'!$H$119)*$H$7)-SUM($H613:AB613),(('PTRM input'!$H$153+'PTRM input'!$H$119)*$H$7)/A11taxstdlife))</f>
        <v>0</v>
      </c>
      <c r="AD613" s="590">
        <f>IF(A11taxstdlife="n/a","n/a",IF(AD$3&gt;(A11taxstdlife+$E613),(('PTRM input'!$H$153+'PTRM input'!$H$119)*$H$7)-SUM($H613:AC613),(('PTRM input'!$H$153+'PTRM input'!$H$119)*$H$7)/A11taxstdlife))</f>
        <v>0</v>
      </c>
      <c r="AE613" s="590">
        <f>IF(A11taxstdlife="n/a","n/a",IF(AE$3&gt;(A11taxstdlife+$E613),(('PTRM input'!$H$153+'PTRM input'!$H$119)*$H$7)-SUM($H613:AD613),(('PTRM input'!$H$153+'PTRM input'!$H$119)*$H$7)/A11taxstdlife))</f>
        <v>0</v>
      </c>
      <c r="AF613" s="590">
        <f>IF(A11taxstdlife="n/a","n/a",IF(AF$3&gt;(A11taxstdlife+$E613),(('PTRM input'!$H$153+'PTRM input'!$H$119)*$H$7)-SUM($H613:AE613),(('PTRM input'!$H$153+'PTRM input'!$H$119)*$H$7)/A11taxstdlife))</f>
        <v>0</v>
      </c>
      <c r="AG613" s="590">
        <f>IF(A11taxstdlife="n/a","n/a",IF(AG$3&gt;(A11taxstdlife+$E613),(('PTRM input'!$H$153+'PTRM input'!$H$119)*$H$7)-SUM($H613:AF613),(('PTRM input'!$H$153+'PTRM input'!$H$119)*$H$7)/A11taxstdlife))</f>
        <v>0</v>
      </c>
      <c r="AH613" s="590">
        <f>IF(A11taxstdlife="n/a","n/a",IF(AH$3&gt;(A11taxstdlife+$E613),(('PTRM input'!$H$153+'PTRM input'!$H$119)*$H$7)-SUM($H613:AG613),(('PTRM input'!$H$153+'PTRM input'!$H$119)*$H$7)/A11taxstdlife))</f>
        <v>0</v>
      </c>
      <c r="AI613" s="590">
        <f>IF(A11taxstdlife="n/a","n/a",IF(AI$3&gt;(A11taxstdlife+$E613),(('PTRM input'!$H$153+'PTRM input'!$H$119)*$H$7)-SUM($H613:AH613),(('PTRM input'!$H$153+'PTRM input'!$H$119)*$H$7)/A11taxstdlife))</f>
        <v>0</v>
      </c>
      <c r="AJ613" s="590">
        <f>IF(A11taxstdlife="n/a","n/a",IF(AJ$3&gt;(A11taxstdlife+$E613),(('PTRM input'!$H$153+'PTRM input'!$H$119)*$H$7)-SUM($H613:AI613),(('PTRM input'!$H$153+'PTRM input'!$H$119)*$H$7)/A11taxstdlife))</f>
        <v>0</v>
      </c>
      <c r="AK613" s="590">
        <f>IF(A11taxstdlife="n/a","n/a",IF(AK$3&gt;(A11taxstdlife+$E613),(('PTRM input'!$H$153+'PTRM input'!$H$119)*$H$7)-SUM($H613:AJ613),(('PTRM input'!$H$153+'PTRM input'!$H$119)*$H$7)/A11taxstdlife))</f>
        <v>0</v>
      </c>
      <c r="AL613" s="590">
        <f>IF(A11taxstdlife="n/a","n/a",IF(AL$3&gt;(A11taxstdlife+$E613),(('PTRM input'!$H$153+'PTRM input'!$H$119)*$H$7)-SUM($H613:AK613),(('PTRM input'!$H$153+'PTRM input'!$H$119)*$H$7)/A11taxstdlife))</f>
        <v>0</v>
      </c>
      <c r="AM613" s="590">
        <f>IF(A11taxstdlife="n/a","n/a",IF(AM$3&gt;(A11taxstdlife+$E613),(('PTRM input'!$H$153+'PTRM input'!$H$119)*$H$7)-SUM($H613:AL613),(('PTRM input'!$H$153+'PTRM input'!$H$119)*$H$7)/A11taxstdlife))</f>
        <v>0</v>
      </c>
      <c r="AN613" s="590">
        <f>IF(A11taxstdlife="n/a","n/a",IF(AN$3&gt;(A11taxstdlife+$E613),(('PTRM input'!$H$153+'PTRM input'!$H$119)*$H$7)-SUM($H613:AM613),(('PTRM input'!$H$153+'PTRM input'!$H$119)*$H$7)/A11taxstdlife))</f>
        <v>0</v>
      </c>
      <c r="AO613" s="590">
        <f>IF(A11taxstdlife="n/a","n/a",IF(AO$3&gt;(A11taxstdlife+$E613),(('PTRM input'!$H$153+'PTRM input'!$H$119)*$H$7)-SUM($H613:AN613),(('PTRM input'!$H$153+'PTRM input'!$H$119)*$H$7)/A11taxstdlife))</f>
        <v>0</v>
      </c>
      <c r="AP613" s="590">
        <f>IF(A11taxstdlife="n/a","n/a",IF(AP$3&gt;(A11taxstdlife+$E613),(('PTRM input'!$H$153+'PTRM input'!$H$119)*$H$7)-SUM($H613:AO613),(('PTRM input'!$H$153+'PTRM input'!$H$119)*$H$7)/A11taxstdlife))</f>
        <v>0</v>
      </c>
      <c r="AQ613" s="590">
        <f>IF(A11taxstdlife="n/a","n/a",IF(AQ$3&gt;(A11taxstdlife+$E613),(('PTRM input'!$H$153+'PTRM input'!$H$119)*$H$7)-SUM($H613:AP613),(('PTRM input'!$H$153+'PTRM input'!$H$119)*$H$7)/A11taxstdlife))</f>
        <v>0</v>
      </c>
      <c r="AR613" s="590">
        <f>IF(A11taxstdlife="n/a","n/a",IF(AR$3&gt;(A11taxstdlife+$E613),(('PTRM input'!$H$153+'PTRM input'!$H$119)*$H$7)-SUM($H613:AQ613),(('PTRM input'!$H$153+'PTRM input'!$H$119)*$H$7)/A11taxstdlife))</f>
        <v>0</v>
      </c>
      <c r="AS613" s="590">
        <f>IF(A11taxstdlife="n/a","n/a",IF(AS$3&gt;(A11taxstdlife+$E613),(('PTRM input'!$H$153+'PTRM input'!$H$119)*$H$7)-SUM($H613:AR613),(('PTRM input'!$H$153+'PTRM input'!$H$119)*$H$7)/A11taxstdlife))</f>
        <v>0</v>
      </c>
      <c r="AT613" s="590">
        <f>IF(A11taxstdlife="n/a","n/a",IF(AT$3&gt;(A11taxstdlife+$E613),(('PTRM input'!$H$153+'PTRM input'!$H$119)*$H$7)-SUM($H613:AS613),(('PTRM input'!$H$153+'PTRM input'!$H$119)*$H$7)/A11taxstdlife))</f>
        <v>0</v>
      </c>
      <c r="AU613" s="590">
        <f>IF(A11taxstdlife="n/a","n/a",IF(AU$3&gt;(A11taxstdlife+$E613),(('PTRM input'!$H$153+'PTRM input'!$H$119)*$H$7)-SUM($H613:AT613),(('PTRM input'!$H$153+'PTRM input'!$H$119)*$H$7)/A11taxstdlife))</f>
        <v>0</v>
      </c>
      <c r="AV613" s="590">
        <f>IF(A11taxstdlife="n/a","n/a",IF(AV$3&gt;(A11taxstdlife+$E613),(('PTRM input'!$H$153+'PTRM input'!$H$119)*$H$7)-SUM($H613:AU613),(('PTRM input'!$H$153+'PTRM input'!$H$119)*$H$7)/A11taxstdlife))</f>
        <v>0</v>
      </c>
      <c r="AW613" s="590">
        <f>IF(A11taxstdlife="n/a","n/a",IF(AW$3&gt;(A11taxstdlife+$E613),(('PTRM input'!$H$153+'PTRM input'!$H$119)*$H$7)-SUM($H613:AV613),(('PTRM input'!$H$153+'PTRM input'!$H$119)*$H$7)/A11taxstdlife))</f>
        <v>0</v>
      </c>
      <c r="AX613" s="590">
        <f>IF(A11taxstdlife="n/a","n/a",IF(AX$3&gt;(A11taxstdlife+$E613),(('PTRM input'!$H$153+'PTRM input'!$H$119)*$H$7)-SUM($H613:AW613),(('PTRM input'!$H$153+'PTRM input'!$H$119)*$H$7)/A11taxstdlife))</f>
        <v>0</v>
      </c>
      <c r="AY613" s="590">
        <f>IF(A11taxstdlife="n/a","n/a",IF(AY$3&gt;(A11taxstdlife+$E613),(('PTRM input'!$H$153+'PTRM input'!$H$119)*$H$7)-SUM($H613:AX613),(('PTRM input'!$H$153+'PTRM input'!$H$119)*$H$7)/A11taxstdlife))</f>
        <v>0</v>
      </c>
      <c r="AZ613" s="590">
        <f>IF(A11taxstdlife="n/a","n/a",IF(AZ$3&gt;(A11taxstdlife+$E613),(('PTRM input'!$H$153+'PTRM input'!$H$119)*$H$7)-SUM($H613:AY613),(('PTRM input'!$H$153+'PTRM input'!$H$119)*$H$7)/A11taxstdlife))</f>
        <v>0</v>
      </c>
      <c r="BA613" s="590">
        <f>IF(A11taxstdlife="n/a","n/a",IF(BA$3&gt;(A11taxstdlife+$E613),(('PTRM input'!$H$153+'PTRM input'!$H$119)*$H$7)-SUM($H613:AZ613),(('PTRM input'!$H$153+'PTRM input'!$H$119)*$H$7)/A11taxstdlife))</f>
        <v>0</v>
      </c>
      <c r="BB613" s="590">
        <f>IF(A11taxstdlife="n/a","n/a",IF(BB$3&gt;(A11taxstdlife+$E613),(('PTRM input'!$H$153+'PTRM input'!$H$119)*$H$7)-SUM($H613:BA613),(('PTRM input'!$H$153+'PTRM input'!$H$119)*$H$7)/A11taxstdlife))</f>
        <v>0</v>
      </c>
      <c r="BC613" s="590">
        <f>IF(A11taxstdlife="n/a","n/a",IF(BC$3&gt;(A11taxstdlife+$E613),(('PTRM input'!$H$153+'PTRM input'!$H$119)*$H$7)-SUM($H613:BB613),(('PTRM input'!$H$153+'PTRM input'!$H$119)*$H$7)/A11taxstdlife))</f>
        <v>0</v>
      </c>
      <c r="BD613" s="590">
        <f>IF(A11taxstdlife="n/a","n/a",IF(BD$3&gt;(A11taxstdlife+$E613),(('PTRM input'!$H$153+'PTRM input'!$H$119)*$H$7)-SUM($H613:BC613),(('PTRM input'!$H$153+'PTRM input'!$H$119)*$H$7)/A11taxstdlife))</f>
        <v>0</v>
      </c>
      <c r="BE613" s="590">
        <f>IF(A11taxstdlife="n/a","n/a",IF(BE$3&gt;(A11taxstdlife+$E613),(('PTRM input'!$H$153+'PTRM input'!$H$119)*$H$7)-SUM($H613:BD613),(('PTRM input'!$H$153+'PTRM input'!$H$119)*$H$7)/A11taxstdlife))</f>
        <v>0</v>
      </c>
      <c r="BF613" s="590">
        <f>IF(A11taxstdlife="n/a","n/a",IF(BF$3&gt;(A11taxstdlife+$E613),(('PTRM input'!$H$153+'PTRM input'!$H$119)*$H$7)-SUM($H613:BE613),(('PTRM input'!$H$153+'PTRM input'!$H$119)*$H$7)/A11taxstdlife))</f>
        <v>0</v>
      </c>
      <c r="BG613" s="590">
        <f>IF(A11taxstdlife="n/a","n/a",IF(BG$3&gt;(A11taxstdlife+$E613),(('PTRM input'!$H$153+'PTRM input'!$H$119)*$H$7)-SUM($H613:BF613),(('PTRM input'!$H$153+'PTRM input'!$H$119)*$H$7)/A11taxstdlife))</f>
        <v>0</v>
      </c>
      <c r="BH613" s="590">
        <f>IF(A11taxstdlife="n/a","n/a",IF(BH$3&gt;(A11taxstdlife+$E613),(('PTRM input'!$H$153+'PTRM input'!$H$119)*$H$7)-SUM($H613:BG613),(('PTRM input'!$H$153+'PTRM input'!$H$119)*$H$7)/A11taxstdlife))</f>
        <v>0</v>
      </c>
      <c r="BI613" s="590">
        <f>IF(A11taxstdlife="n/a","n/a",IF(BI$3&gt;(A11taxstdlife+$E613),(('PTRM input'!$H$153+'PTRM input'!$H$119)*$H$7)-SUM($H613:BH613),(('PTRM input'!$H$153+'PTRM input'!$H$119)*$H$7)/A11taxstdlife))</f>
        <v>0</v>
      </c>
      <c r="BJ613" s="240"/>
      <c r="BK613" s="240"/>
      <c r="BL613" s="240"/>
      <c r="BM613" s="240"/>
    </row>
    <row r="614" spans="1:65" s="4" customFormat="1" hidden="1" outlineLevel="2">
      <c r="A614" s="240"/>
      <c r="B614" s="240"/>
      <c r="C614" s="595"/>
      <c r="D614" s="1618"/>
      <c r="E614" s="169">
        <v>3</v>
      </c>
      <c r="F614" s="35"/>
      <c r="G614" s="184"/>
      <c r="H614" s="186"/>
      <c r="I614" s="185"/>
      <c r="J614" s="107">
        <f>IF(A11taxstdlife="n/a","n/a",IF(J$3&gt;(A11taxstdlife+$E614),(('PTRM input'!$I$153+'PTRM input'!$I$119)*$I$7)-SUM($I614:I614),(('PTRM input'!$I$153+'PTRM input'!$I$119)*$I$7)/A11taxstdlife))</f>
        <v>0</v>
      </c>
      <c r="K614" s="107">
        <f>IF(A11taxstdlife="n/a","n/a",IF(K$3&gt;(A11taxstdlife+$E614),(('PTRM input'!$I$153+'PTRM input'!$I$119)*$I$7)-SUM($I614:J614),(('PTRM input'!$I$153+'PTRM input'!$I$119)*$I$7)/A11taxstdlife))</f>
        <v>0</v>
      </c>
      <c r="L614" s="107">
        <f>IF(A11taxstdlife="n/a","n/a",IF(L$3&gt;(A11taxstdlife+$E614),(('PTRM input'!$I$153+'PTRM input'!$I$119)*$I$7)-SUM($I614:K614),(('PTRM input'!$I$153+'PTRM input'!$I$119)*$I$7)/A11taxstdlife))</f>
        <v>0</v>
      </c>
      <c r="M614" s="107">
        <f>IF(A11taxstdlife="n/a","n/a",IF(M$3&gt;(A11taxstdlife+$E614),(('PTRM input'!$I$153+'PTRM input'!$I$119)*$I$7)-SUM($I614:L614),(('PTRM input'!$I$153+'PTRM input'!$I$119)*$I$7)/A11taxstdlife))</f>
        <v>0</v>
      </c>
      <c r="N614" s="107">
        <f>IF(A11taxstdlife="n/a","n/a",IF(N$3&gt;(A11taxstdlife+$E614),(('PTRM input'!$I$153+'PTRM input'!$I$119)*$I$7)-SUM($I614:M614),(('PTRM input'!$I$153+'PTRM input'!$I$119)*$I$7)/A11taxstdlife))</f>
        <v>0</v>
      </c>
      <c r="O614" s="107">
        <f>IF(A11taxstdlife="n/a","n/a",IF(O$3&gt;(A11taxstdlife+$E614),(('PTRM input'!$I$153+'PTRM input'!$I$119)*$I$7)-SUM($I614:N614),(('PTRM input'!$I$153+'PTRM input'!$I$119)*$I$7)/A11taxstdlife))</f>
        <v>0</v>
      </c>
      <c r="P614" s="107">
        <f>IF(A11taxstdlife="n/a","n/a",IF(P$3&gt;(A11taxstdlife+$E614),(('PTRM input'!$I$153+'PTRM input'!$I$119)*$I$7)-SUM($I614:O614),(('PTRM input'!$I$153+'PTRM input'!$I$119)*$I$7)/A11taxstdlife))</f>
        <v>0</v>
      </c>
      <c r="Q614" s="590">
        <f>IF(A11taxstdlife="n/a","n/a",IF(Q$3&gt;(A11taxstdlife+$E614),(('PTRM input'!$I$153+'PTRM input'!$I$119)*$I$7)-SUM($I614:P614),(('PTRM input'!$I$153+'PTRM input'!$I$119)*$I$7)/A11taxstdlife))</f>
        <v>0</v>
      </c>
      <c r="R614" s="590">
        <f>IF(A11taxstdlife="n/a","n/a",IF(R$3&gt;(A11taxstdlife+$E614),(('PTRM input'!$I$153+'PTRM input'!$I$119)*$I$7)-SUM($I614:Q614),(('PTRM input'!$I$153+'PTRM input'!$I$119)*$I$7)/A11taxstdlife))</f>
        <v>0</v>
      </c>
      <c r="S614" s="590">
        <f>IF(A11taxstdlife="n/a","n/a",IF(S$3&gt;(A11taxstdlife+$E614),(('PTRM input'!$I$153+'PTRM input'!$I$119)*$I$7)-SUM($I614:R614),(('PTRM input'!$I$153+'PTRM input'!$I$119)*$I$7)/A11taxstdlife))</f>
        <v>0</v>
      </c>
      <c r="T614" s="590">
        <f>IF(A11taxstdlife="n/a","n/a",IF(T$3&gt;(A11taxstdlife+$E614),(('PTRM input'!$I$153+'PTRM input'!$I$119)*$I$7)-SUM($I614:S614),(('PTRM input'!$I$153+'PTRM input'!$I$119)*$I$7)/A11taxstdlife))</f>
        <v>0</v>
      </c>
      <c r="U614" s="590">
        <f>IF(A11taxstdlife="n/a","n/a",IF(U$3&gt;(A11taxstdlife+$E614),(('PTRM input'!$I$153+'PTRM input'!$I$119)*$I$7)-SUM($I614:T614),(('PTRM input'!$I$153+'PTRM input'!$I$119)*$I$7)/A11taxstdlife))</f>
        <v>0</v>
      </c>
      <c r="V614" s="590">
        <f>IF(A11taxstdlife="n/a","n/a",IF(V$3&gt;(A11taxstdlife+$E614),(('PTRM input'!$I$153+'PTRM input'!$I$119)*$I$7)-SUM($I614:U614),(('PTRM input'!$I$153+'PTRM input'!$I$119)*$I$7)/A11taxstdlife))</f>
        <v>0</v>
      </c>
      <c r="W614" s="590">
        <f>IF(A11taxstdlife="n/a","n/a",IF(W$3&gt;(A11taxstdlife+$E614),(('PTRM input'!$I$153+'PTRM input'!$I$119)*$I$7)-SUM($I614:V614),(('PTRM input'!$I$153+'PTRM input'!$I$119)*$I$7)/A11taxstdlife))</f>
        <v>0</v>
      </c>
      <c r="X614" s="590">
        <f>IF(A11taxstdlife="n/a","n/a",IF(X$3&gt;(A11taxstdlife+$E614),(('PTRM input'!$I$153+'PTRM input'!$I$119)*$I$7)-SUM($I614:W614),(('PTRM input'!$I$153+'PTRM input'!$I$119)*$I$7)/A11taxstdlife))</f>
        <v>0</v>
      </c>
      <c r="Y614" s="590">
        <f>IF(A11taxstdlife="n/a","n/a",IF(Y$3&gt;(A11taxstdlife+$E614),(('PTRM input'!$I$153+'PTRM input'!$I$119)*$I$7)-SUM($I614:X614),(('PTRM input'!$I$153+'PTRM input'!$I$119)*$I$7)/A11taxstdlife))</f>
        <v>0</v>
      </c>
      <c r="Z614" s="590">
        <f>IF(A11taxstdlife="n/a","n/a",IF(Z$3&gt;(A11taxstdlife+$E614),(('PTRM input'!$I$153+'PTRM input'!$I$119)*$I$7)-SUM($I614:Y614),(('PTRM input'!$I$153+'PTRM input'!$I$119)*$I$7)/A11taxstdlife))</f>
        <v>0</v>
      </c>
      <c r="AA614" s="590">
        <f>IF(A11taxstdlife="n/a","n/a",IF(AA$3&gt;(A11taxstdlife+$E614),(('PTRM input'!$I$153+'PTRM input'!$I$119)*$I$7)-SUM($I614:Z614),(('PTRM input'!$I$153+'PTRM input'!$I$119)*$I$7)/A11taxstdlife))</f>
        <v>0</v>
      </c>
      <c r="AB614" s="590">
        <f>IF(A11taxstdlife="n/a","n/a",IF(AB$3&gt;(A11taxstdlife+$E614),(('PTRM input'!$I$153+'PTRM input'!$I$119)*$I$7)-SUM($I614:AA614),(('PTRM input'!$I$153+'PTRM input'!$I$119)*$I$7)/A11taxstdlife))</f>
        <v>0</v>
      </c>
      <c r="AC614" s="590">
        <f>IF(A11taxstdlife="n/a","n/a",IF(AC$3&gt;(A11taxstdlife+$E614),(('PTRM input'!$I$153+'PTRM input'!$I$119)*$I$7)-SUM($I614:AB614),(('PTRM input'!$I$153+'PTRM input'!$I$119)*$I$7)/A11taxstdlife))</f>
        <v>0</v>
      </c>
      <c r="AD614" s="590">
        <f>IF(A11taxstdlife="n/a","n/a",IF(AD$3&gt;(A11taxstdlife+$E614),(('PTRM input'!$I$153+'PTRM input'!$I$119)*$I$7)-SUM($I614:AC614),(('PTRM input'!$I$153+'PTRM input'!$I$119)*$I$7)/A11taxstdlife))</f>
        <v>0</v>
      </c>
      <c r="AE614" s="590">
        <f>IF(A11taxstdlife="n/a","n/a",IF(AE$3&gt;(A11taxstdlife+$E614),(('PTRM input'!$I$153+'PTRM input'!$I$119)*$I$7)-SUM($I614:AD614),(('PTRM input'!$I$153+'PTRM input'!$I$119)*$I$7)/A11taxstdlife))</f>
        <v>0</v>
      </c>
      <c r="AF614" s="590">
        <f>IF(A11taxstdlife="n/a","n/a",IF(AF$3&gt;(A11taxstdlife+$E614),(('PTRM input'!$I$153+'PTRM input'!$I$119)*$I$7)-SUM($I614:AE614),(('PTRM input'!$I$153+'PTRM input'!$I$119)*$I$7)/A11taxstdlife))</f>
        <v>0</v>
      </c>
      <c r="AG614" s="590">
        <f>IF(A11taxstdlife="n/a","n/a",IF(AG$3&gt;(A11taxstdlife+$E614),(('PTRM input'!$I$153+'PTRM input'!$I$119)*$I$7)-SUM($I614:AF614),(('PTRM input'!$I$153+'PTRM input'!$I$119)*$I$7)/A11taxstdlife))</f>
        <v>0</v>
      </c>
      <c r="AH614" s="590">
        <f>IF(A11taxstdlife="n/a","n/a",IF(AH$3&gt;(A11taxstdlife+$E614),(('PTRM input'!$I$153+'PTRM input'!$I$119)*$I$7)-SUM($I614:AG614),(('PTRM input'!$I$153+'PTRM input'!$I$119)*$I$7)/A11taxstdlife))</f>
        <v>0</v>
      </c>
      <c r="AI614" s="590">
        <f>IF(A11taxstdlife="n/a","n/a",IF(AI$3&gt;(A11taxstdlife+$E614),(('PTRM input'!$I$153+'PTRM input'!$I$119)*$I$7)-SUM($I614:AH614),(('PTRM input'!$I$153+'PTRM input'!$I$119)*$I$7)/A11taxstdlife))</f>
        <v>0</v>
      </c>
      <c r="AJ614" s="590">
        <f>IF(A11taxstdlife="n/a","n/a",IF(AJ$3&gt;(A11taxstdlife+$E614),(('PTRM input'!$I$153+'PTRM input'!$I$119)*$I$7)-SUM($I614:AI614),(('PTRM input'!$I$153+'PTRM input'!$I$119)*$I$7)/A11taxstdlife))</f>
        <v>0</v>
      </c>
      <c r="AK614" s="590">
        <f>IF(A11taxstdlife="n/a","n/a",IF(AK$3&gt;(A11taxstdlife+$E614),(('PTRM input'!$I$153+'PTRM input'!$I$119)*$I$7)-SUM($I614:AJ614),(('PTRM input'!$I$153+'PTRM input'!$I$119)*$I$7)/A11taxstdlife))</f>
        <v>0</v>
      </c>
      <c r="AL614" s="590">
        <f>IF(A11taxstdlife="n/a","n/a",IF(AL$3&gt;(A11taxstdlife+$E614),(('PTRM input'!$I$153+'PTRM input'!$I$119)*$I$7)-SUM($I614:AK614),(('PTRM input'!$I$153+'PTRM input'!$I$119)*$I$7)/A11taxstdlife))</f>
        <v>0</v>
      </c>
      <c r="AM614" s="590">
        <f>IF(A11taxstdlife="n/a","n/a",IF(AM$3&gt;(A11taxstdlife+$E614),(('PTRM input'!$I$153+'PTRM input'!$I$119)*$I$7)-SUM($I614:AL614),(('PTRM input'!$I$153+'PTRM input'!$I$119)*$I$7)/A11taxstdlife))</f>
        <v>0</v>
      </c>
      <c r="AN614" s="590">
        <f>IF(A11taxstdlife="n/a","n/a",IF(AN$3&gt;(A11taxstdlife+$E614),(('PTRM input'!$I$153+'PTRM input'!$I$119)*$I$7)-SUM($I614:AM614),(('PTRM input'!$I$153+'PTRM input'!$I$119)*$I$7)/A11taxstdlife))</f>
        <v>0</v>
      </c>
      <c r="AO614" s="590">
        <f>IF(A11taxstdlife="n/a","n/a",IF(AO$3&gt;(A11taxstdlife+$E614),(('PTRM input'!$I$153+'PTRM input'!$I$119)*$I$7)-SUM($I614:AN614),(('PTRM input'!$I$153+'PTRM input'!$I$119)*$I$7)/A11taxstdlife))</f>
        <v>0</v>
      </c>
      <c r="AP614" s="590">
        <f>IF(A11taxstdlife="n/a","n/a",IF(AP$3&gt;(A11taxstdlife+$E614),(('PTRM input'!$I$153+'PTRM input'!$I$119)*$I$7)-SUM($I614:AO614),(('PTRM input'!$I$153+'PTRM input'!$I$119)*$I$7)/A11taxstdlife))</f>
        <v>0</v>
      </c>
      <c r="AQ614" s="590">
        <f>IF(A11taxstdlife="n/a","n/a",IF(AQ$3&gt;(A11taxstdlife+$E614),(('PTRM input'!$I$153+'PTRM input'!$I$119)*$I$7)-SUM($I614:AP614),(('PTRM input'!$I$153+'PTRM input'!$I$119)*$I$7)/A11taxstdlife))</f>
        <v>0</v>
      </c>
      <c r="AR614" s="590">
        <f>IF(A11taxstdlife="n/a","n/a",IF(AR$3&gt;(A11taxstdlife+$E614),(('PTRM input'!$I$153+'PTRM input'!$I$119)*$I$7)-SUM($I614:AQ614),(('PTRM input'!$I$153+'PTRM input'!$I$119)*$I$7)/A11taxstdlife))</f>
        <v>0</v>
      </c>
      <c r="AS614" s="590">
        <f>IF(A11taxstdlife="n/a","n/a",IF(AS$3&gt;(A11taxstdlife+$E614),(('PTRM input'!$I$153+'PTRM input'!$I$119)*$I$7)-SUM($I614:AR614),(('PTRM input'!$I$153+'PTRM input'!$I$119)*$I$7)/A11taxstdlife))</f>
        <v>0</v>
      </c>
      <c r="AT614" s="590">
        <f>IF(A11taxstdlife="n/a","n/a",IF(AT$3&gt;(A11taxstdlife+$E614),(('PTRM input'!$I$153+'PTRM input'!$I$119)*$I$7)-SUM($I614:AS614),(('PTRM input'!$I$153+'PTRM input'!$I$119)*$I$7)/A11taxstdlife))</f>
        <v>0</v>
      </c>
      <c r="AU614" s="590">
        <f>IF(A11taxstdlife="n/a","n/a",IF(AU$3&gt;(A11taxstdlife+$E614),(('PTRM input'!$I$153+'PTRM input'!$I$119)*$I$7)-SUM($I614:AT614),(('PTRM input'!$I$153+'PTRM input'!$I$119)*$I$7)/A11taxstdlife))</f>
        <v>0</v>
      </c>
      <c r="AV614" s="590">
        <f>IF(A11taxstdlife="n/a","n/a",IF(AV$3&gt;(A11taxstdlife+$E614),(('PTRM input'!$I$153+'PTRM input'!$I$119)*$I$7)-SUM($I614:AU614),(('PTRM input'!$I$153+'PTRM input'!$I$119)*$I$7)/A11taxstdlife))</f>
        <v>0</v>
      </c>
      <c r="AW614" s="590">
        <f>IF(A11taxstdlife="n/a","n/a",IF(AW$3&gt;(A11taxstdlife+$E614),(('PTRM input'!$I$153+'PTRM input'!$I$119)*$I$7)-SUM($I614:AV614),(('PTRM input'!$I$153+'PTRM input'!$I$119)*$I$7)/A11taxstdlife))</f>
        <v>0</v>
      </c>
      <c r="AX614" s="590">
        <f>IF(A11taxstdlife="n/a","n/a",IF(AX$3&gt;(A11taxstdlife+$E614),(('PTRM input'!$I$153+'PTRM input'!$I$119)*$I$7)-SUM($I614:AW614),(('PTRM input'!$I$153+'PTRM input'!$I$119)*$I$7)/A11taxstdlife))</f>
        <v>0</v>
      </c>
      <c r="AY614" s="590">
        <f>IF(A11taxstdlife="n/a","n/a",IF(AY$3&gt;(A11taxstdlife+$E614),(('PTRM input'!$I$153+'PTRM input'!$I$119)*$I$7)-SUM($I614:AX614),(('PTRM input'!$I$153+'PTRM input'!$I$119)*$I$7)/A11taxstdlife))</f>
        <v>0</v>
      </c>
      <c r="AZ614" s="590">
        <f>IF(A11taxstdlife="n/a","n/a",IF(AZ$3&gt;(A11taxstdlife+$E614),(('PTRM input'!$I$153+'PTRM input'!$I$119)*$I$7)-SUM($I614:AY614),(('PTRM input'!$I$153+'PTRM input'!$I$119)*$I$7)/A11taxstdlife))</f>
        <v>0</v>
      </c>
      <c r="BA614" s="590">
        <f>IF(A11taxstdlife="n/a","n/a",IF(BA$3&gt;(A11taxstdlife+$E614),(('PTRM input'!$I$153+'PTRM input'!$I$119)*$I$7)-SUM($I614:AZ614),(('PTRM input'!$I$153+'PTRM input'!$I$119)*$I$7)/A11taxstdlife))</f>
        <v>0</v>
      </c>
      <c r="BB614" s="590">
        <f>IF(A11taxstdlife="n/a","n/a",IF(BB$3&gt;(A11taxstdlife+$E614),(('PTRM input'!$I$153+'PTRM input'!$I$119)*$I$7)-SUM($I614:BA614),(('PTRM input'!$I$153+'PTRM input'!$I$119)*$I$7)/A11taxstdlife))</f>
        <v>0</v>
      </c>
      <c r="BC614" s="590">
        <f>IF(A11taxstdlife="n/a","n/a",IF(BC$3&gt;(A11taxstdlife+$E614),(('PTRM input'!$I$153+'PTRM input'!$I$119)*$I$7)-SUM($I614:BB614),(('PTRM input'!$I$153+'PTRM input'!$I$119)*$I$7)/A11taxstdlife))</f>
        <v>0</v>
      </c>
      <c r="BD614" s="590">
        <f>IF(A11taxstdlife="n/a","n/a",IF(BD$3&gt;(A11taxstdlife+$E614),(('PTRM input'!$I$153+'PTRM input'!$I$119)*$I$7)-SUM($I614:BC614),(('PTRM input'!$I$153+'PTRM input'!$I$119)*$I$7)/A11taxstdlife))</f>
        <v>0</v>
      </c>
      <c r="BE614" s="590">
        <f>IF(A11taxstdlife="n/a","n/a",IF(BE$3&gt;(A11taxstdlife+$E614),(('PTRM input'!$I$153+'PTRM input'!$I$119)*$I$7)-SUM($I614:BD614),(('PTRM input'!$I$153+'PTRM input'!$I$119)*$I$7)/A11taxstdlife))</f>
        <v>0</v>
      </c>
      <c r="BF614" s="590">
        <f>IF(A11taxstdlife="n/a","n/a",IF(BF$3&gt;(A11taxstdlife+$E614),(('PTRM input'!$I$153+'PTRM input'!$I$119)*$I$7)-SUM($I614:BE614),(('PTRM input'!$I$153+'PTRM input'!$I$119)*$I$7)/A11taxstdlife))</f>
        <v>0</v>
      </c>
      <c r="BG614" s="590">
        <f>IF(A11taxstdlife="n/a","n/a",IF(BG$3&gt;(A11taxstdlife+$E614),(('PTRM input'!$I$153+'PTRM input'!$I$119)*$I$7)-SUM($I614:BF614),(('PTRM input'!$I$153+'PTRM input'!$I$119)*$I$7)/A11taxstdlife))</f>
        <v>0</v>
      </c>
      <c r="BH614" s="590">
        <f>IF(A11taxstdlife="n/a","n/a",IF(BH$3&gt;(A11taxstdlife+$E614),(('PTRM input'!$I$153+'PTRM input'!$I$119)*$I$7)-SUM($I614:BG614),(('PTRM input'!$I$153+'PTRM input'!$I$119)*$I$7)/A11taxstdlife))</f>
        <v>0</v>
      </c>
      <c r="BI614" s="590">
        <f>IF(A11taxstdlife="n/a","n/a",IF(BI$3&gt;(A11taxstdlife+$E614),(('PTRM input'!$I$153+'PTRM input'!$I$119)*$I$7)-SUM($I614:BH614),(('PTRM input'!$I$153+'PTRM input'!$I$119)*$I$7)/A11taxstdlife))</f>
        <v>0</v>
      </c>
      <c r="BJ614" s="240"/>
      <c r="BK614" s="240"/>
      <c r="BL614" s="240"/>
      <c r="BM614" s="240"/>
    </row>
    <row r="615" spans="1:65" s="4" customFormat="1" hidden="1" outlineLevel="2">
      <c r="A615" s="240"/>
      <c r="B615" s="240"/>
      <c r="C615" s="595"/>
      <c r="D615" s="1618"/>
      <c r="E615" s="169">
        <v>4</v>
      </c>
      <c r="F615" s="35"/>
      <c r="G615" s="184"/>
      <c r="H615" s="186"/>
      <c r="I615" s="186"/>
      <c r="J615" s="185"/>
      <c r="K615" s="107">
        <f>IF(A11taxstdlife="n/a","n/a",IF(K$3&gt;(A11taxstdlife+$E615),(('PTRM input'!$J$153+'PTRM input'!$J$119)*$J$7)-SUM($J615:J615),(('PTRM input'!$J$153+'PTRM input'!$J$119)*$J$7)/A11taxstdlife))</f>
        <v>0</v>
      </c>
      <c r="L615" s="107">
        <f>IF(A11taxstdlife="n/a","n/a",IF(L$3&gt;(A11taxstdlife+$E615),(('PTRM input'!$J$153+'PTRM input'!$J$119)*$J$7)-SUM($J615:K615),(('PTRM input'!$J$153+'PTRM input'!$J$119)*$J$7)/A11taxstdlife))</f>
        <v>0</v>
      </c>
      <c r="M615" s="107">
        <f>IF(A11taxstdlife="n/a","n/a",IF(M$3&gt;(A11taxstdlife+$E615),(('PTRM input'!$J$153+'PTRM input'!$J$119)*$J$7)-SUM($J615:L615),(('PTRM input'!$J$153+'PTRM input'!$J$119)*$J$7)/A11taxstdlife))</f>
        <v>0</v>
      </c>
      <c r="N615" s="107">
        <f>IF(A11taxstdlife="n/a","n/a",IF(N$3&gt;(A11taxstdlife+$E615),(('PTRM input'!$J$153+'PTRM input'!$J$119)*$J$7)-SUM($J615:M615),(('PTRM input'!$J$153+'PTRM input'!$J$119)*$J$7)/A11taxstdlife))</f>
        <v>0</v>
      </c>
      <c r="O615" s="107">
        <f>IF(A11taxstdlife="n/a","n/a",IF(O$3&gt;(A11taxstdlife+$E615),(('PTRM input'!$J$153+'PTRM input'!$J$119)*$J$7)-SUM($J615:N615),(('PTRM input'!$J$153+'PTRM input'!$J$119)*$J$7)/A11taxstdlife))</f>
        <v>0</v>
      </c>
      <c r="P615" s="107">
        <f>IF(A11taxstdlife="n/a","n/a",IF(P$3&gt;(A11taxstdlife+$E615),(('PTRM input'!$J$153+'PTRM input'!$J$119)*$J$7)-SUM($J615:O615),(('PTRM input'!$J$153+'PTRM input'!$J$119)*$J$7)/A11taxstdlife))</f>
        <v>0</v>
      </c>
      <c r="Q615" s="590">
        <f>IF(A11taxstdlife="n/a","n/a",IF(Q$3&gt;(A11taxstdlife+$E615),(('PTRM input'!$J$153+'PTRM input'!$J$119)*$J$7)-SUM($J615:P615),(('PTRM input'!$J$153+'PTRM input'!$J$119)*$J$7)/A11taxstdlife))</f>
        <v>0</v>
      </c>
      <c r="R615" s="590">
        <f>IF(A11taxstdlife="n/a","n/a",IF(R$3&gt;(A11taxstdlife+$E615),(('PTRM input'!$J$153+'PTRM input'!$J$119)*$J$7)-SUM($J615:Q615),(('PTRM input'!$J$153+'PTRM input'!$J$119)*$J$7)/A11taxstdlife))</f>
        <v>0</v>
      </c>
      <c r="S615" s="590">
        <f>IF(A11taxstdlife="n/a","n/a",IF(S$3&gt;(A11taxstdlife+$E615),(('PTRM input'!$J$153+'PTRM input'!$J$119)*$J$7)-SUM($J615:R615),(('PTRM input'!$J$153+'PTRM input'!$J$119)*$J$7)/A11taxstdlife))</f>
        <v>0</v>
      </c>
      <c r="T615" s="590">
        <f>IF(A11taxstdlife="n/a","n/a",IF(T$3&gt;(A11taxstdlife+$E615),(('PTRM input'!$J$153+'PTRM input'!$J$119)*$J$7)-SUM($J615:S615),(('PTRM input'!$J$153+'PTRM input'!$J$119)*$J$7)/A11taxstdlife))</f>
        <v>0</v>
      </c>
      <c r="U615" s="590">
        <f>IF(A11taxstdlife="n/a","n/a",IF(U$3&gt;(A11taxstdlife+$E615),(('PTRM input'!$J$153+'PTRM input'!$J$119)*$J$7)-SUM($J615:T615),(('PTRM input'!$J$153+'PTRM input'!$J$119)*$J$7)/A11taxstdlife))</f>
        <v>0</v>
      </c>
      <c r="V615" s="590">
        <f>IF(A11taxstdlife="n/a","n/a",IF(V$3&gt;(A11taxstdlife+$E615),(('PTRM input'!$J$153+'PTRM input'!$J$119)*$J$7)-SUM($J615:U615),(('PTRM input'!$J$153+'PTRM input'!$J$119)*$J$7)/A11taxstdlife))</f>
        <v>0</v>
      </c>
      <c r="W615" s="590">
        <f>IF(A11taxstdlife="n/a","n/a",IF(W$3&gt;(A11taxstdlife+$E615),(('PTRM input'!$J$153+'PTRM input'!$J$119)*$J$7)-SUM($J615:V615),(('PTRM input'!$J$153+'PTRM input'!$J$119)*$J$7)/A11taxstdlife))</f>
        <v>0</v>
      </c>
      <c r="X615" s="590">
        <f>IF(A11taxstdlife="n/a","n/a",IF(X$3&gt;(A11taxstdlife+$E615),(('PTRM input'!$J$153+'PTRM input'!$J$119)*$J$7)-SUM($J615:W615),(('PTRM input'!$J$153+'PTRM input'!$J$119)*$J$7)/A11taxstdlife))</f>
        <v>0</v>
      </c>
      <c r="Y615" s="590">
        <f>IF(A11taxstdlife="n/a","n/a",IF(Y$3&gt;(A11taxstdlife+$E615),(('PTRM input'!$J$153+'PTRM input'!$J$119)*$J$7)-SUM($J615:X615),(('PTRM input'!$J$153+'PTRM input'!$J$119)*$J$7)/A11taxstdlife))</f>
        <v>0</v>
      </c>
      <c r="Z615" s="590">
        <f>IF(A11taxstdlife="n/a","n/a",IF(Z$3&gt;(A11taxstdlife+$E615),(('PTRM input'!$J$153+'PTRM input'!$J$119)*$J$7)-SUM($J615:Y615),(('PTRM input'!$J$153+'PTRM input'!$J$119)*$J$7)/A11taxstdlife))</f>
        <v>0</v>
      </c>
      <c r="AA615" s="590">
        <f>IF(A11taxstdlife="n/a","n/a",IF(AA$3&gt;(A11taxstdlife+$E615),(('PTRM input'!$J$153+'PTRM input'!$J$119)*$J$7)-SUM($J615:Z615),(('PTRM input'!$J$153+'PTRM input'!$J$119)*$J$7)/A11taxstdlife))</f>
        <v>0</v>
      </c>
      <c r="AB615" s="590">
        <f>IF(A11taxstdlife="n/a","n/a",IF(AB$3&gt;(A11taxstdlife+$E615),(('PTRM input'!$J$153+'PTRM input'!$J$119)*$J$7)-SUM($J615:AA615),(('PTRM input'!$J$153+'PTRM input'!$J$119)*$J$7)/A11taxstdlife))</f>
        <v>0</v>
      </c>
      <c r="AC615" s="590">
        <f>IF(A11taxstdlife="n/a","n/a",IF(AC$3&gt;(A11taxstdlife+$E615),(('PTRM input'!$J$153+'PTRM input'!$J$119)*$J$7)-SUM($J615:AB615),(('PTRM input'!$J$153+'PTRM input'!$J$119)*$J$7)/A11taxstdlife))</f>
        <v>0</v>
      </c>
      <c r="AD615" s="590">
        <f>IF(A11taxstdlife="n/a","n/a",IF(AD$3&gt;(A11taxstdlife+$E615),(('PTRM input'!$J$153+'PTRM input'!$J$119)*$J$7)-SUM($J615:AC615),(('PTRM input'!$J$153+'PTRM input'!$J$119)*$J$7)/A11taxstdlife))</f>
        <v>0</v>
      </c>
      <c r="AE615" s="590">
        <f>IF(A11taxstdlife="n/a","n/a",IF(AE$3&gt;(A11taxstdlife+$E615),(('PTRM input'!$J$153+'PTRM input'!$J$119)*$J$7)-SUM($J615:AD615),(('PTRM input'!$J$153+'PTRM input'!$J$119)*$J$7)/A11taxstdlife))</f>
        <v>0</v>
      </c>
      <c r="AF615" s="590">
        <f>IF(A11taxstdlife="n/a","n/a",IF(AF$3&gt;(A11taxstdlife+$E615),(('PTRM input'!$J$153+'PTRM input'!$J$119)*$J$7)-SUM($J615:AE615),(('PTRM input'!$J$153+'PTRM input'!$J$119)*$J$7)/A11taxstdlife))</f>
        <v>0</v>
      </c>
      <c r="AG615" s="590">
        <f>IF(A11taxstdlife="n/a","n/a",IF(AG$3&gt;(A11taxstdlife+$E615),(('PTRM input'!$J$153+'PTRM input'!$J$119)*$J$7)-SUM($J615:AF615),(('PTRM input'!$J$153+'PTRM input'!$J$119)*$J$7)/A11taxstdlife))</f>
        <v>0</v>
      </c>
      <c r="AH615" s="590">
        <f>IF(A11taxstdlife="n/a","n/a",IF(AH$3&gt;(A11taxstdlife+$E615),(('PTRM input'!$J$153+'PTRM input'!$J$119)*$J$7)-SUM($J615:AG615),(('PTRM input'!$J$153+'PTRM input'!$J$119)*$J$7)/A11taxstdlife))</f>
        <v>0</v>
      </c>
      <c r="AI615" s="590">
        <f>IF(A11taxstdlife="n/a","n/a",IF(AI$3&gt;(A11taxstdlife+$E615),(('PTRM input'!$J$153+'PTRM input'!$J$119)*$J$7)-SUM($J615:AH615),(('PTRM input'!$J$153+'PTRM input'!$J$119)*$J$7)/A11taxstdlife))</f>
        <v>0</v>
      </c>
      <c r="AJ615" s="590">
        <f>IF(A11taxstdlife="n/a","n/a",IF(AJ$3&gt;(A11taxstdlife+$E615),(('PTRM input'!$J$153+'PTRM input'!$J$119)*$J$7)-SUM($J615:AI615),(('PTRM input'!$J$153+'PTRM input'!$J$119)*$J$7)/A11taxstdlife))</f>
        <v>0</v>
      </c>
      <c r="AK615" s="590">
        <f>IF(A11taxstdlife="n/a","n/a",IF(AK$3&gt;(A11taxstdlife+$E615),(('PTRM input'!$J$153+'PTRM input'!$J$119)*$J$7)-SUM($J615:AJ615),(('PTRM input'!$J$153+'PTRM input'!$J$119)*$J$7)/A11taxstdlife))</f>
        <v>0</v>
      </c>
      <c r="AL615" s="590">
        <f>IF(A11taxstdlife="n/a","n/a",IF(AL$3&gt;(A11taxstdlife+$E615),(('PTRM input'!$J$153+'PTRM input'!$J$119)*$J$7)-SUM($J615:AK615),(('PTRM input'!$J$153+'PTRM input'!$J$119)*$J$7)/A11taxstdlife))</f>
        <v>0</v>
      </c>
      <c r="AM615" s="590">
        <f>IF(A11taxstdlife="n/a","n/a",IF(AM$3&gt;(A11taxstdlife+$E615),(('PTRM input'!$J$153+'PTRM input'!$J$119)*$J$7)-SUM($J615:AL615),(('PTRM input'!$J$153+'PTRM input'!$J$119)*$J$7)/A11taxstdlife))</f>
        <v>0</v>
      </c>
      <c r="AN615" s="590">
        <f>IF(A11taxstdlife="n/a","n/a",IF(AN$3&gt;(A11taxstdlife+$E615),(('PTRM input'!$J$153+'PTRM input'!$J$119)*$J$7)-SUM($J615:AM615),(('PTRM input'!$J$153+'PTRM input'!$J$119)*$J$7)/A11taxstdlife))</f>
        <v>0</v>
      </c>
      <c r="AO615" s="590">
        <f>IF(A11taxstdlife="n/a","n/a",IF(AO$3&gt;(A11taxstdlife+$E615),(('PTRM input'!$J$153+'PTRM input'!$J$119)*$J$7)-SUM($J615:AN615),(('PTRM input'!$J$153+'PTRM input'!$J$119)*$J$7)/A11taxstdlife))</f>
        <v>0</v>
      </c>
      <c r="AP615" s="590">
        <f>IF(A11taxstdlife="n/a","n/a",IF(AP$3&gt;(A11taxstdlife+$E615),(('PTRM input'!$J$153+'PTRM input'!$J$119)*$J$7)-SUM($J615:AO615),(('PTRM input'!$J$153+'PTRM input'!$J$119)*$J$7)/A11taxstdlife))</f>
        <v>0</v>
      </c>
      <c r="AQ615" s="590">
        <f>IF(A11taxstdlife="n/a","n/a",IF(AQ$3&gt;(A11taxstdlife+$E615),(('PTRM input'!$J$153+'PTRM input'!$J$119)*$J$7)-SUM($J615:AP615),(('PTRM input'!$J$153+'PTRM input'!$J$119)*$J$7)/A11taxstdlife))</f>
        <v>0</v>
      </c>
      <c r="AR615" s="590">
        <f>IF(A11taxstdlife="n/a","n/a",IF(AR$3&gt;(A11taxstdlife+$E615),(('PTRM input'!$J$153+'PTRM input'!$J$119)*$J$7)-SUM($J615:AQ615),(('PTRM input'!$J$153+'PTRM input'!$J$119)*$J$7)/A11taxstdlife))</f>
        <v>0</v>
      </c>
      <c r="AS615" s="590">
        <f>IF(A11taxstdlife="n/a","n/a",IF(AS$3&gt;(A11taxstdlife+$E615),(('PTRM input'!$J$153+'PTRM input'!$J$119)*$J$7)-SUM($J615:AR615),(('PTRM input'!$J$153+'PTRM input'!$J$119)*$J$7)/A11taxstdlife))</f>
        <v>0</v>
      </c>
      <c r="AT615" s="590">
        <f>IF(A11taxstdlife="n/a","n/a",IF(AT$3&gt;(A11taxstdlife+$E615),(('PTRM input'!$J$153+'PTRM input'!$J$119)*$J$7)-SUM($J615:AS615),(('PTRM input'!$J$153+'PTRM input'!$J$119)*$J$7)/A11taxstdlife))</f>
        <v>0</v>
      </c>
      <c r="AU615" s="590">
        <f>IF(A11taxstdlife="n/a","n/a",IF(AU$3&gt;(A11taxstdlife+$E615),(('PTRM input'!$J$153+'PTRM input'!$J$119)*$J$7)-SUM($J615:AT615),(('PTRM input'!$J$153+'PTRM input'!$J$119)*$J$7)/A11taxstdlife))</f>
        <v>0</v>
      </c>
      <c r="AV615" s="590">
        <f>IF(A11taxstdlife="n/a","n/a",IF(AV$3&gt;(A11taxstdlife+$E615),(('PTRM input'!$J$153+'PTRM input'!$J$119)*$J$7)-SUM($J615:AU615),(('PTRM input'!$J$153+'PTRM input'!$J$119)*$J$7)/A11taxstdlife))</f>
        <v>0</v>
      </c>
      <c r="AW615" s="590">
        <f>IF(A11taxstdlife="n/a","n/a",IF(AW$3&gt;(A11taxstdlife+$E615),(('PTRM input'!$J$153+'PTRM input'!$J$119)*$J$7)-SUM($J615:AV615),(('PTRM input'!$J$153+'PTRM input'!$J$119)*$J$7)/A11taxstdlife))</f>
        <v>0</v>
      </c>
      <c r="AX615" s="590">
        <f>IF(A11taxstdlife="n/a","n/a",IF(AX$3&gt;(A11taxstdlife+$E615),(('PTRM input'!$J$153+'PTRM input'!$J$119)*$J$7)-SUM($J615:AW615),(('PTRM input'!$J$153+'PTRM input'!$J$119)*$J$7)/A11taxstdlife))</f>
        <v>0</v>
      </c>
      <c r="AY615" s="590">
        <f>IF(A11taxstdlife="n/a","n/a",IF(AY$3&gt;(A11taxstdlife+$E615),(('PTRM input'!$J$153+'PTRM input'!$J$119)*$J$7)-SUM($J615:AX615),(('PTRM input'!$J$153+'PTRM input'!$J$119)*$J$7)/A11taxstdlife))</f>
        <v>0</v>
      </c>
      <c r="AZ615" s="590">
        <f>IF(A11taxstdlife="n/a","n/a",IF(AZ$3&gt;(A11taxstdlife+$E615),(('PTRM input'!$J$153+'PTRM input'!$J$119)*$J$7)-SUM($J615:AY615),(('PTRM input'!$J$153+'PTRM input'!$J$119)*$J$7)/A11taxstdlife))</f>
        <v>0</v>
      </c>
      <c r="BA615" s="590">
        <f>IF(A11taxstdlife="n/a","n/a",IF(BA$3&gt;(A11taxstdlife+$E615),(('PTRM input'!$J$153+'PTRM input'!$J$119)*$J$7)-SUM($J615:AZ615),(('PTRM input'!$J$153+'PTRM input'!$J$119)*$J$7)/A11taxstdlife))</f>
        <v>0</v>
      </c>
      <c r="BB615" s="590">
        <f>IF(A11taxstdlife="n/a","n/a",IF(BB$3&gt;(A11taxstdlife+$E615),(('PTRM input'!$J$153+'PTRM input'!$J$119)*$J$7)-SUM($J615:BA615),(('PTRM input'!$J$153+'PTRM input'!$J$119)*$J$7)/A11taxstdlife))</f>
        <v>0</v>
      </c>
      <c r="BC615" s="590">
        <f>IF(A11taxstdlife="n/a","n/a",IF(BC$3&gt;(A11taxstdlife+$E615),(('PTRM input'!$J$153+'PTRM input'!$J$119)*$J$7)-SUM($J615:BB615),(('PTRM input'!$J$153+'PTRM input'!$J$119)*$J$7)/A11taxstdlife))</f>
        <v>0</v>
      </c>
      <c r="BD615" s="590">
        <f>IF(A11taxstdlife="n/a","n/a",IF(BD$3&gt;(A11taxstdlife+$E615),(('PTRM input'!$J$153+'PTRM input'!$J$119)*$J$7)-SUM($J615:BC615),(('PTRM input'!$J$153+'PTRM input'!$J$119)*$J$7)/A11taxstdlife))</f>
        <v>0</v>
      </c>
      <c r="BE615" s="590">
        <f>IF(A11taxstdlife="n/a","n/a",IF(BE$3&gt;(A11taxstdlife+$E615),(('PTRM input'!$J$153+'PTRM input'!$J$119)*$J$7)-SUM($J615:BD615),(('PTRM input'!$J$153+'PTRM input'!$J$119)*$J$7)/A11taxstdlife))</f>
        <v>0</v>
      </c>
      <c r="BF615" s="590">
        <f>IF(A11taxstdlife="n/a","n/a",IF(BF$3&gt;(A11taxstdlife+$E615),(('PTRM input'!$J$153+'PTRM input'!$J$119)*$J$7)-SUM($J615:BE615),(('PTRM input'!$J$153+'PTRM input'!$J$119)*$J$7)/A11taxstdlife))</f>
        <v>0</v>
      </c>
      <c r="BG615" s="590">
        <f>IF(A11taxstdlife="n/a","n/a",IF(BG$3&gt;(A11taxstdlife+$E615),(('PTRM input'!$J$153+'PTRM input'!$J$119)*$J$7)-SUM($J615:BF615),(('PTRM input'!$J$153+'PTRM input'!$J$119)*$J$7)/A11taxstdlife))</f>
        <v>0</v>
      </c>
      <c r="BH615" s="590">
        <f>IF(A11taxstdlife="n/a","n/a",IF(BH$3&gt;(A11taxstdlife+$E615),(('PTRM input'!$J$153+'PTRM input'!$J$119)*$J$7)-SUM($J615:BG615),(('PTRM input'!$J$153+'PTRM input'!$J$119)*$J$7)/A11taxstdlife))</f>
        <v>0</v>
      </c>
      <c r="BI615" s="590">
        <f>IF(A11taxstdlife="n/a","n/a",IF(BI$3&gt;(A11taxstdlife+$E615),(('PTRM input'!$J$153+'PTRM input'!$J$119)*$J$7)-SUM($J615:BH615),(('PTRM input'!$J$153+'PTRM input'!$J$119)*$J$7)/A11taxstdlife))</f>
        <v>0</v>
      </c>
      <c r="BJ615" s="240"/>
      <c r="BK615" s="240"/>
      <c r="BL615" s="240"/>
      <c r="BM615" s="240"/>
    </row>
    <row r="616" spans="1:65" s="4" customFormat="1" hidden="1" outlineLevel="2">
      <c r="A616" s="240"/>
      <c r="B616" s="240"/>
      <c r="C616" s="595"/>
      <c r="D616" s="1618"/>
      <c r="E616" s="169">
        <v>5</v>
      </c>
      <c r="F616" s="35"/>
      <c r="G616" s="184"/>
      <c r="H616" s="186"/>
      <c r="I616" s="186"/>
      <c r="J616" s="186"/>
      <c r="K616" s="185"/>
      <c r="L616" s="107">
        <f>IF(A11taxstdlife="n/a","n/a",IF(L$3&gt;(A11taxstdlife+$E616),(('PTRM input'!$K$153+'PTRM input'!$K$119)*$K$7)-SUM($K616:K616),(('PTRM input'!$K$153+'PTRM input'!$K$119)*$K$7)/A11taxstdlife))</f>
        <v>0</v>
      </c>
      <c r="M616" s="107">
        <f>IF(A11taxstdlife="n/a","n/a",IF(M$3&gt;(A11taxstdlife+$E616),(('PTRM input'!$K$153+'PTRM input'!$K$119)*$K$7)-SUM($K616:L616),(('PTRM input'!$K$153+'PTRM input'!$K$119)*$K$7)/A11taxstdlife))</f>
        <v>0</v>
      </c>
      <c r="N616" s="107">
        <f>IF(A11taxstdlife="n/a","n/a",IF(N$3&gt;(A11taxstdlife+$E616),(('PTRM input'!$K$153+'PTRM input'!$K$119)*$K$7)-SUM($K616:M616),(('PTRM input'!$K$153+'PTRM input'!$K$119)*$K$7)/A11taxstdlife))</f>
        <v>0</v>
      </c>
      <c r="O616" s="107">
        <f>IF(A11taxstdlife="n/a","n/a",IF(O$3&gt;(A11taxstdlife+$E616),(('PTRM input'!$K$153+'PTRM input'!$K$119)*$K$7)-SUM($K616:N616),(('PTRM input'!$K$153+'PTRM input'!$K$119)*$K$7)/A11taxstdlife))</f>
        <v>0</v>
      </c>
      <c r="P616" s="107">
        <f>IF(A11taxstdlife="n/a","n/a",IF(P$3&gt;(A11taxstdlife+$E616),(('PTRM input'!$K$153+'PTRM input'!$K$119)*$K$7)-SUM($K616:O616),(('PTRM input'!$K$153+'PTRM input'!$K$119)*$K$7)/A11taxstdlife))</f>
        <v>0</v>
      </c>
      <c r="Q616" s="590">
        <f>IF(A11taxstdlife="n/a","n/a",IF(Q$3&gt;(A11taxstdlife+$E616),(('PTRM input'!$K$153+'PTRM input'!$K$119)*$K$7)-SUM($K616:P616),(('PTRM input'!$K$153+'PTRM input'!$K$119)*$K$7)/A11taxstdlife))</f>
        <v>0</v>
      </c>
      <c r="R616" s="590">
        <f>IF(A11taxstdlife="n/a","n/a",IF(R$3&gt;(A11taxstdlife+$E616),(('PTRM input'!$K$153+'PTRM input'!$K$119)*$K$7)-SUM($K616:Q616),(('PTRM input'!$K$153+'PTRM input'!$K$119)*$K$7)/A11taxstdlife))</f>
        <v>0</v>
      </c>
      <c r="S616" s="590">
        <f>IF(A11taxstdlife="n/a","n/a",IF(S$3&gt;(A11taxstdlife+$E616),(('PTRM input'!$K$153+'PTRM input'!$K$119)*$K$7)-SUM($K616:R616),(('PTRM input'!$K$153+'PTRM input'!$K$119)*$K$7)/A11taxstdlife))</f>
        <v>0</v>
      </c>
      <c r="T616" s="590">
        <f>IF(A11taxstdlife="n/a","n/a",IF(T$3&gt;(A11taxstdlife+$E616),(('PTRM input'!$K$153+'PTRM input'!$K$119)*$K$7)-SUM($K616:S616),(('PTRM input'!$K$153+'PTRM input'!$K$119)*$K$7)/A11taxstdlife))</f>
        <v>0</v>
      </c>
      <c r="U616" s="590">
        <f>IF(A11taxstdlife="n/a","n/a",IF(U$3&gt;(A11taxstdlife+$E616),(('PTRM input'!$K$153+'PTRM input'!$K$119)*$K$7)-SUM($K616:T616),(('PTRM input'!$K$153+'PTRM input'!$K$119)*$K$7)/A11taxstdlife))</f>
        <v>0</v>
      </c>
      <c r="V616" s="590">
        <f>IF(A11taxstdlife="n/a","n/a",IF(V$3&gt;(A11taxstdlife+$E616),(('PTRM input'!$K$153+'PTRM input'!$K$119)*$K$7)-SUM($K616:U616),(('PTRM input'!$K$153+'PTRM input'!$K$119)*$K$7)/A11taxstdlife))</f>
        <v>0</v>
      </c>
      <c r="W616" s="590">
        <f>IF(A11taxstdlife="n/a","n/a",IF(W$3&gt;(A11taxstdlife+$E616),(('PTRM input'!$K$153+'PTRM input'!$K$119)*$K$7)-SUM($K616:V616),(('PTRM input'!$K$153+'PTRM input'!$K$119)*$K$7)/A11taxstdlife))</f>
        <v>0</v>
      </c>
      <c r="X616" s="590">
        <f>IF(A11taxstdlife="n/a","n/a",IF(X$3&gt;(A11taxstdlife+$E616),(('PTRM input'!$K$153+'PTRM input'!$K$119)*$K$7)-SUM($K616:W616),(('PTRM input'!$K$153+'PTRM input'!$K$119)*$K$7)/A11taxstdlife))</f>
        <v>0</v>
      </c>
      <c r="Y616" s="590">
        <f>IF(A11taxstdlife="n/a","n/a",IF(Y$3&gt;(A11taxstdlife+$E616),(('PTRM input'!$K$153+'PTRM input'!$K$119)*$K$7)-SUM($K616:X616),(('PTRM input'!$K$153+'PTRM input'!$K$119)*$K$7)/A11taxstdlife))</f>
        <v>0</v>
      </c>
      <c r="Z616" s="590">
        <f>IF(A11taxstdlife="n/a","n/a",IF(Z$3&gt;(A11taxstdlife+$E616),(('PTRM input'!$K$153+'PTRM input'!$K$119)*$K$7)-SUM($K616:Y616),(('PTRM input'!$K$153+'PTRM input'!$K$119)*$K$7)/A11taxstdlife))</f>
        <v>0</v>
      </c>
      <c r="AA616" s="590">
        <f>IF(A11taxstdlife="n/a","n/a",IF(AA$3&gt;(A11taxstdlife+$E616),(('PTRM input'!$K$153+'PTRM input'!$K$119)*$K$7)-SUM($K616:Z616),(('PTRM input'!$K$153+'PTRM input'!$K$119)*$K$7)/A11taxstdlife))</f>
        <v>0</v>
      </c>
      <c r="AB616" s="590">
        <f>IF(A11taxstdlife="n/a","n/a",IF(AB$3&gt;(A11taxstdlife+$E616),(('PTRM input'!$K$153+'PTRM input'!$K$119)*$K$7)-SUM($K616:AA616),(('PTRM input'!$K$153+'PTRM input'!$K$119)*$K$7)/A11taxstdlife))</f>
        <v>0</v>
      </c>
      <c r="AC616" s="590">
        <f>IF(A11taxstdlife="n/a","n/a",IF(AC$3&gt;(A11taxstdlife+$E616),(('PTRM input'!$K$153+'PTRM input'!$K$119)*$K$7)-SUM($K616:AB616),(('PTRM input'!$K$153+'PTRM input'!$K$119)*$K$7)/A11taxstdlife))</f>
        <v>0</v>
      </c>
      <c r="AD616" s="590">
        <f>IF(A11taxstdlife="n/a","n/a",IF(AD$3&gt;(A11taxstdlife+$E616),(('PTRM input'!$K$153+'PTRM input'!$K$119)*$K$7)-SUM($K616:AC616),(('PTRM input'!$K$153+'PTRM input'!$K$119)*$K$7)/A11taxstdlife))</f>
        <v>0</v>
      </c>
      <c r="AE616" s="590">
        <f>IF(A11taxstdlife="n/a","n/a",IF(AE$3&gt;(A11taxstdlife+$E616),(('PTRM input'!$K$153+'PTRM input'!$K$119)*$K$7)-SUM($K616:AD616),(('PTRM input'!$K$153+'PTRM input'!$K$119)*$K$7)/A11taxstdlife))</f>
        <v>0</v>
      </c>
      <c r="AF616" s="590">
        <f>IF(A11taxstdlife="n/a","n/a",IF(AF$3&gt;(A11taxstdlife+$E616),(('PTRM input'!$K$153+'PTRM input'!$K$119)*$K$7)-SUM($K616:AE616),(('PTRM input'!$K$153+'PTRM input'!$K$119)*$K$7)/A11taxstdlife))</f>
        <v>0</v>
      </c>
      <c r="AG616" s="590">
        <f>IF(A11taxstdlife="n/a","n/a",IF(AG$3&gt;(A11taxstdlife+$E616),(('PTRM input'!$K$153+'PTRM input'!$K$119)*$K$7)-SUM($K616:AF616),(('PTRM input'!$K$153+'PTRM input'!$K$119)*$K$7)/A11taxstdlife))</f>
        <v>0</v>
      </c>
      <c r="AH616" s="590">
        <f>IF(A11taxstdlife="n/a","n/a",IF(AH$3&gt;(A11taxstdlife+$E616),(('PTRM input'!$K$153+'PTRM input'!$K$119)*$K$7)-SUM($K616:AG616),(('PTRM input'!$K$153+'PTRM input'!$K$119)*$K$7)/A11taxstdlife))</f>
        <v>0</v>
      </c>
      <c r="AI616" s="590">
        <f>IF(A11taxstdlife="n/a","n/a",IF(AI$3&gt;(A11taxstdlife+$E616),(('PTRM input'!$K$153+'PTRM input'!$K$119)*$K$7)-SUM($K616:AH616),(('PTRM input'!$K$153+'PTRM input'!$K$119)*$K$7)/A11taxstdlife))</f>
        <v>0</v>
      </c>
      <c r="AJ616" s="590">
        <f>IF(A11taxstdlife="n/a","n/a",IF(AJ$3&gt;(A11taxstdlife+$E616),(('PTRM input'!$K$153+'PTRM input'!$K$119)*$K$7)-SUM($K616:AI616),(('PTRM input'!$K$153+'PTRM input'!$K$119)*$K$7)/A11taxstdlife))</f>
        <v>0</v>
      </c>
      <c r="AK616" s="590">
        <f>IF(A11taxstdlife="n/a","n/a",IF(AK$3&gt;(A11taxstdlife+$E616),(('PTRM input'!$K$153+'PTRM input'!$K$119)*$K$7)-SUM($K616:AJ616),(('PTRM input'!$K$153+'PTRM input'!$K$119)*$K$7)/A11taxstdlife))</f>
        <v>0</v>
      </c>
      <c r="AL616" s="590">
        <f>IF(A11taxstdlife="n/a","n/a",IF(AL$3&gt;(A11taxstdlife+$E616),(('PTRM input'!$K$153+'PTRM input'!$K$119)*$K$7)-SUM($K616:AK616),(('PTRM input'!$K$153+'PTRM input'!$K$119)*$K$7)/A11taxstdlife))</f>
        <v>0</v>
      </c>
      <c r="AM616" s="590">
        <f>IF(A11taxstdlife="n/a","n/a",IF(AM$3&gt;(A11taxstdlife+$E616),(('PTRM input'!$K$153+'PTRM input'!$K$119)*$K$7)-SUM($K616:AL616),(('PTRM input'!$K$153+'PTRM input'!$K$119)*$K$7)/A11taxstdlife))</f>
        <v>0</v>
      </c>
      <c r="AN616" s="590">
        <f>IF(A11taxstdlife="n/a","n/a",IF(AN$3&gt;(A11taxstdlife+$E616),(('PTRM input'!$K$153+'PTRM input'!$K$119)*$K$7)-SUM($K616:AM616),(('PTRM input'!$K$153+'PTRM input'!$K$119)*$K$7)/A11taxstdlife))</f>
        <v>0</v>
      </c>
      <c r="AO616" s="590">
        <f>IF(A11taxstdlife="n/a","n/a",IF(AO$3&gt;(A11taxstdlife+$E616),(('PTRM input'!$K$153+'PTRM input'!$K$119)*$K$7)-SUM($K616:AN616),(('PTRM input'!$K$153+'PTRM input'!$K$119)*$K$7)/A11taxstdlife))</f>
        <v>0</v>
      </c>
      <c r="AP616" s="590">
        <f>IF(A11taxstdlife="n/a","n/a",IF(AP$3&gt;(A11taxstdlife+$E616),(('PTRM input'!$K$153+'PTRM input'!$K$119)*$K$7)-SUM($K616:AO616),(('PTRM input'!$K$153+'PTRM input'!$K$119)*$K$7)/A11taxstdlife))</f>
        <v>0</v>
      </c>
      <c r="AQ616" s="590">
        <f>IF(A11taxstdlife="n/a","n/a",IF(AQ$3&gt;(A11taxstdlife+$E616),(('PTRM input'!$K$153+'PTRM input'!$K$119)*$K$7)-SUM($K616:AP616),(('PTRM input'!$K$153+'PTRM input'!$K$119)*$K$7)/A11taxstdlife))</f>
        <v>0</v>
      </c>
      <c r="AR616" s="590">
        <f>IF(A11taxstdlife="n/a","n/a",IF(AR$3&gt;(A11taxstdlife+$E616),(('PTRM input'!$K$153+'PTRM input'!$K$119)*$K$7)-SUM($K616:AQ616),(('PTRM input'!$K$153+'PTRM input'!$K$119)*$K$7)/A11taxstdlife))</f>
        <v>0</v>
      </c>
      <c r="AS616" s="590">
        <f>IF(A11taxstdlife="n/a","n/a",IF(AS$3&gt;(A11taxstdlife+$E616),(('PTRM input'!$K$153+'PTRM input'!$K$119)*$K$7)-SUM($K616:AR616),(('PTRM input'!$K$153+'PTRM input'!$K$119)*$K$7)/A11taxstdlife))</f>
        <v>0</v>
      </c>
      <c r="AT616" s="590">
        <f>IF(A11taxstdlife="n/a","n/a",IF(AT$3&gt;(A11taxstdlife+$E616),(('PTRM input'!$K$153+'PTRM input'!$K$119)*$K$7)-SUM($K616:AS616),(('PTRM input'!$K$153+'PTRM input'!$K$119)*$K$7)/A11taxstdlife))</f>
        <v>0</v>
      </c>
      <c r="AU616" s="590">
        <f>IF(A11taxstdlife="n/a","n/a",IF(AU$3&gt;(A11taxstdlife+$E616),(('PTRM input'!$K$153+'PTRM input'!$K$119)*$K$7)-SUM($K616:AT616),(('PTRM input'!$K$153+'PTRM input'!$K$119)*$K$7)/A11taxstdlife))</f>
        <v>0</v>
      </c>
      <c r="AV616" s="590">
        <f>IF(A11taxstdlife="n/a","n/a",IF(AV$3&gt;(A11taxstdlife+$E616),(('PTRM input'!$K$153+'PTRM input'!$K$119)*$K$7)-SUM($K616:AU616),(('PTRM input'!$K$153+'PTRM input'!$K$119)*$K$7)/A11taxstdlife))</f>
        <v>0</v>
      </c>
      <c r="AW616" s="590">
        <f>IF(A11taxstdlife="n/a","n/a",IF(AW$3&gt;(A11taxstdlife+$E616),(('PTRM input'!$K$153+'PTRM input'!$K$119)*$K$7)-SUM($K616:AV616),(('PTRM input'!$K$153+'PTRM input'!$K$119)*$K$7)/A11taxstdlife))</f>
        <v>0</v>
      </c>
      <c r="AX616" s="590">
        <f>IF(A11taxstdlife="n/a","n/a",IF(AX$3&gt;(A11taxstdlife+$E616),(('PTRM input'!$K$153+'PTRM input'!$K$119)*$K$7)-SUM($K616:AW616),(('PTRM input'!$K$153+'PTRM input'!$K$119)*$K$7)/A11taxstdlife))</f>
        <v>0</v>
      </c>
      <c r="AY616" s="590">
        <f>IF(A11taxstdlife="n/a","n/a",IF(AY$3&gt;(A11taxstdlife+$E616),(('PTRM input'!$K$153+'PTRM input'!$K$119)*$K$7)-SUM($K616:AX616),(('PTRM input'!$K$153+'PTRM input'!$K$119)*$K$7)/A11taxstdlife))</f>
        <v>0</v>
      </c>
      <c r="AZ616" s="590">
        <f>IF(A11taxstdlife="n/a","n/a",IF(AZ$3&gt;(A11taxstdlife+$E616),(('PTRM input'!$K$153+'PTRM input'!$K$119)*$K$7)-SUM($K616:AY616),(('PTRM input'!$K$153+'PTRM input'!$K$119)*$K$7)/A11taxstdlife))</f>
        <v>0</v>
      </c>
      <c r="BA616" s="590">
        <f>IF(A11taxstdlife="n/a","n/a",IF(BA$3&gt;(A11taxstdlife+$E616),(('PTRM input'!$K$153+'PTRM input'!$K$119)*$K$7)-SUM($K616:AZ616),(('PTRM input'!$K$153+'PTRM input'!$K$119)*$K$7)/A11taxstdlife))</f>
        <v>0</v>
      </c>
      <c r="BB616" s="590">
        <f>IF(A11taxstdlife="n/a","n/a",IF(BB$3&gt;(A11taxstdlife+$E616),(('PTRM input'!$K$153+'PTRM input'!$K$119)*$K$7)-SUM($K616:BA616),(('PTRM input'!$K$153+'PTRM input'!$K$119)*$K$7)/A11taxstdlife))</f>
        <v>0</v>
      </c>
      <c r="BC616" s="590">
        <f>IF(A11taxstdlife="n/a","n/a",IF(BC$3&gt;(A11taxstdlife+$E616),(('PTRM input'!$K$153+'PTRM input'!$K$119)*$K$7)-SUM($K616:BB616),(('PTRM input'!$K$153+'PTRM input'!$K$119)*$K$7)/A11taxstdlife))</f>
        <v>0</v>
      </c>
      <c r="BD616" s="590">
        <f>IF(A11taxstdlife="n/a","n/a",IF(BD$3&gt;(A11taxstdlife+$E616),(('PTRM input'!$K$153+'PTRM input'!$K$119)*$K$7)-SUM($K616:BC616),(('PTRM input'!$K$153+'PTRM input'!$K$119)*$K$7)/A11taxstdlife))</f>
        <v>0</v>
      </c>
      <c r="BE616" s="590">
        <f>IF(A11taxstdlife="n/a","n/a",IF(BE$3&gt;(A11taxstdlife+$E616),(('PTRM input'!$K$153+'PTRM input'!$K$119)*$K$7)-SUM($K616:BD616),(('PTRM input'!$K$153+'PTRM input'!$K$119)*$K$7)/A11taxstdlife))</f>
        <v>0</v>
      </c>
      <c r="BF616" s="590">
        <f>IF(A11taxstdlife="n/a","n/a",IF(BF$3&gt;(A11taxstdlife+$E616),(('PTRM input'!$K$153+'PTRM input'!$K$119)*$K$7)-SUM($K616:BE616),(('PTRM input'!$K$153+'PTRM input'!$K$119)*$K$7)/A11taxstdlife))</f>
        <v>0</v>
      </c>
      <c r="BG616" s="590">
        <f>IF(A11taxstdlife="n/a","n/a",IF(BG$3&gt;(A11taxstdlife+$E616),(('PTRM input'!$K$153+'PTRM input'!$K$119)*$K$7)-SUM($K616:BF616),(('PTRM input'!$K$153+'PTRM input'!$K$119)*$K$7)/A11taxstdlife))</f>
        <v>0</v>
      </c>
      <c r="BH616" s="590">
        <f>IF(A11taxstdlife="n/a","n/a",IF(BH$3&gt;(A11taxstdlife+$E616),(('PTRM input'!$K$153+'PTRM input'!$K$119)*$K$7)-SUM($K616:BG616),(('PTRM input'!$K$153+'PTRM input'!$K$119)*$K$7)/A11taxstdlife))</f>
        <v>0</v>
      </c>
      <c r="BI616" s="590">
        <f>IF(A11taxstdlife="n/a","n/a",IF(BI$3&gt;(A11taxstdlife+$E616),(('PTRM input'!$K$153+'PTRM input'!$K$119)*$K$7)-SUM($K616:BH616),(('PTRM input'!$K$153+'PTRM input'!$K$119)*$K$7)/A11taxstdlife))</f>
        <v>0</v>
      </c>
      <c r="BJ616" s="240"/>
      <c r="BK616" s="240"/>
      <c r="BL616" s="240"/>
      <c r="BM616" s="240"/>
    </row>
    <row r="617" spans="1:65" s="4" customFormat="1" hidden="1" outlineLevel="2">
      <c r="A617" s="240"/>
      <c r="B617" s="240"/>
      <c r="C617" s="595"/>
      <c r="D617" s="1618"/>
      <c r="E617" s="169">
        <v>6</v>
      </c>
      <c r="F617" s="35"/>
      <c r="G617" s="184"/>
      <c r="H617" s="186"/>
      <c r="I617" s="186"/>
      <c r="J617" s="186"/>
      <c r="K617" s="186"/>
      <c r="L617" s="185"/>
      <c r="M617" s="107">
        <f>IF(A11taxstdlife="n/a","n/a",IF(M$3&gt;(A11taxstdlife+$E617),(('PTRM input'!$L$153+'PTRM input'!$L$119)*$L$7)-SUM($L617:L617),(('PTRM input'!$L$153+'PTRM input'!$L$119)*$L$7)/A11taxstdlife))</f>
        <v>0</v>
      </c>
      <c r="N617" s="107">
        <f>IF(A11taxstdlife="n/a","n/a",IF(N$3&gt;(A11taxstdlife+$E617),(('PTRM input'!$L$153+'PTRM input'!$L$119)*$L$7)-SUM($L617:M617),(('PTRM input'!$L$153+'PTRM input'!$L$119)*$L$7)/A11taxstdlife))</f>
        <v>0</v>
      </c>
      <c r="O617" s="107">
        <f>IF(A11taxstdlife="n/a","n/a",IF(O$3&gt;(A11taxstdlife+$E617),(('PTRM input'!$L$153+'PTRM input'!$L$119)*$L$7)-SUM($L617:N617),(('PTRM input'!$L$153+'PTRM input'!$L$119)*$L$7)/A11taxstdlife))</f>
        <v>0</v>
      </c>
      <c r="P617" s="107">
        <f>IF(A11taxstdlife="n/a","n/a",IF(P$3&gt;(A11taxstdlife+$E617),(('PTRM input'!$L$153+'PTRM input'!$L$119)*$L$7)-SUM($L617:O617),(('PTRM input'!$L$153+'PTRM input'!$L$119)*$L$7)/A11taxstdlife))</f>
        <v>0</v>
      </c>
      <c r="Q617" s="590">
        <f>IF(A11taxstdlife="n/a","n/a",IF(Q$3&gt;(A11taxstdlife+$E617),(('PTRM input'!$L$153+'PTRM input'!$L$119)*$L$7)-SUM($L617:P617),(('PTRM input'!$L$153+'PTRM input'!$L$119)*$L$7)/A11taxstdlife))</f>
        <v>0</v>
      </c>
      <c r="R617" s="590">
        <f>IF(A11taxstdlife="n/a","n/a",IF(R$3&gt;(A11taxstdlife+$E617),(('PTRM input'!$L$153+'PTRM input'!$L$119)*$L$7)-SUM($L617:Q617),(('PTRM input'!$L$153+'PTRM input'!$L$119)*$L$7)/A11taxstdlife))</f>
        <v>0</v>
      </c>
      <c r="S617" s="590">
        <f>IF(A11taxstdlife="n/a","n/a",IF(S$3&gt;(A11taxstdlife+$E617),(('PTRM input'!$L$153+'PTRM input'!$L$119)*$L$7)-SUM($L617:R617),(('PTRM input'!$L$153+'PTRM input'!$L$119)*$L$7)/A11taxstdlife))</f>
        <v>0</v>
      </c>
      <c r="T617" s="590">
        <f>IF(A11taxstdlife="n/a","n/a",IF(T$3&gt;(A11taxstdlife+$E617),(('PTRM input'!$L$153+'PTRM input'!$L$119)*$L$7)-SUM($L617:S617),(('PTRM input'!$L$153+'PTRM input'!$L$119)*$L$7)/A11taxstdlife))</f>
        <v>0</v>
      </c>
      <c r="U617" s="590">
        <f>IF(A11taxstdlife="n/a","n/a",IF(U$3&gt;(A11taxstdlife+$E617),(('PTRM input'!$L$153+'PTRM input'!$L$119)*$L$7)-SUM($L617:T617),(('PTRM input'!$L$153+'PTRM input'!$L$119)*$L$7)/A11taxstdlife))</f>
        <v>0</v>
      </c>
      <c r="V617" s="590">
        <f>IF(A11taxstdlife="n/a","n/a",IF(V$3&gt;(A11taxstdlife+$E617),(('PTRM input'!$L$153+'PTRM input'!$L$119)*$L$7)-SUM($L617:U617),(('PTRM input'!$L$153+'PTRM input'!$L$119)*$L$7)/A11taxstdlife))</f>
        <v>0</v>
      </c>
      <c r="W617" s="590">
        <f>IF(A11taxstdlife="n/a","n/a",IF(W$3&gt;(A11taxstdlife+$E617),(('PTRM input'!$L$153+'PTRM input'!$L$119)*$L$7)-SUM($L617:V617),(('PTRM input'!$L$153+'PTRM input'!$L$119)*$L$7)/A11taxstdlife))</f>
        <v>0</v>
      </c>
      <c r="X617" s="590">
        <f>IF(A11taxstdlife="n/a","n/a",IF(X$3&gt;(A11taxstdlife+$E617),(('PTRM input'!$L$153+'PTRM input'!$L$119)*$L$7)-SUM($L617:W617),(('PTRM input'!$L$153+'PTRM input'!$L$119)*$L$7)/A11taxstdlife))</f>
        <v>0</v>
      </c>
      <c r="Y617" s="590">
        <f>IF(A11taxstdlife="n/a","n/a",IF(Y$3&gt;(A11taxstdlife+$E617),(('PTRM input'!$L$153+'PTRM input'!$L$119)*$L$7)-SUM($L617:X617),(('PTRM input'!$L$153+'PTRM input'!$L$119)*$L$7)/A11taxstdlife))</f>
        <v>0</v>
      </c>
      <c r="Z617" s="590">
        <f>IF(A11taxstdlife="n/a","n/a",IF(Z$3&gt;(A11taxstdlife+$E617),(('PTRM input'!$L$153+'PTRM input'!$L$119)*$L$7)-SUM($L617:Y617),(('PTRM input'!$L$153+'PTRM input'!$L$119)*$L$7)/A11taxstdlife))</f>
        <v>0</v>
      </c>
      <c r="AA617" s="590">
        <f>IF(A11taxstdlife="n/a","n/a",IF(AA$3&gt;(A11taxstdlife+$E617),(('PTRM input'!$L$153+'PTRM input'!$L$119)*$L$7)-SUM($L617:Z617),(('PTRM input'!$L$153+'PTRM input'!$L$119)*$L$7)/A11taxstdlife))</f>
        <v>0</v>
      </c>
      <c r="AB617" s="590">
        <f>IF(A11taxstdlife="n/a","n/a",IF(AB$3&gt;(A11taxstdlife+$E617),(('PTRM input'!$L$153+'PTRM input'!$L$119)*$L$7)-SUM($L617:AA617),(('PTRM input'!$L$153+'PTRM input'!$L$119)*$L$7)/A11taxstdlife))</f>
        <v>0</v>
      </c>
      <c r="AC617" s="590">
        <f>IF(A11taxstdlife="n/a","n/a",IF(AC$3&gt;(A11taxstdlife+$E617),(('PTRM input'!$L$153+'PTRM input'!$L$119)*$L$7)-SUM($L617:AB617),(('PTRM input'!$L$153+'PTRM input'!$L$119)*$L$7)/A11taxstdlife))</f>
        <v>0</v>
      </c>
      <c r="AD617" s="590">
        <f>IF(A11taxstdlife="n/a","n/a",IF(AD$3&gt;(A11taxstdlife+$E617),(('PTRM input'!$L$153+'PTRM input'!$L$119)*$L$7)-SUM($L617:AC617),(('PTRM input'!$L$153+'PTRM input'!$L$119)*$L$7)/A11taxstdlife))</f>
        <v>0</v>
      </c>
      <c r="AE617" s="590">
        <f>IF(A11taxstdlife="n/a","n/a",IF(AE$3&gt;(A11taxstdlife+$E617),(('PTRM input'!$L$153+'PTRM input'!$L$119)*$L$7)-SUM($L617:AD617),(('PTRM input'!$L$153+'PTRM input'!$L$119)*$L$7)/A11taxstdlife))</f>
        <v>0</v>
      </c>
      <c r="AF617" s="590">
        <f>IF(A11taxstdlife="n/a","n/a",IF(AF$3&gt;(A11taxstdlife+$E617),(('PTRM input'!$L$153+'PTRM input'!$L$119)*$L$7)-SUM($L617:AE617),(('PTRM input'!$L$153+'PTRM input'!$L$119)*$L$7)/A11taxstdlife))</f>
        <v>0</v>
      </c>
      <c r="AG617" s="590">
        <f>IF(A11taxstdlife="n/a","n/a",IF(AG$3&gt;(A11taxstdlife+$E617),(('PTRM input'!$L$153+'PTRM input'!$L$119)*$L$7)-SUM($L617:AF617),(('PTRM input'!$L$153+'PTRM input'!$L$119)*$L$7)/A11taxstdlife))</f>
        <v>0</v>
      </c>
      <c r="AH617" s="590">
        <f>IF(A11taxstdlife="n/a","n/a",IF(AH$3&gt;(A11taxstdlife+$E617),(('PTRM input'!$L$153+'PTRM input'!$L$119)*$L$7)-SUM($L617:AG617),(('PTRM input'!$L$153+'PTRM input'!$L$119)*$L$7)/A11taxstdlife))</f>
        <v>0</v>
      </c>
      <c r="AI617" s="590">
        <f>IF(A11taxstdlife="n/a","n/a",IF(AI$3&gt;(A11taxstdlife+$E617),(('PTRM input'!$L$153+'PTRM input'!$L$119)*$L$7)-SUM($L617:AH617),(('PTRM input'!$L$153+'PTRM input'!$L$119)*$L$7)/A11taxstdlife))</f>
        <v>0</v>
      </c>
      <c r="AJ617" s="590">
        <f>IF(A11taxstdlife="n/a","n/a",IF(AJ$3&gt;(A11taxstdlife+$E617),(('PTRM input'!$L$153+'PTRM input'!$L$119)*$L$7)-SUM($L617:AI617),(('PTRM input'!$L$153+'PTRM input'!$L$119)*$L$7)/A11taxstdlife))</f>
        <v>0</v>
      </c>
      <c r="AK617" s="590">
        <f>IF(A11taxstdlife="n/a","n/a",IF(AK$3&gt;(A11taxstdlife+$E617),(('PTRM input'!$L$153+'PTRM input'!$L$119)*$L$7)-SUM($L617:AJ617),(('PTRM input'!$L$153+'PTRM input'!$L$119)*$L$7)/A11taxstdlife))</f>
        <v>0</v>
      </c>
      <c r="AL617" s="590">
        <f>IF(A11taxstdlife="n/a","n/a",IF(AL$3&gt;(A11taxstdlife+$E617),(('PTRM input'!$L$153+'PTRM input'!$L$119)*$L$7)-SUM($L617:AK617),(('PTRM input'!$L$153+'PTRM input'!$L$119)*$L$7)/A11taxstdlife))</f>
        <v>0</v>
      </c>
      <c r="AM617" s="590">
        <f>IF(A11taxstdlife="n/a","n/a",IF(AM$3&gt;(A11taxstdlife+$E617),(('PTRM input'!$L$153+'PTRM input'!$L$119)*$L$7)-SUM($L617:AL617),(('PTRM input'!$L$153+'PTRM input'!$L$119)*$L$7)/A11taxstdlife))</f>
        <v>0</v>
      </c>
      <c r="AN617" s="590">
        <f>IF(A11taxstdlife="n/a","n/a",IF(AN$3&gt;(A11taxstdlife+$E617),(('PTRM input'!$L$153+'PTRM input'!$L$119)*$L$7)-SUM($L617:AM617),(('PTRM input'!$L$153+'PTRM input'!$L$119)*$L$7)/A11taxstdlife))</f>
        <v>0</v>
      </c>
      <c r="AO617" s="590">
        <f>IF(A11taxstdlife="n/a","n/a",IF(AO$3&gt;(A11taxstdlife+$E617),(('PTRM input'!$L$153+'PTRM input'!$L$119)*$L$7)-SUM($L617:AN617),(('PTRM input'!$L$153+'PTRM input'!$L$119)*$L$7)/A11taxstdlife))</f>
        <v>0</v>
      </c>
      <c r="AP617" s="590">
        <f>IF(A11taxstdlife="n/a","n/a",IF(AP$3&gt;(A11taxstdlife+$E617),(('PTRM input'!$L$153+'PTRM input'!$L$119)*$L$7)-SUM($L617:AO617),(('PTRM input'!$L$153+'PTRM input'!$L$119)*$L$7)/A11taxstdlife))</f>
        <v>0</v>
      </c>
      <c r="AQ617" s="590">
        <f>IF(A11taxstdlife="n/a","n/a",IF(AQ$3&gt;(A11taxstdlife+$E617),(('PTRM input'!$L$153+'PTRM input'!$L$119)*$L$7)-SUM($L617:AP617),(('PTRM input'!$L$153+'PTRM input'!$L$119)*$L$7)/A11taxstdlife))</f>
        <v>0</v>
      </c>
      <c r="AR617" s="590">
        <f>IF(A11taxstdlife="n/a","n/a",IF(AR$3&gt;(A11taxstdlife+$E617),(('PTRM input'!$L$153+'PTRM input'!$L$119)*$L$7)-SUM($L617:AQ617),(('PTRM input'!$L$153+'PTRM input'!$L$119)*$L$7)/A11taxstdlife))</f>
        <v>0</v>
      </c>
      <c r="AS617" s="590">
        <f>IF(A11taxstdlife="n/a","n/a",IF(AS$3&gt;(A11taxstdlife+$E617),(('PTRM input'!$L$153+'PTRM input'!$L$119)*$L$7)-SUM($L617:AR617),(('PTRM input'!$L$153+'PTRM input'!$L$119)*$L$7)/A11taxstdlife))</f>
        <v>0</v>
      </c>
      <c r="AT617" s="590">
        <f>IF(A11taxstdlife="n/a","n/a",IF(AT$3&gt;(A11taxstdlife+$E617),(('PTRM input'!$L$153+'PTRM input'!$L$119)*$L$7)-SUM($L617:AS617),(('PTRM input'!$L$153+'PTRM input'!$L$119)*$L$7)/A11taxstdlife))</f>
        <v>0</v>
      </c>
      <c r="AU617" s="590">
        <f>IF(A11taxstdlife="n/a","n/a",IF(AU$3&gt;(A11taxstdlife+$E617),(('PTRM input'!$L$153+'PTRM input'!$L$119)*$L$7)-SUM($L617:AT617),(('PTRM input'!$L$153+'PTRM input'!$L$119)*$L$7)/A11taxstdlife))</f>
        <v>0</v>
      </c>
      <c r="AV617" s="590">
        <f>IF(A11taxstdlife="n/a","n/a",IF(AV$3&gt;(A11taxstdlife+$E617),(('PTRM input'!$L$153+'PTRM input'!$L$119)*$L$7)-SUM($L617:AU617),(('PTRM input'!$L$153+'PTRM input'!$L$119)*$L$7)/A11taxstdlife))</f>
        <v>0</v>
      </c>
      <c r="AW617" s="590">
        <f>IF(A11taxstdlife="n/a","n/a",IF(AW$3&gt;(A11taxstdlife+$E617),(('PTRM input'!$L$153+'PTRM input'!$L$119)*$L$7)-SUM($L617:AV617),(('PTRM input'!$L$153+'PTRM input'!$L$119)*$L$7)/A11taxstdlife))</f>
        <v>0</v>
      </c>
      <c r="AX617" s="590">
        <f>IF(A11taxstdlife="n/a","n/a",IF(AX$3&gt;(A11taxstdlife+$E617),(('PTRM input'!$L$153+'PTRM input'!$L$119)*$L$7)-SUM($L617:AW617),(('PTRM input'!$L$153+'PTRM input'!$L$119)*$L$7)/A11taxstdlife))</f>
        <v>0</v>
      </c>
      <c r="AY617" s="590">
        <f>IF(A11taxstdlife="n/a","n/a",IF(AY$3&gt;(A11taxstdlife+$E617),(('PTRM input'!$L$153+'PTRM input'!$L$119)*$L$7)-SUM($L617:AX617),(('PTRM input'!$L$153+'PTRM input'!$L$119)*$L$7)/A11taxstdlife))</f>
        <v>0</v>
      </c>
      <c r="AZ617" s="590">
        <f>IF(A11taxstdlife="n/a","n/a",IF(AZ$3&gt;(A11taxstdlife+$E617),(('PTRM input'!$L$153+'PTRM input'!$L$119)*$L$7)-SUM($L617:AY617),(('PTRM input'!$L$153+'PTRM input'!$L$119)*$L$7)/A11taxstdlife))</f>
        <v>0</v>
      </c>
      <c r="BA617" s="590">
        <f>IF(A11taxstdlife="n/a","n/a",IF(BA$3&gt;(A11taxstdlife+$E617),(('PTRM input'!$L$153+'PTRM input'!$L$119)*$L$7)-SUM($L617:AZ617),(('PTRM input'!$L$153+'PTRM input'!$L$119)*$L$7)/A11taxstdlife))</f>
        <v>0</v>
      </c>
      <c r="BB617" s="590">
        <f>IF(A11taxstdlife="n/a","n/a",IF(BB$3&gt;(A11taxstdlife+$E617),(('PTRM input'!$L$153+'PTRM input'!$L$119)*$L$7)-SUM($L617:BA617),(('PTRM input'!$L$153+'PTRM input'!$L$119)*$L$7)/A11taxstdlife))</f>
        <v>0</v>
      </c>
      <c r="BC617" s="590">
        <f>IF(A11taxstdlife="n/a","n/a",IF(BC$3&gt;(A11taxstdlife+$E617),(('PTRM input'!$L$153+'PTRM input'!$L$119)*$L$7)-SUM($L617:BB617),(('PTRM input'!$L$153+'PTRM input'!$L$119)*$L$7)/A11taxstdlife))</f>
        <v>0</v>
      </c>
      <c r="BD617" s="590">
        <f>IF(A11taxstdlife="n/a","n/a",IF(BD$3&gt;(A11taxstdlife+$E617),(('PTRM input'!$L$153+'PTRM input'!$L$119)*$L$7)-SUM($L617:BC617),(('PTRM input'!$L$153+'PTRM input'!$L$119)*$L$7)/A11taxstdlife))</f>
        <v>0</v>
      </c>
      <c r="BE617" s="590">
        <f>IF(A11taxstdlife="n/a","n/a",IF(BE$3&gt;(A11taxstdlife+$E617),(('PTRM input'!$L$153+'PTRM input'!$L$119)*$L$7)-SUM($L617:BD617),(('PTRM input'!$L$153+'PTRM input'!$L$119)*$L$7)/A11taxstdlife))</f>
        <v>0</v>
      </c>
      <c r="BF617" s="590">
        <f>IF(A11taxstdlife="n/a","n/a",IF(BF$3&gt;(A11taxstdlife+$E617),(('PTRM input'!$L$153+'PTRM input'!$L$119)*$L$7)-SUM($L617:BE617),(('PTRM input'!$L$153+'PTRM input'!$L$119)*$L$7)/A11taxstdlife))</f>
        <v>0</v>
      </c>
      <c r="BG617" s="590">
        <f>IF(A11taxstdlife="n/a","n/a",IF(BG$3&gt;(A11taxstdlife+$E617),(('PTRM input'!$L$153+'PTRM input'!$L$119)*$L$7)-SUM($L617:BF617),(('PTRM input'!$L$153+'PTRM input'!$L$119)*$L$7)/A11taxstdlife))</f>
        <v>0</v>
      </c>
      <c r="BH617" s="590">
        <f>IF(A11taxstdlife="n/a","n/a",IF(BH$3&gt;(A11taxstdlife+$E617),(('PTRM input'!$L$153+'PTRM input'!$L$119)*$L$7)-SUM($L617:BG617),(('PTRM input'!$L$153+'PTRM input'!$L$119)*$L$7)/A11taxstdlife))</f>
        <v>0</v>
      </c>
      <c r="BI617" s="590">
        <f>IF(A11taxstdlife="n/a","n/a",IF(BI$3&gt;(A11taxstdlife+$E617),(('PTRM input'!$L$153+'PTRM input'!$L$119)*$L$7)-SUM($L617:BH617),(('PTRM input'!$L$153+'PTRM input'!$L$119)*$L$7)/A11taxstdlife))</f>
        <v>0</v>
      </c>
      <c r="BJ617" s="240"/>
      <c r="BK617" s="240"/>
      <c r="BL617" s="240"/>
      <c r="BM617" s="240"/>
    </row>
    <row r="618" spans="1:65" s="4" customFormat="1" hidden="1" outlineLevel="2">
      <c r="A618" s="240"/>
      <c r="B618" s="240"/>
      <c r="C618" s="595"/>
      <c r="D618" s="1618"/>
      <c r="E618" s="169">
        <v>7</v>
      </c>
      <c r="F618" s="35"/>
      <c r="G618" s="184"/>
      <c r="H618" s="186"/>
      <c r="I618" s="186"/>
      <c r="J618" s="186"/>
      <c r="K618" s="186"/>
      <c r="L618" s="186"/>
      <c r="M618" s="185"/>
      <c r="N618" s="107">
        <f>IF(A11taxstdlife="n/a","n/a",IF(N$3&gt;(A11taxstdlife+$E618),(('PTRM input'!$M$153+'PTRM input'!$M$119)*$M$7)-SUM($M618:M618),(('PTRM input'!$M$153+'PTRM input'!$M$119)*$M$7)/A11taxstdlife))</f>
        <v>0</v>
      </c>
      <c r="O618" s="107">
        <f>IF(A11taxstdlife="n/a","n/a",IF(O$3&gt;(A11taxstdlife+$E618),(('PTRM input'!$M$153+'PTRM input'!$M$119)*$M$7)-SUM($M618:N618),(('PTRM input'!$M$153+'PTRM input'!$M$119)*$M$7)/A11taxstdlife))</f>
        <v>0</v>
      </c>
      <c r="P618" s="107">
        <f>IF(A11taxstdlife="n/a","n/a",IF(P$3&gt;(A11taxstdlife+$E618),(('PTRM input'!$M$153+'PTRM input'!$M$119)*$M$7)-SUM($M618:O618),(('PTRM input'!$M$153+'PTRM input'!$M$119)*$M$7)/A11taxstdlife))</f>
        <v>0</v>
      </c>
      <c r="Q618" s="590">
        <f>IF(A11taxstdlife="n/a","n/a",IF(Q$3&gt;(A11taxstdlife+$E618),(('PTRM input'!$M$153+'PTRM input'!$M$119)*$M$7)-SUM($M618:P618),(('PTRM input'!$M$153+'PTRM input'!$M$119)*$M$7)/A11taxstdlife))</f>
        <v>0</v>
      </c>
      <c r="R618" s="590">
        <f>IF(A11taxstdlife="n/a","n/a",IF(R$3&gt;(A11taxstdlife+$E618),(('PTRM input'!$M$153+'PTRM input'!$M$119)*$M$7)-SUM($M618:Q618),(('PTRM input'!$M$153+'PTRM input'!$M$119)*$M$7)/A11taxstdlife))</f>
        <v>0</v>
      </c>
      <c r="S618" s="590">
        <f>IF(A11taxstdlife="n/a","n/a",IF(S$3&gt;(A11taxstdlife+$E618),(('PTRM input'!$M$153+'PTRM input'!$M$119)*$M$7)-SUM($M618:R618),(('PTRM input'!$M$153+'PTRM input'!$M$119)*$M$7)/A11taxstdlife))</f>
        <v>0</v>
      </c>
      <c r="T618" s="590">
        <f>IF(A11taxstdlife="n/a","n/a",IF(T$3&gt;(A11taxstdlife+$E618),(('PTRM input'!$M$153+'PTRM input'!$M$119)*$M$7)-SUM($M618:S618),(('PTRM input'!$M$153+'PTRM input'!$M$119)*$M$7)/A11taxstdlife))</f>
        <v>0</v>
      </c>
      <c r="U618" s="590">
        <f>IF(A11taxstdlife="n/a","n/a",IF(U$3&gt;(A11taxstdlife+$E618),(('PTRM input'!$M$153+'PTRM input'!$M$119)*$M$7)-SUM($M618:T618),(('PTRM input'!$M$153+'PTRM input'!$M$119)*$M$7)/A11taxstdlife))</f>
        <v>0</v>
      </c>
      <c r="V618" s="590">
        <f>IF(A11taxstdlife="n/a","n/a",IF(V$3&gt;(A11taxstdlife+$E618),(('PTRM input'!$M$153+'PTRM input'!$M$119)*$M$7)-SUM($M618:U618),(('PTRM input'!$M$153+'PTRM input'!$M$119)*$M$7)/A11taxstdlife))</f>
        <v>0</v>
      </c>
      <c r="W618" s="590">
        <f>IF(A11taxstdlife="n/a","n/a",IF(W$3&gt;(A11taxstdlife+$E618),(('PTRM input'!$M$153+'PTRM input'!$M$119)*$M$7)-SUM($M618:V618),(('PTRM input'!$M$153+'PTRM input'!$M$119)*$M$7)/A11taxstdlife))</f>
        <v>0</v>
      </c>
      <c r="X618" s="590">
        <f>IF(A11taxstdlife="n/a","n/a",IF(X$3&gt;(A11taxstdlife+$E618),(('PTRM input'!$M$153+'PTRM input'!$M$119)*$M$7)-SUM($M618:W618),(('PTRM input'!$M$153+'PTRM input'!$M$119)*$M$7)/A11taxstdlife))</f>
        <v>0</v>
      </c>
      <c r="Y618" s="590">
        <f>IF(A11taxstdlife="n/a","n/a",IF(Y$3&gt;(A11taxstdlife+$E618),(('PTRM input'!$M$153+'PTRM input'!$M$119)*$M$7)-SUM($M618:X618),(('PTRM input'!$M$153+'PTRM input'!$M$119)*$M$7)/A11taxstdlife))</f>
        <v>0</v>
      </c>
      <c r="Z618" s="590">
        <f>IF(A11taxstdlife="n/a","n/a",IF(Z$3&gt;(A11taxstdlife+$E618),(('PTRM input'!$M$153+'PTRM input'!$M$119)*$M$7)-SUM($M618:Y618),(('PTRM input'!$M$153+'PTRM input'!$M$119)*$M$7)/A11taxstdlife))</f>
        <v>0</v>
      </c>
      <c r="AA618" s="590">
        <f>IF(A11taxstdlife="n/a","n/a",IF(AA$3&gt;(A11taxstdlife+$E618),(('PTRM input'!$M$153+'PTRM input'!$M$119)*$M$7)-SUM($M618:Z618),(('PTRM input'!$M$153+'PTRM input'!$M$119)*$M$7)/A11taxstdlife))</f>
        <v>0</v>
      </c>
      <c r="AB618" s="590">
        <f>IF(A11taxstdlife="n/a","n/a",IF(AB$3&gt;(A11taxstdlife+$E618),(('PTRM input'!$M$153+'PTRM input'!$M$119)*$M$7)-SUM($M618:AA618),(('PTRM input'!$M$153+'PTRM input'!$M$119)*$M$7)/A11taxstdlife))</f>
        <v>0</v>
      </c>
      <c r="AC618" s="590">
        <f>IF(A11taxstdlife="n/a","n/a",IF(AC$3&gt;(A11taxstdlife+$E618),(('PTRM input'!$M$153+'PTRM input'!$M$119)*$M$7)-SUM($M618:AB618),(('PTRM input'!$M$153+'PTRM input'!$M$119)*$M$7)/A11taxstdlife))</f>
        <v>0</v>
      </c>
      <c r="AD618" s="590">
        <f>IF(A11taxstdlife="n/a","n/a",IF(AD$3&gt;(A11taxstdlife+$E618),(('PTRM input'!$M$153+'PTRM input'!$M$119)*$M$7)-SUM($M618:AC618),(('PTRM input'!$M$153+'PTRM input'!$M$119)*$M$7)/A11taxstdlife))</f>
        <v>0</v>
      </c>
      <c r="AE618" s="590">
        <f>IF(A11taxstdlife="n/a","n/a",IF(AE$3&gt;(A11taxstdlife+$E618),(('PTRM input'!$M$153+'PTRM input'!$M$119)*$M$7)-SUM($M618:AD618),(('PTRM input'!$M$153+'PTRM input'!$M$119)*$M$7)/A11taxstdlife))</f>
        <v>0</v>
      </c>
      <c r="AF618" s="590">
        <f>IF(A11taxstdlife="n/a","n/a",IF(AF$3&gt;(A11taxstdlife+$E618),(('PTRM input'!$M$153+'PTRM input'!$M$119)*$M$7)-SUM($M618:AE618),(('PTRM input'!$M$153+'PTRM input'!$M$119)*$M$7)/A11taxstdlife))</f>
        <v>0</v>
      </c>
      <c r="AG618" s="590">
        <f>IF(A11taxstdlife="n/a","n/a",IF(AG$3&gt;(A11taxstdlife+$E618),(('PTRM input'!$M$153+'PTRM input'!$M$119)*$M$7)-SUM($M618:AF618),(('PTRM input'!$M$153+'PTRM input'!$M$119)*$M$7)/A11taxstdlife))</f>
        <v>0</v>
      </c>
      <c r="AH618" s="590">
        <f>IF(A11taxstdlife="n/a","n/a",IF(AH$3&gt;(A11taxstdlife+$E618),(('PTRM input'!$M$153+'PTRM input'!$M$119)*$M$7)-SUM($M618:AG618),(('PTRM input'!$M$153+'PTRM input'!$M$119)*$M$7)/A11taxstdlife))</f>
        <v>0</v>
      </c>
      <c r="AI618" s="590">
        <f>IF(A11taxstdlife="n/a","n/a",IF(AI$3&gt;(A11taxstdlife+$E618),(('PTRM input'!$M$153+'PTRM input'!$M$119)*$M$7)-SUM($M618:AH618),(('PTRM input'!$M$153+'PTRM input'!$M$119)*$M$7)/A11taxstdlife))</f>
        <v>0</v>
      </c>
      <c r="AJ618" s="590">
        <f>IF(A11taxstdlife="n/a","n/a",IF(AJ$3&gt;(A11taxstdlife+$E618),(('PTRM input'!$M$153+'PTRM input'!$M$119)*$M$7)-SUM($M618:AI618),(('PTRM input'!$M$153+'PTRM input'!$M$119)*$M$7)/A11taxstdlife))</f>
        <v>0</v>
      </c>
      <c r="AK618" s="590">
        <f>IF(A11taxstdlife="n/a","n/a",IF(AK$3&gt;(A11taxstdlife+$E618),(('PTRM input'!$M$153+'PTRM input'!$M$119)*$M$7)-SUM($M618:AJ618),(('PTRM input'!$M$153+'PTRM input'!$M$119)*$M$7)/A11taxstdlife))</f>
        <v>0</v>
      </c>
      <c r="AL618" s="590">
        <f>IF(A11taxstdlife="n/a","n/a",IF(AL$3&gt;(A11taxstdlife+$E618),(('PTRM input'!$M$153+'PTRM input'!$M$119)*$M$7)-SUM($M618:AK618),(('PTRM input'!$M$153+'PTRM input'!$M$119)*$M$7)/A11taxstdlife))</f>
        <v>0</v>
      </c>
      <c r="AM618" s="590">
        <f>IF(A11taxstdlife="n/a","n/a",IF(AM$3&gt;(A11taxstdlife+$E618),(('PTRM input'!$M$153+'PTRM input'!$M$119)*$M$7)-SUM($M618:AL618),(('PTRM input'!$M$153+'PTRM input'!$M$119)*$M$7)/A11taxstdlife))</f>
        <v>0</v>
      </c>
      <c r="AN618" s="590">
        <f>IF(A11taxstdlife="n/a","n/a",IF(AN$3&gt;(A11taxstdlife+$E618),(('PTRM input'!$M$153+'PTRM input'!$M$119)*$M$7)-SUM($M618:AM618),(('PTRM input'!$M$153+'PTRM input'!$M$119)*$M$7)/A11taxstdlife))</f>
        <v>0</v>
      </c>
      <c r="AO618" s="590">
        <f>IF(A11taxstdlife="n/a","n/a",IF(AO$3&gt;(A11taxstdlife+$E618),(('PTRM input'!$M$153+'PTRM input'!$M$119)*$M$7)-SUM($M618:AN618),(('PTRM input'!$M$153+'PTRM input'!$M$119)*$M$7)/A11taxstdlife))</f>
        <v>0</v>
      </c>
      <c r="AP618" s="590">
        <f>IF(A11taxstdlife="n/a","n/a",IF(AP$3&gt;(A11taxstdlife+$E618),(('PTRM input'!$M$153+'PTRM input'!$M$119)*$M$7)-SUM($M618:AO618),(('PTRM input'!$M$153+'PTRM input'!$M$119)*$M$7)/A11taxstdlife))</f>
        <v>0</v>
      </c>
      <c r="AQ618" s="590">
        <f>IF(A11taxstdlife="n/a","n/a",IF(AQ$3&gt;(A11taxstdlife+$E618),(('PTRM input'!$M$153+'PTRM input'!$M$119)*$M$7)-SUM($M618:AP618),(('PTRM input'!$M$153+'PTRM input'!$M$119)*$M$7)/A11taxstdlife))</f>
        <v>0</v>
      </c>
      <c r="AR618" s="590">
        <f>IF(A11taxstdlife="n/a","n/a",IF(AR$3&gt;(A11taxstdlife+$E618),(('PTRM input'!$M$153+'PTRM input'!$M$119)*$M$7)-SUM($M618:AQ618),(('PTRM input'!$M$153+'PTRM input'!$M$119)*$M$7)/A11taxstdlife))</f>
        <v>0</v>
      </c>
      <c r="AS618" s="590">
        <f>IF(A11taxstdlife="n/a","n/a",IF(AS$3&gt;(A11taxstdlife+$E618),(('PTRM input'!$M$153+'PTRM input'!$M$119)*$M$7)-SUM($M618:AR618),(('PTRM input'!$M$153+'PTRM input'!$M$119)*$M$7)/A11taxstdlife))</f>
        <v>0</v>
      </c>
      <c r="AT618" s="590">
        <f>IF(A11taxstdlife="n/a","n/a",IF(AT$3&gt;(A11taxstdlife+$E618),(('PTRM input'!$M$153+'PTRM input'!$M$119)*$M$7)-SUM($M618:AS618),(('PTRM input'!$M$153+'PTRM input'!$M$119)*$M$7)/A11taxstdlife))</f>
        <v>0</v>
      </c>
      <c r="AU618" s="590">
        <f>IF(A11taxstdlife="n/a","n/a",IF(AU$3&gt;(A11taxstdlife+$E618),(('PTRM input'!$M$153+'PTRM input'!$M$119)*$M$7)-SUM($M618:AT618),(('PTRM input'!$M$153+'PTRM input'!$M$119)*$M$7)/A11taxstdlife))</f>
        <v>0</v>
      </c>
      <c r="AV618" s="590">
        <f>IF(A11taxstdlife="n/a","n/a",IF(AV$3&gt;(A11taxstdlife+$E618),(('PTRM input'!$M$153+'PTRM input'!$M$119)*$M$7)-SUM($M618:AU618),(('PTRM input'!$M$153+'PTRM input'!$M$119)*$M$7)/A11taxstdlife))</f>
        <v>0</v>
      </c>
      <c r="AW618" s="590">
        <f>IF(A11taxstdlife="n/a","n/a",IF(AW$3&gt;(A11taxstdlife+$E618),(('PTRM input'!$M$153+'PTRM input'!$M$119)*$M$7)-SUM($M618:AV618),(('PTRM input'!$M$153+'PTRM input'!$M$119)*$M$7)/A11taxstdlife))</f>
        <v>0</v>
      </c>
      <c r="AX618" s="590">
        <f>IF(A11taxstdlife="n/a","n/a",IF(AX$3&gt;(A11taxstdlife+$E618),(('PTRM input'!$M$153+'PTRM input'!$M$119)*$M$7)-SUM($M618:AW618),(('PTRM input'!$M$153+'PTRM input'!$M$119)*$M$7)/A11taxstdlife))</f>
        <v>0</v>
      </c>
      <c r="AY618" s="590">
        <f>IF(A11taxstdlife="n/a","n/a",IF(AY$3&gt;(A11taxstdlife+$E618),(('PTRM input'!$M$153+'PTRM input'!$M$119)*$M$7)-SUM($M618:AX618),(('PTRM input'!$M$153+'PTRM input'!$M$119)*$M$7)/A11taxstdlife))</f>
        <v>0</v>
      </c>
      <c r="AZ618" s="590">
        <f>IF(A11taxstdlife="n/a","n/a",IF(AZ$3&gt;(A11taxstdlife+$E618),(('PTRM input'!$M$153+'PTRM input'!$M$119)*$M$7)-SUM($M618:AY618),(('PTRM input'!$M$153+'PTRM input'!$M$119)*$M$7)/A11taxstdlife))</f>
        <v>0</v>
      </c>
      <c r="BA618" s="590">
        <f>IF(A11taxstdlife="n/a","n/a",IF(BA$3&gt;(A11taxstdlife+$E618),(('PTRM input'!$M$153+'PTRM input'!$M$119)*$M$7)-SUM($M618:AZ618),(('PTRM input'!$M$153+'PTRM input'!$M$119)*$M$7)/A11taxstdlife))</f>
        <v>0</v>
      </c>
      <c r="BB618" s="590">
        <f>IF(A11taxstdlife="n/a","n/a",IF(BB$3&gt;(A11taxstdlife+$E618),(('PTRM input'!$M$153+'PTRM input'!$M$119)*$M$7)-SUM($M618:BA618),(('PTRM input'!$M$153+'PTRM input'!$M$119)*$M$7)/A11taxstdlife))</f>
        <v>0</v>
      </c>
      <c r="BC618" s="590">
        <f>IF(A11taxstdlife="n/a","n/a",IF(BC$3&gt;(A11taxstdlife+$E618),(('PTRM input'!$M$153+'PTRM input'!$M$119)*$M$7)-SUM($M618:BB618),(('PTRM input'!$M$153+'PTRM input'!$M$119)*$M$7)/A11taxstdlife))</f>
        <v>0</v>
      </c>
      <c r="BD618" s="590">
        <f>IF(A11taxstdlife="n/a","n/a",IF(BD$3&gt;(A11taxstdlife+$E618),(('PTRM input'!$M$153+'PTRM input'!$M$119)*$M$7)-SUM($M618:BC618),(('PTRM input'!$M$153+'PTRM input'!$M$119)*$M$7)/A11taxstdlife))</f>
        <v>0</v>
      </c>
      <c r="BE618" s="590">
        <f>IF(A11taxstdlife="n/a","n/a",IF(BE$3&gt;(A11taxstdlife+$E618),(('PTRM input'!$M$153+'PTRM input'!$M$119)*$M$7)-SUM($M618:BD618),(('PTRM input'!$M$153+'PTRM input'!$M$119)*$M$7)/A11taxstdlife))</f>
        <v>0</v>
      </c>
      <c r="BF618" s="590">
        <f>IF(A11taxstdlife="n/a","n/a",IF(BF$3&gt;(A11taxstdlife+$E618),(('PTRM input'!$M$153+'PTRM input'!$M$119)*$M$7)-SUM($M618:BE618),(('PTRM input'!$M$153+'PTRM input'!$M$119)*$M$7)/A11taxstdlife))</f>
        <v>0</v>
      </c>
      <c r="BG618" s="590">
        <f>IF(A11taxstdlife="n/a","n/a",IF(BG$3&gt;(A11taxstdlife+$E618),(('PTRM input'!$M$153+'PTRM input'!$M$119)*$M$7)-SUM($M618:BF618),(('PTRM input'!$M$153+'PTRM input'!$M$119)*$M$7)/A11taxstdlife))</f>
        <v>0</v>
      </c>
      <c r="BH618" s="590">
        <f>IF(A11taxstdlife="n/a","n/a",IF(BH$3&gt;(A11taxstdlife+$E618),(('PTRM input'!$M$153+'PTRM input'!$M$119)*$M$7)-SUM($M618:BG618),(('PTRM input'!$M$153+'PTRM input'!$M$119)*$M$7)/A11taxstdlife))</f>
        <v>0</v>
      </c>
      <c r="BI618" s="590">
        <f>IF(A11taxstdlife="n/a","n/a",IF(BI$3&gt;(A11taxstdlife+$E618),(('PTRM input'!$M$153+'PTRM input'!$M$119)*$M$7)-SUM($M618:BH618),(('PTRM input'!$M$153+'PTRM input'!$M$119)*$M$7)/A11taxstdlife))</f>
        <v>0</v>
      </c>
      <c r="BJ618" s="240"/>
      <c r="BK618" s="240"/>
      <c r="BL618" s="240"/>
      <c r="BM618" s="240"/>
    </row>
    <row r="619" spans="1:65" s="4" customFormat="1" hidden="1" outlineLevel="2">
      <c r="A619" s="240"/>
      <c r="B619" s="240"/>
      <c r="C619" s="595"/>
      <c r="D619" s="1618"/>
      <c r="E619" s="169">
        <v>8</v>
      </c>
      <c r="F619" s="35"/>
      <c r="G619" s="184"/>
      <c r="H619" s="186"/>
      <c r="I619" s="186"/>
      <c r="J619" s="186"/>
      <c r="K619" s="186"/>
      <c r="L619" s="186"/>
      <c r="M619" s="186"/>
      <c r="N619" s="185"/>
      <c r="O619" s="107">
        <f>IF(A11taxstdlife="n/a","n/a",IF(O$3&gt;(A11taxstdlife+$E619),(('PTRM input'!$N$153+'PTRM input'!$N$119)*$N$7)-SUM($N619:N619),(('PTRM input'!$N$153+'PTRM input'!$N$119)*$N$7)/A11taxstdlife))</f>
        <v>0</v>
      </c>
      <c r="P619" s="107">
        <f>IF(A11taxstdlife="n/a","n/a",IF(P$3&gt;(A11taxstdlife+$E619),(('PTRM input'!$N$153+'PTRM input'!$N$119)*$N$7)-SUM($N619:O619),(('PTRM input'!$N$153+'PTRM input'!$N$119)*$N$7)/A11taxstdlife))</f>
        <v>0</v>
      </c>
      <c r="Q619" s="590">
        <f>IF(A11taxstdlife="n/a","n/a",IF(Q$3&gt;(A11taxstdlife+$E619),(('PTRM input'!$N$153+'PTRM input'!$N$119)*$N$7)-SUM($N619:P619),(('PTRM input'!$N$153+'PTRM input'!$N$119)*$N$7)/A11taxstdlife))</f>
        <v>0</v>
      </c>
      <c r="R619" s="590">
        <f>IF(A11taxstdlife="n/a","n/a",IF(R$3&gt;(A11taxstdlife+$E619),(('PTRM input'!$N$153+'PTRM input'!$N$119)*$N$7)-SUM($N619:Q619),(('PTRM input'!$N$153+'PTRM input'!$N$119)*$N$7)/A11taxstdlife))</f>
        <v>0</v>
      </c>
      <c r="S619" s="590">
        <f>IF(A11taxstdlife="n/a","n/a",IF(S$3&gt;(A11taxstdlife+$E619),(('PTRM input'!$N$153+'PTRM input'!$N$119)*$N$7)-SUM($N619:R619),(('PTRM input'!$N$153+'PTRM input'!$N$119)*$N$7)/A11taxstdlife))</f>
        <v>0</v>
      </c>
      <c r="T619" s="590">
        <f>IF(A11taxstdlife="n/a","n/a",IF(T$3&gt;(A11taxstdlife+$E619),(('PTRM input'!$N$153+'PTRM input'!$N$119)*$N$7)-SUM($N619:S619),(('PTRM input'!$N$153+'PTRM input'!$N$119)*$N$7)/A11taxstdlife))</f>
        <v>0</v>
      </c>
      <c r="U619" s="590">
        <f>IF(A11taxstdlife="n/a","n/a",IF(U$3&gt;(A11taxstdlife+$E619),(('PTRM input'!$N$153+'PTRM input'!$N$119)*$N$7)-SUM($N619:T619),(('PTRM input'!$N$153+'PTRM input'!$N$119)*$N$7)/A11taxstdlife))</f>
        <v>0</v>
      </c>
      <c r="V619" s="590">
        <f>IF(A11taxstdlife="n/a","n/a",IF(V$3&gt;(A11taxstdlife+$E619),(('PTRM input'!$N$153+'PTRM input'!$N$119)*$N$7)-SUM($N619:U619),(('PTRM input'!$N$153+'PTRM input'!$N$119)*$N$7)/A11taxstdlife))</f>
        <v>0</v>
      </c>
      <c r="W619" s="590">
        <f>IF(A11taxstdlife="n/a","n/a",IF(W$3&gt;(A11taxstdlife+$E619),(('PTRM input'!$N$153+'PTRM input'!$N$119)*$N$7)-SUM($N619:V619),(('PTRM input'!$N$153+'PTRM input'!$N$119)*$N$7)/A11taxstdlife))</f>
        <v>0</v>
      </c>
      <c r="X619" s="590">
        <f>IF(A11taxstdlife="n/a","n/a",IF(X$3&gt;(A11taxstdlife+$E619),(('PTRM input'!$N$153+'PTRM input'!$N$119)*$N$7)-SUM($N619:W619),(('PTRM input'!$N$153+'PTRM input'!$N$119)*$N$7)/A11taxstdlife))</f>
        <v>0</v>
      </c>
      <c r="Y619" s="590">
        <f>IF(A11taxstdlife="n/a","n/a",IF(Y$3&gt;(A11taxstdlife+$E619),(('PTRM input'!$N$153+'PTRM input'!$N$119)*$N$7)-SUM($N619:X619),(('PTRM input'!$N$153+'PTRM input'!$N$119)*$N$7)/A11taxstdlife))</f>
        <v>0</v>
      </c>
      <c r="Z619" s="590">
        <f>IF(A11taxstdlife="n/a","n/a",IF(Z$3&gt;(A11taxstdlife+$E619),(('PTRM input'!$N$153+'PTRM input'!$N$119)*$N$7)-SUM($N619:Y619),(('PTRM input'!$N$153+'PTRM input'!$N$119)*$N$7)/A11taxstdlife))</f>
        <v>0</v>
      </c>
      <c r="AA619" s="590">
        <f>IF(A11taxstdlife="n/a","n/a",IF(AA$3&gt;(A11taxstdlife+$E619),(('PTRM input'!$N$153+'PTRM input'!$N$119)*$N$7)-SUM($N619:Z619),(('PTRM input'!$N$153+'PTRM input'!$N$119)*$N$7)/A11taxstdlife))</f>
        <v>0</v>
      </c>
      <c r="AB619" s="590">
        <f>IF(A11taxstdlife="n/a","n/a",IF(AB$3&gt;(A11taxstdlife+$E619),(('PTRM input'!$N$153+'PTRM input'!$N$119)*$N$7)-SUM($N619:AA619),(('PTRM input'!$N$153+'PTRM input'!$N$119)*$N$7)/A11taxstdlife))</f>
        <v>0</v>
      </c>
      <c r="AC619" s="590">
        <f>IF(A11taxstdlife="n/a","n/a",IF(AC$3&gt;(A11taxstdlife+$E619),(('PTRM input'!$N$153+'PTRM input'!$N$119)*$N$7)-SUM($N619:AB619),(('PTRM input'!$N$153+'PTRM input'!$N$119)*$N$7)/A11taxstdlife))</f>
        <v>0</v>
      </c>
      <c r="AD619" s="590">
        <f>IF(A11taxstdlife="n/a","n/a",IF(AD$3&gt;(A11taxstdlife+$E619),(('PTRM input'!$N$153+'PTRM input'!$N$119)*$N$7)-SUM($N619:AC619),(('PTRM input'!$N$153+'PTRM input'!$N$119)*$N$7)/A11taxstdlife))</f>
        <v>0</v>
      </c>
      <c r="AE619" s="590">
        <f>IF(A11taxstdlife="n/a","n/a",IF(AE$3&gt;(A11taxstdlife+$E619),(('PTRM input'!$N$153+'PTRM input'!$N$119)*$N$7)-SUM($N619:AD619),(('PTRM input'!$N$153+'PTRM input'!$N$119)*$N$7)/A11taxstdlife))</f>
        <v>0</v>
      </c>
      <c r="AF619" s="590">
        <f>IF(A11taxstdlife="n/a","n/a",IF(AF$3&gt;(A11taxstdlife+$E619),(('PTRM input'!$N$153+'PTRM input'!$N$119)*$N$7)-SUM($N619:AE619),(('PTRM input'!$N$153+'PTRM input'!$N$119)*$N$7)/A11taxstdlife))</f>
        <v>0</v>
      </c>
      <c r="AG619" s="590">
        <f>IF(A11taxstdlife="n/a","n/a",IF(AG$3&gt;(A11taxstdlife+$E619),(('PTRM input'!$N$153+'PTRM input'!$N$119)*$N$7)-SUM($N619:AF619),(('PTRM input'!$N$153+'PTRM input'!$N$119)*$N$7)/A11taxstdlife))</f>
        <v>0</v>
      </c>
      <c r="AH619" s="590">
        <f>IF(A11taxstdlife="n/a","n/a",IF(AH$3&gt;(A11taxstdlife+$E619),(('PTRM input'!$N$153+'PTRM input'!$N$119)*$N$7)-SUM($N619:AG619),(('PTRM input'!$N$153+'PTRM input'!$N$119)*$N$7)/A11taxstdlife))</f>
        <v>0</v>
      </c>
      <c r="AI619" s="590">
        <f>IF(A11taxstdlife="n/a","n/a",IF(AI$3&gt;(A11taxstdlife+$E619),(('PTRM input'!$N$153+'PTRM input'!$N$119)*$N$7)-SUM($N619:AH619),(('PTRM input'!$N$153+'PTRM input'!$N$119)*$N$7)/A11taxstdlife))</f>
        <v>0</v>
      </c>
      <c r="AJ619" s="590">
        <f>IF(A11taxstdlife="n/a","n/a",IF(AJ$3&gt;(A11taxstdlife+$E619),(('PTRM input'!$N$153+'PTRM input'!$N$119)*$N$7)-SUM($N619:AI619),(('PTRM input'!$N$153+'PTRM input'!$N$119)*$N$7)/A11taxstdlife))</f>
        <v>0</v>
      </c>
      <c r="AK619" s="590">
        <f>IF(A11taxstdlife="n/a","n/a",IF(AK$3&gt;(A11taxstdlife+$E619),(('PTRM input'!$N$153+'PTRM input'!$N$119)*$N$7)-SUM($N619:AJ619),(('PTRM input'!$N$153+'PTRM input'!$N$119)*$N$7)/A11taxstdlife))</f>
        <v>0</v>
      </c>
      <c r="AL619" s="590">
        <f>IF(A11taxstdlife="n/a","n/a",IF(AL$3&gt;(A11taxstdlife+$E619),(('PTRM input'!$N$153+'PTRM input'!$N$119)*$N$7)-SUM($N619:AK619),(('PTRM input'!$N$153+'PTRM input'!$N$119)*$N$7)/A11taxstdlife))</f>
        <v>0</v>
      </c>
      <c r="AM619" s="590">
        <f>IF(A11taxstdlife="n/a","n/a",IF(AM$3&gt;(A11taxstdlife+$E619),(('PTRM input'!$N$153+'PTRM input'!$N$119)*$N$7)-SUM($N619:AL619),(('PTRM input'!$N$153+'PTRM input'!$N$119)*$N$7)/A11taxstdlife))</f>
        <v>0</v>
      </c>
      <c r="AN619" s="590">
        <f>IF(A11taxstdlife="n/a","n/a",IF(AN$3&gt;(A11taxstdlife+$E619),(('PTRM input'!$N$153+'PTRM input'!$N$119)*$N$7)-SUM($N619:AM619),(('PTRM input'!$N$153+'PTRM input'!$N$119)*$N$7)/A11taxstdlife))</f>
        <v>0</v>
      </c>
      <c r="AO619" s="590">
        <f>IF(A11taxstdlife="n/a","n/a",IF(AO$3&gt;(A11taxstdlife+$E619),(('PTRM input'!$N$153+'PTRM input'!$N$119)*$N$7)-SUM($N619:AN619),(('PTRM input'!$N$153+'PTRM input'!$N$119)*$N$7)/A11taxstdlife))</f>
        <v>0</v>
      </c>
      <c r="AP619" s="590">
        <f>IF(A11taxstdlife="n/a","n/a",IF(AP$3&gt;(A11taxstdlife+$E619),(('PTRM input'!$N$153+'PTRM input'!$N$119)*$N$7)-SUM($N619:AO619),(('PTRM input'!$N$153+'PTRM input'!$N$119)*$N$7)/A11taxstdlife))</f>
        <v>0</v>
      </c>
      <c r="AQ619" s="590">
        <f>IF(A11taxstdlife="n/a","n/a",IF(AQ$3&gt;(A11taxstdlife+$E619),(('PTRM input'!$N$153+'PTRM input'!$N$119)*$N$7)-SUM($N619:AP619),(('PTRM input'!$N$153+'PTRM input'!$N$119)*$N$7)/A11taxstdlife))</f>
        <v>0</v>
      </c>
      <c r="AR619" s="590">
        <f>IF(A11taxstdlife="n/a","n/a",IF(AR$3&gt;(A11taxstdlife+$E619),(('PTRM input'!$N$153+'PTRM input'!$N$119)*$N$7)-SUM($N619:AQ619),(('PTRM input'!$N$153+'PTRM input'!$N$119)*$N$7)/A11taxstdlife))</f>
        <v>0</v>
      </c>
      <c r="AS619" s="590">
        <f>IF(A11taxstdlife="n/a","n/a",IF(AS$3&gt;(A11taxstdlife+$E619),(('PTRM input'!$N$153+'PTRM input'!$N$119)*$N$7)-SUM($N619:AR619),(('PTRM input'!$N$153+'PTRM input'!$N$119)*$N$7)/A11taxstdlife))</f>
        <v>0</v>
      </c>
      <c r="AT619" s="590">
        <f>IF(A11taxstdlife="n/a","n/a",IF(AT$3&gt;(A11taxstdlife+$E619),(('PTRM input'!$N$153+'PTRM input'!$N$119)*$N$7)-SUM($N619:AS619),(('PTRM input'!$N$153+'PTRM input'!$N$119)*$N$7)/A11taxstdlife))</f>
        <v>0</v>
      </c>
      <c r="AU619" s="590">
        <f>IF(A11taxstdlife="n/a","n/a",IF(AU$3&gt;(A11taxstdlife+$E619),(('PTRM input'!$N$153+'PTRM input'!$N$119)*$N$7)-SUM($N619:AT619),(('PTRM input'!$N$153+'PTRM input'!$N$119)*$N$7)/A11taxstdlife))</f>
        <v>0</v>
      </c>
      <c r="AV619" s="590">
        <f>IF(A11taxstdlife="n/a","n/a",IF(AV$3&gt;(A11taxstdlife+$E619),(('PTRM input'!$N$153+'PTRM input'!$N$119)*$N$7)-SUM($N619:AU619),(('PTRM input'!$N$153+'PTRM input'!$N$119)*$N$7)/A11taxstdlife))</f>
        <v>0</v>
      </c>
      <c r="AW619" s="590">
        <f>IF(A11taxstdlife="n/a","n/a",IF(AW$3&gt;(A11taxstdlife+$E619),(('PTRM input'!$N$153+'PTRM input'!$N$119)*$N$7)-SUM($N619:AV619),(('PTRM input'!$N$153+'PTRM input'!$N$119)*$N$7)/A11taxstdlife))</f>
        <v>0</v>
      </c>
      <c r="AX619" s="590">
        <f>IF(A11taxstdlife="n/a","n/a",IF(AX$3&gt;(A11taxstdlife+$E619),(('PTRM input'!$N$153+'PTRM input'!$N$119)*$N$7)-SUM($N619:AW619),(('PTRM input'!$N$153+'PTRM input'!$N$119)*$N$7)/A11taxstdlife))</f>
        <v>0</v>
      </c>
      <c r="AY619" s="590">
        <f>IF(A11taxstdlife="n/a","n/a",IF(AY$3&gt;(A11taxstdlife+$E619),(('PTRM input'!$N$153+'PTRM input'!$N$119)*$N$7)-SUM($N619:AX619),(('PTRM input'!$N$153+'PTRM input'!$N$119)*$N$7)/A11taxstdlife))</f>
        <v>0</v>
      </c>
      <c r="AZ619" s="590">
        <f>IF(A11taxstdlife="n/a","n/a",IF(AZ$3&gt;(A11taxstdlife+$E619),(('PTRM input'!$N$153+'PTRM input'!$N$119)*$N$7)-SUM($N619:AY619),(('PTRM input'!$N$153+'PTRM input'!$N$119)*$N$7)/A11taxstdlife))</f>
        <v>0</v>
      </c>
      <c r="BA619" s="590">
        <f>IF(A11taxstdlife="n/a","n/a",IF(BA$3&gt;(A11taxstdlife+$E619),(('PTRM input'!$N$153+'PTRM input'!$N$119)*$N$7)-SUM($N619:AZ619),(('PTRM input'!$N$153+'PTRM input'!$N$119)*$N$7)/A11taxstdlife))</f>
        <v>0</v>
      </c>
      <c r="BB619" s="590">
        <f>IF(A11taxstdlife="n/a","n/a",IF(BB$3&gt;(A11taxstdlife+$E619),(('PTRM input'!$N$153+'PTRM input'!$N$119)*$N$7)-SUM($N619:BA619),(('PTRM input'!$N$153+'PTRM input'!$N$119)*$N$7)/A11taxstdlife))</f>
        <v>0</v>
      </c>
      <c r="BC619" s="590">
        <f>IF(A11taxstdlife="n/a","n/a",IF(BC$3&gt;(A11taxstdlife+$E619),(('PTRM input'!$N$153+'PTRM input'!$N$119)*$N$7)-SUM($N619:BB619),(('PTRM input'!$N$153+'PTRM input'!$N$119)*$N$7)/A11taxstdlife))</f>
        <v>0</v>
      </c>
      <c r="BD619" s="590">
        <f>IF(A11taxstdlife="n/a","n/a",IF(BD$3&gt;(A11taxstdlife+$E619),(('PTRM input'!$N$153+'PTRM input'!$N$119)*$N$7)-SUM($N619:BC619),(('PTRM input'!$N$153+'PTRM input'!$N$119)*$N$7)/A11taxstdlife))</f>
        <v>0</v>
      </c>
      <c r="BE619" s="590">
        <f>IF(A11taxstdlife="n/a","n/a",IF(BE$3&gt;(A11taxstdlife+$E619),(('PTRM input'!$N$153+'PTRM input'!$N$119)*$N$7)-SUM($N619:BD619),(('PTRM input'!$N$153+'PTRM input'!$N$119)*$N$7)/A11taxstdlife))</f>
        <v>0</v>
      </c>
      <c r="BF619" s="590">
        <f>IF(A11taxstdlife="n/a","n/a",IF(BF$3&gt;(A11taxstdlife+$E619),(('PTRM input'!$N$153+'PTRM input'!$N$119)*$N$7)-SUM($N619:BE619),(('PTRM input'!$N$153+'PTRM input'!$N$119)*$N$7)/A11taxstdlife))</f>
        <v>0</v>
      </c>
      <c r="BG619" s="590">
        <f>IF(A11taxstdlife="n/a","n/a",IF(BG$3&gt;(A11taxstdlife+$E619),(('PTRM input'!$N$153+'PTRM input'!$N$119)*$N$7)-SUM($N619:BF619),(('PTRM input'!$N$153+'PTRM input'!$N$119)*$N$7)/A11taxstdlife))</f>
        <v>0</v>
      </c>
      <c r="BH619" s="590">
        <f>IF(A11taxstdlife="n/a","n/a",IF(BH$3&gt;(A11taxstdlife+$E619),(('PTRM input'!$N$153+'PTRM input'!$N$119)*$N$7)-SUM($N619:BG619),(('PTRM input'!$N$153+'PTRM input'!$N$119)*$N$7)/A11taxstdlife))</f>
        <v>0</v>
      </c>
      <c r="BI619" s="590">
        <f>IF(A11taxstdlife="n/a","n/a",IF(BI$3&gt;(A11taxstdlife+$E619),(('PTRM input'!$N$153+'PTRM input'!$N$119)*$N$7)-SUM($N619:BH619),(('PTRM input'!$N$153+'PTRM input'!$N$119)*$N$7)/A11taxstdlife))</f>
        <v>0</v>
      </c>
      <c r="BJ619" s="240"/>
      <c r="BK619" s="240"/>
      <c r="BL619" s="240"/>
      <c r="BM619" s="240"/>
    </row>
    <row r="620" spans="1:65" s="4" customFormat="1" hidden="1" outlineLevel="2">
      <c r="A620" s="240"/>
      <c r="B620" s="240"/>
      <c r="C620" s="595"/>
      <c r="D620" s="1618"/>
      <c r="E620" s="169">
        <v>9</v>
      </c>
      <c r="F620" s="35"/>
      <c r="G620" s="184"/>
      <c r="H620" s="186"/>
      <c r="I620" s="186"/>
      <c r="J620" s="186"/>
      <c r="K620" s="186"/>
      <c r="L620" s="186"/>
      <c r="M620" s="186"/>
      <c r="N620" s="186"/>
      <c r="O620" s="185"/>
      <c r="P620" s="107">
        <f>IF(A11taxstdlife="n/a","n/a",IF(P$3&gt;(A11taxstdlife+$E620),(('PTRM input'!$O$153+'PTRM input'!$O$119)*$O$7)-SUM($O620:O620),(('PTRM input'!$O$153+'PTRM input'!$O$119)*$O$7)/A11taxstdlife))</f>
        <v>0</v>
      </c>
      <c r="Q620" s="590">
        <f>IF(A11taxstdlife="n/a","n/a",IF(Q$3&gt;(A11taxstdlife+$E620),(('PTRM input'!$O$153+'PTRM input'!$O$119)*$O$7)-SUM($O620:P620),(('PTRM input'!$O$153+'PTRM input'!$O$119)*$O$7)/A11taxstdlife))</f>
        <v>0</v>
      </c>
      <c r="R620" s="590">
        <f>IF(A11taxstdlife="n/a","n/a",IF(R$3&gt;(A11taxstdlife+$E620),(('PTRM input'!$O$153+'PTRM input'!$O$119)*$O$7)-SUM($O620:Q620),(('PTRM input'!$O$153+'PTRM input'!$O$119)*$O$7)/A11taxstdlife))</f>
        <v>0</v>
      </c>
      <c r="S620" s="590">
        <f>IF(A11taxstdlife="n/a","n/a",IF(S$3&gt;(A11taxstdlife+$E620),(('PTRM input'!$O$153+'PTRM input'!$O$119)*$O$7)-SUM($O620:R620),(('PTRM input'!$O$153+'PTRM input'!$O$119)*$O$7)/A11taxstdlife))</f>
        <v>0</v>
      </c>
      <c r="T620" s="590">
        <f>IF(A11taxstdlife="n/a","n/a",IF(T$3&gt;(A11taxstdlife+$E620),(('PTRM input'!$O$153+'PTRM input'!$O$119)*$O$7)-SUM($O620:S620),(('PTRM input'!$O$153+'PTRM input'!$O$119)*$O$7)/A11taxstdlife))</f>
        <v>0</v>
      </c>
      <c r="U620" s="590">
        <f>IF(A11taxstdlife="n/a","n/a",IF(U$3&gt;(A11taxstdlife+$E620),(('PTRM input'!$O$153+'PTRM input'!$O$119)*$O$7)-SUM($O620:T620),(('PTRM input'!$O$153+'PTRM input'!$O$119)*$O$7)/A11taxstdlife))</f>
        <v>0</v>
      </c>
      <c r="V620" s="590">
        <f>IF(A11taxstdlife="n/a","n/a",IF(V$3&gt;(A11taxstdlife+$E620),(('PTRM input'!$O$153+'PTRM input'!$O$119)*$O$7)-SUM($O620:U620),(('PTRM input'!$O$153+'PTRM input'!$O$119)*$O$7)/A11taxstdlife))</f>
        <v>0</v>
      </c>
      <c r="W620" s="590">
        <f>IF(A11taxstdlife="n/a","n/a",IF(W$3&gt;(A11taxstdlife+$E620),(('PTRM input'!$O$153+'PTRM input'!$O$119)*$O$7)-SUM($O620:V620),(('PTRM input'!$O$153+'PTRM input'!$O$119)*$O$7)/A11taxstdlife))</f>
        <v>0</v>
      </c>
      <c r="X620" s="590">
        <f>IF(A11taxstdlife="n/a","n/a",IF(X$3&gt;(A11taxstdlife+$E620),(('PTRM input'!$O$153+'PTRM input'!$O$119)*$O$7)-SUM($O620:W620),(('PTRM input'!$O$153+'PTRM input'!$O$119)*$O$7)/A11taxstdlife))</f>
        <v>0</v>
      </c>
      <c r="Y620" s="590">
        <f>IF(A11taxstdlife="n/a","n/a",IF(Y$3&gt;(A11taxstdlife+$E620),(('PTRM input'!$O$153+'PTRM input'!$O$119)*$O$7)-SUM($O620:X620),(('PTRM input'!$O$153+'PTRM input'!$O$119)*$O$7)/A11taxstdlife))</f>
        <v>0</v>
      </c>
      <c r="Z620" s="590">
        <f>IF(A11taxstdlife="n/a","n/a",IF(Z$3&gt;(A11taxstdlife+$E620),(('PTRM input'!$O$153+'PTRM input'!$O$119)*$O$7)-SUM($O620:Y620),(('PTRM input'!$O$153+'PTRM input'!$O$119)*$O$7)/A11taxstdlife))</f>
        <v>0</v>
      </c>
      <c r="AA620" s="590">
        <f>IF(A11taxstdlife="n/a","n/a",IF(AA$3&gt;(A11taxstdlife+$E620),(('PTRM input'!$O$153+'PTRM input'!$O$119)*$O$7)-SUM($O620:Z620),(('PTRM input'!$O$153+'PTRM input'!$O$119)*$O$7)/A11taxstdlife))</f>
        <v>0</v>
      </c>
      <c r="AB620" s="590">
        <f>IF(A11taxstdlife="n/a","n/a",IF(AB$3&gt;(A11taxstdlife+$E620),(('PTRM input'!$O$153+'PTRM input'!$O$119)*$O$7)-SUM($O620:AA620),(('PTRM input'!$O$153+'PTRM input'!$O$119)*$O$7)/A11taxstdlife))</f>
        <v>0</v>
      </c>
      <c r="AC620" s="590">
        <f>IF(A11taxstdlife="n/a","n/a",IF(AC$3&gt;(A11taxstdlife+$E620),(('PTRM input'!$O$153+'PTRM input'!$O$119)*$O$7)-SUM($O620:AB620),(('PTRM input'!$O$153+'PTRM input'!$O$119)*$O$7)/A11taxstdlife))</f>
        <v>0</v>
      </c>
      <c r="AD620" s="590">
        <f>IF(A11taxstdlife="n/a","n/a",IF(AD$3&gt;(A11taxstdlife+$E620),(('PTRM input'!$O$153+'PTRM input'!$O$119)*$O$7)-SUM($O620:AC620),(('PTRM input'!$O$153+'PTRM input'!$O$119)*$O$7)/A11taxstdlife))</f>
        <v>0</v>
      </c>
      <c r="AE620" s="590">
        <f>IF(A11taxstdlife="n/a","n/a",IF(AE$3&gt;(A11taxstdlife+$E620),(('PTRM input'!$O$153+'PTRM input'!$O$119)*$O$7)-SUM($O620:AD620),(('PTRM input'!$O$153+'PTRM input'!$O$119)*$O$7)/A11taxstdlife))</f>
        <v>0</v>
      </c>
      <c r="AF620" s="590">
        <f>IF(A11taxstdlife="n/a","n/a",IF(AF$3&gt;(A11taxstdlife+$E620),(('PTRM input'!$O$153+'PTRM input'!$O$119)*$O$7)-SUM($O620:AE620),(('PTRM input'!$O$153+'PTRM input'!$O$119)*$O$7)/A11taxstdlife))</f>
        <v>0</v>
      </c>
      <c r="AG620" s="590">
        <f>IF(A11taxstdlife="n/a","n/a",IF(AG$3&gt;(A11taxstdlife+$E620),(('PTRM input'!$O$153+'PTRM input'!$O$119)*$O$7)-SUM($O620:AF620),(('PTRM input'!$O$153+'PTRM input'!$O$119)*$O$7)/A11taxstdlife))</f>
        <v>0</v>
      </c>
      <c r="AH620" s="590">
        <f>IF(A11taxstdlife="n/a","n/a",IF(AH$3&gt;(A11taxstdlife+$E620),(('PTRM input'!$O$153+'PTRM input'!$O$119)*$O$7)-SUM($O620:AG620),(('PTRM input'!$O$153+'PTRM input'!$O$119)*$O$7)/A11taxstdlife))</f>
        <v>0</v>
      </c>
      <c r="AI620" s="590">
        <f>IF(A11taxstdlife="n/a","n/a",IF(AI$3&gt;(A11taxstdlife+$E620),(('PTRM input'!$O$153+'PTRM input'!$O$119)*$O$7)-SUM($O620:AH620),(('PTRM input'!$O$153+'PTRM input'!$O$119)*$O$7)/A11taxstdlife))</f>
        <v>0</v>
      </c>
      <c r="AJ620" s="590">
        <f>IF(A11taxstdlife="n/a","n/a",IF(AJ$3&gt;(A11taxstdlife+$E620),(('PTRM input'!$O$153+'PTRM input'!$O$119)*$O$7)-SUM($O620:AI620),(('PTRM input'!$O$153+'PTRM input'!$O$119)*$O$7)/A11taxstdlife))</f>
        <v>0</v>
      </c>
      <c r="AK620" s="590">
        <f>IF(A11taxstdlife="n/a","n/a",IF(AK$3&gt;(A11taxstdlife+$E620),(('PTRM input'!$O$153+'PTRM input'!$O$119)*$O$7)-SUM($O620:AJ620),(('PTRM input'!$O$153+'PTRM input'!$O$119)*$O$7)/A11taxstdlife))</f>
        <v>0</v>
      </c>
      <c r="AL620" s="590">
        <f>IF(A11taxstdlife="n/a","n/a",IF(AL$3&gt;(A11taxstdlife+$E620),(('PTRM input'!$O$153+'PTRM input'!$O$119)*$O$7)-SUM($O620:AK620),(('PTRM input'!$O$153+'PTRM input'!$O$119)*$O$7)/A11taxstdlife))</f>
        <v>0</v>
      </c>
      <c r="AM620" s="590">
        <f>IF(A11taxstdlife="n/a","n/a",IF(AM$3&gt;(A11taxstdlife+$E620),(('PTRM input'!$O$153+'PTRM input'!$O$119)*$O$7)-SUM($O620:AL620),(('PTRM input'!$O$153+'PTRM input'!$O$119)*$O$7)/A11taxstdlife))</f>
        <v>0</v>
      </c>
      <c r="AN620" s="590">
        <f>IF(A11taxstdlife="n/a","n/a",IF(AN$3&gt;(A11taxstdlife+$E620),(('PTRM input'!$O$153+'PTRM input'!$O$119)*$O$7)-SUM($O620:AM620),(('PTRM input'!$O$153+'PTRM input'!$O$119)*$O$7)/A11taxstdlife))</f>
        <v>0</v>
      </c>
      <c r="AO620" s="590">
        <f>IF(A11taxstdlife="n/a","n/a",IF(AO$3&gt;(A11taxstdlife+$E620),(('PTRM input'!$O$153+'PTRM input'!$O$119)*$O$7)-SUM($O620:AN620),(('PTRM input'!$O$153+'PTRM input'!$O$119)*$O$7)/A11taxstdlife))</f>
        <v>0</v>
      </c>
      <c r="AP620" s="590">
        <f>IF(A11taxstdlife="n/a","n/a",IF(AP$3&gt;(A11taxstdlife+$E620),(('PTRM input'!$O$153+'PTRM input'!$O$119)*$O$7)-SUM($O620:AO620),(('PTRM input'!$O$153+'PTRM input'!$O$119)*$O$7)/A11taxstdlife))</f>
        <v>0</v>
      </c>
      <c r="AQ620" s="590">
        <f>IF(A11taxstdlife="n/a","n/a",IF(AQ$3&gt;(A11taxstdlife+$E620),(('PTRM input'!$O$153+'PTRM input'!$O$119)*$O$7)-SUM($O620:AP620),(('PTRM input'!$O$153+'PTRM input'!$O$119)*$O$7)/A11taxstdlife))</f>
        <v>0</v>
      </c>
      <c r="AR620" s="590">
        <f>IF(A11taxstdlife="n/a","n/a",IF(AR$3&gt;(A11taxstdlife+$E620),(('PTRM input'!$O$153+'PTRM input'!$O$119)*$O$7)-SUM($O620:AQ620),(('PTRM input'!$O$153+'PTRM input'!$O$119)*$O$7)/A11taxstdlife))</f>
        <v>0</v>
      </c>
      <c r="AS620" s="590">
        <f>IF(A11taxstdlife="n/a","n/a",IF(AS$3&gt;(A11taxstdlife+$E620),(('PTRM input'!$O$153+'PTRM input'!$O$119)*$O$7)-SUM($O620:AR620),(('PTRM input'!$O$153+'PTRM input'!$O$119)*$O$7)/A11taxstdlife))</f>
        <v>0</v>
      </c>
      <c r="AT620" s="590">
        <f>IF(A11taxstdlife="n/a","n/a",IF(AT$3&gt;(A11taxstdlife+$E620),(('PTRM input'!$O$153+'PTRM input'!$O$119)*$O$7)-SUM($O620:AS620),(('PTRM input'!$O$153+'PTRM input'!$O$119)*$O$7)/A11taxstdlife))</f>
        <v>0</v>
      </c>
      <c r="AU620" s="590">
        <f>IF(A11taxstdlife="n/a","n/a",IF(AU$3&gt;(A11taxstdlife+$E620),(('PTRM input'!$O$153+'PTRM input'!$O$119)*$O$7)-SUM($O620:AT620),(('PTRM input'!$O$153+'PTRM input'!$O$119)*$O$7)/A11taxstdlife))</f>
        <v>0</v>
      </c>
      <c r="AV620" s="590">
        <f>IF(A11taxstdlife="n/a","n/a",IF(AV$3&gt;(A11taxstdlife+$E620),(('PTRM input'!$O$153+'PTRM input'!$O$119)*$O$7)-SUM($O620:AU620),(('PTRM input'!$O$153+'PTRM input'!$O$119)*$O$7)/A11taxstdlife))</f>
        <v>0</v>
      </c>
      <c r="AW620" s="590">
        <f>IF(A11taxstdlife="n/a","n/a",IF(AW$3&gt;(A11taxstdlife+$E620),(('PTRM input'!$O$153+'PTRM input'!$O$119)*$O$7)-SUM($O620:AV620),(('PTRM input'!$O$153+'PTRM input'!$O$119)*$O$7)/A11taxstdlife))</f>
        <v>0</v>
      </c>
      <c r="AX620" s="590">
        <f>IF(A11taxstdlife="n/a","n/a",IF(AX$3&gt;(A11taxstdlife+$E620),(('PTRM input'!$O$153+'PTRM input'!$O$119)*$O$7)-SUM($O620:AW620),(('PTRM input'!$O$153+'PTRM input'!$O$119)*$O$7)/A11taxstdlife))</f>
        <v>0</v>
      </c>
      <c r="AY620" s="590">
        <f>IF(A11taxstdlife="n/a","n/a",IF(AY$3&gt;(A11taxstdlife+$E620),(('PTRM input'!$O$153+'PTRM input'!$O$119)*$O$7)-SUM($O620:AX620),(('PTRM input'!$O$153+'PTRM input'!$O$119)*$O$7)/A11taxstdlife))</f>
        <v>0</v>
      </c>
      <c r="AZ620" s="590">
        <f>IF(A11taxstdlife="n/a","n/a",IF(AZ$3&gt;(A11taxstdlife+$E620),(('PTRM input'!$O$153+'PTRM input'!$O$119)*$O$7)-SUM($O620:AY620),(('PTRM input'!$O$153+'PTRM input'!$O$119)*$O$7)/A11taxstdlife))</f>
        <v>0</v>
      </c>
      <c r="BA620" s="590">
        <f>IF(A11taxstdlife="n/a","n/a",IF(BA$3&gt;(A11taxstdlife+$E620),(('PTRM input'!$O$153+'PTRM input'!$O$119)*$O$7)-SUM($O620:AZ620),(('PTRM input'!$O$153+'PTRM input'!$O$119)*$O$7)/A11taxstdlife))</f>
        <v>0</v>
      </c>
      <c r="BB620" s="590">
        <f>IF(A11taxstdlife="n/a","n/a",IF(BB$3&gt;(A11taxstdlife+$E620),(('PTRM input'!$O$153+'PTRM input'!$O$119)*$O$7)-SUM($O620:BA620),(('PTRM input'!$O$153+'PTRM input'!$O$119)*$O$7)/A11taxstdlife))</f>
        <v>0</v>
      </c>
      <c r="BC620" s="590">
        <f>IF(A11taxstdlife="n/a","n/a",IF(BC$3&gt;(A11taxstdlife+$E620),(('PTRM input'!$O$153+'PTRM input'!$O$119)*$O$7)-SUM($O620:BB620),(('PTRM input'!$O$153+'PTRM input'!$O$119)*$O$7)/A11taxstdlife))</f>
        <v>0</v>
      </c>
      <c r="BD620" s="590">
        <f>IF(A11taxstdlife="n/a","n/a",IF(BD$3&gt;(A11taxstdlife+$E620),(('PTRM input'!$O$153+'PTRM input'!$O$119)*$O$7)-SUM($O620:BC620),(('PTRM input'!$O$153+'PTRM input'!$O$119)*$O$7)/A11taxstdlife))</f>
        <v>0</v>
      </c>
      <c r="BE620" s="590">
        <f>IF(A11taxstdlife="n/a","n/a",IF(BE$3&gt;(A11taxstdlife+$E620),(('PTRM input'!$O$153+'PTRM input'!$O$119)*$O$7)-SUM($O620:BD620),(('PTRM input'!$O$153+'PTRM input'!$O$119)*$O$7)/A11taxstdlife))</f>
        <v>0</v>
      </c>
      <c r="BF620" s="590">
        <f>IF(A11taxstdlife="n/a","n/a",IF(BF$3&gt;(A11taxstdlife+$E620),(('PTRM input'!$O$153+'PTRM input'!$O$119)*$O$7)-SUM($O620:BE620),(('PTRM input'!$O$153+'PTRM input'!$O$119)*$O$7)/A11taxstdlife))</f>
        <v>0</v>
      </c>
      <c r="BG620" s="590">
        <f>IF(A11taxstdlife="n/a","n/a",IF(BG$3&gt;(A11taxstdlife+$E620),(('PTRM input'!$O$153+'PTRM input'!$O$119)*$O$7)-SUM($O620:BF620),(('PTRM input'!$O$153+'PTRM input'!$O$119)*$O$7)/A11taxstdlife))</f>
        <v>0</v>
      </c>
      <c r="BH620" s="590">
        <f>IF(A11taxstdlife="n/a","n/a",IF(BH$3&gt;(A11taxstdlife+$E620),(('PTRM input'!$O$153+'PTRM input'!$O$119)*$O$7)-SUM($O620:BG620),(('PTRM input'!$O$153+'PTRM input'!$O$119)*$O$7)/A11taxstdlife))</f>
        <v>0</v>
      </c>
      <c r="BI620" s="590">
        <f>IF(A11taxstdlife="n/a","n/a",IF(BI$3&gt;(A11taxstdlife+$E620),(('PTRM input'!$O$153+'PTRM input'!$O$119)*$O$7)-SUM($O620:BH620),(('PTRM input'!$O$153+'PTRM input'!$O$119)*$O$7)/A11taxstdlife))</f>
        <v>0</v>
      </c>
      <c r="BJ620" s="240"/>
      <c r="BK620" s="240"/>
      <c r="BL620" s="240"/>
      <c r="BM620" s="240"/>
    </row>
    <row r="621" spans="1:65" s="4" customFormat="1" hidden="1" outlineLevel="2">
      <c r="A621" s="240"/>
      <c r="B621" s="240"/>
      <c r="C621" s="595"/>
      <c r="D621" s="1618"/>
      <c r="E621" s="170">
        <v>10</v>
      </c>
      <c r="F621" s="35"/>
      <c r="G621" s="184"/>
      <c r="H621" s="186"/>
      <c r="I621" s="186"/>
      <c r="J621" s="186"/>
      <c r="K621" s="186"/>
      <c r="L621" s="186"/>
      <c r="M621" s="186"/>
      <c r="N621" s="186"/>
      <c r="O621" s="186"/>
      <c r="P621" s="185"/>
      <c r="Q621" s="590">
        <f>IF(A11taxstdlife="n/a","n/a",IF(Q$3&gt;(A11taxstdlife+$E621),(('PTRM input'!$P$153+'PTRM input'!$P$119)*$P$7)-SUM($P621:P621),(('PTRM input'!$P$153+'PTRM input'!$P$119)*$P$7)/A11taxstdlife))</f>
        <v>0</v>
      </c>
      <c r="R621" s="590">
        <f>IF(A11taxstdlife="n/a","n/a",IF(R$3&gt;(A11taxstdlife+$E621),(('PTRM input'!$P$153+'PTRM input'!$P$119)*$P$7)-SUM($P621:Q621),(('PTRM input'!$P$153+'PTRM input'!$P$119)*$P$7)/A11taxstdlife))</f>
        <v>0</v>
      </c>
      <c r="S621" s="590">
        <f>IF(A11taxstdlife="n/a","n/a",IF(S$3&gt;(A11taxstdlife+$E621),(('PTRM input'!$P$153+'PTRM input'!$P$119)*$P$7)-SUM($P621:R621),(('PTRM input'!$P$153+'PTRM input'!$P$119)*$P$7)/A11taxstdlife))</f>
        <v>0</v>
      </c>
      <c r="T621" s="590">
        <f>IF(A11taxstdlife="n/a","n/a",IF(T$3&gt;(A11taxstdlife+$E621),(('PTRM input'!$P$153+'PTRM input'!$P$119)*$P$7)-SUM($P621:S621),(('PTRM input'!$P$153+'PTRM input'!$P$119)*$P$7)/A11taxstdlife))</f>
        <v>0</v>
      </c>
      <c r="U621" s="590">
        <f>IF(A11taxstdlife="n/a","n/a",IF(U$3&gt;(A11taxstdlife+$E621),(('PTRM input'!$P$153+'PTRM input'!$P$119)*$P$7)-SUM($P621:T621),(('PTRM input'!$P$153+'PTRM input'!$P$119)*$P$7)/A11taxstdlife))</f>
        <v>0</v>
      </c>
      <c r="V621" s="590">
        <f>IF(A11taxstdlife="n/a","n/a",IF(V$3&gt;(A11taxstdlife+$E621),(('PTRM input'!$P$153+'PTRM input'!$P$119)*$P$7)-SUM($P621:U621),(('PTRM input'!$P$153+'PTRM input'!$P$119)*$P$7)/A11taxstdlife))</f>
        <v>0</v>
      </c>
      <c r="W621" s="590">
        <f>IF(A11taxstdlife="n/a","n/a",IF(W$3&gt;(A11taxstdlife+$E621),(('PTRM input'!$P$153+'PTRM input'!$P$119)*$P$7)-SUM($P621:V621),(('PTRM input'!$P$153+'PTRM input'!$P$119)*$P$7)/A11taxstdlife))</f>
        <v>0</v>
      </c>
      <c r="X621" s="590">
        <f>IF(A11taxstdlife="n/a","n/a",IF(X$3&gt;(A11taxstdlife+$E621),(('PTRM input'!$P$153+'PTRM input'!$P$119)*$P$7)-SUM($P621:W621),(('PTRM input'!$P$153+'PTRM input'!$P$119)*$P$7)/A11taxstdlife))</f>
        <v>0</v>
      </c>
      <c r="Y621" s="590">
        <f>IF(A11taxstdlife="n/a","n/a",IF(Y$3&gt;(A11taxstdlife+$E621),(('PTRM input'!$P$153+'PTRM input'!$P$119)*$P$7)-SUM($P621:X621),(('PTRM input'!$P$153+'PTRM input'!$P$119)*$P$7)/A11taxstdlife))</f>
        <v>0</v>
      </c>
      <c r="Z621" s="590">
        <f>IF(A11taxstdlife="n/a","n/a",IF(Z$3&gt;(A11taxstdlife+$E621),(('PTRM input'!$P$153+'PTRM input'!$P$119)*$P$7)-SUM($P621:Y621),(('PTRM input'!$P$153+'PTRM input'!$P$119)*$P$7)/A11taxstdlife))</f>
        <v>0</v>
      </c>
      <c r="AA621" s="590">
        <f>IF(A11taxstdlife="n/a","n/a",IF(AA$3&gt;(A11taxstdlife+$E621),(('PTRM input'!$P$153+'PTRM input'!$P$119)*$P$7)-SUM($P621:Z621),(('PTRM input'!$P$153+'PTRM input'!$P$119)*$P$7)/A11taxstdlife))</f>
        <v>0</v>
      </c>
      <c r="AB621" s="590">
        <f>IF(A11taxstdlife="n/a","n/a",IF(AB$3&gt;(A11taxstdlife+$E621),(('PTRM input'!$P$153+'PTRM input'!$P$119)*$P$7)-SUM($P621:AA621),(('PTRM input'!$P$153+'PTRM input'!$P$119)*$P$7)/A11taxstdlife))</f>
        <v>0</v>
      </c>
      <c r="AC621" s="590">
        <f>IF(A11taxstdlife="n/a","n/a",IF(AC$3&gt;(A11taxstdlife+$E621),(('PTRM input'!$P$153+'PTRM input'!$P$119)*$P$7)-SUM($P621:AB621),(('PTRM input'!$P$153+'PTRM input'!$P$119)*$P$7)/A11taxstdlife))</f>
        <v>0</v>
      </c>
      <c r="AD621" s="590">
        <f>IF(A11taxstdlife="n/a","n/a",IF(AD$3&gt;(A11taxstdlife+$E621),(('PTRM input'!$P$153+'PTRM input'!$P$119)*$P$7)-SUM($P621:AC621),(('PTRM input'!$P$153+'PTRM input'!$P$119)*$P$7)/A11taxstdlife))</f>
        <v>0</v>
      </c>
      <c r="AE621" s="590">
        <f>IF(A11taxstdlife="n/a","n/a",IF(AE$3&gt;(A11taxstdlife+$E621),(('PTRM input'!$P$153+'PTRM input'!$P$119)*$P$7)-SUM($P621:AD621),(('PTRM input'!$P$153+'PTRM input'!$P$119)*$P$7)/A11taxstdlife))</f>
        <v>0</v>
      </c>
      <c r="AF621" s="590">
        <f>IF(A11taxstdlife="n/a","n/a",IF(AF$3&gt;(A11taxstdlife+$E621),(('PTRM input'!$P$153+'PTRM input'!$P$119)*$P$7)-SUM($P621:AE621),(('PTRM input'!$P$153+'PTRM input'!$P$119)*$P$7)/A11taxstdlife))</f>
        <v>0</v>
      </c>
      <c r="AG621" s="590">
        <f>IF(A11taxstdlife="n/a","n/a",IF(AG$3&gt;(A11taxstdlife+$E621),(('PTRM input'!$P$153+'PTRM input'!$P$119)*$P$7)-SUM($P621:AF621),(('PTRM input'!$P$153+'PTRM input'!$P$119)*$P$7)/A11taxstdlife))</f>
        <v>0</v>
      </c>
      <c r="AH621" s="590">
        <f>IF(A11taxstdlife="n/a","n/a",IF(AH$3&gt;(A11taxstdlife+$E621),(('PTRM input'!$P$153+'PTRM input'!$P$119)*$P$7)-SUM($P621:AG621),(('PTRM input'!$P$153+'PTRM input'!$P$119)*$P$7)/A11taxstdlife))</f>
        <v>0</v>
      </c>
      <c r="AI621" s="590">
        <f>IF(A11taxstdlife="n/a","n/a",IF(AI$3&gt;(A11taxstdlife+$E621),(('PTRM input'!$P$153+'PTRM input'!$P$119)*$P$7)-SUM($P621:AH621),(('PTRM input'!$P$153+'PTRM input'!$P$119)*$P$7)/A11taxstdlife))</f>
        <v>0</v>
      </c>
      <c r="AJ621" s="590">
        <f>IF(A11taxstdlife="n/a","n/a",IF(AJ$3&gt;(A11taxstdlife+$E621),(('PTRM input'!$P$153+'PTRM input'!$P$119)*$P$7)-SUM($P621:AI621),(('PTRM input'!$P$153+'PTRM input'!$P$119)*$P$7)/A11taxstdlife))</f>
        <v>0</v>
      </c>
      <c r="AK621" s="590">
        <f>IF(A11taxstdlife="n/a","n/a",IF(AK$3&gt;(A11taxstdlife+$E621),(('PTRM input'!$P$153+'PTRM input'!$P$119)*$P$7)-SUM($P621:AJ621),(('PTRM input'!$P$153+'PTRM input'!$P$119)*$P$7)/A11taxstdlife))</f>
        <v>0</v>
      </c>
      <c r="AL621" s="590">
        <f>IF(A11taxstdlife="n/a","n/a",IF(AL$3&gt;(A11taxstdlife+$E621),(('PTRM input'!$P$153+'PTRM input'!$P$119)*$P$7)-SUM($P621:AK621),(('PTRM input'!$P$153+'PTRM input'!$P$119)*$P$7)/A11taxstdlife))</f>
        <v>0</v>
      </c>
      <c r="AM621" s="590">
        <f>IF(A11taxstdlife="n/a","n/a",IF(AM$3&gt;(A11taxstdlife+$E621),(('PTRM input'!$P$153+'PTRM input'!$P$119)*$P$7)-SUM($P621:AL621),(('PTRM input'!$P$153+'PTRM input'!$P$119)*$P$7)/A11taxstdlife))</f>
        <v>0</v>
      </c>
      <c r="AN621" s="590">
        <f>IF(A11taxstdlife="n/a","n/a",IF(AN$3&gt;(A11taxstdlife+$E621),(('PTRM input'!$P$153+'PTRM input'!$P$119)*$P$7)-SUM($P621:AM621),(('PTRM input'!$P$153+'PTRM input'!$P$119)*$P$7)/A11taxstdlife))</f>
        <v>0</v>
      </c>
      <c r="AO621" s="590">
        <f>IF(A11taxstdlife="n/a","n/a",IF(AO$3&gt;(A11taxstdlife+$E621),(('PTRM input'!$P$153+'PTRM input'!$P$119)*$P$7)-SUM($P621:AN621),(('PTRM input'!$P$153+'PTRM input'!$P$119)*$P$7)/A11taxstdlife))</f>
        <v>0</v>
      </c>
      <c r="AP621" s="590">
        <f>IF(A11taxstdlife="n/a","n/a",IF(AP$3&gt;(A11taxstdlife+$E621),(('PTRM input'!$P$153+'PTRM input'!$P$119)*$P$7)-SUM($P621:AO621),(('PTRM input'!$P$153+'PTRM input'!$P$119)*$P$7)/A11taxstdlife))</f>
        <v>0</v>
      </c>
      <c r="AQ621" s="590">
        <f>IF(A11taxstdlife="n/a","n/a",IF(AQ$3&gt;(A11taxstdlife+$E621),(('PTRM input'!$P$153+'PTRM input'!$P$119)*$P$7)-SUM($P621:AP621),(('PTRM input'!$P$153+'PTRM input'!$P$119)*$P$7)/A11taxstdlife))</f>
        <v>0</v>
      </c>
      <c r="AR621" s="590">
        <f>IF(A11taxstdlife="n/a","n/a",IF(AR$3&gt;(A11taxstdlife+$E621),(('PTRM input'!$P$153+'PTRM input'!$P$119)*$P$7)-SUM($P621:AQ621),(('PTRM input'!$P$153+'PTRM input'!$P$119)*$P$7)/A11taxstdlife))</f>
        <v>0</v>
      </c>
      <c r="AS621" s="590">
        <f>IF(A11taxstdlife="n/a","n/a",IF(AS$3&gt;(A11taxstdlife+$E621),(('PTRM input'!$P$153+'PTRM input'!$P$119)*$P$7)-SUM($P621:AR621),(('PTRM input'!$P$153+'PTRM input'!$P$119)*$P$7)/A11taxstdlife))</f>
        <v>0</v>
      </c>
      <c r="AT621" s="590">
        <f>IF(A11taxstdlife="n/a","n/a",IF(AT$3&gt;(A11taxstdlife+$E621),(('PTRM input'!$P$153+'PTRM input'!$P$119)*$P$7)-SUM($P621:AS621),(('PTRM input'!$P$153+'PTRM input'!$P$119)*$P$7)/A11taxstdlife))</f>
        <v>0</v>
      </c>
      <c r="AU621" s="590">
        <f>IF(A11taxstdlife="n/a","n/a",IF(AU$3&gt;(A11taxstdlife+$E621),(('PTRM input'!$P$153+'PTRM input'!$P$119)*$P$7)-SUM($P621:AT621),(('PTRM input'!$P$153+'PTRM input'!$P$119)*$P$7)/A11taxstdlife))</f>
        <v>0</v>
      </c>
      <c r="AV621" s="590">
        <f>IF(A11taxstdlife="n/a","n/a",IF(AV$3&gt;(A11taxstdlife+$E621),(('PTRM input'!$P$153+'PTRM input'!$P$119)*$P$7)-SUM($P621:AU621),(('PTRM input'!$P$153+'PTRM input'!$P$119)*$P$7)/A11taxstdlife))</f>
        <v>0</v>
      </c>
      <c r="AW621" s="590">
        <f>IF(A11taxstdlife="n/a","n/a",IF(AW$3&gt;(A11taxstdlife+$E621),(('PTRM input'!$P$153+'PTRM input'!$P$119)*$P$7)-SUM($P621:AV621),(('PTRM input'!$P$153+'PTRM input'!$P$119)*$P$7)/A11taxstdlife))</f>
        <v>0</v>
      </c>
      <c r="AX621" s="590">
        <f>IF(A11taxstdlife="n/a","n/a",IF(AX$3&gt;(A11taxstdlife+$E621),(('PTRM input'!$P$153+'PTRM input'!$P$119)*$P$7)-SUM($P621:AW621),(('PTRM input'!$P$153+'PTRM input'!$P$119)*$P$7)/A11taxstdlife))</f>
        <v>0</v>
      </c>
      <c r="AY621" s="590">
        <f>IF(A11taxstdlife="n/a","n/a",IF(AY$3&gt;(A11taxstdlife+$E621),(('PTRM input'!$P$153+'PTRM input'!$P$119)*$P$7)-SUM($P621:AX621),(('PTRM input'!$P$153+'PTRM input'!$P$119)*$P$7)/A11taxstdlife))</f>
        <v>0</v>
      </c>
      <c r="AZ621" s="590">
        <f>IF(A11taxstdlife="n/a","n/a",IF(AZ$3&gt;(A11taxstdlife+$E621),(('PTRM input'!$P$153+'PTRM input'!$P$119)*$P$7)-SUM($P621:AY621),(('PTRM input'!$P$153+'PTRM input'!$P$119)*$P$7)/A11taxstdlife))</f>
        <v>0</v>
      </c>
      <c r="BA621" s="590">
        <f>IF(A11taxstdlife="n/a","n/a",IF(BA$3&gt;(A11taxstdlife+$E621),(('PTRM input'!$P$153+'PTRM input'!$P$119)*$P$7)-SUM($P621:AZ621),(('PTRM input'!$P$153+'PTRM input'!$P$119)*$P$7)/A11taxstdlife))</f>
        <v>0</v>
      </c>
      <c r="BB621" s="590">
        <f>IF(A11taxstdlife="n/a","n/a",IF(BB$3&gt;(A11taxstdlife+$E621),(('PTRM input'!$P$153+'PTRM input'!$P$119)*$P$7)-SUM($P621:BA621),(('PTRM input'!$P$153+'PTRM input'!$P$119)*$P$7)/A11taxstdlife))</f>
        <v>0</v>
      </c>
      <c r="BC621" s="590">
        <f>IF(A11taxstdlife="n/a","n/a",IF(BC$3&gt;(A11taxstdlife+$E621),(('PTRM input'!$P$153+'PTRM input'!$P$119)*$P$7)-SUM($P621:BB621),(('PTRM input'!$P$153+'PTRM input'!$P$119)*$P$7)/A11taxstdlife))</f>
        <v>0</v>
      </c>
      <c r="BD621" s="590">
        <f>IF(A11taxstdlife="n/a","n/a",IF(BD$3&gt;(A11taxstdlife+$E621),(('PTRM input'!$P$153+'PTRM input'!$P$119)*$P$7)-SUM($P621:BC621),(('PTRM input'!$P$153+'PTRM input'!$P$119)*$P$7)/A11taxstdlife))</f>
        <v>0</v>
      </c>
      <c r="BE621" s="590">
        <f>IF(A11taxstdlife="n/a","n/a",IF(BE$3&gt;(A11taxstdlife+$E621),(('PTRM input'!$P$153+'PTRM input'!$P$119)*$P$7)-SUM($P621:BD621),(('PTRM input'!$P$153+'PTRM input'!$P$119)*$P$7)/A11taxstdlife))</f>
        <v>0</v>
      </c>
      <c r="BF621" s="590">
        <f>IF(A11taxstdlife="n/a","n/a",IF(BF$3&gt;(A11taxstdlife+$E621),(('PTRM input'!$P$153+'PTRM input'!$P$119)*$P$7)-SUM($P621:BE621),(('PTRM input'!$P$153+'PTRM input'!$P$119)*$P$7)/A11taxstdlife))</f>
        <v>0</v>
      </c>
      <c r="BG621" s="590">
        <f>IF(A11taxstdlife="n/a","n/a",IF(BG$3&gt;(A11taxstdlife+$E621),(('PTRM input'!$P$153+'PTRM input'!$P$119)*$P$7)-SUM($P621:BF621),(('PTRM input'!$P$153+'PTRM input'!$P$119)*$P$7)/A11taxstdlife))</f>
        <v>0</v>
      </c>
      <c r="BH621" s="590">
        <f>IF(A11taxstdlife="n/a","n/a",IF(BH$3&gt;(A11taxstdlife+$E621),(('PTRM input'!$P$153+'PTRM input'!$P$119)*$P$7)-SUM($P621:BG621),(('PTRM input'!$P$153+'PTRM input'!$P$119)*$P$7)/A11taxstdlife))</f>
        <v>0</v>
      </c>
      <c r="BI621" s="590">
        <f>IF(A11taxstdlife="n/a","n/a",IF(BI$3&gt;(A11taxstdlife+$E621),(('PTRM input'!$P$153+'PTRM input'!$P$119)*$P$7)-SUM($P621:BH621),(('PTRM input'!$P$153+'PTRM input'!$P$119)*$P$7)/A11taxstdlife))</f>
        <v>0</v>
      </c>
      <c r="BJ621" s="240"/>
      <c r="BK621" s="240"/>
      <c r="BL621" s="240"/>
      <c r="BM621" s="240"/>
    </row>
    <row r="622" spans="1:65" s="4" customFormat="1" hidden="1" outlineLevel="1">
      <c r="A622" s="240"/>
      <c r="B622" s="240"/>
      <c r="C622" s="595">
        <f>Asset11</f>
        <v>0</v>
      </c>
      <c r="D622" s="240"/>
      <c r="E622" s="240"/>
      <c r="F622" s="596"/>
      <c r="G622" s="591">
        <f t="shared" ref="G622:AL622" si="126">SUM(G610:G621)</f>
        <v>0</v>
      </c>
      <c r="H622" s="591">
        <f t="shared" si="126"/>
        <v>0</v>
      </c>
      <c r="I622" s="591">
        <f t="shared" si="126"/>
        <v>0</v>
      </c>
      <c r="J622" s="591">
        <f t="shared" si="126"/>
        <v>0</v>
      </c>
      <c r="K622" s="591">
        <f t="shared" si="126"/>
        <v>0</v>
      </c>
      <c r="L622" s="591">
        <f t="shared" si="126"/>
        <v>0</v>
      </c>
      <c r="M622" s="591">
        <f t="shared" si="126"/>
        <v>0</v>
      </c>
      <c r="N622" s="591">
        <f t="shared" si="126"/>
        <v>0</v>
      </c>
      <c r="O622" s="591">
        <f t="shared" si="126"/>
        <v>0</v>
      </c>
      <c r="P622" s="591">
        <f t="shared" si="126"/>
        <v>0</v>
      </c>
      <c r="Q622" s="591">
        <f>SUM(Q610:Q621)</f>
        <v>0</v>
      </c>
      <c r="R622" s="591">
        <f t="shared" si="126"/>
        <v>0</v>
      </c>
      <c r="S622" s="591">
        <f t="shared" si="126"/>
        <v>0</v>
      </c>
      <c r="T622" s="591">
        <f t="shared" si="126"/>
        <v>0</v>
      </c>
      <c r="U622" s="591">
        <f t="shared" si="126"/>
        <v>0</v>
      </c>
      <c r="V622" s="591">
        <f t="shared" si="126"/>
        <v>0</v>
      </c>
      <c r="W622" s="591">
        <f t="shared" si="126"/>
        <v>0</v>
      </c>
      <c r="X622" s="591">
        <f t="shared" si="126"/>
        <v>0</v>
      </c>
      <c r="Y622" s="591">
        <f t="shared" si="126"/>
        <v>0</v>
      </c>
      <c r="Z622" s="591">
        <f t="shared" si="126"/>
        <v>0</v>
      </c>
      <c r="AA622" s="591">
        <f t="shared" si="126"/>
        <v>0</v>
      </c>
      <c r="AB622" s="591">
        <f t="shared" si="126"/>
        <v>0</v>
      </c>
      <c r="AC622" s="591">
        <f t="shared" si="126"/>
        <v>0</v>
      </c>
      <c r="AD622" s="591">
        <f t="shared" si="126"/>
        <v>0</v>
      </c>
      <c r="AE622" s="591">
        <f t="shared" si="126"/>
        <v>0</v>
      </c>
      <c r="AF622" s="591">
        <f t="shared" si="126"/>
        <v>0</v>
      </c>
      <c r="AG622" s="591">
        <f t="shared" si="126"/>
        <v>0</v>
      </c>
      <c r="AH622" s="591">
        <f t="shared" si="126"/>
        <v>0</v>
      </c>
      <c r="AI622" s="591">
        <f t="shared" si="126"/>
        <v>0</v>
      </c>
      <c r="AJ622" s="591">
        <f t="shared" si="126"/>
        <v>0</v>
      </c>
      <c r="AK622" s="591">
        <f t="shared" si="126"/>
        <v>0</v>
      </c>
      <c r="AL622" s="591">
        <f t="shared" si="126"/>
        <v>0</v>
      </c>
      <c r="AM622" s="591">
        <f t="shared" ref="AM622:BI622" si="127">SUM(AM610:AM621)</f>
        <v>0</v>
      </c>
      <c r="AN622" s="591">
        <f t="shared" si="127"/>
        <v>0</v>
      </c>
      <c r="AO622" s="591">
        <f t="shared" si="127"/>
        <v>0</v>
      </c>
      <c r="AP622" s="591">
        <f t="shared" si="127"/>
        <v>0</v>
      </c>
      <c r="AQ622" s="591">
        <f t="shared" si="127"/>
        <v>0</v>
      </c>
      <c r="AR622" s="591">
        <f t="shared" si="127"/>
        <v>0</v>
      </c>
      <c r="AS622" s="591">
        <f t="shared" si="127"/>
        <v>0</v>
      </c>
      <c r="AT622" s="591">
        <f t="shared" si="127"/>
        <v>0</v>
      </c>
      <c r="AU622" s="591">
        <f t="shared" si="127"/>
        <v>0</v>
      </c>
      <c r="AV622" s="591">
        <f t="shared" si="127"/>
        <v>0</v>
      </c>
      <c r="AW622" s="591">
        <f t="shared" si="127"/>
        <v>0</v>
      </c>
      <c r="AX622" s="591">
        <f t="shared" si="127"/>
        <v>0</v>
      </c>
      <c r="AY622" s="591">
        <f t="shared" si="127"/>
        <v>0</v>
      </c>
      <c r="AZ622" s="591">
        <f t="shared" si="127"/>
        <v>0</v>
      </c>
      <c r="BA622" s="591">
        <f t="shared" si="127"/>
        <v>0</v>
      </c>
      <c r="BB622" s="591">
        <f t="shared" si="127"/>
        <v>0</v>
      </c>
      <c r="BC622" s="591">
        <f t="shared" si="127"/>
        <v>0</v>
      </c>
      <c r="BD622" s="591">
        <f t="shared" si="127"/>
        <v>0</v>
      </c>
      <c r="BE622" s="591">
        <f t="shared" si="127"/>
        <v>0</v>
      </c>
      <c r="BF622" s="591">
        <f t="shared" si="127"/>
        <v>0</v>
      </c>
      <c r="BG622" s="591">
        <f t="shared" si="127"/>
        <v>0</v>
      </c>
      <c r="BH622" s="591">
        <f t="shared" si="127"/>
        <v>0</v>
      </c>
      <c r="BI622" s="591">
        <f t="shared" si="127"/>
        <v>0</v>
      </c>
      <c r="BJ622" s="240"/>
      <c r="BK622" s="240"/>
      <c r="BL622" s="240"/>
      <c r="BM622" s="240"/>
    </row>
    <row r="623" spans="1:65" s="4" customFormat="1" hidden="1" outlineLevel="2">
      <c r="A623" s="240"/>
      <c r="B623" s="597">
        <f>C635</f>
        <v>0</v>
      </c>
      <c r="C623" s="488"/>
      <c r="D623" s="598" t="s">
        <v>58</v>
      </c>
      <c r="E623" s="488"/>
      <c r="F623" s="599"/>
      <c r="G623" s="592">
        <f>IF(G$3&gt;A12taxremlife,A12taxvalue-SUM($F623:F623),IF(A12taxremlife="N/A","n/a",A12taxvalue/A12taxremlife))</f>
        <v>0</v>
      </c>
      <c r="H623" s="592">
        <f>IF(H$3&gt;A12taxremlife,A12taxvalue-SUM($F623:G623),IF(A12taxremlife="N/A","n/a",A12taxvalue/A12taxremlife))</f>
        <v>0</v>
      </c>
      <c r="I623" s="592">
        <f>IF(I$3&gt;A12taxremlife,A12taxvalue-SUM($F623:H623),IF(A12taxremlife="N/A","n/a",A12taxvalue/A12taxremlife))</f>
        <v>0</v>
      </c>
      <c r="J623" s="592">
        <f>IF(J$3&gt;A12taxremlife,A12taxvalue-SUM($F623:I623),IF(A12taxremlife="N/A","n/a",A12taxvalue/A12taxremlife))</f>
        <v>0</v>
      </c>
      <c r="K623" s="592">
        <f>IF(K$3&gt;A12taxremlife,A12taxvalue-SUM($F623:J623),IF(A12taxremlife="N/A","n/a",A12taxvalue/A12taxremlife))</f>
        <v>0</v>
      </c>
      <c r="L623" s="592">
        <f>IF(L$3&gt;A12taxremlife,A12taxvalue-SUM($F623:K623),IF(A12taxremlife="N/A","n/a",A12taxvalue/A12taxremlife))</f>
        <v>0</v>
      </c>
      <c r="M623" s="592">
        <f>IF(M$3&gt;A12taxremlife,A12taxvalue-SUM($F623:L623),IF(A12taxremlife="N/A","n/a",A12taxvalue/A12taxremlife))</f>
        <v>0</v>
      </c>
      <c r="N623" s="592">
        <f>IF(N$3&gt;A12taxremlife,A12taxvalue-SUM($F623:M623),IF(A12taxremlife="N/A","n/a",A12taxvalue/A12taxremlife))</f>
        <v>0</v>
      </c>
      <c r="O623" s="592">
        <f>IF(O$3&gt;A12taxremlife,A12taxvalue-SUM($F623:N623),IF(A12taxremlife="N/A","n/a",A12taxvalue/A12taxremlife))</f>
        <v>0</v>
      </c>
      <c r="P623" s="592">
        <f>IF(P$3&gt;A12taxremlife,A12taxvalue-SUM($F623:O623),IF(A12taxremlife="N/A","n/a",A12taxvalue/A12taxremlife))</f>
        <v>0</v>
      </c>
      <c r="Q623" s="592">
        <f>IF(Q$3&gt;A12taxremlife,A12taxvalue-SUM($F623:P623),IF(A12taxremlife="N/A","n/a",A12taxvalue/A12taxremlife))</f>
        <v>0</v>
      </c>
      <c r="R623" s="592">
        <f>IF(R$3&gt;A12taxremlife,A12taxvalue-SUM($F623:Q623),IF(A12taxremlife="N/A","n/a",A12taxvalue/A12taxremlife))</f>
        <v>0</v>
      </c>
      <c r="S623" s="592">
        <f>IF(S$3&gt;A12taxremlife,A12taxvalue-SUM($F623:R623),IF(A12taxremlife="N/A","n/a",A12taxvalue/A12taxremlife))</f>
        <v>0</v>
      </c>
      <c r="T623" s="592">
        <f>IF(T$3&gt;A12taxremlife,A12taxvalue-SUM($F623:S623),IF(A12taxremlife="N/A","n/a",A12taxvalue/A12taxremlife))</f>
        <v>0</v>
      </c>
      <c r="U623" s="592">
        <f>IF(U$3&gt;A12taxremlife,A12taxvalue-SUM($F623:T623),IF(A12taxremlife="N/A","n/a",A12taxvalue/A12taxremlife))</f>
        <v>0</v>
      </c>
      <c r="V623" s="592">
        <f>IF(V$3&gt;A12taxremlife,A12taxvalue-SUM($F623:U623),IF(A12taxremlife="N/A","n/a",A12taxvalue/A12taxremlife))</f>
        <v>0</v>
      </c>
      <c r="W623" s="592">
        <f>IF(W$3&gt;A12taxremlife,A12taxvalue-SUM($F623:V623),IF(A12taxremlife="N/A","n/a",A12taxvalue/A12taxremlife))</f>
        <v>0</v>
      </c>
      <c r="X623" s="592">
        <f>IF(X$3&gt;A12taxremlife,A12taxvalue-SUM($F623:W623),IF(A12taxremlife="N/A","n/a",A12taxvalue/A12taxremlife))</f>
        <v>0</v>
      </c>
      <c r="Y623" s="592">
        <f>IF(Y$3&gt;A12taxremlife,A12taxvalue-SUM($F623:X623),IF(A12taxremlife="N/A","n/a",A12taxvalue/A12taxremlife))</f>
        <v>0</v>
      </c>
      <c r="Z623" s="592">
        <f>IF(Z$3&gt;A12taxremlife,A12taxvalue-SUM($F623:Y623),IF(A12taxremlife="N/A","n/a",A12taxvalue/A12taxremlife))</f>
        <v>0</v>
      </c>
      <c r="AA623" s="592">
        <f>IF(AA$3&gt;A12taxremlife,A12taxvalue-SUM($F623:Z623),IF(A12taxremlife="N/A","n/a",A12taxvalue/A12taxremlife))</f>
        <v>0</v>
      </c>
      <c r="AB623" s="592">
        <f>IF(AB$3&gt;A12taxremlife,A12taxvalue-SUM($F623:AA623),IF(A12taxremlife="N/A","n/a",A12taxvalue/A12taxremlife))</f>
        <v>0</v>
      </c>
      <c r="AC623" s="592">
        <f>IF(AC$3&gt;A12taxremlife,A12taxvalue-SUM($F623:AB623),IF(A12taxremlife="N/A","n/a",A12taxvalue/A12taxremlife))</f>
        <v>0</v>
      </c>
      <c r="AD623" s="592">
        <f>IF(AD$3&gt;A12taxremlife,A12taxvalue-SUM($F623:AC623),IF(A12taxremlife="N/A","n/a",A12taxvalue/A12taxremlife))</f>
        <v>0</v>
      </c>
      <c r="AE623" s="592">
        <f>IF(AE$3&gt;A12taxremlife,A12taxvalue-SUM($F623:AD623),IF(A12taxremlife="N/A","n/a",A12taxvalue/A12taxremlife))</f>
        <v>0</v>
      </c>
      <c r="AF623" s="592">
        <f>IF(AF$3&gt;A12taxremlife,A12taxvalue-SUM($F623:AE623),IF(A12taxremlife="N/A","n/a",A12taxvalue/A12taxremlife))</f>
        <v>0</v>
      </c>
      <c r="AG623" s="592">
        <f>IF(AG$3&gt;A12taxremlife,A12taxvalue-SUM($F623:AF623),IF(A12taxremlife="N/A","n/a",A12taxvalue/A12taxremlife))</f>
        <v>0</v>
      </c>
      <c r="AH623" s="592">
        <f>IF(AH$3&gt;A12taxremlife,A12taxvalue-SUM($F623:AG623),IF(A12taxremlife="N/A","n/a",A12taxvalue/A12taxremlife))</f>
        <v>0</v>
      </c>
      <c r="AI623" s="592">
        <f>IF(AI$3&gt;A12taxremlife,A12taxvalue-SUM($F623:AH623),IF(A12taxremlife="N/A","n/a",A12taxvalue/A12taxremlife))</f>
        <v>0</v>
      </c>
      <c r="AJ623" s="592">
        <f>IF(AJ$3&gt;A12taxremlife,A12taxvalue-SUM($F623:AI623),IF(A12taxremlife="N/A","n/a",A12taxvalue/A12taxremlife))</f>
        <v>0</v>
      </c>
      <c r="AK623" s="592">
        <f>IF(AK$3&gt;A12taxremlife,A12taxvalue-SUM($F623:AJ623),IF(A12taxremlife="N/A","n/a",A12taxvalue/A12taxremlife))</f>
        <v>0</v>
      </c>
      <c r="AL623" s="592">
        <f>IF(AL$3&gt;A12taxremlife,A12taxvalue-SUM($F623:AK623),IF(A12taxremlife="N/A","n/a",A12taxvalue/A12taxremlife))</f>
        <v>0</v>
      </c>
      <c r="AM623" s="592">
        <f>IF(AM$3&gt;A12taxremlife,A12taxvalue-SUM($F623:AL623),IF(A12taxremlife="N/A","n/a",A12taxvalue/A12taxremlife))</f>
        <v>0</v>
      </c>
      <c r="AN623" s="592">
        <f>IF(AN$3&gt;A12taxremlife,A12taxvalue-SUM($F623:AM623),IF(A12taxremlife="N/A","n/a",A12taxvalue/A12taxremlife))</f>
        <v>0</v>
      </c>
      <c r="AO623" s="592">
        <f>IF(AO$3&gt;A12taxremlife,A12taxvalue-SUM($F623:AN623),IF(A12taxremlife="N/A","n/a",A12taxvalue/A12taxremlife))</f>
        <v>0</v>
      </c>
      <c r="AP623" s="592">
        <f>IF(AP$3&gt;A12taxremlife,A12taxvalue-SUM($F623:AO623),IF(A12taxremlife="N/A","n/a",A12taxvalue/A12taxremlife))</f>
        <v>0</v>
      </c>
      <c r="AQ623" s="592">
        <f>IF(AQ$3&gt;A12taxremlife,A12taxvalue-SUM($F623:AP623),IF(A12taxremlife="N/A","n/a",A12taxvalue/A12taxremlife))</f>
        <v>0</v>
      </c>
      <c r="AR623" s="592">
        <f>IF(AR$3&gt;A12taxremlife,A12taxvalue-SUM($F623:AQ623),IF(A12taxremlife="N/A","n/a",A12taxvalue/A12taxremlife))</f>
        <v>0</v>
      </c>
      <c r="AS623" s="592">
        <f>IF(AS$3&gt;A12taxremlife,A12taxvalue-SUM($F623:AR623),IF(A12taxremlife="N/A","n/a",A12taxvalue/A12taxremlife))</f>
        <v>0</v>
      </c>
      <c r="AT623" s="592">
        <f>IF(AT$3&gt;A12taxremlife,A12taxvalue-SUM($F623:AS623),IF(A12taxremlife="N/A","n/a",A12taxvalue/A12taxremlife))</f>
        <v>0</v>
      </c>
      <c r="AU623" s="592">
        <f>IF(AU$3&gt;A12taxremlife,A12taxvalue-SUM($F623:AT623),IF(A12taxremlife="N/A","n/a",A12taxvalue/A12taxremlife))</f>
        <v>0</v>
      </c>
      <c r="AV623" s="592">
        <f>IF(AV$3&gt;A12taxremlife,A12taxvalue-SUM($F623:AU623),IF(A12taxremlife="N/A","n/a",A12taxvalue/A12taxremlife))</f>
        <v>0</v>
      </c>
      <c r="AW623" s="592">
        <f>IF(AW$3&gt;A12taxremlife,A12taxvalue-SUM($F623:AV623),IF(A12taxremlife="N/A","n/a",A12taxvalue/A12taxremlife))</f>
        <v>0</v>
      </c>
      <c r="AX623" s="592">
        <f>IF(AX$3&gt;A12taxremlife,A12taxvalue-SUM($F623:AW623),IF(A12taxremlife="N/A","n/a",A12taxvalue/A12taxremlife))</f>
        <v>0</v>
      </c>
      <c r="AY623" s="592">
        <f>IF(AY$3&gt;A12taxremlife,A12taxvalue-SUM($F623:AX623),IF(A12taxremlife="N/A","n/a",A12taxvalue/A12taxremlife))</f>
        <v>0</v>
      </c>
      <c r="AZ623" s="592">
        <f>IF(AZ$3&gt;A12taxremlife,A12taxvalue-SUM($F623:AY623),IF(A12taxremlife="N/A","n/a",A12taxvalue/A12taxremlife))</f>
        <v>0</v>
      </c>
      <c r="BA623" s="592">
        <f>IF(BA$3&gt;A12taxremlife,A12taxvalue-SUM($F623:AZ623),IF(A12taxremlife="N/A","n/a",A12taxvalue/A12taxremlife))</f>
        <v>0</v>
      </c>
      <c r="BB623" s="592">
        <f>IF(BB$3&gt;A12taxremlife,A12taxvalue-SUM($F623:BA623),IF(A12taxremlife="N/A","n/a",A12taxvalue/A12taxremlife))</f>
        <v>0</v>
      </c>
      <c r="BC623" s="592">
        <f>IF(BC$3&gt;A12taxremlife,A12taxvalue-SUM($F623:BB623),IF(A12taxremlife="N/A","n/a",A12taxvalue/A12taxremlife))</f>
        <v>0</v>
      </c>
      <c r="BD623" s="592">
        <f>IF(BD$3&gt;A12taxremlife,A12taxvalue-SUM($F623:BC623),IF(A12taxremlife="N/A","n/a",A12taxvalue/A12taxremlife))</f>
        <v>0</v>
      </c>
      <c r="BE623" s="592">
        <f>IF(BE$3&gt;A12taxremlife,A12taxvalue-SUM($F623:BD623),IF(A12taxremlife="N/A","n/a",A12taxvalue/A12taxremlife))</f>
        <v>0</v>
      </c>
      <c r="BF623" s="592">
        <f>IF(BF$3&gt;A12taxremlife,A12taxvalue-SUM($F623:BE623),IF(A12taxremlife="N/A","n/a",A12taxvalue/A12taxremlife))</f>
        <v>0</v>
      </c>
      <c r="BG623" s="592">
        <f>IF(BG$3&gt;A12taxremlife,A12taxvalue-SUM($F623:BF623),IF(A12taxremlife="N/A","n/a",A12taxvalue/A12taxremlife))</f>
        <v>0</v>
      </c>
      <c r="BH623" s="592">
        <f>IF(BH$3&gt;A12taxremlife,A12taxvalue-SUM($F623:BG623),IF(A12taxremlife="N/A","n/a",A12taxvalue/A12taxremlife))</f>
        <v>0</v>
      </c>
      <c r="BI623" s="592">
        <f>IF(BI$3&gt;A12taxremlife,A12taxvalue-SUM($F623:BH623),IF(A12taxremlife="N/A","n/a",A12taxvalue/A12taxremlife))</f>
        <v>0</v>
      </c>
      <c r="BJ623" s="240"/>
      <c r="BK623" s="240"/>
      <c r="BL623" s="240"/>
      <c r="BM623" s="240"/>
    </row>
    <row r="624" spans="1:65" s="4" customFormat="1" ht="12.75" hidden="1" customHeight="1" outlineLevel="2">
      <c r="A624" s="240"/>
      <c r="B624" s="240"/>
      <c r="C624" s="595"/>
      <c r="D624" s="1618" t="s">
        <v>357</v>
      </c>
      <c r="E624" s="169">
        <v>0</v>
      </c>
      <c r="F624" s="35"/>
      <c r="G624" s="107"/>
      <c r="H624" s="107"/>
      <c r="I624" s="107"/>
      <c r="J624" s="107"/>
      <c r="K624" s="107"/>
      <c r="L624" s="107"/>
      <c r="M624" s="107"/>
      <c r="N624" s="107"/>
      <c r="O624" s="107"/>
      <c r="P624" s="107"/>
      <c r="Q624" s="590"/>
      <c r="R624" s="590"/>
      <c r="S624" s="590"/>
      <c r="T624" s="590"/>
      <c r="U624" s="590"/>
      <c r="V624" s="590"/>
      <c r="W624" s="590"/>
      <c r="X624" s="590"/>
      <c r="Y624" s="590"/>
      <c r="Z624" s="590"/>
      <c r="AA624" s="590"/>
      <c r="AB624" s="590"/>
      <c r="AC624" s="590"/>
      <c r="AD624" s="590"/>
      <c r="AE624" s="590"/>
      <c r="AF624" s="590"/>
      <c r="AG624" s="590"/>
      <c r="AH624" s="590"/>
      <c r="AI624" s="590"/>
      <c r="AJ624" s="590"/>
      <c r="AK624" s="590"/>
      <c r="AL624" s="590"/>
      <c r="AM624" s="590"/>
      <c r="AN624" s="590"/>
      <c r="AO624" s="590"/>
      <c r="AP624" s="590"/>
      <c r="AQ624" s="590"/>
      <c r="AR624" s="590"/>
      <c r="AS624" s="590"/>
      <c r="AT624" s="590"/>
      <c r="AU624" s="590"/>
      <c r="AV624" s="590"/>
      <c r="AW624" s="590"/>
      <c r="AX624" s="590"/>
      <c r="AY624" s="590"/>
      <c r="AZ624" s="590"/>
      <c r="BA624" s="590"/>
      <c r="BB624" s="590"/>
      <c r="BC624" s="590"/>
      <c r="BD624" s="590"/>
      <c r="BE624" s="590"/>
      <c r="BF624" s="590"/>
      <c r="BG624" s="590"/>
      <c r="BH624" s="590"/>
      <c r="BI624" s="590"/>
      <c r="BJ624" s="240"/>
      <c r="BK624" s="240"/>
      <c r="BL624" s="240"/>
      <c r="BM624" s="240"/>
    </row>
    <row r="625" spans="1:65" s="4" customFormat="1" hidden="1" outlineLevel="2">
      <c r="A625" s="240"/>
      <c r="B625" s="240"/>
      <c r="C625" s="595"/>
      <c r="D625" s="1618"/>
      <c r="E625" s="169">
        <v>1</v>
      </c>
      <c r="F625" s="35"/>
      <c r="G625" s="183"/>
      <c r="H625" s="107">
        <f>IF(A12taxstdlife="n/a","n/a",IF(H$3&gt;(A12taxstdlife+$E625),(('PTRM input'!$G$154+'PTRM input'!$G$120)*$G$7)-SUM($G625:G625),(('PTRM input'!$G$154+'PTRM input'!$G$120)*$G$7)/A12taxstdlife))</f>
        <v>0</v>
      </c>
      <c r="I625" s="107">
        <f>IF(A12taxstdlife="n/a","n/a",IF(I$3&gt;(A12taxstdlife+$E625),(('PTRM input'!$G$154+'PTRM input'!$G$120)*$G$7)-SUM($G625:H625),(('PTRM input'!$G$154+'PTRM input'!$G$120)*$G$7)/A12taxstdlife))</f>
        <v>0</v>
      </c>
      <c r="J625" s="107">
        <f>IF(A12taxstdlife="n/a","n/a",IF(J$3&gt;(A12taxstdlife+$E625),(('PTRM input'!$G$154+'PTRM input'!$G$120)*$G$7)-SUM($G625:I625),(('PTRM input'!$G$154+'PTRM input'!$G$120)*$G$7)/A12taxstdlife))</f>
        <v>0</v>
      </c>
      <c r="K625" s="107">
        <f>IF(A12taxstdlife="n/a","n/a",IF(K$3&gt;(A12taxstdlife+$E625),(('PTRM input'!$G$154+'PTRM input'!$G$120)*$G$7)-SUM($G625:J625),(('PTRM input'!$G$154+'PTRM input'!$G$120)*$G$7)/A12taxstdlife))</f>
        <v>0</v>
      </c>
      <c r="L625" s="107">
        <f>IF(A12taxstdlife="n/a","n/a",IF(L$3&gt;(A12taxstdlife+$E625),(('PTRM input'!$G$154+'PTRM input'!$G$120)*$G$7)-SUM($G625:K625),(('PTRM input'!$G$154+'PTRM input'!$G$120)*$G$7)/A12taxstdlife))</f>
        <v>0</v>
      </c>
      <c r="M625" s="107">
        <f>IF(A12taxstdlife="n/a","n/a",IF(M$3&gt;(A12taxstdlife+$E625),(('PTRM input'!$G$154+'PTRM input'!$G$120)*$G$7)-SUM($G625:L625),(('PTRM input'!$G$154+'PTRM input'!$G$120)*$G$7)/A12taxstdlife))</f>
        <v>0</v>
      </c>
      <c r="N625" s="107">
        <f>IF(A12taxstdlife="n/a","n/a",IF(N$3&gt;(A12taxstdlife+$E625),(('PTRM input'!$G$154+'PTRM input'!$G$120)*$G$7)-SUM($G625:M625),(('PTRM input'!$G$154+'PTRM input'!$G$120)*$G$7)/A12taxstdlife))</f>
        <v>0</v>
      </c>
      <c r="O625" s="107">
        <f>IF(A12taxstdlife="n/a","n/a",IF(O$3&gt;(A12taxstdlife+$E625),(('PTRM input'!$G$154+'PTRM input'!$G$120)*$G$7)-SUM($G625:N625),(('PTRM input'!$G$154+'PTRM input'!$G$120)*$G$7)/A12taxstdlife))</f>
        <v>0</v>
      </c>
      <c r="P625" s="107">
        <f>IF(A12taxstdlife="n/a","n/a",IF(P$3&gt;(A12taxstdlife+$E625),(('PTRM input'!$G$154+'PTRM input'!$G$120)*$G$7)-SUM($G625:O625),(('PTRM input'!$G$154+'PTRM input'!$G$120)*$G$7)/A12taxstdlife))</f>
        <v>0</v>
      </c>
      <c r="Q625" s="590">
        <f>IF(A12taxstdlife="n/a","n/a",IF(Q$3&gt;(A12taxstdlife+$E625),(('PTRM input'!$G$154+'PTRM input'!$G$120)*$G$7)-SUM($G625:P625),(('PTRM input'!$G$154+'PTRM input'!$G$120)*$G$7)/A12taxstdlife))</f>
        <v>0</v>
      </c>
      <c r="R625" s="590">
        <f>IF(A12taxstdlife="n/a","n/a",IF(R$3&gt;(A12taxstdlife+$E625),(('PTRM input'!$G$154+'PTRM input'!$G$120)*$G$7)-SUM($G625:Q625),(('PTRM input'!$G$154+'PTRM input'!$G$120)*$G$7)/A12taxstdlife))</f>
        <v>0</v>
      </c>
      <c r="S625" s="590">
        <f>IF(A12taxstdlife="n/a","n/a",IF(S$3&gt;(A12taxstdlife+$E625),(('PTRM input'!$G$154+'PTRM input'!$G$120)*$G$7)-SUM($G625:R625),(('PTRM input'!$G$154+'PTRM input'!$G$120)*$G$7)/A12taxstdlife))</f>
        <v>0</v>
      </c>
      <c r="T625" s="590">
        <f>IF(A12taxstdlife="n/a","n/a",IF(T$3&gt;(A12taxstdlife+$E625),(('PTRM input'!$G$154+'PTRM input'!$G$120)*$G$7)-SUM($G625:S625),(('PTRM input'!$G$154+'PTRM input'!$G$120)*$G$7)/A12taxstdlife))</f>
        <v>0</v>
      </c>
      <c r="U625" s="590">
        <f>IF(A12taxstdlife="n/a","n/a",IF(U$3&gt;(A12taxstdlife+$E625),(('PTRM input'!$G$154+'PTRM input'!$G$120)*$G$7)-SUM($G625:T625),(('PTRM input'!$G$154+'PTRM input'!$G$120)*$G$7)/A12taxstdlife))</f>
        <v>0</v>
      </c>
      <c r="V625" s="590">
        <f>IF(A12taxstdlife="n/a","n/a",IF(V$3&gt;(A12taxstdlife+$E625),(('PTRM input'!$G$154+'PTRM input'!$G$120)*$G$7)-SUM($G625:U625),(('PTRM input'!$G$154+'PTRM input'!$G$120)*$G$7)/A12taxstdlife))</f>
        <v>0</v>
      </c>
      <c r="W625" s="590">
        <f>IF(A12taxstdlife="n/a","n/a",IF(W$3&gt;(A12taxstdlife+$E625),(('PTRM input'!$G$154+'PTRM input'!$G$120)*$G$7)-SUM($G625:V625),(('PTRM input'!$G$154+'PTRM input'!$G$120)*$G$7)/A12taxstdlife))</f>
        <v>0</v>
      </c>
      <c r="X625" s="590">
        <f>IF(A12taxstdlife="n/a","n/a",IF(X$3&gt;(A12taxstdlife+$E625),(('PTRM input'!$G$154+'PTRM input'!$G$120)*$G$7)-SUM($G625:W625),(('PTRM input'!$G$154+'PTRM input'!$G$120)*$G$7)/A12taxstdlife))</f>
        <v>0</v>
      </c>
      <c r="Y625" s="590">
        <f>IF(A12taxstdlife="n/a","n/a",IF(Y$3&gt;(A12taxstdlife+$E625),(('PTRM input'!$G$154+'PTRM input'!$G$120)*$G$7)-SUM($G625:X625),(('PTRM input'!$G$154+'PTRM input'!$G$120)*$G$7)/A12taxstdlife))</f>
        <v>0</v>
      </c>
      <c r="Z625" s="590">
        <f>IF(A12taxstdlife="n/a","n/a",IF(Z$3&gt;(A12taxstdlife+$E625),(('PTRM input'!$G$154+'PTRM input'!$G$120)*$G$7)-SUM($G625:Y625),(('PTRM input'!$G$154+'PTRM input'!$G$120)*$G$7)/A12taxstdlife))</f>
        <v>0</v>
      </c>
      <c r="AA625" s="590">
        <f>IF(A12taxstdlife="n/a","n/a",IF(AA$3&gt;(A12taxstdlife+$E625),(('PTRM input'!$G$154+'PTRM input'!$G$120)*$G$7)-SUM($G625:Z625),(('PTRM input'!$G$154+'PTRM input'!$G$120)*$G$7)/A12taxstdlife))</f>
        <v>0</v>
      </c>
      <c r="AB625" s="590">
        <f>IF(A12taxstdlife="n/a","n/a",IF(AB$3&gt;(A12taxstdlife+$E625),(('PTRM input'!$G$154+'PTRM input'!$G$120)*$G$7)-SUM($G625:AA625),(('PTRM input'!$G$154+'PTRM input'!$G$120)*$G$7)/A12taxstdlife))</f>
        <v>0</v>
      </c>
      <c r="AC625" s="590">
        <f>IF(A12taxstdlife="n/a","n/a",IF(AC$3&gt;(A12taxstdlife+$E625),(('PTRM input'!$G$154+'PTRM input'!$G$120)*$G$7)-SUM($G625:AB625),(('PTRM input'!$G$154+'PTRM input'!$G$120)*$G$7)/A12taxstdlife))</f>
        <v>0</v>
      </c>
      <c r="AD625" s="590">
        <f>IF(A12taxstdlife="n/a","n/a",IF(AD$3&gt;(A12taxstdlife+$E625),(('PTRM input'!$G$154+'PTRM input'!$G$120)*$G$7)-SUM($G625:AC625),(('PTRM input'!$G$154+'PTRM input'!$G$120)*$G$7)/A12taxstdlife))</f>
        <v>0</v>
      </c>
      <c r="AE625" s="590">
        <f>IF(A12taxstdlife="n/a","n/a",IF(AE$3&gt;(A12taxstdlife+$E625),(('PTRM input'!$G$154+'PTRM input'!$G$120)*$G$7)-SUM($G625:AD625),(('PTRM input'!$G$154+'PTRM input'!$G$120)*$G$7)/A12taxstdlife))</f>
        <v>0</v>
      </c>
      <c r="AF625" s="590">
        <f>IF(A12taxstdlife="n/a","n/a",IF(AF$3&gt;(A12taxstdlife+$E625),(('PTRM input'!$G$154+'PTRM input'!$G$120)*$G$7)-SUM($G625:AE625),(('PTRM input'!$G$154+'PTRM input'!$G$120)*$G$7)/A12taxstdlife))</f>
        <v>0</v>
      </c>
      <c r="AG625" s="590">
        <f>IF(A12taxstdlife="n/a","n/a",IF(AG$3&gt;(A12taxstdlife+$E625),(('PTRM input'!$G$154+'PTRM input'!$G$120)*$G$7)-SUM($G625:AF625),(('PTRM input'!$G$154+'PTRM input'!$G$120)*$G$7)/A12taxstdlife))</f>
        <v>0</v>
      </c>
      <c r="AH625" s="590">
        <f>IF(A12taxstdlife="n/a","n/a",IF(AH$3&gt;(A12taxstdlife+$E625),(('PTRM input'!$G$154+'PTRM input'!$G$120)*$G$7)-SUM($G625:AG625),(('PTRM input'!$G$154+'PTRM input'!$G$120)*$G$7)/A12taxstdlife))</f>
        <v>0</v>
      </c>
      <c r="AI625" s="590">
        <f>IF(A12taxstdlife="n/a","n/a",IF(AI$3&gt;(A12taxstdlife+$E625),(('PTRM input'!$G$154+'PTRM input'!$G$120)*$G$7)-SUM($G625:AH625),(('PTRM input'!$G$154+'PTRM input'!$G$120)*$G$7)/A12taxstdlife))</f>
        <v>0</v>
      </c>
      <c r="AJ625" s="590">
        <f>IF(A12taxstdlife="n/a","n/a",IF(AJ$3&gt;(A12taxstdlife+$E625),(('PTRM input'!$G$154+'PTRM input'!$G$120)*$G$7)-SUM($G625:AI625),(('PTRM input'!$G$154+'PTRM input'!$G$120)*$G$7)/A12taxstdlife))</f>
        <v>0</v>
      </c>
      <c r="AK625" s="590">
        <f>IF(A12taxstdlife="n/a","n/a",IF(AK$3&gt;(A12taxstdlife+$E625),(('PTRM input'!$G$154+'PTRM input'!$G$120)*$G$7)-SUM($G625:AJ625),(('PTRM input'!$G$154+'PTRM input'!$G$120)*$G$7)/A12taxstdlife))</f>
        <v>0</v>
      </c>
      <c r="AL625" s="590">
        <f>IF(A12taxstdlife="n/a","n/a",IF(AL$3&gt;(A12taxstdlife+$E625),(('PTRM input'!$G$154+'PTRM input'!$G$120)*$G$7)-SUM($G625:AK625),(('PTRM input'!$G$154+'PTRM input'!$G$120)*$G$7)/A12taxstdlife))</f>
        <v>0</v>
      </c>
      <c r="AM625" s="590">
        <f>IF(A12taxstdlife="n/a","n/a",IF(AM$3&gt;(A12taxstdlife+$E625),(('PTRM input'!$G$154+'PTRM input'!$G$120)*$G$7)-SUM($G625:AL625),(('PTRM input'!$G$154+'PTRM input'!$G$120)*$G$7)/A12taxstdlife))</f>
        <v>0</v>
      </c>
      <c r="AN625" s="590">
        <f>IF(A12taxstdlife="n/a","n/a",IF(AN$3&gt;(A12taxstdlife+$E625),(('PTRM input'!$G$154+'PTRM input'!$G$120)*$G$7)-SUM($G625:AM625),(('PTRM input'!$G$154+'PTRM input'!$G$120)*$G$7)/A12taxstdlife))</f>
        <v>0</v>
      </c>
      <c r="AO625" s="590">
        <f>IF(A12taxstdlife="n/a","n/a",IF(AO$3&gt;(A12taxstdlife+$E625),(('PTRM input'!$G$154+'PTRM input'!$G$120)*$G$7)-SUM($G625:AN625),(('PTRM input'!$G$154+'PTRM input'!$G$120)*$G$7)/A12taxstdlife))</f>
        <v>0</v>
      </c>
      <c r="AP625" s="590">
        <f>IF(A12taxstdlife="n/a","n/a",IF(AP$3&gt;(A12taxstdlife+$E625),(('PTRM input'!$G$154+'PTRM input'!$G$120)*$G$7)-SUM($G625:AO625),(('PTRM input'!$G$154+'PTRM input'!$G$120)*$G$7)/A12taxstdlife))</f>
        <v>0</v>
      </c>
      <c r="AQ625" s="590">
        <f>IF(A12taxstdlife="n/a","n/a",IF(AQ$3&gt;(A12taxstdlife+$E625),(('PTRM input'!$G$154+'PTRM input'!$G$120)*$G$7)-SUM($G625:AP625),(('PTRM input'!$G$154+'PTRM input'!$G$120)*$G$7)/A12taxstdlife))</f>
        <v>0</v>
      </c>
      <c r="AR625" s="590">
        <f>IF(A12taxstdlife="n/a","n/a",IF(AR$3&gt;(A12taxstdlife+$E625),(('PTRM input'!$G$154+'PTRM input'!$G$120)*$G$7)-SUM($G625:AQ625),(('PTRM input'!$G$154+'PTRM input'!$G$120)*$G$7)/A12taxstdlife))</f>
        <v>0</v>
      </c>
      <c r="AS625" s="590">
        <f>IF(A12taxstdlife="n/a","n/a",IF(AS$3&gt;(A12taxstdlife+$E625),(('PTRM input'!$G$154+'PTRM input'!$G$120)*$G$7)-SUM($G625:AR625),(('PTRM input'!$G$154+'PTRM input'!$G$120)*$G$7)/A12taxstdlife))</f>
        <v>0</v>
      </c>
      <c r="AT625" s="590">
        <f>IF(A12taxstdlife="n/a","n/a",IF(AT$3&gt;(A12taxstdlife+$E625),(('PTRM input'!$G$154+'PTRM input'!$G$120)*$G$7)-SUM($G625:AS625),(('PTRM input'!$G$154+'PTRM input'!$G$120)*$G$7)/A12taxstdlife))</f>
        <v>0</v>
      </c>
      <c r="AU625" s="590">
        <f>IF(A12taxstdlife="n/a","n/a",IF(AU$3&gt;(A12taxstdlife+$E625),(('PTRM input'!$G$154+'PTRM input'!$G$120)*$G$7)-SUM($G625:AT625),(('PTRM input'!$G$154+'PTRM input'!$G$120)*$G$7)/A12taxstdlife))</f>
        <v>0</v>
      </c>
      <c r="AV625" s="590">
        <f>IF(A12taxstdlife="n/a","n/a",IF(AV$3&gt;(A12taxstdlife+$E625),(('PTRM input'!$G$154+'PTRM input'!$G$120)*$G$7)-SUM($G625:AU625),(('PTRM input'!$G$154+'PTRM input'!$G$120)*$G$7)/A12taxstdlife))</f>
        <v>0</v>
      </c>
      <c r="AW625" s="590">
        <f>IF(A12taxstdlife="n/a","n/a",IF(AW$3&gt;(A12taxstdlife+$E625),(('PTRM input'!$G$154+'PTRM input'!$G$120)*$G$7)-SUM($G625:AV625),(('PTRM input'!$G$154+'PTRM input'!$G$120)*$G$7)/A12taxstdlife))</f>
        <v>0</v>
      </c>
      <c r="AX625" s="590">
        <f>IF(A12taxstdlife="n/a","n/a",IF(AX$3&gt;(A12taxstdlife+$E625),(('PTRM input'!$G$154+'PTRM input'!$G$120)*$G$7)-SUM($G625:AW625),(('PTRM input'!$G$154+'PTRM input'!$G$120)*$G$7)/A12taxstdlife))</f>
        <v>0</v>
      </c>
      <c r="AY625" s="590">
        <f>IF(A12taxstdlife="n/a","n/a",IF(AY$3&gt;(A12taxstdlife+$E625),(('PTRM input'!$G$154+'PTRM input'!$G$120)*$G$7)-SUM($G625:AX625),(('PTRM input'!$G$154+'PTRM input'!$G$120)*$G$7)/A12taxstdlife))</f>
        <v>0</v>
      </c>
      <c r="AZ625" s="590">
        <f>IF(A12taxstdlife="n/a","n/a",IF(AZ$3&gt;(A12taxstdlife+$E625),(('PTRM input'!$G$154+'PTRM input'!$G$120)*$G$7)-SUM($G625:AY625),(('PTRM input'!$G$154+'PTRM input'!$G$120)*$G$7)/A12taxstdlife))</f>
        <v>0</v>
      </c>
      <c r="BA625" s="590">
        <f>IF(A12taxstdlife="n/a","n/a",IF(BA$3&gt;(A12taxstdlife+$E625),(('PTRM input'!$G$154+'PTRM input'!$G$120)*$G$7)-SUM($G625:AZ625),(('PTRM input'!$G$154+'PTRM input'!$G$120)*$G$7)/A12taxstdlife))</f>
        <v>0</v>
      </c>
      <c r="BB625" s="590">
        <f>IF(A12taxstdlife="n/a","n/a",IF(BB$3&gt;(A12taxstdlife+$E625),(('PTRM input'!$G$154+'PTRM input'!$G$120)*$G$7)-SUM($G625:BA625),(('PTRM input'!$G$154+'PTRM input'!$G$120)*$G$7)/A12taxstdlife))</f>
        <v>0</v>
      </c>
      <c r="BC625" s="590">
        <f>IF(A12taxstdlife="n/a","n/a",IF(BC$3&gt;(A12taxstdlife+$E625),(('PTRM input'!$G$154+'PTRM input'!$G$120)*$G$7)-SUM($G625:BB625),(('PTRM input'!$G$154+'PTRM input'!$G$120)*$G$7)/A12taxstdlife))</f>
        <v>0</v>
      </c>
      <c r="BD625" s="590">
        <f>IF(A12taxstdlife="n/a","n/a",IF(BD$3&gt;(A12taxstdlife+$E625),(('PTRM input'!$G$154+'PTRM input'!$G$120)*$G$7)-SUM($G625:BC625),(('PTRM input'!$G$154+'PTRM input'!$G$120)*$G$7)/A12taxstdlife))</f>
        <v>0</v>
      </c>
      <c r="BE625" s="590">
        <f>IF(A12taxstdlife="n/a","n/a",IF(BE$3&gt;(A12taxstdlife+$E625),(('PTRM input'!$G$154+'PTRM input'!$G$120)*$G$7)-SUM($G625:BD625),(('PTRM input'!$G$154+'PTRM input'!$G$120)*$G$7)/A12taxstdlife))</f>
        <v>0</v>
      </c>
      <c r="BF625" s="590">
        <f>IF(A12taxstdlife="n/a","n/a",IF(BF$3&gt;(A12taxstdlife+$E625),(('PTRM input'!$G$154+'PTRM input'!$G$120)*$G$7)-SUM($G625:BE625),(('PTRM input'!$G$154+'PTRM input'!$G$120)*$G$7)/A12taxstdlife))</f>
        <v>0</v>
      </c>
      <c r="BG625" s="590">
        <f>IF(A12taxstdlife="n/a","n/a",IF(BG$3&gt;(A12taxstdlife+$E625),(('PTRM input'!$G$154+'PTRM input'!$G$120)*$G$7)-SUM($G625:BF625),(('PTRM input'!$G$154+'PTRM input'!$G$120)*$G$7)/A12taxstdlife))</f>
        <v>0</v>
      </c>
      <c r="BH625" s="590">
        <f>IF(A12taxstdlife="n/a","n/a",IF(BH$3&gt;(A12taxstdlife+$E625),(('PTRM input'!$G$154+'PTRM input'!$G$120)*$G$7)-SUM($G625:BG625),(('PTRM input'!$G$154+'PTRM input'!$G$120)*$G$7)/A12taxstdlife))</f>
        <v>0</v>
      </c>
      <c r="BI625" s="590">
        <f>IF(A12taxstdlife="n/a","n/a",IF(BI$3&gt;(A12taxstdlife+$E625),(('PTRM input'!$G$154+'PTRM input'!$G$120)*$G$7)-SUM($G625:BH625),(('PTRM input'!$G$154+'PTRM input'!$G$120)*$G$7)/A12taxstdlife))</f>
        <v>0</v>
      </c>
      <c r="BJ625" s="240"/>
      <c r="BK625" s="240"/>
      <c r="BL625" s="240"/>
      <c r="BM625" s="240"/>
    </row>
    <row r="626" spans="1:65" s="4" customFormat="1" hidden="1" outlineLevel="2">
      <c r="A626" s="240"/>
      <c r="B626" s="240"/>
      <c r="C626" s="595"/>
      <c r="D626" s="1618"/>
      <c r="E626" s="169">
        <v>2</v>
      </c>
      <c r="F626" s="35"/>
      <c r="G626" s="184"/>
      <c r="H626" s="185"/>
      <c r="I626" s="107">
        <f>IF(A12taxstdlife="n/a","n/a",IF(I$3&gt;(A12taxstdlife+$E626),(('PTRM input'!$H$154+'PTRM input'!$H$120)*$H$7)-SUM($H626:H626),(('PTRM input'!$H$154+'PTRM input'!$H$120)*$H$7)/A12taxstdlife))</f>
        <v>0</v>
      </c>
      <c r="J626" s="107">
        <f>IF(A12taxstdlife="n/a","n/a",IF(J$3&gt;(A12taxstdlife+$E626),(('PTRM input'!$H$154+'PTRM input'!$H$120)*$H$7)-SUM($H626:I626),(('PTRM input'!$H$154+'PTRM input'!$H$120)*$H$7)/A12taxstdlife))</f>
        <v>0</v>
      </c>
      <c r="K626" s="107">
        <f>IF(A12taxstdlife="n/a","n/a",IF(K$3&gt;(A12taxstdlife+$E626),(('PTRM input'!$H$154+'PTRM input'!$H$120)*$H$7)-SUM($H626:J626),(('PTRM input'!$H$154+'PTRM input'!$H$120)*$H$7)/A12taxstdlife))</f>
        <v>0</v>
      </c>
      <c r="L626" s="107">
        <f>IF(A12taxstdlife="n/a","n/a",IF(L$3&gt;(A12taxstdlife+$E626),(('PTRM input'!$H$154+'PTRM input'!$H$120)*$H$7)-SUM($H626:K626),(('PTRM input'!$H$154+'PTRM input'!$H$120)*$H$7)/A12taxstdlife))</f>
        <v>0</v>
      </c>
      <c r="M626" s="107">
        <f>IF(A12taxstdlife="n/a","n/a",IF(M$3&gt;(A12taxstdlife+$E626),(('PTRM input'!$H$154+'PTRM input'!$H$120)*$H$7)-SUM($H626:L626),(('PTRM input'!$H$154+'PTRM input'!$H$120)*$H$7)/A12taxstdlife))</f>
        <v>0</v>
      </c>
      <c r="N626" s="107">
        <f>IF(A12taxstdlife="n/a","n/a",IF(N$3&gt;(A12taxstdlife+$E626),(('PTRM input'!$H$154+'PTRM input'!$H$120)*$H$7)-SUM($H626:M626),(('PTRM input'!$H$154+'PTRM input'!$H$120)*$H$7)/A12taxstdlife))</f>
        <v>0</v>
      </c>
      <c r="O626" s="107">
        <f>IF(A12taxstdlife="n/a","n/a",IF(O$3&gt;(A12taxstdlife+$E626),(('PTRM input'!$H$154+'PTRM input'!$H$120)*$H$7)-SUM($H626:N626),(('PTRM input'!$H$154+'PTRM input'!$H$120)*$H$7)/A12taxstdlife))</f>
        <v>0</v>
      </c>
      <c r="P626" s="107">
        <f>IF(A12taxstdlife="n/a","n/a",IF(P$3&gt;(A12taxstdlife+$E626),(('PTRM input'!$H$154+'PTRM input'!$H$120)*$H$7)-SUM($H626:O626),(('PTRM input'!$H$154+'PTRM input'!$H$120)*$H$7)/A12taxstdlife))</f>
        <v>0</v>
      </c>
      <c r="Q626" s="590">
        <f>IF(A12taxstdlife="n/a","n/a",IF(Q$3&gt;(A12taxstdlife+$E626),(('PTRM input'!$H$154+'PTRM input'!$H$120)*$H$7)-SUM($H626:P626),(('PTRM input'!$H$154+'PTRM input'!$H$120)*$H$7)/A12taxstdlife))</f>
        <v>0</v>
      </c>
      <c r="R626" s="590">
        <f>IF(A12taxstdlife="n/a","n/a",IF(R$3&gt;(A12taxstdlife+$E626),(('PTRM input'!$H$154+'PTRM input'!$H$120)*$H$7)-SUM($H626:Q626),(('PTRM input'!$H$154+'PTRM input'!$H$120)*$H$7)/A12taxstdlife))</f>
        <v>0</v>
      </c>
      <c r="S626" s="590">
        <f>IF(A12taxstdlife="n/a","n/a",IF(S$3&gt;(A12taxstdlife+$E626),(('PTRM input'!$H$154+'PTRM input'!$H$120)*$H$7)-SUM($H626:R626),(('PTRM input'!$H$154+'PTRM input'!$H$120)*$H$7)/A12taxstdlife))</f>
        <v>0</v>
      </c>
      <c r="T626" s="590">
        <f>IF(A12taxstdlife="n/a","n/a",IF(T$3&gt;(A12taxstdlife+$E626),(('PTRM input'!$H$154+'PTRM input'!$H$120)*$H$7)-SUM($H626:S626),(('PTRM input'!$H$154+'PTRM input'!$H$120)*$H$7)/A12taxstdlife))</f>
        <v>0</v>
      </c>
      <c r="U626" s="590">
        <f>IF(A12taxstdlife="n/a","n/a",IF(U$3&gt;(A12taxstdlife+$E626),(('PTRM input'!$H$154+'PTRM input'!$H$120)*$H$7)-SUM($H626:T626),(('PTRM input'!$H$154+'PTRM input'!$H$120)*$H$7)/A12taxstdlife))</f>
        <v>0</v>
      </c>
      <c r="V626" s="590">
        <f>IF(A12taxstdlife="n/a","n/a",IF(V$3&gt;(A12taxstdlife+$E626),(('PTRM input'!$H$154+'PTRM input'!$H$120)*$H$7)-SUM($H626:U626),(('PTRM input'!$H$154+'PTRM input'!$H$120)*$H$7)/A12taxstdlife))</f>
        <v>0</v>
      </c>
      <c r="W626" s="590">
        <f>IF(A12taxstdlife="n/a","n/a",IF(W$3&gt;(A12taxstdlife+$E626),(('PTRM input'!$H$154+'PTRM input'!$H$120)*$H$7)-SUM($H626:V626),(('PTRM input'!$H$154+'PTRM input'!$H$120)*$H$7)/A12taxstdlife))</f>
        <v>0</v>
      </c>
      <c r="X626" s="590">
        <f>IF(A12taxstdlife="n/a","n/a",IF(X$3&gt;(A12taxstdlife+$E626),(('PTRM input'!$H$154+'PTRM input'!$H$120)*$H$7)-SUM($H626:W626),(('PTRM input'!$H$154+'PTRM input'!$H$120)*$H$7)/A12taxstdlife))</f>
        <v>0</v>
      </c>
      <c r="Y626" s="590">
        <f>IF(A12taxstdlife="n/a","n/a",IF(Y$3&gt;(A12taxstdlife+$E626),(('PTRM input'!$H$154+'PTRM input'!$H$120)*$H$7)-SUM($H626:X626),(('PTRM input'!$H$154+'PTRM input'!$H$120)*$H$7)/A12taxstdlife))</f>
        <v>0</v>
      </c>
      <c r="Z626" s="590">
        <f>IF(A12taxstdlife="n/a","n/a",IF(Z$3&gt;(A12taxstdlife+$E626),(('PTRM input'!$H$154+'PTRM input'!$H$120)*$H$7)-SUM($H626:Y626),(('PTRM input'!$H$154+'PTRM input'!$H$120)*$H$7)/A12taxstdlife))</f>
        <v>0</v>
      </c>
      <c r="AA626" s="590">
        <f>IF(A12taxstdlife="n/a","n/a",IF(AA$3&gt;(A12taxstdlife+$E626),(('PTRM input'!$H$154+'PTRM input'!$H$120)*$H$7)-SUM($H626:Z626),(('PTRM input'!$H$154+'PTRM input'!$H$120)*$H$7)/A12taxstdlife))</f>
        <v>0</v>
      </c>
      <c r="AB626" s="590">
        <f>IF(A12taxstdlife="n/a","n/a",IF(AB$3&gt;(A12taxstdlife+$E626),(('PTRM input'!$H$154+'PTRM input'!$H$120)*$H$7)-SUM($H626:AA626),(('PTRM input'!$H$154+'PTRM input'!$H$120)*$H$7)/A12taxstdlife))</f>
        <v>0</v>
      </c>
      <c r="AC626" s="590">
        <f>IF(A12taxstdlife="n/a","n/a",IF(AC$3&gt;(A12taxstdlife+$E626),(('PTRM input'!$H$154+'PTRM input'!$H$120)*$H$7)-SUM($H626:AB626),(('PTRM input'!$H$154+'PTRM input'!$H$120)*$H$7)/A12taxstdlife))</f>
        <v>0</v>
      </c>
      <c r="AD626" s="590">
        <f>IF(A12taxstdlife="n/a","n/a",IF(AD$3&gt;(A12taxstdlife+$E626),(('PTRM input'!$H$154+'PTRM input'!$H$120)*$H$7)-SUM($H626:AC626),(('PTRM input'!$H$154+'PTRM input'!$H$120)*$H$7)/A12taxstdlife))</f>
        <v>0</v>
      </c>
      <c r="AE626" s="590">
        <f>IF(A12taxstdlife="n/a","n/a",IF(AE$3&gt;(A12taxstdlife+$E626),(('PTRM input'!$H$154+'PTRM input'!$H$120)*$H$7)-SUM($H626:AD626),(('PTRM input'!$H$154+'PTRM input'!$H$120)*$H$7)/A12taxstdlife))</f>
        <v>0</v>
      </c>
      <c r="AF626" s="590">
        <f>IF(A12taxstdlife="n/a","n/a",IF(AF$3&gt;(A12taxstdlife+$E626),(('PTRM input'!$H$154+'PTRM input'!$H$120)*$H$7)-SUM($H626:AE626),(('PTRM input'!$H$154+'PTRM input'!$H$120)*$H$7)/A12taxstdlife))</f>
        <v>0</v>
      </c>
      <c r="AG626" s="590">
        <f>IF(A12taxstdlife="n/a","n/a",IF(AG$3&gt;(A12taxstdlife+$E626),(('PTRM input'!$H$154+'PTRM input'!$H$120)*$H$7)-SUM($H626:AF626),(('PTRM input'!$H$154+'PTRM input'!$H$120)*$H$7)/A12taxstdlife))</f>
        <v>0</v>
      </c>
      <c r="AH626" s="590">
        <f>IF(A12taxstdlife="n/a","n/a",IF(AH$3&gt;(A12taxstdlife+$E626),(('PTRM input'!$H$154+'PTRM input'!$H$120)*$H$7)-SUM($H626:AG626),(('PTRM input'!$H$154+'PTRM input'!$H$120)*$H$7)/A12taxstdlife))</f>
        <v>0</v>
      </c>
      <c r="AI626" s="590">
        <f>IF(A12taxstdlife="n/a","n/a",IF(AI$3&gt;(A12taxstdlife+$E626),(('PTRM input'!$H$154+'PTRM input'!$H$120)*$H$7)-SUM($H626:AH626),(('PTRM input'!$H$154+'PTRM input'!$H$120)*$H$7)/A12taxstdlife))</f>
        <v>0</v>
      </c>
      <c r="AJ626" s="590">
        <f>IF(A12taxstdlife="n/a","n/a",IF(AJ$3&gt;(A12taxstdlife+$E626),(('PTRM input'!$H$154+'PTRM input'!$H$120)*$H$7)-SUM($H626:AI626),(('PTRM input'!$H$154+'PTRM input'!$H$120)*$H$7)/A12taxstdlife))</f>
        <v>0</v>
      </c>
      <c r="AK626" s="590">
        <f>IF(A12taxstdlife="n/a","n/a",IF(AK$3&gt;(A12taxstdlife+$E626),(('PTRM input'!$H$154+'PTRM input'!$H$120)*$H$7)-SUM($H626:AJ626),(('PTRM input'!$H$154+'PTRM input'!$H$120)*$H$7)/A12taxstdlife))</f>
        <v>0</v>
      </c>
      <c r="AL626" s="590">
        <f>IF(A12taxstdlife="n/a","n/a",IF(AL$3&gt;(A12taxstdlife+$E626),(('PTRM input'!$H$154+'PTRM input'!$H$120)*$H$7)-SUM($H626:AK626),(('PTRM input'!$H$154+'PTRM input'!$H$120)*$H$7)/A12taxstdlife))</f>
        <v>0</v>
      </c>
      <c r="AM626" s="590">
        <f>IF(A12taxstdlife="n/a","n/a",IF(AM$3&gt;(A12taxstdlife+$E626),(('PTRM input'!$H$154+'PTRM input'!$H$120)*$H$7)-SUM($H626:AL626),(('PTRM input'!$H$154+'PTRM input'!$H$120)*$H$7)/A12taxstdlife))</f>
        <v>0</v>
      </c>
      <c r="AN626" s="590">
        <f>IF(A12taxstdlife="n/a","n/a",IF(AN$3&gt;(A12taxstdlife+$E626),(('PTRM input'!$H$154+'PTRM input'!$H$120)*$H$7)-SUM($H626:AM626),(('PTRM input'!$H$154+'PTRM input'!$H$120)*$H$7)/A12taxstdlife))</f>
        <v>0</v>
      </c>
      <c r="AO626" s="590">
        <f>IF(A12taxstdlife="n/a","n/a",IF(AO$3&gt;(A12taxstdlife+$E626),(('PTRM input'!$H$154+'PTRM input'!$H$120)*$H$7)-SUM($H626:AN626),(('PTRM input'!$H$154+'PTRM input'!$H$120)*$H$7)/A12taxstdlife))</f>
        <v>0</v>
      </c>
      <c r="AP626" s="590">
        <f>IF(A12taxstdlife="n/a","n/a",IF(AP$3&gt;(A12taxstdlife+$E626),(('PTRM input'!$H$154+'PTRM input'!$H$120)*$H$7)-SUM($H626:AO626),(('PTRM input'!$H$154+'PTRM input'!$H$120)*$H$7)/A12taxstdlife))</f>
        <v>0</v>
      </c>
      <c r="AQ626" s="590">
        <f>IF(A12taxstdlife="n/a","n/a",IF(AQ$3&gt;(A12taxstdlife+$E626),(('PTRM input'!$H$154+'PTRM input'!$H$120)*$H$7)-SUM($H626:AP626),(('PTRM input'!$H$154+'PTRM input'!$H$120)*$H$7)/A12taxstdlife))</f>
        <v>0</v>
      </c>
      <c r="AR626" s="590">
        <f>IF(A12taxstdlife="n/a","n/a",IF(AR$3&gt;(A12taxstdlife+$E626),(('PTRM input'!$H$154+'PTRM input'!$H$120)*$H$7)-SUM($H626:AQ626),(('PTRM input'!$H$154+'PTRM input'!$H$120)*$H$7)/A12taxstdlife))</f>
        <v>0</v>
      </c>
      <c r="AS626" s="590">
        <f>IF(A12taxstdlife="n/a","n/a",IF(AS$3&gt;(A12taxstdlife+$E626),(('PTRM input'!$H$154+'PTRM input'!$H$120)*$H$7)-SUM($H626:AR626),(('PTRM input'!$H$154+'PTRM input'!$H$120)*$H$7)/A12taxstdlife))</f>
        <v>0</v>
      </c>
      <c r="AT626" s="590">
        <f>IF(A12taxstdlife="n/a","n/a",IF(AT$3&gt;(A12taxstdlife+$E626),(('PTRM input'!$H$154+'PTRM input'!$H$120)*$H$7)-SUM($H626:AS626),(('PTRM input'!$H$154+'PTRM input'!$H$120)*$H$7)/A12taxstdlife))</f>
        <v>0</v>
      </c>
      <c r="AU626" s="590">
        <f>IF(A12taxstdlife="n/a","n/a",IF(AU$3&gt;(A12taxstdlife+$E626),(('PTRM input'!$H$154+'PTRM input'!$H$120)*$H$7)-SUM($H626:AT626),(('PTRM input'!$H$154+'PTRM input'!$H$120)*$H$7)/A12taxstdlife))</f>
        <v>0</v>
      </c>
      <c r="AV626" s="590">
        <f>IF(A12taxstdlife="n/a","n/a",IF(AV$3&gt;(A12taxstdlife+$E626),(('PTRM input'!$H$154+'PTRM input'!$H$120)*$H$7)-SUM($H626:AU626),(('PTRM input'!$H$154+'PTRM input'!$H$120)*$H$7)/A12taxstdlife))</f>
        <v>0</v>
      </c>
      <c r="AW626" s="590">
        <f>IF(A12taxstdlife="n/a","n/a",IF(AW$3&gt;(A12taxstdlife+$E626),(('PTRM input'!$H$154+'PTRM input'!$H$120)*$H$7)-SUM($H626:AV626),(('PTRM input'!$H$154+'PTRM input'!$H$120)*$H$7)/A12taxstdlife))</f>
        <v>0</v>
      </c>
      <c r="AX626" s="590">
        <f>IF(A12taxstdlife="n/a","n/a",IF(AX$3&gt;(A12taxstdlife+$E626),(('PTRM input'!$H$154+'PTRM input'!$H$120)*$H$7)-SUM($H626:AW626),(('PTRM input'!$H$154+'PTRM input'!$H$120)*$H$7)/A12taxstdlife))</f>
        <v>0</v>
      </c>
      <c r="AY626" s="590">
        <f>IF(A12taxstdlife="n/a","n/a",IF(AY$3&gt;(A12taxstdlife+$E626),(('PTRM input'!$H$154+'PTRM input'!$H$120)*$H$7)-SUM($H626:AX626),(('PTRM input'!$H$154+'PTRM input'!$H$120)*$H$7)/A12taxstdlife))</f>
        <v>0</v>
      </c>
      <c r="AZ626" s="590">
        <f>IF(A12taxstdlife="n/a","n/a",IF(AZ$3&gt;(A12taxstdlife+$E626),(('PTRM input'!$H$154+'PTRM input'!$H$120)*$H$7)-SUM($H626:AY626),(('PTRM input'!$H$154+'PTRM input'!$H$120)*$H$7)/A12taxstdlife))</f>
        <v>0</v>
      </c>
      <c r="BA626" s="590">
        <f>IF(A12taxstdlife="n/a","n/a",IF(BA$3&gt;(A12taxstdlife+$E626),(('PTRM input'!$H$154+'PTRM input'!$H$120)*$H$7)-SUM($H626:AZ626),(('PTRM input'!$H$154+'PTRM input'!$H$120)*$H$7)/A12taxstdlife))</f>
        <v>0</v>
      </c>
      <c r="BB626" s="590">
        <f>IF(A12taxstdlife="n/a","n/a",IF(BB$3&gt;(A12taxstdlife+$E626),(('PTRM input'!$H$154+'PTRM input'!$H$120)*$H$7)-SUM($H626:BA626),(('PTRM input'!$H$154+'PTRM input'!$H$120)*$H$7)/A12taxstdlife))</f>
        <v>0</v>
      </c>
      <c r="BC626" s="590">
        <f>IF(A12taxstdlife="n/a","n/a",IF(BC$3&gt;(A12taxstdlife+$E626),(('PTRM input'!$H$154+'PTRM input'!$H$120)*$H$7)-SUM($H626:BB626),(('PTRM input'!$H$154+'PTRM input'!$H$120)*$H$7)/A12taxstdlife))</f>
        <v>0</v>
      </c>
      <c r="BD626" s="590">
        <f>IF(A12taxstdlife="n/a","n/a",IF(BD$3&gt;(A12taxstdlife+$E626),(('PTRM input'!$H$154+'PTRM input'!$H$120)*$H$7)-SUM($H626:BC626),(('PTRM input'!$H$154+'PTRM input'!$H$120)*$H$7)/A12taxstdlife))</f>
        <v>0</v>
      </c>
      <c r="BE626" s="590">
        <f>IF(A12taxstdlife="n/a","n/a",IF(BE$3&gt;(A12taxstdlife+$E626),(('PTRM input'!$H$154+'PTRM input'!$H$120)*$H$7)-SUM($H626:BD626),(('PTRM input'!$H$154+'PTRM input'!$H$120)*$H$7)/A12taxstdlife))</f>
        <v>0</v>
      </c>
      <c r="BF626" s="590">
        <f>IF(A12taxstdlife="n/a","n/a",IF(BF$3&gt;(A12taxstdlife+$E626),(('PTRM input'!$H$154+'PTRM input'!$H$120)*$H$7)-SUM($H626:BE626),(('PTRM input'!$H$154+'PTRM input'!$H$120)*$H$7)/A12taxstdlife))</f>
        <v>0</v>
      </c>
      <c r="BG626" s="590">
        <f>IF(A12taxstdlife="n/a","n/a",IF(BG$3&gt;(A12taxstdlife+$E626),(('PTRM input'!$H$154+'PTRM input'!$H$120)*$H$7)-SUM($H626:BF626),(('PTRM input'!$H$154+'PTRM input'!$H$120)*$H$7)/A12taxstdlife))</f>
        <v>0</v>
      </c>
      <c r="BH626" s="590">
        <f>IF(A12taxstdlife="n/a","n/a",IF(BH$3&gt;(A12taxstdlife+$E626),(('PTRM input'!$H$154+'PTRM input'!$H$120)*$H$7)-SUM($H626:BG626),(('PTRM input'!$H$154+'PTRM input'!$H$120)*$H$7)/A12taxstdlife))</f>
        <v>0</v>
      </c>
      <c r="BI626" s="590">
        <f>IF(A12taxstdlife="n/a","n/a",IF(BI$3&gt;(A12taxstdlife+$E626),(('PTRM input'!$H$154+'PTRM input'!$H$120)*$H$7)-SUM($H626:BH626),(('PTRM input'!$H$154+'PTRM input'!$H$120)*$H$7)/A12taxstdlife))</f>
        <v>0</v>
      </c>
      <c r="BJ626" s="240"/>
      <c r="BK626" s="240"/>
      <c r="BL626" s="240"/>
      <c r="BM626" s="240"/>
    </row>
    <row r="627" spans="1:65" s="4" customFormat="1" hidden="1" outlineLevel="2">
      <c r="A627" s="240"/>
      <c r="B627" s="240"/>
      <c r="C627" s="595"/>
      <c r="D627" s="1618"/>
      <c r="E627" s="169">
        <v>3</v>
      </c>
      <c r="F627" s="35"/>
      <c r="G627" s="184"/>
      <c r="H627" s="186"/>
      <c r="I627" s="185"/>
      <c r="J627" s="107">
        <f>IF(A12taxstdlife="n/a","n/a",IF(J$3&gt;(A12taxstdlife+$E627),(('PTRM input'!$I$154+'PTRM input'!$I$120)*$I$7)-SUM($I627:I627),(('PTRM input'!$I$154+'PTRM input'!$I$120)*$I$7)/A12taxstdlife))</f>
        <v>0</v>
      </c>
      <c r="K627" s="107">
        <f>IF(A12taxstdlife="n/a","n/a",IF(K$3&gt;(A12taxstdlife+$E627),(('PTRM input'!$I$154+'PTRM input'!$I$120)*$I$7)-SUM($I627:J627),(('PTRM input'!$I$154+'PTRM input'!$I$120)*$I$7)/A12taxstdlife))</f>
        <v>0</v>
      </c>
      <c r="L627" s="107">
        <f>IF(A12taxstdlife="n/a","n/a",IF(L$3&gt;(A12taxstdlife+$E627),(('PTRM input'!$I$154+'PTRM input'!$I$120)*$I$7)-SUM($I627:K627),(('PTRM input'!$I$154+'PTRM input'!$I$120)*$I$7)/A12taxstdlife))</f>
        <v>0</v>
      </c>
      <c r="M627" s="107">
        <f>IF(A12taxstdlife="n/a","n/a",IF(M$3&gt;(A12taxstdlife+$E627),(('PTRM input'!$I$154+'PTRM input'!$I$120)*$I$7)-SUM($I627:L627),(('PTRM input'!$I$154+'PTRM input'!$I$120)*$I$7)/A12taxstdlife))</f>
        <v>0</v>
      </c>
      <c r="N627" s="107">
        <f>IF(A12taxstdlife="n/a","n/a",IF(N$3&gt;(A12taxstdlife+$E627),(('PTRM input'!$I$154+'PTRM input'!$I$120)*$I$7)-SUM($I627:M627),(('PTRM input'!$I$154+'PTRM input'!$I$120)*$I$7)/A12taxstdlife))</f>
        <v>0</v>
      </c>
      <c r="O627" s="107">
        <f>IF(A12taxstdlife="n/a","n/a",IF(O$3&gt;(A12taxstdlife+$E627),(('PTRM input'!$I$154+'PTRM input'!$I$120)*$I$7)-SUM($I627:N627),(('PTRM input'!$I$154+'PTRM input'!$I$120)*$I$7)/A12taxstdlife))</f>
        <v>0</v>
      </c>
      <c r="P627" s="107">
        <f>IF(A12taxstdlife="n/a","n/a",IF(P$3&gt;(A12taxstdlife+$E627),(('PTRM input'!$I$154+'PTRM input'!$I$120)*$I$7)-SUM($I627:O627),(('PTRM input'!$I$154+'PTRM input'!$I$120)*$I$7)/A12taxstdlife))</f>
        <v>0</v>
      </c>
      <c r="Q627" s="590">
        <f>IF(A12taxstdlife="n/a","n/a",IF(Q$3&gt;(A12taxstdlife+$E627),(('PTRM input'!$I$154+'PTRM input'!$I$120)*$I$7)-SUM($I627:P627),(('PTRM input'!$I$154+'PTRM input'!$I$120)*$I$7)/A12taxstdlife))</f>
        <v>0</v>
      </c>
      <c r="R627" s="590">
        <f>IF(A12taxstdlife="n/a","n/a",IF(R$3&gt;(A12taxstdlife+$E627),(('PTRM input'!$I$154+'PTRM input'!$I$120)*$I$7)-SUM($I627:Q627),(('PTRM input'!$I$154+'PTRM input'!$I$120)*$I$7)/A12taxstdlife))</f>
        <v>0</v>
      </c>
      <c r="S627" s="590">
        <f>IF(A12taxstdlife="n/a","n/a",IF(S$3&gt;(A12taxstdlife+$E627),(('PTRM input'!$I$154+'PTRM input'!$I$120)*$I$7)-SUM($I627:R627),(('PTRM input'!$I$154+'PTRM input'!$I$120)*$I$7)/A12taxstdlife))</f>
        <v>0</v>
      </c>
      <c r="T627" s="590">
        <f>IF(A12taxstdlife="n/a","n/a",IF(T$3&gt;(A12taxstdlife+$E627),(('PTRM input'!$I$154+'PTRM input'!$I$120)*$I$7)-SUM($I627:S627),(('PTRM input'!$I$154+'PTRM input'!$I$120)*$I$7)/A12taxstdlife))</f>
        <v>0</v>
      </c>
      <c r="U627" s="590">
        <f>IF(A12taxstdlife="n/a","n/a",IF(U$3&gt;(A12taxstdlife+$E627),(('PTRM input'!$I$154+'PTRM input'!$I$120)*$I$7)-SUM($I627:T627),(('PTRM input'!$I$154+'PTRM input'!$I$120)*$I$7)/A12taxstdlife))</f>
        <v>0</v>
      </c>
      <c r="V627" s="590">
        <f>IF(A12taxstdlife="n/a","n/a",IF(V$3&gt;(A12taxstdlife+$E627),(('PTRM input'!$I$154+'PTRM input'!$I$120)*$I$7)-SUM($I627:U627),(('PTRM input'!$I$154+'PTRM input'!$I$120)*$I$7)/A12taxstdlife))</f>
        <v>0</v>
      </c>
      <c r="W627" s="590">
        <f>IF(A12taxstdlife="n/a","n/a",IF(W$3&gt;(A12taxstdlife+$E627),(('PTRM input'!$I$154+'PTRM input'!$I$120)*$I$7)-SUM($I627:V627),(('PTRM input'!$I$154+'PTRM input'!$I$120)*$I$7)/A12taxstdlife))</f>
        <v>0</v>
      </c>
      <c r="X627" s="590">
        <f>IF(A12taxstdlife="n/a","n/a",IF(X$3&gt;(A12taxstdlife+$E627),(('PTRM input'!$I$154+'PTRM input'!$I$120)*$I$7)-SUM($I627:W627),(('PTRM input'!$I$154+'PTRM input'!$I$120)*$I$7)/A12taxstdlife))</f>
        <v>0</v>
      </c>
      <c r="Y627" s="590">
        <f>IF(A12taxstdlife="n/a","n/a",IF(Y$3&gt;(A12taxstdlife+$E627),(('PTRM input'!$I$154+'PTRM input'!$I$120)*$I$7)-SUM($I627:X627),(('PTRM input'!$I$154+'PTRM input'!$I$120)*$I$7)/A12taxstdlife))</f>
        <v>0</v>
      </c>
      <c r="Z627" s="590">
        <f>IF(A12taxstdlife="n/a","n/a",IF(Z$3&gt;(A12taxstdlife+$E627),(('PTRM input'!$I$154+'PTRM input'!$I$120)*$I$7)-SUM($I627:Y627),(('PTRM input'!$I$154+'PTRM input'!$I$120)*$I$7)/A12taxstdlife))</f>
        <v>0</v>
      </c>
      <c r="AA627" s="590">
        <f>IF(A12taxstdlife="n/a","n/a",IF(AA$3&gt;(A12taxstdlife+$E627),(('PTRM input'!$I$154+'PTRM input'!$I$120)*$I$7)-SUM($I627:Z627),(('PTRM input'!$I$154+'PTRM input'!$I$120)*$I$7)/A12taxstdlife))</f>
        <v>0</v>
      </c>
      <c r="AB627" s="590">
        <f>IF(A12taxstdlife="n/a","n/a",IF(AB$3&gt;(A12taxstdlife+$E627),(('PTRM input'!$I$154+'PTRM input'!$I$120)*$I$7)-SUM($I627:AA627),(('PTRM input'!$I$154+'PTRM input'!$I$120)*$I$7)/A12taxstdlife))</f>
        <v>0</v>
      </c>
      <c r="AC627" s="590">
        <f>IF(A12taxstdlife="n/a","n/a",IF(AC$3&gt;(A12taxstdlife+$E627),(('PTRM input'!$I$154+'PTRM input'!$I$120)*$I$7)-SUM($I627:AB627),(('PTRM input'!$I$154+'PTRM input'!$I$120)*$I$7)/A12taxstdlife))</f>
        <v>0</v>
      </c>
      <c r="AD627" s="590">
        <f>IF(A12taxstdlife="n/a","n/a",IF(AD$3&gt;(A12taxstdlife+$E627),(('PTRM input'!$I$154+'PTRM input'!$I$120)*$I$7)-SUM($I627:AC627),(('PTRM input'!$I$154+'PTRM input'!$I$120)*$I$7)/A12taxstdlife))</f>
        <v>0</v>
      </c>
      <c r="AE627" s="590">
        <f>IF(A12taxstdlife="n/a","n/a",IF(AE$3&gt;(A12taxstdlife+$E627),(('PTRM input'!$I$154+'PTRM input'!$I$120)*$I$7)-SUM($I627:AD627),(('PTRM input'!$I$154+'PTRM input'!$I$120)*$I$7)/A12taxstdlife))</f>
        <v>0</v>
      </c>
      <c r="AF627" s="590">
        <f>IF(A12taxstdlife="n/a","n/a",IF(AF$3&gt;(A12taxstdlife+$E627),(('PTRM input'!$I$154+'PTRM input'!$I$120)*$I$7)-SUM($I627:AE627),(('PTRM input'!$I$154+'PTRM input'!$I$120)*$I$7)/A12taxstdlife))</f>
        <v>0</v>
      </c>
      <c r="AG627" s="590">
        <f>IF(A12taxstdlife="n/a","n/a",IF(AG$3&gt;(A12taxstdlife+$E627),(('PTRM input'!$I$154+'PTRM input'!$I$120)*$I$7)-SUM($I627:AF627),(('PTRM input'!$I$154+'PTRM input'!$I$120)*$I$7)/A12taxstdlife))</f>
        <v>0</v>
      </c>
      <c r="AH627" s="590">
        <f>IF(A12taxstdlife="n/a","n/a",IF(AH$3&gt;(A12taxstdlife+$E627),(('PTRM input'!$I$154+'PTRM input'!$I$120)*$I$7)-SUM($I627:AG627),(('PTRM input'!$I$154+'PTRM input'!$I$120)*$I$7)/A12taxstdlife))</f>
        <v>0</v>
      </c>
      <c r="AI627" s="590">
        <f>IF(A12taxstdlife="n/a","n/a",IF(AI$3&gt;(A12taxstdlife+$E627),(('PTRM input'!$I$154+'PTRM input'!$I$120)*$I$7)-SUM($I627:AH627),(('PTRM input'!$I$154+'PTRM input'!$I$120)*$I$7)/A12taxstdlife))</f>
        <v>0</v>
      </c>
      <c r="AJ627" s="590">
        <f>IF(A12taxstdlife="n/a","n/a",IF(AJ$3&gt;(A12taxstdlife+$E627),(('PTRM input'!$I$154+'PTRM input'!$I$120)*$I$7)-SUM($I627:AI627),(('PTRM input'!$I$154+'PTRM input'!$I$120)*$I$7)/A12taxstdlife))</f>
        <v>0</v>
      </c>
      <c r="AK627" s="590">
        <f>IF(A12taxstdlife="n/a","n/a",IF(AK$3&gt;(A12taxstdlife+$E627),(('PTRM input'!$I$154+'PTRM input'!$I$120)*$I$7)-SUM($I627:AJ627),(('PTRM input'!$I$154+'PTRM input'!$I$120)*$I$7)/A12taxstdlife))</f>
        <v>0</v>
      </c>
      <c r="AL627" s="590">
        <f>IF(A12taxstdlife="n/a","n/a",IF(AL$3&gt;(A12taxstdlife+$E627),(('PTRM input'!$I$154+'PTRM input'!$I$120)*$I$7)-SUM($I627:AK627),(('PTRM input'!$I$154+'PTRM input'!$I$120)*$I$7)/A12taxstdlife))</f>
        <v>0</v>
      </c>
      <c r="AM627" s="590">
        <f>IF(A12taxstdlife="n/a","n/a",IF(AM$3&gt;(A12taxstdlife+$E627),(('PTRM input'!$I$154+'PTRM input'!$I$120)*$I$7)-SUM($I627:AL627),(('PTRM input'!$I$154+'PTRM input'!$I$120)*$I$7)/A12taxstdlife))</f>
        <v>0</v>
      </c>
      <c r="AN627" s="590">
        <f>IF(A12taxstdlife="n/a","n/a",IF(AN$3&gt;(A12taxstdlife+$E627),(('PTRM input'!$I$154+'PTRM input'!$I$120)*$I$7)-SUM($I627:AM627),(('PTRM input'!$I$154+'PTRM input'!$I$120)*$I$7)/A12taxstdlife))</f>
        <v>0</v>
      </c>
      <c r="AO627" s="590">
        <f>IF(A12taxstdlife="n/a","n/a",IF(AO$3&gt;(A12taxstdlife+$E627),(('PTRM input'!$I$154+'PTRM input'!$I$120)*$I$7)-SUM($I627:AN627),(('PTRM input'!$I$154+'PTRM input'!$I$120)*$I$7)/A12taxstdlife))</f>
        <v>0</v>
      </c>
      <c r="AP627" s="590">
        <f>IF(A12taxstdlife="n/a","n/a",IF(AP$3&gt;(A12taxstdlife+$E627),(('PTRM input'!$I$154+'PTRM input'!$I$120)*$I$7)-SUM($I627:AO627),(('PTRM input'!$I$154+'PTRM input'!$I$120)*$I$7)/A12taxstdlife))</f>
        <v>0</v>
      </c>
      <c r="AQ627" s="590">
        <f>IF(A12taxstdlife="n/a","n/a",IF(AQ$3&gt;(A12taxstdlife+$E627),(('PTRM input'!$I$154+'PTRM input'!$I$120)*$I$7)-SUM($I627:AP627),(('PTRM input'!$I$154+'PTRM input'!$I$120)*$I$7)/A12taxstdlife))</f>
        <v>0</v>
      </c>
      <c r="AR627" s="590">
        <f>IF(A12taxstdlife="n/a","n/a",IF(AR$3&gt;(A12taxstdlife+$E627),(('PTRM input'!$I$154+'PTRM input'!$I$120)*$I$7)-SUM($I627:AQ627),(('PTRM input'!$I$154+'PTRM input'!$I$120)*$I$7)/A12taxstdlife))</f>
        <v>0</v>
      </c>
      <c r="AS627" s="590">
        <f>IF(A12taxstdlife="n/a","n/a",IF(AS$3&gt;(A12taxstdlife+$E627),(('PTRM input'!$I$154+'PTRM input'!$I$120)*$I$7)-SUM($I627:AR627),(('PTRM input'!$I$154+'PTRM input'!$I$120)*$I$7)/A12taxstdlife))</f>
        <v>0</v>
      </c>
      <c r="AT627" s="590">
        <f>IF(A12taxstdlife="n/a","n/a",IF(AT$3&gt;(A12taxstdlife+$E627),(('PTRM input'!$I$154+'PTRM input'!$I$120)*$I$7)-SUM($I627:AS627),(('PTRM input'!$I$154+'PTRM input'!$I$120)*$I$7)/A12taxstdlife))</f>
        <v>0</v>
      </c>
      <c r="AU627" s="590">
        <f>IF(A12taxstdlife="n/a","n/a",IF(AU$3&gt;(A12taxstdlife+$E627),(('PTRM input'!$I$154+'PTRM input'!$I$120)*$I$7)-SUM($I627:AT627),(('PTRM input'!$I$154+'PTRM input'!$I$120)*$I$7)/A12taxstdlife))</f>
        <v>0</v>
      </c>
      <c r="AV627" s="590">
        <f>IF(A12taxstdlife="n/a","n/a",IF(AV$3&gt;(A12taxstdlife+$E627),(('PTRM input'!$I$154+'PTRM input'!$I$120)*$I$7)-SUM($I627:AU627),(('PTRM input'!$I$154+'PTRM input'!$I$120)*$I$7)/A12taxstdlife))</f>
        <v>0</v>
      </c>
      <c r="AW627" s="590">
        <f>IF(A12taxstdlife="n/a","n/a",IF(AW$3&gt;(A12taxstdlife+$E627),(('PTRM input'!$I$154+'PTRM input'!$I$120)*$I$7)-SUM($I627:AV627),(('PTRM input'!$I$154+'PTRM input'!$I$120)*$I$7)/A12taxstdlife))</f>
        <v>0</v>
      </c>
      <c r="AX627" s="590">
        <f>IF(A12taxstdlife="n/a","n/a",IF(AX$3&gt;(A12taxstdlife+$E627),(('PTRM input'!$I$154+'PTRM input'!$I$120)*$I$7)-SUM($I627:AW627),(('PTRM input'!$I$154+'PTRM input'!$I$120)*$I$7)/A12taxstdlife))</f>
        <v>0</v>
      </c>
      <c r="AY627" s="590">
        <f>IF(A12taxstdlife="n/a","n/a",IF(AY$3&gt;(A12taxstdlife+$E627),(('PTRM input'!$I$154+'PTRM input'!$I$120)*$I$7)-SUM($I627:AX627),(('PTRM input'!$I$154+'PTRM input'!$I$120)*$I$7)/A12taxstdlife))</f>
        <v>0</v>
      </c>
      <c r="AZ627" s="590">
        <f>IF(A12taxstdlife="n/a","n/a",IF(AZ$3&gt;(A12taxstdlife+$E627),(('PTRM input'!$I$154+'PTRM input'!$I$120)*$I$7)-SUM($I627:AY627),(('PTRM input'!$I$154+'PTRM input'!$I$120)*$I$7)/A12taxstdlife))</f>
        <v>0</v>
      </c>
      <c r="BA627" s="590">
        <f>IF(A12taxstdlife="n/a","n/a",IF(BA$3&gt;(A12taxstdlife+$E627),(('PTRM input'!$I$154+'PTRM input'!$I$120)*$I$7)-SUM($I627:AZ627),(('PTRM input'!$I$154+'PTRM input'!$I$120)*$I$7)/A12taxstdlife))</f>
        <v>0</v>
      </c>
      <c r="BB627" s="590">
        <f>IF(A12taxstdlife="n/a","n/a",IF(BB$3&gt;(A12taxstdlife+$E627),(('PTRM input'!$I$154+'PTRM input'!$I$120)*$I$7)-SUM($I627:BA627),(('PTRM input'!$I$154+'PTRM input'!$I$120)*$I$7)/A12taxstdlife))</f>
        <v>0</v>
      </c>
      <c r="BC627" s="590">
        <f>IF(A12taxstdlife="n/a","n/a",IF(BC$3&gt;(A12taxstdlife+$E627),(('PTRM input'!$I$154+'PTRM input'!$I$120)*$I$7)-SUM($I627:BB627),(('PTRM input'!$I$154+'PTRM input'!$I$120)*$I$7)/A12taxstdlife))</f>
        <v>0</v>
      </c>
      <c r="BD627" s="590">
        <f>IF(A12taxstdlife="n/a","n/a",IF(BD$3&gt;(A12taxstdlife+$E627),(('PTRM input'!$I$154+'PTRM input'!$I$120)*$I$7)-SUM($I627:BC627),(('PTRM input'!$I$154+'PTRM input'!$I$120)*$I$7)/A12taxstdlife))</f>
        <v>0</v>
      </c>
      <c r="BE627" s="590">
        <f>IF(A12taxstdlife="n/a","n/a",IF(BE$3&gt;(A12taxstdlife+$E627),(('PTRM input'!$I$154+'PTRM input'!$I$120)*$I$7)-SUM($I627:BD627),(('PTRM input'!$I$154+'PTRM input'!$I$120)*$I$7)/A12taxstdlife))</f>
        <v>0</v>
      </c>
      <c r="BF627" s="590">
        <f>IF(A12taxstdlife="n/a","n/a",IF(BF$3&gt;(A12taxstdlife+$E627),(('PTRM input'!$I$154+'PTRM input'!$I$120)*$I$7)-SUM($I627:BE627),(('PTRM input'!$I$154+'PTRM input'!$I$120)*$I$7)/A12taxstdlife))</f>
        <v>0</v>
      </c>
      <c r="BG627" s="590">
        <f>IF(A12taxstdlife="n/a","n/a",IF(BG$3&gt;(A12taxstdlife+$E627),(('PTRM input'!$I$154+'PTRM input'!$I$120)*$I$7)-SUM($I627:BF627),(('PTRM input'!$I$154+'PTRM input'!$I$120)*$I$7)/A12taxstdlife))</f>
        <v>0</v>
      </c>
      <c r="BH627" s="590">
        <f>IF(A12taxstdlife="n/a","n/a",IF(BH$3&gt;(A12taxstdlife+$E627),(('PTRM input'!$I$154+'PTRM input'!$I$120)*$I$7)-SUM($I627:BG627),(('PTRM input'!$I$154+'PTRM input'!$I$120)*$I$7)/A12taxstdlife))</f>
        <v>0</v>
      </c>
      <c r="BI627" s="590">
        <f>IF(A12taxstdlife="n/a","n/a",IF(BI$3&gt;(A12taxstdlife+$E627),(('PTRM input'!$I$154+'PTRM input'!$I$120)*$I$7)-SUM($I627:BH627),(('PTRM input'!$I$154+'PTRM input'!$I$120)*$I$7)/A12taxstdlife))</f>
        <v>0</v>
      </c>
      <c r="BJ627" s="240"/>
      <c r="BK627" s="240"/>
      <c r="BL627" s="240"/>
      <c r="BM627" s="240"/>
    </row>
    <row r="628" spans="1:65" s="4" customFormat="1" hidden="1" outlineLevel="2">
      <c r="A628" s="240"/>
      <c r="B628" s="240"/>
      <c r="C628" s="595"/>
      <c r="D628" s="1618"/>
      <c r="E628" s="169">
        <v>4</v>
      </c>
      <c r="F628" s="35"/>
      <c r="G628" s="184"/>
      <c r="H628" s="186"/>
      <c r="I628" s="186"/>
      <c r="J628" s="185"/>
      <c r="K628" s="107">
        <f>IF(A12taxstdlife="n/a","n/a",IF(K$3&gt;(A12taxstdlife+$E628),(('PTRM input'!$J$154+'PTRM input'!$J$120)*$J$7)-SUM($J628:J628),(('PTRM input'!$J$154+'PTRM input'!$J$120)*$J$7)/A12taxstdlife))</f>
        <v>0</v>
      </c>
      <c r="L628" s="107">
        <f>IF(A12taxstdlife="n/a","n/a",IF(L$3&gt;(A12taxstdlife+$E628),(('PTRM input'!$J$154+'PTRM input'!$J$120)*$J$7)-SUM($J628:K628),(('PTRM input'!$J$154+'PTRM input'!$J$120)*$J$7)/A12taxstdlife))</f>
        <v>0</v>
      </c>
      <c r="M628" s="107">
        <f>IF(A12taxstdlife="n/a","n/a",IF(M$3&gt;(A12taxstdlife+$E628),(('PTRM input'!$J$154+'PTRM input'!$J$120)*$J$7)-SUM($J628:L628),(('PTRM input'!$J$154+'PTRM input'!$J$120)*$J$7)/A12taxstdlife))</f>
        <v>0</v>
      </c>
      <c r="N628" s="107">
        <f>IF(A12taxstdlife="n/a","n/a",IF(N$3&gt;(A12taxstdlife+$E628),(('PTRM input'!$J$154+'PTRM input'!$J$120)*$J$7)-SUM($J628:M628),(('PTRM input'!$J$154+'PTRM input'!$J$120)*$J$7)/A12taxstdlife))</f>
        <v>0</v>
      </c>
      <c r="O628" s="107">
        <f>IF(A12taxstdlife="n/a","n/a",IF(O$3&gt;(A12taxstdlife+$E628),(('PTRM input'!$J$154+'PTRM input'!$J$120)*$J$7)-SUM($J628:N628),(('PTRM input'!$J$154+'PTRM input'!$J$120)*$J$7)/A12taxstdlife))</f>
        <v>0</v>
      </c>
      <c r="P628" s="107">
        <f>IF(A12taxstdlife="n/a","n/a",IF(P$3&gt;(A12taxstdlife+$E628),(('PTRM input'!$J$154+'PTRM input'!$J$120)*$J$7)-SUM($J628:O628),(('PTRM input'!$J$154+'PTRM input'!$J$120)*$J$7)/A12taxstdlife))</f>
        <v>0</v>
      </c>
      <c r="Q628" s="590">
        <f>IF(A12taxstdlife="n/a","n/a",IF(Q$3&gt;(A12taxstdlife+$E628),(('PTRM input'!$J$154+'PTRM input'!$J$120)*$J$7)-SUM($J628:P628),(('PTRM input'!$J$154+'PTRM input'!$J$120)*$J$7)/A12taxstdlife))</f>
        <v>0</v>
      </c>
      <c r="R628" s="590">
        <f>IF(A12taxstdlife="n/a","n/a",IF(R$3&gt;(A12taxstdlife+$E628),(('PTRM input'!$J$154+'PTRM input'!$J$120)*$J$7)-SUM($J628:Q628),(('PTRM input'!$J$154+'PTRM input'!$J$120)*$J$7)/A12taxstdlife))</f>
        <v>0</v>
      </c>
      <c r="S628" s="590">
        <f>IF(A12taxstdlife="n/a","n/a",IF(S$3&gt;(A12taxstdlife+$E628),(('PTRM input'!$J$154+'PTRM input'!$J$120)*$J$7)-SUM($J628:R628),(('PTRM input'!$J$154+'PTRM input'!$J$120)*$J$7)/A12taxstdlife))</f>
        <v>0</v>
      </c>
      <c r="T628" s="590">
        <f>IF(A12taxstdlife="n/a","n/a",IF(T$3&gt;(A12taxstdlife+$E628),(('PTRM input'!$J$154+'PTRM input'!$J$120)*$J$7)-SUM($J628:S628),(('PTRM input'!$J$154+'PTRM input'!$J$120)*$J$7)/A12taxstdlife))</f>
        <v>0</v>
      </c>
      <c r="U628" s="590">
        <f>IF(A12taxstdlife="n/a","n/a",IF(U$3&gt;(A12taxstdlife+$E628),(('PTRM input'!$J$154+'PTRM input'!$J$120)*$J$7)-SUM($J628:T628),(('PTRM input'!$J$154+'PTRM input'!$J$120)*$J$7)/A12taxstdlife))</f>
        <v>0</v>
      </c>
      <c r="V628" s="590">
        <f>IF(A12taxstdlife="n/a","n/a",IF(V$3&gt;(A12taxstdlife+$E628),(('PTRM input'!$J$154+'PTRM input'!$J$120)*$J$7)-SUM($J628:U628),(('PTRM input'!$J$154+'PTRM input'!$J$120)*$J$7)/A12taxstdlife))</f>
        <v>0</v>
      </c>
      <c r="W628" s="590">
        <f>IF(A12taxstdlife="n/a","n/a",IF(W$3&gt;(A12taxstdlife+$E628),(('PTRM input'!$J$154+'PTRM input'!$J$120)*$J$7)-SUM($J628:V628),(('PTRM input'!$J$154+'PTRM input'!$J$120)*$J$7)/A12taxstdlife))</f>
        <v>0</v>
      </c>
      <c r="X628" s="590">
        <f>IF(A12taxstdlife="n/a","n/a",IF(X$3&gt;(A12taxstdlife+$E628),(('PTRM input'!$J$154+'PTRM input'!$J$120)*$J$7)-SUM($J628:W628),(('PTRM input'!$J$154+'PTRM input'!$J$120)*$J$7)/A12taxstdlife))</f>
        <v>0</v>
      </c>
      <c r="Y628" s="590">
        <f>IF(A12taxstdlife="n/a","n/a",IF(Y$3&gt;(A12taxstdlife+$E628),(('PTRM input'!$J$154+'PTRM input'!$J$120)*$J$7)-SUM($J628:X628),(('PTRM input'!$J$154+'PTRM input'!$J$120)*$J$7)/A12taxstdlife))</f>
        <v>0</v>
      </c>
      <c r="Z628" s="590">
        <f>IF(A12taxstdlife="n/a","n/a",IF(Z$3&gt;(A12taxstdlife+$E628),(('PTRM input'!$J$154+'PTRM input'!$J$120)*$J$7)-SUM($J628:Y628),(('PTRM input'!$J$154+'PTRM input'!$J$120)*$J$7)/A12taxstdlife))</f>
        <v>0</v>
      </c>
      <c r="AA628" s="590">
        <f>IF(A12taxstdlife="n/a","n/a",IF(AA$3&gt;(A12taxstdlife+$E628),(('PTRM input'!$J$154+'PTRM input'!$J$120)*$J$7)-SUM($J628:Z628),(('PTRM input'!$J$154+'PTRM input'!$J$120)*$J$7)/A12taxstdlife))</f>
        <v>0</v>
      </c>
      <c r="AB628" s="590">
        <f>IF(A12taxstdlife="n/a","n/a",IF(AB$3&gt;(A12taxstdlife+$E628),(('PTRM input'!$J$154+'PTRM input'!$J$120)*$J$7)-SUM($J628:AA628),(('PTRM input'!$J$154+'PTRM input'!$J$120)*$J$7)/A12taxstdlife))</f>
        <v>0</v>
      </c>
      <c r="AC628" s="590">
        <f>IF(A12taxstdlife="n/a","n/a",IF(AC$3&gt;(A12taxstdlife+$E628),(('PTRM input'!$J$154+'PTRM input'!$J$120)*$J$7)-SUM($J628:AB628),(('PTRM input'!$J$154+'PTRM input'!$J$120)*$J$7)/A12taxstdlife))</f>
        <v>0</v>
      </c>
      <c r="AD628" s="590">
        <f>IF(A12taxstdlife="n/a","n/a",IF(AD$3&gt;(A12taxstdlife+$E628),(('PTRM input'!$J$154+'PTRM input'!$J$120)*$J$7)-SUM($J628:AC628),(('PTRM input'!$J$154+'PTRM input'!$J$120)*$J$7)/A12taxstdlife))</f>
        <v>0</v>
      </c>
      <c r="AE628" s="590">
        <f>IF(A12taxstdlife="n/a","n/a",IF(AE$3&gt;(A12taxstdlife+$E628),(('PTRM input'!$J$154+'PTRM input'!$J$120)*$J$7)-SUM($J628:AD628),(('PTRM input'!$J$154+'PTRM input'!$J$120)*$J$7)/A12taxstdlife))</f>
        <v>0</v>
      </c>
      <c r="AF628" s="590">
        <f>IF(A12taxstdlife="n/a","n/a",IF(AF$3&gt;(A12taxstdlife+$E628),(('PTRM input'!$J$154+'PTRM input'!$J$120)*$J$7)-SUM($J628:AE628),(('PTRM input'!$J$154+'PTRM input'!$J$120)*$J$7)/A12taxstdlife))</f>
        <v>0</v>
      </c>
      <c r="AG628" s="590">
        <f>IF(A12taxstdlife="n/a","n/a",IF(AG$3&gt;(A12taxstdlife+$E628),(('PTRM input'!$J$154+'PTRM input'!$J$120)*$J$7)-SUM($J628:AF628),(('PTRM input'!$J$154+'PTRM input'!$J$120)*$J$7)/A12taxstdlife))</f>
        <v>0</v>
      </c>
      <c r="AH628" s="590">
        <f>IF(A12taxstdlife="n/a","n/a",IF(AH$3&gt;(A12taxstdlife+$E628),(('PTRM input'!$J$154+'PTRM input'!$J$120)*$J$7)-SUM($J628:AG628),(('PTRM input'!$J$154+'PTRM input'!$J$120)*$J$7)/A12taxstdlife))</f>
        <v>0</v>
      </c>
      <c r="AI628" s="590">
        <f>IF(A12taxstdlife="n/a","n/a",IF(AI$3&gt;(A12taxstdlife+$E628),(('PTRM input'!$J$154+'PTRM input'!$J$120)*$J$7)-SUM($J628:AH628),(('PTRM input'!$J$154+'PTRM input'!$J$120)*$J$7)/A12taxstdlife))</f>
        <v>0</v>
      </c>
      <c r="AJ628" s="590">
        <f>IF(A12taxstdlife="n/a","n/a",IF(AJ$3&gt;(A12taxstdlife+$E628),(('PTRM input'!$J$154+'PTRM input'!$J$120)*$J$7)-SUM($J628:AI628),(('PTRM input'!$J$154+'PTRM input'!$J$120)*$J$7)/A12taxstdlife))</f>
        <v>0</v>
      </c>
      <c r="AK628" s="590">
        <f>IF(A12taxstdlife="n/a","n/a",IF(AK$3&gt;(A12taxstdlife+$E628),(('PTRM input'!$J$154+'PTRM input'!$J$120)*$J$7)-SUM($J628:AJ628),(('PTRM input'!$J$154+'PTRM input'!$J$120)*$J$7)/A12taxstdlife))</f>
        <v>0</v>
      </c>
      <c r="AL628" s="590">
        <f>IF(A12taxstdlife="n/a","n/a",IF(AL$3&gt;(A12taxstdlife+$E628),(('PTRM input'!$J$154+'PTRM input'!$J$120)*$J$7)-SUM($J628:AK628),(('PTRM input'!$J$154+'PTRM input'!$J$120)*$J$7)/A12taxstdlife))</f>
        <v>0</v>
      </c>
      <c r="AM628" s="590">
        <f>IF(A12taxstdlife="n/a","n/a",IF(AM$3&gt;(A12taxstdlife+$E628),(('PTRM input'!$J$154+'PTRM input'!$J$120)*$J$7)-SUM($J628:AL628),(('PTRM input'!$J$154+'PTRM input'!$J$120)*$J$7)/A12taxstdlife))</f>
        <v>0</v>
      </c>
      <c r="AN628" s="590">
        <f>IF(A12taxstdlife="n/a","n/a",IF(AN$3&gt;(A12taxstdlife+$E628),(('PTRM input'!$J$154+'PTRM input'!$J$120)*$J$7)-SUM($J628:AM628),(('PTRM input'!$J$154+'PTRM input'!$J$120)*$J$7)/A12taxstdlife))</f>
        <v>0</v>
      </c>
      <c r="AO628" s="590">
        <f>IF(A12taxstdlife="n/a","n/a",IF(AO$3&gt;(A12taxstdlife+$E628),(('PTRM input'!$J$154+'PTRM input'!$J$120)*$J$7)-SUM($J628:AN628),(('PTRM input'!$J$154+'PTRM input'!$J$120)*$J$7)/A12taxstdlife))</f>
        <v>0</v>
      </c>
      <c r="AP628" s="590">
        <f>IF(A12taxstdlife="n/a","n/a",IF(AP$3&gt;(A12taxstdlife+$E628),(('PTRM input'!$J$154+'PTRM input'!$J$120)*$J$7)-SUM($J628:AO628),(('PTRM input'!$J$154+'PTRM input'!$J$120)*$J$7)/A12taxstdlife))</f>
        <v>0</v>
      </c>
      <c r="AQ628" s="590">
        <f>IF(A12taxstdlife="n/a","n/a",IF(AQ$3&gt;(A12taxstdlife+$E628),(('PTRM input'!$J$154+'PTRM input'!$J$120)*$J$7)-SUM($J628:AP628),(('PTRM input'!$J$154+'PTRM input'!$J$120)*$J$7)/A12taxstdlife))</f>
        <v>0</v>
      </c>
      <c r="AR628" s="590">
        <f>IF(A12taxstdlife="n/a","n/a",IF(AR$3&gt;(A12taxstdlife+$E628),(('PTRM input'!$J$154+'PTRM input'!$J$120)*$J$7)-SUM($J628:AQ628),(('PTRM input'!$J$154+'PTRM input'!$J$120)*$J$7)/A12taxstdlife))</f>
        <v>0</v>
      </c>
      <c r="AS628" s="590">
        <f>IF(A12taxstdlife="n/a","n/a",IF(AS$3&gt;(A12taxstdlife+$E628),(('PTRM input'!$J$154+'PTRM input'!$J$120)*$J$7)-SUM($J628:AR628),(('PTRM input'!$J$154+'PTRM input'!$J$120)*$J$7)/A12taxstdlife))</f>
        <v>0</v>
      </c>
      <c r="AT628" s="590">
        <f>IF(A12taxstdlife="n/a","n/a",IF(AT$3&gt;(A12taxstdlife+$E628),(('PTRM input'!$J$154+'PTRM input'!$J$120)*$J$7)-SUM($J628:AS628),(('PTRM input'!$J$154+'PTRM input'!$J$120)*$J$7)/A12taxstdlife))</f>
        <v>0</v>
      </c>
      <c r="AU628" s="590">
        <f>IF(A12taxstdlife="n/a","n/a",IF(AU$3&gt;(A12taxstdlife+$E628),(('PTRM input'!$J$154+'PTRM input'!$J$120)*$J$7)-SUM($J628:AT628),(('PTRM input'!$J$154+'PTRM input'!$J$120)*$J$7)/A12taxstdlife))</f>
        <v>0</v>
      </c>
      <c r="AV628" s="590">
        <f>IF(A12taxstdlife="n/a","n/a",IF(AV$3&gt;(A12taxstdlife+$E628),(('PTRM input'!$J$154+'PTRM input'!$J$120)*$J$7)-SUM($J628:AU628),(('PTRM input'!$J$154+'PTRM input'!$J$120)*$J$7)/A12taxstdlife))</f>
        <v>0</v>
      </c>
      <c r="AW628" s="590">
        <f>IF(A12taxstdlife="n/a","n/a",IF(AW$3&gt;(A12taxstdlife+$E628),(('PTRM input'!$J$154+'PTRM input'!$J$120)*$J$7)-SUM($J628:AV628),(('PTRM input'!$J$154+'PTRM input'!$J$120)*$J$7)/A12taxstdlife))</f>
        <v>0</v>
      </c>
      <c r="AX628" s="590">
        <f>IF(A12taxstdlife="n/a","n/a",IF(AX$3&gt;(A12taxstdlife+$E628),(('PTRM input'!$J$154+'PTRM input'!$J$120)*$J$7)-SUM($J628:AW628),(('PTRM input'!$J$154+'PTRM input'!$J$120)*$J$7)/A12taxstdlife))</f>
        <v>0</v>
      </c>
      <c r="AY628" s="590">
        <f>IF(A12taxstdlife="n/a","n/a",IF(AY$3&gt;(A12taxstdlife+$E628),(('PTRM input'!$J$154+'PTRM input'!$J$120)*$J$7)-SUM($J628:AX628),(('PTRM input'!$J$154+'PTRM input'!$J$120)*$J$7)/A12taxstdlife))</f>
        <v>0</v>
      </c>
      <c r="AZ628" s="590">
        <f>IF(A12taxstdlife="n/a","n/a",IF(AZ$3&gt;(A12taxstdlife+$E628),(('PTRM input'!$J$154+'PTRM input'!$J$120)*$J$7)-SUM($J628:AY628),(('PTRM input'!$J$154+'PTRM input'!$J$120)*$J$7)/A12taxstdlife))</f>
        <v>0</v>
      </c>
      <c r="BA628" s="590">
        <f>IF(A12taxstdlife="n/a","n/a",IF(BA$3&gt;(A12taxstdlife+$E628),(('PTRM input'!$J$154+'PTRM input'!$J$120)*$J$7)-SUM($J628:AZ628),(('PTRM input'!$J$154+'PTRM input'!$J$120)*$J$7)/A12taxstdlife))</f>
        <v>0</v>
      </c>
      <c r="BB628" s="590">
        <f>IF(A12taxstdlife="n/a","n/a",IF(BB$3&gt;(A12taxstdlife+$E628),(('PTRM input'!$J$154+'PTRM input'!$J$120)*$J$7)-SUM($J628:BA628),(('PTRM input'!$J$154+'PTRM input'!$J$120)*$J$7)/A12taxstdlife))</f>
        <v>0</v>
      </c>
      <c r="BC628" s="590">
        <f>IF(A12taxstdlife="n/a","n/a",IF(BC$3&gt;(A12taxstdlife+$E628),(('PTRM input'!$J$154+'PTRM input'!$J$120)*$J$7)-SUM($J628:BB628),(('PTRM input'!$J$154+'PTRM input'!$J$120)*$J$7)/A12taxstdlife))</f>
        <v>0</v>
      </c>
      <c r="BD628" s="590">
        <f>IF(A12taxstdlife="n/a","n/a",IF(BD$3&gt;(A12taxstdlife+$E628),(('PTRM input'!$J$154+'PTRM input'!$J$120)*$J$7)-SUM($J628:BC628),(('PTRM input'!$J$154+'PTRM input'!$J$120)*$J$7)/A12taxstdlife))</f>
        <v>0</v>
      </c>
      <c r="BE628" s="590">
        <f>IF(A12taxstdlife="n/a","n/a",IF(BE$3&gt;(A12taxstdlife+$E628),(('PTRM input'!$J$154+'PTRM input'!$J$120)*$J$7)-SUM($J628:BD628),(('PTRM input'!$J$154+'PTRM input'!$J$120)*$J$7)/A12taxstdlife))</f>
        <v>0</v>
      </c>
      <c r="BF628" s="590">
        <f>IF(A12taxstdlife="n/a","n/a",IF(BF$3&gt;(A12taxstdlife+$E628),(('PTRM input'!$J$154+'PTRM input'!$J$120)*$J$7)-SUM($J628:BE628),(('PTRM input'!$J$154+'PTRM input'!$J$120)*$J$7)/A12taxstdlife))</f>
        <v>0</v>
      </c>
      <c r="BG628" s="590">
        <f>IF(A12taxstdlife="n/a","n/a",IF(BG$3&gt;(A12taxstdlife+$E628),(('PTRM input'!$J$154+'PTRM input'!$J$120)*$J$7)-SUM($J628:BF628),(('PTRM input'!$J$154+'PTRM input'!$J$120)*$J$7)/A12taxstdlife))</f>
        <v>0</v>
      </c>
      <c r="BH628" s="590">
        <f>IF(A12taxstdlife="n/a","n/a",IF(BH$3&gt;(A12taxstdlife+$E628),(('PTRM input'!$J$154+'PTRM input'!$J$120)*$J$7)-SUM($J628:BG628),(('PTRM input'!$J$154+'PTRM input'!$J$120)*$J$7)/A12taxstdlife))</f>
        <v>0</v>
      </c>
      <c r="BI628" s="590">
        <f>IF(A12taxstdlife="n/a","n/a",IF(BI$3&gt;(A12taxstdlife+$E628),(('PTRM input'!$J$154+'PTRM input'!$J$120)*$J$7)-SUM($J628:BH628),(('PTRM input'!$J$154+'PTRM input'!$J$120)*$J$7)/A12taxstdlife))</f>
        <v>0</v>
      </c>
      <c r="BJ628" s="240"/>
      <c r="BK628" s="240"/>
      <c r="BL628" s="240"/>
      <c r="BM628" s="240"/>
    </row>
    <row r="629" spans="1:65" s="4" customFormat="1" hidden="1" outlineLevel="2">
      <c r="A629" s="240"/>
      <c r="B629" s="240"/>
      <c r="C629" s="595"/>
      <c r="D629" s="1618"/>
      <c r="E629" s="169">
        <v>5</v>
      </c>
      <c r="F629" s="35"/>
      <c r="G629" s="184"/>
      <c r="H629" s="186"/>
      <c r="I629" s="186"/>
      <c r="J629" s="186"/>
      <c r="K629" s="185"/>
      <c r="L629" s="107">
        <f>IF(A12taxstdlife="n/a","n/a",IF(L$3&gt;(A12taxstdlife+$E629),(('PTRM input'!$K$154+'PTRM input'!$K$120)*$K$7)-SUM($K629:K629),(('PTRM input'!$K$154+'PTRM input'!$K$120)*$K$7)/A12taxstdlife))</f>
        <v>0</v>
      </c>
      <c r="M629" s="107">
        <f>IF(A12taxstdlife="n/a","n/a",IF(M$3&gt;(A12taxstdlife+$E629),(('PTRM input'!$K$154+'PTRM input'!$K$120)*$K$7)-SUM($K629:L629),(('PTRM input'!$K$154+'PTRM input'!$K$120)*$K$7)/A12taxstdlife))</f>
        <v>0</v>
      </c>
      <c r="N629" s="107">
        <f>IF(A12taxstdlife="n/a","n/a",IF(N$3&gt;(A12taxstdlife+$E629),(('PTRM input'!$K$154+'PTRM input'!$K$120)*$K$7)-SUM($K629:M629),(('PTRM input'!$K$154+'PTRM input'!$K$120)*$K$7)/A12taxstdlife))</f>
        <v>0</v>
      </c>
      <c r="O629" s="107">
        <f>IF(A12taxstdlife="n/a","n/a",IF(O$3&gt;(A12taxstdlife+$E629),(('PTRM input'!$K$154+'PTRM input'!$K$120)*$K$7)-SUM($K629:N629),(('PTRM input'!$K$154+'PTRM input'!$K$120)*$K$7)/A12taxstdlife))</f>
        <v>0</v>
      </c>
      <c r="P629" s="107">
        <f>IF(A12taxstdlife="n/a","n/a",IF(P$3&gt;(A12taxstdlife+$E629),(('PTRM input'!$K$154+'PTRM input'!$K$120)*$K$7)-SUM($K629:O629),(('PTRM input'!$K$154+'PTRM input'!$K$120)*$K$7)/A12taxstdlife))</f>
        <v>0</v>
      </c>
      <c r="Q629" s="590">
        <f>IF(A12taxstdlife="n/a","n/a",IF(Q$3&gt;(A12taxstdlife+$E629),(('PTRM input'!$K$154+'PTRM input'!$K$120)*$K$7)-SUM($K629:P629),(('PTRM input'!$K$154+'PTRM input'!$K$120)*$K$7)/A12taxstdlife))</f>
        <v>0</v>
      </c>
      <c r="R629" s="590">
        <f>IF(A12taxstdlife="n/a","n/a",IF(R$3&gt;(A12taxstdlife+$E629),(('PTRM input'!$K$154+'PTRM input'!$K$120)*$K$7)-SUM($K629:Q629),(('PTRM input'!$K$154+'PTRM input'!$K$120)*$K$7)/A12taxstdlife))</f>
        <v>0</v>
      </c>
      <c r="S629" s="590">
        <f>IF(A12taxstdlife="n/a","n/a",IF(S$3&gt;(A12taxstdlife+$E629),(('PTRM input'!$K$154+'PTRM input'!$K$120)*$K$7)-SUM($K629:R629),(('PTRM input'!$K$154+'PTRM input'!$K$120)*$K$7)/A12taxstdlife))</f>
        <v>0</v>
      </c>
      <c r="T629" s="590">
        <f>IF(A12taxstdlife="n/a","n/a",IF(T$3&gt;(A12taxstdlife+$E629),(('PTRM input'!$K$154+'PTRM input'!$K$120)*$K$7)-SUM($K629:S629),(('PTRM input'!$K$154+'PTRM input'!$K$120)*$K$7)/A12taxstdlife))</f>
        <v>0</v>
      </c>
      <c r="U629" s="590">
        <f>IF(A12taxstdlife="n/a","n/a",IF(U$3&gt;(A12taxstdlife+$E629),(('PTRM input'!$K$154+'PTRM input'!$K$120)*$K$7)-SUM($K629:T629),(('PTRM input'!$K$154+'PTRM input'!$K$120)*$K$7)/A12taxstdlife))</f>
        <v>0</v>
      </c>
      <c r="V629" s="590">
        <f>IF(A12taxstdlife="n/a","n/a",IF(V$3&gt;(A12taxstdlife+$E629),(('PTRM input'!$K$154+'PTRM input'!$K$120)*$K$7)-SUM($K629:U629),(('PTRM input'!$K$154+'PTRM input'!$K$120)*$K$7)/A12taxstdlife))</f>
        <v>0</v>
      </c>
      <c r="W629" s="590">
        <f>IF(A12taxstdlife="n/a","n/a",IF(W$3&gt;(A12taxstdlife+$E629),(('PTRM input'!$K$154+'PTRM input'!$K$120)*$K$7)-SUM($K629:V629),(('PTRM input'!$K$154+'PTRM input'!$K$120)*$K$7)/A12taxstdlife))</f>
        <v>0</v>
      </c>
      <c r="X629" s="590">
        <f>IF(A12taxstdlife="n/a","n/a",IF(X$3&gt;(A12taxstdlife+$E629),(('PTRM input'!$K$154+'PTRM input'!$K$120)*$K$7)-SUM($K629:W629),(('PTRM input'!$K$154+'PTRM input'!$K$120)*$K$7)/A12taxstdlife))</f>
        <v>0</v>
      </c>
      <c r="Y629" s="590">
        <f>IF(A12taxstdlife="n/a","n/a",IF(Y$3&gt;(A12taxstdlife+$E629),(('PTRM input'!$K$154+'PTRM input'!$K$120)*$K$7)-SUM($K629:X629),(('PTRM input'!$K$154+'PTRM input'!$K$120)*$K$7)/A12taxstdlife))</f>
        <v>0</v>
      </c>
      <c r="Z629" s="590">
        <f>IF(A12taxstdlife="n/a","n/a",IF(Z$3&gt;(A12taxstdlife+$E629),(('PTRM input'!$K$154+'PTRM input'!$K$120)*$K$7)-SUM($K629:Y629),(('PTRM input'!$K$154+'PTRM input'!$K$120)*$K$7)/A12taxstdlife))</f>
        <v>0</v>
      </c>
      <c r="AA629" s="590">
        <f>IF(A12taxstdlife="n/a","n/a",IF(AA$3&gt;(A12taxstdlife+$E629),(('PTRM input'!$K$154+'PTRM input'!$K$120)*$K$7)-SUM($K629:Z629),(('PTRM input'!$K$154+'PTRM input'!$K$120)*$K$7)/A12taxstdlife))</f>
        <v>0</v>
      </c>
      <c r="AB629" s="590">
        <f>IF(A12taxstdlife="n/a","n/a",IF(AB$3&gt;(A12taxstdlife+$E629),(('PTRM input'!$K$154+'PTRM input'!$K$120)*$K$7)-SUM($K629:AA629),(('PTRM input'!$K$154+'PTRM input'!$K$120)*$K$7)/A12taxstdlife))</f>
        <v>0</v>
      </c>
      <c r="AC629" s="590">
        <f>IF(A12taxstdlife="n/a","n/a",IF(AC$3&gt;(A12taxstdlife+$E629),(('PTRM input'!$K$154+'PTRM input'!$K$120)*$K$7)-SUM($K629:AB629),(('PTRM input'!$K$154+'PTRM input'!$K$120)*$K$7)/A12taxstdlife))</f>
        <v>0</v>
      </c>
      <c r="AD629" s="590">
        <f>IF(A12taxstdlife="n/a","n/a",IF(AD$3&gt;(A12taxstdlife+$E629),(('PTRM input'!$K$154+'PTRM input'!$K$120)*$K$7)-SUM($K629:AC629),(('PTRM input'!$K$154+'PTRM input'!$K$120)*$K$7)/A12taxstdlife))</f>
        <v>0</v>
      </c>
      <c r="AE629" s="590">
        <f>IF(A12taxstdlife="n/a","n/a",IF(AE$3&gt;(A12taxstdlife+$E629),(('PTRM input'!$K$154+'PTRM input'!$K$120)*$K$7)-SUM($K629:AD629),(('PTRM input'!$K$154+'PTRM input'!$K$120)*$K$7)/A12taxstdlife))</f>
        <v>0</v>
      </c>
      <c r="AF629" s="590">
        <f>IF(A12taxstdlife="n/a","n/a",IF(AF$3&gt;(A12taxstdlife+$E629),(('PTRM input'!$K$154+'PTRM input'!$K$120)*$K$7)-SUM($K629:AE629),(('PTRM input'!$K$154+'PTRM input'!$K$120)*$K$7)/A12taxstdlife))</f>
        <v>0</v>
      </c>
      <c r="AG629" s="590">
        <f>IF(A12taxstdlife="n/a","n/a",IF(AG$3&gt;(A12taxstdlife+$E629),(('PTRM input'!$K$154+'PTRM input'!$K$120)*$K$7)-SUM($K629:AF629),(('PTRM input'!$K$154+'PTRM input'!$K$120)*$K$7)/A12taxstdlife))</f>
        <v>0</v>
      </c>
      <c r="AH629" s="590">
        <f>IF(A12taxstdlife="n/a","n/a",IF(AH$3&gt;(A12taxstdlife+$E629),(('PTRM input'!$K$154+'PTRM input'!$K$120)*$K$7)-SUM($K629:AG629),(('PTRM input'!$K$154+'PTRM input'!$K$120)*$K$7)/A12taxstdlife))</f>
        <v>0</v>
      </c>
      <c r="AI629" s="590">
        <f>IF(A12taxstdlife="n/a","n/a",IF(AI$3&gt;(A12taxstdlife+$E629),(('PTRM input'!$K$154+'PTRM input'!$K$120)*$K$7)-SUM($K629:AH629),(('PTRM input'!$K$154+'PTRM input'!$K$120)*$K$7)/A12taxstdlife))</f>
        <v>0</v>
      </c>
      <c r="AJ629" s="590">
        <f>IF(A12taxstdlife="n/a","n/a",IF(AJ$3&gt;(A12taxstdlife+$E629),(('PTRM input'!$K$154+'PTRM input'!$K$120)*$K$7)-SUM($K629:AI629),(('PTRM input'!$K$154+'PTRM input'!$K$120)*$K$7)/A12taxstdlife))</f>
        <v>0</v>
      </c>
      <c r="AK629" s="590">
        <f>IF(A12taxstdlife="n/a","n/a",IF(AK$3&gt;(A12taxstdlife+$E629),(('PTRM input'!$K$154+'PTRM input'!$K$120)*$K$7)-SUM($K629:AJ629),(('PTRM input'!$K$154+'PTRM input'!$K$120)*$K$7)/A12taxstdlife))</f>
        <v>0</v>
      </c>
      <c r="AL629" s="590">
        <f>IF(A12taxstdlife="n/a","n/a",IF(AL$3&gt;(A12taxstdlife+$E629),(('PTRM input'!$K$154+'PTRM input'!$K$120)*$K$7)-SUM($K629:AK629),(('PTRM input'!$K$154+'PTRM input'!$K$120)*$K$7)/A12taxstdlife))</f>
        <v>0</v>
      </c>
      <c r="AM629" s="590">
        <f>IF(A12taxstdlife="n/a","n/a",IF(AM$3&gt;(A12taxstdlife+$E629),(('PTRM input'!$K$154+'PTRM input'!$K$120)*$K$7)-SUM($K629:AL629),(('PTRM input'!$K$154+'PTRM input'!$K$120)*$K$7)/A12taxstdlife))</f>
        <v>0</v>
      </c>
      <c r="AN629" s="590">
        <f>IF(A12taxstdlife="n/a","n/a",IF(AN$3&gt;(A12taxstdlife+$E629),(('PTRM input'!$K$154+'PTRM input'!$K$120)*$K$7)-SUM($K629:AM629),(('PTRM input'!$K$154+'PTRM input'!$K$120)*$K$7)/A12taxstdlife))</f>
        <v>0</v>
      </c>
      <c r="AO629" s="590">
        <f>IF(A12taxstdlife="n/a","n/a",IF(AO$3&gt;(A12taxstdlife+$E629),(('PTRM input'!$K$154+'PTRM input'!$K$120)*$K$7)-SUM($K629:AN629),(('PTRM input'!$K$154+'PTRM input'!$K$120)*$K$7)/A12taxstdlife))</f>
        <v>0</v>
      </c>
      <c r="AP629" s="590">
        <f>IF(A12taxstdlife="n/a","n/a",IF(AP$3&gt;(A12taxstdlife+$E629),(('PTRM input'!$K$154+'PTRM input'!$K$120)*$K$7)-SUM($K629:AO629),(('PTRM input'!$K$154+'PTRM input'!$K$120)*$K$7)/A12taxstdlife))</f>
        <v>0</v>
      </c>
      <c r="AQ629" s="590">
        <f>IF(A12taxstdlife="n/a","n/a",IF(AQ$3&gt;(A12taxstdlife+$E629),(('PTRM input'!$K$154+'PTRM input'!$K$120)*$K$7)-SUM($K629:AP629),(('PTRM input'!$K$154+'PTRM input'!$K$120)*$K$7)/A12taxstdlife))</f>
        <v>0</v>
      </c>
      <c r="AR629" s="590">
        <f>IF(A12taxstdlife="n/a","n/a",IF(AR$3&gt;(A12taxstdlife+$E629),(('PTRM input'!$K$154+'PTRM input'!$K$120)*$K$7)-SUM($K629:AQ629),(('PTRM input'!$K$154+'PTRM input'!$K$120)*$K$7)/A12taxstdlife))</f>
        <v>0</v>
      </c>
      <c r="AS629" s="590">
        <f>IF(A12taxstdlife="n/a","n/a",IF(AS$3&gt;(A12taxstdlife+$E629),(('PTRM input'!$K$154+'PTRM input'!$K$120)*$K$7)-SUM($K629:AR629),(('PTRM input'!$K$154+'PTRM input'!$K$120)*$K$7)/A12taxstdlife))</f>
        <v>0</v>
      </c>
      <c r="AT629" s="590">
        <f>IF(A12taxstdlife="n/a","n/a",IF(AT$3&gt;(A12taxstdlife+$E629),(('PTRM input'!$K$154+'PTRM input'!$K$120)*$K$7)-SUM($K629:AS629),(('PTRM input'!$K$154+'PTRM input'!$K$120)*$K$7)/A12taxstdlife))</f>
        <v>0</v>
      </c>
      <c r="AU629" s="590">
        <f>IF(A12taxstdlife="n/a","n/a",IF(AU$3&gt;(A12taxstdlife+$E629),(('PTRM input'!$K$154+'PTRM input'!$K$120)*$K$7)-SUM($K629:AT629),(('PTRM input'!$K$154+'PTRM input'!$K$120)*$K$7)/A12taxstdlife))</f>
        <v>0</v>
      </c>
      <c r="AV629" s="590">
        <f>IF(A12taxstdlife="n/a","n/a",IF(AV$3&gt;(A12taxstdlife+$E629),(('PTRM input'!$K$154+'PTRM input'!$K$120)*$K$7)-SUM($K629:AU629),(('PTRM input'!$K$154+'PTRM input'!$K$120)*$K$7)/A12taxstdlife))</f>
        <v>0</v>
      </c>
      <c r="AW629" s="590">
        <f>IF(A12taxstdlife="n/a","n/a",IF(AW$3&gt;(A12taxstdlife+$E629),(('PTRM input'!$K$154+'PTRM input'!$K$120)*$K$7)-SUM($K629:AV629),(('PTRM input'!$K$154+'PTRM input'!$K$120)*$K$7)/A12taxstdlife))</f>
        <v>0</v>
      </c>
      <c r="AX629" s="590">
        <f>IF(A12taxstdlife="n/a","n/a",IF(AX$3&gt;(A12taxstdlife+$E629),(('PTRM input'!$K$154+'PTRM input'!$K$120)*$K$7)-SUM($K629:AW629),(('PTRM input'!$K$154+'PTRM input'!$K$120)*$K$7)/A12taxstdlife))</f>
        <v>0</v>
      </c>
      <c r="AY629" s="590">
        <f>IF(A12taxstdlife="n/a","n/a",IF(AY$3&gt;(A12taxstdlife+$E629),(('PTRM input'!$K$154+'PTRM input'!$K$120)*$K$7)-SUM($K629:AX629),(('PTRM input'!$K$154+'PTRM input'!$K$120)*$K$7)/A12taxstdlife))</f>
        <v>0</v>
      </c>
      <c r="AZ629" s="590">
        <f>IF(A12taxstdlife="n/a","n/a",IF(AZ$3&gt;(A12taxstdlife+$E629),(('PTRM input'!$K$154+'PTRM input'!$K$120)*$K$7)-SUM($K629:AY629),(('PTRM input'!$K$154+'PTRM input'!$K$120)*$K$7)/A12taxstdlife))</f>
        <v>0</v>
      </c>
      <c r="BA629" s="590">
        <f>IF(A12taxstdlife="n/a","n/a",IF(BA$3&gt;(A12taxstdlife+$E629),(('PTRM input'!$K$154+'PTRM input'!$K$120)*$K$7)-SUM($K629:AZ629),(('PTRM input'!$K$154+'PTRM input'!$K$120)*$K$7)/A12taxstdlife))</f>
        <v>0</v>
      </c>
      <c r="BB629" s="590">
        <f>IF(A12taxstdlife="n/a","n/a",IF(BB$3&gt;(A12taxstdlife+$E629),(('PTRM input'!$K$154+'PTRM input'!$K$120)*$K$7)-SUM($K629:BA629),(('PTRM input'!$K$154+'PTRM input'!$K$120)*$K$7)/A12taxstdlife))</f>
        <v>0</v>
      </c>
      <c r="BC629" s="590">
        <f>IF(A12taxstdlife="n/a","n/a",IF(BC$3&gt;(A12taxstdlife+$E629),(('PTRM input'!$K$154+'PTRM input'!$K$120)*$K$7)-SUM($K629:BB629),(('PTRM input'!$K$154+'PTRM input'!$K$120)*$K$7)/A12taxstdlife))</f>
        <v>0</v>
      </c>
      <c r="BD629" s="590">
        <f>IF(A12taxstdlife="n/a","n/a",IF(BD$3&gt;(A12taxstdlife+$E629),(('PTRM input'!$K$154+'PTRM input'!$K$120)*$K$7)-SUM($K629:BC629),(('PTRM input'!$K$154+'PTRM input'!$K$120)*$K$7)/A12taxstdlife))</f>
        <v>0</v>
      </c>
      <c r="BE629" s="590">
        <f>IF(A12taxstdlife="n/a","n/a",IF(BE$3&gt;(A12taxstdlife+$E629),(('PTRM input'!$K$154+'PTRM input'!$K$120)*$K$7)-SUM($K629:BD629),(('PTRM input'!$K$154+'PTRM input'!$K$120)*$K$7)/A12taxstdlife))</f>
        <v>0</v>
      </c>
      <c r="BF629" s="590">
        <f>IF(A12taxstdlife="n/a","n/a",IF(BF$3&gt;(A12taxstdlife+$E629),(('PTRM input'!$K$154+'PTRM input'!$K$120)*$K$7)-SUM($K629:BE629),(('PTRM input'!$K$154+'PTRM input'!$K$120)*$K$7)/A12taxstdlife))</f>
        <v>0</v>
      </c>
      <c r="BG629" s="590">
        <f>IF(A12taxstdlife="n/a","n/a",IF(BG$3&gt;(A12taxstdlife+$E629),(('PTRM input'!$K$154+'PTRM input'!$K$120)*$K$7)-SUM($K629:BF629),(('PTRM input'!$K$154+'PTRM input'!$K$120)*$K$7)/A12taxstdlife))</f>
        <v>0</v>
      </c>
      <c r="BH629" s="590">
        <f>IF(A12taxstdlife="n/a","n/a",IF(BH$3&gt;(A12taxstdlife+$E629),(('PTRM input'!$K$154+'PTRM input'!$K$120)*$K$7)-SUM($K629:BG629),(('PTRM input'!$K$154+'PTRM input'!$K$120)*$K$7)/A12taxstdlife))</f>
        <v>0</v>
      </c>
      <c r="BI629" s="590">
        <f>IF(A12taxstdlife="n/a","n/a",IF(BI$3&gt;(A12taxstdlife+$E629),(('PTRM input'!$K$154+'PTRM input'!$K$120)*$K$7)-SUM($K629:BH629),(('PTRM input'!$K$154+'PTRM input'!$K$120)*$K$7)/A12taxstdlife))</f>
        <v>0</v>
      </c>
      <c r="BJ629" s="240"/>
      <c r="BK629" s="240"/>
      <c r="BL629" s="240"/>
      <c r="BM629" s="240"/>
    </row>
    <row r="630" spans="1:65" s="4" customFormat="1" hidden="1" outlineLevel="2">
      <c r="A630" s="240"/>
      <c r="B630" s="240"/>
      <c r="C630" s="595"/>
      <c r="D630" s="1618"/>
      <c r="E630" s="169">
        <v>6</v>
      </c>
      <c r="F630" s="35"/>
      <c r="G630" s="184"/>
      <c r="H630" s="186"/>
      <c r="I630" s="186"/>
      <c r="J630" s="186"/>
      <c r="K630" s="186"/>
      <c r="L630" s="185"/>
      <c r="M630" s="107">
        <f>IF(A12taxstdlife="n/a","n/a",IF(M$3&gt;(A12taxstdlife+$E630),(('PTRM input'!$L$154+'PTRM input'!$L$120)*$L$7)-SUM($L630:L630),(('PTRM input'!$L$154+'PTRM input'!$L$120)*$L$7)/A12taxstdlife))</f>
        <v>0</v>
      </c>
      <c r="N630" s="107">
        <f>IF(A12taxstdlife="n/a","n/a",IF(N$3&gt;(A12taxstdlife+$E630),(('PTRM input'!$L$154+'PTRM input'!$L$120)*$L$7)-SUM($L630:M630),(('PTRM input'!$L$154+'PTRM input'!$L$120)*$L$7)/A12taxstdlife))</f>
        <v>0</v>
      </c>
      <c r="O630" s="107">
        <f>IF(A12taxstdlife="n/a","n/a",IF(O$3&gt;(A12taxstdlife+$E630),(('PTRM input'!$L$154+'PTRM input'!$L$120)*$L$7)-SUM($L630:N630),(('PTRM input'!$L$154+'PTRM input'!$L$120)*$L$7)/A12taxstdlife))</f>
        <v>0</v>
      </c>
      <c r="P630" s="107">
        <f>IF(A12taxstdlife="n/a","n/a",IF(P$3&gt;(A12taxstdlife+$E630),(('PTRM input'!$L$154+'PTRM input'!$L$120)*$L$7)-SUM($L630:O630),(('PTRM input'!$L$154+'PTRM input'!$L$120)*$L$7)/A12taxstdlife))</f>
        <v>0</v>
      </c>
      <c r="Q630" s="590">
        <f>IF(A12taxstdlife="n/a","n/a",IF(Q$3&gt;(A12taxstdlife+$E630),(('PTRM input'!$L$154+'PTRM input'!$L$120)*$L$7)-SUM($L630:P630),(('PTRM input'!$L$154+'PTRM input'!$L$120)*$L$7)/A12taxstdlife))</f>
        <v>0</v>
      </c>
      <c r="R630" s="590">
        <f>IF(A12taxstdlife="n/a","n/a",IF(R$3&gt;(A12taxstdlife+$E630),(('PTRM input'!$L$154+'PTRM input'!$L$120)*$L$7)-SUM($L630:Q630),(('PTRM input'!$L$154+'PTRM input'!$L$120)*$L$7)/A12taxstdlife))</f>
        <v>0</v>
      </c>
      <c r="S630" s="590">
        <f>IF(A12taxstdlife="n/a","n/a",IF(S$3&gt;(A12taxstdlife+$E630),(('PTRM input'!$L$154+'PTRM input'!$L$120)*$L$7)-SUM($L630:R630),(('PTRM input'!$L$154+'PTRM input'!$L$120)*$L$7)/A12taxstdlife))</f>
        <v>0</v>
      </c>
      <c r="T630" s="590">
        <f>IF(A12taxstdlife="n/a","n/a",IF(T$3&gt;(A12taxstdlife+$E630),(('PTRM input'!$L$154+'PTRM input'!$L$120)*$L$7)-SUM($L630:S630),(('PTRM input'!$L$154+'PTRM input'!$L$120)*$L$7)/A12taxstdlife))</f>
        <v>0</v>
      </c>
      <c r="U630" s="590">
        <f>IF(A12taxstdlife="n/a","n/a",IF(U$3&gt;(A12taxstdlife+$E630),(('PTRM input'!$L$154+'PTRM input'!$L$120)*$L$7)-SUM($L630:T630),(('PTRM input'!$L$154+'PTRM input'!$L$120)*$L$7)/A12taxstdlife))</f>
        <v>0</v>
      </c>
      <c r="V630" s="590">
        <f>IF(A12taxstdlife="n/a","n/a",IF(V$3&gt;(A12taxstdlife+$E630),(('PTRM input'!$L$154+'PTRM input'!$L$120)*$L$7)-SUM($L630:U630),(('PTRM input'!$L$154+'PTRM input'!$L$120)*$L$7)/A12taxstdlife))</f>
        <v>0</v>
      </c>
      <c r="W630" s="590">
        <f>IF(A12taxstdlife="n/a","n/a",IF(W$3&gt;(A12taxstdlife+$E630),(('PTRM input'!$L$154+'PTRM input'!$L$120)*$L$7)-SUM($L630:V630),(('PTRM input'!$L$154+'PTRM input'!$L$120)*$L$7)/A12taxstdlife))</f>
        <v>0</v>
      </c>
      <c r="X630" s="590">
        <f>IF(A12taxstdlife="n/a","n/a",IF(X$3&gt;(A12taxstdlife+$E630),(('PTRM input'!$L$154+'PTRM input'!$L$120)*$L$7)-SUM($L630:W630),(('PTRM input'!$L$154+'PTRM input'!$L$120)*$L$7)/A12taxstdlife))</f>
        <v>0</v>
      </c>
      <c r="Y630" s="590">
        <f>IF(A12taxstdlife="n/a","n/a",IF(Y$3&gt;(A12taxstdlife+$E630),(('PTRM input'!$L$154+'PTRM input'!$L$120)*$L$7)-SUM($L630:X630),(('PTRM input'!$L$154+'PTRM input'!$L$120)*$L$7)/A12taxstdlife))</f>
        <v>0</v>
      </c>
      <c r="Z630" s="590">
        <f>IF(A12taxstdlife="n/a","n/a",IF(Z$3&gt;(A12taxstdlife+$E630),(('PTRM input'!$L$154+'PTRM input'!$L$120)*$L$7)-SUM($L630:Y630),(('PTRM input'!$L$154+'PTRM input'!$L$120)*$L$7)/A12taxstdlife))</f>
        <v>0</v>
      </c>
      <c r="AA630" s="590">
        <f>IF(A12taxstdlife="n/a","n/a",IF(AA$3&gt;(A12taxstdlife+$E630),(('PTRM input'!$L$154+'PTRM input'!$L$120)*$L$7)-SUM($L630:Z630),(('PTRM input'!$L$154+'PTRM input'!$L$120)*$L$7)/A12taxstdlife))</f>
        <v>0</v>
      </c>
      <c r="AB630" s="590">
        <f>IF(A12taxstdlife="n/a","n/a",IF(AB$3&gt;(A12taxstdlife+$E630),(('PTRM input'!$L$154+'PTRM input'!$L$120)*$L$7)-SUM($L630:AA630),(('PTRM input'!$L$154+'PTRM input'!$L$120)*$L$7)/A12taxstdlife))</f>
        <v>0</v>
      </c>
      <c r="AC630" s="590">
        <f>IF(A12taxstdlife="n/a","n/a",IF(AC$3&gt;(A12taxstdlife+$E630),(('PTRM input'!$L$154+'PTRM input'!$L$120)*$L$7)-SUM($L630:AB630),(('PTRM input'!$L$154+'PTRM input'!$L$120)*$L$7)/A12taxstdlife))</f>
        <v>0</v>
      </c>
      <c r="AD630" s="590">
        <f>IF(A12taxstdlife="n/a","n/a",IF(AD$3&gt;(A12taxstdlife+$E630),(('PTRM input'!$L$154+'PTRM input'!$L$120)*$L$7)-SUM($L630:AC630),(('PTRM input'!$L$154+'PTRM input'!$L$120)*$L$7)/A12taxstdlife))</f>
        <v>0</v>
      </c>
      <c r="AE630" s="590">
        <f>IF(A12taxstdlife="n/a","n/a",IF(AE$3&gt;(A12taxstdlife+$E630),(('PTRM input'!$L$154+'PTRM input'!$L$120)*$L$7)-SUM($L630:AD630),(('PTRM input'!$L$154+'PTRM input'!$L$120)*$L$7)/A12taxstdlife))</f>
        <v>0</v>
      </c>
      <c r="AF630" s="590">
        <f>IF(A12taxstdlife="n/a","n/a",IF(AF$3&gt;(A12taxstdlife+$E630),(('PTRM input'!$L$154+'PTRM input'!$L$120)*$L$7)-SUM($L630:AE630),(('PTRM input'!$L$154+'PTRM input'!$L$120)*$L$7)/A12taxstdlife))</f>
        <v>0</v>
      </c>
      <c r="AG630" s="590">
        <f>IF(A12taxstdlife="n/a","n/a",IF(AG$3&gt;(A12taxstdlife+$E630),(('PTRM input'!$L$154+'PTRM input'!$L$120)*$L$7)-SUM($L630:AF630),(('PTRM input'!$L$154+'PTRM input'!$L$120)*$L$7)/A12taxstdlife))</f>
        <v>0</v>
      </c>
      <c r="AH630" s="590">
        <f>IF(A12taxstdlife="n/a","n/a",IF(AH$3&gt;(A12taxstdlife+$E630),(('PTRM input'!$L$154+'PTRM input'!$L$120)*$L$7)-SUM($L630:AG630),(('PTRM input'!$L$154+'PTRM input'!$L$120)*$L$7)/A12taxstdlife))</f>
        <v>0</v>
      </c>
      <c r="AI630" s="590">
        <f>IF(A12taxstdlife="n/a","n/a",IF(AI$3&gt;(A12taxstdlife+$E630),(('PTRM input'!$L$154+'PTRM input'!$L$120)*$L$7)-SUM($L630:AH630),(('PTRM input'!$L$154+'PTRM input'!$L$120)*$L$7)/A12taxstdlife))</f>
        <v>0</v>
      </c>
      <c r="AJ630" s="590">
        <f>IF(A12taxstdlife="n/a","n/a",IF(AJ$3&gt;(A12taxstdlife+$E630),(('PTRM input'!$L$154+'PTRM input'!$L$120)*$L$7)-SUM($L630:AI630),(('PTRM input'!$L$154+'PTRM input'!$L$120)*$L$7)/A12taxstdlife))</f>
        <v>0</v>
      </c>
      <c r="AK630" s="590">
        <f>IF(A12taxstdlife="n/a","n/a",IF(AK$3&gt;(A12taxstdlife+$E630),(('PTRM input'!$L$154+'PTRM input'!$L$120)*$L$7)-SUM($L630:AJ630),(('PTRM input'!$L$154+'PTRM input'!$L$120)*$L$7)/A12taxstdlife))</f>
        <v>0</v>
      </c>
      <c r="AL630" s="590">
        <f>IF(A12taxstdlife="n/a","n/a",IF(AL$3&gt;(A12taxstdlife+$E630),(('PTRM input'!$L$154+'PTRM input'!$L$120)*$L$7)-SUM($L630:AK630),(('PTRM input'!$L$154+'PTRM input'!$L$120)*$L$7)/A12taxstdlife))</f>
        <v>0</v>
      </c>
      <c r="AM630" s="590">
        <f>IF(A12taxstdlife="n/a","n/a",IF(AM$3&gt;(A12taxstdlife+$E630),(('PTRM input'!$L$154+'PTRM input'!$L$120)*$L$7)-SUM($L630:AL630),(('PTRM input'!$L$154+'PTRM input'!$L$120)*$L$7)/A12taxstdlife))</f>
        <v>0</v>
      </c>
      <c r="AN630" s="590">
        <f>IF(A12taxstdlife="n/a","n/a",IF(AN$3&gt;(A12taxstdlife+$E630),(('PTRM input'!$L$154+'PTRM input'!$L$120)*$L$7)-SUM($L630:AM630),(('PTRM input'!$L$154+'PTRM input'!$L$120)*$L$7)/A12taxstdlife))</f>
        <v>0</v>
      </c>
      <c r="AO630" s="590">
        <f>IF(A12taxstdlife="n/a","n/a",IF(AO$3&gt;(A12taxstdlife+$E630),(('PTRM input'!$L$154+'PTRM input'!$L$120)*$L$7)-SUM($L630:AN630),(('PTRM input'!$L$154+'PTRM input'!$L$120)*$L$7)/A12taxstdlife))</f>
        <v>0</v>
      </c>
      <c r="AP630" s="590">
        <f>IF(A12taxstdlife="n/a","n/a",IF(AP$3&gt;(A12taxstdlife+$E630),(('PTRM input'!$L$154+'PTRM input'!$L$120)*$L$7)-SUM($L630:AO630),(('PTRM input'!$L$154+'PTRM input'!$L$120)*$L$7)/A12taxstdlife))</f>
        <v>0</v>
      </c>
      <c r="AQ630" s="590">
        <f>IF(A12taxstdlife="n/a","n/a",IF(AQ$3&gt;(A12taxstdlife+$E630),(('PTRM input'!$L$154+'PTRM input'!$L$120)*$L$7)-SUM($L630:AP630),(('PTRM input'!$L$154+'PTRM input'!$L$120)*$L$7)/A12taxstdlife))</f>
        <v>0</v>
      </c>
      <c r="AR630" s="590">
        <f>IF(A12taxstdlife="n/a","n/a",IF(AR$3&gt;(A12taxstdlife+$E630),(('PTRM input'!$L$154+'PTRM input'!$L$120)*$L$7)-SUM($L630:AQ630),(('PTRM input'!$L$154+'PTRM input'!$L$120)*$L$7)/A12taxstdlife))</f>
        <v>0</v>
      </c>
      <c r="AS630" s="590">
        <f>IF(A12taxstdlife="n/a","n/a",IF(AS$3&gt;(A12taxstdlife+$E630),(('PTRM input'!$L$154+'PTRM input'!$L$120)*$L$7)-SUM($L630:AR630),(('PTRM input'!$L$154+'PTRM input'!$L$120)*$L$7)/A12taxstdlife))</f>
        <v>0</v>
      </c>
      <c r="AT630" s="590">
        <f>IF(A12taxstdlife="n/a","n/a",IF(AT$3&gt;(A12taxstdlife+$E630),(('PTRM input'!$L$154+'PTRM input'!$L$120)*$L$7)-SUM($L630:AS630),(('PTRM input'!$L$154+'PTRM input'!$L$120)*$L$7)/A12taxstdlife))</f>
        <v>0</v>
      </c>
      <c r="AU630" s="590">
        <f>IF(A12taxstdlife="n/a","n/a",IF(AU$3&gt;(A12taxstdlife+$E630),(('PTRM input'!$L$154+'PTRM input'!$L$120)*$L$7)-SUM($L630:AT630),(('PTRM input'!$L$154+'PTRM input'!$L$120)*$L$7)/A12taxstdlife))</f>
        <v>0</v>
      </c>
      <c r="AV630" s="590">
        <f>IF(A12taxstdlife="n/a","n/a",IF(AV$3&gt;(A12taxstdlife+$E630),(('PTRM input'!$L$154+'PTRM input'!$L$120)*$L$7)-SUM($L630:AU630),(('PTRM input'!$L$154+'PTRM input'!$L$120)*$L$7)/A12taxstdlife))</f>
        <v>0</v>
      </c>
      <c r="AW630" s="590">
        <f>IF(A12taxstdlife="n/a","n/a",IF(AW$3&gt;(A12taxstdlife+$E630),(('PTRM input'!$L$154+'PTRM input'!$L$120)*$L$7)-SUM($L630:AV630),(('PTRM input'!$L$154+'PTRM input'!$L$120)*$L$7)/A12taxstdlife))</f>
        <v>0</v>
      </c>
      <c r="AX630" s="590">
        <f>IF(A12taxstdlife="n/a","n/a",IF(AX$3&gt;(A12taxstdlife+$E630),(('PTRM input'!$L$154+'PTRM input'!$L$120)*$L$7)-SUM($L630:AW630),(('PTRM input'!$L$154+'PTRM input'!$L$120)*$L$7)/A12taxstdlife))</f>
        <v>0</v>
      </c>
      <c r="AY630" s="590">
        <f>IF(A12taxstdlife="n/a","n/a",IF(AY$3&gt;(A12taxstdlife+$E630),(('PTRM input'!$L$154+'PTRM input'!$L$120)*$L$7)-SUM($L630:AX630),(('PTRM input'!$L$154+'PTRM input'!$L$120)*$L$7)/A12taxstdlife))</f>
        <v>0</v>
      </c>
      <c r="AZ630" s="590">
        <f>IF(A12taxstdlife="n/a","n/a",IF(AZ$3&gt;(A12taxstdlife+$E630),(('PTRM input'!$L$154+'PTRM input'!$L$120)*$L$7)-SUM($L630:AY630),(('PTRM input'!$L$154+'PTRM input'!$L$120)*$L$7)/A12taxstdlife))</f>
        <v>0</v>
      </c>
      <c r="BA630" s="590">
        <f>IF(A12taxstdlife="n/a","n/a",IF(BA$3&gt;(A12taxstdlife+$E630),(('PTRM input'!$L$154+'PTRM input'!$L$120)*$L$7)-SUM($L630:AZ630),(('PTRM input'!$L$154+'PTRM input'!$L$120)*$L$7)/A12taxstdlife))</f>
        <v>0</v>
      </c>
      <c r="BB630" s="590">
        <f>IF(A12taxstdlife="n/a","n/a",IF(BB$3&gt;(A12taxstdlife+$E630),(('PTRM input'!$L$154+'PTRM input'!$L$120)*$L$7)-SUM($L630:BA630),(('PTRM input'!$L$154+'PTRM input'!$L$120)*$L$7)/A12taxstdlife))</f>
        <v>0</v>
      </c>
      <c r="BC630" s="590">
        <f>IF(A12taxstdlife="n/a","n/a",IF(BC$3&gt;(A12taxstdlife+$E630),(('PTRM input'!$L$154+'PTRM input'!$L$120)*$L$7)-SUM($L630:BB630),(('PTRM input'!$L$154+'PTRM input'!$L$120)*$L$7)/A12taxstdlife))</f>
        <v>0</v>
      </c>
      <c r="BD630" s="590">
        <f>IF(A12taxstdlife="n/a","n/a",IF(BD$3&gt;(A12taxstdlife+$E630),(('PTRM input'!$L$154+'PTRM input'!$L$120)*$L$7)-SUM($L630:BC630),(('PTRM input'!$L$154+'PTRM input'!$L$120)*$L$7)/A12taxstdlife))</f>
        <v>0</v>
      </c>
      <c r="BE630" s="590">
        <f>IF(A12taxstdlife="n/a","n/a",IF(BE$3&gt;(A12taxstdlife+$E630),(('PTRM input'!$L$154+'PTRM input'!$L$120)*$L$7)-SUM($L630:BD630),(('PTRM input'!$L$154+'PTRM input'!$L$120)*$L$7)/A12taxstdlife))</f>
        <v>0</v>
      </c>
      <c r="BF630" s="590">
        <f>IF(A12taxstdlife="n/a","n/a",IF(BF$3&gt;(A12taxstdlife+$E630),(('PTRM input'!$L$154+'PTRM input'!$L$120)*$L$7)-SUM($L630:BE630),(('PTRM input'!$L$154+'PTRM input'!$L$120)*$L$7)/A12taxstdlife))</f>
        <v>0</v>
      </c>
      <c r="BG630" s="590">
        <f>IF(A12taxstdlife="n/a","n/a",IF(BG$3&gt;(A12taxstdlife+$E630),(('PTRM input'!$L$154+'PTRM input'!$L$120)*$L$7)-SUM($L630:BF630),(('PTRM input'!$L$154+'PTRM input'!$L$120)*$L$7)/A12taxstdlife))</f>
        <v>0</v>
      </c>
      <c r="BH630" s="590">
        <f>IF(A12taxstdlife="n/a","n/a",IF(BH$3&gt;(A12taxstdlife+$E630),(('PTRM input'!$L$154+'PTRM input'!$L$120)*$L$7)-SUM($L630:BG630),(('PTRM input'!$L$154+'PTRM input'!$L$120)*$L$7)/A12taxstdlife))</f>
        <v>0</v>
      </c>
      <c r="BI630" s="590">
        <f>IF(A12taxstdlife="n/a","n/a",IF(BI$3&gt;(A12taxstdlife+$E630),(('PTRM input'!$L$154+'PTRM input'!$L$120)*$L$7)-SUM($L630:BH630),(('PTRM input'!$L$154+'PTRM input'!$L$120)*$L$7)/A12taxstdlife))</f>
        <v>0</v>
      </c>
      <c r="BJ630" s="240"/>
      <c r="BK630" s="240"/>
      <c r="BL630" s="240"/>
      <c r="BM630" s="240"/>
    </row>
    <row r="631" spans="1:65" s="4" customFormat="1" hidden="1" outlineLevel="2">
      <c r="A631" s="240"/>
      <c r="B631" s="240"/>
      <c r="C631" s="595"/>
      <c r="D631" s="1618"/>
      <c r="E631" s="169">
        <v>7</v>
      </c>
      <c r="F631" s="35"/>
      <c r="G631" s="184"/>
      <c r="H631" s="186"/>
      <c r="I631" s="186"/>
      <c r="J631" s="186"/>
      <c r="K631" s="186"/>
      <c r="L631" s="186"/>
      <c r="M631" s="185"/>
      <c r="N631" s="107">
        <f>IF(A12taxstdlife="n/a","n/a",IF(N$3&gt;(A12taxstdlife+$E631),(('PTRM input'!$M$154+'PTRM input'!$M$120)*$M$7)-SUM($M631:M631),(('PTRM input'!$M$154+'PTRM input'!$M$120)*$M$7)/A12taxstdlife))</f>
        <v>0</v>
      </c>
      <c r="O631" s="107">
        <f>IF(A12taxstdlife="n/a","n/a",IF(O$3&gt;(A12taxstdlife+$E631),(('PTRM input'!$M$154+'PTRM input'!$M$120)*$M$7)-SUM($M631:N631),(('PTRM input'!$M$154+'PTRM input'!$M$120)*$M$7)/A12taxstdlife))</f>
        <v>0</v>
      </c>
      <c r="P631" s="107">
        <f>IF(A12taxstdlife="n/a","n/a",IF(P$3&gt;(A12taxstdlife+$E631),(('PTRM input'!$M$154+'PTRM input'!$M$120)*$M$7)-SUM($M631:O631),(('PTRM input'!$M$154+'PTRM input'!$M$120)*$M$7)/A12taxstdlife))</f>
        <v>0</v>
      </c>
      <c r="Q631" s="590">
        <f>IF(A12taxstdlife="n/a","n/a",IF(Q$3&gt;(A12taxstdlife+$E631),(('PTRM input'!$M$154+'PTRM input'!$M$120)*$M$7)-SUM($M631:P631),(('PTRM input'!$M$154+'PTRM input'!$M$120)*$M$7)/A12taxstdlife))</f>
        <v>0</v>
      </c>
      <c r="R631" s="590">
        <f>IF(A12taxstdlife="n/a","n/a",IF(R$3&gt;(A12taxstdlife+$E631),(('PTRM input'!$M$154+'PTRM input'!$M$120)*$M$7)-SUM($M631:Q631),(('PTRM input'!$M$154+'PTRM input'!$M$120)*$M$7)/A12taxstdlife))</f>
        <v>0</v>
      </c>
      <c r="S631" s="590">
        <f>IF(A12taxstdlife="n/a","n/a",IF(S$3&gt;(A12taxstdlife+$E631),(('PTRM input'!$M$154+'PTRM input'!$M$120)*$M$7)-SUM($M631:R631),(('PTRM input'!$M$154+'PTRM input'!$M$120)*$M$7)/A12taxstdlife))</f>
        <v>0</v>
      </c>
      <c r="T631" s="590">
        <f>IF(A12taxstdlife="n/a","n/a",IF(T$3&gt;(A12taxstdlife+$E631),(('PTRM input'!$M$154+'PTRM input'!$M$120)*$M$7)-SUM($M631:S631),(('PTRM input'!$M$154+'PTRM input'!$M$120)*$M$7)/A12taxstdlife))</f>
        <v>0</v>
      </c>
      <c r="U631" s="590">
        <f>IF(A12taxstdlife="n/a","n/a",IF(U$3&gt;(A12taxstdlife+$E631),(('PTRM input'!$M$154+'PTRM input'!$M$120)*$M$7)-SUM($M631:T631),(('PTRM input'!$M$154+'PTRM input'!$M$120)*$M$7)/A12taxstdlife))</f>
        <v>0</v>
      </c>
      <c r="V631" s="590">
        <f>IF(A12taxstdlife="n/a","n/a",IF(V$3&gt;(A12taxstdlife+$E631),(('PTRM input'!$M$154+'PTRM input'!$M$120)*$M$7)-SUM($M631:U631),(('PTRM input'!$M$154+'PTRM input'!$M$120)*$M$7)/A12taxstdlife))</f>
        <v>0</v>
      </c>
      <c r="W631" s="590">
        <f>IF(A12taxstdlife="n/a","n/a",IF(W$3&gt;(A12taxstdlife+$E631),(('PTRM input'!$M$154+'PTRM input'!$M$120)*$M$7)-SUM($M631:V631),(('PTRM input'!$M$154+'PTRM input'!$M$120)*$M$7)/A12taxstdlife))</f>
        <v>0</v>
      </c>
      <c r="X631" s="590">
        <f>IF(A12taxstdlife="n/a","n/a",IF(X$3&gt;(A12taxstdlife+$E631),(('PTRM input'!$M$154+'PTRM input'!$M$120)*$M$7)-SUM($M631:W631),(('PTRM input'!$M$154+'PTRM input'!$M$120)*$M$7)/A12taxstdlife))</f>
        <v>0</v>
      </c>
      <c r="Y631" s="590">
        <f>IF(A12taxstdlife="n/a","n/a",IF(Y$3&gt;(A12taxstdlife+$E631),(('PTRM input'!$M$154+'PTRM input'!$M$120)*$M$7)-SUM($M631:X631),(('PTRM input'!$M$154+'PTRM input'!$M$120)*$M$7)/A12taxstdlife))</f>
        <v>0</v>
      </c>
      <c r="Z631" s="590">
        <f>IF(A12taxstdlife="n/a","n/a",IF(Z$3&gt;(A12taxstdlife+$E631),(('PTRM input'!$M$154+'PTRM input'!$M$120)*$M$7)-SUM($M631:Y631),(('PTRM input'!$M$154+'PTRM input'!$M$120)*$M$7)/A12taxstdlife))</f>
        <v>0</v>
      </c>
      <c r="AA631" s="590">
        <f>IF(A12taxstdlife="n/a","n/a",IF(AA$3&gt;(A12taxstdlife+$E631),(('PTRM input'!$M$154+'PTRM input'!$M$120)*$M$7)-SUM($M631:Z631),(('PTRM input'!$M$154+'PTRM input'!$M$120)*$M$7)/A12taxstdlife))</f>
        <v>0</v>
      </c>
      <c r="AB631" s="590">
        <f>IF(A12taxstdlife="n/a","n/a",IF(AB$3&gt;(A12taxstdlife+$E631),(('PTRM input'!$M$154+'PTRM input'!$M$120)*$M$7)-SUM($M631:AA631),(('PTRM input'!$M$154+'PTRM input'!$M$120)*$M$7)/A12taxstdlife))</f>
        <v>0</v>
      </c>
      <c r="AC631" s="590">
        <f>IF(A12taxstdlife="n/a","n/a",IF(AC$3&gt;(A12taxstdlife+$E631),(('PTRM input'!$M$154+'PTRM input'!$M$120)*$M$7)-SUM($M631:AB631),(('PTRM input'!$M$154+'PTRM input'!$M$120)*$M$7)/A12taxstdlife))</f>
        <v>0</v>
      </c>
      <c r="AD631" s="590">
        <f>IF(A12taxstdlife="n/a","n/a",IF(AD$3&gt;(A12taxstdlife+$E631),(('PTRM input'!$M$154+'PTRM input'!$M$120)*$M$7)-SUM($M631:AC631),(('PTRM input'!$M$154+'PTRM input'!$M$120)*$M$7)/A12taxstdlife))</f>
        <v>0</v>
      </c>
      <c r="AE631" s="590">
        <f>IF(A12taxstdlife="n/a","n/a",IF(AE$3&gt;(A12taxstdlife+$E631),(('PTRM input'!$M$154+'PTRM input'!$M$120)*$M$7)-SUM($M631:AD631),(('PTRM input'!$M$154+'PTRM input'!$M$120)*$M$7)/A12taxstdlife))</f>
        <v>0</v>
      </c>
      <c r="AF631" s="590">
        <f>IF(A12taxstdlife="n/a","n/a",IF(AF$3&gt;(A12taxstdlife+$E631),(('PTRM input'!$M$154+'PTRM input'!$M$120)*$M$7)-SUM($M631:AE631),(('PTRM input'!$M$154+'PTRM input'!$M$120)*$M$7)/A12taxstdlife))</f>
        <v>0</v>
      </c>
      <c r="AG631" s="590">
        <f>IF(A12taxstdlife="n/a","n/a",IF(AG$3&gt;(A12taxstdlife+$E631),(('PTRM input'!$M$154+'PTRM input'!$M$120)*$M$7)-SUM($M631:AF631),(('PTRM input'!$M$154+'PTRM input'!$M$120)*$M$7)/A12taxstdlife))</f>
        <v>0</v>
      </c>
      <c r="AH631" s="590">
        <f>IF(A12taxstdlife="n/a","n/a",IF(AH$3&gt;(A12taxstdlife+$E631),(('PTRM input'!$M$154+'PTRM input'!$M$120)*$M$7)-SUM($M631:AG631),(('PTRM input'!$M$154+'PTRM input'!$M$120)*$M$7)/A12taxstdlife))</f>
        <v>0</v>
      </c>
      <c r="AI631" s="590">
        <f>IF(A12taxstdlife="n/a","n/a",IF(AI$3&gt;(A12taxstdlife+$E631),(('PTRM input'!$M$154+'PTRM input'!$M$120)*$M$7)-SUM($M631:AH631),(('PTRM input'!$M$154+'PTRM input'!$M$120)*$M$7)/A12taxstdlife))</f>
        <v>0</v>
      </c>
      <c r="AJ631" s="590">
        <f>IF(A12taxstdlife="n/a","n/a",IF(AJ$3&gt;(A12taxstdlife+$E631),(('PTRM input'!$M$154+'PTRM input'!$M$120)*$M$7)-SUM($M631:AI631),(('PTRM input'!$M$154+'PTRM input'!$M$120)*$M$7)/A12taxstdlife))</f>
        <v>0</v>
      </c>
      <c r="AK631" s="590">
        <f>IF(A12taxstdlife="n/a","n/a",IF(AK$3&gt;(A12taxstdlife+$E631),(('PTRM input'!$M$154+'PTRM input'!$M$120)*$M$7)-SUM($M631:AJ631),(('PTRM input'!$M$154+'PTRM input'!$M$120)*$M$7)/A12taxstdlife))</f>
        <v>0</v>
      </c>
      <c r="AL631" s="590">
        <f>IF(A12taxstdlife="n/a","n/a",IF(AL$3&gt;(A12taxstdlife+$E631),(('PTRM input'!$M$154+'PTRM input'!$M$120)*$M$7)-SUM($M631:AK631),(('PTRM input'!$M$154+'PTRM input'!$M$120)*$M$7)/A12taxstdlife))</f>
        <v>0</v>
      </c>
      <c r="AM631" s="590">
        <f>IF(A12taxstdlife="n/a","n/a",IF(AM$3&gt;(A12taxstdlife+$E631),(('PTRM input'!$M$154+'PTRM input'!$M$120)*$M$7)-SUM($M631:AL631),(('PTRM input'!$M$154+'PTRM input'!$M$120)*$M$7)/A12taxstdlife))</f>
        <v>0</v>
      </c>
      <c r="AN631" s="590">
        <f>IF(A12taxstdlife="n/a","n/a",IF(AN$3&gt;(A12taxstdlife+$E631),(('PTRM input'!$M$154+'PTRM input'!$M$120)*$M$7)-SUM($M631:AM631),(('PTRM input'!$M$154+'PTRM input'!$M$120)*$M$7)/A12taxstdlife))</f>
        <v>0</v>
      </c>
      <c r="AO631" s="590">
        <f>IF(A12taxstdlife="n/a","n/a",IF(AO$3&gt;(A12taxstdlife+$E631),(('PTRM input'!$M$154+'PTRM input'!$M$120)*$M$7)-SUM($M631:AN631),(('PTRM input'!$M$154+'PTRM input'!$M$120)*$M$7)/A12taxstdlife))</f>
        <v>0</v>
      </c>
      <c r="AP631" s="590">
        <f>IF(A12taxstdlife="n/a","n/a",IF(AP$3&gt;(A12taxstdlife+$E631),(('PTRM input'!$M$154+'PTRM input'!$M$120)*$M$7)-SUM($M631:AO631),(('PTRM input'!$M$154+'PTRM input'!$M$120)*$M$7)/A12taxstdlife))</f>
        <v>0</v>
      </c>
      <c r="AQ631" s="590">
        <f>IF(A12taxstdlife="n/a","n/a",IF(AQ$3&gt;(A12taxstdlife+$E631),(('PTRM input'!$M$154+'PTRM input'!$M$120)*$M$7)-SUM($M631:AP631),(('PTRM input'!$M$154+'PTRM input'!$M$120)*$M$7)/A12taxstdlife))</f>
        <v>0</v>
      </c>
      <c r="AR631" s="590">
        <f>IF(A12taxstdlife="n/a","n/a",IF(AR$3&gt;(A12taxstdlife+$E631),(('PTRM input'!$M$154+'PTRM input'!$M$120)*$M$7)-SUM($M631:AQ631),(('PTRM input'!$M$154+'PTRM input'!$M$120)*$M$7)/A12taxstdlife))</f>
        <v>0</v>
      </c>
      <c r="AS631" s="590">
        <f>IF(A12taxstdlife="n/a","n/a",IF(AS$3&gt;(A12taxstdlife+$E631),(('PTRM input'!$M$154+'PTRM input'!$M$120)*$M$7)-SUM($M631:AR631),(('PTRM input'!$M$154+'PTRM input'!$M$120)*$M$7)/A12taxstdlife))</f>
        <v>0</v>
      </c>
      <c r="AT631" s="590">
        <f>IF(A12taxstdlife="n/a","n/a",IF(AT$3&gt;(A12taxstdlife+$E631),(('PTRM input'!$M$154+'PTRM input'!$M$120)*$M$7)-SUM($M631:AS631),(('PTRM input'!$M$154+'PTRM input'!$M$120)*$M$7)/A12taxstdlife))</f>
        <v>0</v>
      </c>
      <c r="AU631" s="590">
        <f>IF(A12taxstdlife="n/a","n/a",IF(AU$3&gt;(A12taxstdlife+$E631),(('PTRM input'!$M$154+'PTRM input'!$M$120)*$M$7)-SUM($M631:AT631),(('PTRM input'!$M$154+'PTRM input'!$M$120)*$M$7)/A12taxstdlife))</f>
        <v>0</v>
      </c>
      <c r="AV631" s="590">
        <f>IF(A12taxstdlife="n/a","n/a",IF(AV$3&gt;(A12taxstdlife+$E631),(('PTRM input'!$M$154+'PTRM input'!$M$120)*$M$7)-SUM($M631:AU631),(('PTRM input'!$M$154+'PTRM input'!$M$120)*$M$7)/A12taxstdlife))</f>
        <v>0</v>
      </c>
      <c r="AW631" s="590">
        <f>IF(A12taxstdlife="n/a","n/a",IF(AW$3&gt;(A12taxstdlife+$E631),(('PTRM input'!$M$154+'PTRM input'!$M$120)*$M$7)-SUM($M631:AV631),(('PTRM input'!$M$154+'PTRM input'!$M$120)*$M$7)/A12taxstdlife))</f>
        <v>0</v>
      </c>
      <c r="AX631" s="590">
        <f>IF(A12taxstdlife="n/a","n/a",IF(AX$3&gt;(A12taxstdlife+$E631),(('PTRM input'!$M$154+'PTRM input'!$M$120)*$M$7)-SUM($M631:AW631),(('PTRM input'!$M$154+'PTRM input'!$M$120)*$M$7)/A12taxstdlife))</f>
        <v>0</v>
      </c>
      <c r="AY631" s="590">
        <f>IF(A12taxstdlife="n/a","n/a",IF(AY$3&gt;(A12taxstdlife+$E631),(('PTRM input'!$M$154+'PTRM input'!$M$120)*$M$7)-SUM($M631:AX631),(('PTRM input'!$M$154+'PTRM input'!$M$120)*$M$7)/A12taxstdlife))</f>
        <v>0</v>
      </c>
      <c r="AZ631" s="590">
        <f>IF(A12taxstdlife="n/a","n/a",IF(AZ$3&gt;(A12taxstdlife+$E631),(('PTRM input'!$M$154+'PTRM input'!$M$120)*$M$7)-SUM($M631:AY631),(('PTRM input'!$M$154+'PTRM input'!$M$120)*$M$7)/A12taxstdlife))</f>
        <v>0</v>
      </c>
      <c r="BA631" s="590">
        <f>IF(A12taxstdlife="n/a","n/a",IF(BA$3&gt;(A12taxstdlife+$E631),(('PTRM input'!$M$154+'PTRM input'!$M$120)*$M$7)-SUM($M631:AZ631),(('PTRM input'!$M$154+'PTRM input'!$M$120)*$M$7)/A12taxstdlife))</f>
        <v>0</v>
      </c>
      <c r="BB631" s="590">
        <f>IF(A12taxstdlife="n/a","n/a",IF(BB$3&gt;(A12taxstdlife+$E631),(('PTRM input'!$M$154+'PTRM input'!$M$120)*$M$7)-SUM($M631:BA631),(('PTRM input'!$M$154+'PTRM input'!$M$120)*$M$7)/A12taxstdlife))</f>
        <v>0</v>
      </c>
      <c r="BC631" s="590">
        <f>IF(A12taxstdlife="n/a","n/a",IF(BC$3&gt;(A12taxstdlife+$E631),(('PTRM input'!$M$154+'PTRM input'!$M$120)*$M$7)-SUM($M631:BB631),(('PTRM input'!$M$154+'PTRM input'!$M$120)*$M$7)/A12taxstdlife))</f>
        <v>0</v>
      </c>
      <c r="BD631" s="590">
        <f>IF(A12taxstdlife="n/a","n/a",IF(BD$3&gt;(A12taxstdlife+$E631),(('PTRM input'!$M$154+'PTRM input'!$M$120)*$M$7)-SUM($M631:BC631),(('PTRM input'!$M$154+'PTRM input'!$M$120)*$M$7)/A12taxstdlife))</f>
        <v>0</v>
      </c>
      <c r="BE631" s="590">
        <f>IF(A12taxstdlife="n/a","n/a",IF(BE$3&gt;(A12taxstdlife+$E631),(('PTRM input'!$M$154+'PTRM input'!$M$120)*$M$7)-SUM($M631:BD631),(('PTRM input'!$M$154+'PTRM input'!$M$120)*$M$7)/A12taxstdlife))</f>
        <v>0</v>
      </c>
      <c r="BF631" s="590">
        <f>IF(A12taxstdlife="n/a","n/a",IF(BF$3&gt;(A12taxstdlife+$E631),(('PTRM input'!$M$154+'PTRM input'!$M$120)*$M$7)-SUM($M631:BE631),(('PTRM input'!$M$154+'PTRM input'!$M$120)*$M$7)/A12taxstdlife))</f>
        <v>0</v>
      </c>
      <c r="BG631" s="590">
        <f>IF(A12taxstdlife="n/a","n/a",IF(BG$3&gt;(A12taxstdlife+$E631),(('PTRM input'!$M$154+'PTRM input'!$M$120)*$M$7)-SUM($M631:BF631),(('PTRM input'!$M$154+'PTRM input'!$M$120)*$M$7)/A12taxstdlife))</f>
        <v>0</v>
      </c>
      <c r="BH631" s="590">
        <f>IF(A12taxstdlife="n/a","n/a",IF(BH$3&gt;(A12taxstdlife+$E631),(('PTRM input'!$M$154+'PTRM input'!$M$120)*$M$7)-SUM($M631:BG631),(('PTRM input'!$M$154+'PTRM input'!$M$120)*$M$7)/A12taxstdlife))</f>
        <v>0</v>
      </c>
      <c r="BI631" s="590">
        <f>IF(A12taxstdlife="n/a","n/a",IF(BI$3&gt;(A12taxstdlife+$E631),(('PTRM input'!$M$154+'PTRM input'!$M$120)*$M$7)-SUM($M631:BH631),(('PTRM input'!$M$154+'PTRM input'!$M$120)*$M$7)/A12taxstdlife))</f>
        <v>0</v>
      </c>
      <c r="BJ631" s="240"/>
      <c r="BK631" s="240"/>
      <c r="BL631" s="240"/>
      <c r="BM631" s="240"/>
    </row>
    <row r="632" spans="1:65" s="4" customFormat="1" hidden="1" outlineLevel="2">
      <c r="A632" s="240"/>
      <c r="B632" s="240"/>
      <c r="C632" s="595"/>
      <c r="D632" s="1618"/>
      <c r="E632" s="169">
        <v>8</v>
      </c>
      <c r="F632" s="35"/>
      <c r="G632" s="184"/>
      <c r="H632" s="186"/>
      <c r="I632" s="186"/>
      <c r="J632" s="186"/>
      <c r="K632" s="186"/>
      <c r="L632" s="186"/>
      <c r="M632" s="186"/>
      <c r="N632" s="185"/>
      <c r="O632" s="107">
        <f>IF(A12taxstdlife="n/a","n/a",IF(O$3&gt;(A12taxstdlife+$E632),(('PTRM input'!$N$154+'PTRM input'!$N$120)*$N$7)-SUM($N632:N632),(('PTRM input'!$N$154+'PTRM input'!$N$120)*$N$7)/A12taxstdlife))</f>
        <v>0</v>
      </c>
      <c r="P632" s="107">
        <f>IF(A12taxstdlife="n/a","n/a",IF(P$3&gt;(A12taxstdlife+$E632),(('PTRM input'!$N$154+'PTRM input'!$N$120)*$N$7)-SUM($N632:O632),(('PTRM input'!$N$154+'PTRM input'!$N$120)*$N$7)/A12taxstdlife))</f>
        <v>0</v>
      </c>
      <c r="Q632" s="590">
        <f>IF(A12taxstdlife="n/a","n/a",IF(Q$3&gt;(A12taxstdlife+$E632),(('PTRM input'!$N$154+'PTRM input'!$N$120)*$N$7)-SUM($N632:P632),(('PTRM input'!$N$154+'PTRM input'!$N$120)*$N$7)/A12taxstdlife))</f>
        <v>0</v>
      </c>
      <c r="R632" s="590">
        <f>IF(A12taxstdlife="n/a","n/a",IF(R$3&gt;(A12taxstdlife+$E632),(('PTRM input'!$N$154+'PTRM input'!$N$120)*$N$7)-SUM($N632:Q632),(('PTRM input'!$N$154+'PTRM input'!$N$120)*$N$7)/A12taxstdlife))</f>
        <v>0</v>
      </c>
      <c r="S632" s="590">
        <f>IF(A12taxstdlife="n/a","n/a",IF(S$3&gt;(A12taxstdlife+$E632),(('PTRM input'!$N$154+'PTRM input'!$N$120)*$N$7)-SUM($N632:R632),(('PTRM input'!$N$154+'PTRM input'!$N$120)*$N$7)/A12taxstdlife))</f>
        <v>0</v>
      </c>
      <c r="T632" s="590">
        <f>IF(A12taxstdlife="n/a","n/a",IF(T$3&gt;(A12taxstdlife+$E632),(('PTRM input'!$N$154+'PTRM input'!$N$120)*$N$7)-SUM($N632:S632),(('PTRM input'!$N$154+'PTRM input'!$N$120)*$N$7)/A12taxstdlife))</f>
        <v>0</v>
      </c>
      <c r="U632" s="590">
        <f>IF(A12taxstdlife="n/a","n/a",IF(U$3&gt;(A12taxstdlife+$E632),(('PTRM input'!$N$154+'PTRM input'!$N$120)*$N$7)-SUM($N632:T632),(('PTRM input'!$N$154+'PTRM input'!$N$120)*$N$7)/A12taxstdlife))</f>
        <v>0</v>
      </c>
      <c r="V632" s="590">
        <f>IF(A12taxstdlife="n/a","n/a",IF(V$3&gt;(A12taxstdlife+$E632),(('PTRM input'!$N$154+'PTRM input'!$N$120)*$N$7)-SUM($N632:U632),(('PTRM input'!$N$154+'PTRM input'!$N$120)*$N$7)/A12taxstdlife))</f>
        <v>0</v>
      </c>
      <c r="W632" s="590">
        <f>IF(A12taxstdlife="n/a","n/a",IF(W$3&gt;(A12taxstdlife+$E632),(('PTRM input'!$N$154+'PTRM input'!$N$120)*$N$7)-SUM($N632:V632),(('PTRM input'!$N$154+'PTRM input'!$N$120)*$N$7)/A12taxstdlife))</f>
        <v>0</v>
      </c>
      <c r="X632" s="590">
        <f>IF(A12taxstdlife="n/a","n/a",IF(X$3&gt;(A12taxstdlife+$E632),(('PTRM input'!$N$154+'PTRM input'!$N$120)*$N$7)-SUM($N632:W632),(('PTRM input'!$N$154+'PTRM input'!$N$120)*$N$7)/A12taxstdlife))</f>
        <v>0</v>
      </c>
      <c r="Y632" s="590">
        <f>IF(A12taxstdlife="n/a","n/a",IF(Y$3&gt;(A12taxstdlife+$E632),(('PTRM input'!$N$154+'PTRM input'!$N$120)*$N$7)-SUM($N632:X632),(('PTRM input'!$N$154+'PTRM input'!$N$120)*$N$7)/A12taxstdlife))</f>
        <v>0</v>
      </c>
      <c r="Z632" s="590">
        <f>IF(A12taxstdlife="n/a","n/a",IF(Z$3&gt;(A12taxstdlife+$E632),(('PTRM input'!$N$154+'PTRM input'!$N$120)*$N$7)-SUM($N632:Y632),(('PTRM input'!$N$154+'PTRM input'!$N$120)*$N$7)/A12taxstdlife))</f>
        <v>0</v>
      </c>
      <c r="AA632" s="590">
        <f>IF(A12taxstdlife="n/a","n/a",IF(AA$3&gt;(A12taxstdlife+$E632),(('PTRM input'!$N$154+'PTRM input'!$N$120)*$N$7)-SUM($N632:Z632),(('PTRM input'!$N$154+'PTRM input'!$N$120)*$N$7)/A12taxstdlife))</f>
        <v>0</v>
      </c>
      <c r="AB632" s="590">
        <f>IF(A12taxstdlife="n/a","n/a",IF(AB$3&gt;(A12taxstdlife+$E632),(('PTRM input'!$N$154+'PTRM input'!$N$120)*$N$7)-SUM($N632:AA632),(('PTRM input'!$N$154+'PTRM input'!$N$120)*$N$7)/A12taxstdlife))</f>
        <v>0</v>
      </c>
      <c r="AC632" s="590">
        <f>IF(A12taxstdlife="n/a","n/a",IF(AC$3&gt;(A12taxstdlife+$E632),(('PTRM input'!$N$154+'PTRM input'!$N$120)*$N$7)-SUM($N632:AB632),(('PTRM input'!$N$154+'PTRM input'!$N$120)*$N$7)/A12taxstdlife))</f>
        <v>0</v>
      </c>
      <c r="AD632" s="590">
        <f>IF(A12taxstdlife="n/a","n/a",IF(AD$3&gt;(A12taxstdlife+$E632),(('PTRM input'!$N$154+'PTRM input'!$N$120)*$N$7)-SUM($N632:AC632),(('PTRM input'!$N$154+'PTRM input'!$N$120)*$N$7)/A12taxstdlife))</f>
        <v>0</v>
      </c>
      <c r="AE632" s="590">
        <f>IF(A12taxstdlife="n/a","n/a",IF(AE$3&gt;(A12taxstdlife+$E632),(('PTRM input'!$N$154+'PTRM input'!$N$120)*$N$7)-SUM($N632:AD632),(('PTRM input'!$N$154+'PTRM input'!$N$120)*$N$7)/A12taxstdlife))</f>
        <v>0</v>
      </c>
      <c r="AF632" s="590">
        <f>IF(A12taxstdlife="n/a","n/a",IF(AF$3&gt;(A12taxstdlife+$E632),(('PTRM input'!$N$154+'PTRM input'!$N$120)*$N$7)-SUM($N632:AE632),(('PTRM input'!$N$154+'PTRM input'!$N$120)*$N$7)/A12taxstdlife))</f>
        <v>0</v>
      </c>
      <c r="AG632" s="590">
        <f>IF(A12taxstdlife="n/a","n/a",IF(AG$3&gt;(A12taxstdlife+$E632),(('PTRM input'!$N$154+'PTRM input'!$N$120)*$N$7)-SUM($N632:AF632),(('PTRM input'!$N$154+'PTRM input'!$N$120)*$N$7)/A12taxstdlife))</f>
        <v>0</v>
      </c>
      <c r="AH632" s="590">
        <f>IF(A12taxstdlife="n/a","n/a",IF(AH$3&gt;(A12taxstdlife+$E632),(('PTRM input'!$N$154+'PTRM input'!$N$120)*$N$7)-SUM($N632:AG632),(('PTRM input'!$N$154+'PTRM input'!$N$120)*$N$7)/A12taxstdlife))</f>
        <v>0</v>
      </c>
      <c r="AI632" s="590">
        <f>IF(A12taxstdlife="n/a","n/a",IF(AI$3&gt;(A12taxstdlife+$E632),(('PTRM input'!$N$154+'PTRM input'!$N$120)*$N$7)-SUM($N632:AH632),(('PTRM input'!$N$154+'PTRM input'!$N$120)*$N$7)/A12taxstdlife))</f>
        <v>0</v>
      </c>
      <c r="AJ632" s="590">
        <f>IF(A12taxstdlife="n/a","n/a",IF(AJ$3&gt;(A12taxstdlife+$E632),(('PTRM input'!$N$154+'PTRM input'!$N$120)*$N$7)-SUM($N632:AI632),(('PTRM input'!$N$154+'PTRM input'!$N$120)*$N$7)/A12taxstdlife))</f>
        <v>0</v>
      </c>
      <c r="AK632" s="590">
        <f>IF(A12taxstdlife="n/a","n/a",IF(AK$3&gt;(A12taxstdlife+$E632),(('PTRM input'!$N$154+'PTRM input'!$N$120)*$N$7)-SUM($N632:AJ632),(('PTRM input'!$N$154+'PTRM input'!$N$120)*$N$7)/A12taxstdlife))</f>
        <v>0</v>
      </c>
      <c r="AL632" s="590">
        <f>IF(A12taxstdlife="n/a","n/a",IF(AL$3&gt;(A12taxstdlife+$E632),(('PTRM input'!$N$154+'PTRM input'!$N$120)*$N$7)-SUM($N632:AK632),(('PTRM input'!$N$154+'PTRM input'!$N$120)*$N$7)/A12taxstdlife))</f>
        <v>0</v>
      </c>
      <c r="AM632" s="590">
        <f>IF(A12taxstdlife="n/a","n/a",IF(AM$3&gt;(A12taxstdlife+$E632),(('PTRM input'!$N$154+'PTRM input'!$N$120)*$N$7)-SUM($N632:AL632),(('PTRM input'!$N$154+'PTRM input'!$N$120)*$N$7)/A12taxstdlife))</f>
        <v>0</v>
      </c>
      <c r="AN632" s="590">
        <f>IF(A12taxstdlife="n/a","n/a",IF(AN$3&gt;(A12taxstdlife+$E632),(('PTRM input'!$N$154+'PTRM input'!$N$120)*$N$7)-SUM($N632:AM632),(('PTRM input'!$N$154+'PTRM input'!$N$120)*$N$7)/A12taxstdlife))</f>
        <v>0</v>
      </c>
      <c r="AO632" s="590">
        <f>IF(A12taxstdlife="n/a","n/a",IF(AO$3&gt;(A12taxstdlife+$E632),(('PTRM input'!$N$154+'PTRM input'!$N$120)*$N$7)-SUM($N632:AN632),(('PTRM input'!$N$154+'PTRM input'!$N$120)*$N$7)/A12taxstdlife))</f>
        <v>0</v>
      </c>
      <c r="AP632" s="590">
        <f>IF(A12taxstdlife="n/a","n/a",IF(AP$3&gt;(A12taxstdlife+$E632),(('PTRM input'!$N$154+'PTRM input'!$N$120)*$N$7)-SUM($N632:AO632),(('PTRM input'!$N$154+'PTRM input'!$N$120)*$N$7)/A12taxstdlife))</f>
        <v>0</v>
      </c>
      <c r="AQ632" s="590">
        <f>IF(A12taxstdlife="n/a","n/a",IF(AQ$3&gt;(A12taxstdlife+$E632),(('PTRM input'!$N$154+'PTRM input'!$N$120)*$N$7)-SUM($N632:AP632),(('PTRM input'!$N$154+'PTRM input'!$N$120)*$N$7)/A12taxstdlife))</f>
        <v>0</v>
      </c>
      <c r="AR632" s="590">
        <f>IF(A12taxstdlife="n/a","n/a",IF(AR$3&gt;(A12taxstdlife+$E632),(('PTRM input'!$N$154+'PTRM input'!$N$120)*$N$7)-SUM($N632:AQ632),(('PTRM input'!$N$154+'PTRM input'!$N$120)*$N$7)/A12taxstdlife))</f>
        <v>0</v>
      </c>
      <c r="AS632" s="590">
        <f>IF(A12taxstdlife="n/a","n/a",IF(AS$3&gt;(A12taxstdlife+$E632),(('PTRM input'!$N$154+'PTRM input'!$N$120)*$N$7)-SUM($N632:AR632),(('PTRM input'!$N$154+'PTRM input'!$N$120)*$N$7)/A12taxstdlife))</f>
        <v>0</v>
      </c>
      <c r="AT632" s="590">
        <f>IF(A12taxstdlife="n/a","n/a",IF(AT$3&gt;(A12taxstdlife+$E632),(('PTRM input'!$N$154+'PTRM input'!$N$120)*$N$7)-SUM($N632:AS632),(('PTRM input'!$N$154+'PTRM input'!$N$120)*$N$7)/A12taxstdlife))</f>
        <v>0</v>
      </c>
      <c r="AU632" s="590">
        <f>IF(A12taxstdlife="n/a","n/a",IF(AU$3&gt;(A12taxstdlife+$E632),(('PTRM input'!$N$154+'PTRM input'!$N$120)*$N$7)-SUM($N632:AT632),(('PTRM input'!$N$154+'PTRM input'!$N$120)*$N$7)/A12taxstdlife))</f>
        <v>0</v>
      </c>
      <c r="AV632" s="590">
        <f>IF(A12taxstdlife="n/a","n/a",IF(AV$3&gt;(A12taxstdlife+$E632),(('PTRM input'!$N$154+'PTRM input'!$N$120)*$N$7)-SUM($N632:AU632),(('PTRM input'!$N$154+'PTRM input'!$N$120)*$N$7)/A12taxstdlife))</f>
        <v>0</v>
      </c>
      <c r="AW632" s="590">
        <f>IF(A12taxstdlife="n/a","n/a",IF(AW$3&gt;(A12taxstdlife+$E632),(('PTRM input'!$N$154+'PTRM input'!$N$120)*$N$7)-SUM($N632:AV632),(('PTRM input'!$N$154+'PTRM input'!$N$120)*$N$7)/A12taxstdlife))</f>
        <v>0</v>
      </c>
      <c r="AX632" s="590">
        <f>IF(A12taxstdlife="n/a","n/a",IF(AX$3&gt;(A12taxstdlife+$E632),(('PTRM input'!$N$154+'PTRM input'!$N$120)*$N$7)-SUM($N632:AW632),(('PTRM input'!$N$154+'PTRM input'!$N$120)*$N$7)/A12taxstdlife))</f>
        <v>0</v>
      </c>
      <c r="AY632" s="590">
        <f>IF(A12taxstdlife="n/a","n/a",IF(AY$3&gt;(A12taxstdlife+$E632),(('PTRM input'!$N$154+'PTRM input'!$N$120)*$N$7)-SUM($N632:AX632),(('PTRM input'!$N$154+'PTRM input'!$N$120)*$N$7)/A12taxstdlife))</f>
        <v>0</v>
      </c>
      <c r="AZ632" s="590">
        <f>IF(A12taxstdlife="n/a","n/a",IF(AZ$3&gt;(A12taxstdlife+$E632),(('PTRM input'!$N$154+'PTRM input'!$N$120)*$N$7)-SUM($N632:AY632),(('PTRM input'!$N$154+'PTRM input'!$N$120)*$N$7)/A12taxstdlife))</f>
        <v>0</v>
      </c>
      <c r="BA632" s="590">
        <f>IF(A12taxstdlife="n/a","n/a",IF(BA$3&gt;(A12taxstdlife+$E632),(('PTRM input'!$N$154+'PTRM input'!$N$120)*$N$7)-SUM($N632:AZ632),(('PTRM input'!$N$154+'PTRM input'!$N$120)*$N$7)/A12taxstdlife))</f>
        <v>0</v>
      </c>
      <c r="BB632" s="590">
        <f>IF(A12taxstdlife="n/a","n/a",IF(BB$3&gt;(A12taxstdlife+$E632),(('PTRM input'!$N$154+'PTRM input'!$N$120)*$N$7)-SUM($N632:BA632),(('PTRM input'!$N$154+'PTRM input'!$N$120)*$N$7)/A12taxstdlife))</f>
        <v>0</v>
      </c>
      <c r="BC632" s="590">
        <f>IF(A12taxstdlife="n/a","n/a",IF(BC$3&gt;(A12taxstdlife+$E632),(('PTRM input'!$N$154+'PTRM input'!$N$120)*$N$7)-SUM($N632:BB632),(('PTRM input'!$N$154+'PTRM input'!$N$120)*$N$7)/A12taxstdlife))</f>
        <v>0</v>
      </c>
      <c r="BD632" s="590">
        <f>IF(A12taxstdlife="n/a","n/a",IF(BD$3&gt;(A12taxstdlife+$E632),(('PTRM input'!$N$154+'PTRM input'!$N$120)*$N$7)-SUM($N632:BC632),(('PTRM input'!$N$154+'PTRM input'!$N$120)*$N$7)/A12taxstdlife))</f>
        <v>0</v>
      </c>
      <c r="BE632" s="590">
        <f>IF(A12taxstdlife="n/a","n/a",IF(BE$3&gt;(A12taxstdlife+$E632),(('PTRM input'!$N$154+'PTRM input'!$N$120)*$N$7)-SUM($N632:BD632),(('PTRM input'!$N$154+'PTRM input'!$N$120)*$N$7)/A12taxstdlife))</f>
        <v>0</v>
      </c>
      <c r="BF632" s="590">
        <f>IF(A12taxstdlife="n/a","n/a",IF(BF$3&gt;(A12taxstdlife+$E632),(('PTRM input'!$N$154+'PTRM input'!$N$120)*$N$7)-SUM($N632:BE632),(('PTRM input'!$N$154+'PTRM input'!$N$120)*$N$7)/A12taxstdlife))</f>
        <v>0</v>
      </c>
      <c r="BG632" s="590">
        <f>IF(A12taxstdlife="n/a","n/a",IF(BG$3&gt;(A12taxstdlife+$E632),(('PTRM input'!$N$154+'PTRM input'!$N$120)*$N$7)-SUM($N632:BF632),(('PTRM input'!$N$154+'PTRM input'!$N$120)*$N$7)/A12taxstdlife))</f>
        <v>0</v>
      </c>
      <c r="BH632" s="590">
        <f>IF(A12taxstdlife="n/a","n/a",IF(BH$3&gt;(A12taxstdlife+$E632),(('PTRM input'!$N$154+'PTRM input'!$N$120)*$N$7)-SUM($N632:BG632),(('PTRM input'!$N$154+'PTRM input'!$N$120)*$N$7)/A12taxstdlife))</f>
        <v>0</v>
      </c>
      <c r="BI632" s="590">
        <f>IF(A12taxstdlife="n/a","n/a",IF(BI$3&gt;(A12taxstdlife+$E632),(('PTRM input'!$N$154+'PTRM input'!$N$120)*$N$7)-SUM($N632:BH632),(('PTRM input'!$N$154+'PTRM input'!$N$120)*$N$7)/A12taxstdlife))</f>
        <v>0</v>
      </c>
      <c r="BJ632" s="240"/>
      <c r="BK632" s="240"/>
      <c r="BL632" s="240"/>
      <c r="BM632" s="240"/>
    </row>
    <row r="633" spans="1:65" s="4" customFormat="1" hidden="1" outlineLevel="2">
      <c r="A633" s="240"/>
      <c r="B633" s="240"/>
      <c r="C633" s="595"/>
      <c r="D633" s="1618"/>
      <c r="E633" s="169">
        <v>9</v>
      </c>
      <c r="F633" s="35"/>
      <c r="G633" s="184"/>
      <c r="H633" s="186"/>
      <c r="I633" s="186"/>
      <c r="J633" s="186"/>
      <c r="K633" s="186"/>
      <c r="L633" s="186"/>
      <c r="M633" s="186"/>
      <c r="N633" s="186"/>
      <c r="O633" s="185"/>
      <c r="P633" s="107">
        <f>IF(A12taxstdlife="n/a","n/a",IF(P$3&gt;(A12taxstdlife+$E633),(('PTRM input'!$O$154+'PTRM input'!$O$120)*$O$7)-SUM($O633:O633),(('PTRM input'!$O$154+'PTRM input'!$O$120)*$O$7)/A12taxstdlife))</f>
        <v>0</v>
      </c>
      <c r="Q633" s="590">
        <f>IF(A12taxstdlife="n/a","n/a",IF(Q$3&gt;(A12taxstdlife+$E633),(('PTRM input'!$O$154+'PTRM input'!$O$120)*$O$7)-SUM($O633:P633),(('PTRM input'!$O$154+'PTRM input'!$O$120)*$O$7)/A12taxstdlife))</f>
        <v>0</v>
      </c>
      <c r="R633" s="590">
        <f>IF(A12taxstdlife="n/a","n/a",IF(R$3&gt;(A12taxstdlife+$E633),(('PTRM input'!$O$154+'PTRM input'!$O$120)*$O$7)-SUM($O633:Q633),(('PTRM input'!$O$154+'PTRM input'!$O$120)*$O$7)/A12taxstdlife))</f>
        <v>0</v>
      </c>
      <c r="S633" s="590">
        <f>IF(A12taxstdlife="n/a","n/a",IF(S$3&gt;(A12taxstdlife+$E633),(('PTRM input'!$O$154+'PTRM input'!$O$120)*$O$7)-SUM($O633:R633),(('PTRM input'!$O$154+'PTRM input'!$O$120)*$O$7)/A12taxstdlife))</f>
        <v>0</v>
      </c>
      <c r="T633" s="590">
        <f>IF(A12taxstdlife="n/a","n/a",IF(T$3&gt;(A12taxstdlife+$E633),(('PTRM input'!$O$154+'PTRM input'!$O$120)*$O$7)-SUM($O633:S633),(('PTRM input'!$O$154+'PTRM input'!$O$120)*$O$7)/A12taxstdlife))</f>
        <v>0</v>
      </c>
      <c r="U633" s="590">
        <f>IF(A12taxstdlife="n/a","n/a",IF(U$3&gt;(A12taxstdlife+$E633),(('PTRM input'!$O$154+'PTRM input'!$O$120)*$O$7)-SUM($O633:T633),(('PTRM input'!$O$154+'PTRM input'!$O$120)*$O$7)/A12taxstdlife))</f>
        <v>0</v>
      </c>
      <c r="V633" s="590">
        <f>IF(A12taxstdlife="n/a","n/a",IF(V$3&gt;(A12taxstdlife+$E633),(('PTRM input'!$O$154+'PTRM input'!$O$120)*$O$7)-SUM($O633:U633),(('PTRM input'!$O$154+'PTRM input'!$O$120)*$O$7)/A12taxstdlife))</f>
        <v>0</v>
      </c>
      <c r="W633" s="590">
        <f>IF(A12taxstdlife="n/a","n/a",IF(W$3&gt;(A12taxstdlife+$E633),(('PTRM input'!$O$154+'PTRM input'!$O$120)*$O$7)-SUM($O633:V633),(('PTRM input'!$O$154+'PTRM input'!$O$120)*$O$7)/A12taxstdlife))</f>
        <v>0</v>
      </c>
      <c r="X633" s="590">
        <f>IF(A12taxstdlife="n/a","n/a",IF(X$3&gt;(A12taxstdlife+$E633),(('PTRM input'!$O$154+'PTRM input'!$O$120)*$O$7)-SUM($O633:W633),(('PTRM input'!$O$154+'PTRM input'!$O$120)*$O$7)/A12taxstdlife))</f>
        <v>0</v>
      </c>
      <c r="Y633" s="590">
        <f>IF(A12taxstdlife="n/a","n/a",IF(Y$3&gt;(A12taxstdlife+$E633),(('PTRM input'!$O$154+'PTRM input'!$O$120)*$O$7)-SUM($O633:X633),(('PTRM input'!$O$154+'PTRM input'!$O$120)*$O$7)/A12taxstdlife))</f>
        <v>0</v>
      </c>
      <c r="Z633" s="590">
        <f>IF(A12taxstdlife="n/a","n/a",IF(Z$3&gt;(A12taxstdlife+$E633),(('PTRM input'!$O$154+'PTRM input'!$O$120)*$O$7)-SUM($O633:Y633),(('PTRM input'!$O$154+'PTRM input'!$O$120)*$O$7)/A12taxstdlife))</f>
        <v>0</v>
      </c>
      <c r="AA633" s="590">
        <f>IF(A12taxstdlife="n/a","n/a",IF(AA$3&gt;(A12taxstdlife+$E633),(('PTRM input'!$O$154+'PTRM input'!$O$120)*$O$7)-SUM($O633:Z633),(('PTRM input'!$O$154+'PTRM input'!$O$120)*$O$7)/A12taxstdlife))</f>
        <v>0</v>
      </c>
      <c r="AB633" s="590">
        <f>IF(A12taxstdlife="n/a","n/a",IF(AB$3&gt;(A12taxstdlife+$E633),(('PTRM input'!$O$154+'PTRM input'!$O$120)*$O$7)-SUM($O633:AA633),(('PTRM input'!$O$154+'PTRM input'!$O$120)*$O$7)/A12taxstdlife))</f>
        <v>0</v>
      </c>
      <c r="AC633" s="590">
        <f>IF(A12taxstdlife="n/a","n/a",IF(AC$3&gt;(A12taxstdlife+$E633),(('PTRM input'!$O$154+'PTRM input'!$O$120)*$O$7)-SUM($O633:AB633),(('PTRM input'!$O$154+'PTRM input'!$O$120)*$O$7)/A12taxstdlife))</f>
        <v>0</v>
      </c>
      <c r="AD633" s="590">
        <f>IF(A12taxstdlife="n/a","n/a",IF(AD$3&gt;(A12taxstdlife+$E633),(('PTRM input'!$O$154+'PTRM input'!$O$120)*$O$7)-SUM($O633:AC633),(('PTRM input'!$O$154+'PTRM input'!$O$120)*$O$7)/A12taxstdlife))</f>
        <v>0</v>
      </c>
      <c r="AE633" s="590">
        <f>IF(A12taxstdlife="n/a","n/a",IF(AE$3&gt;(A12taxstdlife+$E633),(('PTRM input'!$O$154+'PTRM input'!$O$120)*$O$7)-SUM($O633:AD633),(('PTRM input'!$O$154+'PTRM input'!$O$120)*$O$7)/A12taxstdlife))</f>
        <v>0</v>
      </c>
      <c r="AF633" s="590">
        <f>IF(A12taxstdlife="n/a","n/a",IF(AF$3&gt;(A12taxstdlife+$E633),(('PTRM input'!$O$154+'PTRM input'!$O$120)*$O$7)-SUM($O633:AE633),(('PTRM input'!$O$154+'PTRM input'!$O$120)*$O$7)/A12taxstdlife))</f>
        <v>0</v>
      </c>
      <c r="AG633" s="590">
        <f>IF(A12taxstdlife="n/a","n/a",IF(AG$3&gt;(A12taxstdlife+$E633),(('PTRM input'!$O$154+'PTRM input'!$O$120)*$O$7)-SUM($O633:AF633),(('PTRM input'!$O$154+'PTRM input'!$O$120)*$O$7)/A12taxstdlife))</f>
        <v>0</v>
      </c>
      <c r="AH633" s="590">
        <f>IF(A12taxstdlife="n/a","n/a",IF(AH$3&gt;(A12taxstdlife+$E633),(('PTRM input'!$O$154+'PTRM input'!$O$120)*$O$7)-SUM($O633:AG633),(('PTRM input'!$O$154+'PTRM input'!$O$120)*$O$7)/A12taxstdlife))</f>
        <v>0</v>
      </c>
      <c r="AI633" s="590">
        <f>IF(A12taxstdlife="n/a","n/a",IF(AI$3&gt;(A12taxstdlife+$E633),(('PTRM input'!$O$154+'PTRM input'!$O$120)*$O$7)-SUM($O633:AH633),(('PTRM input'!$O$154+'PTRM input'!$O$120)*$O$7)/A12taxstdlife))</f>
        <v>0</v>
      </c>
      <c r="AJ633" s="590">
        <f>IF(A12taxstdlife="n/a","n/a",IF(AJ$3&gt;(A12taxstdlife+$E633),(('PTRM input'!$O$154+'PTRM input'!$O$120)*$O$7)-SUM($O633:AI633),(('PTRM input'!$O$154+'PTRM input'!$O$120)*$O$7)/A12taxstdlife))</f>
        <v>0</v>
      </c>
      <c r="AK633" s="590">
        <f>IF(A12taxstdlife="n/a","n/a",IF(AK$3&gt;(A12taxstdlife+$E633),(('PTRM input'!$O$154+'PTRM input'!$O$120)*$O$7)-SUM($O633:AJ633),(('PTRM input'!$O$154+'PTRM input'!$O$120)*$O$7)/A12taxstdlife))</f>
        <v>0</v>
      </c>
      <c r="AL633" s="590">
        <f>IF(A12taxstdlife="n/a","n/a",IF(AL$3&gt;(A12taxstdlife+$E633),(('PTRM input'!$O$154+'PTRM input'!$O$120)*$O$7)-SUM($O633:AK633),(('PTRM input'!$O$154+'PTRM input'!$O$120)*$O$7)/A12taxstdlife))</f>
        <v>0</v>
      </c>
      <c r="AM633" s="590">
        <f>IF(A12taxstdlife="n/a","n/a",IF(AM$3&gt;(A12taxstdlife+$E633),(('PTRM input'!$O$154+'PTRM input'!$O$120)*$O$7)-SUM($O633:AL633),(('PTRM input'!$O$154+'PTRM input'!$O$120)*$O$7)/A12taxstdlife))</f>
        <v>0</v>
      </c>
      <c r="AN633" s="590">
        <f>IF(A12taxstdlife="n/a","n/a",IF(AN$3&gt;(A12taxstdlife+$E633),(('PTRM input'!$O$154+'PTRM input'!$O$120)*$O$7)-SUM($O633:AM633),(('PTRM input'!$O$154+'PTRM input'!$O$120)*$O$7)/A12taxstdlife))</f>
        <v>0</v>
      </c>
      <c r="AO633" s="590">
        <f>IF(A12taxstdlife="n/a","n/a",IF(AO$3&gt;(A12taxstdlife+$E633),(('PTRM input'!$O$154+'PTRM input'!$O$120)*$O$7)-SUM($O633:AN633),(('PTRM input'!$O$154+'PTRM input'!$O$120)*$O$7)/A12taxstdlife))</f>
        <v>0</v>
      </c>
      <c r="AP633" s="590">
        <f>IF(A12taxstdlife="n/a","n/a",IF(AP$3&gt;(A12taxstdlife+$E633),(('PTRM input'!$O$154+'PTRM input'!$O$120)*$O$7)-SUM($O633:AO633),(('PTRM input'!$O$154+'PTRM input'!$O$120)*$O$7)/A12taxstdlife))</f>
        <v>0</v>
      </c>
      <c r="AQ633" s="590">
        <f>IF(A12taxstdlife="n/a","n/a",IF(AQ$3&gt;(A12taxstdlife+$E633),(('PTRM input'!$O$154+'PTRM input'!$O$120)*$O$7)-SUM($O633:AP633),(('PTRM input'!$O$154+'PTRM input'!$O$120)*$O$7)/A12taxstdlife))</f>
        <v>0</v>
      </c>
      <c r="AR633" s="590">
        <f>IF(A12taxstdlife="n/a","n/a",IF(AR$3&gt;(A12taxstdlife+$E633),(('PTRM input'!$O$154+'PTRM input'!$O$120)*$O$7)-SUM($O633:AQ633),(('PTRM input'!$O$154+'PTRM input'!$O$120)*$O$7)/A12taxstdlife))</f>
        <v>0</v>
      </c>
      <c r="AS633" s="590">
        <f>IF(A12taxstdlife="n/a","n/a",IF(AS$3&gt;(A12taxstdlife+$E633),(('PTRM input'!$O$154+'PTRM input'!$O$120)*$O$7)-SUM($O633:AR633),(('PTRM input'!$O$154+'PTRM input'!$O$120)*$O$7)/A12taxstdlife))</f>
        <v>0</v>
      </c>
      <c r="AT633" s="590">
        <f>IF(A12taxstdlife="n/a","n/a",IF(AT$3&gt;(A12taxstdlife+$E633),(('PTRM input'!$O$154+'PTRM input'!$O$120)*$O$7)-SUM($O633:AS633),(('PTRM input'!$O$154+'PTRM input'!$O$120)*$O$7)/A12taxstdlife))</f>
        <v>0</v>
      </c>
      <c r="AU633" s="590">
        <f>IF(A12taxstdlife="n/a","n/a",IF(AU$3&gt;(A12taxstdlife+$E633),(('PTRM input'!$O$154+'PTRM input'!$O$120)*$O$7)-SUM($O633:AT633),(('PTRM input'!$O$154+'PTRM input'!$O$120)*$O$7)/A12taxstdlife))</f>
        <v>0</v>
      </c>
      <c r="AV633" s="590">
        <f>IF(A12taxstdlife="n/a","n/a",IF(AV$3&gt;(A12taxstdlife+$E633),(('PTRM input'!$O$154+'PTRM input'!$O$120)*$O$7)-SUM($O633:AU633),(('PTRM input'!$O$154+'PTRM input'!$O$120)*$O$7)/A12taxstdlife))</f>
        <v>0</v>
      </c>
      <c r="AW633" s="590">
        <f>IF(A12taxstdlife="n/a","n/a",IF(AW$3&gt;(A12taxstdlife+$E633),(('PTRM input'!$O$154+'PTRM input'!$O$120)*$O$7)-SUM($O633:AV633),(('PTRM input'!$O$154+'PTRM input'!$O$120)*$O$7)/A12taxstdlife))</f>
        <v>0</v>
      </c>
      <c r="AX633" s="590">
        <f>IF(A12taxstdlife="n/a","n/a",IF(AX$3&gt;(A12taxstdlife+$E633),(('PTRM input'!$O$154+'PTRM input'!$O$120)*$O$7)-SUM($O633:AW633),(('PTRM input'!$O$154+'PTRM input'!$O$120)*$O$7)/A12taxstdlife))</f>
        <v>0</v>
      </c>
      <c r="AY633" s="590">
        <f>IF(A12taxstdlife="n/a","n/a",IF(AY$3&gt;(A12taxstdlife+$E633),(('PTRM input'!$O$154+'PTRM input'!$O$120)*$O$7)-SUM($O633:AX633),(('PTRM input'!$O$154+'PTRM input'!$O$120)*$O$7)/A12taxstdlife))</f>
        <v>0</v>
      </c>
      <c r="AZ633" s="590">
        <f>IF(A12taxstdlife="n/a","n/a",IF(AZ$3&gt;(A12taxstdlife+$E633),(('PTRM input'!$O$154+'PTRM input'!$O$120)*$O$7)-SUM($O633:AY633),(('PTRM input'!$O$154+'PTRM input'!$O$120)*$O$7)/A12taxstdlife))</f>
        <v>0</v>
      </c>
      <c r="BA633" s="590">
        <f>IF(A12taxstdlife="n/a","n/a",IF(BA$3&gt;(A12taxstdlife+$E633),(('PTRM input'!$O$154+'PTRM input'!$O$120)*$O$7)-SUM($O633:AZ633),(('PTRM input'!$O$154+'PTRM input'!$O$120)*$O$7)/A12taxstdlife))</f>
        <v>0</v>
      </c>
      <c r="BB633" s="590">
        <f>IF(A12taxstdlife="n/a","n/a",IF(BB$3&gt;(A12taxstdlife+$E633),(('PTRM input'!$O$154+'PTRM input'!$O$120)*$O$7)-SUM($O633:BA633),(('PTRM input'!$O$154+'PTRM input'!$O$120)*$O$7)/A12taxstdlife))</f>
        <v>0</v>
      </c>
      <c r="BC633" s="590">
        <f>IF(A12taxstdlife="n/a","n/a",IF(BC$3&gt;(A12taxstdlife+$E633),(('PTRM input'!$O$154+'PTRM input'!$O$120)*$O$7)-SUM($O633:BB633),(('PTRM input'!$O$154+'PTRM input'!$O$120)*$O$7)/A12taxstdlife))</f>
        <v>0</v>
      </c>
      <c r="BD633" s="590">
        <f>IF(A12taxstdlife="n/a","n/a",IF(BD$3&gt;(A12taxstdlife+$E633),(('PTRM input'!$O$154+'PTRM input'!$O$120)*$O$7)-SUM($O633:BC633),(('PTRM input'!$O$154+'PTRM input'!$O$120)*$O$7)/A12taxstdlife))</f>
        <v>0</v>
      </c>
      <c r="BE633" s="590">
        <f>IF(A12taxstdlife="n/a","n/a",IF(BE$3&gt;(A12taxstdlife+$E633),(('PTRM input'!$O$154+'PTRM input'!$O$120)*$O$7)-SUM($O633:BD633),(('PTRM input'!$O$154+'PTRM input'!$O$120)*$O$7)/A12taxstdlife))</f>
        <v>0</v>
      </c>
      <c r="BF633" s="590">
        <f>IF(A12taxstdlife="n/a","n/a",IF(BF$3&gt;(A12taxstdlife+$E633),(('PTRM input'!$O$154+'PTRM input'!$O$120)*$O$7)-SUM($O633:BE633),(('PTRM input'!$O$154+'PTRM input'!$O$120)*$O$7)/A12taxstdlife))</f>
        <v>0</v>
      </c>
      <c r="BG633" s="590">
        <f>IF(A12taxstdlife="n/a","n/a",IF(BG$3&gt;(A12taxstdlife+$E633),(('PTRM input'!$O$154+'PTRM input'!$O$120)*$O$7)-SUM($O633:BF633),(('PTRM input'!$O$154+'PTRM input'!$O$120)*$O$7)/A12taxstdlife))</f>
        <v>0</v>
      </c>
      <c r="BH633" s="590">
        <f>IF(A12taxstdlife="n/a","n/a",IF(BH$3&gt;(A12taxstdlife+$E633),(('PTRM input'!$O$154+'PTRM input'!$O$120)*$O$7)-SUM($O633:BG633),(('PTRM input'!$O$154+'PTRM input'!$O$120)*$O$7)/A12taxstdlife))</f>
        <v>0</v>
      </c>
      <c r="BI633" s="590">
        <f>IF(A12taxstdlife="n/a","n/a",IF(BI$3&gt;(A12taxstdlife+$E633),(('PTRM input'!$O$154+'PTRM input'!$O$120)*$O$7)-SUM($O633:BH633),(('PTRM input'!$O$154+'PTRM input'!$O$120)*$O$7)/A12taxstdlife))</f>
        <v>0</v>
      </c>
      <c r="BJ633" s="240"/>
      <c r="BK633" s="240"/>
      <c r="BL633" s="240"/>
      <c r="BM633" s="240"/>
    </row>
    <row r="634" spans="1:65" s="4" customFormat="1" hidden="1" outlineLevel="2">
      <c r="A634" s="240"/>
      <c r="B634" s="240"/>
      <c r="C634" s="595"/>
      <c r="D634" s="1618"/>
      <c r="E634" s="170">
        <v>10</v>
      </c>
      <c r="F634" s="35"/>
      <c r="G634" s="184"/>
      <c r="H634" s="186"/>
      <c r="I634" s="186"/>
      <c r="J634" s="186"/>
      <c r="K634" s="186"/>
      <c r="L634" s="186"/>
      <c r="M634" s="186"/>
      <c r="N634" s="186"/>
      <c r="O634" s="186"/>
      <c r="P634" s="185"/>
      <c r="Q634" s="590">
        <f>IF(A12taxstdlife="n/a","n/a",IF(Q$3&gt;(A12taxstdlife+$E634),(('PTRM input'!$P$154+'PTRM input'!$P$120)*$P$7)-SUM($P634:P634),(('PTRM input'!$P$154+'PTRM input'!$P$120)*$P$7)/A12taxstdlife))</f>
        <v>0</v>
      </c>
      <c r="R634" s="590">
        <f>IF(A12taxstdlife="n/a","n/a",IF(R$3&gt;(A12taxstdlife+$E634),(('PTRM input'!$P$154+'PTRM input'!$P$120)*$P$7)-SUM($P634:Q634),(('PTRM input'!$P$154+'PTRM input'!$P$120)*$P$7)/A12taxstdlife))</f>
        <v>0</v>
      </c>
      <c r="S634" s="590">
        <f>IF(A12taxstdlife="n/a","n/a",IF(S$3&gt;(A12taxstdlife+$E634),(('PTRM input'!$P$154+'PTRM input'!$P$120)*$P$7)-SUM($P634:R634),(('PTRM input'!$P$154+'PTRM input'!$P$120)*$P$7)/A12taxstdlife))</f>
        <v>0</v>
      </c>
      <c r="T634" s="590">
        <f>IF(A12taxstdlife="n/a","n/a",IF(T$3&gt;(A12taxstdlife+$E634),(('PTRM input'!$P$154+'PTRM input'!$P$120)*$P$7)-SUM($P634:S634),(('PTRM input'!$P$154+'PTRM input'!$P$120)*$P$7)/A12taxstdlife))</f>
        <v>0</v>
      </c>
      <c r="U634" s="590">
        <f>IF(A12taxstdlife="n/a","n/a",IF(U$3&gt;(A12taxstdlife+$E634),(('PTRM input'!$P$154+'PTRM input'!$P$120)*$P$7)-SUM($P634:T634),(('PTRM input'!$P$154+'PTRM input'!$P$120)*$P$7)/A12taxstdlife))</f>
        <v>0</v>
      </c>
      <c r="V634" s="590">
        <f>IF(A12taxstdlife="n/a","n/a",IF(V$3&gt;(A12taxstdlife+$E634),(('PTRM input'!$P$154+'PTRM input'!$P$120)*$P$7)-SUM($P634:U634),(('PTRM input'!$P$154+'PTRM input'!$P$120)*$P$7)/A12taxstdlife))</f>
        <v>0</v>
      </c>
      <c r="W634" s="590">
        <f>IF(A12taxstdlife="n/a","n/a",IF(W$3&gt;(A12taxstdlife+$E634),(('PTRM input'!$P$154+'PTRM input'!$P$120)*$P$7)-SUM($P634:V634),(('PTRM input'!$P$154+'PTRM input'!$P$120)*$P$7)/A12taxstdlife))</f>
        <v>0</v>
      </c>
      <c r="X634" s="590">
        <f>IF(A12taxstdlife="n/a","n/a",IF(X$3&gt;(A12taxstdlife+$E634),(('PTRM input'!$P$154+'PTRM input'!$P$120)*$P$7)-SUM($P634:W634),(('PTRM input'!$P$154+'PTRM input'!$P$120)*$P$7)/A12taxstdlife))</f>
        <v>0</v>
      </c>
      <c r="Y634" s="590">
        <f>IF(A12taxstdlife="n/a","n/a",IF(Y$3&gt;(A12taxstdlife+$E634),(('PTRM input'!$P$154+'PTRM input'!$P$120)*$P$7)-SUM($P634:X634),(('PTRM input'!$P$154+'PTRM input'!$P$120)*$P$7)/A12taxstdlife))</f>
        <v>0</v>
      </c>
      <c r="Z634" s="590">
        <f>IF(A12taxstdlife="n/a","n/a",IF(Z$3&gt;(A12taxstdlife+$E634),(('PTRM input'!$P$154+'PTRM input'!$P$120)*$P$7)-SUM($P634:Y634),(('PTRM input'!$P$154+'PTRM input'!$P$120)*$P$7)/A12taxstdlife))</f>
        <v>0</v>
      </c>
      <c r="AA634" s="590">
        <f>IF(A12taxstdlife="n/a","n/a",IF(AA$3&gt;(A12taxstdlife+$E634),(('PTRM input'!$P$154+'PTRM input'!$P$120)*$P$7)-SUM($P634:Z634),(('PTRM input'!$P$154+'PTRM input'!$P$120)*$P$7)/A12taxstdlife))</f>
        <v>0</v>
      </c>
      <c r="AB634" s="590">
        <f>IF(A12taxstdlife="n/a","n/a",IF(AB$3&gt;(A12taxstdlife+$E634),(('PTRM input'!$P$154+'PTRM input'!$P$120)*$P$7)-SUM($P634:AA634),(('PTRM input'!$P$154+'PTRM input'!$P$120)*$P$7)/A12taxstdlife))</f>
        <v>0</v>
      </c>
      <c r="AC634" s="590">
        <f>IF(A12taxstdlife="n/a","n/a",IF(AC$3&gt;(A12taxstdlife+$E634),(('PTRM input'!$P$154+'PTRM input'!$P$120)*$P$7)-SUM($P634:AB634),(('PTRM input'!$P$154+'PTRM input'!$P$120)*$P$7)/A12taxstdlife))</f>
        <v>0</v>
      </c>
      <c r="AD634" s="590">
        <f>IF(A12taxstdlife="n/a","n/a",IF(AD$3&gt;(A12taxstdlife+$E634),(('PTRM input'!$P$154+'PTRM input'!$P$120)*$P$7)-SUM($P634:AC634),(('PTRM input'!$P$154+'PTRM input'!$P$120)*$P$7)/A12taxstdlife))</f>
        <v>0</v>
      </c>
      <c r="AE634" s="590">
        <f>IF(A12taxstdlife="n/a","n/a",IF(AE$3&gt;(A12taxstdlife+$E634),(('PTRM input'!$P$154+'PTRM input'!$P$120)*$P$7)-SUM($P634:AD634),(('PTRM input'!$P$154+'PTRM input'!$P$120)*$P$7)/A12taxstdlife))</f>
        <v>0</v>
      </c>
      <c r="AF634" s="590">
        <f>IF(A12taxstdlife="n/a","n/a",IF(AF$3&gt;(A12taxstdlife+$E634),(('PTRM input'!$P$154+'PTRM input'!$P$120)*$P$7)-SUM($P634:AE634),(('PTRM input'!$P$154+'PTRM input'!$P$120)*$P$7)/A12taxstdlife))</f>
        <v>0</v>
      </c>
      <c r="AG634" s="590">
        <f>IF(A12taxstdlife="n/a","n/a",IF(AG$3&gt;(A12taxstdlife+$E634),(('PTRM input'!$P$154+'PTRM input'!$P$120)*$P$7)-SUM($P634:AF634),(('PTRM input'!$P$154+'PTRM input'!$P$120)*$P$7)/A12taxstdlife))</f>
        <v>0</v>
      </c>
      <c r="AH634" s="590">
        <f>IF(A12taxstdlife="n/a","n/a",IF(AH$3&gt;(A12taxstdlife+$E634),(('PTRM input'!$P$154+'PTRM input'!$P$120)*$P$7)-SUM($P634:AG634),(('PTRM input'!$P$154+'PTRM input'!$P$120)*$P$7)/A12taxstdlife))</f>
        <v>0</v>
      </c>
      <c r="AI634" s="590">
        <f>IF(A12taxstdlife="n/a","n/a",IF(AI$3&gt;(A12taxstdlife+$E634),(('PTRM input'!$P$154+'PTRM input'!$P$120)*$P$7)-SUM($P634:AH634),(('PTRM input'!$P$154+'PTRM input'!$P$120)*$P$7)/A12taxstdlife))</f>
        <v>0</v>
      </c>
      <c r="AJ634" s="590">
        <f>IF(A12taxstdlife="n/a","n/a",IF(AJ$3&gt;(A12taxstdlife+$E634),(('PTRM input'!$P$154+'PTRM input'!$P$120)*$P$7)-SUM($P634:AI634),(('PTRM input'!$P$154+'PTRM input'!$P$120)*$P$7)/A12taxstdlife))</f>
        <v>0</v>
      </c>
      <c r="AK634" s="590">
        <f>IF(A12taxstdlife="n/a","n/a",IF(AK$3&gt;(A12taxstdlife+$E634),(('PTRM input'!$P$154+'PTRM input'!$P$120)*$P$7)-SUM($P634:AJ634),(('PTRM input'!$P$154+'PTRM input'!$P$120)*$P$7)/A12taxstdlife))</f>
        <v>0</v>
      </c>
      <c r="AL634" s="590">
        <f>IF(A12taxstdlife="n/a","n/a",IF(AL$3&gt;(A12taxstdlife+$E634),(('PTRM input'!$P$154+'PTRM input'!$P$120)*$P$7)-SUM($P634:AK634),(('PTRM input'!$P$154+'PTRM input'!$P$120)*$P$7)/A12taxstdlife))</f>
        <v>0</v>
      </c>
      <c r="AM634" s="590">
        <f>IF(A12taxstdlife="n/a","n/a",IF(AM$3&gt;(A12taxstdlife+$E634),(('PTRM input'!$P$154+'PTRM input'!$P$120)*$P$7)-SUM($P634:AL634),(('PTRM input'!$P$154+'PTRM input'!$P$120)*$P$7)/A12taxstdlife))</f>
        <v>0</v>
      </c>
      <c r="AN634" s="590">
        <f>IF(A12taxstdlife="n/a","n/a",IF(AN$3&gt;(A12taxstdlife+$E634),(('PTRM input'!$P$154+'PTRM input'!$P$120)*$P$7)-SUM($P634:AM634),(('PTRM input'!$P$154+'PTRM input'!$P$120)*$P$7)/A12taxstdlife))</f>
        <v>0</v>
      </c>
      <c r="AO634" s="590">
        <f>IF(A12taxstdlife="n/a","n/a",IF(AO$3&gt;(A12taxstdlife+$E634),(('PTRM input'!$P$154+'PTRM input'!$P$120)*$P$7)-SUM($P634:AN634),(('PTRM input'!$P$154+'PTRM input'!$P$120)*$P$7)/A12taxstdlife))</f>
        <v>0</v>
      </c>
      <c r="AP634" s="590">
        <f>IF(A12taxstdlife="n/a","n/a",IF(AP$3&gt;(A12taxstdlife+$E634),(('PTRM input'!$P$154+'PTRM input'!$P$120)*$P$7)-SUM($P634:AO634),(('PTRM input'!$P$154+'PTRM input'!$P$120)*$P$7)/A12taxstdlife))</f>
        <v>0</v>
      </c>
      <c r="AQ634" s="590">
        <f>IF(A12taxstdlife="n/a","n/a",IF(AQ$3&gt;(A12taxstdlife+$E634),(('PTRM input'!$P$154+'PTRM input'!$P$120)*$P$7)-SUM($P634:AP634),(('PTRM input'!$P$154+'PTRM input'!$P$120)*$P$7)/A12taxstdlife))</f>
        <v>0</v>
      </c>
      <c r="AR634" s="590">
        <f>IF(A12taxstdlife="n/a","n/a",IF(AR$3&gt;(A12taxstdlife+$E634),(('PTRM input'!$P$154+'PTRM input'!$P$120)*$P$7)-SUM($P634:AQ634),(('PTRM input'!$P$154+'PTRM input'!$P$120)*$P$7)/A12taxstdlife))</f>
        <v>0</v>
      </c>
      <c r="AS634" s="590">
        <f>IF(A12taxstdlife="n/a","n/a",IF(AS$3&gt;(A12taxstdlife+$E634),(('PTRM input'!$P$154+'PTRM input'!$P$120)*$P$7)-SUM($P634:AR634),(('PTRM input'!$P$154+'PTRM input'!$P$120)*$P$7)/A12taxstdlife))</f>
        <v>0</v>
      </c>
      <c r="AT634" s="590">
        <f>IF(A12taxstdlife="n/a","n/a",IF(AT$3&gt;(A12taxstdlife+$E634),(('PTRM input'!$P$154+'PTRM input'!$P$120)*$P$7)-SUM($P634:AS634),(('PTRM input'!$P$154+'PTRM input'!$P$120)*$P$7)/A12taxstdlife))</f>
        <v>0</v>
      </c>
      <c r="AU634" s="590">
        <f>IF(A12taxstdlife="n/a","n/a",IF(AU$3&gt;(A12taxstdlife+$E634),(('PTRM input'!$P$154+'PTRM input'!$P$120)*$P$7)-SUM($P634:AT634),(('PTRM input'!$P$154+'PTRM input'!$P$120)*$P$7)/A12taxstdlife))</f>
        <v>0</v>
      </c>
      <c r="AV634" s="590">
        <f>IF(A12taxstdlife="n/a","n/a",IF(AV$3&gt;(A12taxstdlife+$E634),(('PTRM input'!$P$154+'PTRM input'!$P$120)*$P$7)-SUM($P634:AU634),(('PTRM input'!$P$154+'PTRM input'!$P$120)*$P$7)/A12taxstdlife))</f>
        <v>0</v>
      </c>
      <c r="AW634" s="590">
        <f>IF(A12taxstdlife="n/a","n/a",IF(AW$3&gt;(A12taxstdlife+$E634),(('PTRM input'!$P$154+'PTRM input'!$P$120)*$P$7)-SUM($P634:AV634),(('PTRM input'!$P$154+'PTRM input'!$P$120)*$P$7)/A12taxstdlife))</f>
        <v>0</v>
      </c>
      <c r="AX634" s="590">
        <f>IF(A12taxstdlife="n/a","n/a",IF(AX$3&gt;(A12taxstdlife+$E634),(('PTRM input'!$P$154+'PTRM input'!$P$120)*$P$7)-SUM($P634:AW634),(('PTRM input'!$P$154+'PTRM input'!$P$120)*$P$7)/A12taxstdlife))</f>
        <v>0</v>
      </c>
      <c r="AY634" s="590">
        <f>IF(A12taxstdlife="n/a","n/a",IF(AY$3&gt;(A12taxstdlife+$E634),(('PTRM input'!$P$154+'PTRM input'!$P$120)*$P$7)-SUM($P634:AX634),(('PTRM input'!$P$154+'PTRM input'!$P$120)*$P$7)/A12taxstdlife))</f>
        <v>0</v>
      </c>
      <c r="AZ634" s="590">
        <f>IF(A12taxstdlife="n/a","n/a",IF(AZ$3&gt;(A12taxstdlife+$E634),(('PTRM input'!$P$154+'PTRM input'!$P$120)*$P$7)-SUM($P634:AY634),(('PTRM input'!$P$154+'PTRM input'!$P$120)*$P$7)/A12taxstdlife))</f>
        <v>0</v>
      </c>
      <c r="BA634" s="590">
        <f>IF(A12taxstdlife="n/a","n/a",IF(BA$3&gt;(A12taxstdlife+$E634),(('PTRM input'!$P$154+'PTRM input'!$P$120)*$P$7)-SUM($P634:AZ634),(('PTRM input'!$P$154+'PTRM input'!$P$120)*$P$7)/A12taxstdlife))</f>
        <v>0</v>
      </c>
      <c r="BB634" s="590">
        <f>IF(A12taxstdlife="n/a","n/a",IF(BB$3&gt;(A12taxstdlife+$E634),(('PTRM input'!$P$154+'PTRM input'!$P$120)*$P$7)-SUM($P634:BA634),(('PTRM input'!$P$154+'PTRM input'!$P$120)*$P$7)/A12taxstdlife))</f>
        <v>0</v>
      </c>
      <c r="BC634" s="590">
        <f>IF(A12taxstdlife="n/a","n/a",IF(BC$3&gt;(A12taxstdlife+$E634),(('PTRM input'!$P$154+'PTRM input'!$P$120)*$P$7)-SUM($P634:BB634),(('PTRM input'!$P$154+'PTRM input'!$P$120)*$P$7)/A12taxstdlife))</f>
        <v>0</v>
      </c>
      <c r="BD634" s="590">
        <f>IF(A12taxstdlife="n/a","n/a",IF(BD$3&gt;(A12taxstdlife+$E634),(('PTRM input'!$P$154+'PTRM input'!$P$120)*$P$7)-SUM($P634:BC634),(('PTRM input'!$P$154+'PTRM input'!$P$120)*$P$7)/A12taxstdlife))</f>
        <v>0</v>
      </c>
      <c r="BE634" s="590">
        <f>IF(A12taxstdlife="n/a","n/a",IF(BE$3&gt;(A12taxstdlife+$E634),(('PTRM input'!$P$154+'PTRM input'!$P$120)*$P$7)-SUM($P634:BD634),(('PTRM input'!$P$154+'PTRM input'!$P$120)*$P$7)/A12taxstdlife))</f>
        <v>0</v>
      </c>
      <c r="BF634" s="590">
        <f>IF(A12taxstdlife="n/a","n/a",IF(BF$3&gt;(A12taxstdlife+$E634),(('PTRM input'!$P$154+'PTRM input'!$P$120)*$P$7)-SUM($P634:BE634),(('PTRM input'!$P$154+'PTRM input'!$P$120)*$P$7)/A12taxstdlife))</f>
        <v>0</v>
      </c>
      <c r="BG634" s="590">
        <f>IF(A12taxstdlife="n/a","n/a",IF(BG$3&gt;(A12taxstdlife+$E634),(('PTRM input'!$P$154+'PTRM input'!$P$120)*$P$7)-SUM($P634:BF634),(('PTRM input'!$P$154+'PTRM input'!$P$120)*$P$7)/A12taxstdlife))</f>
        <v>0</v>
      </c>
      <c r="BH634" s="590">
        <f>IF(A12taxstdlife="n/a","n/a",IF(BH$3&gt;(A12taxstdlife+$E634),(('PTRM input'!$P$154+'PTRM input'!$P$120)*$P$7)-SUM($P634:BG634),(('PTRM input'!$P$154+'PTRM input'!$P$120)*$P$7)/A12taxstdlife))</f>
        <v>0</v>
      </c>
      <c r="BI634" s="590">
        <f>IF(A12taxstdlife="n/a","n/a",IF(BI$3&gt;(A12taxstdlife+$E634),(('PTRM input'!$P$154+'PTRM input'!$P$120)*$P$7)-SUM($P634:BH634),(('PTRM input'!$P$154+'PTRM input'!$P$120)*$P$7)/A12taxstdlife))</f>
        <v>0</v>
      </c>
      <c r="BJ634" s="240"/>
      <c r="BK634" s="240"/>
      <c r="BL634" s="240"/>
      <c r="BM634" s="240"/>
    </row>
    <row r="635" spans="1:65" s="4" customFormat="1" hidden="1" outlineLevel="1">
      <c r="A635" s="240"/>
      <c r="B635" s="240"/>
      <c r="C635" s="595">
        <f>Asset12</f>
        <v>0</v>
      </c>
      <c r="D635" s="240"/>
      <c r="E635" s="240"/>
      <c r="F635" s="596"/>
      <c r="G635" s="591">
        <f t="shared" ref="G635:AL635" si="128">SUM(G623:G634)</f>
        <v>0</v>
      </c>
      <c r="H635" s="591">
        <f t="shared" si="128"/>
        <v>0</v>
      </c>
      <c r="I635" s="591">
        <f t="shared" si="128"/>
        <v>0</v>
      </c>
      <c r="J635" s="591">
        <f t="shared" si="128"/>
        <v>0</v>
      </c>
      <c r="K635" s="591">
        <f t="shared" si="128"/>
        <v>0</v>
      </c>
      <c r="L635" s="591">
        <f t="shared" si="128"/>
        <v>0</v>
      </c>
      <c r="M635" s="591">
        <f t="shared" si="128"/>
        <v>0</v>
      </c>
      <c r="N635" s="591">
        <f t="shared" si="128"/>
        <v>0</v>
      </c>
      <c r="O635" s="591">
        <f t="shared" si="128"/>
        <v>0</v>
      </c>
      <c r="P635" s="591">
        <f t="shared" si="128"/>
        <v>0</v>
      </c>
      <c r="Q635" s="591">
        <f t="shared" si="128"/>
        <v>0</v>
      </c>
      <c r="R635" s="591">
        <f t="shared" si="128"/>
        <v>0</v>
      </c>
      <c r="S635" s="591">
        <f t="shared" si="128"/>
        <v>0</v>
      </c>
      <c r="T635" s="591">
        <f t="shared" si="128"/>
        <v>0</v>
      </c>
      <c r="U635" s="591">
        <f t="shared" si="128"/>
        <v>0</v>
      </c>
      <c r="V635" s="591">
        <f t="shared" si="128"/>
        <v>0</v>
      </c>
      <c r="W635" s="591">
        <f t="shared" si="128"/>
        <v>0</v>
      </c>
      <c r="X635" s="591">
        <f t="shared" si="128"/>
        <v>0</v>
      </c>
      <c r="Y635" s="591">
        <f t="shared" si="128"/>
        <v>0</v>
      </c>
      <c r="Z635" s="591">
        <f t="shared" si="128"/>
        <v>0</v>
      </c>
      <c r="AA635" s="591">
        <f t="shared" si="128"/>
        <v>0</v>
      </c>
      <c r="AB635" s="591">
        <f t="shared" si="128"/>
        <v>0</v>
      </c>
      <c r="AC635" s="591">
        <f t="shared" si="128"/>
        <v>0</v>
      </c>
      <c r="AD635" s="591">
        <f t="shared" si="128"/>
        <v>0</v>
      </c>
      <c r="AE635" s="591">
        <f t="shared" si="128"/>
        <v>0</v>
      </c>
      <c r="AF635" s="591">
        <f t="shared" si="128"/>
        <v>0</v>
      </c>
      <c r="AG635" s="591">
        <f t="shared" si="128"/>
        <v>0</v>
      </c>
      <c r="AH635" s="591">
        <f t="shared" si="128"/>
        <v>0</v>
      </c>
      <c r="AI635" s="591">
        <f t="shared" si="128"/>
        <v>0</v>
      </c>
      <c r="AJ635" s="591">
        <f t="shared" si="128"/>
        <v>0</v>
      </c>
      <c r="AK635" s="591">
        <f t="shared" si="128"/>
        <v>0</v>
      </c>
      <c r="AL635" s="591">
        <f t="shared" si="128"/>
        <v>0</v>
      </c>
      <c r="AM635" s="591">
        <f t="shared" ref="AM635:BI635" si="129">SUM(AM623:AM634)</f>
        <v>0</v>
      </c>
      <c r="AN635" s="591">
        <f t="shared" si="129"/>
        <v>0</v>
      </c>
      <c r="AO635" s="591">
        <f t="shared" si="129"/>
        <v>0</v>
      </c>
      <c r="AP635" s="591">
        <f t="shared" si="129"/>
        <v>0</v>
      </c>
      <c r="AQ635" s="591">
        <f t="shared" si="129"/>
        <v>0</v>
      </c>
      <c r="AR635" s="591">
        <f t="shared" si="129"/>
        <v>0</v>
      </c>
      <c r="AS635" s="591">
        <f t="shared" si="129"/>
        <v>0</v>
      </c>
      <c r="AT635" s="591">
        <f t="shared" si="129"/>
        <v>0</v>
      </c>
      <c r="AU635" s="591">
        <f t="shared" si="129"/>
        <v>0</v>
      </c>
      <c r="AV635" s="591">
        <f t="shared" si="129"/>
        <v>0</v>
      </c>
      <c r="AW635" s="591">
        <f t="shared" si="129"/>
        <v>0</v>
      </c>
      <c r="AX635" s="591">
        <f t="shared" si="129"/>
        <v>0</v>
      </c>
      <c r="AY635" s="591">
        <f t="shared" si="129"/>
        <v>0</v>
      </c>
      <c r="AZ635" s="591">
        <f t="shared" si="129"/>
        <v>0</v>
      </c>
      <c r="BA635" s="591">
        <f t="shared" si="129"/>
        <v>0</v>
      </c>
      <c r="BB635" s="591">
        <f t="shared" si="129"/>
        <v>0</v>
      </c>
      <c r="BC635" s="591">
        <f t="shared" si="129"/>
        <v>0</v>
      </c>
      <c r="BD635" s="591">
        <f t="shared" si="129"/>
        <v>0</v>
      </c>
      <c r="BE635" s="591">
        <f t="shared" si="129"/>
        <v>0</v>
      </c>
      <c r="BF635" s="591">
        <f t="shared" si="129"/>
        <v>0</v>
      </c>
      <c r="BG635" s="591">
        <f t="shared" si="129"/>
        <v>0</v>
      </c>
      <c r="BH635" s="591">
        <f t="shared" si="129"/>
        <v>0</v>
      </c>
      <c r="BI635" s="591">
        <f t="shared" si="129"/>
        <v>0</v>
      </c>
      <c r="BJ635" s="240"/>
      <c r="BK635" s="240"/>
      <c r="BL635" s="240"/>
      <c r="BM635" s="240"/>
    </row>
    <row r="636" spans="1:65" s="4" customFormat="1" hidden="1" outlineLevel="2">
      <c r="A636" s="240"/>
      <c r="B636" s="597">
        <f>C648</f>
        <v>0</v>
      </c>
      <c r="C636" s="488"/>
      <c r="D636" s="598" t="s">
        <v>58</v>
      </c>
      <c r="E636" s="488"/>
      <c r="F636" s="599"/>
      <c r="G636" s="592">
        <f>IF(G$3&gt;A13taxremlife,A13taxvalue-SUM($F636:F636),IF(A13taxremlife="N/A","n/a",A13taxvalue/A13taxremlife))</f>
        <v>0</v>
      </c>
      <c r="H636" s="592">
        <f>IF(H$3&gt;A13taxremlife,A13taxvalue-SUM($F636:G636),IF(A13taxremlife="N/A","n/a",A13taxvalue/A13taxremlife))</f>
        <v>0</v>
      </c>
      <c r="I636" s="592">
        <f>IF(I$3&gt;A13taxremlife,A13taxvalue-SUM($F636:H636),IF(A13taxremlife="N/A","n/a",A13taxvalue/A13taxremlife))</f>
        <v>0</v>
      </c>
      <c r="J636" s="592">
        <f>IF(J$3&gt;A13taxremlife,A13taxvalue-SUM($F636:I636),IF(A13taxremlife="N/A","n/a",A13taxvalue/A13taxremlife))</f>
        <v>0</v>
      </c>
      <c r="K636" s="592">
        <f>IF(K$3&gt;A13taxremlife,A13taxvalue-SUM($F636:J636),IF(A13taxremlife="N/A","n/a",A13taxvalue/A13taxremlife))</f>
        <v>0</v>
      </c>
      <c r="L636" s="592">
        <f>IF(L$3&gt;A13taxremlife,A13taxvalue-SUM($F636:K636),IF(A13taxremlife="N/A","n/a",A13taxvalue/A13taxremlife))</f>
        <v>0</v>
      </c>
      <c r="M636" s="592">
        <f>IF(M$3&gt;A13taxremlife,A13taxvalue-SUM($F636:L636),IF(A13taxremlife="N/A","n/a",A13taxvalue/A13taxremlife))</f>
        <v>0</v>
      </c>
      <c r="N636" s="592">
        <f>IF(N$3&gt;A13taxremlife,A13taxvalue-SUM($F636:M636),IF(A13taxremlife="N/A","n/a",A13taxvalue/A13taxremlife))</f>
        <v>0</v>
      </c>
      <c r="O636" s="592">
        <f>IF(O$3&gt;A13taxremlife,A13taxvalue-SUM($F636:N636),IF(A13taxremlife="N/A","n/a",A13taxvalue/A13taxremlife))</f>
        <v>0</v>
      </c>
      <c r="P636" s="592">
        <f>IF(P$3&gt;A13taxremlife,A13taxvalue-SUM($F636:O636),IF(A13taxremlife="N/A","n/a",A13taxvalue/A13taxremlife))</f>
        <v>0</v>
      </c>
      <c r="Q636" s="592">
        <f>IF(Q$3&gt;A13taxremlife,A13taxvalue-SUM($F636:P636),IF(A13taxremlife="N/A","n/a",A13taxvalue/A13taxremlife))</f>
        <v>0</v>
      </c>
      <c r="R636" s="592">
        <f>IF(R$3&gt;A13taxremlife,A13taxvalue-SUM($F636:Q636),IF(A13taxremlife="N/A","n/a",A13taxvalue/A13taxremlife))</f>
        <v>0</v>
      </c>
      <c r="S636" s="592">
        <f>IF(S$3&gt;A13taxremlife,A13taxvalue-SUM($F636:R636),IF(A13taxremlife="N/A","n/a",A13taxvalue/A13taxremlife))</f>
        <v>0</v>
      </c>
      <c r="T636" s="592">
        <f>IF(T$3&gt;A13taxremlife,A13taxvalue-SUM($F636:S636),IF(A13taxremlife="N/A","n/a",A13taxvalue/A13taxremlife))</f>
        <v>0</v>
      </c>
      <c r="U636" s="592">
        <f>IF(U$3&gt;A13taxremlife,A13taxvalue-SUM($F636:T636),IF(A13taxremlife="N/A","n/a",A13taxvalue/A13taxremlife))</f>
        <v>0</v>
      </c>
      <c r="V636" s="592">
        <f>IF(V$3&gt;A13taxremlife,A13taxvalue-SUM($F636:U636),IF(A13taxremlife="N/A","n/a",A13taxvalue/A13taxremlife))</f>
        <v>0</v>
      </c>
      <c r="W636" s="592">
        <f>IF(W$3&gt;A13taxremlife,A13taxvalue-SUM($F636:V636),IF(A13taxremlife="N/A","n/a",A13taxvalue/A13taxremlife))</f>
        <v>0</v>
      </c>
      <c r="X636" s="592">
        <f>IF(X$3&gt;A13taxremlife,A13taxvalue-SUM($F636:W636),IF(A13taxremlife="N/A","n/a",A13taxvalue/A13taxremlife))</f>
        <v>0</v>
      </c>
      <c r="Y636" s="592">
        <f>IF(Y$3&gt;A13taxremlife,A13taxvalue-SUM($F636:X636),IF(A13taxremlife="N/A","n/a",A13taxvalue/A13taxremlife))</f>
        <v>0</v>
      </c>
      <c r="Z636" s="592">
        <f>IF(Z$3&gt;A13taxremlife,A13taxvalue-SUM($F636:Y636),IF(A13taxremlife="N/A","n/a",A13taxvalue/A13taxremlife))</f>
        <v>0</v>
      </c>
      <c r="AA636" s="592">
        <f>IF(AA$3&gt;A13taxremlife,A13taxvalue-SUM($F636:Z636),IF(A13taxremlife="N/A","n/a",A13taxvalue/A13taxremlife))</f>
        <v>0</v>
      </c>
      <c r="AB636" s="592">
        <f>IF(AB$3&gt;A13taxremlife,A13taxvalue-SUM($F636:AA636),IF(A13taxremlife="N/A","n/a",A13taxvalue/A13taxremlife))</f>
        <v>0</v>
      </c>
      <c r="AC636" s="592">
        <f>IF(AC$3&gt;A13taxremlife,A13taxvalue-SUM($F636:AB636),IF(A13taxremlife="N/A","n/a",A13taxvalue/A13taxremlife))</f>
        <v>0</v>
      </c>
      <c r="AD636" s="592">
        <f>IF(AD$3&gt;A13taxremlife,A13taxvalue-SUM($F636:AC636),IF(A13taxremlife="N/A","n/a",A13taxvalue/A13taxremlife))</f>
        <v>0</v>
      </c>
      <c r="AE636" s="592">
        <f>IF(AE$3&gt;A13taxremlife,A13taxvalue-SUM($F636:AD636),IF(A13taxremlife="N/A","n/a",A13taxvalue/A13taxremlife))</f>
        <v>0</v>
      </c>
      <c r="AF636" s="592">
        <f>IF(AF$3&gt;A13taxremlife,A13taxvalue-SUM($F636:AE636),IF(A13taxremlife="N/A","n/a",A13taxvalue/A13taxremlife))</f>
        <v>0</v>
      </c>
      <c r="AG636" s="592">
        <f>IF(AG$3&gt;A13taxremlife,A13taxvalue-SUM($F636:AF636),IF(A13taxremlife="N/A","n/a",A13taxvalue/A13taxremlife))</f>
        <v>0</v>
      </c>
      <c r="AH636" s="592">
        <f>IF(AH$3&gt;A13taxremlife,A13taxvalue-SUM($F636:AG636),IF(A13taxremlife="N/A","n/a",A13taxvalue/A13taxremlife))</f>
        <v>0</v>
      </c>
      <c r="AI636" s="592">
        <f>IF(AI$3&gt;A13taxremlife,A13taxvalue-SUM($F636:AH636),IF(A13taxremlife="N/A","n/a",A13taxvalue/A13taxremlife))</f>
        <v>0</v>
      </c>
      <c r="AJ636" s="592">
        <f>IF(AJ$3&gt;A13taxremlife,A13taxvalue-SUM($F636:AI636),IF(A13taxremlife="N/A","n/a",A13taxvalue/A13taxremlife))</f>
        <v>0</v>
      </c>
      <c r="AK636" s="592">
        <f>IF(AK$3&gt;A13taxremlife,A13taxvalue-SUM($F636:AJ636),IF(A13taxremlife="N/A","n/a",A13taxvalue/A13taxremlife))</f>
        <v>0</v>
      </c>
      <c r="AL636" s="592">
        <f>IF(AL$3&gt;A13taxremlife,A13taxvalue-SUM($F636:AK636),IF(A13taxremlife="N/A","n/a",A13taxvalue/A13taxremlife))</f>
        <v>0</v>
      </c>
      <c r="AM636" s="592">
        <f>IF(AM$3&gt;A13taxremlife,A13taxvalue-SUM($F636:AL636),IF(A13taxremlife="N/A","n/a",A13taxvalue/A13taxremlife))</f>
        <v>0</v>
      </c>
      <c r="AN636" s="592">
        <f>IF(AN$3&gt;A13taxremlife,A13taxvalue-SUM($F636:AM636),IF(A13taxremlife="N/A","n/a",A13taxvalue/A13taxremlife))</f>
        <v>0</v>
      </c>
      <c r="AO636" s="592">
        <f>IF(AO$3&gt;A13taxremlife,A13taxvalue-SUM($F636:AN636),IF(A13taxremlife="N/A","n/a",A13taxvalue/A13taxremlife))</f>
        <v>0</v>
      </c>
      <c r="AP636" s="592">
        <f>IF(AP$3&gt;A13taxremlife,A13taxvalue-SUM($F636:AO636),IF(A13taxremlife="N/A","n/a",A13taxvalue/A13taxremlife))</f>
        <v>0</v>
      </c>
      <c r="AQ636" s="592">
        <f>IF(AQ$3&gt;A13taxremlife,A13taxvalue-SUM($F636:AP636),IF(A13taxremlife="N/A","n/a",A13taxvalue/A13taxremlife))</f>
        <v>0</v>
      </c>
      <c r="AR636" s="592">
        <f>IF(AR$3&gt;A13taxremlife,A13taxvalue-SUM($F636:AQ636),IF(A13taxremlife="N/A","n/a",A13taxvalue/A13taxremlife))</f>
        <v>0</v>
      </c>
      <c r="AS636" s="592">
        <f>IF(AS$3&gt;A13taxremlife,A13taxvalue-SUM($F636:AR636),IF(A13taxremlife="N/A","n/a",A13taxvalue/A13taxremlife))</f>
        <v>0</v>
      </c>
      <c r="AT636" s="592">
        <f>IF(AT$3&gt;A13taxremlife,A13taxvalue-SUM($F636:AS636),IF(A13taxremlife="N/A","n/a",A13taxvalue/A13taxremlife))</f>
        <v>0</v>
      </c>
      <c r="AU636" s="592">
        <f>IF(AU$3&gt;A13taxremlife,A13taxvalue-SUM($F636:AT636),IF(A13taxremlife="N/A","n/a",A13taxvalue/A13taxremlife))</f>
        <v>0</v>
      </c>
      <c r="AV636" s="592">
        <f>IF(AV$3&gt;A13taxremlife,A13taxvalue-SUM($F636:AU636),IF(A13taxremlife="N/A","n/a",A13taxvalue/A13taxremlife))</f>
        <v>0</v>
      </c>
      <c r="AW636" s="592">
        <f>IF(AW$3&gt;A13taxremlife,A13taxvalue-SUM($F636:AV636),IF(A13taxremlife="N/A","n/a",A13taxvalue/A13taxremlife))</f>
        <v>0</v>
      </c>
      <c r="AX636" s="592">
        <f>IF(AX$3&gt;A13taxremlife,A13taxvalue-SUM($F636:AW636),IF(A13taxremlife="N/A","n/a",A13taxvalue/A13taxremlife))</f>
        <v>0</v>
      </c>
      <c r="AY636" s="592">
        <f>IF(AY$3&gt;A13taxremlife,A13taxvalue-SUM($F636:AX636),IF(A13taxremlife="N/A","n/a",A13taxvalue/A13taxremlife))</f>
        <v>0</v>
      </c>
      <c r="AZ636" s="592">
        <f>IF(AZ$3&gt;A13taxremlife,A13taxvalue-SUM($F636:AY636),IF(A13taxremlife="N/A","n/a",A13taxvalue/A13taxremlife))</f>
        <v>0</v>
      </c>
      <c r="BA636" s="592">
        <f>IF(BA$3&gt;A13taxremlife,A13taxvalue-SUM($F636:AZ636),IF(A13taxremlife="N/A","n/a",A13taxvalue/A13taxremlife))</f>
        <v>0</v>
      </c>
      <c r="BB636" s="592">
        <f>IF(BB$3&gt;A13taxremlife,A13taxvalue-SUM($F636:BA636),IF(A13taxremlife="N/A","n/a",A13taxvalue/A13taxremlife))</f>
        <v>0</v>
      </c>
      <c r="BC636" s="592">
        <f>IF(BC$3&gt;A13taxremlife,A13taxvalue-SUM($F636:BB636),IF(A13taxremlife="N/A","n/a",A13taxvalue/A13taxremlife))</f>
        <v>0</v>
      </c>
      <c r="BD636" s="592">
        <f>IF(BD$3&gt;A13taxremlife,A13taxvalue-SUM($F636:BC636),IF(A13taxremlife="N/A","n/a",A13taxvalue/A13taxremlife))</f>
        <v>0</v>
      </c>
      <c r="BE636" s="592">
        <f>IF(BE$3&gt;A13taxremlife,A13taxvalue-SUM($F636:BD636),IF(A13taxremlife="N/A","n/a",A13taxvalue/A13taxremlife))</f>
        <v>0</v>
      </c>
      <c r="BF636" s="592">
        <f>IF(BF$3&gt;A13taxremlife,A13taxvalue-SUM($F636:BE636),IF(A13taxremlife="N/A","n/a",A13taxvalue/A13taxremlife))</f>
        <v>0</v>
      </c>
      <c r="BG636" s="592">
        <f>IF(BG$3&gt;A13taxremlife,A13taxvalue-SUM($F636:BF636),IF(A13taxremlife="N/A","n/a",A13taxvalue/A13taxremlife))</f>
        <v>0</v>
      </c>
      <c r="BH636" s="592">
        <f>IF(BH$3&gt;A13taxremlife,A13taxvalue-SUM($F636:BG636),IF(A13taxremlife="N/A","n/a",A13taxvalue/A13taxremlife))</f>
        <v>0</v>
      </c>
      <c r="BI636" s="592">
        <f>IF(BI$3&gt;A13taxremlife,A13taxvalue-SUM($F636:BH636),IF(A13taxremlife="N/A","n/a",A13taxvalue/A13taxremlife))</f>
        <v>0</v>
      </c>
      <c r="BJ636" s="240"/>
      <c r="BK636" s="240"/>
      <c r="BL636" s="240"/>
      <c r="BM636" s="240"/>
    </row>
    <row r="637" spans="1:65" s="4" customFormat="1" ht="12.75" hidden="1" customHeight="1" outlineLevel="2">
      <c r="A637" s="240"/>
      <c r="B637" s="240"/>
      <c r="C637" s="595"/>
      <c r="D637" s="1618" t="s">
        <v>357</v>
      </c>
      <c r="E637" s="169">
        <v>0</v>
      </c>
      <c r="F637" s="35"/>
      <c r="G637" s="107"/>
      <c r="H637" s="107"/>
      <c r="I637" s="107"/>
      <c r="J637" s="107"/>
      <c r="K637" s="107"/>
      <c r="L637" s="107"/>
      <c r="M637" s="107"/>
      <c r="N637" s="107"/>
      <c r="O637" s="107"/>
      <c r="P637" s="107"/>
      <c r="Q637" s="590"/>
      <c r="R637" s="590"/>
      <c r="S637" s="590"/>
      <c r="T637" s="590"/>
      <c r="U637" s="590"/>
      <c r="V637" s="590"/>
      <c r="W637" s="590"/>
      <c r="X637" s="590"/>
      <c r="Y637" s="590"/>
      <c r="Z637" s="590"/>
      <c r="AA637" s="590"/>
      <c r="AB637" s="590"/>
      <c r="AC637" s="590"/>
      <c r="AD637" s="590"/>
      <c r="AE637" s="590"/>
      <c r="AF637" s="590"/>
      <c r="AG637" s="590"/>
      <c r="AH637" s="590"/>
      <c r="AI637" s="590"/>
      <c r="AJ637" s="590"/>
      <c r="AK637" s="590"/>
      <c r="AL637" s="590"/>
      <c r="AM637" s="590"/>
      <c r="AN637" s="590"/>
      <c r="AO637" s="590"/>
      <c r="AP637" s="590"/>
      <c r="AQ637" s="590"/>
      <c r="AR637" s="590"/>
      <c r="AS637" s="590"/>
      <c r="AT637" s="590"/>
      <c r="AU637" s="590"/>
      <c r="AV637" s="590"/>
      <c r="AW637" s="590"/>
      <c r="AX637" s="590"/>
      <c r="AY637" s="590"/>
      <c r="AZ637" s="590"/>
      <c r="BA637" s="590"/>
      <c r="BB637" s="590"/>
      <c r="BC637" s="590"/>
      <c r="BD637" s="590"/>
      <c r="BE637" s="590"/>
      <c r="BF637" s="590"/>
      <c r="BG637" s="590"/>
      <c r="BH637" s="590"/>
      <c r="BI637" s="590"/>
      <c r="BJ637" s="240"/>
      <c r="BK637" s="240"/>
      <c r="BL637" s="240"/>
      <c r="BM637" s="240"/>
    </row>
    <row r="638" spans="1:65" s="4" customFormat="1" hidden="1" outlineLevel="2">
      <c r="A638" s="240"/>
      <c r="B638" s="240"/>
      <c r="C638" s="595"/>
      <c r="D638" s="1618"/>
      <c r="E638" s="169">
        <v>1</v>
      </c>
      <c r="F638" s="35"/>
      <c r="G638" s="183"/>
      <c r="H638" s="107">
        <f>IF(A13taxstdlife="n/a","n/a",IF(H$3&gt;(A13taxstdlife+$E638),(('PTRM input'!$G$155+'PTRM input'!$G$121)*$G$7)-SUM($G638:G638),(('PTRM input'!$G$155+'PTRM input'!$G$121)*$G$7)/A13taxstdlife))</f>
        <v>0</v>
      </c>
      <c r="I638" s="107">
        <f>IF(A13taxstdlife="n/a","n/a",IF(I$3&gt;(A13taxstdlife+$E638),(('PTRM input'!$G$155+'PTRM input'!$G$121)*$G$7)-SUM($G638:H638),(('PTRM input'!$G$155+'PTRM input'!$G$121)*$G$7)/A13taxstdlife))</f>
        <v>0</v>
      </c>
      <c r="J638" s="107">
        <f>IF(A13taxstdlife="n/a","n/a",IF(J$3&gt;(A13taxstdlife+$E638),(('PTRM input'!$G$155+'PTRM input'!$G$121)*$G$7)-SUM($G638:I638),(('PTRM input'!$G$155+'PTRM input'!$G$121)*$G$7)/A13taxstdlife))</f>
        <v>0</v>
      </c>
      <c r="K638" s="107">
        <f>IF(A13taxstdlife="n/a","n/a",IF(K$3&gt;(A13taxstdlife+$E638),(('PTRM input'!$G$155+'PTRM input'!$G$121)*$G$7)-SUM($G638:J638),(('PTRM input'!$G$155+'PTRM input'!$G$121)*$G$7)/A13taxstdlife))</f>
        <v>0</v>
      </c>
      <c r="L638" s="107">
        <f>IF(A13taxstdlife="n/a","n/a",IF(L$3&gt;(A13taxstdlife+$E638),(('PTRM input'!$G$155+'PTRM input'!$G$121)*$G$7)-SUM($G638:K638),(('PTRM input'!$G$155+'PTRM input'!$G$121)*$G$7)/A13taxstdlife))</f>
        <v>0</v>
      </c>
      <c r="M638" s="107">
        <f>IF(A13taxstdlife="n/a","n/a",IF(M$3&gt;(A13taxstdlife+$E638),(('PTRM input'!$G$155+'PTRM input'!$G$121)*$G$7)-SUM($G638:L638),(('PTRM input'!$G$155+'PTRM input'!$G$121)*$G$7)/A13taxstdlife))</f>
        <v>0</v>
      </c>
      <c r="N638" s="107">
        <f>IF(A13taxstdlife="n/a","n/a",IF(N$3&gt;(A13taxstdlife+$E638),(('PTRM input'!$G$155+'PTRM input'!$G$121)*$G$7)-SUM($G638:M638),(('PTRM input'!$G$155+'PTRM input'!$G$121)*$G$7)/A13taxstdlife))</f>
        <v>0</v>
      </c>
      <c r="O638" s="107">
        <f>IF(A13taxstdlife="n/a","n/a",IF(O$3&gt;(A13taxstdlife+$E638),(('PTRM input'!$G$155+'PTRM input'!$G$121)*$G$7)-SUM($G638:N638),(('PTRM input'!$G$155+'PTRM input'!$G$121)*$G$7)/A13taxstdlife))</f>
        <v>0</v>
      </c>
      <c r="P638" s="107">
        <f>IF(A13taxstdlife="n/a","n/a",IF(P$3&gt;(A13taxstdlife+$E638),(('PTRM input'!$G$155+'PTRM input'!$G$121)*$G$7)-SUM($G638:O638),(('PTRM input'!$G$155+'PTRM input'!$G$121)*$G$7)/A13taxstdlife))</f>
        <v>0</v>
      </c>
      <c r="Q638" s="590">
        <f>IF(A13taxstdlife="n/a","n/a",IF(Q$3&gt;(A13taxstdlife+$E638),(('PTRM input'!$G$155+'PTRM input'!$G$121)*$G$7)-SUM($G638:P638),(('PTRM input'!$G$155+'PTRM input'!$G$121)*$G$7)/A13taxstdlife))</f>
        <v>0</v>
      </c>
      <c r="R638" s="590">
        <f>IF(A13taxstdlife="n/a","n/a",IF(R$3&gt;(A13taxstdlife+$E638),(('PTRM input'!$G$155+'PTRM input'!$G$121)*$G$7)-SUM($G638:Q638),(('PTRM input'!$G$155+'PTRM input'!$G$121)*$G$7)/A13taxstdlife))</f>
        <v>0</v>
      </c>
      <c r="S638" s="590">
        <f>IF(A13taxstdlife="n/a","n/a",IF(S$3&gt;(A13taxstdlife+$E638),(('PTRM input'!$G$155+'PTRM input'!$G$121)*$G$7)-SUM($G638:R638),(('PTRM input'!$G$155+'PTRM input'!$G$121)*$G$7)/A13taxstdlife))</f>
        <v>0</v>
      </c>
      <c r="T638" s="590">
        <f>IF(A13taxstdlife="n/a","n/a",IF(T$3&gt;(A13taxstdlife+$E638),(('PTRM input'!$G$155+'PTRM input'!$G$121)*$G$7)-SUM($G638:S638),(('PTRM input'!$G$155+'PTRM input'!$G$121)*$G$7)/A13taxstdlife))</f>
        <v>0</v>
      </c>
      <c r="U638" s="590">
        <f>IF(A13taxstdlife="n/a","n/a",IF(U$3&gt;(A13taxstdlife+$E638),(('PTRM input'!$G$155+'PTRM input'!$G$121)*$G$7)-SUM($G638:T638),(('PTRM input'!$G$155+'PTRM input'!$G$121)*$G$7)/A13taxstdlife))</f>
        <v>0</v>
      </c>
      <c r="V638" s="590">
        <f>IF(A13taxstdlife="n/a","n/a",IF(V$3&gt;(A13taxstdlife+$E638),(('PTRM input'!$G$155+'PTRM input'!$G$121)*$G$7)-SUM($G638:U638),(('PTRM input'!$G$155+'PTRM input'!$G$121)*$G$7)/A13taxstdlife))</f>
        <v>0</v>
      </c>
      <c r="W638" s="590">
        <f>IF(A13taxstdlife="n/a","n/a",IF(W$3&gt;(A13taxstdlife+$E638),(('PTRM input'!$G$155+'PTRM input'!$G$121)*$G$7)-SUM($G638:V638),(('PTRM input'!$G$155+'PTRM input'!$G$121)*$G$7)/A13taxstdlife))</f>
        <v>0</v>
      </c>
      <c r="X638" s="590">
        <f>IF(A13taxstdlife="n/a","n/a",IF(X$3&gt;(A13taxstdlife+$E638),(('PTRM input'!$G$155+'PTRM input'!$G$121)*$G$7)-SUM($G638:W638),(('PTRM input'!$G$155+'PTRM input'!$G$121)*$G$7)/A13taxstdlife))</f>
        <v>0</v>
      </c>
      <c r="Y638" s="590">
        <f>IF(A13taxstdlife="n/a","n/a",IF(Y$3&gt;(A13taxstdlife+$E638),(('PTRM input'!$G$155+'PTRM input'!$G$121)*$G$7)-SUM($G638:X638),(('PTRM input'!$G$155+'PTRM input'!$G$121)*$G$7)/A13taxstdlife))</f>
        <v>0</v>
      </c>
      <c r="Z638" s="590">
        <f>IF(A13taxstdlife="n/a","n/a",IF(Z$3&gt;(A13taxstdlife+$E638),(('PTRM input'!$G$155+'PTRM input'!$G$121)*$G$7)-SUM($G638:Y638),(('PTRM input'!$G$155+'PTRM input'!$G$121)*$G$7)/A13taxstdlife))</f>
        <v>0</v>
      </c>
      <c r="AA638" s="590">
        <f>IF(A13taxstdlife="n/a","n/a",IF(AA$3&gt;(A13taxstdlife+$E638),(('PTRM input'!$G$155+'PTRM input'!$G$121)*$G$7)-SUM($G638:Z638),(('PTRM input'!$G$155+'PTRM input'!$G$121)*$G$7)/A13taxstdlife))</f>
        <v>0</v>
      </c>
      <c r="AB638" s="590">
        <f>IF(A13taxstdlife="n/a","n/a",IF(AB$3&gt;(A13taxstdlife+$E638),(('PTRM input'!$G$155+'PTRM input'!$G$121)*$G$7)-SUM($G638:AA638),(('PTRM input'!$G$155+'PTRM input'!$G$121)*$G$7)/A13taxstdlife))</f>
        <v>0</v>
      </c>
      <c r="AC638" s="590">
        <f>IF(A13taxstdlife="n/a","n/a",IF(AC$3&gt;(A13taxstdlife+$E638),(('PTRM input'!$G$155+'PTRM input'!$G$121)*$G$7)-SUM($G638:AB638),(('PTRM input'!$G$155+'PTRM input'!$G$121)*$G$7)/A13taxstdlife))</f>
        <v>0</v>
      </c>
      <c r="AD638" s="590">
        <f>IF(A13taxstdlife="n/a","n/a",IF(AD$3&gt;(A13taxstdlife+$E638),(('PTRM input'!$G$155+'PTRM input'!$G$121)*$G$7)-SUM($G638:AC638),(('PTRM input'!$G$155+'PTRM input'!$G$121)*$G$7)/A13taxstdlife))</f>
        <v>0</v>
      </c>
      <c r="AE638" s="590">
        <f>IF(A13taxstdlife="n/a","n/a",IF(AE$3&gt;(A13taxstdlife+$E638),(('PTRM input'!$G$155+'PTRM input'!$G$121)*$G$7)-SUM($G638:AD638),(('PTRM input'!$G$155+'PTRM input'!$G$121)*$G$7)/A13taxstdlife))</f>
        <v>0</v>
      </c>
      <c r="AF638" s="590">
        <f>IF(A13taxstdlife="n/a","n/a",IF(AF$3&gt;(A13taxstdlife+$E638),(('PTRM input'!$G$155+'PTRM input'!$G$121)*$G$7)-SUM($G638:AE638),(('PTRM input'!$G$155+'PTRM input'!$G$121)*$G$7)/A13taxstdlife))</f>
        <v>0</v>
      </c>
      <c r="AG638" s="590">
        <f>IF(A13taxstdlife="n/a","n/a",IF(AG$3&gt;(A13taxstdlife+$E638),(('PTRM input'!$G$155+'PTRM input'!$G$121)*$G$7)-SUM($G638:AF638),(('PTRM input'!$G$155+'PTRM input'!$G$121)*$G$7)/A13taxstdlife))</f>
        <v>0</v>
      </c>
      <c r="AH638" s="590">
        <f>IF(A13taxstdlife="n/a","n/a",IF(AH$3&gt;(A13taxstdlife+$E638),(('PTRM input'!$G$155+'PTRM input'!$G$121)*$G$7)-SUM($G638:AG638),(('PTRM input'!$G$155+'PTRM input'!$G$121)*$G$7)/A13taxstdlife))</f>
        <v>0</v>
      </c>
      <c r="AI638" s="590">
        <f>IF(A13taxstdlife="n/a","n/a",IF(AI$3&gt;(A13taxstdlife+$E638),(('PTRM input'!$G$155+'PTRM input'!$G$121)*$G$7)-SUM($G638:AH638),(('PTRM input'!$G$155+'PTRM input'!$G$121)*$G$7)/A13taxstdlife))</f>
        <v>0</v>
      </c>
      <c r="AJ638" s="590">
        <f>IF(A13taxstdlife="n/a","n/a",IF(AJ$3&gt;(A13taxstdlife+$E638),(('PTRM input'!$G$155+'PTRM input'!$G$121)*$G$7)-SUM($G638:AI638),(('PTRM input'!$G$155+'PTRM input'!$G$121)*$G$7)/A13taxstdlife))</f>
        <v>0</v>
      </c>
      <c r="AK638" s="590">
        <f>IF(A13taxstdlife="n/a","n/a",IF(AK$3&gt;(A13taxstdlife+$E638),(('PTRM input'!$G$155+'PTRM input'!$G$121)*$G$7)-SUM($G638:AJ638),(('PTRM input'!$G$155+'PTRM input'!$G$121)*$G$7)/A13taxstdlife))</f>
        <v>0</v>
      </c>
      <c r="AL638" s="590">
        <f>IF(A13taxstdlife="n/a","n/a",IF(AL$3&gt;(A13taxstdlife+$E638),(('PTRM input'!$G$155+'PTRM input'!$G$121)*$G$7)-SUM($G638:AK638),(('PTRM input'!$G$155+'PTRM input'!$G$121)*$G$7)/A13taxstdlife))</f>
        <v>0</v>
      </c>
      <c r="AM638" s="590">
        <f>IF(A13taxstdlife="n/a","n/a",IF(AM$3&gt;(A13taxstdlife+$E638),(('PTRM input'!$G$155+'PTRM input'!$G$121)*$G$7)-SUM($G638:AL638),(('PTRM input'!$G$155+'PTRM input'!$G$121)*$G$7)/A13taxstdlife))</f>
        <v>0</v>
      </c>
      <c r="AN638" s="590">
        <f>IF(A13taxstdlife="n/a","n/a",IF(AN$3&gt;(A13taxstdlife+$E638),(('PTRM input'!$G$155+'PTRM input'!$G$121)*$G$7)-SUM($G638:AM638),(('PTRM input'!$G$155+'PTRM input'!$G$121)*$G$7)/A13taxstdlife))</f>
        <v>0</v>
      </c>
      <c r="AO638" s="590">
        <f>IF(A13taxstdlife="n/a","n/a",IF(AO$3&gt;(A13taxstdlife+$E638),(('PTRM input'!$G$155+'PTRM input'!$G$121)*$G$7)-SUM($G638:AN638),(('PTRM input'!$G$155+'PTRM input'!$G$121)*$G$7)/A13taxstdlife))</f>
        <v>0</v>
      </c>
      <c r="AP638" s="590">
        <f>IF(A13taxstdlife="n/a","n/a",IF(AP$3&gt;(A13taxstdlife+$E638),(('PTRM input'!$G$155+'PTRM input'!$G$121)*$G$7)-SUM($G638:AO638),(('PTRM input'!$G$155+'PTRM input'!$G$121)*$G$7)/A13taxstdlife))</f>
        <v>0</v>
      </c>
      <c r="AQ638" s="590">
        <f>IF(A13taxstdlife="n/a","n/a",IF(AQ$3&gt;(A13taxstdlife+$E638),(('PTRM input'!$G$155+'PTRM input'!$G$121)*$G$7)-SUM($G638:AP638),(('PTRM input'!$G$155+'PTRM input'!$G$121)*$G$7)/A13taxstdlife))</f>
        <v>0</v>
      </c>
      <c r="AR638" s="590">
        <f>IF(A13taxstdlife="n/a","n/a",IF(AR$3&gt;(A13taxstdlife+$E638),(('PTRM input'!$G$155+'PTRM input'!$G$121)*$G$7)-SUM($G638:AQ638),(('PTRM input'!$G$155+'PTRM input'!$G$121)*$G$7)/A13taxstdlife))</f>
        <v>0</v>
      </c>
      <c r="AS638" s="590">
        <f>IF(A13taxstdlife="n/a","n/a",IF(AS$3&gt;(A13taxstdlife+$E638),(('PTRM input'!$G$155+'PTRM input'!$G$121)*$G$7)-SUM($G638:AR638),(('PTRM input'!$G$155+'PTRM input'!$G$121)*$G$7)/A13taxstdlife))</f>
        <v>0</v>
      </c>
      <c r="AT638" s="590">
        <f>IF(A13taxstdlife="n/a","n/a",IF(AT$3&gt;(A13taxstdlife+$E638),(('PTRM input'!$G$155+'PTRM input'!$G$121)*$G$7)-SUM($G638:AS638),(('PTRM input'!$G$155+'PTRM input'!$G$121)*$G$7)/A13taxstdlife))</f>
        <v>0</v>
      </c>
      <c r="AU638" s="590">
        <f>IF(A13taxstdlife="n/a","n/a",IF(AU$3&gt;(A13taxstdlife+$E638),(('PTRM input'!$G$155+'PTRM input'!$G$121)*$G$7)-SUM($G638:AT638),(('PTRM input'!$G$155+'PTRM input'!$G$121)*$G$7)/A13taxstdlife))</f>
        <v>0</v>
      </c>
      <c r="AV638" s="590">
        <f>IF(A13taxstdlife="n/a","n/a",IF(AV$3&gt;(A13taxstdlife+$E638),(('PTRM input'!$G$155+'PTRM input'!$G$121)*$G$7)-SUM($G638:AU638),(('PTRM input'!$G$155+'PTRM input'!$G$121)*$G$7)/A13taxstdlife))</f>
        <v>0</v>
      </c>
      <c r="AW638" s="590">
        <f>IF(A13taxstdlife="n/a","n/a",IF(AW$3&gt;(A13taxstdlife+$E638),(('PTRM input'!$G$155+'PTRM input'!$G$121)*$G$7)-SUM($G638:AV638),(('PTRM input'!$G$155+'PTRM input'!$G$121)*$G$7)/A13taxstdlife))</f>
        <v>0</v>
      </c>
      <c r="AX638" s="590">
        <f>IF(A13taxstdlife="n/a","n/a",IF(AX$3&gt;(A13taxstdlife+$E638),(('PTRM input'!$G$155+'PTRM input'!$G$121)*$G$7)-SUM($G638:AW638),(('PTRM input'!$G$155+'PTRM input'!$G$121)*$G$7)/A13taxstdlife))</f>
        <v>0</v>
      </c>
      <c r="AY638" s="590">
        <f>IF(A13taxstdlife="n/a","n/a",IF(AY$3&gt;(A13taxstdlife+$E638),(('PTRM input'!$G$155+'PTRM input'!$G$121)*$G$7)-SUM($G638:AX638),(('PTRM input'!$G$155+'PTRM input'!$G$121)*$G$7)/A13taxstdlife))</f>
        <v>0</v>
      </c>
      <c r="AZ638" s="590">
        <f>IF(A13taxstdlife="n/a","n/a",IF(AZ$3&gt;(A13taxstdlife+$E638),(('PTRM input'!$G$155+'PTRM input'!$G$121)*$G$7)-SUM($G638:AY638),(('PTRM input'!$G$155+'PTRM input'!$G$121)*$G$7)/A13taxstdlife))</f>
        <v>0</v>
      </c>
      <c r="BA638" s="590">
        <f>IF(A13taxstdlife="n/a","n/a",IF(BA$3&gt;(A13taxstdlife+$E638),(('PTRM input'!$G$155+'PTRM input'!$G$121)*$G$7)-SUM($G638:AZ638),(('PTRM input'!$G$155+'PTRM input'!$G$121)*$G$7)/A13taxstdlife))</f>
        <v>0</v>
      </c>
      <c r="BB638" s="590">
        <f>IF(A13taxstdlife="n/a","n/a",IF(BB$3&gt;(A13taxstdlife+$E638),(('PTRM input'!$G$155+'PTRM input'!$G$121)*$G$7)-SUM($G638:BA638),(('PTRM input'!$G$155+'PTRM input'!$G$121)*$G$7)/A13taxstdlife))</f>
        <v>0</v>
      </c>
      <c r="BC638" s="590">
        <f>IF(A13taxstdlife="n/a","n/a",IF(BC$3&gt;(A13taxstdlife+$E638),(('PTRM input'!$G$155+'PTRM input'!$G$121)*$G$7)-SUM($G638:BB638),(('PTRM input'!$G$155+'PTRM input'!$G$121)*$G$7)/A13taxstdlife))</f>
        <v>0</v>
      </c>
      <c r="BD638" s="590">
        <f>IF(A13taxstdlife="n/a","n/a",IF(BD$3&gt;(A13taxstdlife+$E638),(('PTRM input'!$G$155+'PTRM input'!$G$121)*$G$7)-SUM($G638:BC638),(('PTRM input'!$G$155+'PTRM input'!$G$121)*$G$7)/A13taxstdlife))</f>
        <v>0</v>
      </c>
      <c r="BE638" s="590">
        <f>IF(A13taxstdlife="n/a","n/a",IF(BE$3&gt;(A13taxstdlife+$E638),(('PTRM input'!$G$155+'PTRM input'!$G$121)*$G$7)-SUM($G638:BD638),(('PTRM input'!$G$155+'PTRM input'!$G$121)*$G$7)/A13taxstdlife))</f>
        <v>0</v>
      </c>
      <c r="BF638" s="590">
        <f>IF(A13taxstdlife="n/a","n/a",IF(BF$3&gt;(A13taxstdlife+$E638),(('PTRM input'!$G$155+'PTRM input'!$G$121)*$G$7)-SUM($G638:BE638),(('PTRM input'!$G$155+'PTRM input'!$G$121)*$G$7)/A13taxstdlife))</f>
        <v>0</v>
      </c>
      <c r="BG638" s="590">
        <f>IF(A13taxstdlife="n/a","n/a",IF(BG$3&gt;(A13taxstdlife+$E638),(('PTRM input'!$G$155+'PTRM input'!$G$121)*$G$7)-SUM($G638:BF638),(('PTRM input'!$G$155+'PTRM input'!$G$121)*$G$7)/A13taxstdlife))</f>
        <v>0</v>
      </c>
      <c r="BH638" s="590">
        <f>IF(A13taxstdlife="n/a","n/a",IF(BH$3&gt;(A13taxstdlife+$E638),(('PTRM input'!$G$155+'PTRM input'!$G$121)*$G$7)-SUM($G638:BG638),(('PTRM input'!$G$155+'PTRM input'!$G$121)*$G$7)/A13taxstdlife))</f>
        <v>0</v>
      </c>
      <c r="BI638" s="590">
        <f>IF(A13taxstdlife="n/a","n/a",IF(BI$3&gt;(A13taxstdlife+$E638),(('PTRM input'!$G$155+'PTRM input'!$G$121)*$G$7)-SUM($G638:BH638),(('PTRM input'!$G$155+'PTRM input'!$G$121)*$G$7)/A13taxstdlife))</f>
        <v>0</v>
      </c>
      <c r="BJ638" s="240"/>
      <c r="BK638" s="240"/>
      <c r="BL638" s="240"/>
      <c r="BM638" s="240"/>
    </row>
    <row r="639" spans="1:65" s="4" customFormat="1" hidden="1" outlineLevel="2">
      <c r="A639" s="240"/>
      <c r="B639" s="240"/>
      <c r="C639" s="595"/>
      <c r="D639" s="1618"/>
      <c r="E639" s="169">
        <v>2</v>
      </c>
      <c r="F639" s="35"/>
      <c r="G639" s="184"/>
      <c r="H639" s="185"/>
      <c r="I639" s="107">
        <f>IF(A13taxstdlife="n/a","n/a",IF(I$3&gt;(A13taxstdlife+$E639),(('PTRM input'!$H$155+'PTRM input'!$H$121)*$H$7)-SUM($H639:H639),(('PTRM input'!$H$155+'PTRM input'!$H$121)*$H$7)/A13taxstdlife))</f>
        <v>0</v>
      </c>
      <c r="J639" s="107">
        <f>IF(A13taxstdlife="n/a","n/a",IF(J$3&gt;(A13taxstdlife+$E639),(('PTRM input'!$H$155+'PTRM input'!$H$121)*$H$7)-SUM($H639:I639),(('PTRM input'!$H$155+'PTRM input'!$H$121)*$H$7)/A13taxstdlife))</f>
        <v>0</v>
      </c>
      <c r="K639" s="107">
        <f>IF(A13taxstdlife="n/a","n/a",IF(K$3&gt;(A13taxstdlife+$E639),(('PTRM input'!$H$155+'PTRM input'!$H$121)*$H$7)-SUM($H639:J639),(('PTRM input'!$H$155+'PTRM input'!$H$121)*$H$7)/A13taxstdlife))</f>
        <v>0</v>
      </c>
      <c r="L639" s="107">
        <f>IF(A13taxstdlife="n/a","n/a",IF(L$3&gt;(A13taxstdlife+$E639),(('PTRM input'!$H$155+'PTRM input'!$H$121)*$H$7)-SUM($H639:K639),(('PTRM input'!$H$155+'PTRM input'!$H$121)*$H$7)/A13taxstdlife))</f>
        <v>0</v>
      </c>
      <c r="M639" s="107">
        <f>IF(A13taxstdlife="n/a","n/a",IF(M$3&gt;(A13taxstdlife+$E639),(('PTRM input'!$H$155+'PTRM input'!$H$121)*$H$7)-SUM($H639:L639),(('PTRM input'!$H$155+'PTRM input'!$H$121)*$H$7)/A13taxstdlife))</f>
        <v>0</v>
      </c>
      <c r="N639" s="107">
        <f>IF(A13taxstdlife="n/a","n/a",IF(N$3&gt;(A13taxstdlife+$E639),(('PTRM input'!$H$155+'PTRM input'!$H$121)*$H$7)-SUM($H639:M639),(('PTRM input'!$H$155+'PTRM input'!$H$121)*$H$7)/A13taxstdlife))</f>
        <v>0</v>
      </c>
      <c r="O639" s="107">
        <f>IF(A13taxstdlife="n/a","n/a",IF(O$3&gt;(A13taxstdlife+$E639),(('PTRM input'!$H$155+'PTRM input'!$H$121)*$H$7)-SUM($H639:N639),(('PTRM input'!$H$155+'PTRM input'!$H$121)*$H$7)/A13taxstdlife))</f>
        <v>0</v>
      </c>
      <c r="P639" s="107">
        <f>IF(A13taxstdlife="n/a","n/a",IF(P$3&gt;(A13taxstdlife+$E639),(('PTRM input'!$H$155+'PTRM input'!$H$121)*$H$7)-SUM($H639:O639),(('PTRM input'!$H$155+'PTRM input'!$H$121)*$H$7)/A13taxstdlife))</f>
        <v>0</v>
      </c>
      <c r="Q639" s="590">
        <f>IF(A13taxstdlife="n/a","n/a",IF(Q$3&gt;(A13taxstdlife+$E639),(('PTRM input'!$H$155+'PTRM input'!$H$121)*$H$7)-SUM($H639:P639),(('PTRM input'!$H$155+'PTRM input'!$H$121)*$H$7)/A13taxstdlife))</f>
        <v>0</v>
      </c>
      <c r="R639" s="590">
        <f>IF(A13taxstdlife="n/a","n/a",IF(R$3&gt;(A13taxstdlife+$E639),(('PTRM input'!$H$155+'PTRM input'!$H$121)*$H$7)-SUM($H639:Q639),(('PTRM input'!$H$155+'PTRM input'!$H$121)*$H$7)/A13taxstdlife))</f>
        <v>0</v>
      </c>
      <c r="S639" s="590">
        <f>IF(A13taxstdlife="n/a","n/a",IF(S$3&gt;(A13taxstdlife+$E639),(('PTRM input'!$H$155+'PTRM input'!$H$121)*$H$7)-SUM($H639:R639),(('PTRM input'!$H$155+'PTRM input'!$H$121)*$H$7)/A13taxstdlife))</f>
        <v>0</v>
      </c>
      <c r="T639" s="590">
        <f>IF(A13taxstdlife="n/a","n/a",IF(T$3&gt;(A13taxstdlife+$E639),(('PTRM input'!$H$155+'PTRM input'!$H$121)*$H$7)-SUM($H639:S639),(('PTRM input'!$H$155+'PTRM input'!$H$121)*$H$7)/A13taxstdlife))</f>
        <v>0</v>
      </c>
      <c r="U639" s="590">
        <f>IF(A13taxstdlife="n/a","n/a",IF(U$3&gt;(A13taxstdlife+$E639),(('PTRM input'!$H$155+'PTRM input'!$H$121)*$H$7)-SUM($H639:T639),(('PTRM input'!$H$155+'PTRM input'!$H$121)*$H$7)/A13taxstdlife))</f>
        <v>0</v>
      </c>
      <c r="V639" s="590">
        <f>IF(A13taxstdlife="n/a","n/a",IF(V$3&gt;(A13taxstdlife+$E639),(('PTRM input'!$H$155+'PTRM input'!$H$121)*$H$7)-SUM($H639:U639),(('PTRM input'!$H$155+'PTRM input'!$H$121)*$H$7)/A13taxstdlife))</f>
        <v>0</v>
      </c>
      <c r="W639" s="590">
        <f>IF(A13taxstdlife="n/a","n/a",IF(W$3&gt;(A13taxstdlife+$E639),(('PTRM input'!$H$155+'PTRM input'!$H$121)*$H$7)-SUM($H639:V639),(('PTRM input'!$H$155+'PTRM input'!$H$121)*$H$7)/A13taxstdlife))</f>
        <v>0</v>
      </c>
      <c r="X639" s="590">
        <f>IF(A13taxstdlife="n/a","n/a",IF(X$3&gt;(A13taxstdlife+$E639),(('PTRM input'!$H$155+'PTRM input'!$H$121)*$H$7)-SUM($H639:W639),(('PTRM input'!$H$155+'PTRM input'!$H$121)*$H$7)/A13taxstdlife))</f>
        <v>0</v>
      </c>
      <c r="Y639" s="590">
        <f>IF(A13taxstdlife="n/a","n/a",IF(Y$3&gt;(A13taxstdlife+$E639),(('PTRM input'!$H$155+'PTRM input'!$H$121)*$H$7)-SUM($H639:X639),(('PTRM input'!$H$155+'PTRM input'!$H$121)*$H$7)/A13taxstdlife))</f>
        <v>0</v>
      </c>
      <c r="Z639" s="590">
        <f>IF(A13taxstdlife="n/a","n/a",IF(Z$3&gt;(A13taxstdlife+$E639),(('PTRM input'!$H$155+'PTRM input'!$H$121)*$H$7)-SUM($H639:Y639),(('PTRM input'!$H$155+'PTRM input'!$H$121)*$H$7)/A13taxstdlife))</f>
        <v>0</v>
      </c>
      <c r="AA639" s="590">
        <f>IF(A13taxstdlife="n/a","n/a",IF(AA$3&gt;(A13taxstdlife+$E639),(('PTRM input'!$H$155+'PTRM input'!$H$121)*$H$7)-SUM($H639:Z639),(('PTRM input'!$H$155+'PTRM input'!$H$121)*$H$7)/A13taxstdlife))</f>
        <v>0</v>
      </c>
      <c r="AB639" s="590">
        <f>IF(A13taxstdlife="n/a","n/a",IF(AB$3&gt;(A13taxstdlife+$E639),(('PTRM input'!$H$155+'PTRM input'!$H$121)*$H$7)-SUM($H639:AA639),(('PTRM input'!$H$155+'PTRM input'!$H$121)*$H$7)/A13taxstdlife))</f>
        <v>0</v>
      </c>
      <c r="AC639" s="590">
        <f>IF(A13taxstdlife="n/a","n/a",IF(AC$3&gt;(A13taxstdlife+$E639),(('PTRM input'!$H$155+'PTRM input'!$H$121)*$H$7)-SUM($H639:AB639),(('PTRM input'!$H$155+'PTRM input'!$H$121)*$H$7)/A13taxstdlife))</f>
        <v>0</v>
      </c>
      <c r="AD639" s="590">
        <f>IF(A13taxstdlife="n/a","n/a",IF(AD$3&gt;(A13taxstdlife+$E639),(('PTRM input'!$H$155+'PTRM input'!$H$121)*$H$7)-SUM($H639:AC639),(('PTRM input'!$H$155+'PTRM input'!$H$121)*$H$7)/A13taxstdlife))</f>
        <v>0</v>
      </c>
      <c r="AE639" s="590">
        <f>IF(A13taxstdlife="n/a","n/a",IF(AE$3&gt;(A13taxstdlife+$E639),(('PTRM input'!$H$155+'PTRM input'!$H$121)*$H$7)-SUM($H639:AD639),(('PTRM input'!$H$155+'PTRM input'!$H$121)*$H$7)/A13taxstdlife))</f>
        <v>0</v>
      </c>
      <c r="AF639" s="590">
        <f>IF(A13taxstdlife="n/a","n/a",IF(AF$3&gt;(A13taxstdlife+$E639),(('PTRM input'!$H$155+'PTRM input'!$H$121)*$H$7)-SUM($H639:AE639),(('PTRM input'!$H$155+'PTRM input'!$H$121)*$H$7)/A13taxstdlife))</f>
        <v>0</v>
      </c>
      <c r="AG639" s="590">
        <f>IF(A13taxstdlife="n/a","n/a",IF(AG$3&gt;(A13taxstdlife+$E639),(('PTRM input'!$H$155+'PTRM input'!$H$121)*$H$7)-SUM($H639:AF639),(('PTRM input'!$H$155+'PTRM input'!$H$121)*$H$7)/A13taxstdlife))</f>
        <v>0</v>
      </c>
      <c r="AH639" s="590">
        <f>IF(A13taxstdlife="n/a","n/a",IF(AH$3&gt;(A13taxstdlife+$E639),(('PTRM input'!$H$155+'PTRM input'!$H$121)*$H$7)-SUM($H639:AG639),(('PTRM input'!$H$155+'PTRM input'!$H$121)*$H$7)/A13taxstdlife))</f>
        <v>0</v>
      </c>
      <c r="AI639" s="590">
        <f>IF(A13taxstdlife="n/a","n/a",IF(AI$3&gt;(A13taxstdlife+$E639),(('PTRM input'!$H$155+'PTRM input'!$H$121)*$H$7)-SUM($H639:AH639),(('PTRM input'!$H$155+'PTRM input'!$H$121)*$H$7)/A13taxstdlife))</f>
        <v>0</v>
      </c>
      <c r="AJ639" s="590">
        <f>IF(A13taxstdlife="n/a","n/a",IF(AJ$3&gt;(A13taxstdlife+$E639),(('PTRM input'!$H$155+'PTRM input'!$H$121)*$H$7)-SUM($H639:AI639),(('PTRM input'!$H$155+'PTRM input'!$H$121)*$H$7)/A13taxstdlife))</f>
        <v>0</v>
      </c>
      <c r="AK639" s="590">
        <f>IF(A13taxstdlife="n/a","n/a",IF(AK$3&gt;(A13taxstdlife+$E639),(('PTRM input'!$H$155+'PTRM input'!$H$121)*$H$7)-SUM($H639:AJ639),(('PTRM input'!$H$155+'PTRM input'!$H$121)*$H$7)/A13taxstdlife))</f>
        <v>0</v>
      </c>
      <c r="AL639" s="590">
        <f>IF(A13taxstdlife="n/a","n/a",IF(AL$3&gt;(A13taxstdlife+$E639),(('PTRM input'!$H$155+'PTRM input'!$H$121)*$H$7)-SUM($H639:AK639),(('PTRM input'!$H$155+'PTRM input'!$H$121)*$H$7)/A13taxstdlife))</f>
        <v>0</v>
      </c>
      <c r="AM639" s="590">
        <f>IF(A13taxstdlife="n/a","n/a",IF(AM$3&gt;(A13taxstdlife+$E639),(('PTRM input'!$H$155+'PTRM input'!$H$121)*$H$7)-SUM($H639:AL639),(('PTRM input'!$H$155+'PTRM input'!$H$121)*$H$7)/A13taxstdlife))</f>
        <v>0</v>
      </c>
      <c r="AN639" s="590">
        <f>IF(A13taxstdlife="n/a","n/a",IF(AN$3&gt;(A13taxstdlife+$E639),(('PTRM input'!$H$155+'PTRM input'!$H$121)*$H$7)-SUM($H639:AM639),(('PTRM input'!$H$155+'PTRM input'!$H$121)*$H$7)/A13taxstdlife))</f>
        <v>0</v>
      </c>
      <c r="AO639" s="590">
        <f>IF(A13taxstdlife="n/a","n/a",IF(AO$3&gt;(A13taxstdlife+$E639),(('PTRM input'!$H$155+'PTRM input'!$H$121)*$H$7)-SUM($H639:AN639),(('PTRM input'!$H$155+'PTRM input'!$H$121)*$H$7)/A13taxstdlife))</f>
        <v>0</v>
      </c>
      <c r="AP639" s="590">
        <f>IF(A13taxstdlife="n/a","n/a",IF(AP$3&gt;(A13taxstdlife+$E639),(('PTRM input'!$H$155+'PTRM input'!$H$121)*$H$7)-SUM($H639:AO639),(('PTRM input'!$H$155+'PTRM input'!$H$121)*$H$7)/A13taxstdlife))</f>
        <v>0</v>
      </c>
      <c r="AQ639" s="590">
        <f>IF(A13taxstdlife="n/a","n/a",IF(AQ$3&gt;(A13taxstdlife+$E639),(('PTRM input'!$H$155+'PTRM input'!$H$121)*$H$7)-SUM($H639:AP639),(('PTRM input'!$H$155+'PTRM input'!$H$121)*$H$7)/A13taxstdlife))</f>
        <v>0</v>
      </c>
      <c r="AR639" s="590">
        <f>IF(A13taxstdlife="n/a","n/a",IF(AR$3&gt;(A13taxstdlife+$E639),(('PTRM input'!$H$155+'PTRM input'!$H$121)*$H$7)-SUM($H639:AQ639),(('PTRM input'!$H$155+'PTRM input'!$H$121)*$H$7)/A13taxstdlife))</f>
        <v>0</v>
      </c>
      <c r="AS639" s="590">
        <f>IF(A13taxstdlife="n/a","n/a",IF(AS$3&gt;(A13taxstdlife+$E639),(('PTRM input'!$H$155+'PTRM input'!$H$121)*$H$7)-SUM($H639:AR639),(('PTRM input'!$H$155+'PTRM input'!$H$121)*$H$7)/A13taxstdlife))</f>
        <v>0</v>
      </c>
      <c r="AT639" s="590">
        <f>IF(A13taxstdlife="n/a","n/a",IF(AT$3&gt;(A13taxstdlife+$E639),(('PTRM input'!$H$155+'PTRM input'!$H$121)*$H$7)-SUM($H639:AS639),(('PTRM input'!$H$155+'PTRM input'!$H$121)*$H$7)/A13taxstdlife))</f>
        <v>0</v>
      </c>
      <c r="AU639" s="590">
        <f>IF(A13taxstdlife="n/a","n/a",IF(AU$3&gt;(A13taxstdlife+$E639),(('PTRM input'!$H$155+'PTRM input'!$H$121)*$H$7)-SUM($H639:AT639),(('PTRM input'!$H$155+'PTRM input'!$H$121)*$H$7)/A13taxstdlife))</f>
        <v>0</v>
      </c>
      <c r="AV639" s="590">
        <f>IF(A13taxstdlife="n/a","n/a",IF(AV$3&gt;(A13taxstdlife+$E639),(('PTRM input'!$H$155+'PTRM input'!$H$121)*$H$7)-SUM($H639:AU639),(('PTRM input'!$H$155+'PTRM input'!$H$121)*$H$7)/A13taxstdlife))</f>
        <v>0</v>
      </c>
      <c r="AW639" s="590">
        <f>IF(A13taxstdlife="n/a","n/a",IF(AW$3&gt;(A13taxstdlife+$E639),(('PTRM input'!$H$155+'PTRM input'!$H$121)*$H$7)-SUM($H639:AV639),(('PTRM input'!$H$155+'PTRM input'!$H$121)*$H$7)/A13taxstdlife))</f>
        <v>0</v>
      </c>
      <c r="AX639" s="590">
        <f>IF(A13taxstdlife="n/a","n/a",IF(AX$3&gt;(A13taxstdlife+$E639),(('PTRM input'!$H$155+'PTRM input'!$H$121)*$H$7)-SUM($H639:AW639),(('PTRM input'!$H$155+'PTRM input'!$H$121)*$H$7)/A13taxstdlife))</f>
        <v>0</v>
      </c>
      <c r="AY639" s="590">
        <f>IF(A13taxstdlife="n/a","n/a",IF(AY$3&gt;(A13taxstdlife+$E639),(('PTRM input'!$H$155+'PTRM input'!$H$121)*$H$7)-SUM($H639:AX639),(('PTRM input'!$H$155+'PTRM input'!$H$121)*$H$7)/A13taxstdlife))</f>
        <v>0</v>
      </c>
      <c r="AZ639" s="590">
        <f>IF(A13taxstdlife="n/a","n/a",IF(AZ$3&gt;(A13taxstdlife+$E639),(('PTRM input'!$H$155+'PTRM input'!$H$121)*$H$7)-SUM($H639:AY639),(('PTRM input'!$H$155+'PTRM input'!$H$121)*$H$7)/A13taxstdlife))</f>
        <v>0</v>
      </c>
      <c r="BA639" s="590">
        <f>IF(A13taxstdlife="n/a","n/a",IF(BA$3&gt;(A13taxstdlife+$E639),(('PTRM input'!$H$155+'PTRM input'!$H$121)*$H$7)-SUM($H639:AZ639),(('PTRM input'!$H$155+'PTRM input'!$H$121)*$H$7)/A13taxstdlife))</f>
        <v>0</v>
      </c>
      <c r="BB639" s="590">
        <f>IF(A13taxstdlife="n/a","n/a",IF(BB$3&gt;(A13taxstdlife+$E639),(('PTRM input'!$H$155+'PTRM input'!$H$121)*$H$7)-SUM($H639:BA639),(('PTRM input'!$H$155+'PTRM input'!$H$121)*$H$7)/A13taxstdlife))</f>
        <v>0</v>
      </c>
      <c r="BC639" s="590">
        <f>IF(A13taxstdlife="n/a","n/a",IF(BC$3&gt;(A13taxstdlife+$E639),(('PTRM input'!$H$155+'PTRM input'!$H$121)*$H$7)-SUM($H639:BB639),(('PTRM input'!$H$155+'PTRM input'!$H$121)*$H$7)/A13taxstdlife))</f>
        <v>0</v>
      </c>
      <c r="BD639" s="590">
        <f>IF(A13taxstdlife="n/a","n/a",IF(BD$3&gt;(A13taxstdlife+$E639),(('PTRM input'!$H$155+'PTRM input'!$H$121)*$H$7)-SUM($H639:BC639),(('PTRM input'!$H$155+'PTRM input'!$H$121)*$H$7)/A13taxstdlife))</f>
        <v>0</v>
      </c>
      <c r="BE639" s="590">
        <f>IF(A13taxstdlife="n/a","n/a",IF(BE$3&gt;(A13taxstdlife+$E639),(('PTRM input'!$H$155+'PTRM input'!$H$121)*$H$7)-SUM($H639:BD639),(('PTRM input'!$H$155+'PTRM input'!$H$121)*$H$7)/A13taxstdlife))</f>
        <v>0</v>
      </c>
      <c r="BF639" s="590">
        <f>IF(A13taxstdlife="n/a","n/a",IF(BF$3&gt;(A13taxstdlife+$E639),(('PTRM input'!$H$155+'PTRM input'!$H$121)*$H$7)-SUM($H639:BE639),(('PTRM input'!$H$155+'PTRM input'!$H$121)*$H$7)/A13taxstdlife))</f>
        <v>0</v>
      </c>
      <c r="BG639" s="590">
        <f>IF(A13taxstdlife="n/a","n/a",IF(BG$3&gt;(A13taxstdlife+$E639),(('PTRM input'!$H$155+'PTRM input'!$H$121)*$H$7)-SUM($H639:BF639),(('PTRM input'!$H$155+'PTRM input'!$H$121)*$H$7)/A13taxstdlife))</f>
        <v>0</v>
      </c>
      <c r="BH639" s="590">
        <f>IF(A13taxstdlife="n/a","n/a",IF(BH$3&gt;(A13taxstdlife+$E639),(('PTRM input'!$H$155+'PTRM input'!$H$121)*$H$7)-SUM($H639:BG639),(('PTRM input'!$H$155+'PTRM input'!$H$121)*$H$7)/A13taxstdlife))</f>
        <v>0</v>
      </c>
      <c r="BI639" s="590">
        <f>IF(A13taxstdlife="n/a","n/a",IF(BI$3&gt;(A13taxstdlife+$E639),(('PTRM input'!$H$155+'PTRM input'!$H$121)*$H$7)-SUM($H639:BH639),(('PTRM input'!$H$155+'PTRM input'!$H$121)*$H$7)/A13taxstdlife))</f>
        <v>0</v>
      </c>
      <c r="BJ639" s="240"/>
      <c r="BK639" s="240"/>
      <c r="BL639" s="240"/>
      <c r="BM639" s="240"/>
    </row>
    <row r="640" spans="1:65" s="4" customFormat="1" hidden="1" outlineLevel="2">
      <c r="A640" s="240"/>
      <c r="B640" s="240"/>
      <c r="C640" s="595"/>
      <c r="D640" s="1618"/>
      <c r="E640" s="169">
        <v>3</v>
      </c>
      <c r="F640" s="35"/>
      <c r="G640" s="184"/>
      <c r="H640" s="186"/>
      <c r="I640" s="185"/>
      <c r="J640" s="107">
        <f>IF(A13taxstdlife="n/a","n/a",IF(J$3&gt;(A13taxstdlife+$E640),(('PTRM input'!$I$155+'PTRM input'!$I$121)*$I$7)-SUM($I640:I640),(('PTRM input'!$I$155+'PTRM input'!$I$121)*$I$7)/A13taxstdlife))</f>
        <v>0</v>
      </c>
      <c r="K640" s="107">
        <f>IF(A13taxstdlife="n/a","n/a",IF(K$3&gt;(A13taxstdlife+$E640),(('PTRM input'!$I$155+'PTRM input'!$I$121)*$I$7)-SUM($I640:J640),(('PTRM input'!$I$155+'PTRM input'!$I$121)*$I$7)/A13taxstdlife))</f>
        <v>0</v>
      </c>
      <c r="L640" s="107">
        <f>IF(A13taxstdlife="n/a","n/a",IF(L$3&gt;(A13taxstdlife+$E640),(('PTRM input'!$I$155+'PTRM input'!$I$121)*$I$7)-SUM($I640:K640),(('PTRM input'!$I$155+'PTRM input'!$I$121)*$I$7)/A13taxstdlife))</f>
        <v>0</v>
      </c>
      <c r="M640" s="107">
        <f>IF(A13taxstdlife="n/a","n/a",IF(M$3&gt;(A13taxstdlife+$E640),(('PTRM input'!$I$155+'PTRM input'!$I$121)*$I$7)-SUM($I640:L640),(('PTRM input'!$I$155+'PTRM input'!$I$121)*$I$7)/A13taxstdlife))</f>
        <v>0</v>
      </c>
      <c r="N640" s="107">
        <f>IF(A13taxstdlife="n/a","n/a",IF(N$3&gt;(A13taxstdlife+$E640),(('PTRM input'!$I$155+'PTRM input'!$I$121)*$I$7)-SUM($I640:M640),(('PTRM input'!$I$155+'PTRM input'!$I$121)*$I$7)/A13taxstdlife))</f>
        <v>0</v>
      </c>
      <c r="O640" s="107">
        <f>IF(A13taxstdlife="n/a","n/a",IF(O$3&gt;(A13taxstdlife+$E640),(('PTRM input'!$I$155+'PTRM input'!$I$121)*$I$7)-SUM($I640:N640),(('PTRM input'!$I$155+'PTRM input'!$I$121)*$I$7)/A13taxstdlife))</f>
        <v>0</v>
      </c>
      <c r="P640" s="107">
        <f>IF(A13taxstdlife="n/a","n/a",IF(P$3&gt;(A13taxstdlife+$E640),(('PTRM input'!$I$155+'PTRM input'!$I$121)*$I$7)-SUM($I640:O640),(('PTRM input'!$I$155+'PTRM input'!$I$121)*$I$7)/A13taxstdlife))</f>
        <v>0</v>
      </c>
      <c r="Q640" s="590">
        <f>IF(A13taxstdlife="n/a","n/a",IF(Q$3&gt;(A13taxstdlife+$E640),(('PTRM input'!$I$155+'PTRM input'!$I$121)*$I$7)-SUM($I640:P640),(('PTRM input'!$I$155+'PTRM input'!$I$121)*$I$7)/A13taxstdlife))</f>
        <v>0</v>
      </c>
      <c r="R640" s="590">
        <f>IF(A13taxstdlife="n/a","n/a",IF(R$3&gt;(A13taxstdlife+$E640),(('PTRM input'!$I$155+'PTRM input'!$I$121)*$I$7)-SUM($I640:Q640),(('PTRM input'!$I$155+'PTRM input'!$I$121)*$I$7)/A13taxstdlife))</f>
        <v>0</v>
      </c>
      <c r="S640" s="590">
        <f>IF(A13taxstdlife="n/a","n/a",IF(S$3&gt;(A13taxstdlife+$E640),(('PTRM input'!$I$155+'PTRM input'!$I$121)*$I$7)-SUM($I640:R640),(('PTRM input'!$I$155+'PTRM input'!$I$121)*$I$7)/A13taxstdlife))</f>
        <v>0</v>
      </c>
      <c r="T640" s="590">
        <f>IF(A13taxstdlife="n/a","n/a",IF(T$3&gt;(A13taxstdlife+$E640),(('PTRM input'!$I$155+'PTRM input'!$I$121)*$I$7)-SUM($I640:S640),(('PTRM input'!$I$155+'PTRM input'!$I$121)*$I$7)/A13taxstdlife))</f>
        <v>0</v>
      </c>
      <c r="U640" s="590">
        <f>IF(A13taxstdlife="n/a","n/a",IF(U$3&gt;(A13taxstdlife+$E640),(('PTRM input'!$I$155+'PTRM input'!$I$121)*$I$7)-SUM($I640:T640),(('PTRM input'!$I$155+'PTRM input'!$I$121)*$I$7)/A13taxstdlife))</f>
        <v>0</v>
      </c>
      <c r="V640" s="590">
        <f>IF(A13taxstdlife="n/a","n/a",IF(V$3&gt;(A13taxstdlife+$E640),(('PTRM input'!$I$155+'PTRM input'!$I$121)*$I$7)-SUM($I640:U640),(('PTRM input'!$I$155+'PTRM input'!$I$121)*$I$7)/A13taxstdlife))</f>
        <v>0</v>
      </c>
      <c r="W640" s="590">
        <f>IF(A13taxstdlife="n/a","n/a",IF(W$3&gt;(A13taxstdlife+$E640),(('PTRM input'!$I$155+'PTRM input'!$I$121)*$I$7)-SUM($I640:V640),(('PTRM input'!$I$155+'PTRM input'!$I$121)*$I$7)/A13taxstdlife))</f>
        <v>0</v>
      </c>
      <c r="X640" s="590">
        <f>IF(A13taxstdlife="n/a","n/a",IF(X$3&gt;(A13taxstdlife+$E640),(('PTRM input'!$I$155+'PTRM input'!$I$121)*$I$7)-SUM($I640:W640),(('PTRM input'!$I$155+'PTRM input'!$I$121)*$I$7)/A13taxstdlife))</f>
        <v>0</v>
      </c>
      <c r="Y640" s="590">
        <f>IF(A13taxstdlife="n/a","n/a",IF(Y$3&gt;(A13taxstdlife+$E640),(('PTRM input'!$I$155+'PTRM input'!$I$121)*$I$7)-SUM($I640:X640),(('PTRM input'!$I$155+'PTRM input'!$I$121)*$I$7)/A13taxstdlife))</f>
        <v>0</v>
      </c>
      <c r="Z640" s="590">
        <f>IF(A13taxstdlife="n/a","n/a",IF(Z$3&gt;(A13taxstdlife+$E640),(('PTRM input'!$I$155+'PTRM input'!$I$121)*$I$7)-SUM($I640:Y640),(('PTRM input'!$I$155+'PTRM input'!$I$121)*$I$7)/A13taxstdlife))</f>
        <v>0</v>
      </c>
      <c r="AA640" s="590">
        <f>IF(A13taxstdlife="n/a","n/a",IF(AA$3&gt;(A13taxstdlife+$E640),(('PTRM input'!$I$155+'PTRM input'!$I$121)*$I$7)-SUM($I640:Z640),(('PTRM input'!$I$155+'PTRM input'!$I$121)*$I$7)/A13taxstdlife))</f>
        <v>0</v>
      </c>
      <c r="AB640" s="590">
        <f>IF(A13taxstdlife="n/a","n/a",IF(AB$3&gt;(A13taxstdlife+$E640),(('PTRM input'!$I$155+'PTRM input'!$I$121)*$I$7)-SUM($I640:AA640),(('PTRM input'!$I$155+'PTRM input'!$I$121)*$I$7)/A13taxstdlife))</f>
        <v>0</v>
      </c>
      <c r="AC640" s="590">
        <f>IF(A13taxstdlife="n/a","n/a",IF(AC$3&gt;(A13taxstdlife+$E640),(('PTRM input'!$I$155+'PTRM input'!$I$121)*$I$7)-SUM($I640:AB640),(('PTRM input'!$I$155+'PTRM input'!$I$121)*$I$7)/A13taxstdlife))</f>
        <v>0</v>
      </c>
      <c r="AD640" s="590">
        <f>IF(A13taxstdlife="n/a","n/a",IF(AD$3&gt;(A13taxstdlife+$E640),(('PTRM input'!$I$155+'PTRM input'!$I$121)*$I$7)-SUM($I640:AC640),(('PTRM input'!$I$155+'PTRM input'!$I$121)*$I$7)/A13taxstdlife))</f>
        <v>0</v>
      </c>
      <c r="AE640" s="590">
        <f>IF(A13taxstdlife="n/a","n/a",IF(AE$3&gt;(A13taxstdlife+$E640),(('PTRM input'!$I$155+'PTRM input'!$I$121)*$I$7)-SUM($I640:AD640),(('PTRM input'!$I$155+'PTRM input'!$I$121)*$I$7)/A13taxstdlife))</f>
        <v>0</v>
      </c>
      <c r="AF640" s="590">
        <f>IF(A13taxstdlife="n/a","n/a",IF(AF$3&gt;(A13taxstdlife+$E640),(('PTRM input'!$I$155+'PTRM input'!$I$121)*$I$7)-SUM($I640:AE640),(('PTRM input'!$I$155+'PTRM input'!$I$121)*$I$7)/A13taxstdlife))</f>
        <v>0</v>
      </c>
      <c r="AG640" s="590">
        <f>IF(A13taxstdlife="n/a","n/a",IF(AG$3&gt;(A13taxstdlife+$E640),(('PTRM input'!$I$155+'PTRM input'!$I$121)*$I$7)-SUM($I640:AF640),(('PTRM input'!$I$155+'PTRM input'!$I$121)*$I$7)/A13taxstdlife))</f>
        <v>0</v>
      </c>
      <c r="AH640" s="590">
        <f>IF(A13taxstdlife="n/a","n/a",IF(AH$3&gt;(A13taxstdlife+$E640),(('PTRM input'!$I$155+'PTRM input'!$I$121)*$I$7)-SUM($I640:AG640),(('PTRM input'!$I$155+'PTRM input'!$I$121)*$I$7)/A13taxstdlife))</f>
        <v>0</v>
      </c>
      <c r="AI640" s="590">
        <f>IF(A13taxstdlife="n/a","n/a",IF(AI$3&gt;(A13taxstdlife+$E640),(('PTRM input'!$I$155+'PTRM input'!$I$121)*$I$7)-SUM($I640:AH640),(('PTRM input'!$I$155+'PTRM input'!$I$121)*$I$7)/A13taxstdlife))</f>
        <v>0</v>
      </c>
      <c r="AJ640" s="590">
        <f>IF(A13taxstdlife="n/a","n/a",IF(AJ$3&gt;(A13taxstdlife+$E640),(('PTRM input'!$I$155+'PTRM input'!$I$121)*$I$7)-SUM($I640:AI640),(('PTRM input'!$I$155+'PTRM input'!$I$121)*$I$7)/A13taxstdlife))</f>
        <v>0</v>
      </c>
      <c r="AK640" s="590">
        <f>IF(A13taxstdlife="n/a","n/a",IF(AK$3&gt;(A13taxstdlife+$E640),(('PTRM input'!$I$155+'PTRM input'!$I$121)*$I$7)-SUM($I640:AJ640),(('PTRM input'!$I$155+'PTRM input'!$I$121)*$I$7)/A13taxstdlife))</f>
        <v>0</v>
      </c>
      <c r="AL640" s="590">
        <f>IF(A13taxstdlife="n/a","n/a",IF(AL$3&gt;(A13taxstdlife+$E640),(('PTRM input'!$I$155+'PTRM input'!$I$121)*$I$7)-SUM($I640:AK640),(('PTRM input'!$I$155+'PTRM input'!$I$121)*$I$7)/A13taxstdlife))</f>
        <v>0</v>
      </c>
      <c r="AM640" s="590">
        <f>IF(A13taxstdlife="n/a","n/a",IF(AM$3&gt;(A13taxstdlife+$E640),(('PTRM input'!$I$155+'PTRM input'!$I$121)*$I$7)-SUM($I640:AL640),(('PTRM input'!$I$155+'PTRM input'!$I$121)*$I$7)/A13taxstdlife))</f>
        <v>0</v>
      </c>
      <c r="AN640" s="590">
        <f>IF(A13taxstdlife="n/a","n/a",IF(AN$3&gt;(A13taxstdlife+$E640),(('PTRM input'!$I$155+'PTRM input'!$I$121)*$I$7)-SUM($I640:AM640),(('PTRM input'!$I$155+'PTRM input'!$I$121)*$I$7)/A13taxstdlife))</f>
        <v>0</v>
      </c>
      <c r="AO640" s="590">
        <f>IF(A13taxstdlife="n/a","n/a",IF(AO$3&gt;(A13taxstdlife+$E640),(('PTRM input'!$I$155+'PTRM input'!$I$121)*$I$7)-SUM($I640:AN640),(('PTRM input'!$I$155+'PTRM input'!$I$121)*$I$7)/A13taxstdlife))</f>
        <v>0</v>
      </c>
      <c r="AP640" s="590">
        <f>IF(A13taxstdlife="n/a","n/a",IF(AP$3&gt;(A13taxstdlife+$E640),(('PTRM input'!$I$155+'PTRM input'!$I$121)*$I$7)-SUM($I640:AO640),(('PTRM input'!$I$155+'PTRM input'!$I$121)*$I$7)/A13taxstdlife))</f>
        <v>0</v>
      </c>
      <c r="AQ640" s="590">
        <f>IF(A13taxstdlife="n/a","n/a",IF(AQ$3&gt;(A13taxstdlife+$E640),(('PTRM input'!$I$155+'PTRM input'!$I$121)*$I$7)-SUM($I640:AP640),(('PTRM input'!$I$155+'PTRM input'!$I$121)*$I$7)/A13taxstdlife))</f>
        <v>0</v>
      </c>
      <c r="AR640" s="590">
        <f>IF(A13taxstdlife="n/a","n/a",IF(AR$3&gt;(A13taxstdlife+$E640),(('PTRM input'!$I$155+'PTRM input'!$I$121)*$I$7)-SUM($I640:AQ640),(('PTRM input'!$I$155+'PTRM input'!$I$121)*$I$7)/A13taxstdlife))</f>
        <v>0</v>
      </c>
      <c r="AS640" s="590">
        <f>IF(A13taxstdlife="n/a","n/a",IF(AS$3&gt;(A13taxstdlife+$E640),(('PTRM input'!$I$155+'PTRM input'!$I$121)*$I$7)-SUM($I640:AR640),(('PTRM input'!$I$155+'PTRM input'!$I$121)*$I$7)/A13taxstdlife))</f>
        <v>0</v>
      </c>
      <c r="AT640" s="590">
        <f>IF(A13taxstdlife="n/a","n/a",IF(AT$3&gt;(A13taxstdlife+$E640),(('PTRM input'!$I$155+'PTRM input'!$I$121)*$I$7)-SUM($I640:AS640),(('PTRM input'!$I$155+'PTRM input'!$I$121)*$I$7)/A13taxstdlife))</f>
        <v>0</v>
      </c>
      <c r="AU640" s="590">
        <f>IF(A13taxstdlife="n/a","n/a",IF(AU$3&gt;(A13taxstdlife+$E640),(('PTRM input'!$I$155+'PTRM input'!$I$121)*$I$7)-SUM($I640:AT640),(('PTRM input'!$I$155+'PTRM input'!$I$121)*$I$7)/A13taxstdlife))</f>
        <v>0</v>
      </c>
      <c r="AV640" s="590">
        <f>IF(A13taxstdlife="n/a","n/a",IF(AV$3&gt;(A13taxstdlife+$E640),(('PTRM input'!$I$155+'PTRM input'!$I$121)*$I$7)-SUM($I640:AU640),(('PTRM input'!$I$155+'PTRM input'!$I$121)*$I$7)/A13taxstdlife))</f>
        <v>0</v>
      </c>
      <c r="AW640" s="590">
        <f>IF(A13taxstdlife="n/a","n/a",IF(AW$3&gt;(A13taxstdlife+$E640),(('PTRM input'!$I$155+'PTRM input'!$I$121)*$I$7)-SUM($I640:AV640),(('PTRM input'!$I$155+'PTRM input'!$I$121)*$I$7)/A13taxstdlife))</f>
        <v>0</v>
      </c>
      <c r="AX640" s="590">
        <f>IF(A13taxstdlife="n/a","n/a",IF(AX$3&gt;(A13taxstdlife+$E640),(('PTRM input'!$I$155+'PTRM input'!$I$121)*$I$7)-SUM($I640:AW640),(('PTRM input'!$I$155+'PTRM input'!$I$121)*$I$7)/A13taxstdlife))</f>
        <v>0</v>
      </c>
      <c r="AY640" s="590">
        <f>IF(A13taxstdlife="n/a","n/a",IF(AY$3&gt;(A13taxstdlife+$E640),(('PTRM input'!$I$155+'PTRM input'!$I$121)*$I$7)-SUM($I640:AX640),(('PTRM input'!$I$155+'PTRM input'!$I$121)*$I$7)/A13taxstdlife))</f>
        <v>0</v>
      </c>
      <c r="AZ640" s="590">
        <f>IF(A13taxstdlife="n/a","n/a",IF(AZ$3&gt;(A13taxstdlife+$E640),(('PTRM input'!$I$155+'PTRM input'!$I$121)*$I$7)-SUM($I640:AY640),(('PTRM input'!$I$155+'PTRM input'!$I$121)*$I$7)/A13taxstdlife))</f>
        <v>0</v>
      </c>
      <c r="BA640" s="590">
        <f>IF(A13taxstdlife="n/a","n/a",IF(BA$3&gt;(A13taxstdlife+$E640),(('PTRM input'!$I$155+'PTRM input'!$I$121)*$I$7)-SUM($I640:AZ640),(('PTRM input'!$I$155+'PTRM input'!$I$121)*$I$7)/A13taxstdlife))</f>
        <v>0</v>
      </c>
      <c r="BB640" s="590">
        <f>IF(A13taxstdlife="n/a","n/a",IF(BB$3&gt;(A13taxstdlife+$E640),(('PTRM input'!$I$155+'PTRM input'!$I$121)*$I$7)-SUM($I640:BA640),(('PTRM input'!$I$155+'PTRM input'!$I$121)*$I$7)/A13taxstdlife))</f>
        <v>0</v>
      </c>
      <c r="BC640" s="590">
        <f>IF(A13taxstdlife="n/a","n/a",IF(BC$3&gt;(A13taxstdlife+$E640),(('PTRM input'!$I$155+'PTRM input'!$I$121)*$I$7)-SUM($I640:BB640),(('PTRM input'!$I$155+'PTRM input'!$I$121)*$I$7)/A13taxstdlife))</f>
        <v>0</v>
      </c>
      <c r="BD640" s="590">
        <f>IF(A13taxstdlife="n/a","n/a",IF(BD$3&gt;(A13taxstdlife+$E640),(('PTRM input'!$I$155+'PTRM input'!$I$121)*$I$7)-SUM($I640:BC640),(('PTRM input'!$I$155+'PTRM input'!$I$121)*$I$7)/A13taxstdlife))</f>
        <v>0</v>
      </c>
      <c r="BE640" s="590">
        <f>IF(A13taxstdlife="n/a","n/a",IF(BE$3&gt;(A13taxstdlife+$E640),(('PTRM input'!$I$155+'PTRM input'!$I$121)*$I$7)-SUM($I640:BD640),(('PTRM input'!$I$155+'PTRM input'!$I$121)*$I$7)/A13taxstdlife))</f>
        <v>0</v>
      </c>
      <c r="BF640" s="590">
        <f>IF(A13taxstdlife="n/a","n/a",IF(BF$3&gt;(A13taxstdlife+$E640),(('PTRM input'!$I$155+'PTRM input'!$I$121)*$I$7)-SUM($I640:BE640),(('PTRM input'!$I$155+'PTRM input'!$I$121)*$I$7)/A13taxstdlife))</f>
        <v>0</v>
      </c>
      <c r="BG640" s="590">
        <f>IF(A13taxstdlife="n/a","n/a",IF(BG$3&gt;(A13taxstdlife+$E640),(('PTRM input'!$I$155+'PTRM input'!$I$121)*$I$7)-SUM($I640:BF640),(('PTRM input'!$I$155+'PTRM input'!$I$121)*$I$7)/A13taxstdlife))</f>
        <v>0</v>
      </c>
      <c r="BH640" s="590">
        <f>IF(A13taxstdlife="n/a","n/a",IF(BH$3&gt;(A13taxstdlife+$E640),(('PTRM input'!$I$155+'PTRM input'!$I$121)*$I$7)-SUM($I640:BG640),(('PTRM input'!$I$155+'PTRM input'!$I$121)*$I$7)/A13taxstdlife))</f>
        <v>0</v>
      </c>
      <c r="BI640" s="590">
        <f>IF(A13taxstdlife="n/a","n/a",IF(BI$3&gt;(A13taxstdlife+$E640),(('PTRM input'!$I$155+'PTRM input'!$I$121)*$I$7)-SUM($I640:BH640),(('PTRM input'!$I$155+'PTRM input'!$I$121)*$I$7)/A13taxstdlife))</f>
        <v>0</v>
      </c>
      <c r="BJ640" s="240"/>
      <c r="BK640" s="240"/>
      <c r="BL640" s="240"/>
      <c r="BM640" s="240"/>
    </row>
    <row r="641" spans="1:65" s="4" customFormat="1" hidden="1" outlineLevel="2">
      <c r="A641" s="240"/>
      <c r="B641" s="240"/>
      <c r="C641" s="595"/>
      <c r="D641" s="1618"/>
      <c r="E641" s="169">
        <v>4</v>
      </c>
      <c r="F641" s="35"/>
      <c r="G641" s="184"/>
      <c r="H641" s="186"/>
      <c r="I641" s="186"/>
      <c r="J641" s="185"/>
      <c r="K641" s="107">
        <f>IF(A13taxstdlife="n/a","n/a",IF(K$3&gt;(A13taxstdlife+$E641),(('PTRM input'!$J$155+'PTRM input'!$J$121)*$J$7)-SUM($J641:J641),(('PTRM input'!$J$155+'PTRM input'!$J$121)*$J$7)/A13taxstdlife))</f>
        <v>0</v>
      </c>
      <c r="L641" s="107">
        <f>IF(A13taxstdlife="n/a","n/a",IF(L$3&gt;(A13taxstdlife+$E641),(('PTRM input'!$J$155+'PTRM input'!$J$121)*$J$7)-SUM($J641:K641),(('PTRM input'!$J$155+'PTRM input'!$J$121)*$J$7)/A13taxstdlife))</f>
        <v>0</v>
      </c>
      <c r="M641" s="107">
        <f>IF(A13taxstdlife="n/a","n/a",IF(M$3&gt;(A13taxstdlife+$E641),(('PTRM input'!$J$155+'PTRM input'!$J$121)*$J$7)-SUM($J641:L641),(('PTRM input'!$J$155+'PTRM input'!$J$121)*$J$7)/A13taxstdlife))</f>
        <v>0</v>
      </c>
      <c r="N641" s="107">
        <f>IF(A13taxstdlife="n/a","n/a",IF(N$3&gt;(A13taxstdlife+$E641),(('PTRM input'!$J$155+'PTRM input'!$J$121)*$J$7)-SUM($J641:M641),(('PTRM input'!$J$155+'PTRM input'!$J$121)*$J$7)/A13taxstdlife))</f>
        <v>0</v>
      </c>
      <c r="O641" s="107">
        <f>IF(A13taxstdlife="n/a","n/a",IF(O$3&gt;(A13taxstdlife+$E641),(('PTRM input'!$J$155+'PTRM input'!$J$121)*$J$7)-SUM($J641:N641),(('PTRM input'!$J$155+'PTRM input'!$J$121)*$J$7)/A13taxstdlife))</f>
        <v>0</v>
      </c>
      <c r="P641" s="107">
        <f>IF(A13taxstdlife="n/a","n/a",IF(P$3&gt;(A13taxstdlife+$E641),(('PTRM input'!$J$155+'PTRM input'!$J$121)*$J$7)-SUM($J641:O641),(('PTRM input'!$J$155+'PTRM input'!$J$121)*$J$7)/A13taxstdlife))</f>
        <v>0</v>
      </c>
      <c r="Q641" s="590">
        <f>IF(A13taxstdlife="n/a","n/a",IF(Q$3&gt;(A13taxstdlife+$E641),(('PTRM input'!$J$155+'PTRM input'!$J$121)*$J$7)-SUM($J641:P641),(('PTRM input'!$J$155+'PTRM input'!$J$121)*$J$7)/A13taxstdlife))</f>
        <v>0</v>
      </c>
      <c r="R641" s="590">
        <f>IF(A13taxstdlife="n/a","n/a",IF(R$3&gt;(A13taxstdlife+$E641),(('PTRM input'!$J$155+'PTRM input'!$J$121)*$J$7)-SUM($J641:Q641),(('PTRM input'!$J$155+'PTRM input'!$J$121)*$J$7)/A13taxstdlife))</f>
        <v>0</v>
      </c>
      <c r="S641" s="590">
        <f>IF(A13taxstdlife="n/a","n/a",IF(S$3&gt;(A13taxstdlife+$E641),(('PTRM input'!$J$155+'PTRM input'!$J$121)*$J$7)-SUM($J641:R641),(('PTRM input'!$J$155+'PTRM input'!$J$121)*$J$7)/A13taxstdlife))</f>
        <v>0</v>
      </c>
      <c r="T641" s="590">
        <f>IF(A13taxstdlife="n/a","n/a",IF(T$3&gt;(A13taxstdlife+$E641),(('PTRM input'!$J$155+'PTRM input'!$J$121)*$J$7)-SUM($J641:S641),(('PTRM input'!$J$155+'PTRM input'!$J$121)*$J$7)/A13taxstdlife))</f>
        <v>0</v>
      </c>
      <c r="U641" s="590">
        <f>IF(A13taxstdlife="n/a","n/a",IF(U$3&gt;(A13taxstdlife+$E641),(('PTRM input'!$J$155+'PTRM input'!$J$121)*$J$7)-SUM($J641:T641),(('PTRM input'!$J$155+'PTRM input'!$J$121)*$J$7)/A13taxstdlife))</f>
        <v>0</v>
      </c>
      <c r="V641" s="590">
        <f>IF(A13taxstdlife="n/a","n/a",IF(V$3&gt;(A13taxstdlife+$E641),(('PTRM input'!$J$155+'PTRM input'!$J$121)*$J$7)-SUM($J641:U641),(('PTRM input'!$J$155+'PTRM input'!$J$121)*$J$7)/A13taxstdlife))</f>
        <v>0</v>
      </c>
      <c r="W641" s="590">
        <f>IF(A13taxstdlife="n/a","n/a",IF(W$3&gt;(A13taxstdlife+$E641),(('PTRM input'!$J$155+'PTRM input'!$J$121)*$J$7)-SUM($J641:V641),(('PTRM input'!$J$155+'PTRM input'!$J$121)*$J$7)/A13taxstdlife))</f>
        <v>0</v>
      </c>
      <c r="X641" s="590">
        <f>IF(A13taxstdlife="n/a","n/a",IF(X$3&gt;(A13taxstdlife+$E641),(('PTRM input'!$J$155+'PTRM input'!$J$121)*$J$7)-SUM($J641:W641),(('PTRM input'!$J$155+'PTRM input'!$J$121)*$J$7)/A13taxstdlife))</f>
        <v>0</v>
      </c>
      <c r="Y641" s="590">
        <f>IF(A13taxstdlife="n/a","n/a",IF(Y$3&gt;(A13taxstdlife+$E641),(('PTRM input'!$J$155+'PTRM input'!$J$121)*$J$7)-SUM($J641:X641),(('PTRM input'!$J$155+'PTRM input'!$J$121)*$J$7)/A13taxstdlife))</f>
        <v>0</v>
      </c>
      <c r="Z641" s="590">
        <f>IF(A13taxstdlife="n/a","n/a",IF(Z$3&gt;(A13taxstdlife+$E641),(('PTRM input'!$J$155+'PTRM input'!$J$121)*$J$7)-SUM($J641:Y641),(('PTRM input'!$J$155+'PTRM input'!$J$121)*$J$7)/A13taxstdlife))</f>
        <v>0</v>
      </c>
      <c r="AA641" s="590">
        <f>IF(A13taxstdlife="n/a","n/a",IF(AA$3&gt;(A13taxstdlife+$E641),(('PTRM input'!$J$155+'PTRM input'!$J$121)*$J$7)-SUM($J641:Z641),(('PTRM input'!$J$155+'PTRM input'!$J$121)*$J$7)/A13taxstdlife))</f>
        <v>0</v>
      </c>
      <c r="AB641" s="590">
        <f>IF(A13taxstdlife="n/a","n/a",IF(AB$3&gt;(A13taxstdlife+$E641),(('PTRM input'!$J$155+'PTRM input'!$J$121)*$J$7)-SUM($J641:AA641),(('PTRM input'!$J$155+'PTRM input'!$J$121)*$J$7)/A13taxstdlife))</f>
        <v>0</v>
      </c>
      <c r="AC641" s="590">
        <f>IF(A13taxstdlife="n/a","n/a",IF(AC$3&gt;(A13taxstdlife+$E641),(('PTRM input'!$J$155+'PTRM input'!$J$121)*$J$7)-SUM($J641:AB641),(('PTRM input'!$J$155+'PTRM input'!$J$121)*$J$7)/A13taxstdlife))</f>
        <v>0</v>
      </c>
      <c r="AD641" s="590">
        <f>IF(A13taxstdlife="n/a","n/a",IF(AD$3&gt;(A13taxstdlife+$E641),(('PTRM input'!$J$155+'PTRM input'!$J$121)*$J$7)-SUM($J641:AC641),(('PTRM input'!$J$155+'PTRM input'!$J$121)*$J$7)/A13taxstdlife))</f>
        <v>0</v>
      </c>
      <c r="AE641" s="590">
        <f>IF(A13taxstdlife="n/a","n/a",IF(AE$3&gt;(A13taxstdlife+$E641),(('PTRM input'!$J$155+'PTRM input'!$J$121)*$J$7)-SUM($J641:AD641),(('PTRM input'!$J$155+'PTRM input'!$J$121)*$J$7)/A13taxstdlife))</f>
        <v>0</v>
      </c>
      <c r="AF641" s="590">
        <f>IF(A13taxstdlife="n/a","n/a",IF(AF$3&gt;(A13taxstdlife+$E641),(('PTRM input'!$J$155+'PTRM input'!$J$121)*$J$7)-SUM($J641:AE641),(('PTRM input'!$J$155+'PTRM input'!$J$121)*$J$7)/A13taxstdlife))</f>
        <v>0</v>
      </c>
      <c r="AG641" s="590">
        <f>IF(A13taxstdlife="n/a","n/a",IF(AG$3&gt;(A13taxstdlife+$E641),(('PTRM input'!$J$155+'PTRM input'!$J$121)*$J$7)-SUM($J641:AF641),(('PTRM input'!$J$155+'PTRM input'!$J$121)*$J$7)/A13taxstdlife))</f>
        <v>0</v>
      </c>
      <c r="AH641" s="590">
        <f>IF(A13taxstdlife="n/a","n/a",IF(AH$3&gt;(A13taxstdlife+$E641),(('PTRM input'!$J$155+'PTRM input'!$J$121)*$J$7)-SUM($J641:AG641),(('PTRM input'!$J$155+'PTRM input'!$J$121)*$J$7)/A13taxstdlife))</f>
        <v>0</v>
      </c>
      <c r="AI641" s="590">
        <f>IF(A13taxstdlife="n/a","n/a",IF(AI$3&gt;(A13taxstdlife+$E641),(('PTRM input'!$J$155+'PTRM input'!$J$121)*$J$7)-SUM($J641:AH641),(('PTRM input'!$J$155+'PTRM input'!$J$121)*$J$7)/A13taxstdlife))</f>
        <v>0</v>
      </c>
      <c r="AJ641" s="590">
        <f>IF(A13taxstdlife="n/a","n/a",IF(AJ$3&gt;(A13taxstdlife+$E641),(('PTRM input'!$J$155+'PTRM input'!$J$121)*$J$7)-SUM($J641:AI641),(('PTRM input'!$J$155+'PTRM input'!$J$121)*$J$7)/A13taxstdlife))</f>
        <v>0</v>
      </c>
      <c r="AK641" s="590">
        <f>IF(A13taxstdlife="n/a","n/a",IF(AK$3&gt;(A13taxstdlife+$E641),(('PTRM input'!$J$155+'PTRM input'!$J$121)*$J$7)-SUM($J641:AJ641),(('PTRM input'!$J$155+'PTRM input'!$J$121)*$J$7)/A13taxstdlife))</f>
        <v>0</v>
      </c>
      <c r="AL641" s="590">
        <f>IF(A13taxstdlife="n/a","n/a",IF(AL$3&gt;(A13taxstdlife+$E641),(('PTRM input'!$J$155+'PTRM input'!$J$121)*$J$7)-SUM($J641:AK641),(('PTRM input'!$J$155+'PTRM input'!$J$121)*$J$7)/A13taxstdlife))</f>
        <v>0</v>
      </c>
      <c r="AM641" s="590">
        <f>IF(A13taxstdlife="n/a","n/a",IF(AM$3&gt;(A13taxstdlife+$E641),(('PTRM input'!$J$155+'PTRM input'!$J$121)*$J$7)-SUM($J641:AL641),(('PTRM input'!$J$155+'PTRM input'!$J$121)*$J$7)/A13taxstdlife))</f>
        <v>0</v>
      </c>
      <c r="AN641" s="590">
        <f>IF(A13taxstdlife="n/a","n/a",IF(AN$3&gt;(A13taxstdlife+$E641),(('PTRM input'!$J$155+'PTRM input'!$J$121)*$J$7)-SUM($J641:AM641),(('PTRM input'!$J$155+'PTRM input'!$J$121)*$J$7)/A13taxstdlife))</f>
        <v>0</v>
      </c>
      <c r="AO641" s="590">
        <f>IF(A13taxstdlife="n/a","n/a",IF(AO$3&gt;(A13taxstdlife+$E641),(('PTRM input'!$J$155+'PTRM input'!$J$121)*$J$7)-SUM($J641:AN641),(('PTRM input'!$J$155+'PTRM input'!$J$121)*$J$7)/A13taxstdlife))</f>
        <v>0</v>
      </c>
      <c r="AP641" s="590">
        <f>IF(A13taxstdlife="n/a","n/a",IF(AP$3&gt;(A13taxstdlife+$E641),(('PTRM input'!$J$155+'PTRM input'!$J$121)*$J$7)-SUM($J641:AO641),(('PTRM input'!$J$155+'PTRM input'!$J$121)*$J$7)/A13taxstdlife))</f>
        <v>0</v>
      </c>
      <c r="AQ641" s="590">
        <f>IF(A13taxstdlife="n/a","n/a",IF(AQ$3&gt;(A13taxstdlife+$E641),(('PTRM input'!$J$155+'PTRM input'!$J$121)*$J$7)-SUM($J641:AP641),(('PTRM input'!$J$155+'PTRM input'!$J$121)*$J$7)/A13taxstdlife))</f>
        <v>0</v>
      </c>
      <c r="AR641" s="590">
        <f>IF(A13taxstdlife="n/a","n/a",IF(AR$3&gt;(A13taxstdlife+$E641),(('PTRM input'!$J$155+'PTRM input'!$J$121)*$J$7)-SUM($J641:AQ641),(('PTRM input'!$J$155+'PTRM input'!$J$121)*$J$7)/A13taxstdlife))</f>
        <v>0</v>
      </c>
      <c r="AS641" s="590">
        <f>IF(A13taxstdlife="n/a","n/a",IF(AS$3&gt;(A13taxstdlife+$E641),(('PTRM input'!$J$155+'PTRM input'!$J$121)*$J$7)-SUM($J641:AR641),(('PTRM input'!$J$155+'PTRM input'!$J$121)*$J$7)/A13taxstdlife))</f>
        <v>0</v>
      </c>
      <c r="AT641" s="590">
        <f>IF(A13taxstdlife="n/a","n/a",IF(AT$3&gt;(A13taxstdlife+$E641),(('PTRM input'!$J$155+'PTRM input'!$J$121)*$J$7)-SUM($J641:AS641),(('PTRM input'!$J$155+'PTRM input'!$J$121)*$J$7)/A13taxstdlife))</f>
        <v>0</v>
      </c>
      <c r="AU641" s="590">
        <f>IF(A13taxstdlife="n/a","n/a",IF(AU$3&gt;(A13taxstdlife+$E641),(('PTRM input'!$J$155+'PTRM input'!$J$121)*$J$7)-SUM($J641:AT641),(('PTRM input'!$J$155+'PTRM input'!$J$121)*$J$7)/A13taxstdlife))</f>
        <v>0</v>
      </c>
      <c r="AV641" s="590">
        <f>IF(A13taxstdlife="n/a","n/a",IF(AV$3&gt;(A13taxstdlife+$E641),(('PTRM input'!$J$155+'PTRM input'!$J$121)*$J$7)-SUM($J641:AU641),(('PTRM input'!$J$155+'PTRM input'!$J$121)*$J$7)/A13taxstdlife))</f>
        <v>0</v>
      </c>
      <c r="AW641" s="590">
        <f>IF(A13taxstdlife="n/a","n/a",IF(AW$3&gt;(A13taxstdlife+$E641),(('PTRM input'!$J$155+'PTRM input'!$J$121)*$J$7)-SUM($J641:AV641),(('PTRM input'!$J$155+'PTRM input'!$J$121)*$J$7)/A13taxstdlife))</f>
        <v>0</v>
      </c>
      <c r="AX641" s="590">
        <f>IF(A13taxstdlife="n/a","n/a",IF(AX$3&gt;(A13taxstdlife+$E641),(('PTRM input'!$J$155+'PTRM input'!$J$121)*$J$7)-SUM($J641:AW641),(('PTRM input'!$J$155+'PTRM input'!$J$121)*$J$7)/A13taxstdlife))</f>
        <v>0</v>
      </c>
      <c r="AY641" s="590">
        <f>IF(A13taxstdlife="n/a","n/a",IF(AY$3&gt;(A13taxstdlife+$E641),(('PTRM input'!$J$155+'PTRM input'!$J$121)*$J$7)-SUM($J641:AX641),(('PTRM input'!$J$155+'PTRM input'!$J$121)*$J$7)/A13taxstdlife))</f>
        <v>0</v>
      </c>
      <c r="AZ641" s="590">
        <f>IF(A13taxstdlife="n/a","n/a",IF(AZ$3&gt;(A13taxstdlife+$E641),(('PTRM input'!$J$155+'PTRM input'!$J$121)*$J$7)-SUM($J641:AY641),(('PTRM input'!$J$155+'PTRM input'!$J$121)*$J$7)/A13taxstdlife))</f>
        <v>0</v>
      </c>
      <c r="BA641" s="590">
        <f>IF(A13taxstdlife="n/a","n/a",IF(BA$3&gt;(A13taxstdlife+$E641),(('PTRM input'!$J$155+'PTRM input'!$J$121)*$J$7)-SUM($J641:AZ641),(('PTRM input'!$J$155+'PTRM input'!$J$121)*$J$7)/A13taxstdlife))</f>
        <v>0</v>
      </c>
      <c r="BB641" s="590">
        <f>IF(A13taxstdlife="n/a","n/a",IF(BB$3&gt;(A13taxstdlife+$E641),(('PTRM input'!$J$155+'PTRM input'!$J$121)*$J$7)-SUM($J641:BA641),(('PTRM input'!$J$155+'PTRM input'!$J$121)*$J$7)/A13taxstdlife))</f>
        <v>0</v>
      </c>
      <c r="BC641" s="590">
        <f>IF(A13taxstdlife="n/a","n/a",IF(BC$3&gt;(A13taxstdlife+$E641),(('PTRM input'!$J$155+'PTRM input'!$J$121)*$J$7)-SUM($J641:BB641),(('PTRM input'!$J$155+'PTRM input'!$J$121)*$J$7)/A13taxstdlife))</f>
        <v>0</v>
      </c>
      <c r="BD641" s="590">
        <f>IF(A13taxstdlife="n/a","n/a",IF(BD$3&gt;(A13taxstdlife+$E641),(('PTRM input'!$J$155+'PTRM input'!$J$121)*$J$7)-SUM($J641:BC641),(('PTRM input'!$J$155+'PTRM input'!$J$121)*$J$7)/A13taxstdlife))</f>
        <v>0</v>
      </c>
      <c r="BE641" s="590">
        <f>IF(A13taxstdlife="n/a","n/a",IF(BE$3&gt;(A13taxstdlife+$E641),(('PTRM input'!$J$155+'PTRM input'!$J$121)*$J$7)-SUM($J641:BD641),(('PTRM input'!$J$155+'PTRM input'!$J$121)*$J$7)/A13taxstdlife))</f>
        <v>0</v>
      </c>
      <c r="BF641" s="590">
        <f>IF(A13taxstdlife="n/a","n/a",IF(BF$3&gt;(A13taxstdlife+$E641),(('PTRM input'!$J$155+'PTRM input'!$J$121)*$J$7)-SUM($J641:BE641),(('PTRM input'!$J$155+'PTRM input'!$J$121)*$J$7)/A13taxstdlife))</f>
        <v>0</v>
      </c>
      <c r="BG641" s="590">
        <f>IF(A13taxstdlife="n/a","n/a",IF(BG$3&gt;(A13taxstdlife+$E641),(('PTRM input'!$J$155+'PTRM input'!$J$121)*$J$7)-SUM($J641:BF641),(('PTRM input'!$J$155+'PTRM input'!$J$121)*$J$7)/A13taxstdlife))</f>
        <v>0</v>
      </c>
      <c r="BH641" s="590">
        <f>IF(A13taxstdlife="n/a","n/a",IF(BH$3&gt;(A13taxstdlife+$E641),(('PTRM input'!$J$155+'PTRM input'!$J$121)*$J$7)-SUM($J641:BG641),(('PTRM input'!$J$155+'PTRM input'!$J$121)*$J$7)/A13taxstdlife))</f>
        <v>0</v>
      </c>
      <c r="BI641" s="590">
        <f>IF(A13taxstdlife="n/a","n/a",IF(BI$3&gt;(A13taxstdlife+$E641),(('PTRM input'!$J$155+'PTRM input'!$J$121)*$J$7)-SUM($J641:BH641),(('PTRM input'!$J$155+'PTRM input'!$J$121)*$J$7)/A13taxstdlife))</f>
        <v>0</v>
      </c>
      <c r="BJ641" s="240"/>
      <c r="BK641" s="240"/>
      <c r="BL641" s="240"/>
      <c r="BM641" s="240"/>
    </row>
    <row r="642" spans="1:65" s="4" customFormat="1" hidden="1" outlineLevel="2">
      <c r="A642" s="240"/>
      <c r="B642" s="240"/>
      <c r="C642" s="595"/>
      <c r="D642" s="1618"/>
      <c r="E642" s="169">
        <v>5</v>
      </c>
      <c r="F642" s="35"/>
      <c r="G642" s="184"/>
      <c r="H642" s="186"/>
      <c r="I642" s="186"/>
      <c r="J642" s="186"/>
      <c r="K642" s="185"/>
      <c r="L642" s="107">
        <f>IF(A13taxstdlife="n/a","n/a",IF(L$3&gt;(A13taxstdlife+$E642),(('PTRM input'!$K$155+'PTRM input'!$K$121)*$K$7)-SUM($K642:K642),(('PTRM input'!$K$155+'PTRM input'!$K$121)*$K$7)/A13taxstdlife))</f>
        <v>0</v>
      </c>
      <c r="M642" s="107">
        <f>IF(A13taxstdlife="n/a","n/a",IF(M$3&gt;(A13taxstdlife+$E642),(('PTRM input'!$K$155+'PTRM input'!$K$121)*$K$7)-SUM($K642:L642),(('PTRM input'!$K$155+'PTRM input'!$K$121)*$K$7)/A13taxstdlife))</f>
        <v>0</v>
      </c>
      <c r="N642" s="107">
        <f>IF(A13taxstdlife="n/a","n/a",IF(N$3&gt;(A13taxstdlife+$E642),(('PTRM input'!$K$155+'PTRM input'!$K$121)*$K$7)-SUM($K642:M642),(('PTRM input'!$K$155+'PTRM input'!$K$121)*$K$7)/A13taxstdlife))</f>
        <v>0</v>
      </c>
      <c r="O642" s="107">
        <f>IF(A13taxstdlife="n/a","n/a",IF(O$3&gt;(A13taxstdlife+$E642),(('PTRM input'!$K$155+'PTRM input'!$K$121)*$K$7)-SUM($K642:N642),(('PTRM input'!$K$155+'PTRM input'!$K$121)*$K$7)/A13taxstdlife))</f>
        <v>0</v>
      </c>
      <c r="P642" s="107">
        <f>IF(A13taxstdlife="n/a","n/a",IF(P$3&gt;(A13taxstdlife+$E642),(('PTRM input'!$K$155+'PTRM input'!$K$121)*$K$7)-SUM($K642:O642),(('PTRM input'!$K$155+'PTRM input'!$K$121)*$K$7)/A13taxstdlife))</f>
        <v>0</v>
      </c>
      <c r="Q642" s="590">
        <f>IF(A13taxstdlife="n/a","n/a",IF(Q$3&gt;(A13taxstdlife+$E642),(('PTRM input'!$K$155+'PTRM input'!$K$121)*$K$7)-SUM($K642:P642),(('PTRM input'!$K$155+'PTRM input'!$K$121)*$K$7)/A13taxstdlife))</f>
        <v>0</v>
      </c>
      <c r="R642" s="590">
        <f>IF(A13taxstdlife="n/a","n/a",IF(R$3&gt;(A13taxstdlife+$E642),(('PTRM input'!$K$155+'PTRM input'!$K$121)*$K$7)-SUM($K642:Q642),(('PTRM input'!$K$155+'PTRM input'!$K$121)*$K$7)/A13taxstdlife))</f>
        <v>0</v>
      </c>
      <c r="S642" s="590">
        <f>IF(A13taxstdlife="n/a","n/a",IF(S$3&gt;(A13taxstdlife+$E642),(('PTRM input'!$K$155+'PTRM input'!$K$121)*$K$7)-SUM($K642:R642),(('PTRM input'!$K$155+'PTRM input'!$K$121)*$K$7)/A13taxstdlife))</f>
        <v>0</v>
      </c>
      <c r="T642" s="590">
        <f>IF(A13taxstdlife="n/a","n/a",IF(T$3&gt;(A13taxstdlife+$E642),(('PTRM input'!$K$155+'PTRM input'!$K$121)*$K$7)-SUM($K642:S642),(('PTRM input'!$K$155+'PTRM input'!$K$121)*$K$7)/A13taxstdlife))</f>
        <v>0</v>
      </c>
      <c r="U642" s="590">
        <f>IF(A13taxstdlife="n/a","n/a",IF(U$3&gt;(A13taxstdlife+$E642),(('PTRM input'!$K$155+'PTRM input'!$K$121)*$K$7)-SUM($K642:T642),(('PTRM input'!$K$155+'PTRM input'!$K$121)*$K$7)/A13taxstdlife))</f>
        <v>0</v>
      </c>
      <c r="V642" s="590">
        <f>IF(A13taxstdlife="n/a","n/a",IF(V$3&gt;(A13taxstdlife+$E642),(('PTRM input'!$K$155+'PTRM input'!$K$121)*$K$7)-SUM($K642:U642),(('PTRM input'!$K$155+'PTRM input'!$K$121)*$K$7)/A13taxstdlife))</f>
        <v>0</v>
      </c>
      <c r="W642" s="590">
        <f>IF(A13taxstdlife="n/a","n/a",IF(W$3&gt;(A13taxstdlife+$E642),(('PTRM input'!$K$155+'PTRM input'!$K$121)*$K$7)-SUM($K642:V642),(('PTRM input'!$K$155+'PTRM input'!$K$121)*$K$7)/A13taxstdlife))</f>
        <v>0</v>
      </c>
      <c r="X642" s="590">
        <f>IF(A13taxstdlife="n/a","n/a",IF(X$3&gt;(A13taxstdlife+$E642),(('PTRM input'!$K$155+'PTRM input'!$K$121)*$K$7)-SUM($K642:W642),(('PTRM input'!$K$155+'PTRM input'!$K$121)*$K$7)/A13taxstdlife))</f>
        <v>0</v>
      </c>
      <c r="Y642" s="590">
        <f>IF(A13taxstdlife="n/a","n/a",IF(Y$3&gt;(A13taxstdlife+$E642),(('PTRM input'!$K$155+'PTRM input'!$K$121)*$K$7)-SUM($K642:X642),(('PTRM input'!$K$155+'PTRM input'!$K$121)*$K$7)/A13taxstdlife))</f>
        <v>0</v>
      </c>
      <c r="Z642" s="590">
        <f>IF(A13taxstdlife="n/a","n/a",IF(Z$3&gt;(A13taxstdlife+$E642),(('PTRM input'!$K$155+'PTRM input'!$K$121)*$K$7)-SUM($K642:Y642),(('PTRM input'!$K$155+'PTRM input'!$K$121)*$K$7)/A13taxstdlife))</f>
        <v>0</v>
      </c>
      <c r="AA642" s="590">
        <f>IF(A13taxstdlife="n/a","n/a",IF(AA$3&gt;(A13taxstdlife+$E642),(('PTRM input'!$K$155+'PTRM input'!$K$121)*$K$7)-SUM($K642:Z642),(('PTRM input'!$K$155+'PTRM input'!$K$121)*$K$7)/A13taxstdlife))</f>
        <v>0</v>
      </c>
      <c r="AB642" s="590">
        <f>IF(A13taxstdlife="n/a","n/a",IF(AB$3&gt;(A13taxstdlife+$E642),(('PTRM input'!$K$155+'PTRM input'!$K$121)*$K$7)-SUM($K642:AA642),(('PTRM input'!$K$155+'PTRM input'!$K$121)*$K$7)/A13taxstdlife))</f>
        <v>0</v>
      </c>
      <c r="AC642" s="590">
        <f>IF(A13taxstdlife="n/a","n/a",IF(AC$3&gt;(A13taxstdlife+$E642),(('PTRM input'!$K$155+'PTRM input'!$K$121)*$K$7)-SUM($K642:AB642),(('PTRM input'!$K$155+'PTRM input'!$K$121)*$K$7)/A13taxstdlife))</f>
        <v>0</v>
      </c>
      <c r="AD642" s="590">
        <f>IF(A13taxstdlife="n/a","n/a",IF(AD$3&gt;(A13taxstdlife+$E642),(('PTRM input'!$K$155+'PTRM input'!$K$121)*$K$7)-SUM($K642:AC642),(('PTRM input'!$K$155+'PTRM input'!$K$121)*$K$7)/A13taxstdlife))</f>
        <v>0</v>
      </c>
      <c r="AE642" s="590">
        <f>IF(A13taxstdlife="n/a","n/a",IF(AE$3&gt;(A13taxstdlife+$E642),(('PTRM input'!$K$155+'PTRM input'!$K$121)*$K$7)-SUM($K642:AD642),(('PTRM input'!$K$155+'PTRM input'!$K$121)*$K$7)/A13taxstdlife))</f>
        <v>0</v>
      </c>
      <c r="AF642" s="590">
        <f>IF(A13taxstdlife="n/a","n/a",IF(AF$3&gt;(A13taxstdlife+$E642),(('PTRM input'!$K$155+'PTRM input'!$K$121)*$K$7)-SUM($K642:AE642),(('PTRM input'!$K$155+'PTRM input'!$K$121)*$K$7)/A13taxstdlife))</f>
        <v>0</v>
      </c>
      <c r="AG642" s="590">
        <f>IF(A13taxstdlife="n/a","n/a",IF(AG$3&gt;(A13taxstdlife+$E642),(('PTRM input'!$K$155+'PTRM input'!$K$121)*$K$7)-SUM($K642:AF642),(('PTRM input'!$K$155+'PTRM input'!$K$121)*$K$7)/A13taxstdlife))</f>
        <v>0</v>
      </c>
      <c r="AH642" s="590">
        <f>IF(A13taxstdlife="n/a","n/a",IF(AH$3&gt;(A13taxstdlife+$E642),(('PTRM input'!$K$155+'PTRM input'!$K$121)*$K$7)-SUM($K642:AG642),(('PTRM input'!$K$155+'PTRM input'!$K$121)*$K$7)/A13taxstdlife))</f>
        <v>0</v>
      </c>
      <c r="AI642" s="590">
        <f>IF(A13taxstdlife="n/a","n/a",IF(AI$3&gt;(A13taxstdlife+$E642),(('PTRM input'!$K$155+'PTRM input'!$K$121)*$K$7)-SUM($K642:AH642),(('PTRM input'!$K$155+'PTRM input'!$K$121)*$K$7)/A13taxstdlife))</f>
        <v>0</v>
      </c>
      <c r="AJ642" s="590">
        <f>IF(A13taxstdlife="n/a","n/a",IF(AJ$3&gt;(A13taxstdlife+$E642),(('PTRM input'!$K$155+'PTRM input'!$K$121)*$K$7)-SUM($K642:AI642),(('PTRM input'!$K$155+'PTRM input'!$K$121)*$K$7)/A13taxstdlife))</f>
        <v>0</v>
      </c>
      <c r="AK642" s="590">
        <f>IF(A13taxstdlife="n/a","n/a",IF(AK$3&gt;(A13taxstdlife+$E642),(('PTRM input'!$K$155+'PTRM input'!$K$121)*$K$7)-SUM($K642:AJ642),(('PTRM input'!$K$155+'PTRM input'!$K$121)*$K$7)/A13taxstdlife))</f>
        <v>0</v>
      </c>
      <c r="AL642" s="590">
        <f>IF(A13taxstdlife="n/a","n/a",IF(AL$3&gt;(A13taxstdlife+$E642),(('PTRM input'!$K$155+'PTRM input'!$K$121)*$K$7)-SUM($K642:AK642),(('PTRM input'!$K$155+'PTRM input'!$K$121)*$K$7)/A13taxstdlife))</f>
        <v>0</v>
      </c>
      <c r="AM642" s="590">
        <f>IF(A13taxstdlife="n/a","n/a",IF(AM$3&gt;(A13taxstdlife+$E642),(('PTRM input'!$K$155+'PTRM input'!$K$121)*$K$7)-SUM($K642:AL642),(('PTRM input'!$K$155+'PTRM input'!$K$121)*$K$7)/A13taxstdlife))</f>
        <v>0</v>
      </c>
      <c r="AN642" s="590">
        <f>IF(A13taxstdlife="n/a","n/a",IF(AN$3&gt;(A13taxstdlife+$E642),(('PTRM input'!$K$155+'PTRM input'!$K$121)*$K$7)-SUM($K642:AM642),(('PTRM input'!$K$155+'PTRM input'!$K$121)*$K$7)/A13taxstdlife))</f>
        <v>0</v>
      </c>
      <c r="AO642" s="590">
        <f>IF(A13taxstdlife="n/a","n/a",IF(AO$3&gt;(A13taxstdlife+$E642),(('PTRM input'!$K$155+'PTRM input'!$K$121)*$K$7)-SUM($K642:AN642),(('PTRM input'!$K$155+'PTRM input'!$K$121)*$K$7)/A13taxstdlife))</f>
        <v>0</v>
      </c>
      <c r="AP642" s="590">
        <f>IF(A13taxstdlife="n/a","n/a",IF(AP$3&gt;(A13taxstdlife+$E642),(('PTRM input'!$K$155+'PTRM input'!$K$121)*$K$7)-SUM($K642:AO642),(('PTRM input'!$K$155+'PTRM input'!$K$121)*$K$7)/A13taxstdlife))</f>
        <v>0</v>
      </c>
      <c r="AQ642" s="590">
        <f>IF(A13taxstdlife="n/a","n/a",IF(AQ$3&gt;(A13taxstdlife+$E642),(('PTRM input'!$K$155+'PTRM input'!$K$121)*$K$7)-SUM($K642:AP642),(('PTRM input'!$K$155+'PTRM input'!$K$121)*$K$7)/A13taxstdlife))</f>
        <v>0</v>
      </c>
      <c r="AR642" s="590">
        <f>IF(A13taxstdlife="n/a","n/a",IF(AR$3&gt;(A13taxstdlife+$E642),(('PTRM input'!$K$155+'PTRM input'!$K$121)*$K$7)-SUM($K642:AQ642),(('PTRM input'!$K$155+'PTRM input'!$K$121)*$K$7)/A13taxstdlife))</f>
        <v>0</v>
      </c>
      <c r="AS642" s="590">
        <f>IF(A13taxstdlife="n/a","n/a",IF(AS$3&gt;(A13taxstdlife+$E642),(('PTRM input'!$K$155+'PTRM input'!$K$121)*$K$7)-SUM($K642:AR642),(('PTRM input'!$K$155+'PTRM input'!$K$121)*$K$7)/A13taxstdlife))</f>
        <v>0</v>
      </c>
      <c r="AT642" s="590">
        <f>IF(A13taxstdlife="n/a","n/a",IF(AT$3&gt;(A13taxstdlife+$E642),(('PTRM input'!$K$155+'PTRM input'!$K$121)*$K$7)-SUM($K642:AS642),(('PTRM input'!$K$155+'PTRM input'!$K$121)*$K$7)/A13taxstdlife))</f>
        <v>0</v>
      </c>
      <c r="AU642" s="590">
        <f>IF(A13taxstdlife="n/a","n/a",IF(AU$3&gt;(A13taxstdlife+$E642),(('PTRM input'!$K$155+'PTRM input'!$K$121)*$K$7)-SUM($K642:AT642),(('PTRM input'!$K$155+'PTRM input'!$K$121)*$K$7)/A13taxstdlife))</f>
        <v>0</v>
      </c>
      <c r="AV642" s="590">
        <f>IF(A13taxstdlife="n/a","n/a",IF(AV$3&gt;(A13taxstdlife+$E642),(('PTRM input'!$K$155+'PTRM input'!$K$121)*$K$7)-SUM($K642:AU642),(('PTRM input'!$K$155+'PTRM input'!$K$121)*$K$7)/A13taxstdlife))</f>
        <v>0</v>
      </c>
      <c r="AW642" s="590">
        <f>IF(A13taxstdlife="n/a","n/a",IF(AW$3&gt;(A13taxstdlife+$E642),(('PTRM input'!$K$155+'PTRM input'!$K$121)*$K$7)-SUM($K642:AV642),(('PTRM input'!$K$155+'PTRM input'!$K$121)*$K$7)/A13taxstdlife))</f>
        <v>0</v>
      </c>
      <c r="AX642" s="590">
        <f>IF(A13taxstdlife="n/a","n/a",IF(AX$3&gt;(A13taxstdlife+$E642),(('PTRM input'!$K$155+'PTRM input'!$K$121)*$K$7)-SUM($K642:AW642),(('PTRM input'!$K$155+'PTRM input'!$K$121)*$K$7)/A13taxstdlife))</f>
        <v>0</v>
      </c>
      <c r="AY642" s="590">
        <f>IF(A13taxstdlife="n/a","n/a",IF(AY$3&gt;(A13taxstdlife+$E642),(('PTRM input'!$K$155+'PTRM input'!$K$121)*$K$7)-SUM($K642:AX642),(('PTRM input'!$K$155+'PTRM input'!$K$121)*$K$7)/A13taxstdlife))</f>
        <v>0</v>
      </c>
      <c r="AZ642" s="590">
        <f>IF(A13taxstdlife="n/a","n/a",IF(AZ$3&gt;(A13taxstdlife+$E642),(('PTRM input'!$K$155+'PTRM input'!$K$121)*$K$7)-SUM($K642:AY642),(('PTRM input'!$K$155+'PTRM input'!$K$121)*$K$7)/A13taxstdlife))</f>
        <v>0</v>
      </c>
      <c r="BA642" s="590">
        <f>IF(A13taxstdlife="n/a","n/a",IF(BA$3&gt;(A13taxstdlife+$E642),(('PTRM input'!$K$155+'PTRM input'!$K$121)*$K$7)-SUM($K642:AZ642),(('PTRM input'!$K$155+'PTRM input'!$K$121)*$K$7)/A13taxstdlife))</f>
        <v>0</v>
      </c>
      <c r="BB642" s="590">
        <f>IF(A13taxstdlife="n/a","n/a",IF(BB$3&gt;(A13taxstdlife+$E642),(('PTRM input'!$K$155+'PTRM input'!$K$121)*$K$7)-SUM($K642:BA642),(('PTRM input'!$K$155+'PTRM input'!$K$121)*$K$7)/A13taxstdlife))</f>
        <v>0</v>
      </c>
      <c r="BC642" s="590">
        <f>IF(A13taxstdlife="n/a","n/a",IF(BC$3&gt;(A13taxstdlife+$E642),(('PTRM input'!$K$155+'PTRM input'!$K$121)*$K$7)-SUM($K642:BB642),(('PTRM input'!$K$155+'PTRM input'!$K$121)*$K$7)/A13taxstdlife))</f>
        <v>0</v>
      </c>
      <c r="BD642" s="590">
        <f>IF(A13taxstdlife="n/a","n/a",IF(BD$3&gt;(A13taxstdlife+$E642),(('PTRM input'!$K$155+'PTRM input'!$K$121)*$K$7)-SUM($K642:BC642),(('PTRM input'!$K$155+'PTRM input'!$K$121)*$K$7)/A13taxstdlife))</f>
        <v>0</v>
      </c>
      <c r="BE642" s="590">
        <f>IF(A13taxstdlife="n/a","n/a",IF(BE$3&gt;(A13taxstdlife+$E642),(('PTRM input'!$K$155+'PTRM input'!$K$121)*$K$7)-SUM($K642:BD642),(('PTRM input'!$K$155+'PTRM input'!$K$121)*$K$7)/A13taxstdlife))</f>
        <v>0</v>
      </c>
      <c r="BF642" s="590">
        <f>IF(A13taxstdlife="n/a","n/a",IF(BF$3&gt;(A13taxstdlife+$E642),(('PTRM input'!$K$155+'PTRM input'!$K$121)*$K$7)-SUM($K642:BE642),(('PTRM input'!$K$155+'PTRM input'!$K$121)*$K$7)/A13taxstdlife))</f>
        <v>0</v>
      </c>
      <c r="BG642" s="590">
        <f>IF(A13taxstdlife="n/a","n/a",IF(BG$3&gt;(A13taxstdlife+$E642),(('PTRM input'!$K$155+'PTRM input'!$K$121)*$K$7)-SUM($K642:BF642),(('PTRM input'!$K$155+'PTRM input'!$K$121)*$K$7)/A13taxstdlife))</f>
        <v>0</v>
      </c>
      <c r="BH642" s="590">
        <f>IF(A13taxstdlife="n/a","n/a",IF(BH$3&gt;(A13taxstdlife+$E642),(('PTRM input'!$K$155+'PTRM input'!$K$121)*$K$7)-SUM($K642:BG642),(('PTRM input'!$K$155+'PTRM input'!$K$121)*$K$7)/A13taxstdlife))</f>
        <v>0</v>
      </c>
      <c r="BI642" s="590">
        <f>IF(A13taxstdlife="n/a","n/a",IF(BI$3&gt;(A13taxstdlife+$E642),(('PTRM input'!$K$155+'PTRM input'!$K$121)*$K$7)-SUM($K642:BH642),(('PTRM input'!$K$155+'PTRM input'!$K$121)*$K$7)/A13taxstdlife))</f>
        <v>0</v>
      </c>
      <c r="BJ642" s="240"/>
      <c r="BK642" s="240"/>
      <c r="BL642" s="240"/>
      <c r="BM642" s="240"/>
    </row>
    <row r="643" spans="1:65" s="4" customFormat="1" hidden="1" outlineLevel="2">
      <c r="A643" s="240"/>
      <c r="B643" s="240"/>
      <c r="C643" s="595"/>
      <c r="D643" s="1618"/>
      <c r="E643" s="169">
        <v>6</v>
      </c>
      <c r="F643" s="35"/>
      <c r="G643" s="184"/>
      <c r="H643" s="186"/>
      <c r="I643" s="186"/>
      <c r="J643" s="186"/>
      <c r="K643" s="186"/>
      <c r="L643" s="185"/>
      <c r="M643" s="107">
        <f>IF(A13taxstdlife="n/a","n/a",IF(M$3&gt;(A13taxstdlife+$E643),(('PTRM input'!$L$155+'PTRM input'!$L$121)*$L$7)-SUM($L643:L643),(('PTRM input'!$L$155+'PTRM input'!$L$121)*$L$7)/A13taxstdlife))</f>
        <v>0</v>
      </c>
      <c r="N643" s="107">
        <f>IF(A13taxstdlife="n/a","n/a",IF(N$3&gt;(A13taxstdlife+$E643),(('PTRM input'!$L$155+'PTRM input'!$L$121)*$L$7)-SUM($L643:M643),(('PTRM input'!$L$155+'PTRM input'!$L$121)*$L$7)/A13taxstdlife))</f>
        <v>0</v>
      </c>
      <c r="O643" s="107">
        <f>IF(A13taxstdlife="n/a","n/a",IF(O$3&gt;(A13taxstdlife+$E643),(('PTRM input'!$L$155+'PTRM input'!$L$121)*$L$7)-SUM($L643:N643),(('PTRM input'!$L$155+'PTRM input'!$L$121)*$L$7)/A13taxstdlife))</f>
        <v>0</v>
      </c>
      <c r="P643" s="107">
        <f>IF(A13taxstdlife="n/a","n/a",IF(P$3&gt;(A13taxstdlife+$E643),(('PTRM input'!$L$155+'PTRM input'!$L$121)*$L$7)-SUM($L643:O643),(('PTRM input'!$L$155+'PTRM input'!$L$121)*$L$7)/A13taxstdlife))</f>
        <v>0</v>
      </c>
      <c r="Q643" s="590">
        <f>IF(A13taxstdlife="n/a","n/a",IF(Q$3&gt;(A13taxstdlife+$E643),(('PTRM input'!$L$155+'PTRM input'!$L$121)*$L$7)-SUM($L643:P643),(('PTRM input'!$L$155+'PTRM input'!$L$121)*$L$7)/A13taxstdlife))</f>
        <v>0</v>
      </c>
      <c r="R643" s="590">
        <f>IF(A13taxstdlife="n/a","n/a",IF(R$3&gt;(A13taxstdlife+$E643),(('PTRM input'!$L$155+'PTRM input'!$L$121)*$L$7)-SUM($L643:Q643),(('PTRM input'!$L$155+'PTRM input'!$L$121)*$L$7)/A13taxstdlife))</f>
        <v>0</v>
      </c>
      <c r="S643" s="590">
        <f>IF(A13taxstdlife="n/a","n/a",IF(S$3&gt;(A13taxstdlife+$E643),(('PTRM input'!$L$155+'PTRM input'!$L$121)*$L$7)-SUM($L643:R643),(('PTRM input'!$L$155+'PTRM input'!$L$121)*$L$7)/A13taxstdlife))</f>
        <v>0</v>
      </c>
      <c r="T643" s="590">
        <f>IF(A13taxstdlife="n/a","n/a",IF(T$3&gt;(A13taxstdlife+$E643),(('PTRM input'!$L$155+'PTRM input'!$L$121)*$L$7)-SUM($L643:S643),(('PTRM input'!$L$155+'PTRM input'!$L$121)*$L$7)/A13taxstdlife))</f>
        <v>0</v>
      </c>
      <c r="U643" s="590">
        <f>IF(A13taxstdlife="n/a","n/a",IF(U$3&gt;(A13taxstdlife+$E643),(('PTRM input'!$L$155+'PTRM input'!$L$121)*$L$7)-SUM($L643:T643),(('PTRM input'!$L$155+'PTRM input'!$L$121)*$L$7)/A13taxstdlife))</f>
        <v>0</v>
      </c>
      <c r="V643" s="590">
        <f>IF(A13taxstdlife="n/a","n/a",IF(V$3&gt;(A13taxstdlife+$E643),(('PTRM input'!$L$155+'PTRM input'!$L$121)*$L$7)-SUM($L643:U643),(('PTRM input'!$L$155+'PTRM input'!$L$121)*$L$7)/A13taxstdlife))</f>
        <v>0</v>
      </c>
      <c r="W643" s="590">
        <f>IF(A13taxstdlife="n/a","n/a",IF(W$3&gt;(A13taxstdlife+$E643),(('PTRM input'!$L$155+'PTRM input'!$L$121)*$L$7)-SUM($L643:V643),(('PTRM input'!$L$155+'PTRM input'!$L$121)*$L$7)/A13taxstdlife))</f>
        <v>0</v>
      </c>
      <c r="X643" s="590">
        <f>IF(A13taxstdlife="n/a","n/a",IF(X$3&gt;(A13taxstdlife+$E643),(('PTRM input'!$L$155+'PTRM input'!$L$121)*$L$7)-SUM($L643:W643),(('PTRM input'!$L$155+'PTRM input'!$L$121)*$L$7)/A13taxstdlife))</f>
        <v>0</v>
      </c>
      <c r="Y643" s="590">
        <f>IF(A13taxstdlife="n/a","n/a",IF(Y$3&gt;(A13taxstdlife+$E643),(('PTRM input'!$L$155+'PTRM input'!$L$121)*$L$7)-SUM($L643:X643),(('PTRM input'!$L$155+'PTRM input'!$L$121)*$L$7)/A13taxstdlife))</f>
        <v>0</v>
      </c>
      <c r="Z643" s="590">
        <f>IF(A13taxstdlife="n/a","n/a",IF(Z$3&gt;(A13taxstdlife+$E643),(('PTRM input'!$L$155+'PTRM input'!$L$121)*$L$7)-SUM($L643:Y643),(('PTRM input'!$L$155+'PTRM input'!$L$121)*$L$7)/A13taxstdlife))</f>
        <v>0</v>
      </c>
      <c r="AA643" s="590">
        <f>IF(A13taxstdlife="n/a","n/a",IF(AA$3&gt;(A13taxstdlife+$E643),(('PTRM input'!$L$155+'PTRM input'!$L$121)*$L$7)-SUM($L643:Z643),(('PTRM input'!$L$155+'PTRM input'!$L$121)*$L$7)/A13taxstdlife))</f>
        <v>0</v>
      </c>
      <c r="AB643" s="590">
        <f>IF(A13taxstdlife="n/a","n/a",IF(AB$3&gt;(A13taxstdlife+$E643),(('PTRM input'!$L$155+'PTRM input'!$L$121)*$L$7)-SUM($L643:AA643),(('PTRM input'!$L$155+'PTRM input'!$L$121)*$L$7)/A13taxstdlife))</f>
        <v>0</v>
      </c>
      <c r="AC643" s="590">
        <f>IF(A13taxstdlife="n/a","n/a",IF(AC$3&gt;(A13taxstdlife+$E643),(('PTRM input'!$L$155+'PTRM input'!$L$121)*$L$7)-SUM($L643:AB643),(('PTRM input'!$L$155+'PTRM input'!$L$121)*$L$7)/A13taxstdlife))</f>
        <v>0</v>
      </c>
      <c r="AD643" s="590">
        <f>IF(A13taxstdlife="n/a","n/a",IF(AD$3&gt;(A13taxstdlife+$E643),(('PTRM input'!$L$155+'PTRM input'!$L$121)*$L$7)-SUM($L643:AC643),(('PTRM input'!$L$155+'PTRM input'!$L$121)*$L$7)/A13taxstdlife))</f>
        <v>0</v>
      </c>
      <c r="AE643" s="590">
        <f>IF(A13taxstdlife="n/a","n/a",IF(AE$3&gt;(A13taxstdlife+$E643),(('PTRM input'!$L$155+'PTRM input'!$L$121)*$L$7)-SUM($L643:AD643),(('PTRM input'!$L$155+'PTRM input'!$L$121)*$L$7)/A13taxstdlife))</f>
        <v>0</v>
      </c>
      <c r="AF643" s="590">
        <f>IF(A13taxstdlife="n/a","n/a",IF(AF$3&gt;(A13taxstdlife+$E643),(('PTRM input'!$L$155+'PTRM input'!$L$121)*$L$7)-SUM($L643:AE643),(('PTRM input'!$L$155+'PTRM input'!$L$121)*$L$7)/A13taxstdlife))</f>
        <v>0</v>
      </c>
      <c r="AG643" s="590">
        <f>IF(A13taxstdlife="n/a","n/a",IF(AG$3&gt;(A13taxstdlife+$E643),(('PTRM input'!$L$155+'PTRM input'!$L$121)*$L$7)-SUM($L643:AF643),(('PTRM input'!$L$155+'PTRM input'!$L$121)*$L$7)/A13taxstdlife))</f>
        <v>0</v>
      </c>
      <c r="AH643" s="590">
        <f>IF(A13taxstdlife="n/a","n/a",IF(AH$3&gt;(A13taxstdlife+$E643),(('PTRM input'!$L$155+'PTRM input'!$L$121)*$L$7)-SUM($L643:AG643),(('PTRM input'!$L$155+'PTRM input'!$L$121)*$L$7)/A13taxstdlife))</f>
        <v>0</v>
      </c>
      <c r="AI643" s="590">
        <f>IF(A13taxstdlife="n/a","n/a",IF(AI$3&gt;(A13taxstdlife+$E643),(('PTRM input'!$L$155+'PTRM input'!$L$121)*$L$7)-SUM($L643:AH643),(('PTRM input'!$L$155+'PTRM input'!$L$121)*$L$7)/A13taxstdlife))</f>
        <v>0</v>
      </c>
      <c r="AJ643" s="590">
        <f>IF(A13taxstdlife="n/a","n/a",IF(AJ$3&gt;(A13taxstdlife+$E643),(('PTRM input'!$L$155+'PTRM input'!$L$121)*$L$7)-SUM($L643:AI643),(('PTRM input'!$L$155+'PTRM input'!$L$121)*$L$7)/A13taxstdlife))</f>
        <v>0</v>
      </c>
      <c r="AK643" s="590">
        <f>IF(A13taxstdlife="n/a","n/a",IF(AK$3&gt;(A13taxstdlife+$E643),(('PTRM input'!$L$155+'PTRM input'!$L$121)*$L$7)-SUM($L643:AJ643),(('PTRM input'!$L$155+'PTRM input'!$L$121)*$L$7)/A13taxstdlife))</f>
        <v>0</v>
      </c>
      <c r="AL643" s="590">
        <f>IF(A13taxstdlife="n/a","n/a",IF(AL$3&gt;(A13taxstdlife+$E643),(('PTRM input'!$L$155+'PTRM input'!$L$121)*$L$7)-SUM($L643:AK643),(('PTRM input'!$L$155+'PTRM input'!$L$121)*$L$7)/A13taxstdlife))</f>
        <v>0</v>
      </c>
      <c r="AM643" s="590">
        <f>IF(A13taxstdlife="n/a","n/a",IF(AM$3&gt;(A13taxstdlife+$E643),(('PTRM input'!$L$155+'PTRM input'!$L$121)*$L$7)-SUM($L643:AL643),(('PTRM input'!$L$155+'PTRM input'!$L$121)*$L$7)/A13taxstdlife))</f>
        <v>0</v>
      </c>
      <c r="AN643" s="590">
        <f>IF(A13taxstdlife="n/a","n/a",IF(AN$3&gt;(A13taxstdlife+$E643),(('PTRM input'!$L$155+'PTRM input'!$L$121)*$L$7)-SUM($L643:AM643),(('PTRM input'!$L$155+'PTRM input'!$L$121)*$L$7)/A13taxstdlife))</f>
        <v>0</v>
      </c>
      <c r="AO643" s="590">
        <f>IF(A13taxstdlife="n/a","n/a",IF(AO$3&gt;(A13taxstdlife+$E643),(('PTRM input'!$L$155+'PTRM input'!$L$121)*$L$7)-SUM($L643:AN643),(('PTRM input'!$L$155+'PTRM input'!$L$121)*$L$7)/A13taxstdlife))</f>
        <v>0</v>
      </c>
      <c r="AP643" s="590">
        <f>IF(A13taxstdlife="n/a","n/a",IF(AP$3&gt;(A13taxstdlife+$E643),(('PTRM input'!$L$155+'PTRM input'!$L$121)*$L$7)-SUM($L643:AO643),(('PTRM input'!$L$155+'PTRM input'!$L$121)*$L$7)/A13taxstdlife))</f>
        <v>0</v>
      </c>
      <c r="AQ643" s="590">
        <f>IF(A13taxstdlife="n/a","n/a",IF(AQ$3&gt;(A13taxstdlife+$E643),(('PTRM input'!$L$155+'PTRM input'!$L$121)*$L$7)-SUM($L643:AP643),(('PTRM input'!$L$155+'PTRM input'!$L$121)*$L$7)/A13taxstdlife))</f>
        <v>0</v>
      </c>
      <c r="AR643" s="590">
        <f>IF(A13taxstdlife="n/a","n/a",IF(AR$3&gt;(A13taxstdlife+$E643),(('PTRM input'!$L$155+'PTRM input'!$L$121)*$L$7)-SUM($L643:AQ643),(('PTRM input'!$L$155+'PTRM input'!$L$121)*$L$7)/A13taxstdlife))</f>
        <v>0</v>
      </c>
      <c r="AS643" s="590">
        <f>IF(A13taxstdlife="n/a","n/a",IF(AS$3&gt;(A13taxstdlife+$E643),(('PTRM input'!$L$155+'PTRM input'!$L$121)*$L$7)-SUM($L643:AR643),(('PTRM input'!$L$155+'PTRM input'!$L$121)*$L$7)/A13taxstdlife))</f>
        <v>0</v>
      </c>
      <c r="AT643" s="590">
        <f>IF(A13taxstdlife="n/a","n/a",IF(AT$3&gt;(A13taxstdlife+$E643),(('PTRM input'!$L$155+'PTRM input'!$L$121)*$L$7)-SUM($L643:AS643),(('PTRM input'!$L$155+'PTRM input'!$L$121)*$L$7)/A13taxstdlife))</f>
        <v>0</v>
      </c>
      <c r="AU643" s="590">
        <f>IF(A13taxstdlife="n/a","n/a",IF(AU$3&gt;(A13taxstdlife+$E643),(('PTRM input'!$L$155+'PTRM input'!$L$121)*$L$7)-SUM($L643:AT643),(('PTRM input'!$L$155+'PTRM input'!$L$121)*$L$7)/A13taxstdlife))</f>
        <v>0</v>
      </c>
      <c r="AV643" s="590">
        <f>IF(A13taxstdlife="n/a","n/a",IF(AV$3&gt;(A13taxstdlife+$E643),(('PTRM input'!$L$155+'PTRM input'!$L$121)*$L$7)-SUM($L643:AU643),(('PTRM input'!$L$155+'PTRM input'!$L$121)*$L$7)/A13taxstdlife))</f>
        <v>0</v>
      </c>
      <c r="AW643" s="590">
        <f>IF(A13taxstdlife="n/a","n/a",IF(AW$3&gt;(A13taxstdlife+$E643),(('PTRM input'!$L$155+'PTRM input'!$L$121)*$L$7)-SUM($L643:AV643),(('PTRM input'!$L$155+'PTRM input'!$L$121)*$L$7)/A13taxstdlife))</f>
        <v>0</v>
      </c>
      <c r="AX643" s="590">
        <f>IF(A13taxstdlife="n/a","n/a",IF(AX$3&gt;(A13taxstdlife+$E643),(('PTRM input'!$L$155+'PTRM input'!$L$121)*$L$7)-SUM($L643:AW643),(('PTRM input'!$L$155+'PTRM input'!$L$121)*$L$7)/A13taxstdlife))</f>
        <v>0</v>
      </c>
      <c r="AY643" s="590">
        <f>IF(A13taxstdlife="n/a","n/a",IF(AY$3&gt;(A13taxstdlife+$E643),(('PTRM input'!$L$155+'PTRM input'!$L$121)*$L$7)-SUM($L643:AX643),(('PTRM input'!$L$155+'PTRM input'!$L$121)*$L$7)/A13taxstdlife))</f>
        <v>0</v>
      </c>
      <c r="AZ643" s="590">
        <f>IF(A13taxstdlife="n/a","n/a",IF(AZ$3&gt;(A13taxstdlife+$E643),(('PTRM input'!$L$155+'PTRM input'!$L$121)*$L$7)-SUM($L643:AY643),(('PTRM input'!$L$155+'PTRM input'!$L$121)*$L$7)/A13taxstdlife))</f>
        <v>0</v>
      </c>
      <c r="BA643" s="590">
        <f>IF(A13taxstdlife="n/a","n/a",IF(BA$3&gt;(A13taxstdlife+$E643),(('PTRM input'!$L$155+'PTRM input'!$L$121)*$L$7)-SUM($L643:AZ643),(('PTRM input'!$L$155+'PTRM input'!$L$121)*$L$7)/A13taxstdlife))</f>
        <v>0</v>
      </c>
      <c r="BB643" s="590">
        <f>IF(A13taxstdlife="n/a","n/a",IF(BB$3&gt;(A13taxstdlife+$E643),(('PTRM input'!$L$155+'PTRM input'!$L$121)*$L$7)-SUM($L643:BA643),(('PTRM input'!$L$155+'PTRM input'!$L$121)*$L$7)/A13taxstdlife))</f>
        <v>0</v>
      </c>
      <c r="BC643" s="590">
        <f>IF(A13taxstdlife="n/a","n/a",IF(BC$3&gt;(A13taxstdlife+$E643),(('PTRM input'!$L$155+'PTRM input'!$L$121)*$L$7)-SUM($L643:BB643),(('PTRM input'!$L$155+'PTRM input'!$L$121)*$L$7)/A13taxstdlife))</f>
        <v>0</v>
      </c>
      <c r="BD643" s="590">
        <f>IF(A13taxstdlife="n/a","n/a",IF(BD$3&gt;(A13taxstdlife+$E643),(('PTRM input'!$L$155+'PTRM input'!$L$121)*$L$7)-SUM($L643:BC643),(('PTRM input'!$L$155+'PTRM input'!$L$121)*$L$7)/A13taxstdlife))</f>
        <v>0</v>
      </c>
      <c r="BE643" s="590">
        <f>IF(A13taxstdlife="n/a","n/a",IF(BE$3&gt;(A13taxstdlife+$E643),(('PTRM input'!$L$155+'PTRM input'!$L$121)*$L$7)-SUM($L643:BD643),(('PTRM input'!$L$155+'PTRM input'!$L$121)*$L$7)/A13taxstdlife))</f>
        <v>0</v>
      </c>
      <c r="BF643" s="590">
        <f>IF(A13taxstdlife="n/a","n/a",IF(BF$3&gt;(A13taxstdlife+$E643),(('PTRM input'!$L$155+'PTRM input'!$L$121)*$L$7)-SUM($L643:BE643),(('PTRM input'!$L$155+'PTRM input'!$L$121)*$L$7)/A13taxstdlife))</f>
        <v>0</v>
      </c>
      <c r="BG643" s="590">
        <f>IF(A13taxstdlife="n/a","n/a",IF(BG$3&gt;(A13taxstdlife+$E643),(('PTRM input'!$L$155+'PTRM input'!$L$121)*$L$7)-SUM($L643:BF643),(('PTRM input'!$L$155+'PTRM input'!$L$121)*$L$7)/A13taxstdlife))</f>
        <v>0</v>
      </c>
      <c r="BH643" s="590">
        <f>IF(A13taxstdlife="n/a","n/a",IF(BH$3&gt;(A13taxstdlife+$E643),(('PTRM input'!$L$155+'PTRM input'!$L$121)*$L$7)-SUM($L643:BG643),(('PTRM input'!$L$155+'PTRM input'!$L$121)*$L$7)/A13taxstdlife))</f>
        <v>0</v>
      </c>
      <c r="BI643" s="590">
        <f>IF(A13taxstdlife="n/a","n/a",IF(BI$3&gt;(A13taxstdlife+$E643),(('PTRM input'!$L$155+'PTRM input'!$L$121)*$L$7)-SUM($L643:BH643),(('PTRM input'!$L$155+'PTRM input'!$L$121)*$L$7)/A13taxstdlife))</f>
        <v>0</v>
      </c>
      <c r="BJ643" s="240"/>
      <c r="BK643" s="240"/>
      <c r="BL643" s="240"/>
      <c r="BM643" s="240"/>
    </row>
    <row r="644" spans="1:65" s="4" customFormat="1" hidden="1" outlineLevel="2">
      <c r="A644" s="240"/>
      <c r="B644" s="240"/>
      <c r="C644" s="595"/>
      <c r="D644" s="1618"/>
      <c r="E644" s="169">
        <v>7</v>
      </c>
      <c r="F644" s="35"/>
      <c r="G644" s="184"/>
      <c r="H644" s="186"/>
      <c r="I644" s="186"/>
      <c r="J644" s="186"/>
      <c r="K644" s="186"/>
      <c r="L644" s="186"/>
      <c r="M644" s="185"/>
      <c r="N644" s="107">
        <f>IF(A13taxstdlife="n/a","n/a",IF(N$3&gt;(A13taxstdlife+$E644),(('PTRM input'!$M$155+'PTRM input'!$M$121)*$M$7)-SUM($M644:M644),(('PTRM input'!$M$155+'PTRM input'!$M$121)*$M$7)/A13taxstdlife))</f>
        <v>0</v>
      </c>
      <c r="O644" s="107">
        <f>IF(A13taxstdlife="n/a","n/a",IF(O$3&gt;(A13taxstdlife+$E644),(('PTRM input'!$M$155+'PTRM input'!$M$121)*$M$7)-SUM($M644:N644),(('PTRM input'!$M$155+'PTRM input'!$M$121)*$M$7)/A13taxstdlife))</f>
        <v>0</v>
      </c>
      <c r="P644" s="107">
        <f>IF(A13taxstdlife="n/a","n/a",IF(P$3&gt;(A13taxstdlife+$E644),(('PTRM input'!$M$155+'PTRM input'!$M$121)*$M$7)-SUM($M644:O644),(('PTRM input'!$M$155+'PTRM input'!$M$121)*$M$7)/A13taxstdlife))</f>
        <v>0</v>
      </c>
      <c r="Q644" s="590">
        <f>IF(A13taxstdlife="n/a","n/a",IF(Q$3&gt;(A13taxstdlife+$E644),(('PTRM input'!$M$155+'PTRM input'!$M$121)*$M$7)-SUM($M644:P644),(('PTRM input'!$M$155+'PTRM input'!$M$121)*$M$7)/A13taxstdlife))</f>
        <v>0</v>
      </c>
      <c r="R644" s="590">
        <f>IF(A13taxstdlife="n/a","n/a",IF(R$3&gt;(A13taxstdlife+$E644),(('PTRM input'!$M$155+'PTRM input'!$M$121)*$M$7)-SUM($M644:Q644),(('PTRM input'!$M$155+'PTRM input'!$M$121)*$M$7)/A13taxstdlife))</f>
        <v>0</v>
      </c>
      <c r="S644" s="590">
        <f>IF(A13taxstdlife="n/a","n/a",IF(S$3&gt;(A13taxstdlife+$E644),(('PTRM input'!$M$155+'PTRM input'!$M$121)*$M$7)-SUM($M644:R644),(('PTRM input'!$M$155+'PTRM input'!$M$121)*$M$7)/A13taxstdlife))</f>
        <v>0</v>
      </c>
      <c r="T644" s="590">
        <f>IF(A13taxstdlife="n/a","n/a",IF(T$3&gt;(A13taxstdlife+$E644),(('PTRM input'!$M$155+'PTRM input'!$M$121)*$M$7)-SUM($M644:S644),(('PTRM input'!$M$155+'PTRM input'!$M$121)*$M$7)/A13taxstdlife))</f>
        <v>0</v>
      </c>
      <c r="U644" s="590">
        <f>IF(A13taxstdlife="n/a","n/a",IF(U$3&gt;(A13taxstdlife+$E644),(('PTRM input'!$M$155+'PTRM input'!$M$121)*$M$7)-SUM($M644:T644),(('PTRM input'!$M$155+'PTRM input'!$M$121)*$M$7)/A13taxstdlife))</f>
        <v>0</v>
      </c>
      <c r="V644" s="590">
        <f>IF(A13taxstdlife="n/a","n/a",IF(V$3&gt;(A13taxstdlife+$E644),(('PTRM input'!$M$155+'PTRM input'!$M$121)*$M$7)-SUM($M644:U644),(('PTRM input'!$M$155+'PTRM input'!$M$121)*$M$7)/A13taxstdlife))</f>
        <v>0</v>
      </c>
      <c r="W644" s="590">
        <f>IF(A13taxstdlife="n/a","n/a",IF(W$3&gt;(A13taxstdlife+$E644),(('PTRM input'!$M$155+'PTRM input'!$M$121)*$M$7)-SUM($M644:V644),(('PTRM input'!$M$155+'PTRM input'!$M$121)*$M$7)/A13taxstdlife))</f>
        <v>0</v>
      </c>
      <c r="X644" s="590">
        <f>IF(A13taxstdlife="n/a","n/a",IF(X$3&gt;(A13taxstdlife+$E644),(('PTRM input'!$M$155+'PTRM input'!$M$121)*$M$7)-SUM($M644:W644),(('PTRM input'!$M$155+'PTRM input'!$M$121)*$M$7)/A13taxstdlife))</f>
        <v>0</v>
      </c>
      <c r="Y644" s="590">
        <f>IF(A13taxstdlife="n/a","n/a",IF(Y$3&gt;(A13taxstdlife+$E644),(('PTRM input'!$M$155+'PTRM input'!$M$121)*$M$7)-SUM($M644:X644),(('PTRM input'!$M$155+'PTRM input'!$M$121)*$M$7)/A13taxstdlife))</f>
        <v>0</v>
      </c>
      <c r="Z644" s="590">
        <f>IF(A13taxstdlife="n/a","n/a",IF(Z$3&gt;(A13taxstdlife+$E644),(('PTRM input'!$M$155+'PTRM input'!$M$121)*$M$7)-SUM($M644:Y644),(('PTRM input'!$M$155+'PTRM input'!$M$121)*$M$7)/A13taxstdlife))</f>
        <v>0</v>
      </c>
      <c r="AA644" s="590">
        <f>IF(A13taxstdlife="n/a","n/a",IF(AA$3&gt;(A13taxstdlife+$E644),(('PTRM input'!$M$155+'PTRM input'!$M$121)*$M$7)-SUM($M644:Z644),(('PTRM input'!$M$155+'PTRM input'!$M$121)*$M$7)/A13taxstdlife))</f>
        <v>0</v>
      </c>
      <c r="AB644" s="590">
        <f>IF(A13taxstdlife="n/a","n/a",IF(AB$3&gt;(A13taxstdlife+$E644),(('PTRM input'!$M$155+'PTRM input'!$M$121)*$M$7)-SUM($M644:AA644),(('PTRM input'!$M$155+'PTRM input'!$M$121)*$M$7)/A13taxstdlife))</f>
        <v>0</v>
      </c>
      <c r="AC644" s="590">
        <f>IF(A13taxstdlife="n/a","n/a",IF(AC$3&gt;(A13taxstdlife+$E644),(('PTRM input'!$M$155+'PTRM input'!$M$121)*$M$7)-SUM($M644:AB644),(('PTRM input'!$M$155+'PTRM input'!$M$121)*$M$7)/A13taxstdlife))</f>
        <v>0</v>
      </c>
      <c r="AD644" s="590">
        <f>IF(A13taxstdlife="n/a","n/a",IF(AD$3&gt;(A13taxstdlife+$E644),(('PTRM input'!$M$155+'PTRM input'!$M$121)*$M$7)-SUM($M644:AC644),(('PTRM input'!$M$155+'PTRM input'!$M$121)*$M$7)/A13taxstdlife))</f>
        <v>0</v>
      </c>
      <c r="AE644" s="590">
        <f>IF(A13taxstdlife="n/a","n/a",IF(AE$3&gt;(A13taxstdlife+$E644),(('PTRM input'!$M$155+'PTRM input'!$M$121)*$M$7)-SUM($M644:AD644),(('PTRM input'!$M$155+'PTRM input'!$M$121)*$M$7)/A13taxstdlife))</f>
        <v>0</v>
      </c>
      <c r="AF644" s="590">
        <f>IF(A13taxstdlife="n/a","n/a",IF(AF$3&gt;(A13taxstdlife+$E644),(('PTRM input'!$M$155+'PTRM input'!$M$121)*$M$7)-SUM($M644:AE644),(('PTRM input'!$M$155+'PTRM input'!$M$121)*$M$7)/A13taxstdlife))</f>
        <v>0</v>
      </c>
      <c r="AG644" s="590">
        <f>IF(A13taxstdlife="n/a","n/a",IF(AG$3&gt;(A13taxstdlife+$E644),(('PTRM input'!$M$155+'PTRM input'!$M$121)*$M$7)-SUM($M644:AF644),(('PTRM input'!$M$155+'PTRM input'!$M$121)*$M$7)/A13taxstdlife))</f>
        <v>0</v>
      </c>
      <c r="AH644" s="590">
        <f>IF(A13taxstdlife="n/a","n/a",IF(AH$3&gt;(A13taxstdlife+$E644),(('PTRM input'!$M$155+'PTRM input'!$M$121)*$M$7)-SUM($M644:AG644),(('PTRM input'!$M$155+'PTRM input'!$M$121)*$M$7)/A13taxstdlife))</f>
        <v>0</v>
      </c>
      <c r="AI644" s="590">
        <f>IF(A13taxstdlife="n/a","n/a",IF(AI$3&gt;(A13taxstdlife+$E644),(('PTRM input'!$M$155+'PTRM input'!$M$121)*$M$7)-SUM($M644:AH644),(('PTRM input'!$M$155+'PTRM input'!$M$121)*$M$7)/A13taxstdlife))</f>
        <v>0</v>
      </c>
      <c r="AJ644" s="590">
        <f>IF(A13taxstdlife="n/a","n/a",IF(AJ$3&gt;(A13taxstdlife+$E644),(('PTRM input'!$M$155+'PTRM input'!$M$121)*$M$7)-SUM($M644:AI644),(('PTRM input'!$M$155+'PTRM input'!$M$121)*$M$7)/A13taxstdlife))</f>
        <v>0</v>
      </c>
      <c r="AK644" s="590">
        <f>IF(A13taxstdlife="n/a","n/a",IF(AK$3&gt;(A13taxstdlife+$E644),(('PTRM input'!$M$155+'PTRM input'!$M$121)*$M$7)-SUM($M644:AJ644),(('PTRM input'!$M$155+'PTRM input'!$M$121)*$M$7)/A13taxstdlife))</f>
        <v>0</v>
      </c>
      <c r="AL644" s="590">
        <f>IF(A13taxstdlife="n/a","n/a",IF(AL$3&gt;(A13taxstdlife+$E644),(('PTRM input'!$M$155+'PTRM input'!$M$121)*$M$7)-SUM($M644:AK644),(('PTRM input'!$M$155+'PTRM input'!$M$121)*$M$7)/A13taxstdlife))</f>
        <v>0</v>
      </c>
      <c r="AM644" s="590">
        <f>IF(A13taxstdlife="n/a","n/a",IF(AM$3&gt;(A13taxstdlife+$E644),(('PTRM input'!$M$155+'PTRM input'!$M$121)*$M$7)-SUM($M644:AL644),(('PTRM input'!$M$155+'PTRM input'!$M$121)*$M$7)/A13taxstdlife))</f>
        <v>0</v>
      </c>
      <c r="AN644" s="590">
        <f>IF(A13taxstdlife="n/a","n/a",IF(AN$3&gt;(A13taxstdlife+$E644),(('PTRM input'!$M$155+'PTRM input'!$M$121)*$M$7)-SUM($M644:AM644),(('PTRM input'!$M$155+'PTRM input'!$M$121)*$M$7)/A13taxstdlife))</f>
        <v>0</v>
      </c>
      <c r="AO644" s="590">
        <f>IF(A13taxstdlife="n/a","n/a",IF(AO$3&gt;(A13taxstdlife+$E644),(('PTRM input'!$M$155+'PTRM input'!$M$121)*$M$7)-SUM($M644:AN644),(('PTRM input'!$M$155+'PTRM input'!$M$121)*$M$7)/A13taxstdlife))</f>
        <v>0</v>
      </c>
      <c r="AP644" s="590">
        <f>IF(A13taxstdlife="n/a","n/a",IF(AP$3&gt;(A13taxstdlife+$E644),(('PTRM input'!$M$155+'PTRM input'!$M$121)*$M$7)-SUM($M644:AO644),(('PTRM input'!$M$155+'PTRM input'!$M$121)*$M$7)/A13taxstdlife))</f>
        <v>0</v>
      </c>
      <c r="AQ644" s="590">
        <f>IF(A13taxstdlife="n/a","n/a",IF(AQ$3&gt;(A13taxstdlife+$E644),(('PTRM input'!$M$155+'PTRM input'!$M$121)*$M$7)-SUM($M644:AP644),(('PTRM input'!$M$155+'PTRM input'!$M$121)*$M$7)/A13taxstdlife))</f>
        <v>0</v>
      </c>
      <c r="AR644" s="590">
        <f>IF(A13taxstdlife="n/a","n/a",IF(AR$3&gt;(A13taxstdlife+$E644),(('PTRM input'!$M$155+'PTRM input'!$M$121)*$M$7)-SUM($M644:AQ644),(('PTRM input'!$M$155+'PTRM input'!$M$121)*$M$7)/A13taxstdlife))</f>
        <v>0</v>
      </c>
      <c r="AS644" s="590">
        <f>IF(A13taxstdlife="n/a","n/a",IF(AS$3&gt;(A13taxstdlife+$E644),(('PTRM input'!$M$155+'PTRM input'!$M$121)*$M$7)-SUM($M644:AR644),(('PTRM input'!$M$155+'PTRM input'!$M$121)*$M$7)/A13taxstdlife))</f>
        <v>0</v>
      </c>
      <c r="AT644" s="590">
        <f>IF(A13taxstdlife="n/a","n/a",IF(AT$3&gt;(A13taxstdlife+$E644),(('PTRM input'!$M$155+'PTRM input'!$M$121)*$M$7)-SUM($M644:AS644),(('PTRM input'!$M$155+'PTRM input'!$M$121)*$M$7)/A13taxstdlife))</f>
        <v>0</v>
      </c>
      <c r="AU644" s="590">
        <f>IF(A13taxstdlife="n/a","n/a",IF(AU$3&gt;(A13taxstdlife+$E644),(('PTRM input'!$M$155+'PTRM input'!$M$121)*$M$7)-SUM($M644:AT644),(('PTRM input'!$M$155+'PTRM input'!$M$121)*$M$7)/A13taxstdlife))</f>
        <v>0</v>
      </c>
      <c r="AV644" s="590">
        <f>IF(A13taxstdlife="n/a","n/a",IF(AV$3&gt;(A13taxstdlife+$E644),(('PTRM input'!$M$155+'PTRM input'!$M$121)*$M$7)-SUM($M644:AU644),(('PTRM input'!$M$155+'PTRM input'!$M$121)*$M$7)/A13taxstdlife))</f>
        <v>0</v>
      </c>
      <c r="AW644" s="590">
        <f>IF(A13taxstdlife="n/a","n/a",IF(AW$3&gt;(A13taxstdlife+$E644),(('PTRM input'!$M$155+'PTRM input'!$M$121)*$M$7)-SUM($M644:AV644),(('PTRM input'!$M$155+'PTRM input'!$M$121)*$M$7)/A13taxstdlife))</f>
        <v>0</v>
      </c>
      <c r="AX644" s="590">
        <f>IF(A13taxstdlife="n/a","n/a",IF(AX$3&gt;(A13taxstdlife+$E644),(('PTRM input'!$M$155+'PTRM input'!$M$121)*$M$7)-SUM($M644:AW644),(('PTRM input'!$M$155+'PTRM input'!$M$121)*$M$7)/A13taxstdlife))</f>
        <v>0</v>
      </c>
      <c r="AY644" s="590">
        <f>IF(A13taxstdlife="n/a","n/a",IF(AY$3&gt;(A13taxstdlife+$E644),(('PTRM input'!$M$155+'PTRM input'!$M$121)*$M$7)-SUM($M644:AX644),(('PTRM input'!$M$155+'PTRM input'!$M$121)*$M$7)/A13taxstdlife))</f>
        <v>0</v>
      </c>
      <c r="AZ644" s="590">
        <f>IF(A13taxstdlife="n/a","n/a",IF(AZ$3&gt;(A13taxstdlife+$E644),(('PTRM input'!$M$155+'PTRM input'!$M$121)*$M$7)-SUM($M644:AY644),(('PTRM input'!$M$155+'PTRM input'!$M$121)*$M$7)/A13taxstdlife))</f>
        <v>0</v>
      </c>
      <c r="BA644" s="590">
        <f>IF(A13taxstdlife="n/a","n/a",IF(BA$3&gt;(A13taxstdlife+$E644),(('PTRM input'!$M$155+'PTRM input'!$M$121)*$M$7)-SUM($M644:AZ644),(('PTRM input'!$M$155+'PTRM input'!$M$121)*$M$7)/A13taxstdlife))</f>
        <v>0</v>
      </c>
      <c r="BB644" s="590">
        <f>IF(A13taxstdlife="n/a","n/a",IF(BB$3&gt;(A13taxstdlife+$E644),(('PTRM input'!$M$155+'PTRM input'!$M$121)*$M$7)-SUM($M644:BA644),(('PTRM input'!$M$155+'PTRM input'!$M$121)*$M$7)/A13taxstdlife))</f>
        <v>0</v>
      </c>
      <c r="BC644" s="590">
        <f>IF(A13taxstdlife="n/a","n/a",IF(BC$3&gt;(A13taxstdlife+$E644),(('PTRM input'!$M$155+'PTRM input'!$M$121)*$M$7)-SUM($M644:BB644),(('PTRM input'!$M$155+'PTRM input'!$M$121)*$M$7)/A13taxstdlife))</f>
        <v>0</v>
      </c>
      <c r="BD644" s="590">
        <f>IF(A13taxstdlife="n/a","n/a",IF(BD$3&gt;(A13taxstdlife+$E644),(('PTRM input'!$M$155+'PTRM input'!$M$121)*$M$7)-SUM($M644:BC644),(('PTRM input'!$M$155+'PTRM input'!$M$121)*$M$7)/A13taxstdlife))</f>
        <v>0</v>
      </c>
      <c r="BE644" s="590">
        <f>IF(A13taxstdlife="n/a","n/a",IF(BE$3&gt;(A13taxstdlife+$E644),(('PTRM input'!$M$155+'PTRM input'!$M$121)*$M$7)-SUM($M644:BD644),(('PTRM input'!$M$155+'PTRM input'!$M$121)*$M$7)/A13taxstdlife))</f>
        <v>0</v>
      </c>
      <c r="BF644" s="590">
        <f>IF(A13taxstdlife="n/a","n/a",IF(BF$3&gt;(A13taxstdlife+$E644),(('PTRM input'!$M$155+'PTRM input'!$M$121)*$M$7)-SUM($M644:BE644),(('PTRM input'!$M$155+'PTRM input'!$M$121)*$M$7)/A13taxstdlife))</f>
        <v>0</v>
      </c>
      <c r="BG644" s="590">
        <f>IF(A13taxstdlife="n/a","n/a",IF(BG$3&gt;(A13taxstdlife+$E644),(('PTRM input'!$M$155+'PTRM input'!$M$121)*$M$7)-SUM($M644:BF644),(('PTRM input'!$M$155+'PTRM input'!$M$121)*$M$7)/A13taxstdlife))</f>
        <v>0</v>
      </c>
      <c r="BH644" s="590">
        <f>IF(A13taxstdlife="n/a","n/a",IF(BH$3&gt;(A13taxstdlife+$E644),(('PTRM input'!$M$155+'PTRM input'!$M$121)*$M$7)-SUM($M644:BG644),(('PTRM input'!$M$155+'PTRM input'!$M$121)*$M$7)/A13taxstdlife))</f>
        <v>0</v>
      </c>
      <c r="BI644" s="590">
        <f>IF(A13taxstdlife="n/a","n/a",IF(BI$3&gt;(A13taxstdlife+$E644),(('PTRM input'!$M$155+'PTRM input'!$M$121)*$M$7)-SUM($M644:BH644),(('PTRM input'!$M$155+'PTRM input'!$M$121)*$M$7)/A13taxstdlife))</f>
        <v>0</v>
      </c>
      <c r="BJ644" s="240"/>
      <c r="BK644" s="240"/>
      <c r="BL644" s="240"/>
      <c r="BM644" s="240"/>
    </row>
    <row r="645" spans="1:65" s="4" customFormat="1" hidden="1" outlineLevel="2">
      <c r="A645" s="240"/>
      <c r="B645" s="240"/>
      <c r="C645" s="595"/>
      <c r="D645" s="1618"/>
      <c r="E645" s="169">
        <v>8</v>
      </c>
      <c r="F645" s="35"/>
      <c r="G645" s="184"/>
      <c r="H645" s="186"/>
      <c r="I645" s="186"/>
      <c r="J645" s="186"/>
      <c r="K645" s="186"/>
      <c r="L645" s="186"/>
      <c r="M645" s="186"/>
      <c r="N645" s="185"/>
      <c r="O645" s="107">
        <f>IF(A13taxstdlife="n/a","n/a",IF(O$3&gt;(A13taxstdlife+$E645),(('PTRM input'!$N$155+'PTRM input'!$N$121)*$N$7)-SUM($N645:N645),(('PTRM input'!$N$155+'PTRM input'!$N$121)*$N$7)/A13taxstdlife))</f>
        <v>0</v>
      </c>
      <c r="P645" s="107">
        <f>IF(A13taxstdlife="n/a","n/a",IF(P$3&gt;(A13taxstdlife+$E645),(('PTRM input'!$N$155+'PTRM input'!$N$121)*$N$7)-SUM($N645:O645),(('PTRM input'!$N$155+'PTRM input'!$N$121)*$N$7)/A13taxstdlife))</f>
        <v>0</v>
      </c>
      <c r="Q645" s="590">
        <f>IF(A13taxstdlife="n/a","n/a",IF(Q$3&gt;(A13taxstdlife+$E645),(('PTRM input'!$N$155+'PTRM input'!$N$121)*$N$7)-SUM($N645:P645),(('PTRM input'!$N$155+'PTRM input'!$N$121)*$N$7)/A13taxstdlife))</f>
        <v>0</v>
      </c>
      <c r="R645" s="590">
        <f>IF(A13taxstdlife="n/a","n/a",IF(R$3&gt;(A13taxstdlife+$E645),(('PTRM input'!$N$155+'PTRM input'!$N$121)*$N$7)-SUM($N645:Q645),(('PTRM input'!$N$155+'PTRM input'!$N$121)*$N$7)/A13taxstdlife))</f>
        <v>0</v>
      </c>
      <c r="S645" s="590">
        <f>IF(A13taxstdlife="n/a","n/a",IF(S$3&gt;(A13taxstdlife+$E645),(('PTRM input'!$N$155+'PTRM input'!$N$121)*$N$7)-SUM($N645:R645),(('PTRM input'!$N$155+'PTRM input'!$N$121)*$N$7)/A13taxstdlife))</f>
        <v>0</v>
      </c>
      <c r="T645" s="590">
        <f>IF(A13taxstdlife="n/a","n/a",IF(T$3&gt;(A13taxstdlife+$E645),(('PTRM input'!$N$155+'PTRM input'!$N$121)*$N$7)-SUM($N645:S645),(('PTRM input'!$N$155+'PTRM input'!$N$121)*$N$7)/A13taxstdlife))</f>
        <v>0</v>
      </c>
      <c r="U645" s="590">
        <f>IF(A13taxstdlife="n/a","n/a",IF(U$3&gt;(A13taxstdlife+$E645),(('PTRM input'!$N$155+'PTRM input'!$N$121)*$N$7)-SUM($N645:T645),(('PTRM input'!$N$155+'PTRM input'!$N$121)*$N$7)/A13taxstdlife))</f>
        <v>0</v>
      </c>
      <c r="V645" s="590">
        <f>IF(A13taxstdlife="n/a","n/a",IF(V$3&gt;(A13taxstdlife+$E645),(('PTRM input'!$N$155+'PTRM input'!$N$121)*$N$7)-SUM($N645:U645),(('PTRM input'!$N$155+'PTRM input'!$N$121)*$N$7)/A13taxstdlife))</f>
        <v>0</v>
      </c>
      <c r="W645" s="590">
        <f>IF(A13taxstdlife="n/a","n/a",IF(W$3&gt;(A13taxstdlife+$E645),(('PTRM input'!$N$155+'PTRM input'!$N$121)*$N$7)-SUM($N645:V645),(('PTRM input'!$N$155+'PTRM input'!$N$121)*$N$7)/A13taxstdlife))</f>
        <v>0</v>
      </c>
      <c r="X645" s="590">
        <f>IF(A13taxstdlife="n/a","n/a",IF(X$3&gt;(A13taxstdlife+$E645),(('PTRM input'!$N$155+'PTRM input'!$N$121)*$N$7)-SUM($N645:W645),(('PTRM input'!$N$155+'PTRM input'!$N$121)*$N$7)/A13taxstdlife))</f>
        <v>0</v>
      </c>
      <c r="Y645" s="590">
        <f>IF(A13taxstdlife="n/a","n/a",IF(Y$3&gt;(A13taxstdlife+$E645),(('PTRM input'!$N$155+'PTRM input'!$N$121)*$N$7)-SUM($N645:X645),(('PTRM input'!$N$155+'PTRM input'!$N$121)*$N$7)/A13taxstdlife))</f>
        <v>0</v>
      </c>
      <c r="Z645" s="590">
        <f>IF(A13taxstdlife="n/a","n/a",IF(Z$3&gt;(A13taxstdlife+$E645),(('PTRM input'!$N$155+'PTRM input'!$N$121)*$N$7)-SUM($N645:Y645),(('PTRM input'!$N$155+'PTRM input'!$N$121)*$N$7)/A13taxstdlife))</f>
        <v>0</v>
      </c>
      <c r="AA645" s="590">
        <f>IF(A13taxstdlife="n/a","n/a",IF(AA$3&gt;(A13taxstdlife+$E645),(('PTRM input'!$N$155+'PTRM input'!$N$121)*$N$7)-SUM($N645:Z645),(('PTRM input'!$N$155+'PTRM input'!$N$121)*$N$7)/A13taxstdlife))</f>
        <v>0</v>
      </c>
      <c r="AB645" s="590">
        <f>IF(A13taxstdlife="n/a","n/a",IF(AB$3&gt;(A13taxstdlife+$E645),(('PTRM input'!$N$155+'PTRM input'!$N$121)*$N$7)-SUM($N645:AA645),(('PTRM input'!$N$155+'PTRM input'!$N$121)*$N$7)/A13taxstdlife))</f>
        <v>0</v>
      </c>
      <c r="AC645" s="590">
        <f>IF(A13taxstdlife="n/a","n/a",IF(AC$3&gt;(A13taxstdlife+$E645),(('PTRM input'!$N$155+'PTRM input'!$N$121)*$N$7)-SUM($N645:AB645),(('PTRM input'!$N$155+'PTRM input'!$N$121)*$N$7)/A13taxstdlife))</f>
        <v>0</v>
      </c>
      <c r="AD645" s="590">
        <f>IF(A13taxstdlife="n/a","n/a",IF(AD$3&gt;(A13taxstdlife+$E645),(('PTRM input'!$N$155+'PTRM input'!$N$121)*$N$7)-SUM($N645:AC645),(('PTRM input'!$N$155+'PTRM input'!$N$121)*$N$7)/A13taxstdlife))</f>
        <v>0</v>
      </c>
      <c r="AE645" s="590">
        <f>IF(A13taxstdlife="n/a","n/a",IF(AE$3&gt;(A13taxstdlife+$E645),(('PTRM input'!$N$155+'PTRM input'!$N$121)*$N$7)-SUM($N645:AD645),(('PTRM input'!$N$155+'PTRM input'!$N$121)*$N$7)/A13taxstdlife))</f>
        <v>0</v>
      </c>
      <c r="AF645" s="590">
        <f>IF(A13taxstdlife="n/a","n/a",IF(AF$3&gt;(A13taxstdlife+$E645),(('PTRM input'!$N$155+'PTRM input'!$N$121)*$N$7)-SUM($N645:AE645),(('PTRM input'!$N$155+'PTRM input'!$N$121)*$N$7)/A13taxstdlife))</f>
        <v>0</v>
      </c>
      <c r="AG645" s="590">
        <f>IF(A13taxstdlife="n/a","n/a",IF(AG$3&gt;(A13taxstdlife+$E645),(('PTRM input'!$N$155+'PTRM input'!$N$121)*$N$7)-SUM($N645:AF645),(('PTRM input'!$N$155+'PTRM input'!$N$121)*$N$7)/A13taxstdlife))</f>
        <v>0</v>
      </c>
      <c r="AH645" s="590">
        <f>IF(A13taxstdlife="n/a","n/a",IF(AH$3&gt;(A13taxstdlife+$E645),(('PTRM input'!$N$155+'PTRM input'!$N$121)*$N$7)-SUM($N645:AG645),(('PTRM input'!$N$155+'PTRM input'!$N$121)*$N$7)/A13taxstdlife))</f>
        <v>0</v>
      </c>
      <c r="AI645" s="590">
        <f>IF(A13taxstdlife="n/a","n/a",IF(AI$3&gt;(A13taxstdlife+$E645),(('PTRM input'!$N$155+'PTRM input'!$N$121)*$N$7)-SUM($N645:AH645),(('PTRM input'!$N$155+'PTRM input'!$N$121)*$N$7)/A13taxstdlife))</f>
        <v>0</v>
      </c>
      <c r="AJ645" s="590">
        <f>IF(A13taxstdlife="n/a","n/a",IF(AJ$3&gt;(A13taxstdlife+$E645),(('PTRM input'!$N$155+'PTRM input'!$N$121)*$N$7)-SUM($N645:AI645),(('PTRM input'!$N$155+'PTRM input'!$N$121)*$N$7)/A13taxstdlife))</f>
        <v>0</v>
      </c>
      <c r="AK645" s="590">
        <f>IF(A13taxstdlife="n/a","n/a",IF(AK$3&gt;(A13taxstdlife+$E645),(('PTRM input'!$N$155+'PTRM input'!$N$121)*$N$7)-SUM($N645:AJ645),(('PTRM input'!$N$155+'PTRM input'!$N$121)*$N$7)/A13taxstdlife))</f>
        <v>0</v>
      </c>
      <c r="AL645" s="590">
        <f>IF(A13taxstdlife="n/a","n/a",IF(AL$3&gt;(A13taxstdlife+$E645),(('PTRM input'!$N$155+'PTRM input'!$N$121)*$N$7)-SUM($N645:AK645),(('PTRM input'!$N$155+'PTRM input'!$N$121)*$N$7)/A13taxstdlife))</f>
        <v>0</v>
      </c>
      <c r="AM645" s="590">
        <f>IF(A13taxstdlife="n/a","n/a",IF(AM$3&gt;(A13taxstdlife+$E645),(('PTRM input'!$N$155+'PTRM input'!$N$121)*$N$7)-SUM($N645:AL645),(('PTRM input'!$N$155+'PTRM input'!$N$121)*$N$7)/A13taxstdlife))</f>
        <v>0</v>
      </c>
      <c r="AN645" s="590">
        <f>IF(A13taxstdlife="n/a","n/a",IF(AN$3&gt;(A13taxstdlife+$E645),(('PTRM input'!$N$155+'PTRM input'!$N$121)*$N$7)-SUM($N645:AM645),(('PTRM input'!$N$155+'PTRM input'!$N$121)*$N$7)/A13taxstdlife))</f>
        <v>0</v>
      </c>
      <c r="AO645" s="590">
        <f>IF(A13taxstdlife="n/a","n/a",IF(AO$3&gt;(A13taxstdlife+$E645),(('PTRM input'!$N$155+'PTRM input'!$N$121)*$N$7)-SUM($N645:AN645),(('PTRM input'!$N$155+'PTRM input'!$N$121)*$N$7)/A13taxstdlife))</f>
        <v>0</v>
      </c>
      <c r="AP645" s="590">
        <f>IF(A13taxstdlife="n/a","n/a",IF(AP$3&gt;(A13taxstdlife+$E645),(('PTRM input'!$N$155+'PTRM input'!$N$121)*$N$7)-SUM($N645:AO645),(('PTRM input'!$N$155+'PTRM input'!$N$121)*$N$7)/A13taxstdlife))</f>
        <v>0</v>
      </c>
      <c r="AQ645" s="590">
        <f>IF(A13taxstdlife="n/a","n/a",IF(AQ$3&gt;(A13taxstdlife+$E645),(('PTRM input'!$N$155+'PTRM input'!$N$121)*$N$7)-SUM($N645:AP645),(('PTRM input'!$N$155+'PTRM input'!$N$121)*$N$7)/A13taxstdlife))</f>
        <v>0</v>
      </c>
      <c r="AR645" s="590">
        <f>IF(A13taxstdlife="n/a","n/a",IF(AR$3&gt;(A13taxstdlife+$E645),(('PTRM input'!$N$155+'PTRM input'!$N$121)*$N$7)-SUM($N645:AQ645),(('PTRM input'!$N$155+'PTRM input'!$N$121)*$N$7)/A13taxstdlife))</f>
        <v>0</v>
      </c>
      <c r="AS645" s="590">
        <f>IF(A13taxstdlife="n/a","n/a",IF(AS$3&gt;(A13taxstdlife+$E645),(('PTRM input'!$N$155+'PTRM input'!$N$121)*$N$7)-SUM($N645:AR645),(('PTRM input'!$N$155+'PTRM input'!$N$121)*$N$7)/A13taxstdlife))</f>
        <v>0</v>
      </c>
      <c r="AT645" s="590">
        <f>IF(A13taxstdlife="n/a","n/a",IF(AT$3&gt;(A13taxstdlife+$E645),(('PTRM input'!$N$155+'PTRM input'!$N$121)*$N$7)-SUM($N645:AS645),(('PTRM input'!$N$155+'PTRM input'!$N$121)*$N$7)/A13taxstdlife))</f>
        <v>0</v>
      </c>
      <c r="AU645" s="590">
        <f>IF(A13taxstdlife="n/a","n/a",IF(AU$3&gt;(A13taxstdlife+$E645),(('PTRM input'!$N$155+'PTRM input'!$N$121)*$N$7)-SUM($N645:AT645),(('PTRM input'!$N$155+'PTRM input'!$N$121)*$N$7)/A13taxstdlife))</f>
        <v>0</v>
      </c>
      <c r="AV645" s="590">
        <f>IF(A13taxstdlife="n/a","n/a",IF(AV$3&gt;(A13taxstdlife+$E645),(('PTRM input'!$N$155+'PTRM input'!$N$121)*$N$7)-SUM($N645:AU645),(('PTRM input'!$N$155+'PTRM input'!$N$121)*$N$7)/A13taxstdlife))</f>
        <v>0</v>
      </c>
      <c r="AW645" s="590">
        <f>IF(A13taxstdlife="n/a","n/a",IF(AW$3&gt;(A13taxstdlife+$E645),(('PTRM input'!$N$155+'PTRM input'!$N$121)*$N$7)-SUM($N645:AV645),(('PTRM input'!$N$155+'PTRM input'!$N$121)*$N$7)/A13taxstdlife))</f>
        <v>0</v>
      </c>
      <c r="AX645" s="590">
        <f>IF(A13taxstdlife="n/a","n/a",IF(AX$3&gt;(A13taxstdlife+$E645),(('PTRM input'!$N$155+'PTRM input'!$N$121)*$N$7)-SUM($N645:AW645),(('PTRM input'!$N$155+'PTRM input'!$N$121)*$N$7)/A13taxstdlife))</f>
        <v>0</v>
      </c>
      <c r="AY645" s="590">
        <f>IF(A13taxstdlife="n/a","n/a",IF(AY$3&gt;(A13taxstdlife+$E645),(('PTRM input'!$N$155+'PTRM input'!$N$121)*$N$7)-SUM($N645:AX645),(('PTRM input'!$N$155+'PTRM input'!$N$121)*$N$7)/A13taxstdlife))</f>
        <v>0</v>
      </c>
      <c r="AZ645" s="590">
        <f>IF(A13taxstdlife="n/a","n/a",IF(AZ$3&gt;(A13taxstdlife+$E645),(('PTRM input'!$N$155+'PTRM input'!$N$121)*$N$7)-SUM($N645:AY645),(('PTRM input'!$N$155+'PTRM input'!$N$121)*$N$7)/A13taxstdlife))</f>
        <v>0</v>
      </c>
      <c r="BA645" s="590">
        <f>IF(A13taxstdlife="n/a","n/a",IF(BA$3&gt;(A13taxstdlife+$E645),(('PTRM input'!$N$155+'PTRM input'!$N$121)*$N$7)-SUM($N645:AZ645),(('PTRM input'!$N$155+'PTRM input'!$N$121)*$N$7)/A13taxstdlife))</f>
        <v>0</v>
      </c>
      <c r="BB645" s="590">
        <f>IF(A13taxstdlife="n/a","n/a",IF(BB$3&gt;(A13taxstdlife+$E645),(('PTRM input'!$N$155+'PTRM input'!$N$121)*$N$7)-SUM($N645:BA645),(('PTRM input'!$N$155+'PTRM input'!$N$121)*$N$7)/A13taxstdlife))</f>
        <v>0</v>
      </c>
      <c r="BC645" s="590">
        <f>IF(A13taxstdlife="n/a","n/a",IF(BC$3&gt;(A13taxstdlife+$E645),(('PTRM input'!$N$155+'PTRM input'!$N$121)*$N$7)-SUM($N645:BB645),(('PTRM input'!$N$155+'PTRM input'!$N$121)*$N$7)/A13taxstdlife))</f>
        <v>0</v>
      </c>
      <c r="BD645" s="590">
        <f>IF(A13taxstdlife="n/a","n/a",IF(BD$3&gt;(A13taxstdlife+$E645),(('PTRM input'!$N$155+'PTRM input'!$N$121)*$N$7)-SUM($N645:BC645),(('PTRM input'!$N$155+'PTRM input'!$N$121)*$N$7)/A13taxstdlife))</f>
        <v>0</v>
      </c>
      <c r="BE645" s="590">
        <f>IF(A13taxstdlife="n/a","n/a",IF(BE$3&gt;(A13taxstdlife+$E645),(('PTRM input'!$N$155+'PTRM input'!$N$121)*$N$7)-SUM($N645:BD645),(('PTRM input'!$N$155+'PTRM input'!$N$121)*$N$7)/A13taxstdlife))</f>
        <v>0</v>
      </c>
      <c r="BF645" s="590">
        <f>IF(A13taxstdlife="n/a","n/a",IF(BF$3&gt;(A13taxstdlife+$E645),(('PTRM input'!$N$155+'PTRM input'!$N$121)*$N$7)-SUM($N645:BE645),(('PTRM input'!$N$155+'PTRM input'!$N$121)*$N$7)/A13taxstdlife))</f>
        <v>0</v>
      </c>
      <c r="BG645" s="590">
        <f>IF(A13taxstdlife="n/a","n/a",IF(BG$3&gt;(A13taxstdlife+$E645),(('PTRM input'!$N$155+'PTRM input'!$N$121)*$N$7)-SUM($N645:BF645),(('PTRM input'!$N$155+'PTRM input'!$N$121)*$N$7)/A13taxstdlife))</f>
        <v>0</v>
      </c>
      <c r="BH645" s="590">
        <f>IF(A13taxstdlife="n/a","n/a",IF(BH$3&gt;(A13taxstdlife+$E645),(('PTRM input'!$N$155+'PTRM input'!$N$121)*$N$7)-SUM($N645:BG645),(('PTRM input'!$N$155+'PTRM input'!$N$121)*$N$7)/A13taxstdlife))</f>
        <v>0</v>
      </c>
      <c r="BI645" s="590">
        <f>IF(A13taxstdlife="n/a","n/a",IF(BI$3&gt;(A13taxstdlife+$E645),(('PTRM input'!$N$155+'PTRM input'!$N$121)*$N$7)-SUM($N645:BH645),(('PTRM input'!$N$155+'PTRM input'!$N$121)*$N$7)/A13taxstdlife))</f>
        <v>0</v>
      </c>
      <c r="BJ645" s="240"/>
      <c r="BK645" s="240"/>
      <c r="BL645" s="240"/>
      <c r="BM645" s="240"/>
    </row>
    <row r="646" spans="1:65" s="4" customFormat="1" hidden="1" outlineLevel="2">
      <c r="A646" s="240"/>
      <c r="B646" s="240"/>
      <c r="C646" s="595"/>
      <c r="D646" s="1618"/>
      <c r="E646" s="169">
        <v>9</v>
      </c>
      <c r="F646" s="35"/>
      <c r="G646" s="184"/>
      <c r="H646" s="186"/>
      <c r="I646" s="186"/>
      <c r="J646" s="186"/>
      <c r="K646" s="186"/>
      <c r="L646" s="186"/>
      <c r="M646" s="186"/>
      <c r="N646" s="186"/>
      <c r="O646" s="185"/>
      <c r="P646" s="107">
        <f>IF(A13taxstdlife="n/a","n/a",IF(P$3&gt;(A13taxstdlife+$E646),(('PTRM input'!$O$155+'PTRM input'!$O$121)*$O$7)-SUM($O646:O646),(('PTRM input'!$O$155+'PTRM input'!$O$121)*$O$7)/A13taxstdlife))</f>
        <v>0</v>
      </c>
      <c r="Q646" s="590">
        <f>IF(A13taxstdlife="n/a","n/a",IF(Q$3&gt;(A13taxstdlife+$E646),(('PTRM input'!$O$155+'PTRM input'!$O$121)*$O$7)-SUM($O646:P646),(('PTRM input'!$O$155+'PTRM input'!$O$121)*$O$7)/A13taxstdlife))</f>
        <v>0</v>
      </c>
      <c r="R646" s="590">
        <f>IF(A13taxstdlife="n/a","n/a",IF(R$3&gt;(A13taxstdlife+$E646),(('PTRM input'!$O$155+'PTRM input'!$O$121)*$O$7)-SUM($O646:Q646),(('PTRM input'!$O$155+'PTRM input'!$O$121)*$O$7)/A13taxstdlife))</f>
        <v>0</v>
      </c>
      <c r="S646" s="590">
        <f>IF(A13taxstdlife="n/a","n/a",IF(S$3&gt;(A13taxstdlife+$E646),(('PTRM input'!$O$155+'PTRM input'!$O$121)*$O$7)-SUM($O646:R646),(('PTRM input'!$O$155+'PTRM input'!$O$121)*$O$7)/A13taxstdlife))</f>
        <v>0</v>
      </c>
      <c r="T646" s="590">
        <f>IF(A13taxstdlife="n/a","n/a",IF(T$3&gt;(A13taxstdlife+$E646),(('PTRM input'!$O$155+'PTRM input'!$O$121)*$O$7)-SUM($O646:S646),(('PTRM input'!$O$155+'PTRM input'!$O$121)*$O$7)/A13taxstdlife))</f>
        <v>0</v>
      </c>
      <c r="U646" s="590">
        <f>IF(A13taxstdlife="n/a","n/a",IF(U$3&gt;(A13taxstdlife+$E646),(('PTRM input'!$O$155+'PTRM input'!$O$121)*$O$7)-SUM($O646:T646),(('PTRM input'!$O$155+'PTRM input'!$O$121)*$O$7)/A13taxstdlife))</f>
        <v>0</v>
      </c>
      <c r="V646" s="590">
        <f>IF(A13taxstdlife="n/a","n/a",IF(V$3&gt;(A13taxstdlife+$E646),(('PTRM input'!$O$155+'PTRM input'!$O$121)*$O$7)-SUM($O646:U646),(('PTRM input'!$O$155+'PTRM input'!$O$121)*$O$7)/A13taxstdlife))</f>
        <v>0</v>
      </c>
      <c r="W646" s="590">
        <f>IF(A13taxstdlife="n/a","n/a",IF(W$3&gt;(A13taxstdlife+$E646),(('PTRM input'!$O$155+'PTRM input'!$O$121)*$O$7)-SUM($O646:V646),(('PTRM input'!$O$155+'PTRM input'!$O$121)*$O$7)/A13taxstdlife))</f>
        <v>0</v>
      </c>
      <c r="X646" s="590">
        <f>IF(A13taxstdlife="n/a","n/a",IF(X$3&gt;(A13taxstdlife+$E646),(('PTRM input'!$O$155+'PTRM input'!$O$121)*$O$7)-SUM($O646:W646),(('PTRM input'!$O$155+'PTRM input'!$O$121)*$O$7)/A13taxstdlife))</f>
        <v>0</v>
      </c>
      <c r="Y646" s="590">
        <f>IF(A13taxstdlife="n/a","n/a",IF(Y$3&gt;(A13taxstdlife+$E646),(('PTRM input'!$O$155+'PTRM input'!$O$121)*$O$7)-SUM($O646:X646),(('PTRM input'!$O$155+'PTRM input'!$O$121)*$O$7)/A13taxstdlife))</f>
        <v>0</v>
      </c>
      <c r="Z646" s="590">
        <f>IF(A13taxstdlife="n/a","n/a",IF(Z$3&gt;(A13taxstdlife+$E646),(('PTRM input'!$O$155+'PTRM input'!$O$121)*$O$7)-SUM($O646:Y646),(('PTRM input'!$O$155+'PTRM input'!$O$121)*$O$7)/A13taxstdlife))</f>
        <v>0</v>
      </c>
      <c r="AA646" s="590">
        <f>IF(A13taxstdlife="n/a","n/a",IF(AA$3&gt;(A13taxstdlife+$E646),(('PTRM input'!$O$155+'PTRM input'!$O$121)*$O$7)-SUM($O646:Z646),(('PTRM input'!$O$155+'PTRM input'!$O$121)*$O$7)/A13taxstdlife))</f>
        <v>0</v>
      </c>
      <c r="AB646" s="590">
        <f>IF(A13taxstdlife="n/a","n/a",IF(AB$3&gt;(A13taxstdlife+$E646),(('PTRM input'!$O$155+'PTRM input'!$O$121)*$O$7)-SUM($O646:AA646),(('PTRM input'!$O$155+'PTRM input'!$O$121)*$O$7)/A13taxstdlife))</f>
        <v>0</v>
      </c>
      <c r="AC646" s="590">
        <f>IF(A13taxstdlife="n/a","n/a",IF(AC$3&gt;(A13taxstdlife+$E646),(('PTRM input'!$O$155+'PTRM input'!$O$121)*$O$7)-SUM($O646:AB646),(('PTRM input'!$O$155+'PTRM input'!$O$121)*$O$7)/A13taxstdlife))</f>
        <v>0</v>
      </c>
      <c r="AD646" s="590">
        <f>IF(A13taxstdlife="n/a","n/a",IF(AD$3&gt;(A13taxstdlife+$E646),(('PTRM input'!$O$155+'PTRM input'!$O$121)*$O$7)-SUM($O646:AC646),(('PTRM input'!$O$155+'PTRM input'!$O$121)*$O$7)/A13taxstdlife))</f>
        <v>0</v>
      </c>
      <c r="AE646" s="590">
        <f>IF(A13taxstdlife="n/a","n/a",IF(AE$3&gt;(A13taxstdlife+$E646),(('PTRM input'!$O$155+'PTRM input'!$O$121)*$O$7)-SUM($O646:AD646),(('PTRM input'!$O$155+'PTRM input'!$O$121)*$O$7)/A13taxstdlife))</f>
        <v>0</v>
      </c>
      <c r="AF646" s="590">
        <f>IF(A13taxstdlife="n/a","n/a",IF(AF$3&gt;(A13taxstdlife+$E646),(('PTRM input'!$O$155+'PTRM input'!$O$121)*$O$7)-SUM($O646:AE646),(('PTRM input'!$O$155+'PTRM input'!$O$121)*$O$7)/A13taxstdlife))</f>
        <v>0</v>
      </c>
      <c r="AG646" s="590">
        <f>IF(A13taxstdlife="n/a","n/a",IF(AG$3&gt;(A13taxstdlife+$E646),(('PTRM input'!$O$155+'PTRM input'!$O$121)*$O$7)-SUM($O646:AF646),(('PTRM input'!$O$155+'PTRM input'!$O$121)*$O$7)/A13taxstdlife))</f>
        <v>0</v>
      </c>
      <c r="AH646" s="590">
        <f>IF(A13taxstdlife="n/a","n/a",IF(AH$3&gt;(A13taxstdlife+$E646),(('PTRM input'!$O$155+'PTRM input'!$O$121)*$O$7)-SUM($O646:AG646),(('PTRM input'!$O$155+'PTRM input'!$O$121)*$O$7)/A13taxstdlife))</f>
        <v>0</v>
      </c>
      <c r="AI646" s="590">
        <f>IF(A13taxstdlife="n/a","n/a",IF(AI$3&gt;(A13taxstdlife+$E646),(('PTRM input'!$O$155+'PTRM input'!$O$121)*$O$7)-SUM($O646:AH646),(('PTRM input'!$O$155+'PTRM input'!$O$121)*$O$7)/A13taxstdlife))</f>
        <v>0</v>
      </c>
      <c r="AJ646" s="590">
        <f>IF(A13taxstdlife="n/a","n/a",IF(AJ$3&gt;(A13taxstdlife+$E646),(('PTRM input'!$O$155+'PTRM input'!$O$121)*$O$7)-SUM($O646:AI646),(('PTRM input'!$O$155+'PTRM input'!$O$121)*$O$7)/A13taxstdlife))</f>
        <v>0</v>
      </c>
      <c r="AK646" s="590">
        <f>IF(A13taxstdlife="n/a","n/a",IF(AK$3&gt;(A13taxstdlife+$E646),(('PTRM input'!$O$155+'PTRM input'!$O$121)*$O$7)-SUM($O646:AJ646),(('PTRM input'!$O$155+'PTRM input'!$O$121)*$O$7)/A13taxstdlife))</f>
        <v>0</v>
      </c>
      <c r="AL646" s="590">
        <f>IF(A13taxstdlife="n/a","n/a",IF(AL$3&gt;(A13taxstdlife+$E646),(('PTRM input'!$O$155+'PTRM input'!$O$121)*$O$7)-SUM($O646:AK646),(('PTRM input'!$O$155+'PTRM input'!$O$121)*$O$7)/A13taxstdlife))</f>
        <v>0</v>
      </c>
      <c r="AM646" s="590">
        <f>IF(A13taxstdlife="n/a","n/a",IF(AM$3&gt;(A13taxstdlife+$E646),(('PTRM input'!$O$155+'PTRM input'!$O$121)*$O$7)-SUM($O646:AL646),(('PTRM input'!$O$155+'PTRM input'!$O$121)*$O$7)/A13taxstdlife))</f>
        <v>0</v>
      </c>
      <c r="AN646" s="590">
        <f>IF(A13taxstdlife="n/a","n/a",IF(AN$3&gt;(A13taxstdlife+$E646),(('PTRM input'!$O$155+'PTRM input'!$O$121)*$O$7)-SUM($O646:AM646),(('PTRM input'!$O$155+'PTRM input'!$O$121)*$O$7)/A13taxstdlife))</f>
        <v>0</v>
      </c>
      <c r="AO646" s="590">
        <f>IF(A13taxstdlife="n/a","n/a",IF(AO$3&gt;(A13taxstdlife+$E646),(('PTRM input'!$O$155+'PTRM input'!$O$121)*$O$7)-SUM($O646:AN646),(('PTRM input'!$O$155+'PTRM input'!$O$121)*$O$7)/A13taxstdlife))</f>
        <v>0</v>
      </c>
      <c r="AP646" s="590">
        <f>IF(A13taxstdlife="n/a","n/a",IF(AP$3&gt;(A13taxstdlife+$E646),(('PTRM input'!$O$155+'PTRM input'!$O$121)*$O$7)-SUM($O646:AO646),(('PTRM input'!$O$155+'PTRM input'!$O$121)*$O$7)/A13taxstdlife))</f>
        <v>0</v>
      </c>
      <c r="AQ646" s="590">
        <f>IF(A13taxstdlife="n/a","n/a",IF(AQ$3&gt;(A13taxstdlife+$E646),(('PTRM input'!$O$155+'PTRM input'!$O$121)*$O$7)-SUM($O646:AP646),(('PTRM input'!$O$155+'PTRM input'!$O$121)*$O$7)/A13taxstdlife))</f>
        <v>0</v>
      </c>
      <c r="AR646" s="590">
        <f>IF(A13taxstdlife="n/a","n/a",IF(AR$3&gt;(A13taxstdlife+$E646),(('PTRM input'!$O$155+'PTRM input'!$O$121)*$O$7)-SUM($O646:AQ646),(('PTRM input'!$O$155+'PTRM input'!$O$121)*$O$7)/A13taxstdlife))</f>
        <v>0</v>
      </c>
      <c r="AS646" s="590">
        <f>IF(A13taxstdlife="n/a","n/a",IF(AS$3&gt;(A13taxstdlife+$E646),(('PTRM input'!$O$155+'PTRM input'!$O$121)*$O$7)-SUM($O646:AR646),(('PTRM input'!$O$155+'PTRM input'!$O$121)*$O$7)/A13taxstdlife))</f>
        <v>0</v>
      </c>
      <c r="AT646" s="590">
        <f>IF(A13taxstdlife="n/a","n/a",IF(AT$3&gt;(A13taxstdlife+$E646),(('PTRM input'!$O$155+'PTRM input'!$O$121)*$O$7)-SUM($O646:AS646),(('PTRM input'!$O$155+'PTRM input'!$O$121)*$O$7)/A13taxstdlife))</f>
        <v>0</v>
      </c>
      <c r="AU646" s="590">
        <f>IF(A13taxstdlife="n/a","n/a",IF(AU$3&gt;(A13taxstdlife+$E646),(('PTRM input'!$O$155+'PTRM input'!$O$121)*$O$7)-SUM($O646:AT646),(('PTRM input'!$O$155+'PTRM input'!$O$121)*$O$7)/A13taxstdlife))</f>
        <v>0</v>
      </c>
      <c r="AV646" s="590">
        <f>IF(A13taxstdlife="n/a","n/a",IF(AV$3&gt;(A13taxstdlife+$E646),(('PTRM input'!$O$155+'PTRM input'!$O$121)*$O$7)-SUM($O646:AU646),(('PTRM input'!$O$155+'PTRM input'!$O$121)*$O$7)/A13taxstdlife))</f>
        <v>0</v>
      </c>
      <c r="AW646" s="590">
        <f>IF(A13taxstdlife="n/a","n/a",IF(AW$3&gt;(A13taxstdlife+$E646),(('PTRM input'!$O$155+'PTRM input'!$O$121)*$O$7)-SUM($O646:AV646),(('PTRM input'!$O$155+'PTRM input'!$O$121)*$O$7)/A13taxstdlife))</f>
        <v>0</v>
      </c>
      <c r="AX646" s="590">
        <f>IF(A13taxstdlife="n/a","n/a",IF(AX$3&gt;(A13taxstdlife+$E646),(('PTRM input'!$O$155+'PTRM input'!$O$121)*$O$7)-SUM($O646:AW646),(('PTRM input'!$O$155+'PTRM input'!$O$121)*$O$7)/A13taxstdlife))</f>
        <v>0</v>
      </c>
      <c r="AY646" s="590">
        <f>IF(A13taxstdlife="n/a","n/a",IF(AY$3&gt;(A13taxstdlife+$E646),(('PTRM input'!$O$155+'PTRM input'!$O$121)*$O$7)-SUM($O646:AX646),(('PTRM input'!$O$155+'PTRM input'!$O$121)*$O$7)/A13taxstdlife))</f>
        <v>0</v>
      </c>
      <c r="AZ646" s="590">
        <f>IF(A13taxstdlife="n/a","n/a",IF(AZ$3&gt;(A13taxstdlife+$E646),(('PTRM input'!$O$155+'PTRM input'!$O$121)*$O$7)-SUM($O646:AY646),(('PTRM input'!$O$155+'PTRM input'!$O$121)*$O$7)/A13taxstdlife))</f>
        <v>0</v>
      </c>
      <c r="BA646" s="590">
        <f>IF(A13taxstdlife="n/a","n/a",IF(BA$3&gt;(A13taxstdlife+$E646),(('PTRM input'!$O$155+'PTRM input'!$O$121)*$O$7)-SUM($O646:AZ646),(('PTRM input'!$O$155+'PTRM input'!$O$121)*$O$7)/A13taxstdlife))</f>
        <v>0</v>
      </c>
      <c r="BB646" s="590">
        <f>IF(A13taxstdlife="n/a","n/a",IF(BB$3&gt;(A13taxstdlife+$E646),(('PTRM input'!$O$155+'PTRM input'!$O$121)*$O$7)-SUM($O646:BA646),(('PTRM input'!$O$155+'PTRM input'!$O$121)*$O$7)/A13taxstdlife))</f>
        <v>0</v>
      </c>
      <c r="BC646" s="590">
        <f>IF(A13taxstdlife="n/a","n/a",IF(BC$3&gt;(A13taxstdlife+$E646),(('PTRM input'!$O$155+'PTRM input'!$O$121)*$O$7)-SUM($O646:BB646),(('PTRM input'!$O$155+'PTRM input'!$O$121)*$O$7)/A13taxstdlife))</f>
        <v>0</v>
      </c>
      <c r="BD646" s="590">
        <f>IF(A13taxstdlife="n/a","n/a",IF(BD$3&gt;(A13taxstdlife+$E646),(('PTRM input'!$O$155+'PTRM input'!$O$121)*$O$7)-SUM($O646:BC646),(('PTRM input'!$O$155+'PTRM input'!$O$121)*$O$7)/A13taxstdlife))</f>
        <v>0</v>
      </c>
      <c r="BE646" s="590">
        <f>IF(A13taxstdlife="n/a","n/a",IF(BE$3&gt;(A13taxstdlife+$E646),(('PTRM input'!$O$155+'PTRM input'!$O$121)*$O$7)-SUM($O646:BD646),(('PTRM input'!$O$155+'PTRM input'!$O$121)*$O$7)/A13taxstdlife))</f>
        <v>0</v>
      </c>
      <c r="BF646" s="590">
        <f>IF(A13taxstdlife="n/a","n/a",IF(BF$3&gt;(A13taxstdlife+$E646),(('PTRM input'!$O$155+'PTRM input'!$O$121)*$O$7)-SUM($O646:BE646),(('PTRM input'!$O$155+'PTRM input'!$O$121)*$O$7)/A13taxstdlife))</f>
        <v>0</v>
      </c>
      <c r="BG646" s="590">
        <f>IF(A13taxstdlife="n/a","n/a",IF(BG$3&gt;(A13taxstdlife+$E646),(('PTRM input'!$O$155+'PTRM input'!$O$121)*$O$7)-SUM($O646:BF646),(('PTRM input'!$O$155+'PTRM input'!$O$121)*$O$7)/A13taxstdlife))</f>
        <v>0</v>
      </c>
      <c r="BH646" s="590">
        <f>IF(A13taxstdlife="n/a","n/a",IF(BH$3&gt;(A13taxstdlife+$E646),(('PTRM input'!$O$155+'PTRM input'!$O$121)*$O$7)-SUM($O646:BG646),(('PTRM input'!$O$155+'PTRM input'!$O$121)*$O$7)/A13taxstdlife))</f>
        <v>0</v>
      </c>
      <c r="BI646" s="590">
        <f>IF(A13taxstdlife="n/a","n/a",IF(BI$3&gt;(A13taxstdlife+$E646),(('PTRM input'!$O$155+'PTRM input'!$O$121)*$O$7)-SUM($O646:BH646),(('PTRM input'!$O$155+'PTRM input'!$O$121)*$O$7)/A13taxstdlife))</f>
        <v>0</v>
      </c>
      <c r="BJ646" s="240"/>
      <c r="BK646" s="240"/>
      <c r="BL646" s="240"/>
      <c r="BM646" s="240"/>
    </row>
    <row r="647" spans="1:65" s="4" customFormat="1" hidden="1" outlineLevel="2">
      <c r="A647" s="240"/>
      <c r="B647" s="240"/>
      <c r="C647" s="595"/>
      <c r="D647" s="1618"/>
      <c r="E647" s="170">
        <v>10</v>
      </c>
      <c r="F647" s="35"/>
      <c r="G647" s="184"/>
      <c r="H647" s="186"/>
      <c r="I647" s="186"/>
      <c r="J647" s="186"/>
      <c r="K647" s="186"/>
      <c r="L647" s="186"/>
      <c r="M647" s="186"/>
      <c r="N647" s="186"/>
      <c r="O647" s="186"/>
      <c r="P647" s="185"/>
      <c r="Q647" s="590">
        <f>IF(A13taxstdlife="n/a","n/a",IF(Q$3&gt;(A13taxstdlife+$E647),(('PTRM input'!$P$155+'PTRM input'!$P$121)*$P$7)-SUM($P647:P647),(('PTRM input'!$P$155+'PTRM input'!$P$121)*$P$7)/A13taxstdlife))</f>
        <v>0</v>
      </c>
      <c r="R647" s="590">
        <f>IF(A13taxstdlife="n/a","n/a",IF(R$3&gt;(A13taxstdlife+$E647),(('PTRM input'!$P$155+'PTRM input'!$P$121)*$P$7)-SUM($P647:Q647),(('PTRM input'!$P$155+'PTRM input'!$P$121)*$P$7)/A13taxstdlife))</f>
        <v>0</v>
      </c>
      <c r="S647" s="590">
        <f>IF(A13taxstdlife="n/a","n/a",IF(S$3&gt;(A13taxstdlife+$E647),(('PTRM input'!$P$155+'PTRM input'!$P$121)*$P$7)-SUM($P647:R647),(('PTRM input'!$P$155+'PTRM input'!$P$121)*$P$7)/A13taxstdlife))</f>
        <v>0</v>
      </c>
      <c r="T647" s="590">
        <f>IF(A13taxstdlife="n/a","n/a",IF(T$3&gt;(A13taxstdlife+$E647),(('PTRM input'!$P$155+'PTRM input'!$P$121)*$P$7)-SUM($P647:S647),(('PTRM input'!$P$155+'PTRM input'!$P$121)*$P$7)/A13taxstdlife))</f>
        <v>0</v>
      </c>
      <c r="U647" s="590">
        <f>IF(A13taxstdlife="n/a","n/a",IF(U$3&gt;(A13taxstdlife+$E647),(('PTRM input'!$P$155+'PTRM input'!$P$121)*$P$7)-SUM($P647:T647),(('PTRM input'!$P$155+'PTRM input'!$P$121)*$P$7)/A13taxstdlife))</f>
        <v>0</v>
      </c>
      <c r="V647" s="590">
        <f>IF(A13taxstdlife="n/a","n/a",IF(V$3&gt;(A13taxstdlife+$E647),(('PTRM input'!$P$155+'PTRM input'!$P$121)*$P$7)-SUM($P647:U647),(('PTRM input'!$P$155+'PTRM input'!$P$121)*$P$7)/A13taxstdlife))</f>
        <v>0</v>
      </c>
      <c r="W647" s="590">
        <f>IF(A13taxstdlife="n/a","n/a",IF(W$3&gt;(A13taxstdlife+$E647),(('PTRM input'!$P$155+'PTRM input'!$P$121)*$P$7)-SUM($P647:V647),(('PTRM input'!$P$155+'PTRM input'!$P$121)*$P$7)/A13taxstdlife))</f>
        <v>0</v>
      </c>
      <c r="X647" s="590">
        <f>IF(A13taxstdlife="n/a","n/a",IF(X$3&gt;(A13taxstdlife+$E647),(('PTRM input'!$P$155+'PTRM input'!$P$121)*$P$7)-SUM($P647:W647),(('PTRM input'!$P$155+'PTRM input'!$P$121)*$P$7)/A13taxstdlife))</f>
        <v>0</v>
      </c>
      <c r="Y647" s="590">
        <f>IF(A13taxstdlife="n/a","n/a",IF(Y$3&gt;(A13taxstdlife+$E647),(('PTRM input'!$P$155+'PTRM input'!$P$121)*$P$7)-SUM($P647:X647),(('PTRM input'!$P$155+'PTRM input'!$P$121)*$P$7)/A13taxstdlife))</f>
        <v>0</v>
      </c>
      <c r="Z647" s="590">
        <f>IF(A13taxstdlife="n/a","n/a",IF(Z$3&gt;(A13taxstdlife+$E647),(('PTRM input'!$P$155+'PTRM input'!$P$121)*$P$7)-SUM($P647:Y647),(('PTRM input'!$P$155+'PTRM input'!$P$121)*$P$7)/A13taxstdlife))</f>
        <v>0</v>
      </c>
      <c r="AA647" s="590">
        <f>IF(A13taxstdlife="n/a","n/a",IF(AA$3&gt;(A13taxstdlife+$E647),(('PTRM input'!$P$155+'PTRM input'!$P$121)*$P$7)-SUM($P647:Z647),(('PTRM input'!$P$155+'PTRM input'!$P$121)*$P$7)/A13taxstdlife))</f>
        <v>0</v>
      </c>
      <c r="AB647" s="590">
        <f>IF(A13taxstdlife="n/a","n/a",IF(AB$3&gt;(A13taxstdlife+$E647),(('PTRM input'!$P$155+'PTRM input'!$P$121)*$P$7)-SUM($P647:AA647),(('PTRM input'!$P$155+'PTRM input'!$P$121)*$P$7)/A13taxstdlife))</f>
        <v>0</v>
      </c>
      <c r="AC647" s="590">
        <f>IF(A13taxstdlife="n/a","n/a",IF(AC$3&gt;(A13taxstdlife+$E647),(('PTRM input'!$P$155+'PTRM input'!$P$121)*$P$7)-SUM($P647:AB647),(('PTRM input'!$P$155+'PTRM input'!$P$121)*$P$7)/A13taxstdlife))</f>
        <v>0</v>
      </c>
      <c r="AD647" s="590">
        <f>IF(A13taxstdlife="n/a","n/a",IF(AD$3&gt;(A13taxstdlife+$E647),(('PTRM input'!$P$155+'PTRM input'!$P$121)*$P$7)-SUM($P647:AC647),(('PTRM input'!$P$155+'PTRM input'!$P$121)*$P$7)/A13taxstdlife))</f>
        <v>0</v>
      </c>
      <c r="AE647" s="590">
        <f>IF(A13taxstdlife="n/a","n/a",IF(AE$3&gt;(A13taxstdlife+$E647),(('PTRM input'!$P$155+'PTRM input'!$P$121)*$P$7)-SUM($P647:AD647),(('PTRM input'!$P$155+'PTRM input'!$P$121)*$P$7)/A13taxstdlife))</f>
        <v>0</v>
      </c>
      <c r="AF647" s="590">
        <f>IF(A13taxstdlife="n/a","n/a",IF(AF$3&gt;(A13taxstdlife+$E647),(('PTRM input'!$P$155+'PTRM input'!$P$121)*$P$7)-SUM($P647:AE647),(('PTRM input'!$P$155+'PTRM input'!$P$121)*$P$7)/A13taxstdlife))</f>
        <v>0</v>
      </c>
      <c r="AG647" s="590">
        <f>IF(A13taxstdlife="n/a","n/a",IF(AG$3&gt;(A13taxstdlife+$E647),(('PTRM input'!$P$155+'PTRM input'!$P$121)*$P$7)-SUM($P647:AF647),(('PTRM input'!$P$155+'PTRM input'!$P$121)*$P$7)/A13taxstdlife))</f>
        <v>0</v>
      </c>
      <c r="AH647" s="590">
        <f>IF(A13taxstdlife="n/a","n/a",IF(AH$3&gt;(A13taxstdlife+$E647),(('PTRM input'!$P$155+'PTRM input'!$P$121)*$P$7)-SUM($P647:AG647),(('PTRM input'!$P$155+'PTRM input'!$P$121)*$P$7)/A13taxstdlife))</f>
        <v>0</v>
      </c>
      <c r="AI647" s="590">
        <f>IF(A13taxstdlife="n/a","n/a",IF(AI$3&gt;(A13taxstdlife+$E647),(('PTRM input'!$P$155+'PTRM input'!$P$121)*$P$7)-SUM($P647:AH647),(('PTRM input'!$P$155+'PTRM input'!$P$121)*$P$7)/A13taxstdlife))</f>
        <v>0</v>
      </c>
      <c r="AJ647" s="590">
        <f>IF(A13taxstdlife="n/a","n/a",IF(AJ$3&gt;(A13taxstdlife+$E647),(('PTRM input'!$P$155+'PTRM input'!$P$121)*$P$7)-SUM($P647:AI647),(('PTRM input'!$P$155+'PTRM input'!$P$121)*$P$7)/A13taxstdlife))</f>
        <v>0</v>
      </c>
      <c r="AK647" s="590">
        <f>IF(A13taxstdlife="n/a","n/a",IF(AK$3&gt;(A13taxstdlife+$E647),(('PTRM input'!$P$155+'PTRM input'!$P$121)*$P$7)-SUM($P647:AJ647),(('PTRM input'!$P$155+'PTRM input'!$P$121)*$P$7)/A13taxstdlife))</f>
        <v>0</v>
      </c>
      <c r="AL647" s="590">
        <f>IF(A13taxstdlife="n/a","n/a",IF(AL$3&gt;(A13taxstdlife+$E647),(('PTRM input'!$P$155+'PTRM input'!$P$121)*$P$7)-SUM($P647:AK647),(('PTRM input'!$P$155+'PTRM input'!$P$121)*$P$7)/A13taxstdlife))</f>
        <v>0</v>
      </c>
      <c r="AM647" s="590">
        <f>IF(A13taxstdlife="n/a","n/a",IF(AM$3&gt;(A13taxstdlife+$E647),(('PTRM input'!$P$155+'PTRM input'!$P$121)*$P$7)-SUM($P647:AL647),(('PTRM input'!$P$155+'PTRM input'!$P$121)*$P$7)/A13taxstdlife))</f>
        <v>0</v>
      </c>
      <c r="AN647" s="590">
        <f>IF(A13taxstdlife="n/a","n/a",IF(AN$3&gt;(A13taxstdlife+$E647),(('PTRM input'!$P$155+'PTRM input'!$P$121)*$P$7)-SUM($P647:AM647),(('PTRM input'!$P$155+'PTRM input'!$P$121)*$P$7)/A13taxstdlife))</f>
        <v>0</v>
      </c>
      <c r="AO647" s="590">
        <f>IF(A13taxstdlife="n/a","n/a",IF(AO$3&gt;(A13taxstdlife+$E647),(('PTRM input'!$P$155+'PTRM input'!$P$121)*$P$7)-SUM($P647:AN647),(('PTRM input'!$P$155+'PTRM input'!$P$121)*$P$7)/A13taxstdlife))</f>
        <v>0</v>
      </c>
      <c r="AP647" s="590">
        <f>IF(A13taxstdlife="n/a","n/a",IF(AP$3&gt;(A13taxstdlife+$E647),(('PTRM input'!$P$155+'PTRM input'!$P$121)*$P$7)-SUM($P647:AO647),(('PTRM input'!$P$155+'PTRM input'!$P$121)*$P$7)/A13taxstdlife))</f>
        <v>0</v>
      </c>
      <c r="AQ647" s="590">
        <f>IF(A13taxstdlife="n/a","n/a",IF(AQ$3&gt;(A13taxstdlife+$E647),(('PTRM input'!$P$155+'PTRM input'!$P$121)*$P$7)-SUM($P647:AP647),(('PTRM input'!$P$155+'PTRM input'!$P$121)*$P$7)/A13taxstdlife))</f>
        <v>0</v>
      </c>
      <c r="AR647" s="590">
        <f>IF(A13taxstdlife="n/a","n/a",IF(AR$3&gt;(A13taxstdlife+$E647),(('PTRM input'!$P$155+'PTRM input'!$P$121)*$P$7)-SUM($P647:AQ647),(('PTRM input'!$P$155+'PTRM input'!$P$121)*$P$7)/A13taxstdlife))</f>
        <v>0</v>
      </c>
      <c r="AS647" s="590">
        <f>IF(A13taxstdlife="n/a","n/a",IF(AS$3&gt;(A13taxstdlife+$E647),(('PTRM input'!$P$155+'PTRM input'!$P$121)*$P$7)-SUM($P647:AR647),(('PTRM input'!$P$155+'PTRM input'!$P$121)*$P$7)/A13taxstdlife))</f>
        <v>0</v>
      </c>
      <c r="AT647" s="590">
        <f>IF(A13taxstdlife="n/a","n/a",IF(AT$3&gt;(A13taxstdlife+$E647),(('PTRM input'!$P$155+'PTRM input'!$P$121)*$P$7)-SUM($P647:AS647),(('PTRM input'!$P$155+'PTRM input'!$P$121)*$P$7)/A13taxstdlife))</f>
        <v>0</v>
      </c>
      <c r="AU647" s="590">
        <f>IF(A13taxstdlife="n/a","n/a",IF(AU$3&gt;(A13taxstdlife+$E647),(('PTRM input'!$P$155+'PTRM input'!$P$121)*$P$7)-SUM($P647:AT647),(('PTRM input'!$P$155+'PTRM input'!$P$121)*$P$7)/A13taxstdlife))</f>
        <v>0</v>
      </c>
      <c r="AV647" s="590">
        <f>IF(A13taxstdlife="n/a","n/a",IF(AV$3&gt;(A13taxstdlife+$E647),(('PTRM input'!$P$155+'PTRM input'!$P$121)*$P$7)-SUM($P647:AU647),(('PTRM input'!$P$155+'PTRM input'!$P$121)*$P$7)/A13taxstdlife))</f>
        <v>0</v>
      </c>
      <c r="AW647" s="590">
        <f>IF(A13taxstdlife="n/a","n/a",IF(AW$3&gt;(A13taxstdlife+$E647),(('PTRM input'!$P$155+'PTRM input'!$P$121)*$P$7)-SUM($P647:AV647),(('PTRM input'!$P$155+'PTRM input'!$P$121)*$P$7)/A13taxstdlife))</f>
        <v>0</v>
      </c>
      <c r="AX647" s="590">
        <f>IF(A13taxstdlife="n/a","n/a",IF(AX$3&gt;(A13taxstdlife+$E647),(('PTRM input'!$P$155+'PTRM input'!$P$121)*$P$7)-SUM($P647:AW647),(('PTRM input'!$P$155+'PTRM input'!$P$121)*$P$7)/A13taxstdlife))</f>
        <v>0</v>
      </c>
      <c r="AY647" s="590">
        <f>IF(A13taxstdlife="n/a","n/a",IF(AY$3&gt;(A13taxstdlife+$E647),(('PTRM input'!$P$155+'PTRM input'!$P$121)*$P$7)-SUM($P647:AX647),(('PTRM input'!$P$155+'PTRM input'!$P$121)*$P$7)/A13taxstdlife))</f>
        <v>0</v>
      </c>
      <c r="AZ647" s="590">
        <f>IF(A13taxstdlife="n/a","n/a",IF(AZ$3&gt;(A13taxstdlife+$E647),(('PTRM input'!$P$155+'PTRM input'!$P$121)*$P$7)-SUM($P647:AY647),(('PTRM input'!$P$155+'PTRM input'!$P$121)*$P$7)/A13taxstdlife))</f>
        <v>0</v>
      </c>
      <c r="BA647" s="590">
        <f>IF(A13taxstdlife="n/a","n/a",IF(BA$3&gt;(A13taxstdlife+$E647),(('PTRM input'!$P$155+'PTRM input'!$P$121)*$P$7)-SUM($P647:AZ647),(('PTRM input'!$P$155+'PTRM input'!$P$121)*$P$7)/A13taxstdlife))</f>
        <v>0</v>
      </c>
      <c r="BB647" s="590">
        <f>IF(A13taxstdlife="n/a","n/a",IF(BB$3&gt;(A13taxstdlife+$E647),(('PTRM input'!$P$155+'PTRM input'!$P$121)*$P$7)-SUM($P647:BA647),(('PTRM input'!$P$155+'PTRM input'!$P$121)*$P$7)/A13taxstdlife))</f>
        <v>0</v>
      </c>
      <c r="BC647" s="590">
        <f>IF(A13taxstdlife="n/a","n/a",IF(BC$3&gt;(A13taxstdlife+$E647),(('PTRM input'!$P$155+'PTRM input'!$P$121)*$P$7)-SUM($P647:BB647),(('PTRM input'!$P$155+'PTRM input'!$P$121)*$P$7)/A13taxstdlife))</f>
        <v>0</v>
      </c>
      <c r="BD647" s="590">
        <f>IF(A13taxstdlife="n/a","n/a",IF(BD$3&gt;(A13taxstdlife+$E647),(('PTRM input'!$P$155+'PTRM input'!$P$121)*$P$7)-SUM($P647:BC647),(('PTRM input'!$P$155+'PTRM input'!$P$121)*$P$7)/A13taxstdlife))</f>
        <v>0</v>
      </c>
      <c r="BE647" s="590">
        <f>IF(A13taxstdlife="n/a","n/a",IF(BE$3&gt;(A13taxstdlife+$E647),(('PTRM input'!$P$155+'PTRM input'!$P$121)*$P$7)-SUM($P647:BD647),(('PTRM input'!$P$155+'PTRM input'!$P$121)*$P$7)/A13taxstdlife))</f>
        <v>0</v>
      </c>
      <c r="BF647" s="590">
        <f>IF(A13taxstdlife="n/a","n/a",IF(BF$3&gt;(A13taxstdlife+$E647),(('PTRM input'!$P$155+'PTRM input'!$P$121)*$P$7)-SUM($P647:BE647),(('PTRM input'!$P$155+'PTRM input'!$P$121)*$P$7)/A13taxstdlife))</f>
        <v>0</v>
      </c>
      <c r="BG647" s="590">
        <f>IF(A13taxstdlife="n/a","n/a",IF(BG$3&gt;(A13taxstdlife+$E647),(('PTRM input'!$P$155+'PTRM input'!$P$121)*$P$7)-SUM($P647:BF647),(('PTRM input'!$P$155+'PTRM input'!$P$121)*$P$7)/A13taxstdlife))</f>
        <v>0</v>
      </c>
      <c r="BH647" s="590">
        <f>IF(A13taxstdlife="n/a","n/a",IF(BH$3&gt;(A13taxstdlife+$E647),(('PTRM input'!$P$155+'PTRM input'!$P$121)*$P$7)-SUM($P647:BG647),(('PTRM input'!$P$155+'PTRM input'!$P$121)*$P$7)/A13taxstdlife))</f>
        <v>0</v>
      </c>
      <c r="BI647" s="590">
        <f>IF(A13taxstdlife="n/a","n/a",IF(BI$3&gt;(A13taxstdlife+$E647),(('PTRM input'!$P$155+'PTRM input'!$P$121)*$P$7)-SUM($P647:BH647),(('PTRM input'!$P$155+'PTRM input'!$P$121)*$P$7)/A13taxstdlife))</f>
        <v>0</v>
      </c>
      <c r="BJ647" s="240"/>
      <c r="BK647" s="240"/>
      <c r="BL647" s="240"/>
      <c r="BM647" s="240"/>
    </row>
    <row r="648" spans="1:65" s="4" customFormat="1" hidden="1" outlineLevel="1">
      <c r="A648" s="240"/>
      <c r="B648" s="240"/>
      <c r="C648" s="595">
        <f>Asset13</f>
        <v>0</v>
      </c>
      <c r="D648" s="240"/>
      <c r="E648" s="240"/>
      <c r="F648" s="596"/>
      <c r="G648" s="591">
        <f t="shared" ref="G648:AL648" si="130">SUM(G636:G647)</f>
        <v>0</v>
      </c>
      <c r="H648" s="591">
        <f t="shared" si="130"/>
        <v>0</v>
      </c>
      <c r="I648" s="591">
        <f t="shared" si="130"/>
        <v>0</v>
      </c>
      <c r="J648" s="591">
        <f t="shared" si="130"/>
        <v>0</v>
      </c>
      <c r="K648" s="591">
        <f t="shared" si="130"/>
        <v>0</v>
      </c>
      <c r="L648" s="591">
        <f t="shared" si="130"/>
        <v>0</v>
      </c>
      <c r="M648" s="591">
        <f t="shared" si="130"/>
        <v>0</v>
      </c>
      <c r="N648" s="591">
        <f t="shared" si="130"/>
        <v>0</v>
      </c>
      <c r="O648" s="591">
        <f t="shared" si="130"/>
        <v>0</v>
      </c>
      <c r="P648" s="591">
        <f t="shared" si="130"/>
        <v>0</v>
      </c>
      <c r="Q648" s="591">
        <f t="shared" si="130"/>
        <v>0</v>
      </c>
      <c r="R648" s="591">
        <f t="shared" si="130"/>
        <v>0</v>
      </c>
      <c r="S648" s="591">
        <f t="shared" si="130"/>
        <v>0</v>
      </c>
      <c r="T648" s="591">
        <f t="shared" si="130"/>
        <v>0</v>
      </c>
      <c r="U648" s="591">
        <f t="shared" si="130"/>
        <v>0</v>
      </c>
      <c r="V648" s="591">
        <f t="shared" si="130"/>
        <v>0</v>
      </c>
      <c r="W648" s="591">
        <f t="shared" si="130"/>
        <v>0</v>
      </c>
      <c r="X648" s="591">
        <f t="shared" si="130"/>
        <v>0</v>
      </c>
      <c r="Y648" s="591">
        <f t="shared" si="130"/>
        <v>0</v>
      </c>
      <c r="Z648" s="591">
        <f t="shared" si="130"/>
        <v>0</v>
      </c>
      <c r="AA648" s="591">
        <f t="shared" si="130"/>
        <v>0</v>
      </c>
      <c r="AB648" s="591">
        <f t="shared" si="130"/>
        <v>0</v>
      </c>
      <c r="AC648" s="591">
        <f t="shared" si="130"/>
        <v>0</v>
      </c>
      <c r="AD648" s="591">
        <f t="shared" si="130"/>
        <v>0</v>
      </c>
      <c r="AE648" s="591">
        <f t="shared" si="130"/>
        <v>0</v>
      </c>
      <c r="AF648" s="591">
        <f t="shared" si="130"/>
        <v>0</v>
      </c>
      <c r="AG648" s="591">
        <f t="shared" si="130"/>
        <v>0</v>
      </c>
      <c r="AH648" s="591">
        <f t="shared" si="130"/>
        <v>0</v>
      </c>
      <c r="AI648" s="591">
        <f t="shared" si="130"/>
        <v>0</v>
      </c>
      <c r="AJ648" s="591">
        <f t="shared" si="130"/>
        <v>0</v>
      </c>
      <c r="AK648" s="591">
        <f t="shared" si="130"/>
        <v>0</v>
      </c>
      <c r="AL648" s="591">
        <f t="shared" si="130"/>
        <v>0</v>
      </c>
      <c r="AM648" s="591">
        <f t="shared" ref="AM648:BI648" si="131">SUM(AM636:AM647)</f>
        <v>0</v>
      </c>
      <c r="AN648" s="591">
        <f t="shared" si="131"/>
        <v>0</v>
      </c>
      <c r="AO648" s="591">
        <f t="shared" si="131"/>
        <v>0</v>
      </c>
      <c r="AP648" s="591">
        <f t="shared" si="131"/>
        <v>0</v>
      </c>
      <c r="AQ648" s="591">
        <f t="shared" si="131"/>
        <v>0</v>
      </c>
      <c r="AR648" s="591">
        <f t="shared" si="131"/>
        <v>0</v>
      </c>
      <c r="AS648" s="591">
        <f t="shared" si="131"/>
        <v>0</v>
      </c>
      <c r="AT648" s="591">
        <f t="shared" si="131"/>
        <v>0</v>
      </c>
      <c r="AU648" s="591">
        <f t="shared" si="131"/>
        <v>0</v>
      </c>
      <c r="AV648" s="591">
        <f t="shared" si="131"/>
        <v>0</v>
      </c>
      <c r="AW648" s="591">
        <f t="shared" si="131"/>
        <v>0</v>
      </c>
      <c r="AX648" s="591">
        <f t="shared" si="131"/>
        <v>0</v>
      </c>
      <c r="AY648" s="591">
        <f t="shared" si="131"/>
        <v>0</v>
      </c>
      <c r="AZ648" s="591">
        <f t="shared" si="131"/>
        <v>0</v>
      </c>
      <c r="BA648" s="591">
        <f t="shared" si="131"/>
        <v>0</v>
      </c>
      <c r="BB648" s="591">
        <f t="shared" si="131"/>
        <v>0</v>
      </c>
      <c r="BC648" s="591">
        <f t="shared" si="131"/>
        <v>0</v>
      </c>
      <c r="BD648" s="591">
        <f t="shared" si="131"/>
        <v>0</v>
      </c>
      <c r="BE648" s="591">
        <f t="shared" si="131"/>
        <v>0</v>
      </c>
      <c r="BF648" s="591">
        <f t="shared" si="131"/>
        <v>0</v>
      </c>
      <c r="BG648" s="591">
        <f t="shared" si="131"/>
        <v>0</v>
      </c>
      <c r="BH648" s="591">
        <f t="shared" si="131"/>
        <v>0</v>
      </c>
      <c r="BI648" s="591">
        <f t="shared" si="131"/>
        <v>0</v>
      </c>
      <c r="BJ648" s="240"/>
      <c r="BK648" s="240"/>
      <c r="BL648" s="240"/>
      <c r="BM648" s="240"/>
    </row>
    <row r="649" spans="1:65" s="4" customFormat="1" hidden="1" outlineLevel="2">
      <c r="A649" s="240"/>
      <c r="B649" s="597">
        <f>C661</f>
        <v>0</v>
      </c>
      <c r="C649" s="488"/>
      <c r="D649" s="598" t="s">
        <v>58</v>
      </c>
      <c r="E649" s="488"/>
      <c r="F649" s="599"/>
      <c r="G649" s="592">
        <f>IF(G$3&gt;A14taxremlife,A14taxvalue-SUM($F649:F649),IF(A14taxremlife="N/A","n/a",A14taxvalue/A14taxremlife))</f>
        <v>0</v>
      </c>
      <c r="H649" s="592">
        <f>IF(H$3&gt;A14taxremlife,A14taxvalue-SUM($F649:G649),IF(A14taxremlife="N/A","n/a",A14taxvalue/A14taxremlife))</f>
        <v>0</v>
      </c>
      <c r="I649" s="592">
        <f>IF(I$3&gt;A14taxremlife,A14taxvalue-SUM($F649:H649),IF(A14taxremlife="N/A","n/a",A14taxvalue/A14taxremlife))</f>
        <v>0</v>
      </c>
      <c r="J649" s="592">
        <f>IF(J$3&gt;A14taxremlife,A14taxvalue-SUM($F649:I649),IF(A14taxremlife="N/A","n/a",A14taxvalue/A14taxremlife))</f>
        <v>0</v>
      </c>
      <c r="K649" s="592">
        <f>IF(K$3&gt;A14taxremlife,A14taxvalue-SUM($F649:J649),IF(A14taxremlife="N/A","n/a",A14taxvalue/A14taxremlife))</f>
        <v>0</v>
      </c>
      <c r="L649" s="592">
        <f>IF(L$3&gt;A14taxremlife,A14taxvalue-SUM($F649:K649),IF(A14taxremlife="N/A","n/a",A14taxvalue/A14taxremlife))</f>
        <v>0</v>
      </c>
      <c r="M649" s="592">
        <f>IF(M$3&gt;A14taxremlife,A14taxvalue-SUM($F649:L649),IF(A14taxremlife="N/A","n/a",A14taxvalue/A14taxremlife))</f>
        <v>0</v>
      </c>
      <c r="N649" s="592">
        <f>IF(N$3&gt;A14taxremlife,A14taxvalue-SUM($F649:M649),IF(A14taxremlife="N/A","n/a",A14taxvalue/A14taxremlife))</f>
        <v>0</v>
      </c>
      <c r="O649" s="592">
        <f>IF(O$3&gt;A14taxremlife,A14taxvalue-SUM($F649:N649),IF(A14taxremlife="N/A","n/a",A14taxvalue/A14taxremlife))</f>
        <v>0</v>
      </c>
      <c r="P649" s="592">
        <f>IF(P$3&gt;A14taxremlife,A14taxvalue-SUM($F649:O649),IF(A14taxremlife="N/A","n/a",A14taxvalue/A14taxremlife))</f>
        <v>0</v>
      </c>
      <c r="Q649" s="592">
        <f>IF(Q$3&gt;A14taxremlife,A14taxvalue-SUM($F649:P649),IF(A14taxremlife="N/A","n/a",A14taxvalue/A14taxremlife))</f>
        <v>0</v>
      </c>
      <c r="R649" s="592">
        <f>IF(R$3&gt;A14taxremlife,A14taxvalue-SUM($F649:Q649),IF(A14taxremlife="N/A","n/a",A14taxvalue/A14taxremlife))</f>
        <v>0</v>
      </c>
      <c r="S649" s="592">
        <f>IF(S$3&gt;A14taxremlife,A14taxvalue-SUM($F649:R649),IF(A14taxremlife="N/A","n/a",A14taxvalue/A14taxremlife))</f>
        <v>0</v>
      </c>
      <c r="T649" s="592">
        <f>IF(T$3&gt;A14taxremlife,A14taxvalue-SUM($F649:S649),IF(A14taxremlife="N/A","n/a",A14taxvalue/A14taxremlife))</f>
        <v>0</v>
      </c>
      <c r="U649" s="592">
        <f>IF(U$3&gt;A14taxremlife,A14taxvalue-SUM($F649:T649),IF(A14taxremlife="N/A","n/a",A14taxvalue/A14taxremlife))</f>
        <v>0</v>
      </c>
      <c r="V649" s="592">
        <f>IF(V$3&gt;A14taxremlife,A14taxvalue-SUM($F649:U649),IF(A14taxremlife="N/A","n/a",A14taxvalue/A14taxremlife))</f>
        <v>0</v>
      </c>
      <c r="W649" s="592">
        <f>IF(W$3&gt;A14taxremlife,A14taxvalue-SUM($F649:V649),IF(A14taxremlife="N/A","n/a",A14taxvalue/A14taxremlife))</f>
        <v>0</v>
      </c>
      <c r="X649" s="592">
        <f>IF(X$3&gt;A14taxremlife,A14taxvalue-SUM($F649:W649),IF(A14taxremlife="N/A","n/a",A14taxvalue/A14taxremlife))</f>
        <v>0</v>
      </c>
      <c r="Y649" s="592">
        <f>IF(Y$3&gt;A14taxremlife,A14taxvalue-SUM($F649:X649),IF(A14taxremlife="N/A","n/a",A14taxvalue/A14taxremlife))</f>
        <v>0</v>
      </c>
      <c r="Z649" s="592">
        <f>IF(Z$3&gt;A14taxremlife,A14taxvalue-SUM($F649:Y649),IF(A14taxremlife="N/A","n/a",A14taxvalue/A14taxremlife))</f>
        <v>0</v>
      </c>
      <c r="AA649" s="592">
        <f>IF(AA$3&gt;A14taxremlife,A14taxvalue-SUM($F649:Z649),IF(A14taxremlife="N/A","n/a",A14taxvalue/A14taxremlife))</f>
        <v>0</v>
      </c>
      <c r="AB649" s="592">
        <f>IF(AB$3&gt;A14taxremlife,A14taxvalue-SUM($F649:AA649),IF(A14taxremlife="N/A","n/a",A14taxvalue/A14taxremlife))</f>
        <v>0</v>
      </c>
      <c r="AC649" s="592">
        <f>IF(AC$3&gt;A14taxremlife,A14taxvalue-SUM($F649:AB649),IF(A14taxremlife="N/A","n/a",A14taxvalue/A14taxremlife))</f>
        <v>0</v>
      </c>
      <c r="AD649" s="592">
        <f>IF(AD$3&gt;A14taxremlife,A14taxvalue-SUM($F649:AC649),IF(A14taxremlife="N/A","n/a",A14taxvalue/A14taxremlife))</f>
        <v>0</v>
      </c>
      <c r="AE649" s="592">
        <f>IF(AE$3&gt;A14taxremlife,A14taxvalue-SUM($F649:AD649),IF(A14taxremlife="N/A","n/a",A14taxvalue/A14taxremlife))</f>
        <v>0</v>
      </c>
      <c r="AF649" s="592">
        <f>IF(AF$3&gt;A14taxremlife,A14taxvalue-SUM($F649:AE649),IF(A14taxremlife="N/A","n/a",A14taxvalue/A14taxremlife))</f>
        <v>0</v>
      </c>
      <c r="AG649" s="592">
        <f>IF(AG$3&gt;A14taxremlife,A14taxvalue-SUM($F649:AF649),IF(A14taxremlife="N/A","n/a",A14taxvalue/A14taxremlife))</f>
        <v>0</v>
      </c>
      <c r="AH649" s="592">
        <f>IF(AH$3&gt;A14taxremlife,A14taxvalue-SUM($F649:AG649),IF(A14taxremlife="N/A","n/a",A14taxvalue/A14taxremlife))</f>
        <v>0</v>
      </c>
      <c r="AI649" s="592">
        <f>IF(AI$3&gt;A14taxremlife,A14taxvalue-SUM($F649:AH649),IF(A14taxremlife="N/A","n/a",A14taxvalue/A14taxremlife))</f>
        <v>0</v>
      </c>
      <c r="AJ649" s="592">
        <f>IF(AJ$3&gt;A14taxremlife,A14taxvalue-SUM($F649:AI649),IF(A14taxremlife="N/A","n/a",A14taxvalue/A14taxremlife))</f>
        <v>0</v>
      </c>
      <c r="AK649" s="592">
        <f>IF(AK$3&gt;A14taxremlife,A14taxvalue-SUM($F649:AJ649),IF(A14taxremlife="N/A","n/a",A14taxvalue/A14taxremlife))</f>
        <v>0</v>
      </c>
      <c r="AL649" s="592">
        <f>IF(AL$3&gt;A14taxremlife,A14taxvalue-SUM($F649:AK649),IF(A14taxremlife="N/A","n/a",A14taxvalue/A14taxremlife))</f>
        <v>0</v>
      </c>
      <c r="AM649" s="592">
        <f>IF(AM$3&gt;A14taxremlife,A14taxvalue-SUM($F649:AL649),IF(A14taxremlife="N/A","n/a",A14taxvalue/A14taxremlife))</f>
        <v>0</v>
      </c>
      <c r="AN649" s="592">
        <f>IF(AN$3&gt;A14taxremlife,A14taxvalue-SUM($F649:AM649),IF(A14taxremlife="N/A","n/a",A14taxvalue/A14taxremlife))</f>
        <v>0</v>
      </c>
      <c r="AO649" s="592">
        <f>IF(AO$3&gt;A14taxremlife,A14taxvalue-SUM($F649:AN649),IF(A14taxremlife="N/A","n/a",A14taxvalue/A14taxremlife))</f>
        <v>0</v>
      </c>
      <c r="AP649" s="592">
        <f>IF(AP$3&gt;A14taxremlife,A14taxvalue-SUM($F649:AO649),IF(A14taxremlife="N/A","n/a",A14taxvalue/A14taxremlife))</f>
        <v>0</v>
      </c>
      <c r="AQ649" s="592">
        <f>IF(AQ$3&gt;A14taxremlife,A14taxvalue-SUM($F649:AP649),IF(A14taxremlife="N/A","n/a",A14taxvalue/A14taxremlife))</f>
        <v>0</v>
      </c>
      <c r="AR649" s="592">
        <f>IF(AR$3&gt;A14taxremlife,A14taxvalue-SUM($F649:AQ649),IF(A14taxremlife="N/A","n/a",A14taxvalue/A14taxremlife))</f>
        <v>0</v>
      </c>
      <c r="AS649" s="592">
        <f>IF(AS$3&gt;A14taxremlife,A14taxvalue-SUM($F649:AR649),IF(A14taxremlife="N/A","n/a",A14taxvalue/A14taxremlife))</f>
        <v>0</v>
      </c>
      <c r="AT649" s="592">
        <f>IF(AT$3&gt;A14taxremlife,A14taxvalue-SUM($F649:AS649),IF(A14taxremlife="N/A","n/a",A14taxvalue/A14taxremlife))</f>
        <v>0</v>
      </c>
      <c r="AU649" s="592">
        <f>IF(AU$3&gt;A14taxremlife,A14taxvalue-SUM($F649:AT649),IF(A14taxremlife="N/A","n/a",A14taxvalue/A14taxremlife))</f>
        <v>0</v>
      </c>
      <c r="AV649" s="592">
        <f>IF(AV$3&gt;A14taxremlife,A14taxvalue-SUM($F649:AU649),IF(A14taxremlife="N/A","n/a",A14taxvalue/A14taxremlife))</f>
        <v>0</v>
      </c>
      <c r="AW649" s="592">
        <f>IF(AW$3&gt;A14taxremlife,A14taxvalue-SUM($F649:AV649),IF(A14taxremlife="N/A","n/a",A14taxvalue/A14taxremlife))</f>
        <v>0</v>
      </c>
      <c r="AX649" s="592">
        <f>IF(AX$3&gt;A14taxremlife,A14taxvalue-SUM($F649:AW649),IF(A14taxremlife="N/A","n/a",A14taxvalue/A14taxremlife))</f>
        <v>0</v>
      </c>
      <c r="AY649" s="592">
        <f>IF(AY$3&gt;A14taxremlife,A14taxvalue-SUM($F649:AX649),IF(A14taxremlife="N/A","n/a",A14taxvalue/A14taxremlife))</f>
        <v>0</v>
      </c>
      <c r="AZ649" s="592">
        <f>IF(AZ$3&gt;A14taxremlife,A14taxvalue-SUM($F649:AY649),IF(A14taxremlife="N/A","n/a",A14taxvalue/A14taxremlife))</f>
        <v>0</v>
      </c>
      <c r="BA649" s="592">
        <f>IF(BA$3&gt;A14taxremlife,A14taxvalue-SUM($F649:AZ649),IF(A14taxremlife="N/A","n/a",A14taxvalue/A14taxremlife))</f>
        <v>0</v>
      </c>
      <c r="BB649" s="592">
        <f>IF(BB$3&gt;A14taxremlife,A14taxvalue-SUM($F649:BA649),IF(A14taxremlife="N/A","n/a",A14taxvalue/A14taxremlife))</f>
        <v>0</v>
      </c>
      <c r="BC649" s="592">
        <f>IF(BC$3&gt;A14taxremlife,A14taxvalue-SUM($F649:BB649),IF(A14taxremlife="N/A","n/a",A14taxvalue/A14taxremlife))</f>
        <v>0</v>
      </c>
      <c r="BD649" s="592">
        <f>IF(BD$3&gt;A14taxremlife,A14taxvalue-SUM($F649:BC649),IF(A14taxremlife="N/A","n/a",A14taxvalue/A14taxremlife))</f>
        <v>0</v>
      </c>
      <c r="BE649" s="592">
        <f>IF(BE$3&gt;A14taxremlife,A14taxvalue-SUM($F649:BD649),IF(A14taxremlife="N/A","n/a",A14taxvalue/A14taxremlife))</f>
        <v>0</v>
      </c>
      <c r="BF649" s="592">
        <f>IF(BF$3&gt;A14taxremlife,A14taxvalue-SUM($F649:BE649),IF(A14taxremlife="N/A","n/a",A14taxvalue/A14taxremlife))</f>
        <v>0</v>
      </c>
      <c r="BG649" s="592">
        <f>IF(BG$3&gt;A14taxremlife,A14taxvalue-SUM($F649:BF649),IF(A14taxremlife="N/A","n/a",A14taxvalue/A14taxremlife))</f>
        <v>0</v>
      </c>
      <c r="BH649" s="592">
        <f>IF(BH$3&gt;A14taxremlife,A14taxvalue-SUM($F649:BG649),IF(A14taxremlife="N/A","n/a",A14taxvalue/A14taxremlife))</f>
        <v>0</v>
      </c>
      <c r="BI649" s="592">
        <f>IF(BI$3&gt;A14taxremlife,A14taxvalue-SUM($F649:BH649),IF(A14taxremlife="N/A","n/a",A14taxvalue/A14taxremlife))</f>
        <v>0</v>
      </c>
      <c r="BJ649" s="240"/>
      <c r="BK649" s="240"/>
      <c r="BL649" s="240"/>
      <c r="BM649" s="240"/>
    </row>
    <row r="650" spans="1:65" s="4" customFormat="1" ht="12.75" hidden="1" customHeight="1" outlineLevel="2">
      <c r="A650" s="240"/>
      <c r="B650" s="240"/>
      <c r="C650" s="595"/>
      <c r="D650" s="1618" t="s">
        <v>357</v>
      </c>
      <c r="E650" s="169">
        <v>0</v>
      </c>
      <c r="F650" s="35"/>
      <c r="G650" s="107"/>
      <c r="H650" s="107"/>
      <c r="I650" s="107"/>
      <c r="J650" s="107"/>
      <c r="K650" s="107"/>
      <c r="L650" s="107"/>
      <c r="M650" s="107"/>
      <c r="N650" s="107"/>
      <c r="O650" s="107"/>
      <c r="P650" s="107"/>
      <c r="Q650" s="590"/>
      <c r="R650" s="590"/>
      <c r="S650" s="590"/>
      <c r="T650" s="590"/>
      <c r="U650" s="590"/>
      <c r="V650" s="590"/>
      <c r="W650" s="590"/>
      <c r="X650" s="590"/>
      <c r="Y650" s="590"/>
      <c r="Z650" s="590"/>
      <c r="AA650" s="590"/>
      <c r="AB650" s="590"/>
      <c r="AC650" s="590"/>
      <c r="AD650" s="590"/>
      <c r="AE650" s="590"/>
      <c r="AF650" s="590"/>
      <c r="AG650" s="590"/>
      <c r="AH650" s="590"/>
      <c r="AI650" s="590"/>
      <c r="AJ650" s="590"/>
      <c r="AK650" s="590"/>
      <c r="AL650" s="590"/>
      <c r="AM650" s="590"/>
      <c r="AN650" s="590"/>
      <c r="AO650" s="590"/>
      <c r="AP650" s="590"/>
      <c r="AQ650" s="590"/>
      <c r="AR650" s="590"/>
      <c r="AS650" s="590"/>
      <c r="AT650" s="590"/>
      <c r="AU650" s="590"/>
      <c r="AV650" s="590"/>
      <c r="AW650" s="590"/>
      <c r="AX650" s="590"/>
      <c r="AY650" s="590"/>
      <c r="AZ650" s="590"/>
      <c r="BA650" s="590"/>
      <c r="BB650" s="590"/>
      <c r="BC650" s="590"/>
      <c r="BD650" s="590"/>
      <c r="BE650" s="590"/>
      <c r="BF650" s="590"/>
      <c r="BG650" s="590"/>
      <c r="BH650" s="590"/>
      <c r="BI650" s="590"/>
      <c r="BJ650" s="240"/>
      <c r="BK650" s="240"/>
      <c r="BL650" s="240"/>
      <c r="BM650" s="240"/>
    </row>
    <row r="651" spans="1:65" s="4" customFormat="1" hidden="1" outlineLevel="2">
      <c r="A651" s="240"/>
      <c r="B651" s="240"/>
      <c r="C651" s="595"/>
      <c r="D651" s="1618"/>
      <c r="E651" s="169">
        <v>1</v>
      </c>
      <c r="F651" s="35"/>
      <c r="G651" s="183"/>
      <c r="H651" s="107">
        <f>IF(A14taxstdlife="n/a","n/a",IF(H$3&gt;(A14taxstdlife+$E651),(('PTRM input'!$G$156+'PTRM input'!$G$122)*$G$7)-SUM($G651:G651),(('PTRM input'!$G$156+'PTRM input'!$G$122)*$G$7)/A14taxstdlife))</f>
        <v>0</v>
      </c>
      <c r="I651" s="107">
        <f>IF(A14taxstdlife="n/a","n/a",IF(I$3&gt;(A14taxstdlife+$E651),(('PTRM input'!$G$156+'PTRM input'!$G$122)*$G$7)-SUM($G651:H651),(('PTRM input'!$G$156+'PTRM input'!$G$122)*$G$7)/A14taxstdlife))</f>
        <v>0</v>
      </c>
      <c r="J651" s="107">
        <f>IF(A14taxstdlife="n/a","n/a",IF(J$3&gt;(A14taxstdlife+$E651),(('PTRM input'!$G$156+'PTRM input'!$G$122)*$G$7)-SUM($G651:I651),(('PTRM input'!$G$156+'PTRM input'!$G$122)*$G$7)/A14taxstdlife))</f>
        <v>0</v>
      </c>
      <c r="K651" s="107">
        <f>IF(A14taxstdlife="n/a","n/a",IF(K$3&gt;(A14taxstdlife+$E651),(('PTRM input'!$G$156+'PTRM input'!$G$122)*$G$7)-SUM($G651:J651),(('PTRM input'!$G$156+'PTRM input'!$G$122)*$G$7)/A14taxstdlife))</f>
        <v>0</v>
      </c>
      <c r="L651" s="107">
        <f>IF(A14taxstdlife="n/a","n/a",IF(L$3&gt;(A14taxstdlife+$E651),(('PTRM input'!$G$156+'PTRM input'!$G$122)*$G$7)-SUM($G651:K651),(('PTRM input'!$G$156+'PTRM input'!$G$122)*$G$7)/A14taxstdlife))</f>
        <v>0</v>
      </c>
      <c r="M651" s="107">
        <f>IF(A14taxstdlife="n/a","n/a",IF(M$3&gt;(A14taxstdlife+$E651),(('PTRM input'!$G$156+'PTRM input'!$G$122)*$G$7)-SUM($G651:L651),(('PTRM input'!$G$156+'PTRM input'!$G$122)*$G$7)/A14taxstdlife))</f>
        <v>0</v>
      </c>
      <c r="N651" s="107">
        <f>IF(A14taxstdlife="n/a","n/a",IF(N$3&gt;(A14taxstdlife+$E651),(('PTRM input'!$G$156+'PTRM input'!$G$122)*$G$7)-SUM($G651:M651),(('PTRM input'!$G$156+'PTRM input'!$G$122)*$G$7)/A14taxstdlife))</f>
        <v>0</v>
      </c>
      <c r="O651" s="107">
        <f>IF(A14taxstdlife="n/a","n/a",IF(O$3&gt;(A14taxstdlife+$E651),(('PTRM input'!$G$156+'PTRM input'!$G$122)*$G$7)-SUM($G651:N651),(('PTRM input'!$G$156+'PTRM input'!$G$122)*$G$7)/A14taxstdlife))</f>
        <v>0</v>
      </c>
      <c r="P651" s="107">
        <f>IF(A14taxstdlife="n/a","n/a",IF(P$3&gt;(A14taxstdlife+$E651),(('PTRM input'!$G$156+'PTRM input'!$G$122)*$G$7)-SUM($G651:O651),(('PTRM input'!$G$156+'PTRM input'!$G$122)*$G$7)/A14taxstdlife))</f>
        <v>0</v>
      </c>
      <c r="Q651" s="590">
        <f>IF(A14taxstdlife="n/a","n/a",IF(Q$3&gt;(A14taxstdlife+$E651),(('PTRM input'!$G$156+'PTRM input'!$G$122)*$G$7)-SUM($G651:P651),(('PTRM input'!$G$156+'PTRM input'!$G$122)*$G$7)/A14taxstdlife))</f>
        <v>0</v>
      </c>
      <c r="R651" s="590">
        <f>IF(A14taxstdlife="n/a","n/a",IF(R$3&gt;(A14taxstdlife+$E651),(('PTRM input'!$G$156+'PTRM input'!$G$122)*$G$7)-SUM($G651:Q651),(('PTRM input'!$G$156+'PTRM input'!$G$122)*$G$7)/A14taxstdlife))</f>
        <v>0</v>
      </c>
      <c r="S651" s="590">
        <f>IF(A14taxstdlife="n/a","n/a",IF(S$3&gt;(A14taxstdlife+$E651),(('PTRM input'!$G$156+'PTRM input'!$G$122)*$G$7)-SUM($G651:R651),(('PTRM input'!$G$156+'PTRM input'!$G$122)*$G$7)/A14taxstdlife))</f>
        <v>0</v>
      </c>
      <c r="T651" s="590">
        <f>IF(A14taxstdlife="n/a","n/a",IF(T$3&gt;(A14taxstdlife+$E651),(('PTRM input'!$G$156+'PTRM input'!$G$122)*$G$7)-SUM($G651:S651),(('PTRM input'!$G$156+'PTRM input'!$G$122)*$G$7)/A14taxstdlife))</f>
        <v>0</v>
      </c>
      <c r="U651" s="590">
        <f>IF(A14taxstdlife="n/a","n/a",IF(U$3&gt;(A14taxstdlife+$E651),(('PTRM input'!$G$156+'PTRM input'!$G$122)*$G$7)-SUM($G651:T651),(('PTRM input'!$G$156+'PTRM input'!$G$122)*$G$7)/A14taxstdlife))</f>
        <v>0</v>
      </c>
      <c r="V651" s="590">
        <f>IF(A14taxstdlife="n/a","n/a",IF(V$3&gt;(A14taxstdlife+$E651),(('PTRM input'!$G$156+'PTRM input'!$G$122)*$G$7)-SUM($G651:U651),(('PTRM input'!$G$156+'PTRM input'!$G$122)*$G$7)/A14taxstdlife))</f>
        <v>0</v>
      </c>
      <c r="W651" s="590">
        <f>IF(A14taxstdlife="n/a","n/a",IF(W$3&gt;(A14taxstdlife+$E651),(('PTRM input'!$G$156+'PTRM input'!$G$122)*$G$7)-SUM($G651:V651),(('PTRM input'!$G$156+'PTRM input'!$G$122)*$G$7)/A14taxstdlife))</f>
        <v>0</v>
      </c>
      <c r="X651" s="590">
        <f>IF(A14taxstdlife="n/a","n/a",IF(X$3&gt;(A14taxstdlife+$E651),(('PTRM input'!$G$156+'PTRM input'!$G$122)*$G$7)-SUM($G651:W651),(('PTRM input'!$G$156+'PTRM input'!$G$122)*$G$7)/A14taxstdlife))</f>
        <v>0</v>
      </c>
      <c r="Y651" s="590">
        <f>IF(A14taxstdlife="n/a","n/a",IF(Y$3&gt;(A14taxstdlife+$E651),(('PTRM input'!$G$156+'PTRM input'!$G$122)*$G$7)-SUM($G651:X651),(('PTRM input'!$G$156+'PTRM input'!$G$122)*$G$7)/A14taxstdlife))</f>
        <v>0</v>
      </c>
      <c r="Z651" s="590">
        <f>IF(A14taxstdlife="n/a","n/a",IF(Z$3&gt;(A14taxstdlife+$E651),(('PTRM input'!$G$156+'PTRM input'!$G$122)*$G$7)-SUM($G651:Y651),(('PTRM input'!$G$156+'PTRM input'!$G$122)*$G$7)/A14taxstdlife))</f>
        <v>0</v>
      </c>
      <c r="AA651" s="590">
        <f>IF(A14taxstdlife="n/a","n/a",IF(AA$3&gt;(A14taxstdlife+$E651),(('PTRM input'!$G$156+'PTRM input'!$G$122)*$G$7)-SUM($G651:Z651),(('PTRM input'!$G$156+'PTRM input'!$G$122)*$G$7)/A14taxstdlife))</f>
        <v>0</v>
      </c>
      <c r="AB651" s="590">
        <f>IF(A14taxstdlife="n/a","n/a",IF(AB$3&gt;(A14taxstdlife+$E651),(('PTRM input'!$G$156+'PTRM input'!$G$122)*$G$7)-SUM($G651:AA651),(('PTRM input'!$G$156+'PTRM input'!$G$122)*$G$7)/A14taxstdlife))</f>
        <v>0</v>
      </c>
      <c r="AC651" s="590">
        <f>IF(A14taxstdlife="n/a","n/a",IF(AC$3&gt;(A14taxstdlife+$E651),(('PTRM input'!$G$156+'PTRM input'!$G$122)*$G$7)-SUM($G651:AB651),(('PTRM input'!$G$156+'PTRM input'!$G$122)*$G$7)/A14taxstdlife))</f>
        <v>0</v>
      </c>
      <c r="AD651" s="590">
        <f>IF(A14taxstdlife="n/a","n/a",IF(AD$3&gt;(A14taxstdlife+$E651),(('PTRM input'!$G$156+'PTRM input'!$G$122)*$G$7)-SUM($G651:AC651),(('PTRM input'!$G$156+'PTRM input'!$G$122)*$G$7)/A14taxstdlife))</f>
        <v>0</v>
      </c>
      <c r="AE651" s="590">
        <f>IF(A14taxstdlife="n/a","n/a",IF(AE$3&gt;(A14taxstdlife+$E651),(('PTRM input'!$G$156+'PTRM input'!$G$122)*$G$7)-SUM($G651:AD651),(('PTRM input'!$G$156+'PTRM input'!$G$122)*$G$7)/A14taxstdlife))</f>
        <v>0</v>
      </c>
      <c r="AF651" s="590">
        <f>IF(A14taxstdlife="n/a","n/a",IF(AF$3&gt;(A14taxstdlife+$E651),(('PTRM input'!$G$156+'PTRM input'!$G$122)*$G$7)-SUM($G651:AE651),(('PTRM input'!$G$156+'PTRM input'!$G$122)*$G$7)/A14taxstdlife))</f>
        <v>0</v>
      </c>
      <c r="AG651" s="590">
        <f>IF(A14taxstdlife="n/a","n/a",IF(AG$3&gt;(A14taxstdlife+$E651),(('PTRM input'!$G$156+'PTRM input'!$G$122)*$G$7)-SUM($G651:AF651),(('PTRM input'!$G$156+'PTRM input'!$G$122)*$G$7)/A14taxstdlife))</f>
        <v>0</v>
      </c>
      <c r="AH651" s="590">
        <f>IF(A14taxstdlife="n/a","n/a",IF(AH$3&gt;(A14taxstdlife+$E651),(('PTRM input'!$G$156+'PTRM input'!$G$122)*$G$7)-SUM($G651:AG651),(('PTRM input'!$G$156+'PTRM input'!$G$122)*$G$7)/A14taxstdlife))</f>
        <v>0</v>
      </c>
      <c r="AI651" s="590">
        <f>IF(A14taxstdlife="n/a","n/a",IF(AI$3&gt;(A14taxstdlife+$E651),(('PTRM input'!$G$156+'PTRM input'!$G$122)*$G$7)-SUM($G651:AH651),(('PTRM input'!$G$156+'PTRM input'!$G$122)*$G$7)/A14taxstdlife))</f>
        <v>0</v>
      </c>
      <c r="AJ651" s="590">
        <f>IF(A14taxstdlife="n/a","n/a",IF(AJ$3&gt;(A14taxstdlife+$E651),(('PTRM input'!$G$156+'PTRM input'!$G$122)*$G$7)-SUM($G651:AI651),(('PTRM input'!$G$156+'PTRM input'!$G$122)*$G$7)/A14taxstdlife))</f>
        <v>0</v>
      </c>
      <c r="AK651" s="590">
        <f>IF(A14taxstdlife="n/a","n/a",IF(AK$3&gt;(A14taxstdlife+$E651),(('PTRM input'!$G$156+'PTRM input'!$G$122)*$G$7)-SUM($G651:AJ651),(('PTRM input'!$G$156+'PTRM input'!$G$122)*$G$7)/A14taxstdlife))</f>
        <v>0</v>
      </c>
      <c r="AL651" s="590">
        <f>IF(A14taxstdlife="n/a","n/a",IF(AL$3&gt;(A14taxstdlife+$E651),(('PTRM input'!$G$156+'PTRM input'!$G$122)*$G$7)-SUM($G651:AK651),(('PTRM input'!$G$156+'PTRM input'!$G$122)*$G$7)/A14taxstdlife))</f>
        <v>0</v>
      </c>
      <c r="AM651" s="590">
        <f>IF(A14taxstdlife="n/a","n/a",IF(AM$3&gt;(A14taxstdlife+$E651),(('PTRM input'!$G$156+'PTRM input'!$G$122)*$G$7)-SUM($G651:AL651),(('PTRM input'!$G$156+'PTRM input'!$G$122)*$G$7)/A14taxstdlife))</f>
        <v>0</v>
      </c>
      <c r="AN651" s="590">
        <f>IF(A14taxstdlife="n/a","n/a",IF(AN$3&gt;(A14taxstdlife+$E651),(('PTRM input'!$G$156+'PTRM input'!$G$122)*$G$7)-SUM($G651:AM651),(('PTRM input'!$G$156+'PTRM input'!$G$122)*$G$7)/A14taxstdlife))</f>
        <v>0</v>
      </c>
      <c r="AO651" s="590">
        <f>IF(A14taxstdlife="n/a","n/a",IF(AO$3&gt;(A14taxstdlife+$E651),(('PTRM input'!$G$156+'PTRM input'!$G$122)*$G$7)-SUM($G651:AN651),(('PTRM input'!$G$156+'PTRM input'!$G$122)*$G$7)/A14taxstdlife))</f>
        <v>0</v>
      </c>
      <c r="AP651" s="590">
        <f>IF(A14taxstdlife="n/a","n/a",IF(AP$3&gt;(A14taxstdlife+$E651),(('PTRM input'!$G$156+'PTRM input'!$G$122)*$G$7)-SUM($G651:AO651),(('PTRM input'!$G$156+'PTRM input'!$G$122)*$G$7)/A14taxstdlife))</f>
        <v>0</v>
      </c>
      <c r="AQ651" s="590">
        <f>IF(A14taxstdlife="n/a","n/a",IF(AQ$3&gt;(A14taxstdlife+$E651),(('PTRM input'!$G$156+'PTRM input'!$G$122)*$G$7)-SUM($G651:AP651),(('PTRM input'!$G$156+'PTRM input'!$G$122)*$G$7)/A14taxstdlife))</f>
        <v>0</v>
      </c>
      <c r="AR651" s="590">
        <f>IF(A14taxstdlife="n/a","n/a",IF(AR$3&gt;(A14taxstdlife+$E651),(('PTRM input'!$G$156+'PTRM input'!$G$122)*$G$7)-SUM($G651:AQ651),(('PTRM input'!$G$156+'PTRM input'!$G$122)*$G$7)/A14taxstdlife))</f>
        <v>0</v>
      </c>
      <c r="AS651" s="590">
        <f>IF(A14taxstdlife="n/a","n/a",IF(AS$3&gt;(A14taxstdlife+$E651),(('PTRM input'!$G$156+'PTRM input'!$G$122)*$G$7)-SUM($G651:AR651),(('PTRM input'!$G$156+'PTRM input'!$G$122)*$G$7)/A14taxstdlife))</f>
        <v>0</v>
      </c>
      <c r="AT651" s="590">
        <f>IF(A14taxstdlife="n/a","n/a",IF(AT$3&gt;(A14taxstdlife+$E651),(('PTRM input'!$G$156+'PTRM input'!$G$122)*$G$7)-SUM($G651:AS651),(('PTRM input'!$G$156+'PTRM input'!$G$122)*$G$7)/A14taxstdlife))</f>
        <v>0</v>
      </c>
      <c r="AU651" s="590">
        <f>IF(A14taxstdlife="n/a","n/a",IF(AU$3&gt;(A14taxstdlife+$E651),(('PTRM input'!$G$156+'PTRM input'!$G$122)*$G$7)-SUM($G651:AT651),(('PTRM input'!$G$156+'PTRM input'!$G$122)*$G$7)/A14taxstdlife))</f>
        <v>0</v>
      </c>
      <c r="AV651" s="590">
        <f>IF(A14taxstdlife="n/a","n/a",IF(AV$3&gt;(A14taxstdlife+$E651),(('PTRM input'!$G$156+'PTRM input'!$G$122)*$G$7)-SUM($G651:AU651),(('PTRM input'!$G$156+'PTRM input'!$G$122)*$G$7)/A14taxstdlife))</f>
        <v>0</v>
      </c>
      <c r="AW651" s="590">
        <f>IF(A14taxstdlife="n/a","n/a",IF(AW$3&gt;(A14taxstdlife+$E651),(('PTRM input'!$G$156+'PTRM input'!$G$122)*$G$7)-SUM($G651:AV651),(('PTRM input'!$G$156+'PTRM input'!$G$122)*$G$7)/A14taxstdlife))</f>
        <v>0</v>
      </c>
      <c r="AX651" s="590">
        <f>IF(A14taxstdlife="n/a","n/a",IF(AX$3&gt;(A14taxstdlife+$E651),(('PTRM input'!$G$156+'PTRM input'!$G$122)*$G$7)-SUM($G651:AW651),(('PTRM input'!$G$156+'PTRM input'!$G$122)*$G$7)/A14taxstdlife))</f>
        <v>0</v>
      </c>
      <c r="AY651" s="590">
        <f>IF(A14taxstdlife="n/a","n/a",IF(AY$3&gt;(A14taxstdlife+$E651),(('PTRM input'!$G$156+'PTRM input'!$G$122)*$G$7)-SUM($G651:AX651),(('PTRM input'!$G$156+'PTRM input'!$G$122)*$G$7)/A14taxstdlife))</f>
        <v>0</v>
      </c>
      <c r="AZ651" s="590">
        <f>IF(A14taxstdlife="n/a","n/a",IF(AZ$3&gt;(A14taxstdlife+$E651),(('PTRM input'!$G$156+'PTRM input'!$G$122)*$G$7)-SUM($G651:AY651),(('PTRM input'!$G$156+'PTRM input'!$G$122)*$G$7)/A14taxstdlife))</f>
        <v>0</v>
      </c>
      <c r="BA651" s="590">
        <f>IF(A14taxstdlife="n/a","n/a",IF(BA$3&gt;(A14taxstdlife+$E651),(('PTRM input'!$G$156+'PTRM input'!$G$122)*$G$7)-SUM($G651:AZ651),(('PTRM input'!$G$156+'PTRM input'!$G$122)*$G$7)/A14taxstdlife))</f>
        <v>0</v>
      </c>
      <c r="BB651" s="590">
        <f>IF(A14taxstdlife="n/a","n/a",IF(BB$3&gt;(A14taxstdlife+$E651),(('PTRM input'!$G$156+'PTRM input'!$G$122)*$G$7)-SUM($G651:BA651),(('PTRM input'!$G$156+'PTRM input'!$G$122)*$G$7)/A14taxstdlife))</f>
        <v>0</v>
      </c>
      <c r="BC651" s="590">
        <f>IF(A14taxstdlife="n/a","n/a",IF(BC$3&gt;(A14taxstdlife+$E651),(('PTRM input'!$G$156+'PTRM input'!$G$122)*$G$7)-SUM($G651:BB651),(('PTRM input'!$G$156+'PTRM input'!$G$122)*$G$7)/A14taxstdlife))</f>
        <v>0</v>
      </c>
      <c r="BD651" s="590">
        <f>IF(A14taxstdlife="n/a","n/a",IF(BD$3&gt;(A14taxstdlife+$E651),(('PTRM input'!$G$156+'PTRM input'!$G$122)*$G$7)-SUM($G651:BC651),(('PTRM input'!$G$156+'PTRM input'!$G$122)*$G$7)/A14taxstdlife))</f>
        <v>0</v>
      </c>
      <c r="BE651" s="590">
        <f>IF(A14taxstdlife="n/a","n/a",IF(BE$3&gt;(A14taxstdlife+$E651),(('PTRM input'!$G$156+'PTRM input'!$G$122)*$G$7)-SUM($G651:BD651),(('PTRM input'!$G$156+'PTRM input'!$G$122)*$G$7)/A14taxstdlife))</f>
        <v>0</v>
      </c>
      <c r="BF651" s="590">
        <f>IF(A14taxstdlife="n/a","n/a",IF(BF$3&gt;(A14taxstdlife+$E651),(('PTRM input'!$G$156+'PTRM input'!$G$122)*$G$7)-SUM($G651:BE651),(('PTRM input'!$G$156+'PTRM input'!$G$122)*$G$7)/A14taxstdlife))</f>
        <v>0</v>
      </c>
      <c r="BG651" s="590">
        <f>IF(A14taxstdlife="n/a","n/a",IF(BG$3&gt;(A14taxstdlife+$E651),(('PTRM input'!$G$156+'PTRM input'!$G$122)*$G$7)-SUM($G651:BF651),(('PTRM input'!$G$156+'PTRM input'!$G$122)*$G$7)/A14taxstdlife))</f>
        <v>0</v>
      </c>
      <c r="BH651" s="590">
        <f>IF(A14taxstdlife="n/a","n/a",IF(BH$3&gt;(A14taxstdlife+$E651),(('PTRM input'!$G$156+'PTRM input'!$G$122)*$G$7)-SUM($G651:BG651),(('PTRM input'!$G$156+'PTRM input'!$G$122)*$G$7)/A14taxstdlife))</f>
        <v>0</v>
      </c>
      <c r="BI651" s="590">
        <f>IF(A14taxstdlife="n/a","n/a",IF(BI$3&gt;(A14taxstdlife+$E651),(('PTRM input'!$G$156+'PTRM input'!$G$122)*$G$7)-SUM($G651:BH651),(('PTRM input'!$G$156+'PTRM input'!$G$122)*$G$7)/A14taxstdlife))</f>
        <v>0</v>
      </c>
      <c r="BJ651" s="240"/>
      <c r="BK651" s="240"/>
      <c r="BL651" s="240"/>
      <c r="BM651" s="240"/>
    </row>
    <row r="652" spans="1:65" s="4" customFormat="1" hidden="1" outlineLevel="2">
      <c r="A652" s="240"/>
      <c r="B652" s="240"/>
      <c r="C652" s="595"/>
      <c r="D652" s="1618"/>
      <c r="E652" s="169">
        <v>2</v>
      </c>
      <c r="F652" s="35"/>
      <c r="G652" s="184"/>
      <c r="H652" s="185"/>
      <c r="I652" s="107">
        <f>IF(A14taxstdlife="n/a","n/a",IF(I$3&gt;(A14taxstdlife+$E652),(('PTRM input'!$H$156+'PTRM input'!$H$122)*$H$7)-SUM($H652:H652),(('PTRM input'!$H$156+'PTRM input'!$H$122)*$H$7)/A14taxstdlife))</f>
        <v>0</v>
      </c>
      <c r="J652" s="107">
        <f>IF(A14taxstdlife="n/a","n/a",IF(J$3&gt;(A14taxstdlife+$E652),(('PTRM input'!$H$156+'PTRM input'!$H$122)*$H$7)-SUM($H652:I652),(('PTRM input'!$H$156+'PTRM input'!$H$122)*$H$7)/A14taxstdlife))</f>
        <v>0</v>
      </c>
      <c r="K652" s="107">
        <f>IF(A14taxstdlife="n/a","n/a",IF(K$3&gt;(A14taxstdlife+$E652),(('PTRM input'!$H$156+'PTRM input'!$H$122)*$H$7)-SUM($H652:J652),(('PTRM input'!$H$156+'PTRM input'!$H$122)*$H$7)/A14taxstdlife))</f>
        <v>0</v>
      </c>
      <c r="L652" s="107">
        <f>IF(A14taxstdlife="n/a","n/a",IF(L$3&gt;(A14taxstdlife+$E652),(('PTRM input'!$H$156+'PTRM input'!$H$122)*$H$7)-SUM($H652:K652),(('PTRM input'!$H$156+'PTRM input'!$H$122)*$H$7)/A14taxstdlife))</f>
        <v>0</v>
      </c>
      <c r="M652" s="107">
        <f>IF(A14taxstdlife="n/a","n/a",IF(M$3&gt;(A14taxstdlife+$E652),(('PTRM input'!$H$156+'PTRM input'!$H$122)*$H$7)-SUM($H652:L652),(('PTRM input'!$H$156+'PTRM input'!$H$122)*$H$7)/A14taxstdlife))</f>
        <v>0</v>
      </c>
      <c r="N652" s="107">
        <f>IF(A14taxstdlife="n/a","n/a",IF(N$3&gt;(A14taxstdlife+$E652),(('PTRM input'!$H$156+'PTRM input'!$H$122)*$H$7)-SUM($H652:M652),(('PTRM input'!$H$156+'PTRM input'!$H$122)*$H$7)/A14taxstdlife))</f>
        <v>0</v>
      </c>
      <c r="O652" s="107">
        <f>IF(A14taxstdlife="n/a","n/a",IF(O$3&gt;(A14taxstdlife+$E652),(('PTRM input'!$H$156+'PTRM input'!$H$122)*$H$7)-SUM($H652:N652),(('PTRM input'!$H$156+'PTRM input'!$H$122)*$H$7)/A14taxstdlife))</f>
        <v>0</v>
      </c>
      <c r="P652" s="107">
        <f>IF(A14taxstdlife="n/a","n/a",IF(P$3&gt;(A14taxstdlife+$E652),(('PTRM input'!$H$156+'PTRM input'!$H$122)*$H$7)-SUM($H652:O652),(('PTRM input'!$H$156+'PTRM input'!$H$122)*$H$7)/A14taxstdlife))</f>
        <v>0</v>
      </c>
      <c r="Q652" s="590">
        <f>IF(A14taxstdlife="n/a","n/a",IF(Q$3&gt;(A14taxstdlife+$E652),(('PTRM input'!$H$156+'PTRM input'!$H$122)*$H$7)-SUM($H652:P652),(('PTRM input'!$H$156+'PTRM input'!$H$122)*$H$7)/A14taxstdlife))</f>
        <v>0</v>
      </c>
      <c r="R652" s="590">
        <f>IF(A14taxstdlife="n/a","n/a",IF(R$3&gt;(A14taxstdlife+$E652),(('PTRM input'!$H$156+'PTRM input'!$H$122)*$H$7)-SUM($H652:Q652),(('PTRM input'!$H$156+'PTRM input'!$H$122)*$H$7)/A14taxstdlife))</f>
        <v>0</v>
      </c>
      <c r="S652" s="590">
        <f>IF(A14taxstdlife="n/a","n/a",IF(S$3&gt;(A14taxstdlife+$E652),(('PTRM input'!$H$156+'PTRM input'!$H$122)*$H$7)-SUM($H652:R652),(('PTRM input'!$H$156+'PTRM input'!$H$122)*$H$7)/A14taxstdlife))</f>
        <v>0</v>
      </c>
      <c r="T652" s="590">
        <f>IF(A14taxstdlife="n/a","n/a",IF(T$3&gt;(A14taxstdlife+$E652),(('PTRM input'!$H$156+'PTRM input'!$H$122)*$H$7)-SUM($H652:S652),(('PTRM input'!$H$156+'PTRM input'!$H$122)*$H$7)/A14taxstdlife))</f>
        <v>0</v>
      </c>
      <c r="U652" s="590">
        <f>IF(A14taxstdlife="n/a","n/a",IF(U$3&gt;(A14taxstdlife+$E652),(('PTRM input'!$H$156+'PTRM input'!$H$122)*$H$7)-SUM($H652:T652),(('PTRM input'!$H$156+'PTRM input'!$H$122)*$H$7)/A14taxstdlife))</f>
        <v>0</v>
      </c>
      <c r="V652" s="590">
        <f>IF(A14taxstdlife="n/a","n/a",IF(V$3&gt;(A14taxstdlife+$E652),(('PTRM input'!$H$156+'PTRM input'!$H$122)*$H$7)-SUM($H652:U652),(('PTRM input'!$H$156+'PTRM input'!$H$122)*$H$7)/A14taxstdlife))</f>
        <v>0</v>
      </c>
      <c r="W652" s="590">
        <f>IF(A14taxstdlife="n/a","n/a",IF(W$3&gt;(A14taxstdlife+$E652),(('PTRM input'!$H$156+'PTRM input'!$H$122)*$H$7)-SUM($H652:V652),(('PTRM input'!$H$156+'PTRM input'!$H$122)*$H$7)/A14taxstdlife))</f>
        <v>0</v>
      </c>
      <c r="X652" s="590">
        <f>IF(A14taxstdlife="n/a","n/a",IF(X$3&gt;(A14taxstdlife+$E652),(('PTRM input'!$H$156+'PTRM input'!$H$122)*$H$7)-SUM($H652:W652),(('PTRM input'!$H$156+'PTRM input'!$H$122)*$H$7)/A14taxstdlife))</f>
        <v>0</v>
      </c>
      <c r="Y652" s="590">
        <f>IF(A14taxstdlife="n/a","n/a",IF(Y$3&gt;(A14taxstdlife+$E652),(('PTRM input'!$H$156+'PTRM input'!$H$122)*$H$7)-SUM($H652:X652),(('PTRM input'!$H$156+'PTRM input'!$H$122)*$H$7)/A14taxstdlife))</f>
        <v>0</v>
      </c>
      <c r="Z652" s="590">
        <f>IF(A14taxstdlife="n/a","n/a",IF(Z$3&gt;(A14taxstdlife+$E652),(('PTRM input'!$H$156+'PTRM input'!$H$122)*$H$7)-SUM($H652:Y652),(('PTRM input'!$H$156+'PTRM input'!$H$122)*$H$7)/A14taxstdlife))</f>
        <v>0</v>
      </c>
      <c r="AA652" s="590">
        <f>IF(A14taxstdlife="n/a","n/a",IF(AA$3&gt;(A14taxstdlife+$E652),(('PTRM input'!$H$156+'PTRM input'!$H$122)*$H$7)-SUM($H652:Z652),(('PTRM input'!$H$156+'PTRM input'!$H$122)*$H$7)/A14taxstdlife))</f>
        <v>0</v>
      </c>
      <c r="AB652" s="590">
        <f>IF(A14taxstdlife="n/a","n/a",IF(AB$3&gt;(A14taxstdlife+$E652),(('PTRM input'!$H$156+'PTRM input'!$H$122)*$H$7)-SUM($H652:AA652),(('PTRM input'!$H$156+'PTRM input'!$H$122)*$H$7)/A14taxstdlife))</f>
        <v>0</v>
      </c>
      <c r="AC652" s="590">
        <f>IF(A14taxstdlife="n/a","n/a",IF(AC$3&gt;(A14taxstdlife+$E652),(('PTRM input'!$H$156+'PTRM input'!$H$122)*$H$7)-SUM($H652:AB652),(('PTRM input'!$H$156+'PTRM input'!$H$122)*$H$7)/A14taxstdlife))</f>
        <v>0</v>
      </c>
      <c r="AD652" s="590">
        <f>IF(A14taxstdlife="n/a","n/a",IF(AD$3&gt;(A14taxstdlife+$E652),(('PTRM input'!$H$156+'PTRM input'!$H$122)*$H$7)-SUM($H652:AC652),(('PTRM input'!$H$156+'PTRM input'!$H$122)*$H$7)/A14taxstdlife))</f>
        <v>0</v>
      </c>
      <c r="AE652" s="590">
        <f>IF(A14taxstdlife="n/a","n/a",IF(AE$3&gt;(A14taxstdlife+$E652),(('PTRM input'!$H$156+'PTRM input'!$H$122)*$H$7)-SUM($H652:AD652),(('PTRM input'!$H$156+'PTRM input'!$H$122)*$H$7)/A14taxstdlife))</f>
        <v>0</v>
      </c>
      <c r="AF652" s="590">
        <f>IF(A14taxstdlife="n/a","n/a",IF(AF$3&gt;(A14taxstdlife+$E652),(('PTRM input'!$H$156+'PTRM input'!$H$122)*$H$7)-SUM($H652:AE652),(('PTRM input'!$H$156+'PTRM input'!$H$122)*$H$7)/A14taxstdlife))</f>
        <v>0</v>
      </c>
      <c r="AG652" s="590">
        <f>IF(A14taxstdlife="n/a","n/a",IF(AG$3&gt;(A14taxstdlife+$E652),(('PTRM input'!$H$156+'PTRM input'!$H$122)*$H$7)-SUM($H652:AF652),(('PTRM input'!$H$156+'PTRM input'!$H$122)*$H$7)/A14taxstdlife))</f>
        <v>0</v>
      </c>
      <c r="AH652" s="590">
        <f>IF(A14taxstdlife="n/a","n/a",IF(AH$3&gt;(A14taxstdlife+$E652),(('PTRM input'!$H$156+'PTRM input'!$H$122)*$H$7)-SUM($H652:AG652),(('PTRM input'!$H$156+'PTRM input'!$H$122)*$H$7)/A14taxstdlife))</f>
        <v>0</v>
      </c>
      <c r="AI652" s="590">
        <f>IF(A14taxstdlife="n/a","n/a",IF(AI$3&gt;(A14taxstdlife+$E652),(('PTRM input'!$H$156+'PTRM input'!$H$122)*$H$7)-SUM($H652:AH652),(('PTRM input'!$H$156+'PTRM input'!$H$122)*$H$7)/A14taxstdlife))</f>
        <v>0</v>
      </c>
      <c r="AJ652" s="590">
        <f>IF(A14taxstdlife="n/a","n/a",IF(AJ$3&gt;(A14taxstdlife+$E652),(('PTRM input'!$H$156+'PTRM input'!$H$122)*$H$7)-SUM($H652:AI652),(('PTRM input'!$H$156+'PTRM input'!$H$122)*$H$7)/A14taxstdlife))</f>
        <v>0</v>
      </c>
      <c r="AK652" s="590">
        <f>IF(A14taxstdlife="n/a","n/a",IF(AK$3&gt;(A14taxstdlife+$E652),(('PTRM input'!$H$156+'PTRM input'!$H$122)*$H$7)-SUM($H652:AJ652),(('PTRM input'!$H$156+'PTRM input'!$H$122)*$H$7)/A14taxstdlife))</f>
        <v>0</v>
      </c>
      <c r="AL652" s="590">
        <f>IF(A14taxstdlife="n/a","n/a",IF(AL$3&gt;(A14taxstdlife+$E652),(('PTRM input'!$H$156+'PTRM input'!$H$122)*$H$7)-SUM($H652:AK652),(('PTRM input'!$H$156+'PTRM input'!$H$122)*$H$7)/A14taxstdlife))</f>
        <v>0</v>
      </c>
      <c r="AM652" s="590">
        <f>IF(A14taxstdlife="n/a","n/a",IF(AM$3&gt;(A14taxstdlife+$E652),(('PTRM input'!$H$156+'PTRM input'!$H$122)*$H$7)-SUM($H652:AL652),(('PTRM input'!$H$156+'PTRM input'!$H$122)*$H$7)/A14taxstdlife))</f>
        <v>0</v>
      </c>
      <c r="AN652" s="590">
        <f>IF(A14taxstdlife="n/a","n/a",IF(AN$3&gt;(A14taxstdlife+$E652),(('PTRM input'!$H$156+'PTRM input'!$H$122)*$H$7)-SUM($H652:AM652),(('PTRM input'!$H$156+'PTRM input'!$H$122)*$H$7)/A14taxstdlife))</f>
        <v>0</v>
      </c>
      <c r="AO652" s="590">
        <f>IF(A14taxstdlife="n/a","n/a",IF(AO$3&gt;(A14taxstdlife+$E652),(('PTRM input'!$H$156+'PTRM input'!$H$122)*$H$7)-SUM($H652:AN652),(('PTRM input'!$H$156+'PTRM input'!$H$122)*$H$7)/A14taxstdlife))</f>
        <v>0</v>
      </c>
      <c r="AP652" s="590">
        <f>IF(A14taxstdlife="n/a","n/a",IF(AP$3&gt;(A14taxstdlife+$E652),(('PTRM input'!$H$156+'PTRM input'!$H$122)*$H$7)-SUM($H652:AO652),(('PTRM input'!$H$156+'PTRM input'!$H$122)*$H$7)/A14taxstdlife))</f>
        <v>0</v>
      </c>
      <c r="AQ652" s="590">
        <f>IF(A14taxstdlife="n/a","n/a",IF(AQ$3&gt;(A14taxstdlife+$E652),(('PTRM input'!$H$156+'PTRM input'!$H$122)*$H$7)-SUM($H652:AP652),(('PTRM input'!$H$156+'PTRM input'!$H$122)*$H$7)/A14taxstdlife))</f>
        <v>0</v>
      </c>
      <c r="AR652" s="590">
        <f>IF(A14taxstdlife="n/a","n/a",IF(AR$3&gt;(A14taxstdlife+$E652),(('PTRM input'!$H$156+'PTRM input'!$H$122)*$H$7)-SUM($H652:AQ652),(('PTRM input'!$H$156+'PTRM input'!$H$122)*$H$7)/A14taxstdlife))</f>
        <v>0</v>
      </c>
      <c r="AS652" s="590">
        <f>IF(A14taxstdlife="n/a","n/a",IF(AS$3&gt;(A14taxstdlife+$E652),(('PTRM input'!$H$156+'PTRM input'!$H$122)*$H$7)-SUM($H652:AR652),(('PTRM input'!$H$156+'PTRM input'!$H$122)*$H$7)/A14taxstdlife))</f>
        <v>0</v>
      </c>
      <c r="AT652" s="590">
        <f>IF(A14taxstdlife="n/a","n/a",IF(AT$3&gt;(A14taxstdlife+$E652),(('PTRM input'!$H$156+'PTRM input'!$H$122)*$H$7)-SUM($H652:AS652),(('PTRM input'!$H$156+'PTRM input'!$H$122)*$H$7)/A14taxstdlife))</f>
        <v>0</v>
      </c>
      <c r="AU652" s="590">
        <f>IF(A14taxstdlife="n/a","n/a",IF(AU$3&gt;(A14taxstdlife+$E652),(('PTRM input'!$H$156+'PTRM input'!$H$122)*$H$7)-SUM($H652:AT652),(('PTRM input'!$H$156+'PTRM input'!$H$122)*$H$7)/A14taxstdlife))</f>
        <v>0</v>
      </c>
      <c r="AV652" s="590">
        <f>IF(A14taxstdlife="n/a","n/a",IF(AV$3&gt;(A14taxstdlife+$E652),(('PTRM input'!$H$156+'PTRM input'!$H$122)*$H$7)-SUM($H652:AU652),(('PTRM input'!$H$156+'PTRM input'!$H$122)*$H$7)/A14taxstdlife))</f>
        <v>0</v>
      </c>
      <c r="AW652" s="590">
        <f>IF(A14taxstdlife="n/a","n/a",IF(AW$3&gt;(A14taxstdlife+$E652),(('PTRM input'!$H$156+'PTRM input'!$H$122)*$H$7)-SUM($H652:AV652),(('PTRM input'!$H$156+'PTRM input'!$H$122)*$H$7)/A14taxstdlife))</f>
        <v>0</v>
      </c>
      <c r="AX652" s="590">
        <f>IF(A14taxstdlife="n/a","n/a",IF(AX$3&gt;(A14taxstdlife+$E652),(('PTRM input'!$H$156+'PTRM input'!$H$122)*$H$7)-SUM($H652:AW652),(('PTRM input'!$H$156+'PTRM input'!$H$122)*$H$7)/A14taxstdlife))</f>
        <v>0</v>
      </c>
      <c r="AY652" s="590">
        <f>IF(A14taxstdlife="n/a","n/a",IF(AY$3&gt;(A14taxstdlife+$E652),(('PTRM input'!$H$156+'PTRM input'!$H$122)*$H$7)-SUM($H652:AX652),(('PTRM input'!$H$156+'PTRM input'!$H$122)*$H$7)/A14taxstdlife))</f>
        <v>0</v>
      </c>
      <c r="AZ652" s="590">
        <f>IF(A14taxstdlife="n/a","n/a",IF(AZ$3&gt;(A14taxstdlife+$E652),(('PTRM input'!$H$156+'PTRM input'!$H$122)*$H$7)-SUM($H652:AY652),(('PTRM input'!$H$156+'PTRM input'!$H$122)*$H$7)/A14taxstdlife))</f>
        <v>0</v>
      </c>
      <c r="BA652" s="590">
        <f>IF(A14taxstdlife="n/a","n/a",IF(BA$3&gt;(A14taxstdlife+$E652),(('PTRM input'!$H$156+'PTRM input'!$H$122)*$H$7)-SUM($H652:AZ652),(('PTRM input'!$H$156+'PTRM input'!$H$122)*$H$7)/A14taxstdlife))</f>
        <v>0</v>
      </c>
      <c r="BB652" s="590">
        <f>IF(A14taxstdlife="n/a","n/a",IF(BB$3&gt;(A14taxstdlife+$E652),(('PTRM input'!$H$156+'PTRM input'!$H$122)*$H$7)-SUM($H652:BA652),(('PTRM input'!$H$156+'PTRM input'!$H$122)*$H$7)/A14taxstdlife))</f>
        <v>0</v>
      </c>
      <c r="BC652" s="590">
        <f>IF(A14taxstdlife="n/a","n/a",IF(BC$3&gt;(A14taxstdlife+$E652),(('PTRM input'!$H$156+'PTRM input'!$H$122)*$H$7)-SUM($H652:BB652),(('PTRM input'!$H$156+'PTRM input'!$H$122)*$H$7)/A14taxstdlife))</f>
        <v>0</v>
      </c>
      <c r="BD652" s="590">
        <f>IF(A14taxstdlife="n/a","n/a",IF(BD$3&gt;(A14taxstdlife+$E652),(('PTRM input'!$H$156+'PTRM input'!$H$122)*$H$7)-SUM($H652:BC652),(('PTRM input'!$H$156+'PTRM input'!$H$122)*$H$7)/A14taxstdlife))</f>
        <v>0</v>
      </c>
      <c r="BE652" s="590">
        <f>IF(A14taxstdlife="n/a","n/a",IF(BE$3&gt;(A14taxstdlife+$E652),(('PTRM input'!$H$156+'PTRM input'!$H$122)*$H$7)-SUM($H652:BD652),(('PTRM input'!$H$156+'PTRM input'!$H$122)*$H$7)/A14taxstdlife))</f>
        <v>0</v>
      </c>
      <c r="BF652" s="590">
        <f>IF(A14taxstdlife="n/a","n/a",IF(BF$3&gt;(A14taxstdlife+$E652),(('PTRM input'!$H$156+'PTRM input'!$H$122)*$H$7)-SUM($H652:BE652),(('PTRM input'!$H$156+'PTRM input'!$H$122)*$H$7)/A14taxstdlife))</f>
        <v>0</v>
      </c>
      <c r="BG652" s="590">
        <f>IF(A14taxstdlife="n/a","n/a",IF(BG$3&gt;(A14taxstdlife+$E652),(('PTRM input'!$H$156+'PTRM input'!$H$122)*$H$7)-SUM($H652:BF652),(('PTRM input'!$H$156+'PTRM input'!$H$122)*$H$7)/A14taxstdlife))</f>
        <v>0</v>
      </c>
      <c r="BH652" s="590">
        <f>IF(A14taxstdlife="n/a","n/a",IF(BH$3&gt;(A14taxstdlife+$E652),(('PTRM input'!$H$156+'PTRM input'!$H$122)*$H$7)-SUM($H652:BG652),(('PTRM input'!$H$156+'PTRM input'!$H$122)*$H$7)/A14taxstdlife))</f>
        <v>0</v>
      </c>
      <c r="BI652" s="590">
        <f>IF(A14taxstdlife="n/a","n/a",IF(BI$3&gt;(A14taxstdlife+$E652),(('PTRM input'!$H$156+'PTRM input'!$H$122)*$H$7)-SUM($H652:BH652),(('PTRM input'!$H$156+'PTRM input'!$H$122)*$H$7)/A14taxstdlife))</f>
        <v>0</v>
      </c>
      <c r="BJ652" s="240"/>
      <c r="BK652" s="240"/>
      <c r="BL652" s="240"/>
      <c r="BM652" s="240"/>
    </row>
    <row r="653" spans="1:65" s="4" customFormat="1" hidden="1" outlineLevel="2">
      <c r="A653" s="240"/>
      <c r="B653" s="240"/>
      <c r="C653" s="595"/>
      <c r="D653" s="1618"/>
      <c r="E653" s="169">
        <v>3</v>
      </c>
      <c r="F653" s="35"/>
      <c r="G653" s="184"/>
      <c r="H653" s="186"/>
      <c r="I653" s="185"/>
      <c r="J653" s="107">
        <f>IF(A14taxstdlife="n/a","n/a",IF(J$3&gt;(A14taxstdlife+$E653),(('PTRM input'!$I$156+'PTRM input'!$I$122)*$I$7)-SUM($I653:I653),(('PTRM input'!$I$156+'PTRM input'!$I$122)*$I$7)/A14taxstdlife))</f>
        <v>0</v>
      </c>
      <c r="K653" s="107">
        <f>IF(A14taxstdlife="n/a","n/a",IF(K$3&gt;(A14taxstdlife+$E653),(('PTRM input'!$I$156+'PTRM input'!$I$122)*$I$7)-SUM($I653:J653),(('PTRM input'!$I$156+'PTRM input'!$I$122)*$I$7)/A14taxstdlife))</f>
        <v>0</v>
      </c>
      <c r="L653" s="107">
        <f>IF(A14taxstdlife="n/a","n/a",IF(L$3&gt;(A14taxstdlife+$E653),(('PTRM input'!$I$156+'PTRM input'!$I$122)*$I$7)-SUM($I653:K653),(('PTRM input'!$I$156+'PTRM input'!$I$122)*$I$7)/A14taxstdlife))</f>
        <v>0</v>
      </c>
      <c r="M653" s="107">
        <f>IF(A14taxstdlife="n/a","n/a",IF(M$3&gt;(A14taxstdlife+$E653),(('PTRM input'!$I$156+'PTRM input'!$I$122)*$I$7)-SUM($I653:L653),(('PTRM input'!$I$156+'PTRM input'!$I$122)*$I$7)/A14taxstdlife))</f>
        <v>0</v>
      </c>
      <c r="N653" s="107">
        <f>IF(A14taxstdlife="n/a","n/a",IF(N$3&gt;(A14taxstdlife+$E653),(('PTRM input'!$I$156+'PTRM input'!$I$122)*$I$7)-SUM($I653:M653),(('PTRM input'!$I$156+'PTRM input'!$I$122)*$I$7)/A14taxstdlife))</f>
        <v>0</v>
      </c>
      <c r="O653" s="107">
        <f>IF(A14taxstdlife="n/a","n/a",IF(O$3&gt;(A14taxstdlife+$E653),(('PTRM input'!$I$156+'PTRM input'!$I$122)*$I$7)-SUM($I653:N653),(('PTRM input'!$I$156+'PTRM input'!$I$122)*$I$7)/A14taxstdlife))</f>
        <v>0</v>
      </c>
      <c r="P653" s="107">
        <f>IF(A14taxstdlife="n/a","n/a",IF(P$3&gt;(A14taxstdlife+$E653),(('PTRM input'!$I$156+'PTRM input'!$I$122)*$I$7)-SUM($I653:O653),(('PTRM input'!$I$156+'PTRM input'!$I$122)*$I$7)/A14taxstdlife))</f>
        <v>0</v>
      </c>
      <c r="Q653" s="590">
        <f>IF(A14taxstdlife="n/a","n/a",IF(Q$3&gt;(A14taxstdlife+$E653),(('PTRM input'!$I$156+'PTRM input'!$I$122)*$I$7)-SUM($I653:P653),(('PTRM input'!$I$156+'PTRM input'!$I$122)*$I$7)/A14taxstdlife))</f>
        <v>0</v>
      </c>
      <c r="R653" s="590">
        <f>IF(A14taxstdlife="n/a","n/a",IF(R$3&gt;(A14taxstdlife+$E653),(('PTRM input'!$I$156+'PTRM input'!$I$122)*$I$7)-SUM($I653:Q653),(('PTRM input'!$I$156+'PTRM input'!$I$122)*$I$7)/A14taxstdlife))</f>
        <v>0</v>
      </c>
      <c r="S653" s="590">
        <f>IF(A14taxstdlife="n/a","n/a",IF(S$3&gt;(A14taxstdlife+$E653),(('PTRM input'!$I$156+'PTRM input'!$I$122)*$I$7)-SUM($I653:R653),(('PTRM input'!$I$156+'PTRM input'!$I$122)*$I$7)/A14taxstdlife))</f>
        <v>0</v>
      </c>
      <c r="T653" s="590">
        <f>IF(A14taxstdlife="n/a","n/a",IF(T$3&gt;(A14taxstdlife+$E653),(('PTRM input'!$I$156+'PTRM input'!$I$122)*$I$7)-SUM($I653:S653),(('PTRM input'!$I$156+'PTRM input'!$I$122)*$I$7)/A14taxstdlife))</f>
        <v>0</v>
      </c>
      <c r="U653" s="590">
        <f>IF(A14taxstdlife="n/a","n/a",IF(U$3&gt;(A14taxstdlife+$E653),(('PTRM input'!$I$156+'PTRM input'!$I$122)*$I$7)-SUM($I653:T653),(('PTRM input'!$I$156+'PTRM input'!$I$122)*$I$7)/A14taxstdlife))</f>
        <v>0</v>
      </c>
      <c r="V653" s="590">
        <f>IF(A14taxstdlife="n/a","n/a",IF(V$3&gt;(A14taxstdlife+$E653),(('PTRM input'!$I$156+'PTRM input'!$I$122)*$I$7)-SUM($I653:U653),(('PTRM input'!$I$156+'PTRM input'!$I$122)*$I$7)/A14taxstdlife))</f>
        <v>0</v>
      </c>
      <c r="W653" s="590">
        <f>IF(A14taxstdlife="n/a","n/a",IF(W$3&gt;(A14taxstdlife+$E653),(('PTRM input'!$I$156+'PTRM input'!$I$122)*$I$7)-SUM($I653:V653),(('PTRM input'!$I$156+'PTRM input'!$I$122)*$I$7)/A14taxstdlife))</f>
        <v>0</v>
      </c>
      <c r="X653" s="590">
        <f>IF(A14taxstdlife="n/a","n/a",IF(X$3&gt;(A14taxstdlife+$E653),(('PTRM input'!$I$156+'PTRM input'!$I$122)*$I$7)-SUM($I653:W653),(('PTRM input'!$I$156+'PTRM input'!$I$122)*$I$7)/A14taxstdlife))</f>
        <v>0</v>
      </c>
      <c r="Y653" s="590">
        <f>IF(A14taxstdlife="n/a","n/a",IF(Y$3&gt;(A14taxstdlife+$E653),(('PTRM input'!$I$156+'PTRM input'!$I$122)*$I$7)-SUM($I653:X653),(('PTRM input'!$I$156+'PTRM input'!$I$122)*$I$7)/A14taxstdlife))</f>
        <v>0</v>
      </c>
      <c r="Z653" s="590">
        <f>IF(A14taxstdlife="n/a","n/a",IF(Z$3&gt;(A14taxstdlife+$E653),(('PTRM input'!$I$156+'PTRM input'!$I$122)*$I$7)-SUM($I653:Y653),(('PTRM input'!$I$156+'PTRM input'!$I$122)*$I$7)/A14taxstdlife))</f>
        <v>0</v>
      </c>
      <c r="AA653" s="590">
        <f>IF(A14taxstdlife="n/a","n/a",IF(AA$3&gt;(A14taxstdlife+$E653),(('PTRM input'!$I$156+'PTRM input'!$I$122)*$I$7)-SUM($I653:Z653),(('PTRM input'!$I$156+'PTRM input'!$I$122)*$I$7)/A14taxstdlife))</f>
        <v>0</v>
      </c>
      <c r="AB653" s="590">
        <f>IF(A14taxstdlife="n/a","n/a",IF(AB$3&gt;(A14taxstdlife+$E653),(('PTRM input'!$I$156+'PTRM input'!$I$122)*$I$7)-SUM($I653:AA653),(('PTRM input'!$I$156+'PTRM input'!$I$122)*$I$7)/A14taxstdlife))</f>
        <v>0</v>
      </c>
      <c r="AC653" s="590">
        <f>IF(A14taxstdlife="n/a","n/a",IF(AC$3&gt;(A14taxstdlife+$E653),(('PTRM input'!$I$156+'PTRM input'!$I$122)*$I$7)-SUM($I653:AB653),(('PTRM input'!$I$156+'PTRM input'!$I$122)*$I$7)/A14taxstdlife))</f>
        <v>0</v>
      </c>
      <c r="AD653" s="590">
        <f>IF(A14taxstdlife="n/a","n/a",IF(AD$3&gt;(A14taxstdlife+$E653),(('PTRM input'!$I$156+'PTRM input'!$I$122)*$I$7)-SUM($I653:AC653),(('PTRM input'!$I$156+'PTRM input'!$I$122)*$I$7)/A14taxstdlife))</f>
        <v>0</v>
      </c>
      <c r="AE653" s="590">
        <f>IF(A14taxstdlife="n/a","n/a",IF(AE$3&gt;(A14taxstdlife+$E653),(('PTRM input'!$I$156+'PTRM input'!$I$122)*$I$7)-SUM($I653:AD653),(('PTRM input'!$I$156+'PTRM input'!$I$122)*$I$7)/A14taxstdlife))</f>
        <v>0</v>
      </c>
      <c r="AF653" s="590">
        <f>IF(A14taxstdlife="n/a","n/a",IF(AF$3&gt;(A14taxstdlife+$E653),(('PTRM input'!$I$156+'PTRM input'!$I$122)*$I$7)-SUM($I653:AE653),(('PTRM input'!$I$156+'PTRM input'!$I$122)*$I$7)/A14taxstdlife))</f>
        <v>0</v>
      </c>
      <c r="AG653" s="590">
        <f>IF(A14taxstdlife="n/a","n/a",IF(AG$3&gt;(A14taxstdlife+$E653),(('PTRM input'!$I$156+'PTRM input'!$I$122)*$I$7)-SUM($I653:AF653),(('PTRM input'!$I$156+'PTRM input'!$I$122)*$I$7)/A14taxstdlife))</f>
        <v>0</v>
      </c>
      <c r="AH653" s="590">
        <f>IF(A14taxstdlife="n/a","n/a",IF(AH$3&gt;(A14taxstdlife+$E653),(('PTRM input'!$I$156+'PTRM input'!$I$122)*$I$7)-SUM($I653:AG653),(('PTRM input'!$I$156+'PTRM input'!$I$122)*$I$7)/A14taxstdlife))</f>
        <v>0</v>
      </c>
      <c r="AI653" s="590">
        <f>IF(A14taxstdlife="n/a","n/a",IF(AI$3&gt;(A14taxstdlife+$E653),(('PTRM input'!$I$156+'PTRM input'!$I$122)*$I$7)-SUM($I653:AH653),(('PTRM input'!$I$156+'PTRM input'!$I$122)*$I$7)/A14taxstdlife))</f>
        <v>0</v>
      </c>
      <c r="AJ653" s="590">
        <f>IF(A14taxstdlife="n/a","n/a",IF(AJ$3&gt;(A14taxstdlife+$E653),(('PTRM input'!$I$156+'PTRM input'!$I$122)*$I$7)-SUM($I653:AI653),(('PTRM input'!$I$156+'PTRM input'!$I$122)*$I$7)/A14taxstdlife))</f>
        <v>0</v>
      </c>
      <c r="AK653" s="590">
        <f>IF(A14taxstdlife="n/a","n/a",IF(AK$3&gt;(A14taxstdlife+$E653),(('PTRM input'!$I$156+'PTRM input'!$I$122)*$I$7)-SUM($I653:AJ653),(('PTRM input'!$I$156+'PTRM input'!$I$122)*$I$7)/A14taxstdlife))</f>
        <v>0</v>
      </c>
      <c r="AL653" s="590">
        <f>IF(A14taxstdlife="n/a","n/a",IF(AL$3&gt;(A14taxstdlife+$E653),(('PTRM input'!$I$156+'PTRM input'!$I$122)*$I$7)-SUM($I653:AK653),(('PTRM input'!$I$156+'PTRM input'!$I$122)*$I$7)/A14taxstdlife))</f>
        <v>0</v>
      </c>
      <c r="AM653" s="590">
        <f>IF(A14taxstdlife="n/a","n/a",IF(AM$3&gt;(A14taxstdlife+$E653),(('PTRM input'!$I$156+'PTRM input'!$I$122)*$I$7)-SUM($I653:AL653),(('PTRM input'!$I$156+'PTRM input'!$I$122)*$I$7)/A14taxstdlife))</f>
        <v>0</v>
      </c>
      <c r="AN653" s="590">
        <f>IF(A14taxstdlife="n/a","n/a",IF(AN$3&gt;(A14taxstdlife+$E653),(('PTRM input'!$I$156+'PTRM input'!$I$122)*$I$7)-SUM($I653:AM653),(('PTRM input'!$I$156+'PTRM input'!$I$122)*$I$7)/A14taxstdlife))</f>
        <v>0</v>
      </c>
      <c r="AO653" s="590">
        <f>IF(A14taxstdlife="n/a","n/a",IF(AO$3&gt;(A14taxstdlife+$E653),(('PTRM input'!$I$156+'PTRM input'!$I$122)*$I$7)-SUM($I653:AN653),(('PTRM input'!$I$156+'PTRM input'!$I$122)*$I$7)/A14taxstdlife))</f>
        <v>0</v>
      </c>
      <c r="AP653" s="590">
        <f>IF(A14taxstdlife="n/a","n/a",IF(AP$3&gt;(A14taxstdlife+$E653),(('PTRM input'!$I$156+'PTRM input'!$I$122)*$I$7)-SUM($I653:AO653),(('PTRM input'!$I$156+'PTRM input'!$I$122)*$I$7)/A14taxstdlife))</f>
        <v>0</v>
      </c>
      <c r="AQ653" s="590">
        <f>IF(A14taxstdlife="n/a","n/a",IF(AQ$3&gt;(A14taxstdlife+$E653),(('PTRM input'!$I$156+'PTRM input'!$I$122)*$I$7)-SUM($I653:AP653),(('PTRM input'!$I$156+'PTRM input'!$I$122)*$I$7)/A14taxstdlife))</f>
        <v>0</v>
      </c>
      <c r="AR653" s="590">
        <f>IF(A14taxstdlife="n/a","n/a",IF(AR$3&gt;(A14taxstdlife+$E653),(('PTRM input'!$I$156+'PTRM input'!$I$122)*$I$7)-SUM($I653:AQ653),(('PTRM input'!$I$156+'PTRM input'!$I$122)*$I$7)/A14taxstdlife))</f>
        <v>0</v>
      </c>
      <c r="AS653" s="590">
        <f>IF(A14taxstdlife="n/a","n/a",IF(AS$3&gt;(A14taxstdlife+$E653),(('PTRM input'!$I$156+'PTRM input'!$I$122)*$I$7)-SUM($I653:AR653),(('PTRM input'!$I$156+'PTRM input'!$I$122)*$I$7)/A14taxstdlife))</f>
        <v>0</v>
      </c>
      <c r="AT653" s="590">
        <f>IF(A14taxstdlife="n/a","n/a",IF(AT$3&gt;(A14taxstdlife+$E653),(('PTRM input'!$I$156+'PTRM input'!$I$122)*$I$7)-SUM($I653:AS653),(('PTRM input'!$I$156+'PTRM input'!$I$122)*$I$7)/A14taxstdlife))</f>
        <v>0</v>
      </c>
      <c r="AU653" s="590">
        <f>IF(A14taxstdlife="n/a","n/a",IF(AU$3&gt;(A14taxstdlife+$E653),(('PTRM input'!$I$156+'PTRM input'!$I$122)*$I$7)-SUM($I653:AT653),(('PTRM input'!$I$156+'PTRM input'!$I$122)*$I$7)/A14taxstdlife))</f>
        <v>0</v>
      </c>
      <c r="AV653" s="590">
        <f>IF(A14taxstdlife="n/a","n/a",IF(AV$3&gt;(A14taxstdlife+$E653),(('PTRM input'!$I$156+'PTRM input'!$I$122)*$I$7)-SUM($I653:AU653),(('PTRM input'!$I$156+'PTRM input'!$I$122)*$I$7)/A14taxstdlife))</f>
        <v>0</v>
      </c>
      <c r="AW653" s="590">
        <f>IF(A14taxstdlife="n/a","n/a",IF(AW$3&gt;(A14taxstdlife+$E653),(('PTRM input'!$I$156+'PTRM input'!$I$122)*$I$7)-SUM($I653:AV653),(('PTRM input'!$I$156+'PTRM input'!$I$122)*$I$7)/A14taxstdlife))</f>
        <v>0</v>
      </c>
      <c r="AX653" s="590">
        <f>IF(A14taxstdlife="n/a","n/a",IF(AX$3&gt;(A14taxstdlife+$E653),(('PTRM input'!$I$156+'PTRM input'!$I$122)*$I$7)-SUM($I653:AW653),(('PTRM input'!$I$156+'PTRM input'!$I$122)*$I$7)/A14taxstdlife))</f>
        <v>0</v>
      </c>
      <c r="AY653" s="590">
        <f>IF(A14taxstdlife="n/a","n/a",IF(AY$3&gt;(A14taxstdlife+$E653),(('PTRM input'!$I$156+'PTRM input'!$I$122)*$I$7)-SUM($I653:AX653),(('PTRM input'!$I$156+'PTRM input'!$I$122)*$I$7)/A14taxstdlife))</f>
        <v>0</v>
      </c>
      <c r="AZ653" s="590">
        <f>IF(A14taxstdlife="n/a","n/a",IF(AZ$3&gt;(A14taxstdlife+$E653),(('PTRM input'!$I$156+'PTRM input'!$I$122)*$I$7)-SUM($I653:AY653),(('PTRM input'!$I$156+'PTRM input'!$I$122)*$I$7)/A14taxstdlife))</f>
        <v>0</v>
      </c>
      <c r="BA653" s="590">
        <f>IF(A14taxstdlife="n/a","n/a",IF(BA$3&gt;(A14taxstdlife+$E653),(('PTRM input'!$I$156+'PTRM input'!$I$122)*$I$7)-SUM($I653:AZ653),(('PTRM input'!$I$156+'PTRM input'!$I$122)*$I$7)/A14taxstdlife))</f>
        <v>0</v>
      </c>
      <c r="BB653" s="590">
        <f>IF(A14taxstdlife="n/a","n/a",IF(BB$3&gt;(A14taxstdlife+$E653),(('PTRM input'!$I$156+'PTRM input'!$I$122)*$I$7)-SUM($I653:BA653),(('PTRM input'!$I$156+'PTRM input'!$I$122)*$I$7)/A14taxstdlife))</f>
        <v>0</v>
      </c>
      <c r="BC653" s="590">
        <f>IF(A14taxstdlife="n/a","n/a",IF(BC$3&gt;(A14taxstdlife+$E653),(('PTRM input'!$I$156+'PTRM input'!$I$122)*$I$7)-SUM($I653:BB653),(('PTRM input'!$I$156+'PTRM input'!$I$122)*$I$7)/A14taxstdlife))</f>
        <v>0</v>
      </c>
      <c r="BD653" s="590">
        <f>IF(A14taxstdlife="n/a","n/a",IF(BD$3&gt;(A14taxstdlife+$E653),(('PTRM input'!$I$156+'PTRM input'!$I$122)*$I$7)-SUM($I653:BC653),(('PTRM input'!$I$156+'PTRM input'!$I$122)*$I$7)/A14taxstdlife))</f>
        <v>0</v>
      </c>
      <c r="BE653" s="590">
        <f>IF(A14taxstdlife="n/a","n/a",IF(BE$3&gt;(A14taxstdlife+$E653),(('PTRM input'!$I$156+'PTRM input'!$I$122)*$I$7)-SUM($I653:BD653),(('PTRM input'!$I$156+'PTRM input'!$I$122)*$I$7)/A14taxstdlife))</f>
        <v>0</v>
      </c>
      <c r="BF653" s="590">
        <f>IF(A14taxstdlife="n/a","n/a",IF(BF$3&gt;(A14taxstdlife+$E653),(('PTRM input'!$I$156+'PTRM input'!$I$122)*$I$7)-SUM($I653:BE653),(('PTRM input'!$I$156+'PTRM input'!$I$122)*$I$7)/A14taxstdlife))</f>
        <v>0</v>
      </c>
      <c r="BG653" s="590">
        <f>IF(A14taxstdlife="n/a","n/a",IF(BG$3&gt;(A14taxstdlife+$E653),(('PTRM input'!$I$156+'PTRM input'!$I$122)*$I$7)-SUM($I653:BF653),(('PTRM input'!$I$156+'PTRM input'!$I$122)*$I$7)/A14taxstdlife))</f>
        <v>0</v>
      </c>
      <c r="BH653" s="590">
        <f>IF(A14taxstdlife="n/a","n/a",IF(BH$3&gt;(A14taxstdlife+$E653),(('PTRM input'!$I$156+'PTRM input'!$I$122)*$I$7)-SUM($I653:BG653),(('PTRM input'!$I$156+'PTRM input'!$I$122)*$I$7)/A14taxstdlife))</f>
        <v>0</v>
      </c>
      <c r="BI653" s="590">
        <f>IF(A14taxstdlife="n/a","n/a",IF(BI$3&gt;(A14taxstdlife+$E653),(('PTRM input'!$I$156+'PTRM input'!$I$122)*$I$7)-SUM($I653:BH653),(('PTRM input'!$I$156+'PTRM input'!$I$122)*$I$7)/A14taxstdlife))</f>
        <v>0</v>
      </c>
      <c r="BJ653" s="240"/>
      <c r="BK653" s="240"/>
      <c r="BL653" s="240"/>
      <c r="BM653" s="240"/>
    </row>
    <row r="654" spans="1:65" s="4" customFormat="1" hidden="1" outlineLevel="2">
      <c r="A654" s="240"/>
      <c r="B654" s="240"/>
      <c r="C654" s="595"/>
      <c r="D654" s="1618"/>
      <c r="E654" s="169">
        <v>4</v>
      </c>
      <c r="F654" s="35"/>
      <c r="G654" s="184"/>
      <c r="H654" s="186"/>
      <c r="I654" s="186"/>
      <c r="J654" s="185"/>
      <c r="K654" s="107">
        <f>IF(A14taxstdlife="n/a","n/a",IF(K$3&gt;(A14taxstdlife+$E654),(('PTRM input'!$J$156+'PTRM input'!$J$122)*$J$7)-SUM($J654:J654),(('PTRM input'!$J$156+'PTRM input'!$J$122)*$J$7)/A14taxstdlife))</f>
        <v>0</v>
      </c>
      <c r="L654" s="107">
        <f>IF(A14taxstdlife="n/a","n/a",IF(L$3&gt;(A14taxstdlife+$E654),(('PTRM input'!$J$156+'PTRM input'!$J$122)*$J$7)-SUM($J654:K654),(('PTRM input'!$J$156+'PTRM input'!$J$122)*$J$7)/A14taxstdlife))</f>
        <v>0</v>
      </c>
      <c r="M654" s="107">
        <f>IF(A14taxstdlife="n/a","n/a",IF(M$3&gt;(A14taxstdlife+$E654),(('PTRM input'!$J$156+'PTRM input'!$J$122)*$J$7)-SUM($J654:L654),(('PTRM input'!$J$156+'PTRM input'!$J$122)*$J$7)/A14taxstdlife))</f>
        <v>0</v>
      </c>
      <c r="N654" s="107">
        <f>IF(A14taxstdlife="n/a","n/a",IF(N$3&gt;(A14taxstdlife+$E654),(('PTRM input'!$J$156+'PTRM input'!$J$122)*$J$7)-SUM($J654:M654),(('PTRM input'!$J$156+'PTRM input'!$J$122)*$J$7)/A14taxstdlife))</f>
        <v>0</v>
      </c>
      <c r="O654" s="107">
        <f>IF(A14taxstdlife="n/a","n/a",IF(O$3&gt;(A14taxstdlife+$E654),(('PTRM input'!$J$156+'PTRM input'!$J$122)*$J$7)-SUM($J654:N654),(('PTRM input'!$J$156+'PTRM input'!$J$122)*$J$7)/A14taxstdlife))</f>
        <v>0</v>
      </c>
      <c r="P654" s="107">
        <f>IF(A14taxstdlife="n/a","n/a",IF(P$3&gt;(A14taxstdlife+$E654),(('PTRM input'!$J$156+'PTRM input'!$J$122)*$J$7)-SUM($J654:O654),(('PTRM input'!$J$156+'PTRM input'!$J$122)*$J$7)/A14taxstdlife))</f>
        <v>0</v>
      </c>
      <c r="Q654" s="590">
        <f>IF(A14taxstdlife="n/a","n/a",IF(Q$3&gt;(A14taxstdlife+$E654),(('PTRM input'!$J$156+'PTRM input'!$J$122)*$J$7)-SUM($J654:P654),(('PTRM input'!$J$156+'PTRM input'!$J$122)*$J$7)/A14taxstdlife))</f>
        <v>0</v>
      </c>
      <c r="R654" s="590">
        <f>IF(A14taxstdlife="n/a","n/a",IF(R$3&gt;(A14taxstdlife+$E654),(('PTRM input'!$J$156+'PTRM input'!$J$122)*$J$7)-SUM($J654:Q654),(('PTRM input'!$J$156+'PTRM input'!$J$122)*$J$7)/A14taxstdlife))</f>
        <v>0</v>
      </c>
      <c r="S654" s="590">
        <f>IF(A14taxstdlife="n/a","n/a",IF(S$3&gt;(A14taxstdlife+$E654),(('PTRM input'!$J$156+'PTRM input'!$J$122)*$J$7)-SUM($J654:R654),(('PTRM input'!$J$156+'PTRM input'!$J$122)*$J$7)/A14taxstdlife))</f>
        <v>0</v>
      </c>
      <c r="T654" s="590">
        <f>IF(A14taxstdlife="n/a","n/a",IF(T$3&gt;(A14taxstdlife+$E654),(('PTRM input'!$J$156+'PTRM input'!$J$122)*$J$7)-SUM($J654:S654),(('PTRM input'!$J$156+'PTRM input'!$J$122)*$J$7)/A14taxstdlife))</f>
        <v>0</v>
      </c>
      <c r="U654" s="590">
        <f>IF(A14taxstdlife="n/a","n/a",IF(U$3&gt;(A14taxstdlife+$E654),(('PTRM input'!$J$156+'PTRM input'!$J$122)*$J$7)-SUM($J654:T654),(('PTRM input'!$J$156+'PTRM input'!$J$122)*$J$7)/A14taxstdlife))</f>
        <v>0</v>
      </c>
      <c r="V654" s="590">
        <f>IF(A14taxstdlife="n/a","n/a",IF(V$3&gt;(A14taxstdlife+$E654),(('PTRM input'!$J$156+'PTRM input'!$J$122)*$J$7)-SUM($J654:U654),(('PTRM input'!$J$156+'PTRM input'!$J$122)*$J$7)/A14taxstdlife))</f>
        <v>0</v>
      </c>
      <c r="W654" s="590">
        <f>IF(A14taxstdlife="n/a","n/a",IF(W$3&gt;(A14taxstdlife+$E654),(('PTRM input'!$J$156+'PTRM input'!$J$122)*$J$7)-SUM($J654:V654),(('PTRM input'!$J$156+'PTRM input'!$J$122)*$J$7)/A14taxstdlife))</f>
        <v>0</v>
      </c>
      <c r="X654" s="590">
        <f>IF(A14taxstdlife="n/a","n/a",IF(X$3&gt;(A14taxstdlife+$E654),(('PTRM input'!$J$156+'PTRM input'!$J$122)*$J$7)-SUM($J654:W654),(('PTRM input'!$J$156+'PTRM input'!$J$122)*$J$7)/A14taxstdlife))</f>
        <v>0</v>
      </c>
      <c r="Y654" s="590">
        <f>IF(A14taxstdlife="n/a","n/a",IF(Y$3&gt;(A14taxstdlife+$E654),(('PTRM input'!$J$156+'PTRM input'!$J$122)*$J$7)-SUM($J654:X654),(('PTRM input'!$J$156+'PTRM input'!$J$122)*$J$7)/A14taxstdlife))</f>
        <v>0</v>
      </c>
      <c r="Z654" s="590">
        <f>IF(A14taxstdlife="n/a","n/a",IF(Z$3&gt;(A14taxstdlife+$E654),(('PTRM input'!$J$156+'PTRM input'!$J$122)*$J$7)-SUM($J654:Y654),(('PTRM input'!$J$156+'PTRM input'!$J$122)*$J$7)/A14taxstdlife))</f>
        <v>0</v>
      </c>
      <c r="AA654" s="590">
        <f>IF(A14taxstdlife="n/a","n/a",IF(AA$3&gt;(A14taxstdlife+$E654),(('PTRM input'!$J$156+'PTRM input'!$J$122)*$J$7)-SUM($J654:Z654),(('PTRM input'!$J$156+'PTRM input'!$J$122)*$J$7)/A14taxstdlife))</f>
        <v>0</v>
      </c>
      <c r="AB654" s="590">
        <f>IF(A14taxstdlife="n/a","n/a",IF(AB$3&gt;(A14taxstdlife+$E654),(('PTRM input'!$J$156+'PTRM input'!$J$122)*$J$7)-SUM($J654:AA654),(('PTRM input'!$J$156+'PTRM input'!$J$122)*$J$7)/A14taxstdlife))</f>
        <v>0</v>
      </c>
      <c r="AC654" s="590">
        <f>IF(A14taxstdlife="n/a","n/a",IF(AC$3&gt;(A14taxstdlife+$E654),(('PTRM input'!$J$156+'PTRM input'!$J$122)*$J$7)-SUM($J654:AB654),(('PTRM input'!$J$156+'PTRM input'!$J$122)*$J$7)/A14taxstdlife))</f>
        <v>0</v>
      </c>
      <c r="AD654" s="590">
        <f>IF(A14taxstdlife="n/a","n/a",IF(AD$3&gt;(A14taxstdlife+$E654),(('PTRM input'!$J$156+'PTRM input'!$J$122)*$J$7)-SUM($J654:AC654),(('PTRM input'!$J$156+'PTRM input'!$J$122)*$J$7)/A14taxstdlife))</f>
        <v>0</v>
      </c>
      <c r="AE654" s="590">
        <f>IF(A14taxstdlife="n/a","n/a",IF(AE$3&gt;(A14taxstdlife+$E654),(('PTRM input'!$J$156+'PTRM input'!$J$122)*$J$7)-SUM($J654:AD654),(('PTRM input'!$J$156+'PTRM input'!$J$122)*$J$7)/A14taxstdlife))</f>
        <v>0</v>
      </c>
      <c r="AF654" s="590">
        <f>IF(A14taxstdlife="n/a","n/a",IF(AF$3&gt;(A14taxstdlife+$E654),(('PTRM input'!$J$156+'PTRM input'!$J$122)*$J$7)-SUM($J654:AE654),(('PTRM input'!$J$156+'PTRM input'!$J$122)*$J$7)/A14taxstdlife))</f>
        <v>0</v>
      </c>
      <c r="AG654" s="590">
        <f>IF(A14taxstdlife="n/a","n/a",IF(AG$3&gt;(A14taxstdlife+$E654),(('PTRM input'!$J$156+'PTRM input'!$J$122)*$J$7)-SUM($J654:AF654),(('PTRM input'!$J$156+'PTRM input'!$J$122)*$J$7)/A14taxstdlife))</f>
        <v>0</v>
      </c>
      <c r="AH654" s="590">
        <f>IF(A14taxstdlife="n/a","n/a",IF(AH$3&gt;(A14taxstdlife+$E654),(('PTRM input'!$J$156+'PTRM input'!$J$122)*$J$7)-SUM($J654:AG654),(('PTRM input'!$J$156+'PTRM input'!$J$122)*$J$7)/A14taxstdlife))</f>
        <v>0</v>
      </c>
      <c r="AI654" s="590">
        <f>IF(A14taxstdlife="n/a","n/a",IF(AI$3&gt;(A14taxstdlife+$E654),(('PTRM input'!$J$156+'PTRM input'!$J$122)*$J$7)-SUM($J654:AH654),(('PTRM input'!$J$156+'PTRM input'!$J$122)*$J$7)/A14taxstdlife))</f>
        <v>0</v>
      </c>
      <c r="AJ654" s="590">
        <f>IF(A14taxstdlife="n/a","n/a",IF(AJ$3&gt;(A14taxstdlife+$E654),(('PTRM input'!$J$156+'PTRM input'!$J$122)*$J$7)-SUM($J654:AI654),(('PTRM input'!$J$156+'PTRM input'!$J$122)*$J$7)/A14taxstdlife))</f>
        <v>0</v>
      </c>
      <c r="AK654" s="590">
        <f>IF(A14taxstdlife="n/a","n/a",IF(AK$3&gt;(A14taxstdlife+$E654),(('PTRM input'!$J$156+'PTRM input'!$J$122)*$J$7)-SUM($J654:AJ654),(('PTRM input'!$J$156+'PTRM input'!$J$122)*$J$7)/A14taxstdlife))</f>
        <v>0</v>
      </c>
      <c r="AL654" s="590">
        <f>IF(A14taxstdlife="n/a","n/a",IF(AL$3&gt;(A14taxstdlife+$E654),(('PTRM input'!$J$156+'PTRM input'!$J$122)*$J$7)-SUM($J654:AK654),(('PTRM input'!$J$156+'PTRM input'!$J$122)*$J$7)/A14taxstdlife))</f>
        <v>0</v>
      </c>
      <c r="AM654" s="590">
        <f>IF(A14taxstdlife="n/a","n/a",IF(AM$3&gt;(A14taxstdlife+$E654),(('PTRM input'!$J$156+'PTRM input'!$J$122)*$J$7)-SUM($J654:AL654),(('PTRM input'!$J$156+'PTRM input'!$J$122)*$J$7)/A14taxstdlife))</f>
        <v>0</v>
      </c>
      <c r="AN654" s="590">
        <f>IF(A14taxstdlife="n/a","n/a",IF(AN$3&gt;(A14taxstdlife+$E654),(('PTRM input'!$J$156+'PTRM input'!$J$122)*$J$7)-SUM($J654:AM654),(('PTRM input'!$J$156+'PTRM input'!$J$122)*$J$7)/A14taxstdlife))</f>
        <v>0</v>
      </c>
      <c r="AO654" s="590">
        <f>IF(A14taxstdlife="n/a","n/a",IF(AO$3&gt;(A14taxstdlife+$E654),(('PTRM input'!$J$156+'PTRM input'!$J$122)*$J$7)-SUM($J654:AN654),(('PTRM input'!$J$156+'PTRM input'!$J$122)*$J$7)/A14taxstdlife))</f>
        <v>0</v>
      </c>
      <c r="AP654" s="590">
        <f>IF(A14taxstdlife="n/a","n/a",IF(AP$3&gt;(A14taxstdlife+$E654),(('PTRM input'!$J$156+'PTRM input'!$J$122)*$J$7)-SUM($J654:AO654),(('PTRM input'!$J$156+'PTRM input'!$J$122)*$J$7)/A14taxstdlife))</f>
        <v>0</v>
      </c>
      <c r="AQ654" s="590">
        <f>IF(A14taxstdlife="n/a","n/a",IF(AQ$3&gt;(A14taxstdlife+$E654),(('PTRM input'!$J$156+'PTRM input'!$J$122)*$J$7)-SUM($J654:AP654),(('PTRM input'!$J$156+'PTRM input'!$J$122)*$J$7)/A14taxstdlife))</f>
        <v>0</v>
      </c>
      <c r="AR654" s="590">
        <f>IF(A14taxstdlife="n/a","n/a",IF(AR$3&gt;(A14taxstdlife+$E654),(('PTRM input'!$J$156+'PTRM input'!$J$122)*$J$7)-SUM($J654:AQ654),(('PTRM input'!$J$156+'PTRM input'!$J$122)*$J$7)/A14taxstdlife))</f>
        <v>0</v>
      </c>
      <c r="AS654" s="590">
        <f>IF(A14taxstdlife="n/a","n/a",IF(AS$3&gt;(A14taxstdlife+$E654),(('PTRM input'!$J$156+'PTRM input'!$J$122)*$J$7)-SUM($J654:AR654),(('PTRM input'!$J$156+'PTRM input'!$J$122)*$J$7)/A14taxstdlife))</f>
        <v>0</v>
      </c>
      <c r="AT654" s="590">
        <f>IF(A14taxstdlife="n/a","n/a",IF(AT$3&gt;(A14taxstdlife+$E654),(('PTRM input'!$J$156+'PTRM input'!$J$122)*$J$7)-SUM($J654:AS654),(('PTRM input'!$J$156+'PTRM input'!$J$122)*$J$7)/A14taxstdlife))</f>
        <v>0</v>
      </c>
      <c r="AU654" s="590">
        <f>IF(A14taxstdlife="n/a","n/a",IF(AU$3&gt;(A14taxstdlife+$E654),(('PTRM input'!$J$156+'PTRM input'!$J$122)*$J$7)-SUM($J654:AT654),(('PTRM input'!$J$156+'PTRM input'!$J$122)*$J$7)/A14taxstdlife))</f>
        <v>0</v>
      </c>
      <c r="AV654" s="590">
        <f>IF(A14taxstdlife="n/a","n/a",IF(AV$3&gt;(A14taxstdlife+$E654),(('PTRM input'!$J$156+'PTRM input'!$J$122)*$J$7)-SUM($J654:AU654),(('PTRM input'!$J$156+'PTRM input'!$J$122)*$J$7)/A14taxstdlife))</f>
        <v>0</v>
      </c>
      <c r="AW654" s="590">
        <f>IF(A14taxstdlife="n/a","n/a",IF(AW$3&gt;(A14taxstdlife+$E654),(('PTRM input'!$J$156+'PTRM input'!$J$122)*$J$7)-SUM($J654:AV654),(('PTRM input'!$J$156+'PTRM input'!$J$122)*$J$7)/A14taxstdlife))</f>
        <v>0</v>
      </c>
      <c r="AX654" s="590">
        <f>IF(A14taxstdlife="n/a","n/a",IF(AX$3&gt;(A14taxstdlife+$E654),(('PTRM input'!$J$156+'PTRM input'!$J$122)*$J$7)-SUM($J654:AW654),(('PTRM input'!$J$156+'PTRM input'!$J$122)*$J$7)/A14taxstdlife))</f>
        <v>0</v>
      </c>
      <c r="AY654" s="590">
        <f>IF(A14taxstdlife="n/a","n/a",IF(AY$3&gt;(A14taxstdlife+$E654),(('PTRM input'!$J$156+'PTRM input'!$J$122)*$J$7)-SUM($J654:AX654),(('PTRM input'!$J$156+'PTRM input'!$J$122)*$J$7)/A14taxstdlife))</f>
        <v>0</v>
      </c>
      <c r="AZ654" s="590">
        <f>IF(A14taxstdlife="n/a","n/a",IF(AZ$3&gt;(A14taxstdlife+$E654),(('PTRM input'!$J$156+'PTRM input'!$J$122)*$J$7)-SUM($J654:AY654),(('PTRM input'!$J$156+'PTRM input'!$J$122)*$J$7)/A14taxstdlife))</f>
        <v>0</v>
      </c>
      <c r="BA654" s="590">
        <f>IF(A14taxstdlife="n/a","n/a",IF(BA$3&gt;(A14taxstdlife+$E654),(('PTRM input'!$J$156+'PTRM input'!$J$122)*$J$7)-SUM($J654:AZ654),(('PTRM input'!$J$156+'PTRM input'!$J$122)*$J$7)/A14taxstdlife))</f>
        <v>0</v>
      </c>
      <c r="BB654" s="590">
        <f>IF(A14taxstdlife="n/a","n/a",IF(BB$3&gt;(A14taxstdlife+$E654),(('PTRM input'!$J$156+'PTRM input'!$J$122)*$J$7)-SUM($J654:BA654),(('PTRM input'!$J$156+'PTRM input'!$J$122)*$J$7)/A14taxstdlife))</f>
        <v>0</v>
      </c>
      <c r="BC654" s="590">
        <f>IF(A14taxstdlife="n/a","n/a",IF(BC$3&gt;(A14taxstdlife+$E654),(('PTRM input'!$J$156+'PTRM input'!$J$122)*$J$7)-SUM($J654:BB654),(('PTRM input'!$J$156+'PTRM input'!$J$122)*$J$7)/A14taxstdlife))</f>
        <v>0</v>
      </c>
      <c r="BD654" s="590">
        <f>IF(A14taxstdlife="n/a","n/a",IF(BD$3&gt;(A14taxstdlife+$E654),(('PTRM input'!$J$156+'PTRM input'!$J$122)*$J$7)-SUM($J654:BC654),(('PTRM input'!$J$156+'PTRM input'!$J$122)*$J$7)/A14taxstdlife))</f>
        <v>0</v>
      </c>
      <c r="BE654" s="590">
        <f>IF(A14taxstdlife="n/a","n/a",IF(BE$3&gt;(A14taxstdlife+$E654),(('PTRM input'!$J$156+'PTRM input'!$J$122)*$J$7)-SUM($J654:BD654),(('PTRM input'!$J$156+'PTRM input'!$J$122)*$J$7)/A14taxstdlife))</f>
        <v>0</v>
      </c>
      <c r="BF654" s="590">
        <f>IF(A14taxstdlife="n/a","n/a",IF(BF$3&gt;(A14taxstdlife+$E654),(('PTRM input'!$J$156+'PTRM input'!$J$122)*$J$7)-SUM($J654:BE654),(('PTRM input'!$J$156+'PTRM input'!$J$122)*$J$7)/A14taxstdlife))</f>
        <v>0</v>
      </c>
      <c r="BG654" s="590">
        <f>IF(A14taxstdlife="n/a","n/a",IF(BG$3&gt;(A14taxstdlife+$E654),(('PTRM input'!$J$156+'PTRM input'!$J$122)*$J$7)-SUM($J654:BF654),(('PTRM input'!$J$156+'PTRM input'!$J$122)*$J$7)/A14taxstdlife))</f>
        <v>0</v>
      </c>
      <c r="BH654" s="590">
        <f>IF(A14taxstdlife="n/a","n/a",IF(BH$3&gt;(A14taxstdlife+$E654),(('PTRM input'!$J$156+'PTRM input'!$J$122)*$J$7)-SUM($J654:BG654),(('PTRM input'!$J$156+'PTRM input'!$J$122)*$J$7)/A14taxstdlife))</f>
        <v>0</v>
      </c>
      <c r="BI654" s="590">
        <f>IF(A14taxstdlife="n/a","n/a",IF(BI$3&gt;(A14taxstdlife+$E654),(('PTRM input'!$J$156+'PTRM input'!$J$122)*$J$7)-SUM($J654:BH654),(('PTRM input'!$J$156+'PTRM input'!$J$122)*$J$7)/A14taxstdlife))</f>
        <v>0</v>
      </c>
      <c r="BJ654" s="240"/>
      <c r="BK654" s="240"/>
      <c r="BL654" s="240"/>
      <c r="BM654" s="240"/>
    </row>
    <row r="655" spans="1:65" s="4" customFormat="1" hidden="1" outlineLevel="2">
      <c r="A655" s="240"/>
      <c r="B655" s="240"/>
      <c r="C655" s="595"/>
      <c r="D655" s="1618"/>
      <c r="E655" s="169">
        <v>5</v>
      </c>
      <c r="F655" s="35"/>
      <c r="G655" s="184"/>
      <c r="H655" s="186"/>
      <c r="I655" s="186"/>
      <c r="J655" s="186"/>
      <c r="K655" s="185"/>
      <c r="L655" s="107">
        <f>IF(A14taxstdlife="n/a","n/a",IF(L$3&gt;(A14taxstdlife+$E655),(('PTRM input'!$K$156+'PTRM input'!$K$122)*$K$7)-SUM($K655:K655),(('PTRM input'!$K$156+'PTRM input'!$K$122)*$K$7)/A14taxstdlife))</f>
        <v>0</v>
      </c>
      <c r="M655" s="107">
        <f>IF(A14taxstdlife="n/a","n/a",IF(M$3&gt;(A14taxstdlife+$E655),(('PTRM input'!$K$156+'PTRM input'!$K$122)*$K$7)-SUM($K655:L655),(('PTRM input'!$K$156+'PTRM input'!$K$122)*$K$7)/A14taxstdlife))</f>
        <v>0</v>
      </c>
      <c r="N655" s="107">
        <f>IF(A14taxstdlife="n/a","n/a",IF(N$3&gt;(A14taxstdlife+$E655),(('PTRM input'!$K$156+'PTRM input'!$K$122)*$K$7)-SUM($K655:M655),(('PTRM input'!$K$156+'PTRM input'!$K$122)*$K$7)/A14taxstdlife))</f>
        <v>0</v>
      </c>
      <c r="O655" s="107">
        <f>IF(A14taxstdlife="n/a","n/a",IF(O$3&gt;(A14taxstdlife+$E655),(('PTRM input'!$K$156+'PTRM input'!$K$122)*$K$7)-SUM($K655:N655),(('PTRM input'!$K$156+'PTRM input'!$K$122)*$K$7)/A14taxstdlife))</f>
        <v>0</v>
      </c>
      <c r="P655" s="107">
        <f>IF(A14taxstdlife="n/a","n/a",IF(P$3&gt;(A14taxstdlife+$E655),(('PTRM input'!$K$156+'PTRM input'!$K$122)*$K$7)-SUM($K655:O655),(('PTRM input'!$K$156+'PTRM input'!$K$122)*$K$7)/A14taxstdlife))</f>
        <v>0</v>
      </c>
      <c r="Q655" s="590">
        <f>IF(A14taxstdlife="n/a","n/a",IF(Q$3&gt;(A14taxstdlife+$E655),(('PTRM input'!$K$156+'PTRM input'!$K$122)*$K$7)-SUM($K655:P655),(('PTRM input'!$K$156+'PTRM input'!$K$122)*$K$7)/A14taxstdlife))</f>
        <v>0</v>
      </c>
      <c r="R655" s="590">
        <f>IF(A14taxstdlife="n/a","n/a",IF(R$3&gt;(A14taxstdlife+$E655),(('PTRM input'!$K$156+'PTRM input'!$K$122)*$K$7)-SUM($K655:Q655),(('PTRM input'!$K$156+'PTRM input'!$K$122)*$K$7)/A14taxstdlife))</f>
        <v>0</v>
      </c>
      <c r="S655" s="590">
        <f>IF(A14taxstdlife="n/a","n/a",IF(S$3&gt;(A14taxstdlife+$E655),(('PTRM input'!$K$156+'PTRM input'!$K$122)*$K$7)-SUM($K655:R655),(('PTRM input'!$K$156+'PTRM input'!$K$122)*$K$7)/A14taxstdlife))</f>
        <v>0</v>
      </c>
      <c r="T655" s="590">
        <f>IF(A14taxstdlife="n/a","n/a",IF(T$3&gt;(A14taxstdlife+$E655),(('PTRM input'!$K$156+'PTRM input'!$K$122)*$K$7)-SUM($K655:S655),(('PTRM input'!$K$156+'PTRM input'!$K$122)*$K$7)/A14taxstdlife))</f>
        <v>0</v>
      </c>
      <c r="U655" s="590">
        <f>IF(A14taxstdlife="n/a","n/a",IF(U$3&gt;(A14taxstdlife+$E655),(('PTRM input'!$K$156+'PTRM input'!$K$122)*$K$7)-SUM($K655:T655),(('PTRM input'!$K$156+'PTRM input'!$K$122)*$K$7)/A14taxstdlife))</f>
        <v>0</v>
      </c>
      <c r="V655" s="590">
        <f>IF(A14taxstdlife="n/a","n/a",IF(V$3&gt;(A14taxstdlife+$E655),(('PTRM input'!$K$156+'PTRM input'!$K$122)*$K$7)-SUM($K655:U655),(('PTRM input'!$K$156+'PTRM input'!$K$122)*$K$7)/A14taxstdlife))</f>
        <v>0</v>
      </c>
      <c r="W655" s="590">
        <f>IF(A14taxstdlife="n/a","n/a",IF(W$3&gt;(A14taxstdlife+$E655),(('PTRM input'!$K$156+'PTRM input'!$K$122)*$K$7)-SUM($K655:V655),(('PTRM input'!$K$156+'PTRM input'!$K$122)*$K$7)/A14taxstdlife))</f>
        <v>0</v>
      </c>
      <c r="X655" s="590">
        <f>IF(A14taxstdlife="n/a","n/a",IF(X$3&gt;(A14taxstdlife+$E655),(('PTRM input'!$K$156+'PTRM input'!$K$122)*$K$7)-SUM($K655:W655),(('PTRM input'!$K$156+'PTRM input'!$K$122)*$K$7)/A14taxstdlife))</f>
        <v>0</v>
      </c>
      <c r="Y655" s="590">
        <f>IF(A14taxstdlife="n/a","n/a",IF(Y$3&gt;(A14taxstdlife+$E655),(('PTRM input'!$K$156+'PTRM input'!$K$122)*$K$7)-SUM($K655:X655),(('PTRM input'!$K$156+'PTRM input'!$K$122)*$K$7)/A14taxstdlife))</f>
        <v>0</v>
      </c>
      <c r="Z655" s="590">
        <f>IF(A14taxstdlife="n/a","n/a",IF(Z$3&gt;(A14taxstdlife+$E655),(('PTRM input'!$K$156+'PTRM input'!$K$122)*$K$7)-SUM($K655:Y655),(('PTRM input'!$K$156+'PTRM input'!$K$122)*$K$7)/A14taxstdlife))</f>
        <v>0</v>
      </c>
      <c r="AA655" s="590">
        <f>IF(A14taxstdlife="n/a","n/a",IF(AA$3&gt;(A14taxstdlife+$E655),(('PTRM input'!$K$156+'PTRM input'!$K$122)*$K$7)-SUM($K655:Z655),(('PTRM input'!$K$156+'PTRM input'!$K$122)*$K$7)/A14taxstdlife))</f>
        <v>0</v>
      </c>
      <c r="AB655" s="590">
        <f>IF(A14taxstdlife="n/a","n/a",IF(AB$3&gt;(A14taxstdlife+$E655),(('PTRM input'!$K$156+'PTRM input'!$K$122)*$K$7)-SUM($K655:AA655),(('PTRM input'!$K$156+'PTRM input'!$K$122)*$K$7)/A14taxstdlife))</f>
        <v>0</v>
      </c>
      <c r="AC655" s="590">
        <f>IF(A14taxstdlife="n/a","n/a",IF(AC$3&gt;(A14taxstdlife+$E655),(('PTRM input'!$K$156+'PTRM input'!$K$122)*$K$7)-SUM($K655:AB655),(('PTRM input'!$K$156+'PTRM input'!$K$122)*$K$7)/A14taxstdlife))</f>
        <v>0</v>
      </c>
      <c r="AD655" s="590">
        <f>IF(A14taxstdlife="n/a","n/a",IF(AD$3&gt;(A14taxstdlife+$E655),(('PTRM input'!$K$156+'PTRM input'!$K$122)*$K$7)-SUM($K655:AC655),(('PTRM input'!$K$156+'PTRM input'!$K$122)*$K$7)/A14taxstdlife))</f>
        <v>0</v>
      </c>
      <c r="AE655" s="590">
        <f>IF(A14taxstdlife="n/a","n/a",IF(AE$3&gt;(A14taxstdlife+$E655),(('PTRM input'!$K$156+'PTRM input'!$K$122)*$K$7)-SUM($K655:AD655),(('PTRM input'!$K$156+'PTRM input'!$K$122)*$K$7)/A14taxstdlife))</f>
        <v>0</v>
      </c>
      <c r="AF655" s="590">
        <f>IF(A14taxstdlife="n/a","n/a",IF(AF$3&gt;(A14taxstdlife+$E655),(('PTRM input'!$K$156+'PTRM input'!$K$122)*$K$7)-SUM($K655:AE655),(('PTRM input'!$K$156+'PTRM input'!$K$122)*$K$7)/A14taxstdlife))</f>
        <v>0</v>
      </c>
      <c r="AG655" s="590">
        <f>IF(A14taxstdlife="n/a","n/a",IF(AG$3&gt;(A14taxstdlife+$E655),(('PTRM input'!$K$156+'PTRM input'!$K$122)*$K$7)-SUM($K655:AF655),(('PTRM input'!$K$156+'PTRM input'!$K$122)*$K$7)/A14taxstdlife))</f>
        <v>0</v>
      </c>
      <c r="AH655" s="590">
        <f>IF(A14taxstdlife="n/a","n/a",IF(AH$3&gt;(A14taxstdlife+$E655),(('PTRM input'!$K$156+'PTRM input'!$K$122)*$K$7)-SUM($K655:AG655),(('PTRM input'!$K$156+'PTRM input'!$K$122)*$K$7)/A14taxstdlife))</f>
        <v>0</v>
      </c>
      <c r="AI655" s="590">
        <f>IF(A14taxstdlife="n/a","n/a",IF(AI$3&gt;(A14taxstdlife+$E655),(('PTRM input'!$K$156+'PTRM input'!$K$122)*$K$7)-SUM($K655:AH655),(('PTRM input'!$K$156+'PTRM input'!$K$122)*$K$7)/A14taxstdlife))</f>
        <v>0</v>
      </c>
      <c r="AJ655" s="590">
        <f>IF(A14taxstdlife="n/a","n/a",IF(AJ$3&gt;(A14taxstdlife+$E655),(('PTRM input'!$K$156+'PTRM input'!$K$122)*$K$7)-SUM($K655:AI655),(('PTRM input'!$K$156+'PTRM input'!$K$122)*$K$7)/A14taxstdlife))</f>
        <v>0</v>
      </c>
      <c r="AK655" s="590">
        <f>IF(A14taxstdlife="n/a","n/a",IF(AK$3&gt;(A14taxstdlife+$E655),(('PTRM input'!$K$156+'PTRM input'!$K$122)*$K$7)-SUM($K655:AJ655),(('PTRM input'!$K$156+'PTRM input'!$K$122)*$K$7)/A14taxstdlife))</f>
        <v>0</v>
      </c>
      <c r="AL655" s="590">
        <f>IF(A14taxstdlife="n/a","n/a",IF(AL$3&gt;(A14taxstdlife+$E655),(('PTRM input'!$K$156+'PTRM input'!$K$122)*$K$7)-SUM($K655:AK655),(('PTRM input'!$K$156+'PTRM input'!$K$122)*$K$7)/A14taxstdlife))</f>
        <v>0</v>
      </c>
      <c r="AM655" s="590">
        <f>IF(A14taxstdlife="n/a","n/a",IF(AM$3&gt;(A14taxstdlife+$E655),(('PTRM input'!$K$156+'PTRM input'!$K$122)*$K$7)-SUM($K655:AL655),(('PTRM input'!$K$156+'PTRM input'!$K$122)*$K$7)/A14taxstdlife))</f>
        <v>0</v>
      </c>
      <c r="AN655" s="590">
        <f>IF(A14taxstdlife="n/a","n/a",IF(AN$3&gt;(A14taxstdlife+$E655),(('PTRM input'!$K$156+'PTRM input'!$K$122)*$K$7)-SUM($K655:AM655),(('PTRM input'!$K$156+'PTRM input'!$K$122)*$K$7)/A14taxstdlife))</f>
        <v>0</v>
      </c>
      <c r="AO655" s="590">
        <f>IF(A14taxstdlife="n/a","n/a",IF(AO$3&gt;(A14taxstdlife+$E655),(('PTRM input'!$K$156+'PTRM input'!$K$122)*$K$7)-SUM($K655:AN655),(('PTRM input'!$K$156+'PTRM input'!$K$122)*$K$7)/A14taxstdlife))</f>
        <v>0</v>
      </c>
      <c r="AP655" s="590">
        <f>IF(A14taxstdlife="n/a","n/a",IF(AP$3&gt;(A14taxstdlife+$E655),(('PTRM input'!$K$156+'PTRM input'!$K$122)*$K$7)-SUM($K655:AO655),(('PTRM input'!$K$156+'PTRM input'!$K$122)*$K$7)/A14taxstdlife))</f>
        <v>0</v>
      </c>
      <c r="AQ655" s="590">
        <f>IF(A14taxstdlife="n/a","n/a",IF(AQ$3&gt;(A14taxstdlife+$E655),(('PTRM input'!$K$156+'PTRM input'!$K$122)*$K$7)-SUM($K655:AP655),(('PTRM input'!$K$156+'PTRM input'!$K$122)*$K$7)/A14taxstdlife))</f>
        <v>0</v>
      </c>
      <c r="AR655" s="590">
        <f>IF(A14taxstdlife="n/a","n/a",IF(AR$3&gt;(A14taxstdlife+$E655),(('PTRM input'!$K$156+'PTRM input'!$K$122)*$K$7)-SUM($K655:AQ655),(('PTRM input'!$K$156+'PTRM input'!$K$122)*$K$7)/A14taxstdlife))</f>
        <v>0</v>
      </c>
      <c r="AS655" s="590">
        <f>IF(A14taxstdlife="n/a","n/a",IF(AS$3&gt;(A14taxstdlife+$E655),(('PTRM input'!$K$156+'PTRM input'!$K$122)*$K$7)-SUM($K655:AR655),(('PTRM input'!$K$156+'PTRM input'!$K$122)*$K$7)/A14taxstdlife))</f>
        <v>0</v>
      </c>
      <c r="AT655" s="590">
        <f>IF(A14taxstdlife="n/a","n/a",IF(AT$3&gt;(A14taxstdlife+$E655),(('PTRM input'!$K$156+'PTRM input'!$K$122)*$K$7)-SUM($K655:AS655),(('PTRM input'!$K$156+'PTRM input'!$K$122)*$K$7)/A14taxstdlife))</f>
        <v>0</v>
      </c>
      <c r="AU655" s="590">
        <f>IF(A14taxstdlife="n/a","n/a",IF(AU$3&gt;(A14taxstdlife+$E655),(('PTRM input'!$K$156+'PTRM input'!$K$122)*$K$7)-SUM($K655:AT655),(('PTRM input'!$K$156+'PTRM input'!$K$122)*$K$7)/A14taxstdlife))</f>
        <v>0</v>
      </c>
      <c r="AV655" s="590">
        <f>IF(A14taxstdlife="n/a","n/a",IF(AV$3&gt;(A14taxstdlife+$E655),(('PTRM input'!$K$156+'PTRM input'!$K$122)*$K$7)-SUM($K655:AU655),(('PTRM input'!$K$156+'PTRM input'!$K$122)*$K$7)/A14taxstdlife))</f>
        <v>0</v>
      </c>
      <c r="AW655" s="590">
        <f>IF(A14taxstdlife="n/a","n/a",IF(AW$3&gt;(A14taxstdlife+$E655),(('PTRM input'!$K$156+'PTRM input'!$K$122)*$K$7)-SUM($K655:AV655),(('PTRM input'!$K$156+'PTRM input'!$K$122)*$K$7)/A14taxstdlife))</f>
        <v>0</v>
      </c>
      <c r="AX655" s="590">
        <f>IF(A14taxstdlife="n/a","n/a",IF(AX$3&gt;(A14taxstdlife+$E655),(('PTRM input'!$K$156+'PTRM input'!$K$122)*$K$7)-SUM($K655:AW655),(('PTRM input'!$K$156+'PTRM input'!$K$122)*$K$7)/A14taxstdlife))</f>
        <v>0</v>
      </c>
      <c r="AY655" s="590">
        <f>IF(A14taxstdlife="n/a","n/a",IF(AY$3&gt;(A14taxstdlife+$E655),(('PTRM input'!$K$156+'PTRM input'!$K$122)*$K$7)-SUM($K655:AX655),(('PTRM input'!$K$156+'PTRM input'!$K$122)*$K$7)/A14taxstdlife))</f>
        <v>0</v>
      </c>
      <c r="AZ655" s="590">
        <f>IF(A14taxstdlife="n/a","n/a",IF(AZ$3&gt;(A14taxstdlife+$E655),(('PTRM input'!$K$156+'PTRM input'!$K$122)*$K$7)-SUM($K655:AY655),(('PTRM input'!$K$156+'PTRM input'!$K$122)*$K$7)/A14taxstdlife))</f>
        <v>0</v>
      </c>
      <c r="BA655" s="590">
        <f>IF(A14taxstdlife="n/a","n/a",IF(BA$3&gt;(A14taxstdlife+$E655),(('PTRM input'!$K$156+'PTRM input'!$K$122)*$K$7)-SUM($K655:AZ655),(('PTRM input'!$K$156+'PTRM input'!$K$122)*$K$7)/A14taxstdlife))</f>
        <v>0</v>
      </c>
      <c r="BB655" s="590">
        <f>IF(A14taxstdlife="n/a","n/a",IF(BB$3&gt;(A14taxstdlife+$E655),(('PTRM input'!$K$156+'PTRM input'!$K$122)*$K$7)-SUM($K655:BA655),(('PTRM input'!$K$156+'PTRM input'!$K$122)*$K$7)/A14taxstdlife))</f>
        <v>0</v>
      </c>
      <c r="BC655" s="590">
        <f>IF(A14taxstdlife="n/a","n/a",IF(BC$3&gt;(A14taxstdlife+$E655),(('PTRM input'!$K$156+'PTRM input'!$K$122)*$K$7)-SUM($K655:BB655),(('PTRM input'!$K$156+'PTRM input'!$K$122)*$K$7)/A14taxstdlife))</f>
        <v>0</v>
      </c>
      <c r="BD655" s="590">
        <f>IF(A14taxstdlife="n/a","n/a",IF(BD$3&gt;(A14taxstdlife+$E655),(('PTRM input'!$K$156+'PTRM input'!$K$122)*$K$7)-SUM($K655:BC655),(('PTRM input'!$K$156+'PTRM input'!$K$122)*$K$7)/A14taxstdlife))</f>
        <v>0</v>
      </c>
      <c r="BE655" s="590">
        <f>IF(A14taxstdlife="n/a","n/a",IF(BE$3&gt;(A14taxstdlife+$E655),(('PTRM input'!$K$156+'PTRM input'!$K$122)*$K$7)-SUM($K655:BD655),(('PTRM input'!$K$156+'PTRM input'!$K$122)*$K$7)/A14taxstdlife))</f>
        <v>0</v>
      </c>
      <c r="BF655" s="590">
        <f>IF(A14taxstdlife="n/a","n/a",IF(BF$3&gt;(A14taxstdlife+$E655),(('PTRM input'!$K$156+'PTRM input'!$K$122)*$K$7)-SUM($K655:BE655),(('PTRM input'!$K$156+'PTRM input'!$K$122)*$K$7)/A14taxstdlife))</f>
        <v>0</v>
      </c>
      <c r="BG655" s="590">
        <f>IF(A14taxstdlife="n/a","n/a",IF(BG$3&gt;(A14taxstdlife+$E655),(('PTRM input'!$K$156+'PTRM input'!$K$122)*$K$7)-SUM($K655:BF655),(('PTRM input'!$K$156+'PTRM input'!$K$122)*$K$7)/A14taxstdlife))</f>
        <v>0</v>
      </c>
      <c r="BH655" s="590">
        <f>IF(A14taxstdlife="n/a","n/a",IF(BH$3&gt;(A14taxstdlife+$E655),(('PTRM input'!$K$156+'PTRM input'!$K$122)*$K$7)-SUM($K655:BG655),(('PTRM input'!$K$156+'PTRM input'!$K$122)*$K$7)/A14taxstdlife))</f>
        <v>0</v>
      </c>
      <c r="BI655" s="590">
        <f>IF(A14taxstdlife="n/a","n/a",IF(BI$3&gt;(A14taxstdlife+$E655),(('PTRM input'!$K$156+'PTRM input'!$K$122)*$K$7)-SUM($K655:BH655),(('PTRM input'!$K$156+'PTRM input'!$K$122)*$K$7)/A14taxstdlife))</f>
        <v>0</v>
      </c>
      <c r="BJ655" s="240"/>
      <c r="BK655" s="240"/>
      <c r="BL655" s="240"/>
      <c r="BM655" s="240"/>
    </row>
    <row r="656" spans="1:65" s="4" customFormat="1" hidden="1" outlineLevel="2">
      <c r="A656" s="240"/>
      <c r="B656" s="240"/>
      <c r="C656" s="595"/>
      <c r="D656" s="1618"/>
      <c r="E656" s="169">
        <v>6</v>
      </c>
      <c r="F656" s="35"/>
      <c r="G656" s="184"/>
      <c r="H656" s="186"/>
      <c r="I656" s="186"/>
      <c r="J656" s="186"/>
      <c r="K656" s="186"/>
      <c r="L656" s="185"/>
      <c r="M656" s="107">
        <f>IF(A14taxstdlife="n/a","n/a",IF(M$3&gt;(A14taxstdlife+$E656),(('PTRM input'!$L$156+'PTRM input'!$L$122)*$L$7)-SUM($L656:L656),(('PTRM input'!$L$156+'PTRM input'!$L$122)*$L$7)/A14taxstdlife))</f>
        <v>0</v>
      </c>
      <c r="N656" s="107">
        <f>IF(A14taxstdlife="n/a","n/a",IF(N$3&gt;(A14taxstdlife+$E656),(('PTRM input'!$L$156+'PTRM input'!$L$122)*$L$7)-SUM($L656:M656),(('PTRM input'!$L$156+'PTRM input'!$L$122)*$L$7)/A14taxstdlife))</f>
        <v>0</v>
      </c>
      <c r="O656" s="107">
        <f>IF(A14taxstdlife="n/a","n/a",IF(O$3&gt;(A14taxstdlife+$E656),(('PTRM input'!$L$156+'PTRM input'!$L$122)*$L$7)-SUM($L656:N656),(('PTRM input'!$L$156+'PTRM input'!$L$122)*$L$7)/A14taxstdlife))</f>
        <v>0</v>
      </c>
      <c r="P656" s="107">
        <f>IF(A14taxstdlife="n/a","n/a",IF(P$3&gt;(A14taxstdlife+$E656),(('PTRM input'!$L$156+'PTRM input'!$L$122)*$L$7)-SUM($L656:O656),(('PTRM input'!$L$156+'PTRM input'!$L$122)*$L$7)/A14taxstdlife))</f>
        <v>0</v>
      </c>
      <c r="Q656" s="590">
        <f>IF(A14taxstdlife="n/a","n/a",IF(Q$3&gt;(A14taxstdlife+$E656),(('PTRM input'!$L$156+'PTRM input'!$L$122)*$L$7)-SUM($L656:P656),(('PTRM input'!$L$156+'PTRM input'!$L$122)*$L$7)/A14taxstdlife))</f>
        <v>0</v>
      </c>
      <c r="R656" s="590">
        <f>IF(A14taxstdlife="n/a","n/a",IF(R$3&gt;(A14taxstdlife+$E656),(('PTRM input'!$L$156+'PTRM input'!$L$122)*$L$7)-SUM($L656:Q656),(('PTRM input'!$L$156+'PTRM input'!$L$122)*$L$7)/A14taxstdlife))</f>
        <v>0</v>
      </c>
      <c r="S656" s="590">
        <f>IF(A14taxstdlife="n/a","n/a",IF(S$3&gt;(A14taxstdlife+$E656),(('PTRM input'!$L$156+'PTRM input'!$L$122)*$L$7)-SUM($L656:R656),(('PTRM input'!$L$156+'PTRM input'!$L$122)*$L$7)/A14taxstdlife))</f>
        <v>0</v>
      </c>
      <c r="T656" s="590">
        <f>IF(A14taxstdlife="n/a","n/a",IF(T$3&gt;(A14taxstdlife+$E656),(('PTRM input'!$L$156+'PTRM input'!$L$122)*$L$7)-SUM($L656:S656),(('PTRM input'!$L$156+'PTRM input'!$L$122)*$L$7)/A14taxstdlife))</f>
        <v>0</v>
      </c>
      <c r="U656" s="590">
        <f>IF(A14taxstdlife="n/a","n/a",IF(U$3&gt;(A14taxstdlife+$E656),(('PTRM input'!$L$156+'PTRM input'!$L$122)*$L$7)-SUM($L656:T656),(('PTRM input'!$L$156+'PTRM input'!$L$122)*$L$7)/A14taxstdlife))</f>
        <v>0</v>
      </c>
      <c r="V656" s="590">
        <f>IF(A14taxstdlife="n/a","n/a",IF(V$3&gt;(A14taxstdlife+$E656),(('PTRM input'!$L$156+'PTRM input'!$L$122)*$L$7)-SUM($L656:U656),(('PTRM input'!$L$156+'PTRM input'!$L$122)*$L$7)/A14taxstdlife))</f>
        <v>0</v>
      </c>
      <c r="W656" s="590">
        <f>IF(A14taxstdlife="n/a","n/a",IF(W$3&gt;(A14taxstdlife+$E656),(('PTRM input'!$L$156+'PTRM input'!$L$122)*$L$7)-SUM($L656:V656),(('PTRM input'!$L$156+'PTRM input'!$L$122)*$L$7)/A14taxstdlife))</f>
        <v>0</v>
      </c>
      <c r="X656" s="590">
        <f>IF(A14taxstdlife="n/a","n/a",IF(X$3&gt;(A14taxstdlife+$E656),(('PTRM input'!$L$156+'PTRM input'!$L$122)*$L$7)-SUM($L656:W656),(('PTRM input'!$L$156+'PTRM input'!$L$122)*$L$7)/A14taxstdlife))</f>
        <v>0</v>
      </c>
      <c r="Y656" s="590">
        <f>IF(A14taxstdlife="n/a","n/a",IF(Y$3&gt;(A14taxstdlife+$E656),(('PTRM input'!$L$156+'PTRM input'!$L$122)*$L$7)-SUM($L656:X656),(('PTRM input'!$L$156+'PTRM input'!$L$122)*$L$7)/A14taxstdlife))</f>
        <v>0</v>
      </c>
      <c r="Z656" s="590">
        <f>IF(A14taxstdlife="n/a","n/a",IF(Z$3&gt;(A14taxstdlife+$E656),(('PTRM input'!$L$156+'PTRM input'!$L$122)*$L$7)-SUM($L656:Y656),(('PTRM input'!$L$156+'PTRM input'!$L$122)*$L$7)/A14taxstdlife))</f>
        <v>0</v>
      </c>
      <c r="AA656" s="590">
        <f>IF(A14taxstdlife="n/a","n/a",IF(AA$3&gt;(A14taxstdlife+$E656),(('PTRM input'!$L$156+'PTRM input'!$L$122)*$L$7)-SUM($L656:Z656),(('PTRM input'!$L$156+'PTRM input'!$L$122)*$L$7)/A14taxstdlife))</f>
        <v>0</v>
      </c>
      <c r="AB656" s="590">
        <f>IF(A14taxstdlife="n/a","n/a",IF(AB$3&gt;(A14taxstdlife+$E656),(('PTRM input'!$L$156+'PTRM input'!$L$122)*$L$7)-SUM($L656:AA656),(('PTRM input'!$L$156+'PTRM input'!$L$122)*$L$7)/A14taxstdlife))</f>
        <v>0</v>
      </c>
      <c r="AC656" s="590">
        <f>IF(A14taxstdlife="n/a","n/a",IF(AC$3&gt;(A14taxstdlife+$E656),(('PTRM input'!$L$156+'PTRM input'!$L$122)*$L$7)-SUM($L656:AB656),(('PTRM input'!$L$156+'PTRM input'!$L$122)*$L$7)/A14taxstdlife))</f>
        <v>0</v>
      </c>
      <c r="AD656" s="590">
        <f>IF(A14taxstdlife="n/a","n/a",IF(AD$3&gt;(A14taxstdlife+$E656),(('PTRM input'!$L$156+'PTRM input'!$L$122)*$L$7)-SUM($L656:AC656),(('PTRM input'!$L$156+'PTRM input'!$L$122)*$L$7)/A14taxstdlife))</f>
        <v>0</v>
      </c>
      <c r="AE656" s="590">
        <f>IF(A14taxstdlife="n/a","n/a",IF(AE$3&gt;(A14taxstdlife+$E656),(('PTRM input'!$L$156+'PTRM input'!$L$122)*$L$7)-SUM($L656:AD656),(('PTRM input'!$L$156+'PTRM input'!$L$122)*$L$7)/A14taxstdlife))</f>
        <v>0</v>
      </c>
      <c r="AF656" s="590">
        <f>IF(A14taxstdlife="n/a","n/a",IF(AF$3&gt;(A14taxstdlife+$E656),(('PTRM input'!$L$156+'PTRM input'!$L$122)*$L$7)-SUM($L656:AE656),(('PTRM input'!$L$156+'PTRM input'!$L$122)*$L$7)/A14taxstdlife))</f>
        <v>0</v>
      </c>
      <c r="AG656" s="590">
        <f>IF(A14taxstdlife="n/a","n/a",IF(AG$3&gt;(A14taxstdlife+$E656),(('PTRM input'!$L$156+'PTRM input'!$L$122)*$L$7)-SUM($L656:AF656),(('PTRM input'!$L$156+'PTRM input'!$L$122)*$L$7)/A14taxstdlife))</f>
        <v>0</v>
      </c>
      <c r="AH656" s="590">
        <f>IF(A14taxstdlife="n/a","n/a",IF(AH$3&gt;(A14taxstdlife+$E656),(('PTRM input'!$L$156+'PTRM input'!$L$122)*$L$7)-SUM($L656:AG656),(('PTRM input'!$L$156+'PTRM input'!$L$122)*$L$7)/A14taxstdlife))</f>
        <v>0</v>
      </c>
      <c r="AI656" s="590">
        <f>IF(A14taxstdlife="n/a","n/a",IF(AI$3&gt;(A14taxstdlife+$E656),(('PTRM input'!$L$156+'PTRM input'!$L$122)*$L$7)-SUM($L656:AH656),(('PTRM input'!$L$156+'PTRM input'!$L$122)*$L$7)/A14taxstdlife))</f>
        <v>0</v>
      </c>
      <c r="AJ656" s="590">
        <f>IF(A14taxstdlife="n/a","n/a",IF(AJ$3&gt;(A14taxstdlife+$E656),(('PTRM input'!$L$156+'PTRM input'!$L$122)*$L$7)-SUM($L656:AI656),(('PTRM input'!$L$156+'PTRM input'!$L$122)*$L$7)/A14taxstdlife))</f>
        <v>0</v>
      </c>
      <c r="AK656" s="590">
        <f>IF(A14taxstdlife="n/a","n/a",IF(AK$3&gt;(A14taxstdlife+$E656),(('PTRM input'!$L$156+'PTRM input'!$L$122)*$L$7)-SUM($L656:AJ656),(('PTRM input'!$L$156+'PTRM input'!$L$122)*$L$7)/A14taxstdlife))</f>
        <v>0</v>
      </c>
      <c r="AL656" s="590">
        <f>IF(A14taxstdlife="n/a","n/a",IF(AL$3&gt;(A14taxstdlife+$E656),(('PTRM input'!$L$156+'PTRM input'!$L$122)*$L$7)-SUM($L656:AK656),(('PTRM input'!$L$156+'PTRM input'!$L$122)*$L$7)/A14taxstdlife))</f>
        <v>0</v>
      </c>
      <c r="AM656" s="590">
        <f>IF(A14taxstdlife="n/a","n/a",IF(AM$3&gt;(A14taxstdlife+$E656),(('PTRM input'!$L$156+'PTRM input'!$L$122)*$L$7)-SUM($L656:AL656),(('PTRM input'!$L$156+'PTRM input'!$L$122)*$L$7)/A14taxstdlife))</f>
        <v>0</v>
      </c>
      <c r="AN656" s="590">
        <f>IF(A14taxstdlife="n/a","n/a",IF(AN$3&gt;(A14taxstdlife+$E656),(('PTRM input'!$L$156+'PTRM input'!$L$122)*$L$7)-SUM($L656:AM656),(('PTRM input'!$L$156+'PTRM input'!$L$122)*$L$7)/A14taxstdlife))</f>
        <v>0</v>
      </c>
      <c r="AO656" s="590">
        <f>IF(A14taxstdlife="n/a","n/a",IF(AO$3&gt;(A14taxstdlife+$E656),(('PTRM input'!$L$156+'PTRM input'!$L$122)*$L$7)-SUM($L656:AN656),(('PTRM input'!$L$156+'PTRM input'!$L$122)*$L$7)/A14taxstdlife))</f>
        <v>0</v>
      </c>
      <c r="AP656" s="590">
        <f>IF(A14taxstdlife="n/a","n/a",IF(AP$3&gt;(A14taxstdlife+$E656),(('PTRM input'!$L$156+'PTRM input'!$L$122)*$L$7)-SUM($L656:AO656),(('PTRM input'!$L$156+'PTRM input'!$L$122)*$L$7)/A14taxstdlife))</f>
        <v>0</v>
      </c>
      <c r="AQ656" s="590">
        <f>IF(A14taxstdlife="n/a","n/a",IF(AQ$3&gt;(A14taxstdlife+$E656),(('PTRM input'!$L$156+'PTRM input'!$L$122)*$L$7)-SUM($L656:AP656),(('PTRM input'!$L$156+'PTRM input'!$L$122)*$L$7)/A14taxstdlife))</f>
        <v>0</v>
      </c>
      <c r="AR656" s="590">
        <f>IF(A14taxstdlife="n/a","n/a",IF(AR$3&gt;(A14taxstdlife+$E656),(('PTRM input'!$L$156+'PTRM input'!$L$122)*$L$7)-SUM($L656:AQ656),(('PTRM input'!$L$156+'PTRM input'!$L$122)*$L$7)/A14taxstdlife))</f>
        <v>0</v>
      </c>
      <c r="AS656" s="590">
        <f>IF(A14taxstdlife="n/a","n/a",IF(AS$3&gt;(A14taxstdlife+$E656),(('PTRM input'!$L$156+'PTRM input'!$L$122)*$L$7)-SUM($L656:AR656),(('PTRM input'!$L$156+'PTRM input'!$L$122)*$L$7)/A14taxstdlife))</f>
        <v>0</v>
      </c>
      <c r="AT656" s="590">
        <f>IF(A14taxstdlife="n/a","n/a",IF(AT$3&gt;(A14taxstdlife+$E656),(('PTRM input'!$L$156+'PTRM input'!$L$122)*$L$7)-SUM($L656:AS656),(('PTRM input'!$L$156+'PTRM input'!$L$122)*$L$7)/A14taxstdlife))</f>
        <v>0</v>
      </c>
      <c r="AU656" s="590">
        <f>IF(A14taxstdlife="n/a","n/a",IF(AU$3&gt;(A14taxstdlife+$E656),(('PTRM input'!$L$156+'PTRM input'!$L$122)*$L$7)-SUM($L656:AT656),(('PTRM input'!$L$156+'PTRM input'!$L$122)*$L$7)/A14taxstdlife))</f>
        <v>0</v>
      </c>
      <c r="AV656" s="590">
        <f>IF(A14taxstdlife="n/a","n/a",IF(AV$3&gt;(A14taxstdlife+$E656),(('PTRM input'!$L$156+'PTRM input'!$L$122)*$L$7)-SUM($L656:AU656),(('PTRM input'!$L$156+'PTRM input'!$L$122)*$L$7)/A14taxstdlife))</f>
        <v>0</v>
      </c>
      <c r="AW656" s="590">
        <f>IF(A14taxstdlife="n/a","n/a",IF(AW$3&gt;(A14taxstdlife+$E656),(('PTRM input'!$L$156+'PTRM input'!$L$122)*$L$7)-SUM($L656:AV656),(('PTRM input'!$L$156+'PTRM input'!$L$122)*$L$7)/A14taxstdlife))</f>
        <v>0</v>
      </c>
      <c r="AX656" s="590">
        <f>IF(A14taxstdlife="n/a","n/a",IF(AX$3&gt;(A14taxstdlife+$E656),(('PTRM input'!$L$156+'PTRM input'!$L$122)*$L$7)-SUM($L656:AW656),(('PTRM input'!$L$156+'PTRM input'!$L$122)*$L$7)/A14taxstdlife))</f>
        <v>0</v>
      </c>
      <c r="AY656" s="590">
        <f>IF(A14taxstdlife="n/a","n/a",IF(AY$3&gt;(A14taxstdlife+$E656),(('PTRM input'!$L$156+'PTRM input'!$L$122)*$L$7)-SUM($L656:AX656),(('PTRM input'!$L$156+'PTRM input'!$L$122)*$L$7)/A14taxstdlife))</f>
        <v>0</v>
      </c>
      <c r="AZ656" s="590">
        <f>IF(A14taxstdlife="n/a","n/a",IF(AZ$3&gt;(A14taxstdlife+$E656),(('PTRM input'!$L$156+'PTRM input'!$L$122)*$L$7)-SUM($L656:AY656),(('PTRM input'!$L$156+'PTRM input'!$L$122)*$L$7)/A14taxstdlife))</f>
        <v>0</v>
      </c>
      <c r="BA656" s="590">
        <f>IF(A14taxstdlife="n/a","n/a",IF(BA$3&gt;(A14taxstdlife+$E656),(('PTRM input'!$L$156+'PTRM input'!$L$122)*$L$7)-SUM($L656:AZ656),(('PTRM input'!$L$156+'PTRM input'!$L$122)*$L$7)/A14taxstdlife))</f>
        <v>0</v>
      </c>
      <c r="BB656" s="590">
        <f>IF(A14taxstdlife="n/a","n/a",IF(BB$3&gt;(A14taxstdlife+$E656),(('PTRM input'!$L$156+'PTRM input'!$L$122)*$L$7)-SUM($L656:BA656),(('PTRM input'!$L$156+'PTRM input'!$L$122)*$L$7)/A14taxstdlife))</f>
        <v>0</v>
      </c>
      <c r="BC656" s="590">
        <f>IF(A14taxstdlife="n/a","n/a",IF(BC$3&gt;(A14taxstdlife+$E656),(('PTRM input'!$L$156+'PTRM input'!$L$122)*$L$7)-SUM($L656:BB656),(('PTRM input'!$L$156+'PTRM input'!$L$122)*$L$7)/A14taxstdlife))</f>
        <v>0</v>
      </c>
      <c r="BD656" s="590">
        <f>IF(A14taxstdlife="n/a","n/a",IF(BD$3&gt;(A14taxstdlife+$E656),(('PTRM input'!$L$156+'PTRM input'!$L$122)*$L$7)-SUM($L656:BC656),(('PTRM input'!$L$156+'PTRM input'!$L$122)*$L$7)/A14taxstdlife))</f>
        <v>0</v>
      </c>
      <c r="BE656" s="590">
        <f>IF(A14taxstdlife="n/a","n/a",IF(BE$3&gt;(A14taxstdlife+$E656),(('PTRM input'!$L$156+'PTRM input'!$L$122)*$L$7)-SUM($L656:BD656),(('PTRM input'!$L$156+'PTRM input'!$L$122)*$L$7)/A14taxstdlife))</f>
        <v>0</v>
      </c>
      <c r="BF656" s="590">
        <f>IF(A14taxstdlife="n/a","n/a",IF(BF$3&gt;(A14taxstdlife+$E656),(('PTRM input'!$L$156+'PTRM input'!$L$122)*$L$7)-SUM($L656:BE656),(('PTRM input'!$L$156+'PTRM input'!$L$122)*$L$7)/A14taxstdlife))</f>
        <v>0</v>
      </c>
      <c r="BG656" s="590">
        <f>IF(A14taxstdlife="n/a","n/a",IF(BG$3&gt;(A14taxstdlife+$E656),(('PTRM input'!$L$156+'PTRM input'!$L$122)*$L$7)-SUM($L656:BF656),(('PTRM input'!$L$156+'PTRM input'!$L$122)*$L$7)/A14taxstdlife))</f>
        <v>0</v>
      </c>
      <c r="BH656" s="590">
        <f>IF(A14taxstdlife="n/a","n/a",IF(BH$3&gt;(A14taxstdlife+$E656),(('PTRM input'!$L$156+'PTRM input'!$L$122)*$L$7)-SUM($L656:BG656),(('PTRM input'!$L$156+'PTRM input'!$L$122)*$L$7)/A14taxstdlife))</f>
        <v>0</v>
      </c>
      <c r="BI656" s="590">
        <f>IF(A14taxstdlife="n/a","n/a",IF(BI$3&gt;(A14taxstdlife+$E656),(('PTRM input'!$L$156+'PTRM input'!$L$122)*$L$7)-SUM($L656:BH656),(('PTRM input'!$L$156+'PTRM input'!$L$122)*$L$7)/A14taxstdlife))</f>
        <v>0</v>
      </c>
      <c r="BJ656" s="240"/>
      <c r="BK656" s="240"/>
      <c r="BL656" s="240"/>
      <c r="BM656" s="240"/>
    </row>
    <row r="657" spans="1:65" s="4" customFormat="1" hidden="1" outlineLevel="2">
      <c r="A657" s="240"/>
      <c r="B657" s="240"/>
      <c r="C657" s="595"/>
      <c r="D657" s="1618"/>
      <c r="E657" s="169">
        <v>7</v>
      </c>
      <c r="F657" s="35"/>
      <c r="G657" s="184"/>
      <c r="H657" s="186"/>
      <c r="I657" s="186"/>
      <c r="J657" s="186"/>
      <c r="K657" s="186"/>
      <c r="L657" s="186"/>
      <c r="M657" s="185"/>
      <c r="N657" s="107">
        <f>IF(A14taxstdlife="n/a","n/a",IF(N$3&gt;(A14taxstdlife+$E657),(('PTRM input'!$M$156+'PTRM input'!$M$122)*$M$7)-SUM($M657:M657),(('PTRM input'!$M$156+'PTRM input'!$M$122)*$M$7)/A14taxstdlife))</f>
        <v>0</v>
      </c>
      <c r="O657" s="107">
        <f>IF(A14taxstdlife="n/a","n/a",IF(O$3&gt;(A14taxstdlife+$E657),(('PTRM input'!$M$156+'PTRM input'!$M$122)*$M$7)-SUM($M657:N657),(('PTRM input'!$M$156+'PTRM input'!$M$122)*$M$7)/A14taxstdlife))</f>
        <v>0</v>
      </c>
      <c r="P657" s="107">
        <f>IF(A14taxstdlife="n/a","n/a",IF(P$3&gt;(A14taxstdlife+$E657),(('PTRM input'!$M$156+'PTRM input'!$M$122)*$M$7)-SUM($M657:O657),(('PTRM input'!$M$156+'PTRM input'!$M$122)*$M$7)/A14taxstdlife))</f>
        <v>0</v>
      </c>
      <c r="Q657" s="590">
        <f>IF(A14taxstdlife="n/a","n/a",IF(Q$3&gt;(A14taxstdlife+$E657),(('PTRM input'!$M$156+'PTRM input'!$M$122)*$M$7)-SUM($M657:P657),(('PTRM input'!$M$156+'PTRM input'!$M$122)*$M$7)/A14taxstdlife))</f>
        <v>0</v>
      </c>
      <c r="R657" s="590">
        <f>IF(A14taxstdlife="n/a","n/a",IF(R$3&gt;(A14taxstdlife+$E657),(('PTRM input'!$M$156+'PTRM input'!$M$122)*$M$7)-SUM($M657:Q657),(('PTRM input'!$M$156+'PTRM input'!$M$122)*$M$7)/A14taxstdlife))</f>
        <v>0</v>
      </c>
      <c r="S657" s="590">
        <f>IF(A14taxstdlife="n/a","n/a",IF(S$3&gt;(A14taxstdlife+$E657),(('PTRM input'!$M$156+'PTRM input'!$M$122)*$M$7)-SUM($M657:R657),(('PTRM input'!$M$156+'PTRM input'!$M$122)*$M$7)/A14taxstdlife))</f>
        <v>0</v>
      </c>
      <c r="T657" s="590">
        <f>IF(A14taxstdlife="n/a","n/a",IF(T$3&gt;(A14taxstdlife+$E657),(('PTRM input'!$M$156+'PTRM input'!$M$122)*$M$7)-SUM($M657:S657),(('PTRM input'!$M$156+'PTRM input'!$M$122)*$M$7)/A14taxstdlife))</f>
        <v>0</v>
      </c>
      <c r="U657" s="590">
        <f>IF(A14taxstdlife="n/a","n/a",IF(U$3&gt;(A14taxstdlife+$E657),(('PTRM input'!$M$156+'PTRM input'!$M$122)*$M$7)-SUM($M657:T657),(('PTRM input'!$M$156+'PTRM input'!$M$122)*$M$7)/A14taxstdlife))</f>
        <v>0</v>
      </c>
      <c r="V657" s="590">
        <f>IF(A14taxstdlife="n/a","n/a",IF(V$3&gt;(A14taxstdlife+$E657),(('PTRM input'!$M$156+'PTRM input'!$M$122)*$M$7)-SUM($M657:U657),(('PTRM input'!$M$156+'PTRM input'!$M$122)*$M$7)/A14taxstdlife))</f>
        <v>0</v>
      </c>
      <c r="W657" s="590">
        <f>IF(A14taxstdlife="n/a","n/a",IF(W$3&gt;(A14taxstdlife+$E657),(('PTRM input'!$M$156+'PTRM input'!$M$122)*$M$7)-SUM($M657:V657),(('PTRM input'!$M$156+'PTRM input'!$M$122)*$M$7)/A14taxstdlife))</f>
        <v>0</v>
      </c>
      <c r="X657" s="590">
        <f>IF(A14taxstdlife="n/a","n/a",IF(X$3&gt;(A14taxstdlife+$E657),(('PTRM input'!$M$156+'PTRM input'!$M$122)*$M$7)-SUM($M657:W657),(('PTRM input'!$M$156+'PTRM input'!$M$122)*$M$7)/A14taxstdlife))</f>
        <v>0</v>
      </c>
      <c r="Y657" s="590">
        <f>IF(A14taxstdlife="n/a","n/a",IF(Y$3&gt;(A14taxstdlife+$E657),(('PTRM input'!$M$156+'PTRM input'!$M$122)*$M$7)-SUM($M657:X657),(('PTRM input'!$M$156+'PTRM input'!$M$122)*$M$7)/A14taxstdlife))</f>
        <v>0</v>
      </c>
      <c r="Z657" s="590">
        <f>IF(A14taxstdlife="n/a","n/a",IF(Z$3&gt;(A14taxstdlife+$E657),(('PTRM input'!$M$156+'PTRM input'!$M$122)*$M$7)-SUM($M657:Y657),(('PTRM input'!$M$156+'PTRM input'!$M$122)*$M$7)/A14taxstdlife))</f>
        <v>0</v>
      </c>
      <c r="AA657" s="590">
        <f>IF(A14taxstdlife="n/a","n/a",IF(AA$3&gt;(A14taxstdlife+$E657),(('PTRM input'!$M$156+'PTRM input'!$M$122)*$M$7)-SUM($M657:Z657),(('PTRM input'!$M$156+'PTRM input'!$M$122)*$M$7)/A14taxstdlife))</f>
        <v>0</v>
      </c>
      <c r="AB657" s="590">
        <f>IF(A14taxstdlife="n/a","n/a",IF(AB$3&gt;(A14taxstdlife+$E657),(('PTRM input'!$M$156+'PTRM input'!$M$122)*$M$7)-SUM($M657:AA657),(('PTRM input'!$M$156+'PTRM input'!$M$122)*$M$7)/A14taxstdlife))</f>
        <v>0</v>
      </c>
      <c r="AC657" s="590">
        <f>IF(A14taxstdlife="n/a","n/a",IF(AC$3&gt;(A14taxstdlife+$E657),(('PTRM input'!$M$156+'PTRM input'!$M$122)*$M$7)-SUM($M657:AB657),(('PTRM input'!$M$156+'PTRM input'!$M$122)*$M$7)/A14taxstdlife))</f>
        <v>0</v>
      </c>
      <c r="AD657" s="590">
        <f>IF(A14taxstdlife="n/a","n/a",IF(AD$3&gt;(A14taxstdlife+$E657),(('PTRM input'!$M$156+'PTRM input'!$M$122)*$M$7)-SUM($M657:AC657),(('PTRM input'!$M$156+'PTRM input'!$M$122)*$M$7)/A14taxstdlife))</f>
        <v>0</v>
      </c>
      <c r="AE657" s="590">
        <f>IF(A14taxstdlife="n/a","n/a",IF(AE$3&gt;(A14taxstdlife+$E657),(('PTRM input'!$M$156+'PTRM input'!$M$122)*$M$7)-SUM($M657:AD657),(('PTRM input'!$M$156+'PTRM input'!$M$122)*$M$7)/A14taxstdlife))</f>
        <v>0</v>
      </c>
      <c r="AF657" s="590">
        <f>IF(A14taxstdlife="n/a","n/a",IF(AF$3&gt;(A14taxstdlife+$E657),(('PTRM input'!$M$156+'PTRM input'!$M$122)*$M$7)-SUM($M657:AE657),(('PTRM input'!$M$156+'PTRM input'!$M$122)*$M$7)/A14taxstdlife))</f>
        <v>0</v>
      </c>
      <c r="AG657" s="590">
        <f>IF(A14taxstdlife="n/a","n/a",IF(AG$3&gt;(A14taxstdlife+$E657),(('PTRM input'!$M$156+'PTRM input'!$M$122)*$M$7)-SUM($M657:AF657),(('PTRM input'!$M$156+'PTRM input'!$M$122)*$M$7)/A14taxstdlife))</f>
        <v>0</v>
      </c>
      <c r="AH657" s="590">
        <f>IF(A14taxstdlife="n/a","n/a",IF(AH$3&gt;(A14taxstdlife+$E657),(('PTRM input'!$M$156+'PTRM input'!$M$122)*$M$7)-SUM($M657:AG657),(('PTRM input'!$M$156+'PTRM input'!$M$122)*$M$7)/A14taxstdlife))</f>
        <v>0</v>
      </c>
      <c r="AI657" s="590">
        <f>IF(A14taxstdlife="n/a","n/a",IF(AI$3&gt;(A14taxstdlife+$E657),(('PTRM input'!$M$156+'PTRM input'!$M$122)*$M$7)-SUM($M657:AH657),(('PTRM input'!$M$156+'PTRM input'!$M$122)*$M$7)/A14taxstdlife))</f>
        <v>0</v>
      </c>
      <c r="AJ657" s="590">
        <f>IF(A14taxstdlife="n/a","n/a",IF(AJ$3&gt;(A14taxstdlife+$E657),(('PTRM input'!$M$156+'PTRM input'!$M$122)*$M$7)-SUM($M657:AI657),(('PTRM input'!$M$156+'PTRM input'!$M$122)*$M$7)/A14taxstdlife))</f>
        <v>0</v>
      </c>
      <c r="AK657" s="590">
        <f>IF(A14taxstdlife="n/a","n/a",IF(AK$3&gt;(A14taxstdlife+$E657),(('PTRM input'!$M$156+'PTRM input'!$M$122)*$M$7)-SUM($M657:AJ657),(('PTRM input'!$M$156+'PTRM input'!$M$122)*$M$7)/A14taxstdlife))</f>
        <v>0</v>
      </c>
      <c r="AL657" s="590">
        <f>IF(A14taxstdlife="n/a","n/a",IF(AL$3&gt;(A14taxstdlife+$E657),(('PTRM input'!$M$156+'PTRM input'!$M$122)*$M$7)-SUM($M657:AK657),(('PTRM input'!$M$156+'PTRM input'!$M$122)*$M$7)/A14taxstdlife))</f>
        <v>0</v>
      </c>
      <c r="AM657" s="590">
        <f>IF(A14taxstdlife="n/a","n/a",IF(AM$3&gt;(A14taxstdlife+$E657),(('PTRM input'!$M$156+'PTRM input'!$M$122)*$M$7)-SUM($M657:AL657),(('PTRM input'!$M$156+'PTRM input'!$M$122)*$M$7)/A14taxstdlife))</f>
        <v>0</v>
      </c>
      <c r="AN657" s="590">
        <f>IF(A14taxstdlife="n/a","n/a",IF(AN$3&gt;(A14taxstdlife+$E657),(('PTRM input'!$M$156+'PTRM input'!$M$122)*$M$7)-SUM($M657:AM657),(('PTRM input'!$M$156+'PTRM input'!$M$122)*$M$7)/A14taxstdlife))</f>
        <v>0</v>
      </c>
      <c r="AO657" s="590">
        <f>IF(A14taxstdlife="n/a","n/a",IF(AO$3&gt;(A14taxstdlife+$E657),(('PTRM input'!$M$156+'PTRM input'!$M$122)*$M$7)-SUM($M657:AN657),(('PTRM input'!$M$156+'PTRM input'!$M$122)*$M$7)/A14taxstdlife))</f>
        <v>0</v>
      </c>
      <c r="AP657" s="590">
        <f>IF(A14taxstdlife="n/a","n/a",IF(AP$3&gt;(A14taxstdlife+$E657),(('PTRM input'!$M$156+'PTRM input'!$M$122)*$M$7)-SUM($M657:AO657),(('PTRM input'!$M$156+'PTRM input'!$M$122)*$M$7)/A14taxstdlife))</f>
        <v>0</v>
      </c>
      <c r="AQ657" s="590">
        <f>IF(A14taxstdlife="n/a","n/a",IF(AQ$3&gt;(A14taxstdlife+$E657),(('PTRM input'!$M$156+'PTRM input'!$M$122)*$M$7)-SUM($M657:AP657),(('PTRM input'!$M$156+'PTRM input'!$M$122)*$M$7)/A14taxstdlife))</f>
        <v>0</v>
      </c>
      <c r="AR657" s="590">
        <f>IF(A14taxstdlife="n/a","n/a",IF(AR$3&gt;(A14taxstdlife+$E657),(('PTRM input'!$M$156+'PTRM input'!$M$122)*$M$7)-SUM($M657:AQ657),(('PTRM input'!$M$156+'PTRM input'!$M$122)*$M$7)/A14taxstdlife))</f>
        <v>0</v>
      </c>
      <c r="AS657" s="590">
        <f>IF(A14taxstdlife="n/a","n/a",IF(AS$3&gt;(A14taxstdlife+$E657),(('PTRM input'!$M$156+'PTRM input'!$M$122)*$M$7)-SUM($M657:AR657),(('PTRM input'!$M$156+'PTRM input'!$M$122)*$M$7)/A14taxstdlife))</f>
        <v>0</v>
      </c>
      <c r="AT657" s="590">
        <f>IF(A14taxstdlife="n/a","n/a",IF(AT$3&gt;(A14taxstdlife+$E657),(('PTRM input'!$M$156+'PTRM input'!$M$122)*$M$7)-SUM($M657:AS657),(('PTRM input'!$M$156+'PTRM input'!$M$122)*$M$7)/A14taxstdlife))</f>
        <v>0</v>
      </c>
      <c r="AU657" s="590">
        <f>IF(A14taxstdlife="n/a","n/a",IF(AU$3&gt;(A14taxstdlife+$E657),(('PTRM input'!$M$156+'PTRM input'!$M$122)*$M$7)-SUM($M657:AT657),(('PTRM input'!$M$156+'PTRM input'!$M$122)*$M$7)/A14taxstdlife))</f>
        <v>0</v>
      </c>
      <c r="AV657" s="590">
        <f>IF(A14taxstdlife="n/a","n/a",IF(AV$3&gt;(A14taxstdlife+$E657),(('PTRM input'!$M$156+'PTRM input'!$M$122)*$M$7)-SUM($M657:AU657),(('PTRM input'!$M$156+'PTRM input'!$M$122)*$M$7)/A14taxstdlife))</f>
        <v>0</v>
      </c>
      <c r="AW657" s="590">
        <f>IF(A14taxstdlife="n/a","n/a",IF(AW$3&gt;(A14taxstdlife+$E657),(('PTRM input'!$M$156+'PTRM input'!$M$122)*$M$7)-SUM($M657:AV657),(('PTRM input'!$M$156+'PTRM input'!$M$122)*$M$7)/A14taxstdlife))</f>
        <v>0</v>
      </c>
      <c r="AX657" s="590">
        <f>IF(A14taxstdlife="n/a","n/a",IF(AX$3&gt;(A14taxstdlife+$E657),(('PTRM input'!$M$156+'PTRM input'!$M$122)*$M$7)-SUM($M657:AW657),(('PTRM input'!$M$156+'PTRM input'!$M$122)*$M$7)/A14taxstdlife))</f>
        <v>0</v>
      </c>
      <c r="AY657" s="590">
        <f>IF(A14taxstdlife="n/a","n/a",IF(AY$3&gt;(A14taxstdlife+$E657),(('PTRM input'!$M$156+'PTRM input'!$M$122)*$M$7)-SUM($M657:AX657),(('PTRM input'!$M$156+'PTRM input'!$M$122)*$M$7)/A14taxstdlife))</f>
        <v>0</v>
      </c>
      <c r="AZ657" s="590">
        <f>IF(A14taxstdlife="n/a","n/a",IF(AZ$3&gt;(A14taxstdlife+$E657),(('PTRM input'!$M$156+'PTRM input'!$M$122)*$M$7)-SUM($M657:AY657),(('PTRM input'!$M$156+'PTRM input'!$M$122)*$M$7)/A14taxstdlife))</f>
        <v>0</v>
      </c>
      <c r="BA657" s="590">
        <f>IF(A14taxstdlife="n/a","n/a",IF(BA$3&gt;(A14taxstdlife+$E657),(('PTRM input'!$M$156+'PTRM input'!$M$122)*$M$7)-SUM($M657:AZ657),(('PTRM input'!$M$156+'PTRM input'!$M$122)*$M$7)/A14taxstdlife))</f>
        <v>0</v>
      </c>
      <c r="BB657" s="590">
        <f>IF(A14taxstdlife="n/a","n/a",IF(BB$3&gt;(A14taxstdlife+$E657),(('PTRM input'!$M$156+'PTRM input'!$M$122)*$M$7)-SUM($M657:BA657),(('PTRM input'!$M$156+'PTRM input'!$M$122)*$M$7)/A14taxstdlife))</f>
        <v>0</v>
      </c>
      <c r="BC657" s="590">
        <f>IF(A14taxstdlife="n/a","n/a",IF(BC$3&gt;(A14taxstdlife+$E657),(('PTRM input'!$M$156+'PTRM input'!$M$122)*$M$7)-SUM($M657:BB657),(('PTRM input'!$M$156+'PTRM input'!$M$122)*$M$7)/A14taxstdlife))</f>
        <v>0</v>
      </c>
      <c r="BD657" s="590">
        <f>IF(A14taxstdlife="n/a","n/a",IF(BD$3&gt;(A14taxstdlife+$E657),(('PTRM input'!$M$156+'PTRM input'!$M$122)*$M$7)-SUM($M657:BC657),(('PTRM input'!$M$156+'PTRM input'!$M$122)*$M$7)/A14taxstdlife))</f>
        <v>0</v>
      </c>
      <c r="BE657" s="590">
        <f>IF(A14taxstdlife="n/a","n/a",IF(BE$3&gt;(A14taxstdlife+$E657),(('PTRM input'!$M$156+'PTRM input'!$M$122)*$M$7)-SUM($M657:BD657),(('PTRM input'!$M$156+'PTRM input'!$M$122)*$M$7)/A14taxstdlife))</f>
        <v>0</v>
      </c>
      <c r="BF657" s="590">
        <f>IF(A14taxstdlife="n/a","n/a",IF(BF$3&gt;(A14taxstdlife+$E657),(('PTRM input'!$M$156+'PTRM input'!$M$122)*$M$7)-SUM($M657:BE657),(('PTRM input'!$M$156+'PTRM input'!$M$122)*$M$7)/A14taxstdlife))</f>
        <v>0</v>
      </c>
      <c r="BG657" s="590">
        <f>IF(A14taxstdlife="n/a","n/a",IF(BG$3&gt;(A14taxstdlife+$E657),(('PTRM input'!$M$156+'PTRM input'!$M$122)*$M$7)-SUM($M657:BF657),(('PTRM input'!$M$156+'PTRM input'!$M$122)*$M$7)/A14taxstdlife))</f>
        <v>0</v>
      </c>
      <c r="BH657" s="590">
        <f>IF(A14taxstdlife="n/a","n/a",IF(BH$3&gt;(A14taxstdlife+$E657),(('PTRM input'!$M$156+'PTRM input'!$M$122)*$M$7)-SUM($M657:BG657),(('PTRM input'!$M$156+'PTRM input'!$M$122)*$M$7)/A14taxstdlife))</f>
        <v>0</v>
      </c>
      <c r="BI657" s="590">
        <f>IF(A14taxstdlife="n/a","n/a",IF(BI$3&gt;(A14taxstdlife+$E657),(('PTRM input'!$M$156+'PTRM input'!$M$122)*$M$7)-SUM($M657:BH657),(('PTRM input'!$M$156+'PTRM input'!$M$122)*$M$7)/A14taxstdlife))</f>
        <v>0</v>
      </c>
      <c r="BJ657" s="240"/>
      <c r="BK657" s="240"/>
      <c r="BL657" s="240"/>
      <c r="BM657" s="240"/>
    </row>
    <row r="658" spans="1:65" s="4" customFormat="1" hidden="1" outlineLevel="2">
      <c r="A658" s="240"/>
      <c r="B658" s="240"/>
      <c r="C658" s="595"/>
      <c r="D658" s="1618"/>
      <c r="E658" s="169">
        <v>8</v>
      </c>
      <c r="F658" s="35"/>
      <c r="G658" s="184"/>
      <c r="H658" s="186"/>
      <c r="I658" s="186"/>
      <c r="J658" s="186"/>
      <c r="K658" s="186"/>
      <c r="L658" s="186"/>
      <c r="M658" s="186"/>
      <c r="N658" s="185"/>
      <c r="O658" s="107">
        <f>IF(A14taxstdlife="n/a","n/a",IF(O$3&gt;(A14taxstdlife+$E658),(('PTRM input'!$N$156+'PTRM input'!$N$122)*$N$7)-SUM($N658:N658),(('PTRM input'!$N$156+'PTRM input'!$N$122)*$N$7)/A14taxstdlife))</f>
        <v>0</v>
      </c>
      <c r="P658" s="107">
        <f>IF(A14taxstdlife="n/a","n/a",IF(P$3&gt;(A14taxstdlife+$E658),(('PTRM input'!$N$156+'PTRM input'!$N$122)*$N$7)-SUM($N658:O658),(('PTRM input'!$N$156+'PTRM input'!$N$122)*$N$7)/A14taxstdlife))</f>
        <v>0</v>
      </c>
      <c r="Q658" s="590">
        <f>IF(A14taxstdlife="n/a","n/a",IF(Q$3&gt;(A14taxstdlife+$E658),(('PTRM input'!$N$156+'PTRM input'!$N$122)*$N$7)-SUM($N658:P658),(('PTRM input'!$N$156+'PTRM input'!$N$122)*$N$7)/A14taxstdlife))</f>
        <v>0</v>
      </c>
      <c r="R658" s="590">
        <f>IF(A14taxstdlife="n/a","n/a",IF(R$3&gt;(A14taxstdlife+$E658),(('PTRM input'!$N$156+'PTRM input'!$N$122)*$N$7)-SUM($N658:Q658),(('PTRM input'!$N$156+'PTRM input'!$N$122)*$N$7)/A14taxstdlife))</f>
        <v>0</v>
      </c>
      <c r="S658" s="590">
        <f>IF(A14taxstdlife="n/a","n/a",IF(S$3&gt;(A14taxstdlife+$E658),(('PTRM input'!$N$156+'PTRM input'!$N$122)*$N$7)-SUM($N658:R658),(('PTRM input'!$N$156+'PTRM input'!$N$122)*$N$7)/A14taxstdlife))</f>
        <v>0</v>
      </c>
      <c r="T658" s="590">
        <f>IF(A14taxstdlife="n/a","n/a",IF(T$3&gt;(A14taxstdlife+$E658),(('PTRM input'!$N$156+'PTRM input'!$N$122)*$N$7)-SUM($N658:S658),(('PTRM input'!$N$156+'PTRM input'!$N$122)*$N$7)/A14taxstdlife))</f>
        <v>0</v>
      </c>
      <c r="U658" s="590">
        <f>IF(A14taxstdlife="n/a","n/a",IF(U$3&gt;(A14taxstdlife+$E658),(('PTRM input'!$N$156+'PTRM input'!$N$122)*$N$7)-SUM($N658:T658),(('PTRM input'!$N$156+'PTRM input'!$N$122)*$N$7)/A14taxstdlife))</f>
        <v>0</v>
      </c>
      <c r="V658" s="590">
        <f>IF(A14taxstdlife="n/a","n/a",IF(V$3&gt;(A14taxstdlife+$E658),(('PTRM input'!$N$156+'PTRM input'!$N$122)*$N$7)-SUM($N658:U658),(('PTRM input'!$N$156+'PTRM input'!$N$122)*$N$7)/A14taxstdlife))</f>
        <v>0</v>
      </c>
      <c r="W658" s="590">
        <f>IF(A14taxstdlife="n/a","n/a",IF(W$3&gt;(A14taxstdlife+$E658),(('PTRM input'!$N$156+'PTRM input'!$N$122)*$N$7)-SUM($N658:V658),(('PTRM input'!$N$156+'PTRM input'!$N$122)*$N$7)/A14taxstdlife))</f>
        <v>0</v>
      </c>
      <c r="X658" s="590">
        <f>IF(A14taxstdlife="n/a","n/a",IF(X$3&gt;(A14taxstdlife+$E658),(('PTRM input'!$N$156+'PTRM input'!$N$122)*$N$7)-SUM($N658:W658),(('PTRM input'!$N$156+'PTRM input'!$N$122)*$N$7)/A14taxstdlife))</f>
        <v>0</v>
      </c>
      <c r="Y658" s="590">
        <f>IF(A14taxstdlife="n/a","n/a",IF(Y$3&gt;(A14taxstdlife+$E658),(('PTRM input'!$N$156+'PTRM input'!$N$122)*$N$7)-SUM($N658:X658),(('PTRM input'!$N$156+'PTRM input'!$N$122)*$N$7)/A14taxstdlife))</f>
        <v>0</v>
      </c>
      <c r="Z658" s="590">
        <f>IF(A14taxstdlife="n/a","n/a",IF(Z$3&gt;(A14taxstdlife+$E658),(('PTRM input'!$N$156+'PTRM input'!$N$122)*$N$7)-SUM($N658:Y658),(('PTRM input'!$N$156+'PTRM input'!$N$122)*$N$7)/A14taxstdlife))</f>
        <v>0</v>
      </c>
      <c r="AA658" s="590">
        <f>IF(A14taxstdlife="n/a","n/a",IF(AA$3&gt;(A14taxstdlife+$E658),(('PTRM input'!$N$156+'PTRM input'!$N$122)*$N$7)-SUM($N658:Z658),(('PTRM input'!$N$156+'PTRM input'!$N$122)*$N$7)/A14taxstdlife))</f>
        <v>0</v>
      </c>
      <c r="AB658" s="590">
        <f>IF(A14taxstdlife="n/a","n/a",IF(AB$3&gt;(A14taxstdlife+$E658),(('PTRM input'!$N$156+'PTRM input'!$N$122)*$N$7)-SUM($N658:AA658),(('PTRM input'!$N$156+'PTRM input'!$N$122)*$N$7)/A14taxstdlife))</f>
        <v>0</v>
      </c>
      <c r="AC658" s="590">
        <f>IF(A14taxstdlife="n/a","n/a",IF(AC$3&gt;(A14taxstdlife+$E658),(('PTRM input'!$N$156+'PTRM input'!$N$122)*$N$7)-SUM($N658:AB658),(('PTRM input'!$N$156+'PTRM input'!$N$122)*$N$7)/A14taxstdlife))</f>
        <v>0</v>
      </c>
      <c r="AD658" s="590">
        <f>IF(A14taxstdlife="n/a","n/a",IF(AD$3&gt;(A14taxstdlife+$E658),(('PTRM input'!$N$156+'PTRM input'!$N$122)*$N$7)-SUM($N658:AC658),(('PTRM input'!$N$156+'PTRM input'!$N$122)*$N$7)/A14taxstdlife))</f>
        <v>0</v>
      </c>
      <c r="AE658" s="590">
        <f>IF(A14taxstdlife="n/a","n/a",IF(AE$3&gt;(A14taxstdlife+$E658),(('PTRM input'!$N$156+'PTRM input'!$N$122)*$N$7)-SUM($N658:AD658),(('PTRM input'!$N$156+'PTRM input'!$N$122)*$N$7)/A14taxstdlife))</f>
        <v>0</v>
      </c>
      <c r="AF658" s="590">
        <f>IF(A14taxstdlife="n/a","n/a",IF(AF$3&gt;(A14taxstdlife+$E658),(('PTRM input'!$N$156+'PTRM input'!$N$122)*$N$7)-SUM($N658:AE658),(('PTRM input'!$N$156+'PTRM input'!$N$122)*$N$7)/A14taxstdlife))</f>
        <v>0</v>
      </c>
      <c r="AG658" s="590">
        <f>IF(A14taxstdlife="n/a","n/a",IF(AG$3&gt;(A14taxstdlife+$E658),(('PTRM input'!$N$156+'PTRM input'!$N$122)*$N$7)-SUM($N658:AF658),(('PTRM input'!$N$156+'PTRM input'!$N$122)*$N$7)/A14taxstdlife))</f>
        <v>0</v>
      </c>
      <c r="AH658" s="590">
        <f>IF(A14taxstdlife="n/a","n/a",IF(AH$3&gt;(A14taxstdlife+$E658),(('PTRM input'!$N$156+'PTRM input'!$N$122)*$N$7)-SUM($N658:AG658),(('PTRM input'!$N$156+'PTRM input'!$N$122)*$N$7)/A14taxstdlife))</f>
        <v>0</v>
      </c>
      <c r="AI658" s="590">
        <f>IF(A14taxstdlife="n/a","n/a",IF(AI$3&gt;(A14taxstdlife+$E658),(('PTRM input'!$N$156+'PTRM input'!$N$122)*$N$7)-SUM($N658:AH658),(('PTRM input'!$N$156+'PTRM input'!$N$122)*$N$7)/A14taxstdlife))</f>
        <v>0</v>
      </c>
      <c r="AJ658" s="590">
        <f>IF(A14taxstdlife="n/a","n/a",IF(AJ$3&gt;(A14taxstdlife+$E658),(('PTRM input'!$N$156+'PTRM input'!$N$122)*$N$7)-SUM($N658:AI658),(('PTRM input'!$N$156+'PTRM input'!$N$122)*$N$7)/A14taxstdlife))</f>
        <v>0</v>
      </c>
      <c r="AK658" s="590">
        <f>IF(A14taxstdlife="n/a","n/a",IF(AK$3&gt;(A14taxstdlife+$E658),(('PTRM input'!$N$156+'PTRM input'!$N$122)*$N$7)-SUM($N658:AJ658),(('PTRM input'!$N$156+'PTRM input'!$N$122)*$N$7)/A14taxstdlife))</f>
        <v>0</v>
      </c>
      <c r="AL658" s="590">
        <f>IF(A14taxstdlife="n/a","n/a",IF(AL$3&gt;(A14taxstdlife+$E658),(('PTRM input'!$N$156+'PTRM input'!$N$122)*$N$7)-SUM($N658:AK658),(('PTRM input'!$N$156+'PTRM input'!$N$122)*$N$7)/A14taxstdlife))</f>
        <v>0</v>
      </c>
      <c r="AM658" s="590">
        <f>IF(A14taxstdlife="n/a","n/a",IF(AM$3&gt;(A14taxstdlife+$E658),(('PTRM input'!$N$156+'PTRM input'!$N$122)*$N$7)-SUM($N658:AL658),(('PTRM input'!$N$156+'PTRM input'!$N$122)*$N$7)/A14taxstdlife))</f>
        <v>0</v>
      </c>
      <c r="AN658" s="590">
        <f>IF(A14taxstdlife="n/a","n/a",IF(AN$3&gt;(A14taxstdlife+$E658),(('PTRM input'!$N$156+'PTRM input'!$N$122)*$N$7)-SUM($N658:AM658),(('PTRM input'!$N$156+'PTRM input'!$N$122)*$N$7)/A14taxstdlife))</f>
        <v>0</v>
      </c>
      <c r="AO658" s="590">
        <f>IF(A14taxstdlife="n/a","n/a",IF(AO$3&gt;(A14taxstdlife+$E658),(('PTRM input'!$N$156+'PTRM input'!$N$122)*$N$7)-SUM($N658:AN658),(('PTRM input'!$N$156+'PTRM input'!$N$122)*$N$7)/A14taxstdlife))</f>
        <v>0</v>
      </c>
      <c r="AP658" s="590">
        <f>IF(A14taxstdlife="n/a","n/a",IF(AP$3&gt;(A14taxstdlife+$E658),(('PTRM input'!$N$156+'PTRM input'!$N$122)*$N$7)-SUM($N658:AO658),(('PTRM input'!$N$156+'PTRM input'!$N$122)*$N$7)/A14taxstdlife))</f>
        <v>0</v>
      </c>
      <c r="AQ658" s="590">
        <f>IF(A14taxstdlife="n/a","n/a",IF(AQ$3&gt;(A14taxstdlife+$E658),(('PTRM input'!$N$156+'PTRM input'!$N$122)*$N$7)-SUM($N658:AP658),(('PTRM input'!$N$156+'PTRM input'!$N$122)*$N$7)/A14taxstdlife))</f>
        <v>0</v>
      </c>
      <c r="AR658" s="590">
        <f>IF(A14taxstdlife="n/a","n/a",IF(AR$3&gt;(A14taxstdlife+$E658),(('PTRM input'!$N$156+'PTRM input'!$N$122)*$N$7)-SUM($N658:AQ658),(('PTRM input'!$N$156+'PTRM input'!$N$122)*$N$7)/A14taxstdlife))</f>
        <v>0</v>
      </c>
      <c r="AS658" s="590">
        <f>IF(A14taxstdlife="n/a","n/a",IF(AS$3&gt;(A14taxstdlife+$E658),(('PTRM input'!$N$156+'PTRM input'!$N$122)*$N$7)-SUM($N658:AR658),(('PTRM input'!$N$156+'PTRM input'!$N$122)*$N$7)/A14taxstdlife))</f>
        <v>0</v>
      </c>
      <c r="AT658" s="590">
        <f>IF(A14taxstdlife="n/a","n/a",IF(AT$3&gt;(A14taxstdlife+$E658),(('PTRM input'!$N$156+'PTRM input'!$N$122)*$N$7)-SUM($N658:AS658),(('PTRM input'!$N$156+'PTRM input'!$N$122)*$N$7)/A14taxstdlife))</f>
        <v>0</v>
      </c>
      <c r="AU658" s="590">
        <f>IF(A14taxstdlife="n/a","n/a",IF(AU$3&gt;(A14taxstdlife+$E658),(('PTRM input'!$N$156+'PTRM input'!$N$122)*$N$7)-SUM($N658:AT658),(('PTRM input'!$N$156+'PTRM input'!$N$122)*$N$7)/A14taxstdlife))</f>
        <v>0</v>
      </c>
      <c r="AV658" s="590">
        <f>IF(A14taxstdlife="n/a","n/a",IF(AV$3&gt;(A14taxstdlife+$E658),(('PTRM input'!$N$156+'PTRM input'!$N$122)*$N$7)-SUM($N658:AU658),(('PTRM input'!$N$156+'PTRM input'!$N$122)*$N$7)/A14taxstdlife))</f>
        <v>0</v>
      </c>
      <c r="AW658" s="590">
        <f>IF(A14taxstdlife="n/a","n/a",IF(AW$3&gt;(A14taxstdlife+$E658),(('PTRM input'!$N$156+'PTRM input'!$N$122)*$N$7)-SUM($N658:AV658),(('PTRM input'!$N$156+'PTRM input'!$N$122)*$N$7)/A14taxstdlife))</f>
        <v>0</v>
      </c>
      <c r="AX658" s="590">
        <f>IF(A14taxstdlife="n/a","n/a",IF(AX$3&gt;(A14taxstdlife+$E658),(('PTRM input'!$N$156+'PTRM input'!$N$122)*$N$7)-SUM($N658:AW658),(('PTRM input'!$N$156+'PTRM input'!$N$122)*$N$7)/A14taxstdlife))</f>
        <v>0</v>
      </c>
      <c r="AY658" s="590">
        <f>IF(A14taxstdlife="n/a","n/a",IF(AY$3&gt;(A14taxstdlife+$E658),(('PTRM input'!$N$156+'PTRM input'!$N$122)*$N$7)-SUM($N658:AX658),(('PTRM input'!$N$156+'PTRM input'!$N$122)*$N$7)/A14taxstdlife))</f>
        <v>0</v>
      </c>
      <c r="AZ658" s="590">
        <f>IF(A14taxstdlife="n/a","n/a",IF(AZ$3&gt;(A14taxstdlife+$E658),(('PTRM input'!$N$156+'PTRM input'!$N$122)*$N$7)-SUM($N658:AY658),(('PTRM input'!$N$156+'PTRM input'!$N$122)*$N$7)/A14taxstdlife))</f>
        <v>0</v>
      </c>
      <c r="BA658" s="590">
        <f>IF(A14taxstdlife="n/a","n/a",IF(BA$3&gt;(A14taxstdlife+$E658),(('PTRM input'!$N$156+'PTRM input'!$N$122)*$N$7)-SUM($N658:AZ658),(('PTRM input'!$N$156+'PTRM input'!$N$122)*$N$7)/A14taxstdlife))</f>
        <v>0</v>
      </c>
      <c r="BB658" s="590">
        <f>IF(A14taxstdlife="n/a","n/a",IF(BB$3&gt;(A14taxstdlife+$E658),(('PTRM input'!$N$156+'PTRM input'!$N$122)*$N$7)-SUM($N658:BA658),(('PTRM input'!$N$156+'PTRM input'!$N$122)*$N$7)/A14taxstdlife))</f>
        <v>0</v>
      </c>
      <c r="BC658" s="590">
        <f>IF(A14taxstdlife="n/a","n/a",IF(BC$3&gt;(A14taxstdlife+$E658),(('PTRM input'!$N$156+'PTRM input'!$N$122)*$N$7)-SUM($N658:BB658),(('PTRM input'!$N$156+'PTRM input'!$N$122)*$N$7)/A14taxstdlife))</f>
        <v>0</v>
      </c>
      <c r="BD658" s="590">
        <f>IF(A14taxstdlife="n/a","n/a",IF(BD$3&gt;(A14taxstdlife+$E658),(('PTRM input'!$N$156+'PTRM input'!$N$122)*$N$7)-SUM($N658:BC658),(('PTRM input'!$N$156+'PTRM input'!$N$122)*$N$7)/A14taxstdlife))</f>
        <v>0</v>
      </c>
      <c r="BE658" s="590">
        <f>IF(A14taxstdlife="n/a","n/a",IF(BE$3&gt;(A14taxstdlife+$E658),(('PTRM input'!$N$156+'PTRM input'!$N$122)*$N$7)-SUM($N658:BD658),(('PTRM input'!$N$156+'PTRM input'!$N$122)*$N$7)/A14taxstdlife))</f>
        <v>0</v>
      </c>
      <c r="BF658" s="590">
        <f>IF(A14taxstdlife="n/a","n/a",IF(BF$3&gt;(A14taxstdlife+$E658),(('PTRM input'!$N$156+'PTRM input'!$N$122)*$N$7)-SUM($N658:BE658),(('PTRM input'!$N$156+'PTRM input'!$N$122)*$N$7)/A14taxstdlife))</f>
        <v>0</v>
      </c>
      <c r="BG658" s="590">
        <f>IF(A14taxstdlife="n/a","n/a",IF(BG$3&gt;(A14taxstdlife+$E658),(('PTRM input'!$N$156+'PTRM input'!$N$122)*$N$7)-SUM($N658:BF658),(('PTRM input'!$N$156+'PTRM input'!$N$122)*$N$7)/A14taxstdlife))</f>
        <v>0</v>
      </c>
      <c r="BH658" s="590">
        <f>IF(A14taxstdlife="n/a","n/a",IF(BH$3&gt;(A14taxstdlife+$E658),(('PTRM input'!$N$156+'PTRM input'!$N$122)*$N$7)-SUM($N658:BG658),(('PTRM input'!$N$156+'PTRM input'!$N$122)*$N$7)/A14taxstdlife))</f>
        <v>0</v>
      </c>
      <c r="BI658" s="590">
        <f>IF(A14taxstdlife="n/a","n/a",IF(BI$3&gt;(A14taxstdlife+$E658),(('PTRM input'!$N$156+'PTRM input'!$N$122)*$N$7)-SUM($N658:BH658),(('PTRM input'!$N$156+'PTRM input'!$N$122)*$N$7)/A14taxstdlife))</f>
        <v>0</v>
      </c>
      <c r="BJ658" s="240"/>
      <c r="BK658" s="240"/>
      <c r="BL658" s="240"/>
      <c r="BM658" s="240"/>
    </row>
    <row r="659" spans="1:65" s="4" customFormat="1" hidden="1" outlineLevel="2">
      <c r="A659" s="240"/>
      <c r="B659" s="240"/>
      <c r="C659" s="595"/>
      <c r="D659" s="1618"/>
      <c r="E659" s="169">
        <v>9</v>
      </c>
      <c r="F659" s="35"/>
      <c r="G659" s="184"/>
      <c r="H659" s="186"/>
      <c r="I659" s="186"/>
      <c r="J659" s="186"/>
      <c r="K659" s="186"/>
      <c r="L659" s="186"/>
      <c r="M659" s="186"/>
      <c r="N659" s="186"/>
      <c r="O659" s="185"/>
      <c r="P659" s="107">
        <f>IF(A14taxstdlife="n/a","n/a",IF(P$3&gt;(A14taxstdlife+$E659),(('PTRM input'!$O$156+'PTRM input'!$O$122)*$O$7)-SUM($O659:O659),(('PTRM input'!$O$156+'PTRM input'!$O$122)*$O$7)/A14taxstdlife))</f>
        <v>0</v>
      </c>
      <c r="Q659" s="590">
        <f>IF(A14taxstdlife="n/a","n/a",IF(Q$3&gt;(A14taxstdlife+$E659),(('PTRM input'!$O$156+'PTRM input'!$O$122)*$O$7)-SUM($O659:P659),(('PTRM input'!$O$156+'PTRM input'!$O$122)*$O$7)/A14taxstdlife))</f>
        <v>0</v>
      </c>
      <c r="R659" s="590">
        <f>IF(A14taxstdlife="n/a","n/a",IF(R$3&gt;(A14taxstdlife+$E659),(('PTRM input'!$O$156+'PTRM input'!$O$122)*$O$7)-SUM($O659:Q659),(('PTRM input'!$O$156+'PTRM input'!$O$122)*$O$7)/A14taxstdlife))</f>
        <v>0</v>
      </c>
      <c r="S659" s="590">
        <f>IF(A14taxstdlife="n/a","n/a",IF(S$3&gt;(A14taxstdlife+$E659),(('PTRM input'!$O$156+'PTRM input'!$O$122)*$O$7)-SUM($O659:R659),(('PTRM input'!$O$156+'PTRM input'!$O$122)*$O$7)/A14taxstdlife))</f>
        <v>0</v>
      </c>
      <c r="T659" s="590">
        <f>IF(A14taxstdlife="n/a","n/a",IF(T$3&gt;(A14taxstdlife+$E659),(('PTRM input'!$O$156+'PTRM input'!$O$122)*$O$7)-SUM($O659:S659),(('PTRM input'!$O$156+'PTRM input'!$O$122)*$O$7)/A14taxstdlife))</f>
        <v>0</v>
      </c>
      <c r="U659" s="590">
        <f>IF(A14taxstdlife="n/a","n/a",IF(U$3&gt;(A14taxstdlife+$E659),(('PTRM input'!$O$156+'PTRM input'!$O$122)*$O$7)-SUM($O659:T659),(('PTRM input'!$O$156+'PTRM input'!$O$122)*$O$7)/A14taxstdlife))</f>
        <v>0</v>
      </c>
      <c r="V659" s="590">
        <f>IF(A14taxstdlife="n/a","n/a",IF(V$3&gt;(A14taxstdlife+$E659),(('PTRM input'!$O$156+'PTRM input'!$O$122)*$O$7)-SUM($O659:U659),(('PTRM input'!$O$156+'PTRM input'!$O$122)*$O$7)/A14taxstdlife))</f>
        <v>0</v>
      </c>
      <c r="W659" s="590">
        <f>IF(A14taxstdlife="n/a","n/a",IF(W$3&gt;(A14taxstdlife+$E659),(('PTRM input'!$O$156+'PTRM input'!$O$122)*$O$7)-SUM($O659:V659),(('PTRM input'!$O$156+'PTRM input'!$O$122)*$O$7)/A14taxstdlife))</f>
        <v>0</v>
      </c>
      <c r="X659" s="590">
        <f>IF(A14taxstdlife="n/a","n/a",IF(X$3&gt;(A14taxstdlife+$E659),(('PTRM input'!$O$156+'PTRM input'!$O$122)*$O$7)-SUM($O659:W659),(('PTRM input'!$O$156+'PTRM input'!$O$122)*$O$7)/A14taxstdlife))</f>
        <v>0</v>
      </c>
      <c r="Y659" s="590">
        <f>IF(A14taxstdlife="n/a","n/a",IF(Y$3&gt;(A14taxstdlife+$E659),(('PTRM input'!$O$156+'PTRM input'!$O$122)*$O$7)-SUM($O659:X659),(('PTRM input'!$O$156+'PTRM input'!$O$122)*$O$7)/A14taxstdlife))</f>
        <v>0</v>
      </c>
      <c r="Z659" s="590">
        <f>IF(A14taxstdlife="n/a","n/a",IF(Z$3&gt;(A14taxstdlife+$E659),(('PTRM input'!$O$156+'PTRM input'!$O$122)*$O$7)-SUM($O659:Y659),(('PTRM input'!$O$156+'PTRM input'!$O$122)*$O$7)/A14taxstdlife))</f>
        <v>0</v>
      </c>
      <c r="AA659" s="590">
        <f>IF(A14taxstdlife="n/a","n/a",IF(AA$3&gt;(A14taxstdlife+$E659),(('PTRM input'!$O$156+'PTRM input'!$O$122)*$O$7)-SUM($O659:Z659),(('PTRM input'!$O$156+'PTRM input'!$O$122)*$O$7)/A14taxstdlife))</f>
        <v>0</v>
      </c>
      <c r="AB659" s="590">
        <f>IF(A14taxstdlife="n/a","n/a",IF(AB$3&gt;(A14taxstdlife+$E659),(('PTRM input'!$O$156+'PTRM input'!$O$122)*$O$7)-SUM($O659:AA659),(('PTRM input'!$O$156+'PTRM input'!$O$122)*$O$7)/A14taxstdlife))</f>
        <v>0</v>
      </c>
      <c r="AC659" s="590">
        <f>IF(A14taxstdlife="n/a","n/a",IF(AC$3&gt;(A14taxstdlife+$E659),(('PTRM input'!$O$156+'PTRM input'!$O$122)*$O$7)-SUM($O659:AB659),(('PTRM input'!$O$156+'PTRM input'!$O$122)*$O$7)/A14taxstdlife))</f>
        <v>0</v>
      </c>
      <c r="AD659" s="590">
        <f>IF(A14taxstdlife="n/a","n/a",IF(AD$3&gt;(A14taxstdlife+$E659),(('PTRM input'!$O$156+'PTRM input'!$O$122)*$O$7)-SUM($O659:AC659),(('PTRM input'!$O$156+'PTRM input'!$O$122)*$O$7)/A14taxstdlife))</f>
        <v>0</v>
      </c>
      <c r="AE659" s="590">
        <f>IF(A14taxstdlife="n/a","n/a",IF(AE$3&gt;(A14taxstdlife+$E659),(('PTRM input'!$O$156+'PTRM input'!$O$122)*$O$7)-SUM($O659:AD659),(('PTRM input'!$O$156+'PTRM input'!$O$122)*$O$7)/A14taxstdlife))</f>
        <v>0</v>
      </c>
      <c r="AF659" s="590">
        <f>IF(A14taxstdlife="n/a","n/a",IF(AF$3&gt;(A14taxstdlife+$E659),(('PTRM input'!$O$156+'PTRM input'!$O$122)*$O$7)-SUM($O659:AE659),(('PTRM input'!$O$156+'PTRM input'!$O$122)*$O$7)/A14taxstdlife))</f>
        <v>0</v>
      </c>
      <c r="AG659" s="590">
        <f>IF(A14taxstdlife="n/a","n/a",IF(AG$3&gt;(A14taxstdlife+$E659),(('PTRM input'!$O$156+'PTRM input'!$O$122)*$O$7)-SUM($O659:AF659),(('PTRM input'!$O$156+'PTRM input'!$O$122)*$O$7)/A14taxstdlife))</f>
        <v>0</v>
      </c>
      <c r="AH659" s="590">
        <f>IF(A14taxstdlife="n/a","n/a",IF(AH$3&gt;(A14taxstdlife+$E659),(('PTRM input'!$O$156+'PTRM input'!$O$122)*$O$7)-SUM($O659:AG659),(('PTRM input'!$O$156+'PTRM input'!$O$122)*$O$7)/A14taxstdlife))</f>
        <v>0</v>
      </c>
      <c r="AI659" s="590">
        <f>IF(A14taxstdlife="n/a","n/a",IF(AI$3&gt;(A14taxstdlife+$E659),(('PTRM input'!$O$156+'PTRM input'!$O$122)*$O$7)-SUM($O659:AH659),(('PTRM input'!$O$156+'PTRM input'!$O$122)*$O$7)/A14taxstdlife))</f>
        <v>0</v>
      </c>
      <c r="AJ659" s="590">
        <f>IF(A14taxstdlife="n/a","n/a",IF(AJ$3&gt;(A14taxstdlife+$E659),(('PTRM input'!$O$156+'PTRM input'!$O$122)*$O$7)-SUM($O659:AI659),(('PTRM input'!$O$156+'PTRM input'!$O$122)*$O$7)/A14taxstdlife))</f>
        <v>0</v>
      </c>
      <c r="AK659" s="590">
        <f>IF(A14taxstdlife="n/a","n/a",IF(AK$3&gt;(A14taxstdlife+$E659),(('PTRM input'!$O$156+'PTRM input'!$O$122)*$O$7)-SUM($O659:AJ659),(('PTRM input'!$O$156+'PTRM input'!$O$122)*$O$7)/A14taxstdlife))</f>
        <v>0</v>
      </c>
      <c r="AL659" s="590">
        <f>IF(A14taxstdlife="n/a","n/a",IF(AL$3&gt;(A14taxstdlife+$E659),(('PTRM input'!$O$156+'PTRM input'!$O$122)*$O$7)-SUM($O659:AK659),(('PTRM input'!$O$156+'PTRM input'!$O$122)*$O$7)/A14taxstdlife))</f>
        <v>0</v>
      </c>
      <c r="AM659" s="590">
        <f>IF(A14taxstdlife="n/a","n/a",IF(AM$3&gt;(A14taxstdlife+$E659),(('PTRM input'!$O$156+'PTRM input'!$O$122)*$O$7)-SUM($O659:AL659),(('PTRM input'!$O$156+'PTRM input'!$O$122)*$O$7)/A14taxstdlife))</f>
        <v>0</v>
      </c>
      <c r="AN659" s="590">
        <f>IF(A14taxstdlife="n/a","n/a",IF(AN$3&gt;(A14taxstdlife+$E659),(('PTRM input'!$O$156+'PTRM input'!$O$122)*$O$7)-SUM($O659:AM659),(('PTRM input'!$O$156+'PTRM input'!$O$122)*$O$7)/A14taxstdlife))</f>
        <v>0</v>
      </c>
      <c r="AO659" s="590">
        <f>IF(A14taxstdlife="n/a","n/a",IF(AO$3&gt;(A14taxstdlife+$E659),(('PTRM input'!$O$156+'PTRM input'!$O$122)*$O$7)-SUM($O659:AN659),(('PTRM input'!$O$156+'PTRM input'!$O$122)*$O$7)/A14taxstdlife))</f>
        <v>0</v>
      </c>
      <c r="AP659" s="590">
        <f>IF(A14taxstdlife="n/a","n/a",IF(AP$3&gt;(A14taxstdlife+$E659),(('PTRM input'!$O$156+'PTRM input'!$O$122)*$O$7)-SUM($O659:AO659),(('PTRM input'!$O$156+'PTRM input'!$O$122)*$O$7)/A14taxstdlife))</f>
        <v>0</v>
      </c>
      <c r="AQ659" s="590">
        <f>IF(A14taxstdlife="n/a","n/a",IF(AQ$3&gt;(A14taxstdlife+$E659),(('PTRM input'!$O$156+'PTRM input'!$O$122)*$O$7)-SUM($O659:AP659),(('PTRM input'!$O$156+'PTRM input'!$O$122)*$O$7)/A14taxstdlife))</f>
        <v>0</v>
      </c>
      <c r="AR659" s="590">
        <f>IF(A14taxstdlife="n/a","n/a",IF(AR$3&gt;(A14taxstdlife+$E659),(('PTRM input'!$O$156+'PTRM input'!$O$122)*$O$7)-SUM($O659:AQ659),(('PTRM input'!$O$156+'PTRM input'!$O$122)*$O$7)/A14taxstdlife))</f>
        <v>0</v>
      </c>
      <c r="AS659" s="590">
        <f>IF(A14taxstdlife="n/a","n/a",IF(AS$3&gt;(A14taxstdlife+$E659),(('PTRM input'!$O$156+'PTRM input'!$O$122)*$O$7)-SUM($O659:AR659),(('PTRM input'!$O$156+'PTRM input'!$O$122)*$O$7)/A14taxstdlife))</f>
        <v>0</v>
      </c>
      <c r="AT659" s="590">
        <f>IF(A14taxstdlife="n/a","n/a",IF(AT$3&gt;(A14taxstdlife+$E659),(('PTRM input'!$O$156+'PTRM input'!$O$122)*$O$7)-SUM($O659:AS659),(('PTRM input'!$O$156+'PTRM input'!$O$122)*$O$7)/A14taxstdlife))</f>
        <v>0</v>
      </c>
      <c r="AU659" s="590">
        <f>IF(A14taxstdlife="n/a","n/a",IF(AU$3&gt;(A14taxstdlife+$E659),(('PTRM input'!$O$156+'PTRM input'!$O$122)*$O$7)-SUM($O659:AT659),(('PTRM input'!$O$156+'PTRM input'!$O$122)*$O$7)/A14taxstdlife))</f>
        <v>0</v>
      </c>
      <c r="AV659" s="590">
        <f>IF(A14taxstdlife="n/a","n/a",IF(AV$3&gt;(A14taxstdlife+$E659),(('PTRM input'!$O$156+'PTRM input'!$O$122)*$O$7)-SUM($O659:AU659),(('PTRM input'!$O$156+'PTRM input'!$O$122)*$O$7)/A14taxstdlife))</f>
        <v>0</v>
      </c>
      <c r="AW659" s="590">
        <f>IF(A14taxstdlife="n/a","n/a",IF(AW$3&gt;(A14taxstdlife+$E659),(('PTRM input'!$O$156+'PTRM input'!$O$122)*$O$7)-SUM($O659:AV659),(('PTRM input'!$O$156+'PTRM input'!$O$122)*$O$7)/A14taxstdlife))</f>
        <v>0</v>
      </c>
      <c r="AX659" s="590">
        <f>IF(A14taxstdlife="n/a","n/a",IF(AX$3&gt;(A14taxstdlife+$E659),(('PTRM input'!$O$156+'PTRM input'!$O$122)*$O$7)-SUM($O659:AW659),(('PTRM input'!$O$156+'PTRM input'!$O$122)*$O$7)/A14taxstdlife))</f>
        <v>0</v>
      </c>
      <c r="AY659" s="590">
        <f>IF(A14taxstdlife="n/a","n/a",IF(AY$3&gt;(A14taxstdlife+$E659),(('PTRM input'!$O$156+'PTRM input'!$O$122)*$O$7)-SUM($O659:AX659),(('PTRM input'!$O$156+'PTRM input'!$O$122)*$O$7)/A14taxstdlife))</f>
        <v>0</v>
      </c>
      <c r="AZ659" s="590">
        <f>IF(A14taxstdlife="n/a","n/a",IF(AZ$3&gt;(A14taxstdlife+$E659),(('PTRM input'!$O$156+'PTRM input'!$O$122)*$O$7)-SUM($O659:AY659),(('PTRM input'!$O$156+'PTRM input'!$O$122)*$O$7)/A14taxstdlife))</f>
        <v>0</v>
      </c>
      <c r="BA659" s="590">
        <f>IF(A14taxstdlife="n/a","n/a",IF(BA$3&gt;(A14taxstdlife+$E659),(('PTRM input'!$O$156+'PTRM input'!$O$122)*$O$7)-SUM($O659:AZ659),(('PTRM input'!$O$156+'PTRM input'!$O$122)*$O$7)/A14taxstdlife))</f>
        <v>0</v>
      </c>
      <c r="BB659" s="590">
        <f>IF(A14taxstdlife="n/a","n/a",IF(BB$3&gt;(A14taxstdlife+$E659),(('PTRM input'!$O$156+'PTRM input'!$O$122)*$O$7)-SUM($O659:BA659),(('PTRM input'!$O$156+'PTRM input'!$O$122)*$O$7)/A14taxstdlife))</f>
        <v>0</v>
      </c>
      <c r="BC659" s="590">
        <f>IF(A14taxstdlife="n/a","n/a",IF(BC$3&gt;(A14taxstdlife+$E659),(('PTRM input'!$O$156+'PTRM input'!$O$122)*$O$7)-SUM($O659:BB659),(('PTRM input'!$O$156+'PTRM input'!$O$122)*$O$7)/A14taxstdlife))</f>
        <v>0</v>
      </c>
      <c r="BD659" s="590">
        <f>IF(A14taxstdlife="n/a","n/a",IF(BD$3&gt;(A14taxstdlife+$E659),(('PTRM input'!$O$156+'PTRM input'!$O$122)*$O$7)-SUM($O659:BC659),(('PTRM input'!$O$156+'PTRM input'!$O$122)*$O$7)/A14taxstdlife))</f>
        <v>0</v>
      </c>
      <c r="BE659" s="590">
        <f>IF(A14taxstdlife="n/a","n/a",IF(BE$3&gt;(A14taxstdlife+$E659),(('PTRM input'!$O$156+'PTRM input'!$O$122)*$O$7)-SUM($O659:BD659),(('PTRM input'!$O$156+'PTRM input'!$O$122)*$O$7)/A14taxstdlife))</f>
        <v>0</v>
      </c>
      <c r="BF659" s="590">
        <f>IF(A14taxstdlife="n/a","n/a",IF(BF$3&gt;(A14taxstdlife+$E659),(('PTRM input'!$O$156+'PTRM input'!$O$122)*$O$7)-SUM($O659:BE659),(('PTRM input'!$O$156+'PTRM input'!$O$122)*$O$7)/A14taxstdlife))</f>
        <v>0</v>
      </c>
      <c r="BG659" s="590">
        <f>IF(A14taxstdlife="n/a","n/a",IF(BG$3&gt;(A14taxstdlife+$E659),(('PTRM input'!$O$156+'PTRM input'!$O$122)*$O$7)-SUM($O659:BF659),(('PTRM input'!$O$156+'PTRM input'!$O$122)*$O$7)/A14taxstdlife))</f>
        <v>0</v>
      </c>
      <c r="BH659" s="590">
        <f>IF(A14taxstdlife="n/a","n/a",IF(BH$3&gt;(A14taxstdlife+$E659),(('PTRM input'!$O$156+'PTRM input'!$O$122)*$O$7)-SUM($O659:BG659),(('PTRM input'!$O$156+'PTRM input'!$O$122)*$O$7)/A14taxstdlife))</f>
        <v>0</v>
      </c>
      <c r="BI659" s="590">
        <f>IF(A14taxstdlife="n/a","n/a",IF(BI$3&gt;(A14taxstdlife+$E659),(('PTRM input'!$O$156+'PTRM input'!$O$122)*$O$7)-SUM($O659:BH659),(('PTRM input'!$O$156+'PTRM input'!$O$122)*$O$7)/A14taxstdlife))</f>
        <v>0</v>
      </c>
      <c r="BJ659" s="240"/>
      <c r="BK659" s="240"/>
      <c r="BL659" s="240"/>
      <c r="BM659" s="240"/>
    </row>
    <row r="660" spans="1:65" s="4" customFormat="1" hidden="1" outlineLevel="2">
      <c r="A660" s="240"/>
      <c r="B660" s="240"/>
      <c r="C660" s="595"/>
      <c r="D660" s="1618"/>
      <c r="E660" s="170">
        <v>10</v>
      </c>
      <c r="F660" s="35"/>
      <c r="G660" s="184"/>
      <c r="H660" s="186"/>
      <c r="I660" s="186"/>
      <c r="J660" s="186"/>
      <c r="K660" s="186"/>
      <c r="L660" s="186"/>
      <c r="M660" s="186"/>
      <c r="N660" s="186"/>
      <c r="O660" s="186"/>
      <c r="P660" s="185"/>
      <c r="Q660" s="590">
        <f>IF(A14taxstdlife="n/a","n/a",IF(Q$3&gt;(A14taxstdlife+$E660),(('PTRM input'!$P$156+'PTRM input'!$P$122)*$P$7)-SUM($P660:P660),(('PTRM input'!$P$156+'PTRM input'!$P$122)*$P$7)/A14taxstdlife))</f>
        <v>0</v>
      </c>
      <c r="R660" s="590">
        <f>IF(A14taxstdlife="n/a","n/a",IF(R$3&gt;(A14taxstdlife+$E660),(('PTRM input'!$P$156+'PTRM input'!$P$122)*$P$7)-SUM($P660:Q660),(('PTRM input'!$P$156+'PTRM input'!$P$122)*$P$7)/A14taxstdlife))</f>
        <v>0</v>
      </c>
      <c r="S660" s="590">
        <f>IF(A14taxstdlife="n/a","n/a",IF(S$3&gt;(A14taxstdlife+$E660),(('PTRM input'!$P$156+'PTRM input'!$P$122)*$P$7)-SUM($P660:R660),(('PTRM input'!$P$156+'PTRM input'!$P$122)*$P$7)/A14taxstdlife))</f>
        <v>0</v>
      </c>
      <c r="T660" s="590">
        <f>IF(A14taxstdlife="n/a","n/a",IF(T$3&gt;(A14taxstdlife+$E660),(('PTRM input'!$P$156+'PTRM input'!$P$122)*$P$7)-SUM($P660:S660),(('PTRM input'!$P$156+'PTRM input'!$P$122)*$P$7)/A14taxstdlife))</f>
        <v>0</v>
      </c>
      <c r="U660" s="590">
        <f>IF(A14taxstdlife="n/a","n/a",IF(U$3&gt;(A14taxstdlife+$E660),(('PTRM input'!$P$156+'PTRM input'!$P$122)*$P$7)-SUM($P660:T660),(('PTRM input'!$P$156+'PTRM input'!$P$122)*$P$7)/A14taxstdlife))</f>
        <v>0</v>
      </c>
      <c r="V660" s="590">
        <f>IF(A14taxstdlife="n/a","n/a",IF(V$3&gt;(A14taxstdlife+$E660),(('PTRM input'!$P$156+'PTRM input'!$P$122)*$P$7)-SUM($P660:U660),(('PTRM input'!$P$156+'PTRM input'!$P$122)*$P$7)/A14taxstdlife))</f>
        <v>0</v>
      </c>
      <c r="W660" s="590">
        <f>IF(A14taxstdlife="n/a","n/a",IF(W$3&gt;(A14taxstdlife+$E660),(('PTRM input'!$P$156+'PTRM input'!$P$122)*$P$7)-SUM($P660:V660),(('PTRM input'!$P$156+'PTRM input'!$P$122)*$P$7)/A14taxstdlife))</f>
        <v>0</v>
      </c>
      <c r="X660" s="590">
        <f>IF(A14taxstdlife="n/a","n/a",IF(X$3&gt;(A14taxstdlife+$E660),(('PTRM input'!$P$156+'PTRM input'!$P$122)*$P$7)-SUM($P660:W660),(('PTRM input'!$P$156+'PTRM input'!$P$122)*$P$7)/A14taxstdlife))</f>
        <v>0</v>
      </c>
      <c r="Y660" s="590">
        <f>IF(A14taxstdlife="n/a","n/a",IF(Y$3&gt;(A14taxstdlife+$E660),(('PTRM input'!$P$156+'PTRM input'!$P$122)*$P$7)-SUM($P660:X660),(('PTRM input'!$P$156+'PTRM input'!$P$122)*$P$7)/A14taxstdlife))</f>
        <v>0</v>
      </c>
      <c r="Z660" s="590">
        <f>IF(A14taxstdlife="n/a","n/a",IF(Z$3&gt;(A14taxstdlife+$E660),(('PTRM input'!$P$156+'PTRM input'!$P$122)*$P$7)-SUM($P660:Y660),(('PTRM input'!$P$156+'PTRM input'!$P$122)*$P$7)/A14taxstdlife))</f>
        <v>0</v>
      </c>
      <c r="AA660" s="590">
        <f>IF(A14taxstdlife="n/a","n/a",IF(AA$3&gt;(A14taxstdlife+$E660),(('PTRM input'!$P$156+'PTRM input'!$P$122)*$P$7)-SUM($P660:Z660),(('PTRM input'!$P$156+'PTRM input'!$P$122)*$P$7)/A14taxstdlife))</f>
        <v>0</v>
      </c>
      <c r="AB660" s="590">
        <f>IF(A14taxstdlife="n/a","n/a",IF(AB$3&gt;(A14taxstdlife+$E660),(('PTRM input'!$P$156+'PTRM input'!$P$122)*$P$7)-SUM($P660:AA660),(('PTRM input'!$P$156+'PTRM input'!$P$122)*$P$7)/A14taxstdlife))</f>
        <v>0</v>
      </c>
      <c r="AC660" s="590">
        <f>IF(A14taxstdlife="n/a","n/a",IF(AC$3&gt;(A14taxstdlife+$E660),(('PTRM input'!$P$156+'PTRM input'!$P$122)*$P$7)-SUM($P660:AB660),(('PTRM input'!$P$156+'PTRM input'!$P$122)*$P$7)/A14taxstdlife))</f>
        <v>0</v>
      </c>
      <c r="AD660" s="590">
        <f>IF(A14taxstdlife="n/a","n/a",IF(AD$3&gt;(A14taxstdlife+$E660),(('PTRM input'!$P$156+'PTRM input'!$P$122)*$P$7)-SUM($P660:AC660),(('PTRM input'!$P$156+'PTRM input'!$P$122)*$P$7)/A14taxstdlife))</f>
        <v>0</v>
      </c>
      <c r="AE660" s="590">
        <f>IF(A14taxstdlife="n/a","n/a",IF(AE$3&gt;(A14taxstdlife+$E660),(('PTRM input'!$P$156+'PTRM input'!$P$122)*$P$7)-SUM($P660:AD660),(('PTRM input'!$P$156+'PTRM input'!$P$122)*$P$7)/A14taxstdlife))</f>
        <v>0</v>
      </c>
      <c r="AF660" s="590">
        <f>IF(A14taxstdlife="n/a","n/a",IF(AF$3&gt;(A14taxstdlife+$E660),(('PTRM input'!$P$156+'PTRM input'!$P$122)*$P$7)-SUM($P660:AE660),(('PTRM input'!$P$156+'PTRM input'!$P$122)*$P$7)/A14taxstdlife))</f>
        <v>0</v>
      </c>
      <c r="AG660" s="590">
        <f>IF(A14taxstdlife="n/a","n/a",IF(AG$3&gt;(A14taxstdlife+$E660),(('PTRM input'!$P$156+'PTRM input'!$P$122)*$P$7)-SUM($P660:AF660),(('PTRM input'!$P$156+'PTRM input'!$P$122)*$P$7)/A14taxstdlife))</f>
        <v>0</v>
      </c>
      <c r="AH660" s="590">
        <f>IF(A14taxstdlife="n/a","n/a",IF(AH$3&gt;(A14taxstdlife+$E660),(('PTRM input'!$P$156+'PTRM input'!$P$122)*$P$7)-SUM($P660:AG660),(('PTRM input'!$P$156+'PTRM input'!$P$122)*$P$7)/A14taxstdlife))</f>
        <v>0</v>
      </c>
      <c r="AI660" s="590">
        <f>IF(A14taxstdlife="n/a","n/a",IF(AI$3&gt;(A14taxstdlife+$E660),(('PTRM input'!$P$156+'PTRM input'!$P$122)*$P$7)-SUM($P660:AH660),(('PTRM input'!$P$156+'PTRM input'!$P$122)*$P$7)/A14taxstdlife))</f>
        <v>0</v>
      </c>
      <c r="AJ660" s="590">
        <f>IF(A14taxstdlife="n/a","n/a",IF(AJ$3&gt;(A14taxstdlife+$E660),(('PTRM input'!$P$156+'PTRM input'!$P$122)*$P$7)-SUM($P660:AI660),(('PTRM input'!$P$156+'PTRM input'!$P$122)*$P$7)/A14taxstdlife))</f>
        <v>0</v>
      </c>
      <c r="AK660" s="590">
        <f>IF(A14taxstdlife="n/a","n/a",IF(AK$3&gt;(A14taxstdlife+$E660),(('PTRM input'!$P$156+'PTRM input'!$P$122)*$P$7)-SUM($P660:AJ660),(('PTRM input'!$P$156+'PTRM input'!$P$122)*$P$7)/A14taxstdlife))</f>
        <v>0</v>
      </c>
      <c r="AL660" s="590">
        <f>IF(A14taxstdlife="n/a","n/a",IF(AL$3&gt;(A14taxstdlife+$E660),(('PTRM input'!$P$156+'PTRM input'!$P$122)*$P$7)-SUM($P660:AK660),(('PTRM input'!$P$156+'PTRM input'!$P$122)*$P$7)/A14taxstdlife))</f>
        <v>0</v>
      </c>
      <c r="AM660" s="590">
        <f>IF(A14taxstdlife="n/a","n/a",IF(AM$3&gt;(A14taxstdlife+$E660),(('PTRM input'!$P$156+'PTRM input'!$P$122)*$P$7)-SUM($P660:AL660),(('PTRM input'!$P$156+'PTRM input'!$P$122)*$P$7)/A14taxstdlife))</f>
        <v>0</v>
      </c>
      <c r="AN660" s="590">
        <f>IF(A14taxstdlife="n/a","n/a",IF(AN$3&gt;(A14taxstdlife+$E660),(('PTRM input'!$P$156+'PTRM input'!$P$122)*$P$7)-SUM($P660:AM660),(('PTRM input'!$P$156+'PTRM input'!$P$122)*$P$7)/A14taxstdlife))</f>
        <v>0</v>
      </c>
      <c r="AO660" s="590">
        <f>IF(A14taxstdlife="n/a","n/a",IF(AO$3&gt;(A14taxstdlife+$E660),(('PTRM input'!$P$156+'PTRM input'!$P$122)*$P$7)-SUM($P660:AN660),(('PTRM input'!$P$156+'PTRM input'!$P$122)*$P$7)/A14taxstdlife))</f>
        <v>0</v>
      </c>
      <c r="AP660" s="590">
        <f>IF(A14taxstdlife="n/a","n/a",IF(AP$3&gt;(A14taxstdlife+$E660),(('PTRM input'!$P$156+'PTRM input'!$P$122)*$P$7)-SUM($P660:AO660),(('PTRM input'!$P$156+'PTRM input'!$P$122)*$P$7)/A14taxstdlife))</f>
        <v>0</v>
      </c>
      <c r="AQ660" s="590">
        <f>IF(A14taxstdlife="n/a","n/a",IF(AQ$3&gt;(A14taxstdlife+$E660),(('PTRM input'!$P$156+'PTRM input'!$P$122)*$P$7)-SUM($P660:AP660),(('PTRM input'!$P$156+'PTRM input'!$P$122)*$P$7)/A14taxstdlife))</f>
        <v>0</v>
      </c>
      <c r="AR660" s="590">
        <f>IF(A14taxstdlife="n/a","n/a",IF(AR$3&gt;(A14taxstdlife+$E660),(('PTRM input'!$P$156+'PTRM input'!$P$122)*$P$7)-SUM($P660:AQ660),(('PTRM input'!$P$156+'PTRM input'!$P$122)*$P$7)/A14taxstdlife))</f>
        <v>0</v>
      </c>
      <c r="AS660" s="590">
        <f>IF(A14taxstdlife="n/a","n/a",IF(AS$3&gt;(A14taxstdlife+$E660),(('PTRM input'!$P$156+'PTRM input'!$P$122)*$P$7)-SUM($P660:AR660),(('PTRM input'!$P$156+'PTRM input'!$P$122)*$P$7)/A14taxstdlife))</f>
        <v>0</v>
      </c>
      <c r="AT660" s="590">
        <f>IF(A14taxstdlife="n/a","n/a",IF(AT$3&gt;(A14taxstdlife+$E660),(('PTRM input'!$P$156+'PTRM input'!$P$122)*$P$7)-SUM($P660:AS660),(('PTRM input'!$P$156+'PTRM input'!$P$122)*$P$7)/A14taxstdlife))</f>
        <v>0</v>
      </c>
      <c r="AU660" s="590">
        <f>IF(A14taxstdlife="n/a","n/a",IF(AU$3&gt;(A14taxstdlife+$E660),(('PTRM input'!$P$156+'PTRM input'!$P$122)*$P$7)-SUM($P660:AT660),(('PTRM input'!$P$156+'PTRM input'!$P$122)*$P$7)/A14taxstdlife))</f>
        <v>0</v>
      </c>
      <c r="AV660" s="590">
        <f>IF(A14taxstdlife="n/a","n/a",IF(AV$3&gt;(A14taxstdlife+$E660),(('PTRM input'!$P$156+'PTRM input'!$P$122)*$P$7)-SUM($P660:AU660),(('PTRM input'!$P$156+'PTRM input'!$P$122)*$P$7)/A14taxstdlife))</f>
        <v>0</v>
      </c>
      <c r="AW660" s="590">
        <f>IF(A14taxstdlife="n/a","n/a",IF(AW$3&gt;(A14taxstdlife+$E660),(('PTRM input'!$P$156+'PTRM input'!$P$122)*$P$7)-SUM($P660:AV660),(('PTRM input'!$P$156+'PTRM input'!$P$122)*$P$7)/A14taxstdlife))</f>
        <v>0</v>
      </c>
      <c r="AX660" s="590">
        <f>IF(A14taxstdlife="n/a","n/a",IF(AX$3&gt;(A14taxstdlife+$E660),(('PTRM input'!$P$156+'PTRM input'!$P$122)*$P$7)-SUM($P660:AW660),(('PTRM input'!$P$156+'PTRM input'!$P$122)*$P$7)/A14taxstdlife))</f>
        <v>0</v>
      </c>
      <c r="AY660" s="590">
        <f>IF(A14taxstdlife="n/a","n/a",IF(AY$3&gt;(A14taxstdlife+$E660),(('PTRM input'!$P$156+'PTRM input'!$P$122)*$P$7)-SUM($P660:AX660),(('PTRM input'!$P$156+'PTRM input'!$P$122)*$P$7)/A14taxstdlife))</f>
        <v>0</v>
      </c>
      <c r="AZ660" s="590">
        <f>IF(A14taxstdlife="n/a","n/a",IF(AZ$3&gt;(A14taxstdlife+$E660),(('PTRM input'!$P$156+'PTRM input'!$P$122)*$P$7)-SUM($P660:AY660),(('PTRM input'!$P$156+'PTRM input'!$P$122)*$P$7)/A14taxstdlife))</f>
        <v>0</v>
      </c>
      <c r="BA660" s="590">
        <f>IF(A14taxstdlife="n/a","n/a",IF(BA$3&gt;(A14taxstdlife+$E660),(('PTRM input'!$P$156+'PTRM input'!$P$122)*$P$7)-SUM($P660:AZ660),(('PTRM input'!$P$156+'PTRM input'!$P$122)*$P$7)/A14taxstdlife))</f>
        <v>0</v>
      </c>
      <c r="BB660" s="590">
        <f>IF(A14taxstdlife="n/a","n/a",IF(BB$3&gt;(A14taxstdlife+$E660),(('PTRM input'!$P$156+'PTRM input'!$P$122)*$P$7)-SUM($P660:BA660),(('PTRM input'!$P$156+'PTRM input'!$P$122)*$P$7)/A14taxstdlife))</f>
        <v>0</v>
      </c>
      <c r="BC660" s="590">
        <f>IF(A14taxstdlife="n/a","n/a",IF(BC$3&gt;(A14taxstdlife+$E660),(('PTRM input'!$P$156+'PTRM input'!$P$122)*$P$7)-SUM($P660:BB660),(('PTRM input'!$P$156+'PTRM input'!$P$122)*$P$7)/A14taxstdlife))</f>
        <v>0</v>
      </c>
      <c r="BD660" s="590">
        <f>IF(A14taxstdlife="n/a","n/a",IF(BD$3&gt;(A14taxstdlife+$E660),(('PTRM input'!$P$156+'PTRM input'!$P$122)*$P$7)-SUM($P660:BC660),(('PTRM input'!$P$156+'PTRM input'!$P$122)*$P$7)/A14taxstdlife))</f>
        <v>0</v>
      </c>
      <c r="BE660" s="590">
        <f>IF(A14taxstdlife="n/a","n/a",IF(BE$3&gt;(A14taxstdlife+$E660),(('PTRM input'!$P$156+'PTRM input'!$P$122)*$P$7)-SUM($P660:BD660),(('PTRM input'!$P$156+'PTRM input'!$P$122)*$P$7)/A14taxstdlife))</f>
        <v>0</v>
      </c>
      <c r="BF660" s="590">
        <f>IF(A14taxstdlife="n/a","n/a",IF(BF$3&gt;(A14taxstdlife+$E660),(('PTRM input'!$P$156+'PTRM input'!$P$122)*$P$7)-SUM($P660:BE660),(('PTRM input'!$P$156+'PTRM input'!$P$122)*$P$7)/A14taxstdlife))</f>
        <v>0</v>
      </c>
      <c r="BG660" s="590">
        <f>IF(A14taxstdlife="n/a","n/a",IF(BG$3&gt;(A14taxstdlife+$E660),(('PTRM input'!$P$156+'PTRM input'!$P$122)*$P$7)-SUM($P660:BF660),(('PTRM input'!$P$156+'PTRM input'!$P$122)*$P$7)/A14taxstdlife))</f>
        <v>0</v>
      </c>
      <c r="BH660" s="590">
        <f>IF(A14taxstdlife="n/a","n/a",IF(BH$3&gt;(A14taxstdlife+$E660),(('PTRM input'!$P$156+'PTRM input'!$P$122)*$P$7)-SUM($P660:BG660),(('PTRM input'!$P$156+'PTRM input'!$P$122)*$P$7)/A14taxstdlife))</f>
        <v>0</v>
      </c>
      <c r="BI660" s="590">
        <f>IF(A14taxstdlife="n/a","n/a",IF(BI$3&gt;(A14taxstdlife+$E660),(('PTRM input'!$P$156+'PTRM input'!$P$122)*$P$7)-SUM($P660:BH660),(('PTRM input'!$P$156+'PTRM input'!$P$122)*$P$7)/A14taxstdlife))</f>
        <v>0</v>
      </c>
      <c r="BJ660" s="240"/>
      <c r="BK660" s="240"/>
      <c r="BL660" s="240"/>
      <c r="BM660" s="240"/>
    </row>
    <row r="661" spans="1:65" s="4" customFormat="1" hidden="1" outlineLevel="1">
      <c r="A661" s="240"/>
      <c r="B661" s="240"/>
      <c r="C661" s="595">
        <f>Asset14</f>
        <v>0</v>
      </c>
      <c r="D661" s="240"/>
      <c r="E661" s="240"/>
      <c r="F661" s="596"/>
      <c r="G661" s="591">
        <f t="shared" ref="G661:AL661" si="132">SUM(G649:G660)</f>
        <v>0</v>
      </c>
      <c r="H661" s="591">
        <f t="shared" si="132"/>
        <v>0</v>
      </c>
      <c r="I661" s="591">
        <f t="shared" si="132"/>
        <v>0</v>
      </c>
      <c r="J661" s="591">
        <f t="shared" si="132"/>
        <v>0</v>
      </c>
      <c r="K661" s="591">
        <f t="shared" si="132"/>
        <v>0</v>
      </c>
      <c r="L661" s="591">
        <f t="shared" si="132"/>
        <v>0</v>
      </c>
      <c r="M661" s="591">
        <f t="shared" si="132"/>
        <v>0</v>
      </c>
      <c r="N661" s="591">
        <f t="shared" si="132"/>
        <v>0</v>
      </c>
      <c r="O661" s="591">
        <f t="shared" si="132"/>
        <v>0</v>
      </c>
      <c r="P661" s="591">
        <f t="shared" si="132"/>
        <v>0</v>
      </c>
      <c r="Q661" s="591">
        <f t="shared" si="132"/>
        <v>0</v>
      </c>
      <c r="R661" s="591">
        <f t="shared" si="132"/>
        <v>0</v>
      </c>
      <c r="S661" s="591">
        <f t="shared" si="132"/>
        <v>0</v>
      </c>
      <c r="T661" s="591">
        <f t="shared" si="132"/>
        <v>0</v>
      </c>
      <c r="U661" s="591">
        <f t="shared" si="132"/>
        <v>0</v>
      </c>
      <c r="V661" s="591">
        <f t="shared" si="132"/>
        <v>0</v>
      </c>
      <c r="W661" s="591">
        <f t="shared" si="132"/>
        <v>0</v>
      </c>
      <c r="X661" s="591">
        <f t="shared" si="132"/>
        <v>0</v>
      </c>
      <c r="Y661" s="591">
        <f t="shared" si="132"/>
        <v>0</v>
      </c>
      <c r="Z661" s="591">
        <f t="shared" si="132"/>
        <v>0</v>
      </c>
      <c r="AA661" s="591">
        <f t="shared" si="132"/>
        <v>0</v>
      </c>
      <c r="AB661" s="591">
        <f t="shared" si="132"/>
        <v>0</v>
      </c>
      <c r="AC661" s="591">
        <f t="shared" si="132"/>
        <v>0</v>
      </c>
      <c r="AD661" s="591">
        <f t="shared" si="132"/>
        <v>0</v>
      </c>
      <c r="AE661" s="591">
        <f t="shared" si="132"/>
        <v>0</v>
      </c>
      <c r="AF661" s="591">
        <f t="shared" si="132"/>
        <v>0</v>
      </c>
      <c r="AG661" s="591">
        <f t="shared" si="132"/>
        <v>0</v>
      </c>
      <c r="AH661" s="591">
        <f t="shared" si="132"/>
        <v>0</v>
      </c>
      <c r="AI661" s="591">
        <f t="shared" si="132"/>
        <v>0</v>
      </c>
      <c r="AJ661" s="591">
        <f t="shared" si="132"/>
        <v>0</v>
      </c>
      <c r="AK661" s="591">
        <f t="shared" si="132"/>
        <v>0</v>
      </c>
      <c r="AL661" s="591">
        <f t="shared" si="132"/>
        <v>0</v>
      </c>
      <c r="AM661" s="591">
        <f t="shared" ref="AM661:BI661" si="133">SUM(AM649:AM660)</f>
        <v>0</v>
      </c>
      <c r="AN661" s="591">
        <f t="shared" si="133"/>
        <v>0</v>
      </c>
      <c r="AO661" s="591">
        <f t="shared" si="133"/>
        <v>0</v>
      </c>
      <c r="AP661" s="591">
        <f t="shared" si="133"/>
        <v>0</v>
      </c>
      <c r="AQ661" s="591">
        <f t="shared" si="133"/>
        <v>0</v>
      </c>
      <c r="AR661" s="591">
        <f t="shared" si="133"/>
        <v>0</v>
      </c>
      <c r="AS661" s="591">
        <f t="shared" si="133"/>
        <v>0</v>
      </c>
      <c r="AT661" s="591">
        <f t="shared" si="133"/>
        <v>0</v>
      </c>
      <c r="AU661" s="591">
        <f t="shared" si="133"/>
        <v>0</v>
      </c>
      <c r="AV661" s="591">
        <f t="shared" si="133"/>
        <v>0</v>
      </c>
      <c r="AW661" s="591">
        <f t="shared" si="133"/>
        <v>0</v>
      </c>
      <c r="AX661" s="591">
        <f t="shared" si="133"/>
        <v>0</v>
      </c>
      <c r="AY661" s="591">
        <f t="shared" si="133"/>
        <v>0</v>
      </c>
      <c r="AZ661" s="591">
        <f t="shared" si="133"/>
        <v>0</v>
      </c>
      <c r="BA661" s="591">
        <f t="shared" si="133"/>
        <v>0</v>
      </c>
      <c r="BB661" s="591">
        <f t="shared" si="133"/>
        <v>0</v>
      </c>
      <c r="BC661" s="591">
        <f t="shared" si="133"/>
        <v>0</v>
      </c>
      <c r="BD661" s="591">
        <f t="shared" si="133"/>
        <v>0</v>
      </c>
      <c r="BE661" s="591">
        <f t="shared" si="133"/>
        <v>0</v>
      </c>
      <c r="BF661" s="591">
        <f t="shared" si="133"/>
        <v>0</v>
      </c>
      <c r="BG661" s="591">
        <f t="shared" si="133"/>
        <v>0</v>
      </c>
      <c r="BH661" s="591">
        <f t="shared" si="133"/>
        <v>0</v>
      </c>
      <c r="BI661" s="591">
        <f t="shared" si="133"/>
        <v>0</v>
      </c>
      <c r="BJ661" s="240"/>
      <c r="BK661" s="240"/>
      <c r="BL661" s="240"/>
      <c r="BM661" s="240"/>
    </row>
    <row r="662" spans="1:65" s="4" customFormat="1" hidden="1" outlineLevel="2">
      <c r="A662" s="240"/>
      <c r="B662" s="597">
        <f>C674</f>
        <v>0</v>
      </c>
      <c r="C662" s="488"/>
      <c r="D662" s="598" t="s">
        <v>58</v>
      </c>
      <c r="E662" s="488"/>
      <c r="F662" s="599"/>
      <c r="G662" s="592">
        <f>IF(G$3&gt;A15taxremlife,A15taxvalue-SUM($F662:F662),IF(A15taxremlife="N/A","n/a",A15taxvalue/A15taxremlife))</f>
        <v>0</v>
      </c>
      <c r="H662" s="592">
        <f>IF(H$3&gt;A15taxremlife,A15taxvalue-SUM($F662:G662),IF(A15taxremlife="N/A","n/a",A15taxvalue/A15taxremlife))</f>
        <v>0</v>
      </c>
      <c r="I662" s="592">
        <f>IF(I$3&gt;A15taxremlife,A15taxvalue-SUM($F662:H662),IF(A15taxremlife="N/A","n/a",A15taxvalue/A15taxremlife))</f>
        <v>0</v>
      </c>
      <c r="J662" s="592">
        <f>IF(J$3&gt;A15taxremlife,A15taxvalue-SUM($F662:I662),IF(A15taxremlife="N/A","n/a",A15taxvalue/A15taxremlife))</f>
        <v>0</v>
      </c>
      <c r="K662" s="592">
        <f>IF(K$3&gt;A15taxremlife,A15taxvalue-SUM($F662:J662),IF(A15taxremlife="N/A","n/a",A15taxvalue/A15taxremlife))</f>
        <v>0</v>
      </c>
      <c r="L662" s="592">
        <f>IF(L$3&gt;A15taxremlife,A15taxvalue-SUM($F662:K662),IF(A15taxremlife="N/A","n/a",A15taxvalue/A15taxremlife))</f>
        <v>0</v>
      </c>
      <c r="M662" s="592">
        <f>IF(M$3&gt;A15taxremlife,A15taxvalue-SUM($F662:L662),IF(A15taxremlife="N/A","n/a",A15taxvalue/A15taxremlife))</f>
        <v>0</v>
      </c>
      <c r="N662" s="592">
        <f>IF(N$3&gt;A15taxremlife,A15taxvalue-SUM($F662:M662),IF(A15taxremlife="N/A","n/a",A15taxvalue/A15taxremlife))</f>
        <v>0</v>
      </c>
      <c r="O662" s="592">
        <f>IF(O$3&gt;A15taxremlife,A15taxvalue-SUM($F662:N662),IF(A15taxremlife="N/A","n/a",A15taxvalue/A15taxremlife))</f>
        <v>0</v>
      </c>
      <c r="P662" s="592">
        <f>IF(P$3&gt;A15taxremlife,A15taxvalue-SUM($F662:O662),IF(A15taxremlife="N/A","n/a",A15taxvalue/A15taxremlife))</f>
        <v>0</v>
      </c>
      <c r="Q662" s="592">
        <f>IF(Q$3&gt;A15taxremlife,A15taxvalue-SUM($F662:P662),IF(A15taxremlife="N/A","n/a",A15taxvalue/A15taxremlife))</f>
        <v>0</v>
      </c>
      <c r="R662" s="592">
        <f>IF(R$3&gt;A15taxremlife,A15taxvalue-SUM($F662:Q662),IF(A15taxremlife="N/A","n/a",A15taxvalue/A15taxremlife))</f>
        <v>0</v>
      </c>
      <c r="S662" s="592">
        <f>IF(S$3&gt;A15taxremlife,A15taxvalue-SUM($F662:R662),IF(A15taxremlife="N/A","n/a",A15taxvalue/A15taxremlife))</f>
        <v>0</v>
      </c>
      <c r="T662" s="592">
        <f>IF(T$3&gt;A15taxremlife,A15taxvalue-SUM($F662:S662),IF(A15taxremlife="N/A","n/a",A15taxvalue/A15taxremlife))</f>
        <v>0</v>
      </c>
      <c r="U662" s="592">
        <f>IF(U$3&gt;A15taxremlife,A15taxvalue-SUM($F662:T662),IF(A15taxremlife="N/A","n/a",A15taxvalue/A15taxremlife))</f>
        <v>0</v>
      </c>
      <c r="V662" s="592">
        <f>IF(V$3&gt;A15taxremlife,A15taxvalue-SUM($F662:U662),IF(A15taxremlife="N/A","n/a",A15taxvalue/A15taxremlife))</f>
        <v>0</v>
      </c>
      <c r="W662" s="592">
        <f>IF(W$3&gt;A15taxremlife,A15taxvalue-SUM($F662:V662),IF(A15taxremlife="N/A","n/a",A15taxvalue/A15taxremlife))</f>
        <v>0</v>
      </c>
      <c r="X662" s="592">
        <f>IF(X$3&gt;A15taxremlife,A15taxvalue-SUM($F662:W662),IF(A15taxremlife="N/A","n/a",A15taxvalue/A15taxremlife))</f>
        <v>0</v>
      </c>
      <c r="Y662" s="592">
        <f>IF(Y$3&gt;A15taxremlife,A15taxvalue-SUM($F662:X662),IF(A15taxremlife="N/A","n/a",A15taxvalue/A15taxremlife))</f>
        <v>0</v>
      </c>
      <c r="Z662" s="592">
        <f>IF(Z$3&gt;A15taxremlife,A15taxvalue-SUM($F662:Y662),IF(A15taxremlife="N/A","n/a",A15taxvalue/A15taxremlife))</f>
        <v>0</v>
      </c>
      <c r="AA662" s="592">
        <f>IF(AA$3&gt;A15taxremlife,A15taxvalue-SUM($F662:Z662),IF(A15taxremlife="N/A","n/a",A15taxvalue/A15taxremlife))</f>
        <v>0</v>
      </c>
      <c r="AB662" s="592">
        <f>IF(AB$3&gt;A15taxremlife,A15taxvalue-SUM($F662:AA662),IF(A15taxremlife="N/A","n/a",A15taxvalue/A15taxremlife))</f>
        <v>0</v>
      </c>
      <c r="AC662" s="592">
        <f>IF(AC$3&gt;A15taxremlife,A15taxvalue-SUM($F662:AB662),IF(A15taxremlife="N/A","n/a",A15taxvalue/A15taxremlife))</f>
        <v>0</v>
      </c>
      <c r="AD662" s="592">
        <f>IF(AD$3&gt;A15taxremlife,A15taxvalue-SUM($F662:AC662),IF(A15taxremlife="N/A","n/a",A15taxvalue/A15taxremlife))</f>
        <v>0</v>
      </c>
      <c r="AE662" s="592">
        <f>IF(AE$3&gt;A15taxremlife,A15taxvalue-SUM($F662:AD662),IF(A15taxremlife="N/A","n/a",A15taxvalue/A15taxremlife))</f>
        <v>0</v>
      </c>
      <c r="AF662" s="592">
        <f>IF(AF$3&gt;A15taxremlife,A15taxvalue-SUM($F662:AE662),IF(A15taxremlife="N/A","n/a",A15taxvalue/A15taxremlife))</f>
        <v>0</v>
      </c>
      <c r="AG662" s="592">
        <f>IF(AG$3&gt;A15taxremlife,A15taxvalue-SUM($F662:AF662),IF(A15taxremlife="N/A","n/a",A15taxvalue/A15taxremlife))</f>
        <v>0</v>
      </c>
      <c r="AH662" s="592">
        <f>IF(AH$3&gt;A15taxremlife,A15taxvalue-SUM($F662:AG662),IF(A15taxremlife="N/A","n/a",A15taxvalue/A15taxremlife))</f>
        <v>0</v>
      </c>
      <c r="AI662" s="592">
        <f>IF(AI$3&gt;A15taxremlife,A15taxvalue-SUM($F662:AH662),IF(A15taxremlife="N/A","n/a",A15taxvalue/A15taxremlife))</f>
        <v>0</v>
      </c>
      <c r="AJ662" s="592">
        <f>IF(AJ$3&gt;A15taxremlife,A15taxvalue-SUM($F662:AI662),IF(A15taxremlife="N/A","n/a",A15taxvalue/A15taxremlife))</f>
        <v>0</v>
      </c>
      <c r="AK662" s="592">
        <f>IF(AK$3&gt;A15taxremlife,A15taxvalue-SUM($F662:AJ662),IF(A15taxremlife="N/A","n/a",A15taxvalue/A15taxremlife))</f>
        <v>0</v>
      </c>
      <c r="AL662" s="592">
        <f>IF(AL$3&gt;A15taxremlife,A15taxvalue-SUM($F662:AK662),IF(A15taxremlife="N/A","n/a",A15taxvalue/A15taxremlife))</f>
        <v>0</v>
      </c>
      <c r="AM662" s="592">
        <f>IF(AM$3&gt;A15taxremlife,A15taxvalue-SUM($F662:AL662),IF(A15taxremlife="N/A","n/a",A15taxvalue/A15taxremlife))</f>
        <v>0</v>
      </c>
      <c r="AN662" s="592">
        <f>IF(AN$3&gt;A15taxremlife,A15taxvalue-SUM($F662:AM662),IF(A15taxremlife="N/A","n/a",A15taxvalue/A15taxremlife))</f>
        <v>0</v>
      </c>
      <c r="AO662" s="592">
        <f>IF(AO$3&gt;A15taxremlife,A15taxvalue-SUM($F662:AN662),IF(A15taxremlife="N/A","n/a",A15taxvalue/A15taxremlife))</f>
        <v>0</v>
      </c>
      <c r="AP662" s="592">
        <f>IF(AP$3&gt;A15taxremlife,A15taxvalue-SUM($F662:AO662),IF(A15taxremlife="N/A","n/a",A15taxvalue/A15taxremlife))</f>
        <v>0</v>
      </c>
      <c r="AQ662" s="592">
        <f>IF(AQ$3&gt;A15taxremlife,A15taxvalue-SUM($F662:AP662),IF(A15taxremlife="N/A","n/a",A15taxvalue/A15taxremlife))</f>
        <v>0</v>
      </c>
      <c r="AR662" s="592">
        <f>IF(AR$3&gt;A15taxremlife,A15taxvalue-SUM($F662:AQ662),IF(A15taxremlife="N/A","n/a",A15taxvalue/A15taxremlife))</f>
        <v>0</v>
      </c>
      <c r="AS662" s="592">
        <f>IF(AS$3&gt;A15taxremlife,A15taxvalue-SUM($F662:AR662),IF(A15taxremlife="N/A","n/a",A15taxvalue/A15taxremlife))</f>
        <v>0</v>
      </c>
      <c r="AT662" s="592">
        <f>IF(AT$3&gt;A15taxremlife,A15taxvalue-SUM($F662:AS662),IF(A15taxremlife="N/A","n/a",A15taxvalue/A15taxremlife))</f>
        <v>0</v>
      </c>
      <c r="AU662" s="592">
        <f>IF(AU$3&gt;A15taxremlife,A15taxvalue-SUM($F662:AT662),IF(A15taxremlife="N/A","n/a",A15taxvalue/A15taxremlife))</f>
        <v>0</v>
      </c>
      <c r="AV662" s="592">
        <f>IF(AV$3&gt;A15taxremlife,A15taxvalue-SUM($F662:AU662),IF(A15taxremlife="N/A","n/a",A15taxvalue/A15taxremlife))</f>
        <v>0</v>
      </c>
      <c r="AW662" s="592">
        <f>IF(AW$3&gt;A15taxremlife,A15taxvalue-SUM($F662:AV662),IF(A15taxremlife="N/A","n/a",A15taxvalue/A15taxremlife))</f>
        <v>0</v>
      </c>
      <c r="AX662" s="592">
        <f>IF(AX$3&gt;A15taxremlife,A15taxvalue-SUM($F662:AW662),IF(A15taxremlife="N/A","n/a",A15taxvalue/A15taxremlife))</f>
        <v>0</v>
      </c>
      <c r="AY662" s="592">
        <f>IF(AY$3&gt;A15taxremlife,A15taxvalue-SUM($F662:AX662),IF(A15taxremlife="N/A","n/a",A15taxvalue/A15taxremlife))</f>
        <v>0</v>
      </c>
      <c r="AZ662" s="592">
        <f>IF(AZ$3&gt;A15taxremlife,A15taxvalue-SUM($F662:AY662),IF(A15taxremlife="N/A","n/a",A15taxvalue/A15taxremlife))</f>
        <v>0</v>
      </c>
      <c r="BA662" s="592">
        <f>IF(BA$3&gt;A15taxremlife,A15taxvalue-SUM($F662:AZ662),IF(A15taxremlife="N/A","n/a",A15taxvalue/A15taxremlife))</f>
        <v>0</v>
      </c>
      <c r="BB662" s="592">
        <f>IF(BB$3&gt;A15taxremlife,A15taxvalue-SUM($F662:BA662),IF(A15taxremlife="N/A","n/a",A15taxvalue/A15taxremlife))</f>
        <v>0</v>
      </c>
      <c r="BC662" s="592">
        <f>IF(BC$3&gt;A15taxremlife,A15taxvalue-SUM($F662:BB662),IF(A15taxremlife="N/A","n/a",A15taxvalue/A15taxremlife))</f>
        <v>0</v>
      </c>
      <c r="BD662" s="592">
        <f>IF(BD$3&gt;A15taxremlife,A15taxvalue-SUM($F662:BC662),IF(A15taxremlife="N/A","n/a",A15taxvalue/A15taxremlife))</f>
        <v>0</v>
      </c>
      <c r="BE662" s="592">
        <f>IF(BE$3&gt;A15taxremlife,A15taxvalue-SUM($F662:BD662),IF(A15taxremlife="N/A","n/a",A15taxvalue/A15taxremlife))</f>
        <v>0</v>
      </c>
      <c r="BF662" s="592">
        <f>IF(BF$3&gt;A15taxremlife,A15taxvalue-SUM($F662:BE662),IF(A15taxremlife="N/A","n/a",A15taxvalue/A15taxremlife))</f>
        <v>0</v>
      </c>
      <c r="BG662" s="592">
        <f>IF(BG$3&gt;A15taxremlife,A15taxvalue-SUM($F662:BF662),IF(A15taxremlife="N/A","n/a",A15taxvalue/A15taxremlife))</f>
        <v>0</v>
      </c>
      <c r="BH662" s="592">
        <f>IF(BH$3&gt;A15taxremlife,A15taxvalue-SUM($F662:BG662),IF(A15taxremlife="N/A","n/a",A15taxvalue/A15taxremlife))</f>
        <v>0</v>
      </c>
      <c r="BI662" s="592">
        <f>IF(BI$3&gt;A15taxremlife,A15taxvalue-SUM($F662:BH662),IF(A15taxremlife="N/A","n/a",A15taxvalue/A15taxremlife))</f>
        <v>0</v>
      </c>
      <c r="BJ662" s="240"/>
      <c r="BK662" s="240"/>
      <c r="BL662" s="240"/>
      <c r="BM662" s="240"/>
    </row>
    <row r="663" spans="1:65" s="4" customFormat="1" ht="12.75" hidden="1" customHeight="1" outlineLevel="2">
      <c r="A663" s="240"/>
      <c r="B663" s="240"/>
      <c r="C663" s="595"/>
      <c r="D663" s="1618" t="s">
        <v>357</v>
      </c>
      <c r="E663" s="169">
        <v>0</v>
      </c>
      <c r="F663" s="35"/>
      <c r="G663" s="107"/>
      <c r="H663" s="107"/>
      <c r="I663" s="107"/>
      <c r="J663" s="107"/>
      <c r="K663" s="107"/>
      <c r="L663" s="107"/>
      <c r="M663" s="107"/>
      <c r="N663" s="107"/>
      <c r="O663" s="107"/>
      <c r="P663" s="107"/>
      <c r="Q663" s="590"/>
      <c r="R663" s="590"/>
      <c r="S663" s="590"/>
      <c r="T663" s="590"/>
      <c r="U663" s="590"/>
      <c r="V663" s="590"/>
      <c r="W663" s="590"/>
      <c r="X663" s="590"/>
      <c r="Y663" s="590"/>
      <c r="Z663" s="590"/>
      <c r="AA663" s="590"/>
      <c r="AB663" s="590"/>
      <c r="AC663" s="590"/>
      <c r="AD663" s="590"/>
      <c r="AE663" s="590"/>
      <c r="AF663" s="590"/>
      <c r="AG663" s="590"/>
      <c r="AH663" s="590"/>
      <c r="AI663" s="590"/>
      <c r="AJ663" s="590"/>
      <c r="AK663" s="590"/>
      <c r="AL663" s="590"/>
      <c r="AM663" s="590"/>
      <c r="AN663" s="590"/>
      <c r="AO663" s="590"/>
      <c r="AP663" s="590"/>
      <c r="AQ663" s="590"/>
      <c r="AR663" s="590"/>
      <c r="AS663" s="590"/>
      <c r="AT663" s="590"/>
      <c r="AU663" s="590"/>
      <c r="AV663" s="590"/>
      <c r="AW663" s="590"/>
      <c r="AX663" s="590"/>
      <c r="AY663" s="590"/>
      <c r="AZ663" s="590"/>
      <c r="BA663" s="590"/>
      <c r="BB663" s="590"/>
      <c r="BC663" s="590"/>
      <c r="BD663" s="590"/>
      <c r="BE663" s="590"/>
      <c r="BF663" s="590"/>
      <c r="BG663" s="590"/>
      <c r="BH663" s="590"/>
      <c r="BI663" s="590"/>
      <c r="BJ663" s="240"/>
      <c r="BK663" s="240"/>
      <c r="BL663" s="240"/>
      <c r="BM663" s="240"/>
    </row>
    <row r="664" spans="1:65" s="4" customFormat="1" hidden="1" outlineLevel="2">
      <c r="A664" s="240"/>
      <c r="B664" s="240"/>
      <c r="C664" s="595"/>
      <c r="D664" s="1618"/>
      <c r="E664" s="169">
        <v>1</v>
      </c>
      <c r="F664" s="35"/>
      <c r="G664" s="183"/>
      <c r="H664" s="107">
        <f>IF(A15taxstdlife="n/a","n/a",IF(H$3&gt;(A15taxstdlife+$E664),(('PTRM input'!$G$157+'PTRM input'!$G$123)*$G$7)-SUM($G664:G664),(('PTRM input'!$G$157+'PTRM input'!$G$123)*$G$7)/A15taxstdlife))</f>
        <v>0</v>
      </c>
      <c r="I664" s="107">
        <f>IF(A15taxstdlife="n/a","n/a",IF(I$3&gt;(A15taxstdlife+$E664),(('PTRM input'!$G$157+'PTRM input'!$G$123)*$G$7)-SUM($G664:H664),(('PTRM input'!$G$157+'PTRM input'!$G$123)*$G$7)/A15taxstdlife))</f>
        <v>0</v>
      </c>
      <c r="J664" s="107">
        <f>IF(A15taxstdlife="n/a","n/a",IF(J$3&gt;(A15taxstdlife+$E664),(('PTRM input'!$G$157+'PTRM input'!$G$123)*$G$7)-SUM($G664:I664),(('PTRM input'!$G$157+'PTRM input'!$G$123)*$G$7)/A15taxstdlife))</f>
        <v>0</v>
      </c>
      <c r="K664" s="107">
        <f>IF(A15taxstdlife="n/a","n/a",IF(K$3&gt;(A15taxstdlife+$E664),(('PTRM input'!$G$157+'PTRM input'!$G$123)*$G$7)-SUM($G664:J664),(('PTRM input'!$G$157+'PTRM input'!$G$123)*$G$7)/A15taxstdlife))</f>
        <v>0</v>
      </c>
      <c r="L664" s="107">
        <f>IF(A15taxstdlife="n/a","n/a",IF(L$3&gt;(A15taxstdlife+$E664),(('PTRM input'!$G$157+'PTRM input'!$G$123)*$G$7)-SUM($G664:K664),(('PTRM input'!$G$157+'PTRM input'!$G$123)*$G$7)/A15taxstdlife))</f>
        <v>0</v>
      </c>
      <c r="M664" s="107">
        <f>IF(A15taxstdlife="n/a","n/a",IF(M$3&gt;(A15taxstdlife+$E664),(('PTRM input'!$G$157+'PTRM input'!$G$123)*$G$7)-SUM($G664:L664),(('PTRM input'!$G$157+'PTRM input'!$G$123)*$G$7)/A15taxstdlife))</f>
        <v>0</v>
      </c>
      <c r="N664" s="107">
        <f>IF(A15taxstdlife="n/a","n/a",IF(N$3&gt;(A15taxstdlife+$E664),(('PTRM input'!$G$157+'PTRM input'!$G$123)*$G$7)-SUM($G664:M664),(('PTRM input'!$G$157+'PTRM input'!$G$123)*$G$7)/A15taxstdlife))</f>
        <v>0</v>
      </c>
      <c r="O664" s="107">
        <f>IF(A15taxstdlife="n/a","n/a",IF(O$3&gt;(A15taxstdlife+$E664),(('PTRM input'!$G$157+'PTRM input'!$G$123)*$G$7)-SUM($G664:N664),(('PTRM input'!$G$157+'PTRM input'!$G$123)*$G$7)/A15taxstdlife))</f>
        <v>0</v>
      </c>
      <c r="P664" s="107">
        <f>IF(A15taxstdlife="n/a","n/a",IF(P$3&gt;(A15taxstdlife+$E664),(('PTRM input'!$G$157+'PTRM input'!$G$123)*$G$7)-SUM($G664:O664),(('PTRM input'!$G$157+'PTRM input'!$G$123)*$G$7)/A15taxstdlife))</f>
        <v>0</v>
      </c>
      <c r="Q664" s="590">
        <f>IF(A15taxstdlife="n/a","n/a",IF(Q$3&gt;(A15taxstdlife+$E664),(('PTRM input'!$G$157+'PTRM input'!$G$123)*$G$7)-SUM($G664:P664),(('PTRM input'!$G$157+'PTRM input'!$G$123)*$G$7)/A15taxstdlife))</f>
        <v>0</v>
      </c>
      <c r="R664" s="590">
        <f>IF(A15taxstdlife="n/a","n/a",IF(R$3&gt;(A15taxstdlife+$E664),(('PTRM input'!$G$157+'PTRM input'!$G$123)*$G$7)-SUM($G664:Q664),(('PTRM input'!$G$157+'PTRM input'!$G$123)*$G$7)/A15taxstdlife))</f>
        <v>0</v>
      </c>
      <c r="S664" s="590">
        <f>IF(A15taxstdlife="n/a","n/a",IF(S$3&gt;(A15taxstdlife+$E664),(('PTRM input'!$G$157+'PTRM input'!$G$123)*$G$7)-SUM($G664:R664),(('PTRM input'!$G$157+'PTRM input'!$G$123)*$G$7)/A15taxstdlife))</f>
        <v>0</v>
      </c>
      <c r="T664" s="590">
        <f>IF(A15taxstdlife="n/a","n/a",IF(T$3&gt;(A15taxstdlife+$E664),(('PTRM input'!$G$157+'PTRM input'!$G$123)*$G$7)-SUM($G664:S664),(('PTRM input'!$G$157+'PTRM input'!$G$123)*$G$7)/A15taxstdlife))</f>
        <v>0</v>
      </c>
      <c r="U664" s="590">
        <f>IF(A15taxstdlife="n/a","n/a",IF(U$3&gt;(A15taxstdlife+$E664),(('PTRM input'!$G$157+'PTRM input'!$G$123)*$G$7)-SUM($G664:T664),(('PTRM input'!$G$157+'PTRM input'!$G$123)*$G$7)/A15taxstdlife))</f>
        <v>0</v>
      </c>
      <c r="V664" s="590">
        <f>IF(A15taxstdlife="n/a","n/a",IF(V$3&gt;(A15taxstdlife+$E664),(('PTRM input'!$G$157+'PTRM input'!$G$123)*$G$7)-SUM($G664:U664),(('PTRM input'!$G$157+'PTRM input'!$G$123)*$G$7)/A15taxstdlife))</f>
        <v>0</v>
      </c>
      <c r="W664" s="590">
        <f>IF(A15taxstdlife="n/a","n/a",IF(W$3&gt;(A15taxstdlife+$E664),(('PTRM input'!$G$157+'PTRM input'!$G$123)*$G$7)-SUM($G664:V664),(('PTRM input'!$G$157+'PTRM input'!$G$123)*$G$7)/A15taxstdlife))</f>
        <v>0</v>
      </c>
      <c r="X664" s="590">
        <f>IF(A15taxstdlife="n/a","n/a",IF(X$3&gt;(A15taxstdlife+$E664),(('PTRM input'!$G$157+'PTRM input'!$G$123)*$G$7)-SUM($G664:W664),(('PTRM input'!$G$157+'PTRM input'!$G$123)*$G$7)/A15taxstdlife))</f>
        <v>0</v>
      </c>
      <c r="Y664" s="590">
        <f>IF(A15taxstdlife="n/a","n/a",IF(Y$3&gt;(A15taxstdlife+$E664),(('PTRM input'!$G$157+'PTRM input'!$G$123)*$G$7)-SUM($G664:X664),(('PTRM input'!$G$157+'PTRM input'!$G$123)*$G$7)/A15taxstdlife))</f>
        <v>0</v>
      </c>
      <c r="Z664" s="590">
        <f>IF(A15taxstdlife="n/a","n/a",IF(Z$3&gt;(A15taxstdlife+$E664),(('PTRM input'!$G$157+'PTRM input'!$G$123)*$G$7)-SUM($G664:Y664),(('PTRM input'!$G$157+'PTRM input'!$G$123)*$G$7)/A15taxstdlife))</f>
        <v>0</v>
      </c>
      <c r="AA664" s="590">
        <f>IF(A15taxstdlife="n/a","n/a",IF(AA$3&gt;(A15taxstdlife+$E664),(('PTRM input'!$G$157+'PTRM input'!$G$123)*$G$7)-SUM($G664:Z664),(('PTRM input'!$G$157+'PTRM input'!$G$123)*$G$7)/A15taxstdlife))</f>
        <v>0</v>
      </c>
      <c r="AB664" s="590">
        <f>IF(A15taxstdlife="n/a","n/a",IF(AB$3&gt;(A15taxstdlife+$E664),(('PTRM input'!$G$157+'PTRM input'!$G$123)*$G$7)-SUM($G664:AA664),(('PTRM input'!$G$157+'PTRM input'!$G$123)*$G$7)/A15taxstdlife))</f>
        <v>0</v>
      </c>
      <c r="AC664" s="590">
        <f>IF(A15taxstdlife="n/a","n/a",IF(AC$3&gt;(A15taxstdlife+$E664),(('PTRM input'!$G$157+'PTRM input'!$G$123)*$G$7)-SUM($G664:AB664),(('PTRM input'!$G$157+'PTRM input'!$G$123)*$G$7)/A15taxstdlife))</f>
        <v>0</v>
      </c>
      <c r="AD664" s="590">
        <f>IF(A15taxstdlife="n/a","n/a",IF(AD$3&gt;(A15taxstdlife+$E664),(('PTRM input'!$G$157+'PTRM input'!$G$123)*$G$7)-SUM($G664:AC664),(('PTRM input'!$G$157+'PTRM input'!$G$123)*$G$7)/A15taxstdlife))</f>
        <v>0</v>
      </c>
      <c r="AE664" s="590">
        <f>IF(A15taxstdlife="n/a","n/a",IF(AE$3&gt;(A15taxstdlife+$E664),(('PTRM input'!$G$157+'PTRM input'!$G$123)*$G$7)-SUM($G664:AD664),(('PTRM input'!$G$157+'PTRM input'!$G$123)*$G$7)/A15taxstdlife))</f>
        <v>0</v>
      </c>
      <c r="AF664" s="590">
        <f>IF(A15taxstdlife="n/a","n/a",IF(AF$3&gt;(A15taxstdlife+$E664),(('PTRM input'!$G$157+'PTRM input'!$G$123)*$G$7)-SUM($G664:AE664),(('PTRM input'!$G$157+'PTRM input'!$G$123)*$G$7)/A15taxstdlife))</f>
        <v>0</v>
      </c>
      <c r="AG664" s="590">
        <f>IF(A15taxstdlife="n/a","n/a",IF(AG$3&gt;(A15taxstdlife+$E664),(('PTRM input'!$G$157+'PTRM input'!$G$123)*$G$7)-SUM($G664:AF664),(('PTRM input'!$G$157+'PTRM input'!$G$123)*$G$7)/A15taxstdlife))</f>
        <v>0</v>
      </c>
      <c r="AH664" s="590">
        <f>IF(A15taxstdlife="n/a","n/a",IF(AH$3&gt;(A15taxstdlife+$E664),(('PTRM input'!$G$157+'PTRM input'!$G$123)*$G$7)-SUM($G664:AG664),(('PTRM input'!$G$157+'PTRM input'!$G$123)*$G$7)/A15taxstdlife))</f>
        <v>0</v>
      </c>
      <c r="AI664" s="590">
        <f>IF(A15taxstdlife="n/a","n/a",IF(AI$3&gt;(A15taxstdlife+$E664),(('PTRM input'!$G$157+'PTRM input'!$G$123)*$G$7)-SUM($G664:AH664),(('PTRM input'!$G$157+'PTRM input'!$G$123)*$G$7)/A15taxstdlife))</f>
        <v>0</v>
      </c>
      <c r="AJ664" s="590">
        <f>IF(A15taxstdlife="n/a","n/a",IF(AJ$3&gt;(A15taxstdlife+$E664),(('PTRM input'!$G$157+'PTRM input'!$G$123)*$G$7)-SUM($G664:AI664),(('PTRM input'!$G$157+'PTRM input'!$G$123)*$G$7)/A15taxstdlife))</f>
        <v>0</v>
      </c>
      <c r="AK664" s="590">
        <f>IF(A15taxstdlife="n/a","n/a",IF(AK$3&gt;(A15taxstdlife+$E664),(('PTRM input'!$G$157+'PTRM input'!$G$123)*$G$7)-SUM($G664:AJ664),(('PTRM input'!$G$157+'PTRM input'!$G$123)*$G$7)/A15taxstdlife))</f>
        <v>0</v>
      </c>
      <c r="AL664" s="590">
        <f>IF(A15taxstdlife="n/a","n/a",IF(AL$3&gt;(A15taxstdlife+$E664),(('PTRM input'!$G$157+'PTRM input'!$G$123)*$G$7)-SUM($G664:AK664),(('PTRM input'!$G$157+'PTRM input'!$G$123)*$G$7)/A15taxstdlife))</f>
        <v>0</v>
      </c>
      <c r="AM664" s="590">
        <f>IF(A15taxstdlife="n/a","n/a",IF(AM$3&gt;(A15taxstdlife+$E664),(('PTRM input'!$G$157+'PTRM input'!$G$123)*$G$7)-SUM($G664:AL664),(('PTRM input'!$G$157+'PTRM input'!$G$123)*$G$7)/A15taxstdlife))</f>
        <v>0</v>
      </c>
      <c r="AN664" s="590">
        <f>IF(A15taxstdlife="n/a","n/a",IF(AN$3&gt;(A15taxstdlife+$E664),(('PTRM input'!$G$157+'PTRM input'!$G$123)*$G$7)-SUM($G664:AM664),(('PTRM input'!$G$157+'PTRM input'!$G$123)*$G$7)/A15taxstdlife))</f>
        <v>0</v>
      </c>
      <c r="AO664" s="590">
        <f>IF(A15taxstdlife="n/a","n/a",IF(AO$3&gt;(A15taxstdlife+$E664),(('PTRM input'!$G$157+'PTRM input'!$G$123)*$G$7)-SUM($G664:AN664),(('PTRM input'!$G$157+'PTRM input'!$G$123)*$G$7)/A15taxstdlife))</f>
        <v>0</v>
      </c>
      <c r="AP664" s="590">
        <f>IF(A15taxstdlife="n/a","n/a",IF(AP$3&gt;(A15taxstdlife+$E664),(('PTRM input'!$G$157+'PTRM input'!$G$123)*$G$7)-SUM($G664:AO664),(('PTRM input'!$G$157+'PTRM input'!$G$123)*$G$7)/A15taxstdlife))</f>
        <v>0</v>
      </c>
      <c r="AQ664" s="590">
        <f>IF(A15taxstdlife="n/a","n/a",IF(AQ$3&gt;(A15taxstdlife+$E664),(('PTRM input'!$G$157+'PTRM input'!$G$123)*$G$7)-SUM($G664:AP664),(('PTRM input'!$G$157+'PTRM input'!$G$123)*$G$7)/A15taxstdlife))</f>
        <v>0</v>
      </c>
      <c r="AR664" s="590">
        <f>IF(A15taxstdlife="n/a","n/a",IF(AR$3&gt;(A15taxstdlife+$E664),(('PTRM input'!$G$157+'PTRM input'!$G$123)*$G$7)-SUM($G664:AQ664),(('PTRM input'!$G$157+'PTRM input'!$G$123)*$G$7)/A15taxstdlife))</f>
        <v>0</v>
      </c>
      <c r="AS664" s="590">
        <f>IF(A15taxstdlife="n/a","n/a",IF(AS$3&gt;(A15taxstdlife+$E664),(('PTRM input'!$G$157+'PTRM input'!$G$123)*$G$7)-SUM($G664:AR664),(('PTRM input'!$G$157+'PTRM input'!$G$123)*$G$7)/A15taxstdlife))</f>
        <v>0</v>
      </c>
      <c r="AT664" s="590">
        <f>IF(A15taxstdlife="n/a","n/a",IF(AT$3&gt;(A15taxstdlife+$E664),(('PTRM input'!$G$157+'PTRM input'!$G$123)*$G$7)-SUM($G664:AS664),(('PTRM input'!$G$157+'PTRM input'!$G$123)*$G$7)/A15taxstdlife))</f>
        <v>0</v>
      </c>
      <c r="AU664" s="590">
        <f>IF(A15taxstdlife="n/a","n/a",IF(AU$3&gt;(A15taxstdlife+$E664),(('PTRM input'!$G$157+'PTRM input'!$G$123)*$G$7)-SUM($G664:AT664),(('PTRM input'!$G$157+'PTRM input'!$G$123)*$G$7)/A15taxstdlife))</f>
        <v>0</v>
      </c>
      <c r="AV664" s="590">
        <f>IF(A15taxstdlife="n/a","n/a",IF(AV$3&gt;(A15taxstdlife+$E664),(('PTRM input'!$G$157+'PTRM input'!$G$123)*$G$7)-SUM($G664:AU664),(('PTRM input'!$G$157+'PTRM input'!$G$123)*$G$7)/A15taxstdlife))</f>
        <v>0</v>
      </c>
      <c r="AW664" s="590">
        <f>IF(A15taxstdlife="n/a","n/a",IF(AW$3&gt;(A15taxstdlife+$E664),(('PTRM input'!$G$157+'PTRM input'!$G$123)*$G$7)-SUM($G664:AV664),(('PTRM input'!$G$157+'PTRM input'!$G$123)*$G$7)/A15taxstdlife))</f>
        <v>0</v>
      </c>
      <c r="AX664" s="590">
        <f>IF(A15taxstdlife="n/a","n/a",IF(AX$3&gt;(A15taxstdlife+$E664),(('PTRM input'!$G$157+'PTRM input'!$G$123)*$G$7)-SUM($G664:AW664),(('PTRM input'!$G$157+'PTRM input'!$G$123)*$G$7)/A15taxstdlife))</f>
        <v>0</v>
      </c>
      <c r="AY664" s="590">
        <f>IF(A15taxstdlife="n/a","n/a",IF(AY$3&gt;(A15taxstdlife+$E664),(('PTRM input'!$G$157+'PTRM input'!$G$123)*$G$7)-SUM($G664:AX664),(('PTRM input'!$G$157+'PTRM input'!$G$123)*$G$7)/A15taxstdlife))</f>
        <v>0</v>
      </c>
      <c r="AZ664" s="590">
        <f>IF(A15taxstdlife="n/a","n/a",IF(AZ$3&gt;(A15taxstdlife+$E664),(('PTRM input'!$G$157+'PTRM input'!$G$123)*$G$7)-SUM($G664:AY664),(('PTRM input'!$G$157+'PTRM input'!$G$123)*$G$7)/A15taxstdlife))</f>
        <v>0</v>
      </c>
      <c r="BA664" s="590">
        <f>IF(A15taxstdlife="n/a","n/a",IF(BA$3&gt;(A15taxstdlife+$E664),(('PTRM input'!$G$157+'PTRM input'!$G$123)*$G$7)-SUM($G664:AZ664),(('PTRM input'!$G$157+'PTRM input'!$G$123)*$G$7)/A15taxstdlife))</f>
        <v>0</v>
      </c>
      <c r="BB664" s="590">
        <f>IF(A15taxstdlife="n/a","n/a",IF(BB$3&gt;(A15taxstdlife+$E664),(('PTRM input'!$G$157+'PTRM input'!$G$123)*$G$7)-SUM($G664:BA664),(('PTRM input'!$G$157+'PTRM input'!$G$123)*$G$7)/A15taxstdlife))</f>
        <v>0</v>
      </c>
      <c r="BC664" s="590">
        <f>IF(A15taxstdlife="n/a","n/a",IF(BC$3&gt;(A15taxstdlife+$E664),(('PTRM input'!$G$157+'PTRM input'!$G$123)*$G$7)-SUM($G664:BB664),(('PTRM input'!$G$157+'PTRM input'!$G$123)*$G$7)/A15taxstdlife))</f>
        <v>0</v>
      </c>
      <c r="BD664" s="590">
        <f>IF(A15taxstdlife="n/a","n/a",IF(BD$3&gt;(A15taxstdlife+$E664),(('PTRM input'!$G$157+'PTRM input'!$G$123)*$G$7)-SUM($G664:BC664),(('PTRM input'!$G$157+'PTRM input'!$G$123)*$G$7)/A15taxstdlife))</f>
        <v>0</v>
      </c>
      <c r="BE664" s="590">
        <f>IF(A15taxstdlife="n/a","n/a",IF(BE$3&gt;(A15taxstdlife+$E664),(('PTRM input'!$G$157+'PTRM input'!$G$123)*$G$7)-SUM($G664:BD664),(('PTRM input'!$G$157+'PTRM input'!$G$123)*$G$7)/A15taxstdlife))</f>
        <v>0</v>
      </c>
      <c r="BF664" s="590">
        <f>IF(A15taxstdlife="n/a","n/a",IF(BF$3&gt;(A15taxstdlife+$E664),(('PTRM input'!$G$157+'PTRM input'!$G$123)*$G$7)-SUM($G664:BE664),(('PTRM input'!$G$157+'PTRM input'!$G$123)*$G$7)/A15taxstdlife))</f>
        <v>0</v>
      </c>
      <c r="BG664" s="590">
        <f>IF(A15taxstdlife="n/a","n/a",IF(BG$3&gt;(A15taxstdlife+$E664),(('PTRM input'!$G$157+'PTRM input'!$G$123)*$G$7)-SUM($G664:BF664),(('PTRM input'!$G$157+'PTRM input'!$G$123)*$G$7)/A15taxstdlife))</f>
        <v>0</v>
      </c>
      <c r="BH664" s="590">
        <f>IF(A15taxstdlife="n/a","n/a",IF(BH$3&gt;(A15taxstdlife+$E664),(('PTRM input'!$G$157+'PTRM input'!$G$123)*$G$7)-SUM($G664:BG664),(('PTRM input'!$G$157+'PTRM input'!$G$123)*$G$7)/A15taxstdlife))</f>
        <v>0</v>
      </c>
      <c r="BI664" s="590">
        <f>IF(A15taxstdlife="n/a","n/a",IF(BI$3&gt;(A15taxstdlife+$E664),(('PTRM input'!$G$157+'PTRM input'!$G$123)*$G$7)-SUM($G664:BH664),(('PTRM input'!$G$157+'PTRM input'!$G$123)*$G$7)/A15taxstdlife))</f>
        <v>0</v>
      </c>
      <c r="BJ664" s="240"/>
      <c r="BK664" s="240"/>
      <c r="BL664" s="240"/>
      <c r="BM664" s="240"/>
    </row>
    <row r="665" spans="1:65" s="4" customFormat="1" hidden="1" outlineLevel="2">
      <c r="A665" s="240"/>
      <c r="B665" s="240"/>
      <c r="C665" s="595"/>
      <c r="D665" s="1618"/>
      <c r="E665" s="169">
        <v>2</v>
      </c>
      <c r="F665" s="35"/>
      <c r="G665" s="184"/>
      <c r="H665" s="185"/>
      <c r="I665" s="107">
        <f>IF(A15taxstdlife="n/a","n/a",IF(I$3&gt;(A15taxstdlife+$E665),(('PTRM input'!$H$157+'PTRM input'!$H$123)*$H$7)-SUM($H665:H665),(('PTRM input'!$H$157+'PTRM input'!$H$123)*$H$7)/A15taxstdlife))</f>
        <v>0</v>
      </c>
      <c r="J665" s="107">
        <f>IF(A15taxstdlife="n/a","n/a",IF(J$3&gt;(A15taxstdlife+$E665),(('PTRM input'!$H$157+'PTRM input'!$H$123)*$H$7)-SUM($H665:I665),(('PTRM input'!$H$157+'PTRM input'!$H$123)*$H$7)/A15taxstdlife))</f>
        <v>0</v>
      </c>
      <c r="K665" s="107">
        <f>IF(A15taxstdlife="n/a","n/a",IF(K$3&gt;(A15taxstdlife+$E665),(('PTRM input'!$H$157+'PTRM input'!$H$123)*$H$7)-SUM($H665:J665),(('PTRM input'!$H$157+'PTRM input'!$H$123)*$H$7)/A15taxstdlife))</f>
        <v>0</v>
      </c>
      <c r="L665" s="107">
        <f>IF(A15taxstdlife="n/a","n/a",IF(L$3&gt;(A15taxstdlife+$E665),(('PTRM input'!$H$157+'PTRM input'!$H$123)*$H$7)-SUM($H665:K665),(('PTRM input'!$H$157+'PTRM input'!$H$123)*$H$7)/A15taxstdlife))</f>
        <v>0</v>
      </c>
      <c r="M665" s="107">
        <f>IF(A15taxstdlife="n/a","n/a",IF(M$3&gt;(A15taxstdlife+$E665),(('PTRM input'!$H$157+'PTRM input'!$H$123)*$H$7)-SUM($H665:L665),(('PTRM input'!$H$157+'PTRM input'!$H$123)*$H$7)/A15taxstdlife))</f>
        <v>0</v>
      </c>
      <c r="N665" s="107">
        <f>IF(A15taxstdlife="n/a","n/a",IF(N$3&gt;(A15taxstdlife+$E665),(('PTRM input'!$H$157+'PTRM input'!$H$123)*$H$7)-SUM($H665:M665),(('PTRM input'!$H$157+'PTRM input'!$H$123)*$H$7)/A15taxstdlife))</f>
        <v>0</v>
      </c>
      <c r="O665" s="107">
        <f>IF(A15taxstdlife="n/a","n/a",IF(O$3&gt;(A15taxstdlife+$E665),(('PTRM input'!$H$157+'PTRM input'!$H$123)*$H$7)-SUM($H665:N665),(('PTRM input'!$H$157+'PTRM input'!$H$123)*$H$7)/A15taxstdlife))</f>
        <v>0</v>
      </c>
      <c r="P665" s="107">
        <f>IF(A15taxstdlife="n/a","n/a",IF(P$3&gt;(A15taxstdlife+$E665),(('PTRM input'!$H$157+'PTRM input'!$H$123)*$H$7)-SUM($H665:O665),(('PTRM input'!$H$157+'PTRM input'!$H$123)*$H$7)/A15taxstdlife))</f>
        <v>0</v>
      </c>
      <c r="Q665" s="590">
        <f>IF(A15taxstdlife="n/a","n/a",IF(Q$3&gt;(A15taxstdlife+$E665),(('PTRM input'!$H$157+'PTRM input'!$H$123)*$H$7)-SUM($H665:P665),(('PTRM input'!$H$157+'PTRM input'!$H$123)*$H$7)/A15taxstdlife))</f>
        <v>0</v>
      </c>
      <c r="R665" s="590">
        <f>IF(A15taxstdlife="n/a","n/a",IF(R$3&gt;(A15taxstdlife+$E665),(('PTRM input'!$H$157+'PTRM input'!$H$123)*$H$7)-SUM($H665:Q665),(('PTRM input'!$H$157+'PTRM input'!$H$123)*$H$7)/A15taxstdlife))</f>
        <v>0</v>
      </c>
      <c r="S665" s="590">
        <f>IF(A15taxstdlife="n/a","n/a",IF(S$3&gt;(A15taxstdlife+$E665),(('PTRM input'!$H$157+'PTRM input'!$H$123)*$H$7)-SUM($H665:R665),(('PTRM input'!$H$157+'PTRM input'!$H$123)*$H$7)/A15taxstdlife))</f>
        <v>0</v>
      </c>
      <c r="T665" s="590">
        <f>IF(A15taxstdlife="n/a","n/a",IF(T$3&gt;(A15taxstdlife+$E665),(('PTRM input'!$H$157+'PTRM input'!$H$123)*$H$7)-SUM($H665:S665),(('PTRM input'!$H$157+'PTRM input'!$H$123)*$H$7)/A15taxstdlife))</f>
        <v>0</v>
      </c>
      <c r="U665" s="590">
        <f>IF(A15taxstdlife="n/a","n/a",IF(U$3&gt;(A15taxstdlife+$E665),(('PTRM input'!$H$157+'PTRM input'!$H$123)*$H$7)-SUM($H665:T665),(('PTRM input'!$H$157+'PTRM input'!$H$123)*$H$7)/A15taxstdlife))</f>
        <v>0</v>
      </c>
      <c r="V665" s="590">
        <f>IF(A15taxstdlife="n/a","n/a",IF(V$3&gt;(A15taxstdlife+$E665),(('PTRM input'!$H$157+'PTRM input'!$H$123)*$H$7)-SUM($H665:U665),(('PTRM input'!$H$157+'PTRM input'!$H$123)*$H$7)/A15taxstdlife))</f>
        <v>0</v>
      </c>
      <c r="W665" s="590">
        <f>IF(A15taxstdlife="n/a","n/a",IF(W$3&gt;(A15taxstdlife+$E665),(('PTRM input'!$H$157+'PTRM input'!$H$123)*$H$7)-SUM($H665:V665),(('PTRM input'!$H$157+'PTRM input'!$H$123)*$H$7)/A15taxstdlife))</f>
        <v>0</v>
      </c>
      <c r="X665" s="590">
        <f>IF(A15taxstdlife="n/a","n/a",IF(X$3&gt;(A15taxstdlife+$E665),(('PTRM input'!$H$157+'PTRM input'!$H$123)*$H$7)-SUM($H665:W665),(('PTRM input'!$H$157+'PTRM input'!$H$123)*$H$7)/A15taxstdlife))</f>
        <v>0</v>
      </c>
      <c r="Y665" s="590">
        <f>IF(A15taxstdlife="n/a","n/a",IF(Y$3&gt;(A15taxstdlife+$E665),(('PTRM input'!$H$157+'PTRM input'!$H$123)*$H$7)-SUM($H665:X665),(('PTRM input'!$H$157+'PTRM input'!$H$123)*$H$7)/A15taxstdlife))</f>
        <v>0</v>
      </c>
      <c r="Z665" s="590">
        <f>IF(A15taxstdlife="n/a","n/a",IF(Z$3&gt;(A15taxstdlife+$E665),(('PTRM input'!$H$157+'PTRM input'!$H$123)*$H$7)-SUM($H665:Y665),(('PTRM input'!$H$157+'PTRM input'!$H$123)*$H$7)/A15taxstdlife))</f>
        <v>0</v>
      </c>
      <c r="AA665" s="590">
        <f>IF(A15taxstdlife="n/a","n/a",IF(AA$3&gt;(A15taxstdlife+$E665),(('PTRM input'!$H$157+'PTRM input'!$H$123)*$H$7)-SUM($H665:Z665),(('PTRM input'!$H$157+'PTRM input'!$H$123)*$H$7)/A15taxstdlife))</f>
        <v>0</v>
      </c>
      <c r="AB665" s="590">
        <f>IF(A15taxstdlife="n/a","n/a",IF(AB$3&gt;(A15taxstdlife+$E665),(('PTRM input'!$H$157+'PTRM input'!$H$123)*$H$7)-SUM($H665:AA665),(('PTRM input'!$H$157+'PTRM input'!$H$123)*$H$7)/A15taxstdlife))</f>
        <v>0</v>
      </c>
      <c r="AC665" s="590">
        <f>IF(A15taxstdlife="n/a","n/a",IF(AC$3&gt;(A15taxstdlife+$E665),(('PTRM input'!$H$157+'PTRM input'!$H$123)*$H$7)-SUM($H665:AB665),(('PTRM input'!$H$157+'PTRM input'!$H$123)*$H$7)/A15taxstdlife))</f>
        <v>0</v>
      </c>
      <c r="AD665" s="590">
        <f>IF(A15taxstdlife="n/a","n/a",IF(AD$3&gt;(A15taxstdlife+$E665),(('PTRM input'!$H$157+'PTRM input'!$H$123)*$H$7)-SUM($H665:AC665),(('PTRM input'!$H$157+'PTRM input'!$H$123)*$H$7)/A15taxstdlife))</f>
        <v>0</v>
      </c>
      <c r="AE665" s="590">
        <f>IF(A15taxstdlife="n/a","n/a",IF(AE$3&gt;(A15taxstdlife+$E665),(('PTRM input'!$H$157+'PTRM input'!$H$123)*$H$7)-SUM($H665:AD665),(('PTRM input'!$H$157+'PTRM input'!$H$123)*$H$7)/A15taxstdlife))</f>
        <v>0</v>
      </c>
      <c r="AF665" s="590">
        <f>IF(A15taxstdlife="n/a","n/a",IF(AF$3&gt;(A15taxstdlife+$E665),(('PTRM input'!$H$157+'PTRM input'!$H$123)*$H$7)-SUM($H665:AE665),(('PTRM input'!$H$157+'PTRM input'!$H$123)*$H$7)/A15taxstdlife))</f>
        <v>0</v>
      </c>
      <c r="AG665" s="590">
        <f>IF(A15taxstdlife="n/a","n/a",IF(AG$3&gt;(A15taxstdlife+$E665),(('PTRM input'!$H$157+'PTRM input'!$H$123)*$H$7)-SUM($H665:AF665),(('PTRM input'!$H$157+'PTRM input'!$H$123)*$H$7)/A15taxstdlife))</f>
        <v>0</v>
      </c>
      <c r="AH665" s="590">
        <f>IF(A15taxstdlife="n/a","n/a",IF(AH$3&gt;(A15taxstdlife+$E665),(('PTRM input'!$H$157+'PTRM input'!$H$123)*$H$7)-SUM($H665:AG665),(('PTRM input'!$H$157+'PTRM input'!$H$123)*$H$7)/A15taxstdlife))</f>
        <v>0</v>
      </c>
      <c r="AI665" s="590">
        <f>IF(A15taxstdlife="n/a","n/a",IF(AI$3&gt;(A15taxstdlife+$E665),(('PTRM input'!$H$157+'PTRM input'!$H$123)*$H$7)-SUM($H665:AH665),(('PTRM input'!$H$157+'PTRM input'!$H$123)*$H$7)/A15taxstdlife))</f>
        <v>0</v>
      </c>
      <c r="AJ665" s="590">
        <f>IF(A15taxstdlife="n/a","n/a",IF(AJ$3&gt;(A15taxstdlife+$E665),(('PTRM input'!$H$157+'PTRM input'!$H$123)*$H$7)-SUM($H665:AI665),(('PTRM input'!$H$157+'PTRM input'!$H$123)*$H$7)/A15taxstdlife))</f>
        <v>0</v>
      </c>
      <c r="AK665" s="590">
        <f>IF(A15taxstdlife="n/a","n/a",IF(AK$3&gt;(A15taxstdlife+$E665),(('PTRM input'!$H$157+'PTRM input'!$H$123)*$H$7)-SUM($H665:AJ665),(('PTRM input'!$H$157+'PTRM input'!$H$123)*$H$7)/A15taxstdlife))</f>
        <v>0</v>
      </c>
      <c r="AL665" s="590">
        <f>IF(A15taxstdlife="n/a","n/a",IF(AL$3&gt;(A15taxstdlife+$E665),(('PTRM input'!$H$157+'PTRM input'!$H$123)*$H$7)-SUM($H665:AK665),(('PTRM input'!$H$157+'PTRM input'!$H$123)*$H$7)/A15taxstdlife))</f>
        <v>0</v>
      </c>
      <c r="AM665" s="590">
        <f>IF(A15taxstdlife="n/a","n/a",IF(AM$3&gt;(A15taxstdlife+$E665),(('PTRM input'!$H$157+'PTRM input'!$H$123)*$H$7)-SUM($H665:AL665),(('PTRM input'!$H$157+'PTRM input'!$H$123)*$H$7)/A15taxstdlife))</f>
        <v>0</v>
      </c>
      <c r="AN665" s="590">
        <f>IF(A15taxstdlife="n/a","n/a",IF(AN$3&gt;(A15taxstdlife+$E665),(('PTRM input'!$H$157+'PTRM input'!$H$123)*$H$7)-SUM($H665:AM665),(('PTRM input'!$H$157+'PTRM input'!$H$123)*$H$7)/A15taxstdlife))</f>
        <v>0</v>
      </c>
      <c r="AO665" s="590">
        <f>IF(A15taxstdlife="n/a","n/a",IF(AO$3&gt;(A15taxstdlife+$E665),(('PTRM input'!$H$157+'PTRM input'!$H$123)*$H$7)-SUM($H665:AN665),(('PTRM input'!$H$157+'PTRM input'!$H$123)*$H$7)/A15taxstdlife))</f>
        <v>0</v>
      </c>
      <c r="AP665" s="590">
        <f>IF(A15taxstdlife="n/a","n/a",IF(AP$3&gt;(A15taxstdlife+$E665),(('PTRM input'!$H$157+'PTRM input'!$H$123)*$H$7)-SUM($H665:AO665),(('PTRM input'!$H$157+'PTRM input'!$H$123)*$H$7)/A15taxstdlife))</f>
        <v>0</v>
      </c>
      <c r="AQ665" s="590">
        <f>IF(A15taxstdlife="n/a","n/a",IF(AQ$3&gt;(A15taxstdlife+$E665),(('PTRM input'!$H$157+'PTRM input'!$H$123)*$H$7)-SUM($H665:AP665),(('PTRM input'!$H$157+'PTRM input'!$H$123)*$H$7)/A15taxstdlife))</f>
        <v>0</v>
      </c>
      <c r="AR665" s="590">
        <f>IF(A15taxstdlife="n/a","n/a",IF(AR$3&gt;(A15taxstdlife+$E665),(('PTRM input'!$H$157+'PTRM input'!$H$123)*$H$7)-SUM($H665:AQ665),(('PTRM input'!$H$157+'PTRM input'!$H$123)*$H$7)/A15taxstdlife))</f>
        <v>0</v>
      </c>
      <c r="AS665" s="590">
        <f>IF(A15taxstdlife="n/a","n/a",IF(AS$3&gt;(A15taxstdlife+$E665),(('PTRM input'!$H$157+'PTRM input'!$H$123)*$H$7)-SUM($H665:AR665),(('PTRM input'!$H$157+'PTRM input'!$H$123)*$H$7)/A15taxstdlife))</f>
        <v>0</v>
      </c>
      <c r="AT665" s="590">
        <f>IF(A15taxstdlife="n/a","n/a",IF(AT$3&gt;(A15taxstdlife+$E665),(('PTRM input'!$H$157+'PTRM input'!$H$123)*$H$7)-SUM($H665:AS665),(('PTRM input'!$H$157+'PTRM input'!$H$123)*$H$7)/A15taxstdlife))</f>
        <v>0</v>
      </c>
      <c r="AU665" s="590">
        <f>IF(A15taxstdlife="n/a","n/a",IF(AU$3&gt;(A15taxstdlife+$E665),(('PTRM input'!$H$157+'PTRM input'!$H$123)*$H$7)-SUM($H665:AT665),(('PTRM input'!$H$157+'PTRM input'!$H$123)*$H$7)/A15taxstdlife))</f>
        <v>0</v>
      </c>
      <c r="AV665" s="590">
        <f>IF(A15taxstdlife="n/a","n/a",IF(AV$3&gt;(A15taxstdlife+$E665),(('PTRM input'!$H$157+'PTRM input'!$H$123)*$H$7)-SUM($H665:AU665),(('PTRM input'!$H$157+'PTRM input'!$H$123)*$H$7)/A15taxstdlife))</f>
        <v>0</v>
      </c>
      <c r="AW665" s="590">
        <f>IF(A15taxstdlife="n/a","n/a",IF(AW$3&gt;(A15taxstdlife+$E665),(('PTRM input'!$H$157+'PTRM input'!$H$123)*$H$7)-SUM($H665:AV665),(('PTRM input'!$H$157+'PTRM input'!$H$123)*$H$7)/A15taxstdlife))</f>
        <v>0</v>
      </c>
      <c r="AX665" s="590">
        <f>IF(A15taxstdlife="n/a","n/a",IF(AX$3&gt;(A15taxstdlife+$E665),(('PTRM input'!$H$157+'PTRM input'!$H$123)*$H$7)-SUM($H665:AW665),(('PTRM input'!$H$157+'PTRM input'!$H$123)*$H$7)/A15taxstdlife))</f>
        <v>0</v>
      </c>
      <c r="AY665" s="590">
        <f>IF(A15taxstdlife="n/a","n/a",IF(AY$3&gt;(A15taxstdlife+$E665),(('PTRM input'!$H$157+'PTRM input'!$H$123)*$H$7)-SUM($H665:AX665),(('PTRM input'!$H$157+'PTRM input'!$H$123)*$H$7)/A15taxstdlife))</f>
        <v>0</v>
      </c>
      <c r="AZ665" s="590">
        <f>IF(A15taxstdlife="n/a","n/a",IF(AZ$3&gt;(A15taxstdlife+$E665),(('PTRM input'!$H$157+'PTRM input'!$H$123)*$H$7)-SUM($H665:AY665),(('PTRM input'!$H$157+'PTRM input'!$H$123)*$H$7)/A15taxstdlife))</f>
        <v>0</v>
      </c>
      <c r="BA665" s="590">
        <f>IF(A15taxstdlife="n/a","n/a",IF(BA$3&gt;(A15taxstdlife+$E665),(('PTRM input'!$H$157+'PTRM input'!$H$123)*$H$7)-SUM($H665:AZ665),(('PTRM input'!$H$157+'PTRM input'!$H$123)*$H$7)/A15taxstdlife))</f>
        <v>0</v>
      </c>
      <c r="BB665" s="590">
        <f>IF(A15taxstdlife="n/a","n/a",IF(BB$3&gt;(A15taxstdlife+$E665),(('PTRM input'!$H$157+'PTRM input'!$H$123)*$H$7)-SUM($H665:BA665),(('PTRM input'!$H$157+'PTRM input'!$H$123)*$H$7)/A15taxstdlife))</f>
        <v>0</v>
      </c>
      <c r="BC665" s="590">
        <f>IF(A15taxstdlife="n/a","n/a",IF(BC$3&gt;(A15taxstdlife+$E665),(('PTRM input'!$H$157+'PTRM input'!$H$123)*$H$7)-SUM($H665:BB665),(('PTRM input'!$H$157+'PTRM input'!$H$123)*$H$7)/A15taxstdlife))</f>
        <v>0</v>
      </c>
      <c r="BD665" s="590">
        <f>IF(A15taxstdlife="n/a","n/a",IF(BD$3&gt;(A15taxstdlife+$E665),(('PTRM input'!$H$157+'PTRM input'!$H$123)*$H$7)-SUM($H665:BC665),(('PTRM input'!$H$157+'PTRM input'!$H$123)*$H$7)/A15taxstdlife))</f>
        <v>0</v>
      </c>
      <c r="BE665" s="590">
        <f>IF(A15taxstdlife="n/a","n/a",IF(BE$3&gt;(A15taxstdlife+$E665),(('PTRM input'!$H$157+'PTRM input'!$H$123)*$H$7)-SUM($H665:BD665),(('PTRM input'!$H$157+'PTRM input'!$H$123)*$H$7)/A15taxstdlife))</f>
        <v>0</v>
      </c>
      <c r="BF665" s="590">
        <f>IF(A15taxstdlife="n/a","n/a",IF(BF$3&gt;(A15taxstdlife+$E665),(('PTRM input'!$H$157+'PTRM input'!$H$123)*$H$7)-SUM($H665:BE665),(('PTRM input'!$H$157+'PTRM input'!$H$123)*$H$7)/A15taxstdlife))</f>
        <v>0</v>
      </c>
      <c r="BG665" s="590">
        <f>IF(A15taxstdlife="n/a","n/a",IF(BG$3&gt;(A15taxstdlife+$E665),(('PTRM input'!$H$157+'PTRM input'!$H$123)*$H$7)-SUM($H665:BF665),(('PTRM input'!$H$157+'PTRM input'!$H$123)*$H$7)/A15taxstdlife))</f>
        <v>0</v>
      </c>
      <c r="BH665" s="590">
        <f>IF(A15taxstdlife="n/a","n/a",IF(BH$3&gt;(A15taxstdlife+$E665),(('PTRM input'!$H$157+'PTRM input'!$H$123)*$H$7)-SUM($H665:BG665),(('PTRM input'!$H$157+'PTRM input'!$H$123)*$H$7)/A15taxstdlife))</f>
        <v>0</v>
      </c>
      <c r="BI665" s="590">
        <f>IF(A15taxstdlife="n/a","n/a",IF(BI$3&gt;(A15taxstdlife+$E665),(('PTRM input'!$H$157+'PTRM input'!$H$123)*$H$7)-SUM($H665:BH665),(('PTRM input'!$H$157+'PTRM input'!$H$123)*$H$7)/A15taxstdlife))</f>
        <v>0</v>
      </c>
      <c r="BJ665" s="240"/>
      <c r="BK665" s="240"/>
      <c r="BL665" s="240"/>
      <c r="BM665" s="240"/>
    </row>
    <row r="666" spans="1:65" s="4" customFormat="1" hidden="1" outlineLevel="2">
      <c r="A666" s="240"/>
      <c r="B666" s="240"/>
      <c r="C666" s="595"/>
      <c r="D666" s="1618"/>
      <c r="E666" s="169">
        <v>3</v>
      </c>
      <c r="F666" s="35"/>
      <c r="G666" s="184"/>
      <c r="H666" s="186"/>
      <c r="I666" s="185"/>
      <c r="J666" s="107">
        <f>IF(A15taxstdlife="n/a","n/a",IF(J$3&gt;(A15taxstdlife+$E666),(('PTRM input'!$I$157+'PTRM input'!$I$123)*$I$7)-SUM($I666:I666),(('PTRM input'!$I$157+'PTRM input'!$I$123)*$I$7)/A15taxstdlife))</f>
        <v>0</v>
      </c>
      <c r="K666" s="107">
        <f>IF(A15taxstdlife="n/a","n/a",IF(K$3&gt;(A15taxstdlife+$E666),(('PTRM input'!$I$157+'PTRM input'!$I$123)*$I$7)-SUM($I666:J666),(('PTRM input'!$I$157+'PTRM input'!$I$123)*$I$7)/A15taxstdlife))</f>
        <v>0</v>
      </c>
      <c r="L666" s="107">
        <f>IF(A15taxstdlife="n/a","n/a",IF(L$3&gt;(A15taxstdlife+$E666),(('PTRM input'!$I$157+'PTRM input'!$I$123)*$I$7)-SUM($I666:K666),(('PTRM input'!$I$157+'PTRM input'!$I$123)*$I$7)/A15taxstdlife))</f>
        <v>0</v>
      </c>
      <c r="M666" s="107">
        <f>IF(A15taxstdlife="n/a","n/a",IF(M$3&gt;(A15taxstdlife+$E666),(('PTRM input'!$I$157+'PTRM input'!$I$123)*$I$7)-SUM($I666:L666),(('PTRM input'!$I$157+'PTRM input'!$I$123)*$I$7)/A15taxstdlife))</f>
        <v>0</v>
      </c>
      <c r="N666" s="107">
        <f>IF(A15taxstdlife="n/a","n/a",IF(N$3&gt;(A15taxstdlife+$E666),(('PTRM input'!$I$157+'PTRM input'!$I$123)*$I$7)-SUM($I666:M666),(('PTRM input'!$I$157+'PTRM input'!$I$123)*$I$7)/A15taxstdlife))</f>
        <v>0</v>
      </c>
      <c r="O666" s="107">
        <f>IF(A15taxstdlife="n/a","n/a",IF(O$3&gt;(A15taxstdlife+$E666),(('PTRM input'!$I$157+'PTRM input'!$I$123)*$I$7)-SUM($I666:N666),(('PTRM input'!$I$157+'PTRM input'!$I$123)*$I$7)/A15taxstdlife))</f>
        <v>0</v>
      </c>
      <c r="P666" s="107">
        <f>IF(A15taxstdlife="n/a","n/a",IF(P$3&gt;(A15taxstdlife+$E666),(('PTRM input'!$I$157+'PTRM input'!$I$123)*$I$7)-SUM($I666:O666),(('PTRM input'!$I$157+'PTRM input'!$I$123)*$I$7)/A15taxstdlife))</f>
        <v>0</v>
      </c>
      <c r="Q666" s="590">
        <f>IF(A15taxstdlife="n/a","n/a",IF(Q$3&gt;(A15taxstdlife+$E666),(('PTRM input'!$I$157+'PTRM input'!$I$123)*$I$7)-SUM($I666:P666),(('PTRM input'!$I$157+'PTRM input'!$I$123)*$I$7)/A15taxstdlife))</f>
        <v>0</v>
      </c>
      <c r="R666" s="590">
        <f>IF(A15taxstdlife="n/a","n/a",IF(R$3&gt;(A15taxstdlife+$E666),(('PTRM input'!$I$157+'PTRM input'!$I$123)*$I$7)-SUM($I666:Q666),(('PTRM input'!$I$157+'PTRM input'!$I$123)*$I$7)/A15taxstdlife))</f>
        <v>0</v>
      </c>
      <c r="S666" s="590">
        <f>IF(A15taxstdlife="n/a","n/a",IF(S$3&gt;(A15taxstdlife+$E666),(('PTRM input'!$I$157+'PTRM input'!$I$123)*$I$7)-SUM($I666:R666),(('PTRM input'!$I$157+'PTRM input'!$I$123)*$I$7)/A15taxstdlife))</f>
        <v>0</v>
      </c>
      <c r="T666" s="590">
        <f>IF(A15taxstdlife="n/a","n/a",IF(T$3&gt;(A15taxstdlife+$E666),(('PTRM input'!$I$157+'PTRM input'!$I$123)*$I$7)-SUM($I666:S666),(('PTRM input'!$I$157+'PTRM input'!$I$123)*$I$7)/A15taxstdlife))</f>
        <v>0</v>
      </c>
      <c r="U666" s="590">
        <f>IF(A15taxstdlife="n/a","n/a",IF(U$3&gt;(A15taxstdlife+$E666),(('PTRM input'!$I$157+'PTRM input'!$I$123)*$I$7)-SUM($I666:T666),(('PTRM input'!$I$157+'PTRM input'!$I$123)*$I$7)/A15taxstdlife))</f>
        <v>0</v>
      </c>
      <c r="V666" s="590">
        <f>IF(A15taxstdlife="n/a","n/a",IF(V$3&gt;(A15taxstdlife+$E666),(('PTRM input'!$I$157+'PTRM input'!$I$123)*$I$7)-SUM($I666:U666),(('PTRM input'!$I$157+'PTRM input'!$I$123)*$I$7)/A15taxstdlife))</f>
        <v>0</v>
      </c>
      <c r="W666" s="590">
        <f>IF(A15taxstdlife="n/a","n/a",IF(W$3&gt;(A15taxstdlife+$E666),(('PTRM input'!$I$157+'PTRM input'!$I$123)*$I$7)-SUM($I666:V666),(('PTRM input'!$I$157+'PTRM input'!$I$123)*$I$7)/A15taxstdlife))</f>
        <v>0</v>
      </c>
      <c r="X666" s="590">
        <f>IF(A15taxstdlife="n/a","n/a",IF(X$3&gt;(A15taxstdlife+$E666),(('PTRM input'!$I$157+'PTRM input'!$I$123)*$I$7)-SUM($I666:W666),(('PTRM input'!$I$157+'PTRM input'!$I$123)*$I$7)/A15taxstdlife))</f>
        <v>0</v>
      </c>
      <c r="Y666" s="590">
        <f>IF(A15taxstdlife="n/a","n/a",IF(Y$3&gt;(A15taxstdlife+$E666),(('PTRM input'!$I$157+'PTRM input'!$I$123)*$I$7)-SUM($I666:X666),(('PTRM input'!$I$157+'PTRM input'!$I$123)*$I$7)/A15taxstdlife))</f>
        <v>0</v>
      </c>
      <c r="Z666" s="590">
        <f>IF(A15taxstdlife="n/a","n/a",IF(Z$3&gt;(A15taxstdlife+$E666),(('PTRM input'!$I$157+'PTRM input'!$I$123)*$I$7)-SUM($I666:Y666),(('PTRM input'!$I$157+'PTRM input'!$I$123)*$I$7)/A15taxstdlife))</f>
        <v>0</v>
      </c>
      <c r="AA666" s="590">
        <f>IF(A15taxstdlife="n/a","n/a",IF(AA$3&gt;(A15taxstdlife+$E666),(('PTRM input'!$I$157+'PTRM input'!$I$123)*$I$7)-SUM($I666:Z666),(('PTRM input'!$I$157+'PTRM input'!$I$123)*$I$7)/A15taxstdlife))</f>
        <v>0</v>
      </c>
      <c r="AB666" s="590">
        <f>IF(A15taxstdlife="n/a","n/a",IF(AB$3&gt;(A15taxstdlife+$E666),(('PTRM input'!$I$157+'PTRM input'!$I$123)*$I$7)-SUM($I666:AA666),(('PTRM input'!$I$157+'PTRM input'!$I$123)*$I$7)/A15taxstdlife))</f>
        <v>0</v>
      </c>
      <c r="AC666" s="590">
        <f>IF(A15taxstdlife="n/a","n/a",IF(AC$3&gt;(A15taxstdlife+$E666),(('PTRM input'!$I$157+'PTRM input'!$I$123)*$I$7)-SUM($I666:AB666),(('PTRM input'!$I$157+'PTRM input'!$I$123)*$I$7)/A15taxstdlife))</f>
        <v>0</v>
      </c>
      <c r="AD666" s="590">
        <f>IF(A15taxstdlife="n/a","n/a",IF(AD$3&gt;(A15taxstdlife+$E666),(('PTRM input'!$I$157+'PTRM input'!$I$123)*$I$7)-SUM($I666:AC666),(('PTRM input'!$I$157+'PTRM input'!$I$123)*$I$7)/A15taxstdlife))</f>
        <v>0</v>
      </c>
      <c r="AE666" s="590">
        <f>IF(A15taxstdlife="n/a","n/a",IF(AE$3&gt;(A15taxstdlife+$E666),(('PTRM input'!$I$157+'PTRM input'!$I$123)*$I$7)-SUM($I666:AD666),(('PTRM input'!$I$157+'PTRM input'!$I$123)*$I$7)/A15taxstdlife))</f>
        <v>0</v>
      </c>
      <c r="AF666" s="590">
        <f>IF(A15taxstdlife="n/a","n/a",IF(AF$3&gt;(A15taxstdlife+$E666),(('PTRM input'!$I$157+'PTRM input'!$I$123)*$I$7)-SUM($I666:AE666),(('PTRM input'!$I$157+'PTRM input'!$I$123)*$I$7)/A15taxstdlife))</f>
        <v>0</v>
      </c>
      <c r="AG666" s="590">
        <f>IF(A15taxstdlife="n/a","n/a",IF(AG$3&gt;(A15taxstdlife+$E666),(('PTRM input'!$I$157+'PTRM input'!$I$123)*$I$7)-SUM($I666:AF666),(('PTRM input'!$I$157+'PTRM input'!$I$123)*$I$7)/A15taxstdlife))</f>
        <v>0</v>
      </c>
      <c r="AH666" s="590">
        <f>IF(A15taxstdlife="n/a","n/a",IF(AH$3&gt;(A15taxstdlife+$E666),(('PTRM input'!$I$157+'PTRM input'!$I$123)*$I$7)-SUM($I666:AG666),(('PTRM input'!$I$157+'PTRM input'!$I$123)*$I$7)/A15taxstdlife))</f>
        <v>0</v>
      </c>
      <c r="AI666" s="590">
        <f>IF(A15taxstdlife="n/a","n/a",IF(AI$3&gt;(A15taxstdlife+$E666),(('PTRM input'!$I$157+'PTRM input'!$I$123)*$I$7)-SUM($I666:AH666),(('PTRM input'!$I$157+'PTRM input'!$I$123)*$I$7)/A15taxstdlife))</f>
        <v>0</v>
      </c>
      <c r="AJ666" s="590">
        <f>IF(A15taxstdlife="n/a","n/a",IF(AJ$3&gt;(A15taxstdlife+$E666),(('PTRM input'!$I$157+'PTRM input'!$I$123)*$I$7)-SUM($I666:AI666),(('PTRM input'!$I$157+'PTRM input'!$I$123)*$I$7)/A15taxstdlife))</f>
        <v>0</v>
      </c>
      <c r="AK666" s="590">
        <f>IF(A15taxstdlife="n/a","n/a",IF(AK$3&gt;(A15taxstdlife+$E666),(('PTRM input'!$I$157+'PTRM input'!$I$123)*$I$7)-SUM($I666:AJ666),(('PTRM input'!$I$157+'PTRM input'!$I$123)*$I$7)/A15taxstdlife))</f>
        <v>0</v>
      </c>
      <c r="AL666" s="590">
        <f>IF(A15taxstdlife="n/a","n/a",IF(AL$3&gt;(A15taxstdlife+$E666),(('PTRM input'!$I$157+'PTRM input'!$I$123)*$I$7)-SUM($I666:AK666),(('PTRM input'!$I$157+'PTRM input'!$I$123)*$I$7)/A15taxstdlife))</f>
        <v>0</v>
      </c>
      <c r="AM666" s="590">
        <f>IF(A15taxstdlife="n/a","n/a",IF(AM$3&gt;(A15taxstdlife+$E666),(('PTRM input'!$I$157+'PTRM input'!$I$123)*$I$7)-SUM($I666:AL666),(('PTRM input'!$I$157+'PTRM input'!$I$123)*$I$7)/A15taxstdlife))</f>
        <v>0</v>
      </c>
      <c r="AN666" s="590">
        <f>IF(A15taxstdlife="n/a","n/a",IF(AN$3&gt;(A15taxstdlife+$E666),(('PTRM input'!$I$157+'PTRM input'!$I$123)*$I$7)-SUM($I666:AM666),(('PTRM input'!$I$157+'PTRM input'!$I$123)*$I$7)/A15taxstdlife))</f>
        <v>0</v>
      </c>
      <c r="AO666" s="590">
        <f>IF(A15taxstdlife="n/a","n/a",IF(AO$3&gt;(A15taxstdlife+$E666),(('PTRM input'!$I$157+'PTRM input'!$I$123)*$I$7)-SUM($I666:AN666),(('PTRM input'!$I$157+'PTRM input'!$I$123)*$I$7)/A15taxstdlife))</f>
        <v>0</v>
      </c>
      <c r="AP666" s="590">
        <f>IF(A15taxstdlife="n/a","n/a",IF(AP$3&gt;(A15taxstdlife+$E666),(('PTRM input'!$I$157+'PTRM input'!$I$123)*$I$7)-SUM($I666:AO666),(('PTRM input'!$I$157+'PTRM input'!$I$123)*$I$7)/A15taxstdlife))</f>
        <v>0</v>
      </c>
      <c r="AQ666" s="590">
        <f>IF(A15taxstdlife="n/a","n/a",IF(AQ$3&gt;(A15taxstdlife+$E666),(('PTRM input'!$I$157+'PTRM input'!$I$123)*$I$7)-SUM($I666:AP666),(('PTRM input'!$I$157+'PTRM input'!$I$123)*$I$7)/A15taxstdlife))</f>
        <v>0</v>
      </c>
      <c r="AR666" s="590">
        <f>IF(A15taxstdlife="n/a","n/a",IF(AR$3&gt;(A15taxstdlife+$E666),(('PTRM input'!$I$157+'PTRM input'!$I$123)*$I$7)-SUM($I666:AQ666),(('PTRM input'!$I$157+'PTRM input'!$I$123)*$I$7)/A15taxstdlife))</f>
        <v>0</v>
      </c>
      <c r="AS666" s="590">
        <f>IF(A15taxstdlife="n/a","n/a",IF(AS$3&gt;(A15taxstdlife+$E666),(('PTRM input'!$I$157+'PTRM input'!$I$123)*$I$7)-SUM($I666:AR666),(('PTRM input'!$I$157+'PTRM input'!$I$123)*$I$7)/A15taxstdlife))</f>
        <v>0</v>
      </c>
      <c r="AT666" s="590">
        <f>IF(A15taxstdlife="n/a","n/a",IF(AT$3&gt;(A15taxstdlife+$E666),(('PTRM input'!$I$157+'PTRM input'!$I$123)*$I$7)-SUM($I666:AS666),(('PTRM input'!$I$157+'PTRM input'!$I$123)*$I$7)/A15taxstdlife))</f>
        <v>0</v>
      </c>
      <c r="AU666" s="590">
        <f>IF(A15taxstdlife="n/a","n/a",IF(AU$3&gt;(A15taxstdlife+$E666),(('PTRM input'!$I$157+'PTRM input'!$I$123)*$I$7)-SUM($I666:AT666),(('PTRM input'!$I$157+'PTRM input'!$I$123)*$I$7)/A15taxstdlife))</f>
        <v>0</v>
      </c>
      <c r="AV666" s="590">
        <f>IF(A15taxstdlife="n/a","n/a",IF(AV$3&gt;(A15taxstdlife+$E666),(('PTRM input'!$I$157+'PTRM input'!$I$123)*$I$7)-SUM($I666:AU666),(('PTRM input'!$I$157+'PTRM input'!$I$123)*$I$7)/A15taxstdlife))</f>
        <v>0</v>
      </c>
      <c r="AW666" s="590">
        <f>IF(A15taxstdlife="n/a","n/a",IF(AW$3&gt;(A15taxstdlife+$E666),(('PTRM input'!$I$157+'PTRM input'!$I$123)*$I$7)-SUM($I666:AV666),(('PTRM input'!$I$157+'PTRM input'!$I$123)*$I$7)/A15taxstdlife))</f>
        <v>0</v>
      </c>
      <c r="AX666" s="590">
        <f>IF(A15taxstdlife="n/a","n/a",IF(AX$3&gt;(A15taxstdlife+$E666),(('PTRM input'!$I$157+'PTRM input'!$I$123)*$I$7)-SUM($I666:AW666),(('PTRM input'!$I$157+'PTRM input'!$I$123)*$I$7)/A15taxstdlife))</f>
        <v>0</v>
      </c>
      <c r="AY666" s="590">
        <f>IF(A15taxstdlife="n/a","n/a",IF(AY$3&gt;(A15taxstdlife+$E666),(('PTRM input'!$I$157+'PTRM input'!$I$123)*$I$7)-SUM($I666:AX666),(('PTRM input'!$I$157+'PTRM input'!$I$123)*$I$7)/A15taxstdlife))</f>
        <v>0</v>
      </c>
      <c r="AZ666" s="590">
        <f>IF(A15taxstdlife="n/a","n/a",IF(AZ$3&gt;(A15taxstdlife+$E666),(('PTRM input'!$I$157+'PTRM input'!$I$123)*$I$7)-SUM($I666:AY666),(('PTRM input'!$I$157+'PTRM input'!$I$123)*$I$7)/A15taxstdlife))</f>
        <v>0</v>
      </c>
      <c r="BA666" s="590">
        <f>IF(A15taxstdlife="n/a","n/a",IF(BA$3&gt;(A15taxstdlife+$E666),(('PTRM input'!$I$157+'PTRM input'!$I$123)*$I$7)-SUM($I666:AZ666),(('PTRM input'!$I$157+'PTRM input'!$I$123)*$I$7)/A15taxstdlife))</f>
        <v>0</v>
      </c>
      <c r="BB666" s="590">
        <f>IF(A15taxstdlife="n/a","n/a",IF(BB$3&gt;(A15taxstdlife+$E666),(('PTRM input'!$I$157+'PTRM input'!$I$123)*$I$7)-SUM($I666:BA666),(('PTRM input'!$I$157+'PTRM input'!$I$123)*$I$7)/A15taxstdlife))</f>
        <v>0</v>
      </c>
      <c r="BC666" s="590">
        <f>IF(A15taxstdlife="n/a","n/a",IF(BC$3&gt;(A15taxstdlife+$E666),(('PTRM input'!$I$157+'PTRM input'!$I$123)*$I$7)-SUM($I666:BB666),(('PTRM input'!$I$157+'PTRM input'!$I$123)*$I$7)/A15taxstdlife))</f>
        <v>0</v>
      </c>
      <c r="BD666" s="590">
        <f>IF(A15taxstdlife="n/a","n/a",IF(BD$3&gt;(A15taxstdlife+$E666),(('PTRM input'!$I$157+'PTRM input'!$I$123)*$I$7)-SUM($I666:BC666),(('PTRM input'!$I$157+'PTRM input'!$I$123)*$I$7)/A15taxstdlife))</f>
        <v>0</v>
      </c>
      <c r="BE666" s="590">
        <f>IF(A15taxstdlife="n/a","n/a",IF(BE$3&gt;(A15taxstdlife+$E666),(('PTRM input'!$I$157+'PTRM input'!$I$123)*$I$7)-SUM($I666:BD666),(('PTRM input'!$I$157+'PTRM input'!$I$123)*$I$7)/A15taxstdlife))</f>
        <v>0</v>
      </c>
      <c r="BF666" s="590">
        <f>IF(A15taxstdlife="n/a","n/a",IF(BF$3&gt;(A15taxstdlife+$E666),(('PTRM input'!$I$157+'PTRM input'!$I$123)*$I$7)-SUM($I666:BE666),(('PTRM input'!$I$157+'PTRM input'!$I$123)*$I$7)/A15taxstdlife))</f>
        <v>0</v>
      </c>
      <c r="BG666" s="590">
        <f>IF(A15taxstdlife="n/a","n/a",IF(BG$3&gt;(A15taxstdlife+$E666),(('PTRM input'!$I$157+'PTRM input'!$I$123)*$I$7)-SUM($I666:BF666),(('PTRM input'!$I$157+'PTRM input'!$I$123)*$I$7)/A15taxstdlife))</f>
        <v>0</v>
      </c>
      <c r="BH666" s="590">
        <f>IF(A15taxstdlife="n/a","n/a",IF(BH$3&gt;(A15taxstdlife+$E666),(('PTRM input'!$I$157+'PTRM input'!$I$123)*$I$7)-SUM($I666:BG666),(('PTRM input'!$I$157+'PTRM input'!$I$123)*$I$7)/A15taxstdlife))</f>
        <v>0</v>
      </c>
      <c r="BI666" s="590">
        <f>IF(A15taxstdlife="n/a","n/a",IF(BI$3&gt;(A15taxstdlife+$E666),(('PTRM input'!$I$157+'PTRM input'!$I$123)*$I$7)-SUM($I666:BH666),(('PTRM input'!$I$157+'PTRM input'!$I$123)*$I$7)/A15taxstdlife))</f>
        <v>0</v>
      </c>
      <c r="BJ666" s="240"/>
      <c r="BK666" s="240"/>
      <c r="BL666" s="240"/>
      <c r="BM666" s="240"/>
    </row>
    <row r="667" spans="1:65" s="4" customFormat="1" hidden="1" outlineLevel="2">
      <c r="A667" s="240"/>
      <c r="B667" s="240"/>
      <c r="C667" s="595"/>
      <c r="D667" s="1618"/>
      <c r="E667" s="169">
        <v>4</v>
      </c>
      <c r="F667" s="35"/>
      <c r="G667" s="184"/>
      <c r="H667" s="186"/>
      <c r="I667" s="186"/>
      <c r="J667" s="185"/>
      <c r="K667" s="107">
        <f>IF(A15taxstdlife="n/a","n/a",IF(K$3&gt;(A15taxstdlife+$E667),(('PTRM input'!$J$157+'PTRM input'!$J$123)*$J$7)-SUM($J667:J667),(('PTRM input'!$J$157+'PTRM input'!$J$123)*$J$7)/A15taxstdlife))</f>
        <v>0</v>
      </c>
      <c r="L667" s="107">
        <f>IF(A15taxstdlife="n/a","n/a",IF(L$3&gt;(A15taxstdlife+$E667),(('PTRM input'!$J$157+'PTRM input'!$J$123)*$J$7)-SUM($J667:K667),(('PTRM input'!$J$157+'PTRM input'!$J$123)*$J$7)/A15taxstdlife))</f>
        <v>0</v>
      </c>
      <c r="M667" s="107">
        <f>IF(A15taxstdlife="n/a","n/a",IF(M$3&gt;(A15taxstdlife+$E667),(('PTRM input'!$J$157+'PTRM input'!$J$123)*$J$7)-SUM($J667:L667),(('PTRM input'!$J$157+'PTRM input'!$J$123)*$J$7)/A15taxstdlife))</f>
        <v>0</v>
      </c>
      <c r="N667" s="107">
        <f>IF(A15taxstdlife="n/a","n/a",IF(N$3&gt;(A15taxstdlife+$E667),(('PTRM input'!$J$157+'PTRM input'!$J$123)*$J$7)-SUM($J667:M667),(('PTRM input'!$J$157+'PTRM input'!$J$123)*$J$7)/A15taxstdlife))</f>
        <v>0</v>
      </c>
      <c r="O667" s="107">
        <f>IF(A15taxstdlife="n/a","n/a",IF(O$3&gt;(A15taxstdlife+$E667),(('PTRM input'!$J$157+'PTRM input'!$J$123)*$J$7)-SUM($J667:N667),(('PTRM input'!$J$157+'PTRM input'!$J$123)*$J$7)/A15taxstdlife))</f>
        <v>0</v>
      </c>
      <c r="P667" s="107">
        <f>IF(A15taxstdlife="n/a","n/a",IF(P$3&gt;(A15taxstdlife+$E667),(('PTRM input'!$J$157+'PTRM input'!$J$123)*$J$7)-SUM($J667:O667),(('PTRM input'!$J$157+'PTRM input'!$J$123)*$J$7)/A15taxstdlife))</f>
        <v>0</v>
      </c>
      <c r="Q667" s="590">
        <f>IF(A15taxstdlife="n/a","n/a",IF(Q$3&gt;(A15taxstdlife+$E667),(('PTRM input'!$J$157+'PTRM input'!$J$123)*$J$7)-SUM($J667:P667),(('PTRM input'!$J$157+'PTRM input'!$J$123)*$J$7)/A15taxstdlife))</f>
        <v>0</v>
      </c>
      <c r="R667" s="590">
        <f>IF(A15taxstdlife="n/a","n/a",IF(R$3&gt;(A15taxstdlife+$E667),(('PTRM input'!$J$157+'PTRM input'!$J$123)*$J$7)-SUM($J667:Q667),(('PTRM input'!$J$157+'PTRM input'!$J$123)*$J$7)/A15taxstdlife))</f>
        <v>0</v>
      </c>
      <c r="S667" s="590">
        <f>IF(A15taxstdlife="n/a","n/a",IF(S$3&gt;(A15taxstdlife+$E667),(('PTRM input'!$J$157+'PTRM input'!$J$123)*$J$7)-SUM($J667:R667),(('PTRM input'!$J$157+'PTRM input'!$J$123)*$J$7)/A15taxstdlife))</f>
        <v>0</v>
      </c>
      <c r="T667" s="590">
        <f>IF(A15taxstdlife="n/a","n/a",IF(T$3&gt;(A15taxstdlife+$E667),(('PTRM input'!$J$157+'PTRM input'!$J$123)*$J$7)-SUM($J667:S667),(('PTRM input'!$J$157+'PTRM input'!$J$123)*$J$7)/A15taxstdlife))</f>
        <v>0</v>
      </c>
      <c r="U667" s="590">
        <f>IF(A15taxstdlife="n/a","n/a",IF(U$3&gt;(A15taxstdlife+$E667),(('PTRM input'!$J$157+'PTRM input'!$J$123)*$J$7)-SUM($J667:T667),(('PTRM input'!$J$157+'PTRM input'!$J$123)*$J$7)/A15taxstdlife))</f>
        <v>0</v>
      </c>
      <c r="V667" s="590">
        <f>IF(A15taxstdlife="n/a","n/a",IF(V$3&gt;(A15taxstdlife+$E667),(('PTRM input'!$J$157+'PTRM input'!$J$123)*$J$7)-SUM($J667:U667),(('PTRM input'!$J$157+'PTRM input'!$J$123)*$J$7)/A15taxstdlife))</f>
        <v>0</v>
      </c>
      <c r="W667" s="590">
        <f>IF(A15taxstdlife="n/a","n/a",IF(W$3&gt;(A15taxstdlife+$E667),(('PTRM input'!$J$157+'PTRM input'!$J$123)*$J$7)-SUM($J667:V667),(('PTRM input'!$J$157+'PTRM input'!$J$123)*$J$7)/A15taxstdlife))</f>
        <v>0</v>
      </c>
      <c r="X667" s="590">
        <f>IF(A15taxstdlife="n/a","n/a",IF(X$3&gt;(A15taxstdlife+$E667),(('PTRM input'!$J$157+'PTRM input'!$J$123)*$J$7)-SUM($J667:W667),(('PTRM input'!$J$157+'PTRM input'!$J$123)*$J$7)/A15taxstdlife))</f>
        <v>0</v>
      </c>
      <c r="Y667" s="590">
        <f>IF(A15taxstdlife="n/a","n/a",IF(Y$3&gt;(A15taxstdlife+$E667),(('PTRM input'!$J$157+'PTRM input'!$J$123)*$J$7)-SUM($J667:X667),(('PTRM input'!$J$157+'PTRM input'!$J$123)*$J$7)/A15taxstdlife))</f>
        <v>0</v>
      </c>
      <c r="Z667" s="590">
        <f>IF(A15taxstdlife="n/a","n/a",IF(Z$3&gt;(A15taxstdlife+$E667),(('PTRM input'!$J$157+'PTRM input'!$J$123)*$J$7)-SUM($J667:Y667),(('PTRM input'!$J$157+'PTRM input'!$J$123)*$J$7)/A15taxstdlife))</f>
        <v>0</v>
      </c>
      <c r="AA667" s="590">
        <f>IF(A15taxstdlife="n/a","n/a",IF(AA$3&gt;(A15taxstdlife+$E667),(('PTRM input'!$J$157+'PTRM input'!$J$123)*$J$7)-SUM($J667:Z667),(('PTRM input'!$J$157+'PTRM input'!$J$123)*$J$7)/A15taxstdlife))</f>
        <v>0</v>
      </c>
      <c r="AB667" s="590">
        <f>IF(A15taxstdlife="n/a","n/a",IF(AB$3&gt;(A15taxstdlife+$E667),(('PTRM input'!$J$157+'PTRM input'!$J$123)*$J$7)-SUM($J667:AA667),(('PTRM input'!$J$157+'PTRM input'!$J$123)*$J$7)/A15taxstdlife))</f>
        <v>0</v>
      </c>
      <c r="AC667" s="590">
        <f>IF(A15taxstdlife="n/a","n/a",IF(AC$3&gt;(A15taxstdlife+$E667),(('PTRM input'!$J$157+'PTRM input'!$J$123)*$J$7)-SUM($J667:AB667),(('PTRM input'!$J$157+'PTRM input'!$J$123)*$J$7)/A15taxstdlife))</f>
        <v>0</v>
      </c>
      <c r="AD667" s="590">
        <f>IF(A15taxstdlife="n/a","n/a",IF(AD$3&gt;(A15taxstdlife+$E667),(('PTRM input'!$J$157+'PTRM input'!$J$123)*$J$7)-SUM($J667:AC667),(('PTRM input'!$J$157+'PTRM input'!$J$123)*$J$7)/A15taxstdlife))</f>
        <v>0</v>
      </c>
      <c r="AE667" s="590">
        <f>IF(A15taxstdlife="n/a","n/a",IF(AE$3&gt;(A15taxstdlife+$E667),(('PTRM input'!$J$157+'PTRM input'!$J$123)*$J$7)-SUM($J667:AD667),(('PTRM input'!$J$157+'PTRM input'!$J$123)*$J$7)/A15taxstdlife))</f>
        <v>0</v>
      </c>
      <c r="AF667" s="590">
        <f>IF(A15taxstdlife="n/a","n/a",IF(AF$3&gt;(A15taxstdlife+$E667),(('PTRM input'!$J$157+'PTRM input'!$J$123)*$J$7)-SUM($J667:AE667),(('PTRM input'!$J$157+'PTRM input'!$J$123)*$J$7)/A15taxstdlife))</f>
        <v>0</v>
      </c>
      <c r="AG667" s="590">
        <f>IF(A15taxstdlife="n/a","n/a",IF(AG$3&gt;(A15taxstdlife+$E667),(('PTRM input'!$J$157+'PTRM input'!$J$123)*$J$7)-SUM($J667:AF667),(('PTRM input'!$J$157+'PTRM input'!$J$123)*$J$7)/A15taxstdlife))</f>
        <v>0</v>
      </c>
      <c r="AH667" s="590">
        <f>IF(A15taxstdlife="n/a","n/a",IF(AH$3&gt;(A15taxstdlife+$E667),(('PTRM input'!$J$157+'PTRM input'!$J$123)*$J$7)-SUM($J667:AG667),(('PTRM input'!$J$157+'PTRM input'!$J$123)*$J$7)/A15taxstdlife))</f>
        <v>0</v>
      </c>
      <c r="AI667" s="590">
        <f>IF(A15taxstdlife="n/a","n/a",IF(AI$3&gt;(A15taxstdlife+$E667),(('PTRM input'!$J$157+'PTRM input'!$J$123)*$J$7)-SUM($J667:AH667),(('PTRM input'!$J$157+'PTRM input'!$J$123)*$J$7)/A15taxstdlife))</f>
        <v>0</v>
      </c>
      <c r="AJ667" s="590">
        <f>IF(A15taxstdlife="n/a","n/a",IF(AJ$3&gt;(A15taxstdlife+$E667),(('PTRM input'!$J$157+'PTRM input'!$J$123)*$J$7)-SUM($J667:AI667),(('PTRM input'!$J$157+'PTRM input'!$J$123)*$J$7)/A15taxstdlife))</f>
        <v>0</v>
      </c>
      <c r="AK667" s="590">
        <f>IF(A15taxstdlife="n/a","n/a",IF(AK$3&gt;(A15taxstdlife+$E667),(('PTRM input'!$J$157+'PTRM input'!$J$123)*$J$7)-SUM($J667:AJ667),(('PTRM input'!$J$157+'PTRM input'!$J$123)*$J$7)/A15taxstdlife))</f>
        <v>0</v>
      </c>
      <c r="AL667" s="590">
        <f>IF(A15taxstdlife="n/a","n/a",IF(AL$3&gt;(A15taxstdlife+$E667),(('PTRM input'!$J$157+'PTRM input'!$J$123)*$J$7)-SUM($J667:AK667),(('PTRM input'!$J$157+'PTRM input'!$J$123)*$J$7)/A15taxstdlife))</f>
        <v>0</v>
      </c>
      <c r="AM667" s="590">
        <f>IF(A15taxstdlife="n/a","n/a",IF(AM$3&gt;(A15taxstdlife+$E667),(('PTRM input'!$J$157+'PTRM input'!$J$123)*$J$7)-SUM($J667:AL667),(('PTRM input'!$J$157+'PTRM input'!$J$123)*$J$7)/A15taxstdlife))</f>
        <v>0</v>
      </c>
      <c r="AN667" s="590">
        <f>IF(A15taxstdlife="n/a","n/a",IF(AN$3&gt;(A15taxstdlife+$E667),(('PTRM input'!$J$157+'PTRM input'!$J$123)*$J$7)-SUM($J667:AM667),(('PTRM input'!$J$157+'PTRM input'!$J$123)*$J$7)/A15taxstdlife))</f>
        <v>0</v>
      </c>
      <c r="AO667" s="590">
        <f>IF(A15taxstdlife="n/a","n/a",IF(AO$3&gt;(A15taxstdlife+$E667),(('PTRM input'!$J$157+'PTRM input'!$J$123)*$J$7)-SUM($J667:AN667),(('PTRM input'!$J$157+'PTRM input'!$J$123)*$J$7)/A15taxstdlife))</f>
        <v>0</v>
      </c>
      <c r="AP667" s="590">
        <f>IF(A15taxstdlife="n/a","n/a",IF(AP$3&gt;(A15taxstdlife+$E667),(('PTRM input'!$J$157+'PTRM input'!$J$123)*$J$7)-SUM($J667:AO667),(('PTRM input'!$J$157+'PTRM input'!$J$123)*$J$7)/A15taxstdlife))</f>
        <v>0</v>
      </c>
      <c r="AQ667" s="590">
        <f>IF(A15taxstdlife="n/a","n/a",IF(AQ$3&gt;(A15taxstdlife+$E667),(('PTRM input'!$J$157+'PTRM input'!$J$123)*$J$7)-SUM($J667:AP667),(('PTRM input'!$J$157+'PTRM input'!$J$123)*$J$7)/A15taxstdlife))</f>
        <v>0</v>
      </c>
      <c r="AR667" s="590">
        <f>IF(A15taxstdlife="n/a","n/a",IF(AR$3&gt;(A15taxstdlife+$E667),(('PTRM input'!$J$157+'PTRM input'!$J$123)*$J$7)-SUM($J667:AQ667),(('PTRM input'!$J$157+'PTRM input'!$J$123)*$J$7)/A15taxstdlife))</f>
        <v>0</v>
      </c>
      <c r="AS667" s="590">
        <f>IF(A15taxstdlife="n/a","n/a",IF(AS$3&gt;(A15taxstdlife+$E667),(('PTRM input'!$J$157+'PTRM input'!$J$123)*$J$7)-SUM($J667:AR667),(('PTRM input'!$J$157+'PTRM input'!$J$123)*$J$7)/A15taxstdlife))</f>
        <v>0</v>
      </c>
      <c r="AT667" s="590">
        <f>IF(A15taxstdlife="n/a","n/a",IF(AT$3&gt;(A15taxstdlife+$E667),(('PTRM input'!$J$157+'PTRM input'!$J$123)*$J$7)-SUM($J667:AS667),(('PTRM input'!$J$157+'PTRM input'!$J$123)*$J$7)/A15taxstdlife))</f>
        <v>0</v>
      </c>
      <c r="AU667" s="590">
        <f>IF(A15taxstdlife="n/a","n/a",IF(AU$3&gt;(A15taxstdlife+$E667),(('PTRM input'!$J$157+'PTRM input'!$J$123)*$J$7)-SUM($J667:AT667),(('PTRM input'!$J$157+'PTRM input'!$J$123)*$J$7)/A15taxstdlife))</f>
        <v>0</v>
      </c>
      <c r="AV667" s="590">
        <f>IF(A15taxstdlife="n/a","n/a",IF(AV$3&gt;(A15taxstdlife+$E667),(('PTRM input'!$J$157+'PTRM input'!$J$123)*$J$7)-SUM($J667:AU667),(('PTRM input'!$J$157+'PTRM input'!$J$123)*$J$7)/A15taxstdlife))</f>
        <v>0</v>
      </c>
      <c r="AW667" s="590">
        <f>IF(A15taxstdlife="n/a","n/a",IF(AW$3&gt;(A15taxstdlife+$E667),(('PTRM input'!$J$157+'PTRM input'!$J$123)*$J$7)-SUM($J667:AV667),(('PTRM input'!$J$157+'PTRM input'!$J$123)*$J$7)/A15taxstdlife))</f>
        <v>0</v>
      </c>
      <c r="AX667" s="590">
        <f>IF(A15taxstdlife="n/a","n/a",IF(AX$3&gt;(A15taxstdlife+$E667),(('PTRM input'!$J$157+'PTRM input'!$J$123)*$J$7)-SUM($J667:AW667),(('PTRM input'!$J$157+'PTRM input'!$J$123)*$J$7)/A15taxstdlife))</f>
        <v>0</v>
      </c>
      <c r="AY667" s="590">
        <f>IF(A15taxstdlife="n/a","n/a",IF(AY$3&gt;(A15taxstdlife+$E667),(('PTRM input'!$J$157+'PTRM input'!$J$123)*$J$7)-SUM($J667:AX667),(('PTRM input'!$J$157+'PTRM input'!$J$123)*$J$7)/A15taxstdlife))</f>
        <v>0</v>
      </c>
      <c r="AZ667" s="590">
        <f>IF(A15taxstdlife="n/a","n/a",IF(AZ$3&gt;(A15taxstdlife+$E667),(('PTRM input'!$J$157+'PTRM input'!$J$123)*$J$7)-SUM($J667:AY667),(('PTRM input'!$J$157+'PTRM input'!$J$123)*$J$7)/A15taxstdlife))</f>
        <v>0</v>
      </c>
      <c r="BA667" s="590">
        <f>IF(A15taxstdlife="n/a","n/a",IF(BA$3&gt;(A15taxstdlife+$E667),(('PTRM input'!$J$157+'PTRM input'!$J$123)*$J$7)-SUM($J667:AZ667),(('PTRM input'!$J$157+'PTRM input'!$J$123)*$J$7)/A15taxstdlife))</f>
        <v>0</v>
      </c>
      <c r="BB667" s="590">
        <f>IF(A15taxstdlife="n/a","n/a",IF(BB$3&gt;(A15taxstdlife+$E667),(('PTRM input'!$J$157+'PTRM input'!$J$123)*$J$7)-SUM($J667:BA667),(('PTRM input'!$J$157+'PTRM input'!$J$123)*$J$7)/A15taxstdlife))</f>
        <v>0</v>
      </c>
      <c r="BC667" s="590">
        <f>IF(A15taxstdlife="n/a","n/a",IF(BC$3&gt;(A15taxstdlife+$E667),(('PTRM input'!$J$157+'PTRM input'!$J$123)*$J$7)-SUM($J667:BB667),(('PTRM input'!$J$157+'PTRM input'!$J$123)*$J$7)/A15taxstdlife))</f>
        <v>0</v>
      </c>
      <c r="BD667" s="590">
        <f>IF(A15taxstdlife="n/a","n/a",IF(BD$3&gt;(A15taxstdlife+$E667),(('PTRM input'!$J$157+'PTRM input'!$J$123)*$J$7)-SUM($J667:BC667),(('PTRM input'!$J$157+'PTRM input'!$J$123)*$J$7)/A15taxstdlife))</f>
        <v>0</v>
      </c>
      <c r="BE667" s="590">
        <f>IF(A15taxstdlife="n/a","n/a",IF(BE$3&gt;(A15taxstdlife+$E667),(('PTRM input'!$J$157+'PTRM input'!$J$123)*$J$7)-SUM($J667:BD667),(('PTRM input'!$J$157+'PTRM input'!$J$123)*$J$7)/A15taxstdlife))</f>
        <v>0</v>
      </c>
      <c r="BF667" s="590">
        <f>IF(A15taxstdlife="n/a","n/a",IF(BF$3&gt;(A15taxstdlife+$E667),(('PTRM input'!$J$157+'PTRM input'!$J$123)*$J$7)-SUM($J667:BE667),(('PTRM input'!$J$157+'PTRM input'!$J$123)*$J$7)/A15taxstdlife))</f>
        <v>0</v>
      </c>
      <c r="BG667" s="590">
        <f>IF(A15taxstdlife="n/a","n/a",IF(BG$3&gt;(A15taxstdlife+$E667),(('PTRM input'!$J$157+'PTRM input'!$J$123)*$J$7)-SUM($J667:BF667),(('PTRM input'!$J$157+'PTRM input'!$J$123)*$J$7)/A15taxstdlife))</f>
        <v>0</v>
      </c>
      <c r="BH667" s="590">
        <f>IF(A15taxstdlife="n/a","n/a",IF(BH$3&gt;(A15taxstdlife+$E667),(('PTRM input'!$J$157+'PTRM input'!$J$123)*$J$7)-SUM($J667:BG667),(('PTRM input'!$J$157+'PTRM input'!$J$123)*$J$7)/A15taxstdlife))</f>
        <v>0</v>
      </c>
      <c r="BI667" s="590">
        <f>IF(A15taxstdlife="n/a","n/a",IF(BI$3&gt;(A15taxstdlife+$E667),(('PTRM input'!$J$157+'PTRM input'!$J$123)*$J$7)-SUM($J667:BH667),(('PTRM input'!$J$157+'PTRM input'!$J$123)*$J$7)/A15taxstdlife))</f>
        <v>0</v>
      </c>
      <c r="BJ667" s="240"/>
      <c r="BK667" s="240"/>
      <c r="BL667" s="240"/>
      <c r="BM667" s="240"/>
    </row>
    <row r="668" spans="1:65" s="4" customFormat="1" hidden="1" outlineLevel="2">
      <c r="A668" s="240"/>
      <c r="B668" s="240"/>
      <c r="C668" s="595"/>
      <c r="D668" s="1618"/>
      <c r="E668" s="169">
        <v>5</v>
      </c>
      <c r="F668" s="35"/>
      <c r="G668" s="184"/>
      <c r="H668" s="186"/>
      <c r="I668" s="186"/>
      <c r="J668" s="186"/>
      <c r="K668" s="185"/>
      <c r="L668" s="107">
        <f>IF(A15taxstdlife="n/a","n/a",IF(L$3&gt;(A15taxstdlife+$E668),(('PTRM input'!$K$157+'PTRM input'!$K$123)*$K$7)-SUM($K668:K668),(('PTRM input'!$K$157+'PTRM input'!$K$123)*$K$7)/A15taxstdlife))</f>
        <v>0</v>
      </c>
      <c r="M668" s="107">
        <f>IF(A15taxstdlife="n/a","n/a",IF(M$3&gt;(A15taxstdlife+$E668),(('PTRM input'!$K$157+'PTRM input'!$K$123)*$K$7)-SUM($K668:L668),(('PTRM input'!$K$157+'PTRM input'!$K$123)*$K$7)/A15taxstdlife))</f>
        <v>0</v>
      </c>
      <c r="N668" s="107">
        <f>IF(A15taxstdlife="n/a","n/a",IF(N$3&gt;(A15taxstdlife+$E668),(('PTRM input'!$K$157+'PTRM input'!$K$123)*$K$7)-SUM($K668:M668),(('PTRM input'!$K$157+'PTRM input'!$K$123)*$K$7)/A15taxstdlife))</f>
        <v>0</v>
      </c>
      <c r="O668" s="107">
        <f>IF(A15taxstdlife="n/a","n/a",IF(O$3&gt;(A15taxstdlife+$E668),(('PTRM input'!$K$157+'PTRM input'!$K$123)*$K$7)-SUM($K668:N668),(('PTRM input'!$K$157+'PTRM input'!$K$123)*$K$7)/A15taxstdlife))</f>
        <v>0</v>
      </c>
      <c r="P668" s="107">
        <f>IF(A15taxstdlife="n/a","n/a",IF(P$3&gt;(A15taxstdlife+$E668),(('PTRM input'!$K$157+'PTRM input'!$K$123)*$K$7)-SUM($K668:O668),(('PTRM input'!$K$157+'PTRM input'!$K$123)*$K$7)/A15taxstdlife))</f>
        <v>0</v>
      </c>
      <c r="Q668" s="590">
        <f>IF(A15taxstdlife="n/a","n/a",IF(Q$3&gt;(A15taxstdlife+$E668),(('PTRM input'!$K$157+'PTRM input'!$K$123)*$K$7)-SUM($K668:P668),(('PTRM input'!$K$157+'PTRM input'!$K$123)*$K$7)/A15taxstdlife))</f>
        <v>0</v>
      </c>
      <c r="R668" s="590">
        <f>IF(A15taxstdlife="n/a","n/a",IF(R$3&gt;(A15taxstdlife+$E668),(('PTRM input'!$K$157+'PTRM input'!$K$123)*$K$7)-SUM($K668:Q668),(('PTRM input'!$K$157+'PTRM input'!$K$123)*$K$7)/A15taxstdlife))</f>
        <v>0</v>
      </c>
      <c r="S668" s="590">
        <f>IF(A15taxstdlife="n/a","n/a",IF(S$3&gt;(A15taxstdlife+$E668),(('PTRM input'!$K$157+'PTRM input'!$K$123)*$K$7)-SUM($K668:R668),(('PTRM input'!$K$157+'PTRM input'!$K$123)*$K$7)/A15taxstdlife))</f>
        <v>0</v>
      </c>
      <c r="T668" s="590">
        <f>IF(A15taxstdlife="n/a","n/a",IF(T$3&gt;(A15taxstdlife+$E668),(('PTRM input'!$K$157+'PTRM input'!$K$123)*$K$7)-SUM($K668:S668),(('PTRM input'!$K$157+'PTRM input'!$K$123)*$K$7)/A15taxstdlife))</f>
        <v>0</v>
      </c>
      <c r="U668" s="590">
        <f>IF(A15taxstdlife="n/a","n/a",IF(U$3&gt;(A15taxstdlife+$E668),(('PTRM input'!$K$157+'PTRM input'!$K$123)*$K$7)-SUM($K668:T668),(('PTRM input'!$K$157+'PTRM input'!$K$123)*$K$7)/A15taxstdlife))</f>
        <v>0</v>
      </c>
      <c r="V668" s="590">
        <f>IF(A15taxstdlife="n/a","n/a",IF(V$3&gt;(A15taxstdlife+$E668),(('PTRM input'!$K$157+'PTRM input'!$K$123)*$K$7)-SUM($K668:U668),(('PTRM input'!$K$157+'PTRM input'!$K$123)*$K$7)/A15taxstdlife))</f>
        <v>0</v>
      </c>
      <c r="W668" s="590">
        <f>IF(A15taxstdlife="n/a","n/a",IF(W$3&gt;(A15taxstdlife+$E668),(('PTRM input'!$K$157+'PTRM input'!$K$123)*$K$7)-SUM($K668:V668),(('PTRM input'!$K$157+'PTRM input'!$K$123)*$K$7)/A15taxstdlife))</f>
        <v>0</v>
      </c>
      <c r="X668" s="590">
        <f>IF(A15taxstdlife="n/a","n/a",IF(X$3&gt;(A15taxstdlife+$E668),(('PTRM input'!$K$157+'PTRM input'!$K$123)*$K$7)-SUM($K668:W668),(('PTRM input'!$K$157+'PTRM input'!$K$123)*$K$7)/A15taxstdlife))</f>
        <v>0</v>
      </c>
      <c r="Y668" s="590">
        <f>IF(A15taxstdlife="n/a","n/a",IF(Y$3&gt;(A15taxstdlife+$E668),(('PTRM input'!$K$157+'PTRM input'!$K$123)*$K$7)-SUM($K668:X668),(('PTRM input'!$K$157+'PTRM input'!$K$123)*$K$7)/A15taxstdlife))</f>
        <v>0</v>
      </c>
      <c r="Z668" s="590">
        <f>IF(A15taxstdlife="n/a","n/a",IF(Z$3&gt;(A15taxstdlife+$E668),(('PTRM input'!$K$157+'PTRM input'!$K$123)*$K$7)-SUM($K668:Y668),(('PTRM input'!$K$157+'PTRM input'!$K$123)*$K$7)/A15taxstdlife))</f>
        <v>0</v>
      </c>
      <c r="AA668" s="590">
        <f>IF(A15taxstdlife="n/a","n/a",IF(AA$3&gt;(A15taxstdlife+$E668),(('PTRM input'!$K$157+'PTRM input'!$K$123)*$K$7)-SUM($K668:Z668),(('PTRM input'!$K$157+'PTRM input'!$K$123)*$K$7)/A15taxstdlife))</f>
        <v>0</v>
      </c>
      <c r="AB668" s="590">
        <f>IF(A15taxstdlife="n/a","n/a",IF(AB$3&gt;(A15taxstdlife+$E668),(('PTRM input'!$K$157+'PTRM input'!$K$123)*$K$7)-SUM($K668:AA668),(('PTRM input'!$K$157+'PTRM input'!$K$123)*$K$7)/A15taxstdlife))</f>
        <v>0</v>
      </c>
      <c r="AC668" s="590">
        <f>IF(A15taxstdlife="n/a","n/a",IF(AC$3&gt;(A15taxstdlife+$E668),(('PTRM input'!$K$157+'PTRM input'!$K$123)*$K$7)-SUM($K668:AB668),(('PTRM input'!$K$157+'PTRM input'!$K$123)*$K$7)/A15taxstdlife))</f>
        <v>0</v>
      </c>
      <c r="AD668" s="590">
        <f>IF(A15taxstdlife="n/a","n/a",IF(AD$3&gt;(A15taxstdlife+$E668),(('PTRM input'!$K$157+'PTRM input'!$K$123)*$K$7)-SUM($K668:AC668),(('PTRM input'!$K$157+'PTRM input'!$K$123)*$K$7)/A15taxstdlife))</f>
        <v>0</v>
      </c>
      <c r="AE668" s="590">
        <f>IF(A15taxstdlife="n/a","n/a",IF(AE$3&gt;(A15taxstdlife+$E668),(('PTRM input'!$K$157+'PTRM input'!$K$123)*$K$7)-SUM($K668:AD668),(('PTRM input'!$K$157+'PTRM input'!$K$123)*$K$7)/A15taxstdlife))</f>
        <v>0</v>
      </c>
      <c r="AF668" s="590">
        <f>IF(A15taxstdlife="n/a","n/a",IF(AF$3&gt;(A15taxstdlife+$E668),(('PTRM input'!$K$157+'PTRM input'!$K$123)*$K$7)-SUM($K668:AE668),(('PTRM input'!$K$157+'PTRM input'!$K$123)*$K$7)/A15taxstdlife))</f>
        <v>0</v>
      </c>
      <c r="AG668" s="590">
        <f>IF(A15taxstdlife="n/a","n/a",IF(AG$3&gt;(A15taxstdlife+$E668),(('PTRM input'!$K$157+'PTRM input'!$K$123)*$K$7)-SUM($K668:AF668),(('PTRM input'!$K$157+'PTRM input'!$K$123)*$K$7)/A15taxstdlife))</f>
        <v>0</v>
      </c>
      <c r="AH668" s="590">
        <f>IF(A15taxstdlife="n/a","n/a",IF(AH$3&gt;(A15taxstdlife+$E668),(('PTRM input'!$K$157+'PTRM input'!$K$123)*$K$7)-SUM($K668:AG668),(('PTRM input'!$K$157+'PTRM input'!$K$123)*$K$7)/A15taxstdlife))</f>
        <v>0</v>
      </c>
      <c r="AI668" s="590">
        <f>IF(A15taxstdlife="n/a","n/a",IF(AI$3&gt;(A15taxstdlife+$E668),(('PTRM input'!$K$157+'PTRM input'!$K$123)*$K$7)-SUM($K668:AH668),(('PTRM input'!$K$157+'PTRM input'!$K$123)*$K$7)/A15taxstdlife))</f>
        <v>0</v>
      </c>
      <c r="AJ668" s="590">
        <f>IF(A15taxstdlife="n/a","n/a",IF(AJ$3&gt;(A15taxstdlife+$E668),(('PTRM input'!$K$157+'PTRM input'!$K$123)*$K$7)-SUM($K668:AI668),(('PTRM input'!$K$157+'PTRM input'!$K$123)*$K$7)/A15taxstdlife))</f>
        <v>0</v>
      </c>
      <c r="AK668" s="590">
        <f>IF(A15taxstdlife="n/a","n/a",IF(AK$3&gt;(A15taxstdlife+$E668),(('PTRM input'!$K$157+'PTRM input'!$K$123)*$K$7)-SUM($K668:AJ668),(('PTRM input'!$K$157+'PTRM input'!$K$123)*$K$7)/A15taxstdlife))</f>
        <v>0</v>
      </c>
      <c r="AL668" s="590">
        <f>IF(A15taxstdlife="n/a","n/a",IF(AL$3&gt;(A15taxstdlife+$E668),(('PTRM input'!$K$157+'PTRM input'!$K$123)*$K$7)-SUM($K668:AK668),(('PTRM input'!$K$157+'PTRM input'!$K$123)*$K$7)/A15taxstdlife))</f>
        <v>0</v>
      </c>
      <c r="AM668" s="590">
        <f>IF(A15taxstdlife="n/a","n/a",IF(AM$3&gt;(A15taxstdlife+$E668),(('PTRM input'!$K$157+'PTRM input'!$K$123)*$K$7)-SUM($K668:AL668),(('PTRM input'!$K$157+'PTRM input'!$K$123)*$K$7)/A15taxstdlife))</f>
        <v>0</v>
      </c>
      <c r="AN668" s="590">
        <f>IF(A15taxstdlife="n/a","n/a",IF(AN$3&gt;(A15taxstdlife+$E668),(('PTRM input'!$K$157+'PTRM input'!$K$123)*$K$7)-SUM($K668:AM668),(('PTRM input'!$K$157+'PTRM input'!$K$123)*$K$7)/A15taxstdlife))</f>
        <v>0</v>
      </c>
      <c r="AO668" s="590">
        <f>IF(A15taxstdlife="n/a","n/a",IF(AO$3&gt;(A15taxstdlife+$E668),(('PTRM input'!$K$157+'PTRM input'!$K$123)*$K$7)-SUM($K668:AN668),(('PTRM input'!$K$157+'PTRM input'!$K$123)*$K$7)/A15taxstdlife))</f>
        <v>0</v>
      </c>
      <c r="AP668" s="590">
        <f>IF(A15taxstdlife="n/a","n/a",IF(AP$3&gt;(A15taxstdlife+$E668),(('PTRM input'!$K$157+'PTRM input'!$K$123)*$K$7)-SUM($K668:AO668),(('PTRM input'!$K$157+'PTRM input'!$K$123)*$K$7)/A15taxstdlife))</f>
        <v>0</v>
      </c>
      <c r="AQ668" s="590">
        <f>IF(A15taxstdlife="n/a","n/a",IF(AQ$3&gt;(A15taxstdlife+$E668),(('PTRM input'!$K$157+'PTRM input'!$K$123)*$K$7)-SUM($K668:AP668),(('PTRM input'!$K$157+'PTRM input'!$K$123)*$K$7)/A15taxstdlife))</f>
        <v>0</v>
      </c>
      <c r="AR668" s="590">
        <f>IF(A15taxstdlife="n/a","n/a",IF(AR$3&gt;(A15taxstdlife+$E668),(('PTRM input'!$K$157+'PTRM input'!$K$123)*$K$7)-SUM($K668:AQ668),(('PTRM input'!$K$157+'PTRM input'!$K$123)*$K$7)/A15taxstdlife))</f>
        <v>0</v>
      </c>
      <c r="AS668" s="590">
        <f>IF(A15taxstdlife="n/a","n/a",IF(AS$3&gt;(A15taxstdlife+$E668),(('PTRM input'!$K$157+'PTRM input'!$K$123)*$K$7)-SUM($K668:AR668),(('PTRM input'!$K$157+'PTRM input'!$K$123)*$K$7)/A15taxstdlife))</f>
        <v>0</v>
      </c>
      <c r="AT668" s="590">
        <f>IF(A15taxstdlife="n/a","n/a",IF(AT$3&gt;(A15taxstdlife+$E668),(('PTRM input'!$K$157+'PTRM input'!$K$123)*$K$7)-SUM($K668:AS668),(('PTRM input'!$K$157+'PTRM input'!$K$123)*$K$7)/A15taxstdlife))</f>
        <v>0</v>
      </c>
      <c r="AU668" s="590">
        <f>IF(A15taxstdlife="n/a","n/a",IF(AU$3&gt;(A15taxstdlife+$E668),(('PTRM input'!$K$157+'PTRM input'!$K$123)*$K$7)-SUM($K668:AT668),(('PTRM input'!$K$157+'PTRM input'!$K$123)*$K$7)/A15taxstdlife))</f>
        <v>0</v>
      </c>
      <c r="AV668" s="590">
        <f>IF(A15taxstdlife="n/a","n/a",IF(AV$3&gt;(A15taxstdlife+$E668),(('PTRM input'!$K$157+'PTRM input'!$K$123)*$K$7)-SUM($K668:AU668),(('PTRM input'!$K$157+'PTRM input'!$K$123)*$K$7)/A15taxstdlife))</f>
        <v>0</v>
      </c>
      <c r="AW668" s="590">
        <f>IF(A15taxstdlife="n/a","n/a",IF(AW$3&gt;(A15taxstdlife+$E668),(('PTRM input'!$K$157+'PTRM input'!$K$123)*$K$7)-SUM($K668:AV668),(('PTRM input'!$K$157+'PTRM input'!$K$123)*$K$7)/A15taxstdlife))</f>
        <v>0</v>
      </c>
      <c r="AX668" s="590">
        <f>IF(A15taxstdlife="n/a","n/a",IF(AX$3&gt;(A15taxstdlife+$E668),(('PTRM input'!$K$157+'PTRM input'!$K$123)*$K$7)-SUM($K668:AW668),(('PTRM input'!$K$157+'PTRM input'!$K$123)*$K$7)/A15taxstdlife))</f>
        <v>0</v>
      </c>
      <c r="AY668" s="590">
        <f>IF(A15taxstdlife="n/a","n/a",IF(AY$3&gt;(A15taxstdlife+$E668),(('PTRM input'!$K$157+'PTRM input'!$K$123)*$K$7)-SUM($K668:AX668),(('PTRM input'!$K$157+'PTRM input'!$K$123)*$K$7)/A15taxstdlife))</f>
        <v>0</v>
      </c>
      <c r="AZ668" s="590">
        <f>IF(A15taxstdlife="n/a","n/a",IF(AZ$3&gt;(A15taxstdlife+$E668),(('PTRM input'!$K$157+'PTRM input'!$K$123)*$K$7)-SUM($K668:AY668),(('PTRM input'!$K$157+'PTRM input'!$K$123)*$K$7)/A15taxstdlife))</f>
        <v>0</v>
      </c>
      <c r="BA668" s="590">
        <f>IF(A15taxstdlife="n/a","n/a",IF(BA$3&gt;(A15taxstdlife+$E668),(('PTRM input'!$K$157+'PTRM input'!$K$123)*$K$7)-SUM($K668:AZ668),(('PTRM input'!$K$157+'PTRM input'!$K$123)*$K$7)/A15taxstdlife))</f>
        <v>0</v>
      </c>
      <c r="BB668" s="590">
        <f>IF(A15taxstdlife="n/a","n/a",IF(BB$3&gt;(A15taxstdlife+$E668),(('PTRM input'!$K$157+'PTRM input'!$K$123)*$K$7)-SUM($K668:BA668),(('PTRM input'!$K$157+'PTRM input'!$K$123)*$K$7)/A15taxstdlife))</f>
        <v>0</v>
      </c>
      <c r="BC668" s="590">
        <f>IF(A15taxstdlife="n/a","n/a",IF(BC$3&gt;(A15taxstdlife+$E668),(('PTRM input'!$K$157+'PTRM input'!$K$123)*$K$7)-SUM($K668:BB668),(('PTRM input'!$K$157+'PTRM input'!$K$123)*$K$7)/A15taxstdlife))</f>
        <v>0</v>
      </c>
      <c r="BD668" s="590">
        <f>IF(A15taxstdlife="n/a","n/a",IF(BD$3&gt;(A15taxstdlife+$E668),(('PTRM input'!$K$157+'PTRM input'!$K$123)*$K$7)-SUM($K668:BC668),(('PTRM input'!$K$157+'PTRM input'!$K$123)*$K$7)/A15taxstdlife))</f>
        <v>0</v>
      </c>
      <c r="BE668" s="590">
        <f>IF(A15taxstdlife="n/a","n/a",IF(BE$3&gt;(A15taxstdlife+$E668),(('PTRM input'!$K$157+'PTRM input'!$K$123)*$K$7)-SUM($K668:BD668),(('PTRM input'!$K$157+'PTRM input'!$K$123)*$K$7)/A15taxstdlife))</f>
        <v>0</v>
      </c>
      <c r="BF668" s="590">
        <f>IF(A15taxstdlife="n/a","n/a",IF(BF$3&gt;(A15taxstdlife+$E668),(('PTRM input'!$K$157+'PTRM input'!$K$123)*$K$7)-SUM($K668:BE668),(('PTRM input'!$K$157+'PTRM input'!$K$123)*$K$7)/A15taxstdlife))</f>
        <v>0</v>
      </c>
      <c r="BG668" s="590">
        <f>IF(A15taxstdlife="n/a","n/a",IF(BG$3&gt;(A15taxstdlife+$E668),(('PTRM input'!$K$157+'PTRM input'!$K$123)*$K$7)-SUM($K668:BF668),(('PTRM input'!$K$157+'PTRM input'!$K$123)*$K$7)/A15taxstdlife))</f>
        <v>0</v>
      </c>
      <c r="BH668" s="590">
        <f>IF(A15taxstdlife="n/a","n/a",IF(BH$3&gt;(A15taxstdlife+$E668),(('PTRM input'!$K$157+'PTRM input'!$K$123)*$K$7)-SUM($K668:BG668),(('PTRM input'!$K$157+'PTRM input'!$K$123)*$K$7)/A15taxstdlife))</f>
        <v>0</v>
      </c>
      <c r="BI668" s="590">
        <f>IF(A15taxstdlife="n/a","n/a",IF(BI$3&gt;(A15taxstdlife+$E668),(('PTRM input'!$K$157+'PTRM input'!$K$123)*$K$7)-SUM($K668:BH668),(('PTRM input'!$K$157+'PTRM input'!$K$123)*$K$7)/A15taxstdlife))</f>
        <v>0</v>
      </c>
      <c r="BJ668" s="240"/>
      <c r="BK668" s="240"/>
      <c r="BL668" s="240"/>
      <c r="BM668" s="240"/>
    </row>
    <row r="669" spans="1:65" s="4" customFormat="1" hidden="1" outlineLevel="2">
      <c r="A669" s="240"/>
      <c r="B669" s="240"/>
      <c r="C669" s="595"/>
      <c r="D669" s="1618"/>
      <c r="E669" s="169">
        <v>6</v>
      </c>
      <c r="F669" s="35"/>
      <c r="G669" s="184"/>
      <c r="H669" s="186"/>
      <c r="I669" s="186"/>
      <c r="J669" s="186"/>
      <c r="K669" s="186"/>
      <c r="L669" s="185"/>
      <c r="M669" s="107">
        <f>IF(A15taxstdlife="n/a","n/a",IF(M$3&gt;(A15taxstdlife+$E669),(('PTRM input'!$L$157+'PTRM input'!$L$123)*$L$7)-SUM($L669:L669),(('PTRM input'!$L$157+'PTRM input'!$L$123)*$L$7)/A15taxstdlife))</f>
        <v>0</v>
      </c>
      <c r="N669" s="107">
        <f>IF(A15taxstdlife="n/a","n/a",IF(N$3&gt;(A15taxstdlife+$E669),(('PTRM input'!$L$157+'PTRM input'!$L$123)*$L$7)-SUM($L669:M669),(('PTRM input'!$L$157+'PTRM input'!$L$123)*$L$7)/A15taxstdlife))</f>
        <v>0</v>
      </c>
      <c r="O669" s="107">
        <f>IF(A15taxstdlife="n/a","n/a",IF(O$3&gt;(A15taxstdlife+$E669),(('PTRM input'!$L$157+'PTRM input'!$L$123)*$L$7)-SUM($L669:N669),(('PTRM input'!$L$157+'PTRM input'!$L$123)*$L$7)/A15taxstdlife))</f>
        <v>0</v>
      </c>
      <c r="P669" s="107">
        <f>IF(A15taxstdlife="n/a","n/a",IF(P$3&gt;(A15taxstdlife+$E669),(('PTRM input'!$L$157+'PTRM input'!$L$123)*$L$7)-SUM($L669:O669),(('PTRM input'!$L$157+'PTRM input'!$L$123)*$L$7)/A15taxstdlife))</f>
        <v>0</v>
      </c>
      <c r="Q669" s="590">
        <f>IF(A15taxstdlife="n/a","n/a",IF(Q$3&gt;(A15taxstdlife+$E669),(('PTRM input'!$L$157+'PTRM input'!$L$123)*$L$7)-SUM($L669:P669),(('PTRM input'!$L$157+'PTRM input'!$L$123)*$L$7)/A15taxstdlife))</f>
        <v>0</v>
      </c>
      <c r="R669" s="590">
        <f>IF(A15taxstdlife="n/a","n/a",IF(R$3&gt;(A15taxstdlife+$E669),(('PTRM input'!$L$157+'PTRM input'!$L$123)*$L$7)-SUM($L669:Q669),(('PTRM input'!$L$157+'PTRM input'!$L$123)*$L$7)/A15taxstdlife))</f>
        <v>0</v>
      </c>
      <c r="S669" s="590">
        <f>IF(A15taxstdlife="n/a","n/a",IF(S$3&gt;(A15taxstdlife+$E669),(('PTRM input'!$L$157+'PTRM input'!$L$123)*$L$7)-SUM($L669:R669),(('PTRM input'!$L$157+'PTRM input'!$L$123)*$L$7)/A15taxstdlife))</f>
        <v>0</v>
      </c>
      <c r="T669" s="590">
        <f>IF(A15taxstdlife="n/a","n/a",IF(T$3&gt;(A15taxstdlife+$E669),(('PTRM input'!$L$157+'PTRM input'!$L$123)*$L$7)-SUM($L669:S669),(('PTRM input'!$L$157+'PTRM input'!$L$123)*$L$7)/A15taxstdlife))</f>
        <v>0</v>
      </c>
      <c r="U669" s="590">
        <f>IF(A15taxstdlife="n/a","n/a",IF(U$3&gt;(A15taxstdlife+$E669),(('PTRM input'!$L$157+'PTRM input'!$L$123)*$L$7)-SUM($L669:T669),(('PTRM input'!$L$157+'PTRM input'!$L$123)*$L$7)/A15taxstdlife))</f>
        <v>0</v>
      </c>
      <c r="V669" s="590">
        <f>IF(A15taxstdlife="n/a","n/a",IF(V$3&gt;(A15taxstdlife+$E669),(('PTRM input'!$L$157+'PTRM input'!$L$123)*$L$7)-SUM($L669:U669),(('PTRM input'!$L$157+'PTRM input'!$L$123)*$L$7)/A15taxstdlife))</f>
        <v>0</v>
      </c>
      <c r="W669" s="590">
        <f>IF(A15taxstdlife="n/a","n/a",IF(W$3&gt;(A15taxstdlife+$E669),(('PTRM input'!$L$157+'PTRM input'!$L$123)*$L$7)-SUM($L669:V669),(('PTRM input'!$L$157+'PTRM input'!$L$123)*$L$7)/A15taxstdlife))</f>
        <v>0</v>
      </c>
      <c r="X669" s="590">
        <f>IF(A15taxstdlife="n/a","n/a",IF(X$3&gt;(A15taxstdlife+$E669),(('PTRM input'!$L$157+'PTRM input'!$L$123)*$L$7)-SUM($L669:W669),(('PTRM input'!$L$157+'PTRM input'!$L$123)*$L$7)/A15taxstdlife))</f>
        <v>0</v>
      </c>
      <c r="Y669" s="590">
        <f>IF(A15taxstdlife="n/a","n/a",IF(Y$3&gt;(A15taxstdlife+$E669),(('PTRM input'!$L$157+'PTRM input'!$L$123)*$L$7)-SUM($L669:X669),(('PTRM input'!$L$157+'PTRM input'!$L$123)*$L$7)/A15taxstdlife))</f>
        <v>0</v>
      </c>
      <c r="Z669" s="590">
        <f>IF(A15taxstdlife="n/a","n/a",IF(Z$3&gt;(A15taxstdlife+$E669),(('PTRM input'!$L$157+'PTRM input'!$L$123)*$L$7)-SUM($L669:Y669),(('PTRM input'!$L$157+'PTRM input'!$L$123)*$L$7)/A15taxstdlife))</f>
        <v>0</v>
      </c>
      <c r="AA669" s="590">
        <f>IF(A15taxstdlife="n/a","n/a",IF(AA$3&gt;(A15taxstdlife+$E669),(('PTRM input'!$L$157+'PTRM input'!$L$123)*$L$7)-SUM($L669:Z669),(('PTRM input'!$L$157+'PTRM input'!$L$123)*$L$7)/A15taxstdlife))</f>
        <v>0</v>
      </c>
      <c r="AB669" s="590">
        <f>IF(A15taxstdlife="n/a","n/a",IF(AB$3&gt;(A15taxstdlife+$E669),(('PTRM input'!$L$157+'PTRM input'!$L$123)*$L$7)-SUM($L669:AA669),(('PTRM input'!$L$157+'PTRM input'!$L$123)*$L$7)/A15taxstdlife))</f>
        <v>0</v>
      </c>
      <c r="AC669" s="590">
        <f>IF(A15taxstdlife="n/a","n/a",IF(AC$3&gt;(A15taxstdlife+$E669),(('PTRM input'!$L$157+'PTRM input'!$L$123)*$L$7)-SUM($L669:AB669),(('PTRM input'!$L$157+'PTRM input'!$L$123)*$L$7)/A15taxstdlife))</f>
        <v>0</v>
      </c>
      <c r="AD669" s="590">
        <f>IF(A15taxstdlife="n/a","n/a",IF(AD$3&gt;(A15taxstdlife+$E669),(('PTRM input'!$L$157+'PTRM input'!$L$123)*$L$7)-SUM($L669:AC669),(('PTRM input'!$L$157+'PTRM input'!$L$123)*$L$7)/A15taxstdlife))</f>
        <v>0</v>
      </c>
      <c r="AE669" s="590">
        <f>IF(A15taxstdlife="n/a","n/a",IF(AE$3&gt;(A15taxstdlife+$E669),(('PTRM input'!$L$157+'PTRM input'!$L$123)*$L$7)-SUM($L669:AD669),(('PTRM input'!$L$157+'PTRM input'!$L$123)*$L$7)/A15taxstdlife))</f>
        <v>0</v>
      </c>
      <c r="AF669" s="590">
        <f>IF(A15taxstdlife="n/a","n/a",IF(AF$3&gt;(A15taxstdlife+$E669),(('PTRM input'!$L$157+'PTRM input'!$L$123)*$L$7)-SUM($L669:AE669),(('PTRM input'!$L$157+'PTRM input'!$L$123)*$L$7)/A15taxstdlife))</f>
        <v>0</v>
      </c>
      <c r="AG669" s="590">
        <f>IF(A15taxstdlife="n/a","n/a",IF(AG$3&gt;(A15taxstdlife+$E669),(('PTRM input'!$L$157+'PTRM input'!$L$123)*$L$7)-SUM($L669:AF669),(('PTRM input'!$L$157+'PTRM input'!$L$123)*$L$7)/A15taxstdlife))</f>
        <v>0</v>
      </c>
      <c r="AH669" s="590">
        <f>IF(A15taxstdlife="n/a","n/a",IF(AH$3&gt;(A15taxstdlife+$E669),(('PTRM input'!$L$157+'PTRM input'!$L$123)*$L$7)-SUM($L669:AG669),(('PTRM input'!$L$157+'PTRM input'!$L$123)*$L$7)/A15taxstdlife))</f>
        <v>0</v>
      </c>
      <c r="AI669" s="590">
        <f>IF(A15taxstdlife="n/a","n/a",IF(AI$3&gt;(A15taxstdlife+$E669),(('PTRM input'!$L$157+'PTRM input'!$L$123)*$L$7)-SUM($L669:AH669),(('PTRM input'!$L$157+'PTRM input'!$L$123)*$L$7)/A15taxstdlife))</f>
        <v>0</v>
      </c>
      <c r="AJ669" s="590">
        <f>IF(A15taxstdlife="n/a","n/a",IF(AJ$3&gt;(A15taxstdlife+$E669),(('PTRM input'!$L$157+'PTRM input'!$L$123)*$L$7)-SUM($L669:AI669),(('PTRM input'!$L$157+'PTRM input'!$L$123)*$L$7)/A15taxstdlife))</f>
        <v>0</v>
      </c>
      <c r="AK669" s="590">
        <f>IF(A15taxstdlife="n/a","n/a",IF(AK$3&gt;(A15taxstdlife+$E669),(('PTRM input'!$L$157+'PTRM input'!$L$123)*$L$7)-SUM($L669:AJ669),(('PTRM input'!$L$157+'PTRM input'!$L$123)*$L$7)/A15taxstdlife))</f>
        <v>0</v>
      </c>
      <c r="AL669" s="590">
        <f>IF(A15taxstdlife="n/a","n/a",IF(AL$3&gt;(A15taxstdlife+$E669),(('PTRM input'!$L$157+'PTRM input'!$L$123)*$L$7)-SUM($L669:AK669),(('PTRM input'!$L$157+'PTRM input'!$L$123)*$L$7)/A15taxstdlife))</f>
        <v>0</v>
      </c>
      <c r="AM669" s="590">
        <f>IF(A15taxstdlife="n/a","n/a",IF(AM$3&gt;(A15taxstdlife+$E669),(('PTRM input'!$L$157+'PTRM input'!$L$123)*$L$7)-SUM($L669:AL669),(('PTRM input'!$L$157+'PTRM input'!$L$123)*$L$7)/A15taxstdlife))</f>
        <v>0</v>
      </c>
      <c r="AN669" s="590">
        <f>IF(A15taxstdlife="n/a","n/a",IF(AN$3&gt;(A15taxstdlife+$E669),(('PTRM input'!$L$157+'PTRM input'!$L$123)*$L$7)-SUM($L669:AM669),(('PTRM input'!$L$157+'PTRM input'!$L$123)*$L$7)/A15taxstdlife))</f>
        <v>0</v>
      </c>
      <c r="AO669" s="590">
        <f>IF(A15taxstdlife="n/a","n/a",IF(AO$3&gt;(A15taxstdlife+$E669),(('PTRM input'!$L$157+'PTRM input'!$L$123)*$L$7)-SUM($L669:AN669),(('PTRM input'!$L$157+'PTRM input'!$L$123)*$L$7)/A15taxstdlife))</f>
        <v>0</v>
      </c>
      <c r="AP669" s="590">
        <f>IF(A15taxstdlife="n/a","n/a",IF(AP$3&gt;(A15taxstdlife+$E669),(('PTRM input'!$L$157+'PTRM input'!$L$123)*$L$7)-SUM($L669:AO669),(('PTRM input'!$L$157+'PTRM input'!$L$123)*$L$7)/A15taxstdlife))</f>
        <v>0</v>
      </c>
      <c r="AQ669" s="590">
        <f>IF(A15taxstdlife="n/a","n/a",IF(AQ$3&gt;(A15taxstdlife+$E669),(('PTRM input'!$L$157+'PTRM input'!$L$123)*$L$7)-SUM($L669:AP669),(('PTRM input'!$L$157+'PTRM input'!$L$123)*$L$7)/A15taxstdlife))</f>
        <v>0</v>
      </c>
      <c r="AR669" s="590">
        <f>IF(A15taxstdlife="n/a","n/a",IF(AR$3&gt;(A15taxstdlife+$E669),(('PTRM input'!$L$157+'PTRM input'!$L$123)*$L$7)-SUM($L669:AQ669),(('PTRM input'!$L$157+'PTRM input'!$L$123)*$L$7)/A15taxstdlife))</f>
        <v>0</v>
      </c>
      <c r="AS669" s="590">
        <f>IF(A15taxstdlife="n/a","n/a",IF(AS$3&gt;(A15taxstdlife+$E669),(('PTRM input'!$L$157+'PTRM input'!$L$123)*$L$7)-SUM($L669:AR669),(('PTRM input'!$L$157+'PTRM input'!$L$123)*$L$7)/A15taxstdlife))</f>
        <v>0</v>
      </c>
      <c r="AT669" s="590">
        <f>IF(A15taxstdlife="n/a","n/a",IF(AT$3&gt;(A15taxstdlife+$E669),(('PTRM input'!$L$157+'PTRM input'!$L$123)*$L$7)-SUM($L669:AS669),(('PTRM input'!$L$157+'PTRM input'!$L$123)*$L$7)/A15taxstdlife))</f>
        <v>0</v>
      </c>
      <c r="AU669" s="590">
        <f>IF(A15taxstdlife="n/a","n/a",IF(AU$3&gt;(A15taxstdlife+$E669),(('PTRM input'!$L$157+'PTRM input'!$L$123)*$L$7)-SUM($L669:AT669),(('PTRM input'!$L$157+'PTRM input'!$L$123)*$L$7)/A15taxstdlife))</f>
        <v>0</v>
      </c>
      <c r="AV669" s="590">
        <f>IF(A15taxstdlife="n/a","n/a",IF(AV$3&gt;(A15taxstdlife+$E669),(('PTRM input'!$L$157+'PTRM input'!$L$123)*$L$7)-SUM($L669:AU669),(('PTRM input'!$L$157+'PTRM input'!$L$123)*$L$7)/A15taxstdlife))</f>
        <v>0</v>
      </c>
      <c r="AW669" s="590">
        <f>IF(A15taxstdlife="n/a","n/a",IF(AW$3&gt;(A15taxstdlife+$E669),(('PTRM input'!$L$157+'PTRM input'!$L$123)*$L$7)-SUM($L669:AV669),(('PTRM input'!$L$157+'PTRM input'!$L$123)*$L$7)/A15taxstdlife))</f>
        <v>0</v>
      </c>
      <c r="AX669" s="590">
        <f>IF(A15taxstdlife="n/a","n/a",IF(AX$3&gt;(A15taxstdlife+$E669),(('PTRM input'!$L$157+'PTRM input'!$L$123)*$L$7)-SUM($L669:AW669),(('PTRM input'!$L$157+'PTRM input'!$L$123)*$L$7)/A15taxstdlife))</f>
        <v>0</v>
      </c>
      <c r="AY669" s="590">
        <f>IF(A15taxstdlife="n/a","n/a",IF(AY$3&gt;(A15taxstdlife+$E669),(('PTRM input'!$L$157+'PTRM input'!$L$123)*$L$7)-SUM($L669:AX669),(('PTRM input'!$L$157+'PTRM input'!$L$123)*$L$7)/A15taxstdlife))</f>
        <v>0</v>
      </c>
      <c r="AZ669" s="590">
        <f>IF(A15taxstdlife="n/a","n/a",IF(AZ$3&gt;(A15taxstdlife+$E669),(('PTRM input'!$L$157+'PTRM input'!$L$123)*$L$7)-SUM($L669:AY669),(('PTRM input'!$L$157+'PTRM input'!$L$123)*$L$7)/A15taxstdlife))</f>
        <v>0</v>
      </c>
      <c r="BA669" s="590">
        <f>IF(A15taxstdlife="n/a","n/a",IF(BA$3&gt;(A15taxstdlife+$E669),(('PTRM input'!$L$157+'PTRM input'!$L$123)*$L$7)-SUM($L669:AZ669),(('PTRM input'!$L$157+'PTRM input'!$L$123)*$L$7)/A15taxstdlife))</f>
        <v>0</v>
      </c>
      <c r="BB669" s="590">
        <f>IF(A15taxstdlife="n/a","n/a",IF(BB$3&gt;(A15taxstdlife+$E669),(('PTRM input'!$L$157+'PTRM input'!$L$123)*$L$7)-SUM($L669:BA669),(('PTRM input'!$L$157+'PTRM input'!$L$123)*$L$7)/A15taxstdlife))</f>
        <v>0</v>
      </c>
      <c r="BC669" s="590">
        <f>IF(A15taxstdlife="n/a","n/a",IF(BC$3&gt;(A15taxstdlife+$E669),(('PTRM input'!$L$157+'PTRM input'!$L$123)*$L$7)-SUM($L669:BB669),(('PTRM input'!$L$157+'PTRM input'!$L$123)*$L$7)/A15taxstdlife))</f>
        <v>0</v>
      </c>
      <c r="BD669" s="590">
        <f>IF(A15taxstdlife="n/a","n/a",IF(BD$3&gt;(A15taxstdlife+$E669),(('PTRM input'!$L$157+'PTRM input'!$L$123)*$L$7)-SUM($L669:BC669),(('PTRM input'!$L$157+'PTRM input'!$L$123)*$L$7)/A15taxstdlife))</f>
        <v>0</v>
      </c>
      <c r="BE669" s="590">
        <f>IF(A15taxstdlife="n/a","n/a",IF(BE$3&gt;(A15taxstdlife+$E669),(('PTRM input'!$L$157+'PTRM input'!$L$123)*$L$7)-SUM($L669:BD669),(('PTRM input'!$L$157+'PTRM input'!$L$123)*$L$7)/A15taxstdlife))</f>
        <v>0</v>
      </c>
      <c r="BF669" s="590">
        <f>IF(A15taxstdlife="n/a","n/a",IF(BF$3&gt;(A15taxstdlife+$E669),(('PTRM input'!$L$157+'PTRM input'!$L$123)*$L$7)-SUM($L669:BE669),(('PTRM input'!$L$157+'PTRM input'!$L$123)*$L$7)/A15taxstdlife))</f>
        <v>0</v>
      </c>
      <c r="BG669" s="590">
        <f>IF(A15taxstdlife="n/a","n/a",IF(BG$3&gt;(A15taxstdlife+$E669),(('PTRM input'!$L$157+'PTRM input'!$L$123)*$L$7)-SUM($L669:BF669),(('PTRM input'!$L$157+'PTRM input'!$L$123)*$L$7)/A15taxstdlife))</f>
        <v>0</v>
      </c>
      <c r="BH669" s="590">
        <f>IF(A15taxstdlife="n/a","n/a",IF(BH$3&gt;(A15taxstdlife+$E669),(('PTRM input'!$L$157+'PTRM input'!$L$123)*$L$7)-SUM($L669:BG669),(('PTRM input'!$L$157+'PTRM input'!$L$123)*$L$7)/A15taxstdlife))</f>
        <v>0</v>
      </c>
      <c r="BI669" s="590">
        <f>IF(A15taxstdlife="n/a","n/a",IF(BI$3&gt;(A15taxstdlife+$E669),(('PTRM input'!$L$157+'PTRM input'!$L$123)*$L$7)-SUM($L669:BH669),(('PTRM input'!$L$157+'PTRM input'!$L$123)*$L$7)/A15taxstdlife))</f>
        <v>0</v>
      </c>
      <c r="BJ669" s="240"/>
      <c r="BK669" s="240"/>
      <c r="BL669" s="240"/>
      <c r="BM669" s="240"/>
    </row>
    <row r="670" spans="1:65" s="4" customFormat="1" hidden="1" outlineLevel="2">
      <c r="A670" s="240"/>
      <c r="B670" s="240"/>
      <c r="C670" s="595"/>
      <c r="D670" s="1618"/>
      <c r="E670" s="169">
        <v>7</v>
      </c>
      <c r="F670" s="35"/>
      <c r="G670" s="184"/>
      <c r="H670" s="186"/>
      <c r="I670" s="186"/>
      <c r="J670" s="186"/>
      <c r="K670" s="186"/>
      <c r="L670" s="186"/>
      <c r="M670" s="185"/>
      <c r="N670" s="107">
        <f>IF(A15taxstdlife="n/a","n/a",IF(N$3&gt;(A15taxstdlife+$E670),(('PTRM input'!$M$157+'PTRM input'!$M$123)*$M$7)-SUM($M670:M670),(('PTRM input'!$M$157+'PTRM input'!$M$123)*$M$7)/A15taxstdlife))</f>
        <v>0</v>
      </c>
      <c r="O670" s="107">
        <f>IF(A15taxstdlife="n/a","n/a",IF(O$3&gt;(A15taxstdlife+$E670),(('PTRM input'!$M$157+'PTRM input'!$M$123)*$M$7)-SUM($M670:N670),(('PTRM input'!$M$157+'PTRM input'!$M$123)*$M$7)/A15taxstdlife))</f>
        <v>0</v>
      </c>
      <c r="P670" s="107">
        <f>IF(A15taxstdlife="n/a","n/a",IF(P$3&gt;(A15taxstdlife+$E670),(('PTRM input'!$M$157+'PTRM input'!$M$123)*$M$7)-SUM($M670:O670),(('PTRM input'!$M$157+'PTRM input'!$M$123)*$M$7)/A15taxstdlife))</f>
        <v>0</v>
      </c>
      <c r="Q670" s="590">
        <f>IF(A15taxstdlife="n/a","n/a",IF(Q$3&gt;(A15taxstdlife+$E670),(('PTRM input'!$M$157+'PTRM input'!$M$123)*$M$7)-SUM($M670:P670),(('PTRM input'!$M$157+'PTRM input'!$M$123)*$M$7)/A15taxstdlife))</f>
        <v>0</v>
      </c>
      <c r="R670" s="590">
        <f>IF(A15taxstdlife="n/a","n/a",IF(R$3&gt;(A15taxstdlife+$E670),(('PTRM input'!$M$157+'PTRM input'!$M$123)*$M$7)-SUM($M670:Q670),(('PTRM input'!$M$157+'PTRM input'!$M$123)*$M$7)/A15taxstdlife))</f>
        <v>0</v>
      </c>
      <c r="S670" s="590">
        <f>IF(A15taxstdlife="n/a","n/a",IF(S$3&gt;(A15taxstdlife+$E670),(('PTRM input'!$M$157+'PTRM input'!$M$123)*$M$7)-SUM($M670:R670),(('PTRM input'!$M$157+'PTRM input'!$M$123)*$M$7)/A15taxstdlife))</f>
        <v>0</v>
      </c>
      <c r="T670" s="590">
        <f>IF(A15taxstdlife="n/a","n/a",IF(T$3&gt;(A15taxstdlife+$E670),(('PTRM input'!$M$157+'PTRM input'!$M$123)*$M$7)-SUM($M670:S670),(('PTRM input'!$M$157+'PTRM input'!$M$123)*$M$7)/A15taxstdlife))</f>
        <v>0</v>
      </c>
      <c r="U670" s="590">
        <f>IF(A15taxstdlife="n/a","n/a",IF(U$3&gt;(A15taxstdlife+$E670),(('PTRM input'!$M$157+'PTRM input'!$M$123)*$M$7)-SUM($M670:T670),(('PTRM input'!$M$157+'PTRM input'!$M$123)*$M$7)/A15taxstdlife))</f>
        <v>0</v>
      </c>
      <c r="V670" s="590">
        <f>IF(A15taxstdlife="n/a","n/a",IF(V$3&gt;(A15taxstdlife+$E670),(('PTRM input'!$M$157+'PTRM input'!$M$123)*$M$7)-SUM($M670:U670),(('PTRM input'!$M$157+'PTRM input'!$M$123)*$M$7)/A15taxstdlife))</f>
        <v>0</v>
      </c>
      <c r="W670" s="590">
        <f>IF(A15taxstdlife="n/a","n/a",IF(W$3&gt;(A15taxstdlife+$E670),(('PTRM input'!$M$157+'PTRM input'!$M$123)*$M$7)-SUM($M670:V670),(('PTRM input'!$M$157+'PTRM input'!$M$123)*$M$7)/A15taxstdlife))</f>
        <v>0</v>
      </c>
      <c r="X670" s="590">
        <f>IF(A15taxstdlife="n/a","n/a",IF(X$3&gt;(A15taxstdlife+$E670),(('PTRM input'!$M$157+'PTRM input'!$M$123)*$M$7)-SUM($M670:W670),(('PTRM input'!$M$157+'PTRM input'!$M$123)*$M$7)/A15taxstdlife))</f>
        <v>0</v>
      </c>
      <c r="Y670" s="590">
        <f>IF(A15taxstdlife="n/a","n/a",IF(Y$3&gt;(A15taxstdlife+$E670),(('PTRM input'!$M$157+'PTRM input'!$M$123)*$M$7)-SUM($M670:X670),(('PTRM input'!$M$157+'PTRM input'!$M$123)*$M$7)/A15taxstdlife))</f>
        <v>0</v>
      </c>
      <c r="Z670" s="590">
        <f>IF(A15taxstdlife="n/a","n/a",IF(Z$3&gt;(A15taxstdlife+$E670),(('PTRM input'!$M$157+'PTRM input'!$M$123)*$M$7)-SUM($M670:Y670),(('PTRM input'!$M$157+'PTRM input'!$M$123)*$M$7)/A15taxstdlife))</f>
        <v>0</v>
      </c>
      <c r="AA670" s="590">
        <f>IF(A15taxstdlife="n/a","n/a",IF(AA$3&gt;(A15taxstdlife+$E670),(('PTRM input'!$M$157+'PTRM input'!$M$123)*$M$7)-SUM($M670:Z670),(('PTRM input'!$M$157+'PTRM input'!$M$123)*$M$7)/A15taxstdlife))</f>
        <v>0</v>
      </c>
      <c r="AB670" s="590">
        <f>IF(A15taxstdlife="n/a","n/a",IF(AB$3&gt;(A15taxstdlife+$E670),(('PTRM input'!$M$157+'PTRM input'!$M$123)*$M$7)-SUM($M670:AA670),(('PTRM input'!$M$157+'PTRM input'!$M$123)*$M$7)/A15taxstdlife))</f>
        <v>0</v>
      </c>
      <c r="AC670" s="590">
        <f>IF(A15taxstdlife="n/a","n/a",IF(AC$3&gt;(A15taxstdlife+$E670),(('PTRM input'!$M$157+'PTRM input'!$M$123)*$M$7)-SUM($M670:AB670),(('PTRM input'!$M$157+'PTRM input'!$M$123)*$M$7)/A15taxstdlife))</f>
        <v>0</v>
      </c>
      <c r="AD670" s="590">
        <f>IF(A15taxstdlife="n/a","n/a",IF(AD$3&gt;(A15taxstdlife+$E670),(('PTRM input'!$M$157+'PTRM input'!$M$123)*$M$7)-SUM($M670:AC670),(('PTRM input'!$M$157+'PTRM input'!$M$123)*$M$7)/A15taxstdlife))</f>
        <v>0</v>
      </c>
      <c r="AE670" s="590">
        <f>IF(A15taxstdlife="n/a","n/a",IF(AE$3&gt;(A15taxstdlife+$E670),(('PTRM input'!$M$157+'PTRM input'!$M$123)*$M$7)-SUM($M670:AD670),(('PTRM input'!$M$157+'PTRM input'!$M$123)*$M$7)/A15taxstdlife))</f>
        <v>0</v>
      </c>
      <c r="AF670" s="590">
        <f>IF(A15taxstdlife="n/a","n/a",IF(AF$3&gt;(A15taxstdlife+$E670),(('PTRM input'!$M$157+'PTRM input'!$M$123)*$M$7)-SUM($M670:AE670),(('PTRM input'!$M$157+'PTRM input'!$M$123)*$M$7)/A15taxstdlife))</f>
        <v>0</v>
      </c>
      <c r="AG670" s="590">
        <f>IF(A15taxstdlife="n/a","n/a",IF(AG$3&gt;(A15taxstdlife+$E670),(('PTRM input'!$M$157+'PTRM input'!$M$123)*$M$7)-SUM($M670:AF670),(('PTRM input'!$M$157+'PTRM input'!$M$123)*$M$7)/A15taxstdlife))</f>
        <v>0</v>
      </c>
      <c r="AH670" s="590">
        <f>IF(A15taxstdlife="n/a","n/a",IF(AH$3&gt;(A15taxstdlife+$E670),(('PTRM input'!$M$157+'PTRM input'!$M$123)*$M$7)-SUM($M670:AG670),(('PTRM input'!$M$157+'PTRM input'!$M$123)*$M$7)/A15taxstdlife))</f>
        <v>0</v>
      </c>
      <c r="AI670" s="590">
        <f>IF(A15taxstdlife="n/a","n/a",IF(AI$3&gt;(A15taxstdlife+$E670),(('PTRM input'!$M$157+'PTRM input'!$M$123)*$M$7)-SUM($M670:AH670),(('PTRM input'!$M$157+'PTRM input'!$M$123)*$M$7)/A15taxstdlife))</f>
        <v>0</v>
      </c>
      <c r="AJ670" s="590">
        <f>IF(A15taxstdlife="n/a","n/a",IF(AJ$3&gt;(A15taxstdlife+$E670),(('PTRM input'!$M$157+'PTRM input'!$M$123)*$M$7)-SUM($M670:AI670),(('PTRM input'!$M$157+'PTRM input'!$M$123)*$M$7)/A15taxstdlife))</f>
        <v>0</v>
      </c>
      <c r="AK670" s="590">
        <f>IF(A15taxstdlife="n/a","n/a",IF(AK$3&gt;(A15taxstdlife+$E670),(('PTRM input'!$M$157+'PTRM input'!$M$123)*$M$7)-SUM($M670:AJ670),(('PTRM input'!$M$157+'PTRM input'!$M$123)*$M$7)/A15taxstdlife))</f>
        <v>0</v>
      </c>
      <c r="AL670" s="590">
        <f>IF(A15taxstdlife="n/a","n/a",IF(AL$3&gt;(A15taxstdlife+$E670),(('PTRM input'!$M$157+'PTRM input'!$M$123)*$M$7)-SUM($M670:AK670),(('PTRM input'!$M$157+'PTRM input'!$M$123)*$M$7)/A15taxstdlife))</f>
        <v>0</v>
      </c>
      <c r="AM670" s="590">
        <f>IF(A15taxstdlife="n/a","n/a",IF(AM$3&gt;(A15taxstdlife+$E670),(('PTRM input'!$M$157+'PTRM input'!$M$123)*$M$7)-SUM($M670:AL670),(('PTRM input'!$M$157+'PTRM input'!$M$123)*$M$7)/A15taxstdlife))</f>
        <v>0</v>
      </c>
      <c r="AN670" s="590">
        <f>IF(A15taxstdlife="n/a","n/a",IF(AN$3&gt;(A15taxstdlife+$E670),(('PTRM input'!$M$157+'PTRM input'!$M$123)*$M$7)-SUM($M670:AM670),(('PTRM input'!$M$157+'PTRM input'!$M$123)*$M$7)/A15taxstdlife))</f>
        <v>0</v>
      </c>
      <c r="AO670" s="590">
        <f>IF(A15taxstdlife="n/a","n/a",IF(AO$3&gt;(A15taxstdlife+$E670),(('PTRM input'!$M$157+'PTRM input'!$M$123)*$M$7)-SUM($M670:AN670),(('PTRM input'!$M$157+'PTRM input'!$M$123)*$M$7)/A15taxstdlife))</f>
        <v>0</v>
      </c>
      <c r="AP670" s="590">
        <f>IF(A15taxstdlife="n/a","n/a",IF(AP$3&gt;(A15taxstdlife+$E670),(('PTRM input'!$M$157+'PTRM input'!$M$123)*$M$7)-SUM($M670:AO670),(('PTRM input'!$M$157+'PTRM input'!$M$123)*$M$7)/A15taxstdlife))</f>
        <v>0</v>
      </c>
      <c r="AQ670" s="590">
        <f>IF(A15taxstdlife="n/a","n/a",IF(AQ$3&gt;(A15taxstdlife+$E670),(('PTRM input'!$M$157+'PTRM input'!$M$123)*$M$7)-SUM($M670:AP670),(('PTRM input'!$M$157+'PTRM input'!$M$123)*$M$7)/A15taxstdlife))</f>
        <v>0</v>
      </c>
      <c r="AR670" s="590">
        <f>IF(A15taxstdlife="n/a","n/a",IF(AR$3&gt;(A15taxstdlife+$E670),(('PTRM input'!$M$157+'PTRM input'!$M$123)*$M$7)-SUM($M670:AQ670),(('PTRM input'!$M$157+'PTRM input'!$M$123)*$M$7)/A15taxstdlife))</f>
        <v>0</v>
      </c>
      <c r="AS670" s="590">
        <f>IF(A15taxstdlife="n/a","n/a",IF(AS$3&gt;(A15taxstdlife+$E670),(('PTRM input'!$M$157+'PTRM input'!$M$123)*$M$7)-SUM($M670:AR670),(('PTRM input'!$M$157+'PTRM input'!$M$123)*$M$7)/A15taxstdlife))</f>
        <v>0</v>
      </c>
      <c r="AT670" s="590">
        <f>IF(A15taxstdlife="n/a","n/a",IF(AT$3&gt;(A15taxstdlife+$E670),(('PTRM input'!$M$157+'PTRM input'!$M$123)*$M$7)-SUM($M670:AS670),(('PTRM input'!$M$157+'PTRM input'!$M$123)*$M$7)/A15taxstdlife))</f>
        <v>0</v>
      </c>
      <c r="AU670" s="590">
        <f>IF(A15taxstdlife="n/a","n/a",IF(AU$3&gt;(A15taxstdlife+$E670),(('PTRM input'!$M$157+'PTRM input'!$M$123)*$M$7)-SUM($M670:AT670),(('PTRM input'!$M$157+'PTRM input'!$M$123)*$M$7)/A15taxstdlife))</f>
        <v>0</v>
      </c>
      <c r="AV670" s="590">
        <f>IF(A15taxstdlife="n/a","n/a",IF(AV$3&gt;(A15taxstdlife+$E670),(('PTRM input'!$M$157+'PTRM input'!$M$123)*$M$7)-SUM($M670:AU670),(('PTRM input'!$M$157+'PTRM input'!$M$123)*$M$7)/A15taxstdlife))</f>
        <v>0</v>
      </c>
      <c r="AW670" s="590">
        <f>IF(A15taxstdlife="n/a","n/a",IF(AW$3&gt;(A15taxstdlife+$E670),(('PTRM input'!$M$157+'PTRM input'!$M$123)*$M$7)-SUM($M670:AV670),(('PTRM input'!$M$157+'PTRM input'!$M$123)*$M$7)/A15taxstdlife))</f>
        <v>0</v>
      </c>
      <c r="AX670" s="590">
        <f>IF(A15taxstdlife="n/a","n/a",IF(AX$3&gt;(A15taxstdlife+$E670),(('PTRM input'!$M$157+'PTRM input'!$M$123)*$M$7)-SUM($M670:AW670),(('PTRM input'!$M$157+'PTRM input'!$M$123)*$M$7)/A15taxstdlife))</f>
        <v>0</v>
      </c>
      <c r="AY670" s="590">
        <f>IF(A15taxstdlife="n/a","n/a",IF(AY$3&gt;(A15taxstdlife+$E670),(('PTRM input'!$M$157+'PTRM input'!$M$123)*$M$7)-SUM($M670:AX670),(('PTRM input'!$M$157+'PTRM input'!$M$123)*$M$7)/A15taxstdlife))</f>
        <v>0</v>
      </c>
      <c r="AZ670" s="590">
        <f>IF(A15taxstdlife="n/a","n/a",IF(AZ$3&gt;(A15taxstdlife+$E670),(('PTRM input'!$M$157+'PTRM input'!$M$123)*$M$7)-SUM($M670:AY670),(('PTRM input'!$M$157+'PTRM input'!$M$123)*$M$7)/A15taxstdlife))</f>
        <v>0</v>
      </c>
      <c r="BA670" s="590">
        <f>IF(A15taxstdlife="n/a","n/a",IF(BA$3&gt;(A15taxstdlife+$E670),(('PTRM input'!$M$157+'PTRM input'!$M$123)*$M$7)-SUM($M670:AZ670),(('PTRM input'!$M$157+'PTRM input'!$M$123)*$M$7)/A15taxstdlife))</f>
        <v>0</v>
      </c>
      <c r="BB670" s="590">
        <f>IF(A15taxstdlife="n/a","n/a",IF(BB$3&gt;(A15taxstdlife+$E670),(('PTRM input'!$M$157+'PTRM input'!$M$123)*$M$7)-SUM($M670:BA670),(('PTRM input'!$M$157+'PTRM input'!$M$123)*$M$7)/A15taxstdlife))</f>
        <v>0</v>
      </c>
      <c r="BC670" s="590">
        <f>IF(A15taxstdlife="n/a","n/a",IF(BC$3&gt;(A15taxstdlife+$E670),(('PTRM input'!$M$157+'PTRM input'!$M$123)*$M$7)-SUM($M670:BB670),(('PTRM input'!$M$157+'PTRM input'!$M$123)*$M$7)/A15taxstdlife))</f>
        <v>0</v>
      </c>
      <c r="BD670" s="590">
        <f>IF(A15taxstdlife="n/a","n/a",IF(BD$3&gt;(A15taxstdlife+$E670),(('PTRM input'!$M$157+'PTRM input'!$M$123)*$M$7)-SUM($M670:BC670),(('PTRM input'!$M$157+'PTRM input'!$M$123)*$M$7)/A15taxstdlife))</f>
        <v>0</v>
      </c>
      <c r="BE670" s="590">
        <f>IF(A15taxstdlife="n/a","n/a",IF(BE$3&gt;(A15taxstdlife+$E670),(('PTRM input'!$M$157+'PTRM input'!$M$123)*$M$7)-SUM($M670:BD670),(('PTRM input'!$M$157+'PTRM input'!$M$123)*$M$7)/A15taxstdlife))</f>
        <v>0</v>
      </c>
      <c r="BF670" s="590">
        <f>IF(A15taxstdlife="n/a","n/a",IF(BF$3&gt;(A15taxstdlife+$E670),(('PTRM input'!$M$157+'PTRM input'!$M$123)*$M$7)-SUM($M670:BE670),(('PTRM input'!$M$157+'PTRM input'!$M$123)*$M$7)/A15taxstdlife))</f>
        <v>0</v>
      </c>
      <c r="BG670" s="590">
        <f>IF(A15taxstdlife="n/a","n/a",IF(BG$3&gt;(A15taxstdlife+$E670),(('PTRM input'!$M$157+'PTRM input'!$M$123)*$M$7)-SUM($M670:BF670),(('PTRM input'!$M$157+'PTRM input'!$M$123)*$M$7)/A15taxstdlife))</f>
        <v>0</v>
      </c>
      <c r="BH670" s="590">
        <f>IF(A15taxstdlife="n/a","n/a",IF(BH$3&gt;(A15taxstdlife+$E670),(('PTRM input'!$M$157+'PTRM input'!$M$123)*$M$7)-SUM($M670:BG670),(('PTRM input'!$M$157+'PTRM input'!$M$123)*$M$7)/A15taxstdlife))</f>
        <v>0</v>
      </c>
      <c r="BI670" s="590">
        <f>IF(A15taxstdlife="n/a","n/a",IF(BI$3&gt;(A15taxstdlife+$E670),(('PTRM input'!$M$157+'PTRM input'!$M$123)*$M$7)-SUM($M670:BH670),(('PTRM input'!$M$157+'PTRM input'!$M$123)*$M$7)/A15taxstdlife))</f>
        <v>0</v>
      </c>
      <c r="BJ670" s="240"/>
      <c r="BK670" s="240"/>
      <c r="BL670" s="240"/>
      <c r="BM670" s="240"/>
    </row>
    <row r="671" spans="1:65" s="4" customFormat="1" hidden="1" outlineLevel="2">
      <c r="A671" s="240"/>
      <c r="B671" s="240"/>
      <c r="C671" s="595"/>
      <c r="D671" s="1618"/>
      <c r="E671" s="169">
        <v>8</v>
      </c>
      <c r="F671" s="35"/>
      <c r="G671" s="184"/>
      <c r="H671" s="186"/>
      <c r="I671" s="186"/>
      <c r="J671" s="186"/>
      <c r="K671" s="186"/>
      <c r="L671" s="186"/>
      <c r="M671" s="186"/>
      <c r="N671" s="185"/>
      <c r="O671" s="107">
        <f>IF(A15taxstdlife="n/a","n/a",IF(O$3&gt;(A15taxstdlife+$E671),(('PTRM input'!$N$157+'PTRM input'!$N$123)*$N$7)-SUM($N671:N671),(('PTRM input'!$N$157+'PTRM input'!$N$123)*$N$7)/A15taxstdlife))</f>
        <v>0</v>
      </c>
      <c r="P671" s="107">
        <f>IF(A15taxstdlife="n/a","n/a",IF(P$3&gt;(A15taxstdlife+$E671),(('PTRM input'!$N$157+'PTRM input'!$N$123)*$N$7)-SUM($N671:O671),(('PTRM input'!$N$157+'PTRM input'!$N$123)*$N$7)/A15taxstdlife))</f>
        <v>0</v>
      </c>
      <c r="Q671" s="590">
        <f>IF(A15taxstdlife="n/a","n/a",IF(Q$3&gt;(A15taxstdlife+$E671),(('PTRM input'!$N$157+'PTRM input'!$N$123)*$N$7)-SUM($N671:P671),(('PTRM input'!$N$157+'PTRM input'!$N$123)*$N$7)/A15taxstdlife))</f>
        <v>0</v>
      </c>
      <c r="R671" s="590">
        <f>IF(A15taxstdlife="n/a","n/a",IF(R$3&gt;(A15taxstdlife+$E671),(('PTRM input'!$N$157+'PTRM input'!$N$123)*$N$7)-SUM($N671:Q671),(('PTRM input'!$N$157+'PTRM input'!$N$123)*$N$7)/A15taxstdlife))</f>
        <v>0</v>
      </c>
      <c r="S671" s="590">
        <f>IF(A15taxstdlife="n/a","n/a",IF(S$3&gt;(A15taxstdlife+$E671),(('PTRM input'!$N$157+'PTRM input'!$N$123)*$N$7)-SUM($N671:R671),(('PTRM input'!$N$157+'PTRM input'!$N$123)*$N$7)/A15taxstdlife))</f>
        <v>0</v>
      </c>
      <c r="T671" s="590">
        <f>IF(A15taxstdlife="n/a","n/a",IF(T$3&gt;(A15taxstdlife+$E671),(('PTRM input'!$N$157+'PTRM input'!$N$123)*$N$7)-SUM($N671:S671),(('PTRM input'!$N$157+'PTRM input'!$N$123)*$N$7)/A15taxstdlife))</f>
        <v>0</v>
      </c>
      <c r="U671" s="590">
        <f>IF(A15taxstdlife="n/a","n/a",IF(U$3&gt;(A15taxstdlife+$E671),(('PTRM input'!$N$157+'PTRM input'!$N$123)*$N$7)-SUM($N671:T671),(('PTRM input'!$N$157+'PTRM input'!$N$123)*$N$7)/A15taxstdlife))</f>
        <v>0</v>
      </c>
      <c r="V671" s="590">
        <f>IF(A15taxstdlife="n/a","n/a",IF(V$3&gt;(A15taxstdlife+$E671),(('PTRM input'!$N$157+'PTRM input'!$N$123)*$N$7)-SUM($N671:U671),(('PTRM input'!$N$157+'PTRM input'!$N$123)*$N$7)/A15taxstdlife))</f>
        <v>0</v>
      </c>
      <c r="W671" s="590">
        <f>IF(A15taxstdlife="n/a","n/a",IF(W$3&gt;(A15taxstdlife+$E671),(('PTRM input'!$N$157+'PTRM input'!$N$123)*$N$7)-SUM($N671:V671),(('PTRM input'!$N$157+'PTRM input'!$N$123)*$N$7)/A15taxstdlife))</f>
        <v>0</v>
      </c>
      <c r="X671" s="590">
        <f>IF(A15taxstdlife="n/a","n/a",IF(X$3&gt;(A15taxstdlife+$E671),(('PTRM input'!$N$157+'PTRM input'!$N$123)*$N$7)-SUM($N671:W671),(('PTRM input'!$N$157+'PTRM input'!$N$123)*$N$7)/A15taxstdlife))</f>
        <v>0</v>
      </c>
      <c r="Y671" s="590">
        <f>IF(A15taxstdlife="n/a","n/a",IF(Y$3&gt;(A15taxstdlife+$E671),(('PTRM input'!$N$157+'PTRM input'!$N$123)*$N$7)-SUM($N671:X671),(('PTRM input'!$N$157+'PTRM input'!$N$123)*$N$7)/A15taxstdlife))</f>
        <v>0</v>
      </c>
      <c r="Z671" s="590">
        <f>IF(A15taxstdlife="n/a","n/a",IF(Z$3&gt;(A15taxstdlife+$E671),(('PTRM input'!$N$157+'PTRM input'!$N$123)*$N$7)-SUM($N671:Y671),(('PTRM input'!$N$157+'PTRM input'!$N$123)*$N$7)/A15taxstdlife))</f>
        <v>0</v>
      </c>
      <c r="AA671" s="590">
        <f>IF(A15taxstdlife="n/a","n/a",IF(AA$3&gt;(A15taxstdlife+$E671),(('PTRM input'!$N$157+'PTRM input'!$N$123)*$N$7)-SUM($N671:Z671),(('PTRM input'!$N$157+'PTRM input'!$N$123)*$N$7)/A15taxstdlife))</f>
        <v>0</v>
      </c>
      <c r="AB671" s="590">
        <f>IF(A15taxstdlife="n/a","n/a",IF(AB$3&gt;(A15taxstdlife+$E671),(('PTRM input'!$N$157+'PTRM input'!$N$123)*$N$7)-SUM($N671:AA671),(('PTRM input'!$N$157+'PTRM input'!$N$123)*$N$7)/A15taxstdlife))</f>
        <v>0</v>
      </c>
      <c r="AC671" s="590">
        <f>IF(A15taxstdlife="n/a","n/a",IF(AC$3&gt;(A15taxstdlife+$E671),(('PTRM input'!$N$157+'PTRM input'!$N$123)*$N$7)-SUM($N671:AB671),(('PTRM input'!$N$157+'PTRM input'!$N$123)*$N$7)/A15taxstdlife))</f>
        <v>0</v>
      </c>
      <c r="AD671" s="590">
        <f>IF(A15taxstdlife="n/a","n/a",IF(AD$3&gt;(A15taxstdlife+$E671),(('PTRM input'!$N$157+'PTRM input'!$N$123)*$N$7)-SUM($N671:AC671),(('PTRM input'!$N$157+'PTRM input'!$N$123)*$N$7)/A15taxstdlife))</f>
        <v>0</v>
      </c>
      <c r="AE671" s="590">
        <f>IF(A15taxstdlife="n/a","n/a",IF(AE$3&gt;(A15taxstdlife+$E671),(('PTRM input'!$N$157+'PTRM input'!$N$123)*$N$7)-SUM($N671:AD671),(('PTRM input'!$N$157+'PTRM input'!$N$123)*$N$7)/A15taxstdlife))</f>
        <v>0</v>
      </c>
      <c r="AF671" s="590">
        <f>IF(A15taxstdlife="n/a","n/a",IF(AF$3&gt;(A15taxstdlife+$E671),(('PTRM input'!$N$157+'PTRM input'!$N$123)*$N$7)-SUM($N671:AE671),(('PTRM input'!$N$157+'PTRM input'!$N$123)*$N$7)/A15taxstdlife))</f>
        <v>0</v>
      </c>
      <c r="AG671" s="590">
        <f>IF(A15taxstdlife="n/a","n/a",IF(AG$3&gt;(A15taxstdlife+$E671),(('PTRM input'!$N$157+'PTRM input'!$N$123)*$N$7)-SUM($N671:AF671),(('PTRM input'!$N$157+'PTRM input'!$N$123)*$N$7)/A15taxstdlife))</f>
        <v>0</v>
      </c>
      <c r="AH671" s="590">
        <f>IF(A15taxstdlife="n/a","n/a",IF(AH$3&gt;(A15taxstdlife+$E671),(('PTRM input'!$N$157+'PTRM input'!$N$123)*$N$7)-SUM($N671:AG671),(('PTRM input'!$N$157+'PTRM input'!$N$123)*$N$7)/A15taxstdlife))</f>
        <v>0</v>
      </c>
      <c r="AI671" s="590">
        <f>IF(A15taxstdlife="n/a","n/a",IF(AI$3&gt;(A15taxstdlife+$E671),(('PTRM input'!$N$157+'PTRM input'!$N$123)*$N$7)-SUM($N671:AH671),(('PTRM input'!$N$157+'PTRM input'!$N$123)*$N$7)/A15taxstdlife))</f>
        <v>0</v>
      </c>
      <c r="AJ671" s="590">
        <f>IF(A15taxstdlife="n/a","n/a",IF(AJ$3&gt;(A15taxstdlife+$E671),(('PTRM input'!$N$157+'PTRM input'!$N$123)*$N$7)-SUM($N671:AI671),(('PTRM input'!$N$157+'PTRM input'!$N$123)*$N$7)/A15taxstdlife))</f>
        <v>0</v>
      </c>
      <c r="AK671" s="590">
        <f>IF(A15taxstdlife="n/a","n/a",IF(AK$3&gt;(A15taxstdlife+$E671),(('PTRM input'!$N$157+'PTRM input'!$N$123)*$N$7)-SUM($N671:AJ671),(('PTRM input'!$N$157+'PTRM input'!$N$123)*$N$7)/A15taxstdlife))</f>
        <v>0</v>
      </c>
      <c r="AL671" s="590">
        <f>IF(A15taxstdlife="n/a","n/a",IF(AL$3&gt;(A15taxstdlife+$E671),(('PTRM input'!$N$157+'PTRM input'!$N$123)*$N$7)-SUM($N671:AK671),(('PTRM input'!$N$157+'PTRM input'!$N$123)*$N$7)/A15taxstdlife))</f>
        <v>0</v>
      </c>
      <c r="AM671" s="590">
        <f>IF(A15taxstdlife="n/a","n/a",IF(AM$3&gt;(A15taxstdlife+$E671),(('PTRM input'!$N$157+'PTRM input'!$N$123)*$N$7)-SUM($N671:AL671),(('PTRM input'!$N$157+'PTRM input'!$N$123)*$N$7)/A15taxstdlife))</f>
        <v>0</v>
      </c>
      <c r="AN671" s="590">
        <f>IF(A15taxstdlife="n/a","n/a",IF(AN$3&gt;(A15taxstdlife+$E671),(('PTRM input'!$N$157+'PTRM input'!$N$123)*$N$7)-SUM($N671:AM671),(('PTRM input'!$N$157+'PTRM input'!$N$123)*$N$7)/A15taxstdlife))</f>
        <v>0</v>
      </c>
      <c r="AO671" s="590">
        <f>IF(A15taxstdlife="n/a","n/a",IF(AO$3&gt;(A15taxstdlife+$E671),(('PTRM input'!$N$157+'PTRM input'!$N$123)*$N$7)-SUM($N671:AN671),(('PTRM input'!$N$157+'PTRM input'!$N$123)*$N$7)/A15taxstdlife))</f>
        <v>0</v>
      </c>
      <c r="AP671" s="590">
        <f>IF(A15taxstdlife="n/a","n/a",IF(AP$3&gt;(A15taxstdlife+$E671),(('PTRM input'!$N$157+'PTRM input'!$N$123)*$N$7)-SUM($N671:AO671),(('PTRM input'!$N$157+'PTRM input'!$N$123)*$N$7)/A15taxstdlife))</f>
        <v>0</v>
      </c>
      <c r="AQ671" s="590">
        <f>IF(A15taxstdlife="n/a","n/a",IF(AQ$3&gt;(A15taxstdlife+$E671),(('PTRM input'!$N$157+'PTRM input'!$N$123)*$N$7)-SUM($N671:AP671),(('PTRM input'!$N$157+'PTRM input'!$N$123)*$N$7)/A15taxstdlife))</f>
        <v>0</v>
      </c>
      <c r="AR671" s="590">
        <f>IF(A15taxstdlife="n/a","n/a",IF(AR$3&gt;(A15taxstdlife+$E671),(('PTRM input'!$N$157+'PTRM input'!$N$123)*$N$7)-SUM($N671:AQ671),(('PTRM input'!$N$157+'PTRM input'!$N$123)*$N$7)/A15taxstdlife))</f>
        <v>0</v>
      </c>
      <c r="AS671" s="590">
        <f>IF(A15taxstdlife="n/a","n/a",IF(AS$3&gt;(A15taxstdlife+$E671),(('PTRM input'!$N$157+'PTRM input'!$N$123)*$N$7)-SUM($N671:AR671),(('PTRM input'!$N$157+'PTRM input'!$N$123)*$N$7)/A15taxstdlife))</f>
        <v>0</v>
      </c>
      <c r="AT671" s="590">
        <f>IF(A15taxstdlife="n/a","n/a",IF(AT$3&gt;(A15taxstdlife+$E671),(('PTRM input'!$N$157+'PTRM input'!$N$123)*$N$7)-SUM($N671:AS671),(('PTRM input'!$N$157+'PTRM input'!$N$123)*$N$7)/A15taxstdlife))</f>
        <v>0</v>
      </c>
      <c r="AU671" s="590">
        <f>IF(A15taxstdlife="n/a","n/a",IF(AU$3&gt;(A15taxstdlife+$E671),(('PTRM input'!$N$157+'PTRM input'!$N$123)*$N$7)-SUM($N671:AT671),(('PTRM input'!$N$157+'PTRM input'!$N$123)*$N$7)/A15taxstdlife))</f>
        <v>0</v>
      </c>
      <c r="AV671" s="590">
        <f>IF(A15taxstdlife="n/a","n/a",IF(AV$3&gt;(A15taxstdlife+$E671),(('PTRM input'!$N$157+'PTRM input'!$N$123)*$N$7)-SUM($N671:AU671),(('PTRM input'!$N$157+'PTRM input'!$N$123)*$N$7)/A15taxstdlife))</f>
        <v>0</v>
      </c>
      <c r="AW671" s="590">
        <f>IF(A15taxstdlife="n/a","n/a",IF(AW$3&gt;(A15taxstdlife+$E671),(('PTRM input'!$N$157+'PTRM input'!$N$123)*$N$7)-SUM($N671:AV671),(('PTRM input'!$N$157+'PTRM input'!$N$123)*$N$7)/A15taxstdlife))</f>
        <v>0</v>
      </c>
      <c r="AX671" s="590">
        <f>IF(A15taxstdlife="n/a","n/a",IF(AX$3&gt;(A15taxstdlife+$E671),(('PTRM input'!$N$157+'PTRM input'!$N$123)*$N$7)-SUM($N671:AW671),(('PTRM input'!$N$157+'PTRM input'!$N$123)*$N$7)/A15taxstdlife))</f>
        <v>0</v>
      </c>
      <c r="AY671" s="590">
        <f>IF(A15taxstdlife="n/a","n/a",IF(AY$3&gt;(A15taxstdlife+$E671),(('PTRM input'!$N$157+'PTRM input'!$N$123)*$N$7)-SUM($N671:AX671),(('PTRM input'!$N$157+'PTRM input'!$N$123)*$N$7)/A15taxstdlife))</f>
        <v>0</v>
      </c>
      <c r="AZ671" s="590">
        <f>IF(A15taxstdlife="n/a","n/a",IF(AZ$3&gt;(A15taxstdlife+$E671),(('PTRM input'!$N$157+'PTRM input'!$N$123)*$N$7)-SUM($N671:AY671),(('PTRM input'!$N$157+'PTRM input'!$N$123)*$N$7)/A15taxstdlife))</f>
        <v>0</v>
      </c>
      <c r="BA671" s="590">
        <f>IF(A15taxstdlife="n/a","n/a",IF(BA$3&gt;(A15taxstdlife+$E671),(('PTRM input'!$N$157+'PTRM input'!$N$123)*$N$7)-SUM($N671:AZ671),(('PTRM input'!$N$157+'PTRM input'!$N$123)*$N$7)/A15taxstdlife))</f>
        <v>0</v>
      </c>
      <c r="BB671" s="590">
        <f>IF(A15taxstdlife="n/a","n/a",IF(BB$3&gt;(A15taxstdlife+$E671),(('PTRM input'!$N$157+'PTRM input'!$N$123)*$N$7)-SUM($N671:BA671),(('PTRM input'!$N$157+'PTRM input'!$N$123)*$N$7)/A15taxstdlife))</f>
        <v>0</v>
      </c>
      <c r="BC671" s="590">
        <f>IF(A15taxstdlife="n/a","n/a",IF(BC$3&gt;(A15taxstdlife+$E671),(('PTRM input'!$N$157+'PTRM input'!$N$123)*$N$7)-SUM($N671:BB671),(('PTRM input'!$N$157+'PTRM input'!$N$123)*$N$7)/A15taxstdlife))</f>
        <v>0</v>
      </c>
      <c r="BD671" s="590">
        <f>IF(A15taxstdlife="n/a","n/a",IF(BD$3&gt;(A15taxstdlife+$E671),(('PTRM input'!$N$157+'PTRM input'!$N$123)*$N$7)-SUM($N671:BC671),(('PTRM input'!$N$157+'PTRM input'!$N$123)*$N$7)/A15taxstdlife))</f>
        <v>0</v>
      </c>
      <c r="BE671" s="590">
        <f>IF(A15taxstdlife="n/a","n/a",IF(BE$3&gt;(A15taxstdlife+$E671),(('PTRM input'!$N$157+'PTRM input'!$N$123)*$N$7)-SUM($N671:BD671),(('PTRM input'!$N$157+'PTRM input'!$N$123)*$N$7)/A15taxstdlife))</f>
        <v>0</v>
      </c>
      <c r="BF671" s="590">
        <f>IF(A15taxstdlife="n/a","n/a",IF(BF$3&gt;(A15taxstdlife+$E671),(('PTRM input'!$N$157+'PTRM input'!$N$123)*$N$7)-SUM($N671:BE671),(('PTRM input'!$N$157+'PTRM input'!$N$123)*$N$7)/A15taxstdlife))</f>
        <v>0</v>
      </c>
      <c r="BG671" s="590">
        <f>IF(A15taxstdlife="n/a","n/a",IF(BG$3&gt;(A15taxstdlife+$E671),(('PTRM input'!$N$157+'PTRM input'!$N$123)*$N$7)-SUM($N671:BF671),(('PTRM input'!$N$157+'PTRM input'!$N$123)*$N$7)/A15taxstdlife))</f>
        <v>0</v>
      </c>
      <c r="BH671" s="590">
        <f>IF(A15taxstdlife="n/a","n/a",IF(BH$3&gt;(A15taxstdlife+$E671),(('PTRM input'!$N$157+'PTRM input'!$N$123)*$N$7)-SUM($N671:BG671),(('PTRM input'!$N$157+'PTRM input'!$N$123)*$N$7)/A15taxstdlife))</f>
        <v>0</v>
      </c>
      <c r="BI671" s="590">
        <f>IF(A15taxstdlife="n/a","n/a",IF(BI$3&gt;(A15taxstdlife+$E671),(('PTRM input'!$N$157+'PTRM input'!$N$123)*$N$7)-SUM($N671:BH671),(('PTRM input'!$N$157+'PTRM input'!$N$123)*$N$7)/A15taxstdlife))</f>
        <v>0</v>
      </c>
      <c r="BJ671" s="240"/>
      <c r="BK671" s="240"/>
      <c r="BL671" s="240"/>
      <c r="BM671" s="240"/>
    </row>
    <row r="672" spans="1:65" s="4" customFormat="1" hidden="1" outlineLevel="2">
      <c r="A672" s="240"/>
      <c r="B672" s="240"/>
      <c r="C672" s="595"/>
      <c r="D672" s="1618"/>
      <c r="E672" s="169">
        <v>9</v>
      </c>
      <c r="F672" s="35"/>
      <c r="G672" s="184"/>
      <c r="H672" s="186"/>
      <c r="I672" s="186"/>
      <c r="J672" s="186"/>
      <c r="K672" s="186"/>
      <c r="L672" s="186"/>
      <c r="M672" s="186"/>
      <c r="N672" s="186"/>
      <c r="O672" s="185"/>
      <c r="P672" s="107">
        <f>IF(A15taxstdlife="n/a","n/a",IF(P$3&gt;(A15taxstdlife+$E672),(('PTRM input'!$O$157+'PTRM input'!$O$123)*$O$7)-SUM($O672:O672),(('PTRM input'!$O$157+'PTRM input'!$O$123)*$O$7)/A15taxstdlife))</f>
        <v>0</v>
      </c>
      <c r="Q672" s="590">
        <f>IF(A15taxstdlife="n/a","n/a",IF(Q$3&gt;(A15taxstdlife+$E672),(('PTRM input'!$O$157+'PTRM input'!$O$123)*$O$7)-SUM($O672:P672),(('PTRM input'!$O$157+'PTRM input'!$O$123)*$O$7)/A15taxstdlife))</f>
        <v>0</v>
      </c>
      <c r="R672" s="590">
        <f>IF(A15taxstdlife="n/a","n/a",IF(R$3&gt;(A15taxstdlife+$E672),(('PTRM input'!$O$157+'PTRM input'!$O$123)*$O$7)-SUM($O672:Q672),(('PTRM input'!$O$157+'PTRM input'!$O$123)*$O$7)/A15taxstdlife))</f>
        <v>0</v>
      </c>
      <c r="S672" s="590">
        <f>IF(A15taxstdlife="n/a","n/a",IF(S$3&gt;(A15taxstdlife+$E672),(('PTRM input'!$O$157+'PTRM input'!$O$123)*$O$7)-SUM($O672:R672),(('PTRM input'!$O$157+'PTRM input'!$O$123)*$O$7)/A15taxstdlife))</f>
        <v>0</v>
      </c>
      <c r="T672" s="590">
        <f>IF(A15taxstdlife="n/a","n/a",IF(T$3&gt;(A15taxstdlife+$E672),(('PTRM input'!$O$157+'PTRM input'!$O$123)*$O$7)-SUM($O672:S672),(('PTRM input'!$O$157+'PTRM input'!$O$123)*$O$7)/A15taxstdlife))</f>
        <v>0</v>
      </c>
      <c r="U672" s="590">
        <f>IF(A15taxstdlife="n/a","n/a",IF(U$3&gt;(A15taxstdlife+$E672),(('PTRM input'!$O$157+'PTRM input'!$O$123)*$O$7)-SUM($O672:T672),(('PTRM input'!$O$157+'PTRM input'!$O$123)*$O$7)/A15taxstdlife))</f>
        <v>0</v>
      </c>
      <c r="V672" s="590">
        <f>IF(A15taxstdlife="n/a","n/a",IF(V$3&gt;(A15taxstdlife+$E672),(('PTRM input'!$O$157+'PTRM input'!$O$123)*$O$7)-SUM($O672:U672),(('PTRM input'!$O$157+'PTRM input'!$O$123)*$O$7)/A15taxstdlife))</f>
        <v>0</v>
      </c>
      <c r="W672" s="590">
        <f>IF(A15taxstdlife="n/a","n/a",IF(W$3&gt;(A15taxstdlife+$E672),(('PTRM input'!$O$157+'PTRM input'!$O$123)*$O$7)-SUM($O672:V672),(('PTRM input'!$O$157+'PTRM input'!$O$123)*$O$7)/A15taxstdlife))</f>
        <v>0</v>
      </c>
      <c r="X672" s="590">
        <f>IF(A15taxstdlife="n/a","n/a",IF(X$3&gt;(A15taxstdlife+$E672),(('PTRM input'!$O$157+'PTRM input'!$O$123)*$O$7)-SUM($O672:W672),(('PTRM input'!$O$157+'PTRM input'!$O$123)*$O$7)/A15taxstdlife))</f>
        <v>0</v>
      </c>
      <c r="Y672" s="590">
        <f>IF(A15taxstdlife="n/a","n/a",IF(Y$3&gt;(A15taxstdlife+$E672),(('PTRM input'!$O$157+'PTRM input'!$O$123)*$O$7)-SUM($O672:X672),(('PTRM input'!$O$157+'PTRM input'!$O$123)*$O$7)/A15taxstdlife))</f>
        <v>0</v>
      </c>
      <c r="Z672" s="590">
        <f>IF(A15taxstdlife="n/a","n/a",IF(Z$3&gt;(A15taxstdlife+$E672),(('PTRM input'!$O$157+'PTRM input'!$O$123)*$O$7)-SUM($O672:Y672),(('PTRM input'!$O$157+'PTRM input'!$O$123)*$O$7)/A15taxstdlife))</f>
        <v>0</v>
      </c>
      <c r="AA672" s="590">
        <f>IF(A15taxstdlife="n/a","n/a",IF(AA$3&gt;(A15taxstdlife+$E672),(('PTRM input'!$O$157+'PTRM input'!$O$123)*$O$7)-SUM($O672:Z672),(('PTRM input'!$O$157+'PTRM input'!$O$123)*$O$7)/A15taxstdlife))</f>
        <v>0</v>
      </c>
      <c r="AB672" s="590">
        <f>IF(A15taxstdlife="n/a","n/a",IF(AB$3&gt;(A15taxstdlife+$E672),(('PTRM input'!$O$157+'PTRM input'!$O$123)*$O$7)-SUM($O672:AA672),(('PTRM input'!$O$157+'PTRM input'!$O$123)*$O$7)/A15taxstdlife))</f>
        <v>0</v>
      </c>
      <c r="AC672" s="590">
        <f>IF(A15taxstdlife="n/a","n/a",IF(AC$3&gt;(A15taxstdlife+$E672),(('PTRM input'!$O$157+'PTRM input'!$O$123)*$O$7)-SUM($O672:AB672),(('PTRM input'!$O$157+'PTRM input'!$O$123)*$O$7)/A15taxstdlife))</f>
        <v>0</v>
      </c>
      <c r="AD672" s="590">
        <f>IF(A15taxstdlife="n/a","n/a",IF(AD$3&gt;(A15taxstdlife+$E672),(('PTRM input'!$O$157+'PTRM input'!$O$123)*$O$7)-SUM($O672:AC672),(('PTRM input'!$O$157+'PTRM input'!$O$123)*$O$7)/A15taxstdlife))</f>
        <v>0</v>
      </c>
      <c r="AE672" s="590">
        <f>IF(A15taxstdlife="n/a","n/a",IF(AE$3&gt;(A15taxstdlife+$E672),(('PTRM input'!$O$157+'PTRM input'!$O$123)*$O$7)-SUM($O672:AD672),(('PTRM input'!$O$157+'PTRM input'!$O$123)*$O$7)/A15taxstdlife))</f>
        <v>0</v>
      </c>
      <c r="AF672" s="590">
        <f>IF(A15taxstdlife="n/a","n/a",IF(AF$3&gt;(A15taxstdlife+$E672),(('PTRM input'!$O$157+'PTRM input'!$O$123)*$O$7)-SUM($O672:AE672),(('PTRM input'!$O$157+'PTRM input'!$O$123)*$O$7)/A15taxstdlife))</f>
        <v>0</v>
      </c>
      <c r="AG672" s="590">
        <f>IF(A15taxstdlife="n/a","n/a",IF(AG$3&gt;(A15taxstdlife+$E672),(('PTRM input'!$O$157+'PTRM input'!$O$123)*$O$7)-SUM($O672:AF672),(('PTRM input'!$O$157+'PTRM input'!$O$123)*$O$7)/A15taxstdlife))</f>
        <v>0</v>
      </c>
      <c r="AH672" s="590">
        <f>IF(A15taxstdlife="n/a","n/a",IF(AH$3&gt;(A15taxstdlife+$E672),(('PTRM input'!$O$157+'PTRM input'!$O$123)*$O$7)-SUM($O672:AG672),(('PTRM input'!$O$157+'PTRM input'!$O$123)*$O$7)/A15taxstdlife))</f>
        <v>0</v>
      </c>
      <c r="AI672" s="590">
        <f>IF(A15taxstdlife="n/a","n/a",IF(AI$3&gt;(A15taxstdlife+$E672),(('PTRM input'!$O$157+'PTRM input'!$O$123)*$O$7)-SUM($O672:AH672),(('PTRM input'!$O$157+'PTRM input'!$O$123)*$O$7)/A15taxstdlife))</f>
        <v>0</v>
      </c>
      <c r="AJ672" s="590">
        <f>IF(A15taxstdlife="n/a","n/a",IF(AJ$3&gt;(A15taxstdlife+$E672),(('PTRM input'!$O$157+'PTRM input'!$O$123)*$O$7)-SUM($O672:AI672),(('PTRM input'!$O$157+'PTRM input'!$O$123)*$O$7)/A15taxstdlife))</f>
        <v>0</v>
      </c>
      <c r="AK672" s="590">
        <f>IF(A15taxstdlife="n/a","n/a",IF(AK$3&gt;(A15taxstdlife+$E672),(('PTRM input'!$O$157+'PTRM input'!$O$123)*$O$7)-SUM($O672:AJ672),(('PTRM input'!$O$157+'PTRM input'!$O$123)*$O$7)/A15taxstdlife))</f>
        <v>0</v>
      </c>
      <c r="AL672" s="590">
        <f>IF(A15taxstdlife="n/a","n/a",IF(AL$3&gt;(A15taxstdlife+$E672),(('PTRM input'!$O$157+'PTRM input'!$O$123)*$O$7)-SUM($O672:AK672),(('PTRM input'!$O$157+'PTRM input'!$O$123)*$O$7)/A15taxstdlife))</f>
        <v>0</v>
      </c>
      <c r="AM672" s="590">
        <f>IF(A15taxstdlife="n/a","n/a",IF(AM$3&gt;(A15taxstdlife+$E672),(('PTRM input'!$O$157+'PTRM input'!$O$123)*$O$7)-SUM($O672:AL672),(('PTRM input'!$O$157+'PTRM input'!$O$123)*$O$7)/A15taxstdlife))</f>
        <v>0</v>
      </c>
      <c r="AN672" s="590">
        <f>IF(A15taxstdlife="n/a","n/a",IF(AN$3&gt;(A15taxstdlife+$E672),(('PTRM input'!$O$157+'PTRM input'!$O$123)*$O$7)-SUM($O672:AM672),(('PTRM input'!$O$157+'PTRM input'!$O$123)*$O$7)/A15taxstdlife))</f>
        <v>0</v>
      </c>
      <c r="AO672" s="590">
        <f>IF(A15taxstdlife="n/a","n/a",IF(AO$3&gt;(A15taxstdlife+$E672),(('PTRM input'!$O$157+'PTRM input'!$O$123)*$O$7)-SUM($O672:AN672),(('PTRM input'!$O$157+'PTRM input'!$O$123)*$O$7)/A15taxstdlife))</f>
        <v>0</v>
      </c>
      <c r="AP672" s="590">
        <f>IF(A15taxstdlife="n/a","n/a",IF(AP$3&gt;(A15taxstdlife+$E672),(('PTRM input'!$O$157+'PTRM input'!$O$123)*$O$7)-SUM($O672:AO672),(('PTRM input'!$O$157+'PTRM input'!$O$123)*$O$7)/A15taxstdlife))</f>
        <v>0</v>
      </c>
      <c r="AQ672" s="590">
        <f>IF(A15taxstdlife="n/a","n/a",IF(AQ$3&gt;(A15taxstdlife+$E672),(('PTRM input'!$O$157+'PTRM input'!$O$123)*$O$7)-SUM($O672:AP672),(('PTRM input'!$O$157+'PTRM input'!$O$123)*$O$7)/A15taxstdlife))</f>
        <v>0</v>
      </c>
      <c r="AR672" s="590">
        <f>IF(A15taxstdlife="n/a","n/a",IF(AR$3&gt;(A15taxstdlife+$E672),(('PTRM input'!$O$157+'PTRM input'!$O$123)*$O$7)-SUM($O672:AQ672),(('PTRM input'!$O$157+'PTRM input'!$O$123)*$O$7)/A15taxstdlife))</f>
        <v>0</v>
      </c>
      <c r="AS672" s="590">
        <f>IF(A15taxstdlife="n/a","n/a",IF(AS$3&gt;(A15taxstdlife+$E672),(('PTRM input'!$O$157+'PTRM input'!$O$123)*$O$7)-SUM($O672:AR672),(('PTRM input'!$O$157+'PTRM input'!$O$123)*$O$7)/A15taxstdlife))</f>
        <v>0</v>
      </c>
      <c r="AT672" s="590">
        <f>IF(A15taxstdlife="n/a","n/a",IF(AT$3&gt;(A15taxstdlife+$E672),(('PTRM input'!$O$157+'PTRM input'!$O$123)*$O$7)-SUM($O672:AS672),(('PTRM input'!$O$157+'PTRM input'!$O$123)*$O$7)/A15taxstdlife))</f>
        <v>0</v>
      </c>
      <c r="AU672" s="590">
        <f>IF(A15taxstdlife="n/a","n/a",IF(AU$3&gt;(A15taxstdlife+$E672),(('PTRM input'!$O$157+'PTRM input'!$O$123)*$O$7)-SUM($O672:AT672),(('PTRM input'!$O$157+'PTRM input'!$O$123)*$O$7)/A15taxstdlife))</f>
        <v>0</v>
      </c>
      <c r="AV672" s="590">
        <f>IF(A15taxstdlife="n/a","n/a",IF(AV$3&gt;(A15taxstdlife+$E672),(('PTRM input'!$O$157+'PTRM input'!$O$123)*$O$7)-SUM($O672:AU672),(('PTRM input'!$O$157+'PTRM input'!$O$123)*$O$7)/A15taxstdlife))</f>
        <v>0</v>
      </c>
      <c r="AW672" s="590">
        <f>IF(A15taxstdlife="n/a","n/a",IF(AW$3&gt;(A15taxstdlife+$E672),(('PTRM input'!$O$157+'PTRM input'!$O$123)*$O$7)-SUM($O672:AV672),(('PTRM input'!$O$157+'PTRM input'!$O$123)*$O$7)/A15taxstdlife))</f>
        <v>0</v>
      </c>
      <c r="AX672" s="590">
        <f>IF(A15taxstdlife="n/a","n/a",IF(AX$3&gt;(A15taxstdlife+$E672),(('PTRM input'!$O$157+'PTRM input'!$O$123)*$O$7)-SUM($O672:AW672),(('PTRM input'!$O$157+'PTRM input'!$O$123)*$O$7)/A15taxstdlife))</f>
        <v>0</v>
      </c>
      <c r="AY672" s="590">
        <f>IF(A15taxstdlife="n/a","n/a",IF(AY$3&gt;(A15taxstdlife+$E672),(('PTRM input'!$O$157+'PTRM input'!$O$123)*$O$7)-SUM($O672:AX672),(('PTRM input'!$O$157+'PTRM input'!$O$123)*$O$7)/A15taxstdlife))</f>
        <v>0</v>
      </c>
      <c r="AZ672" s="590">
        <f>IF(A15taxstdlife="n/a","n/a",IF(AZ$3&gt;(A15taxstdlife+$E672),(('PTRM input'!$O$157+'PTRM input'!$O$123)*$O$7)-SUM($O672:AY672),(('PTRM input'!$O$157+'PTRM input'!$O$123)*$O$7)/A15taxstdlife))</f>
        <v>0</v>
      </c>
      <c r="BA672" s="590">
        <f>IF(A15taxstdlife="n/a","n/a",IF(BA$3&gt;(A15taxstdlife+$E672),(('PTRM input'!$O$157+'PTRM input'!$O$123)*$O$7)-SUM($O672:AZ672),(('PTRM input'!$O$157+'PTRM input'!$O$123)*$O$7)/A15taxstdlife))</f>
        <v>0</v>
      </c>
      <c r="BB672" s="590">
        <f>IF(A15taxstdlife="n/a","n/a",IF(BB$3&gt;(A15taxstdlife+$E672),(('PTRM input'!$O$157+'PTRM input'!$O$123)*$O$7)-SUM($O672:BA672),(('PTRM input'!$O$157+'PTRM input'!$O$123)*$O$7)/A15taxstdlife))</f>
        <v>0</v>
      </c>
      <c r="BC672" s="590">
        <f>IF(A15taxstdlife="n/a","n/a",IF(BC$3&gt;(A15taxstdlife+$E672),(('PTRM input'!$O$157+'PTRM input'!$O$123)*$O$7)-SUM($O672:BB672),(('PTRM input'!$O$157+'PTRM input'!$O$123)*$O$7)/A15taxstdlife))</f>
        <v>0</v>
      </c>
      <c r="BD672" s="590">
        <f>IF(A15taxstdlife="n/a","n/a",IF(BD$3&gt;(A15taxstdlife+$E672),(('PTRM input'!$O$157+'PTRM input'!$O$123)*$O$7)-SUM($O672:BC672),(('PTRM input'!$O$157+'PTRM input'!$O$123)*$O$7)/A15taxstdlife))</f>
        <v>0</v>
      </c>
      <c r="BE672" s="590">
        <f>IF(A15taxstdlife="n/a","n/a",IF(BE$3&gt;(A15taxstdlife+$E672),(('PTRM input'!$O$157+'PTRM input'!$O$123)*$O$7)-SUM($O672:BD672),(('PTRM input'!$O$157+'PTRM input'!$O$123)*$O$7)/A15taxstdlife))</f>
        <v>0</v>
      </c>
      <c r="BF672" s="590">
        <f>IF(A15taxstdlife="n/a","n/a",IF(BF$3&gt;(A15taxstdlife+$E672),(('PTRM input'!$O$157+'PTRM input'!$O$123)*$O$7)-SUM($O672:BE672),(('PTRM input'!$O$157+'PTRM input'!$O$123)*$O$7)/A15taxstdlife))</f>
        <v>0</v>
      </c>
      <c r="BG672" s="590">
        <f>IF(A15taxstdlife="n/a","n/a",IF(BG$3&gt;(A15taxstdlife+$E672),(('PTRM input'!$O$157+'PTRM input'!$O$123)*$O$7)-SUM($O672:BF672),(('PTRM input'!$O$157+'PTRM input'!$O$123)*$O$7)/A15taxstdlife))</f>
        <v>0</v>
      </c>
      <c r="BH672" s="590">
        <f>IF(A15taxstdlife="n/a","n/a",IF(BH$3&gt;(A15taxstdlife+$E672),(('PTRM input'!$O$157+'PTRM input'!$O$123)*$O$7)-SUM($O672:BG672),(('PTRM input'!$O$157+'PTRM input'!$O$123)*$O$7)/A15taxstdlife))</f>
        <v>0</v>
      </c>
      <c r="BI672" s="590">
        <f>IF(A15taxstdlife="n/a","n/a",IF(BI$3&gt;(A15taxstdlife+$E672),(('PTRM input'!$O$157+'PTRM input'!$O$123)*$O$7)-SUM($O672:BH672),(('PTRM input'!$O$157+'PTRM input'!$O$123)*$O$7)/A15taxstdlife))</f>
        <v>0</v>
      </c>
      <c r="BJ672" s="240"/>
      <c r="BK672" s="240"/>
      <c r="BL672" s="240"/>
      <c r="BM672" s="240"/>
    </row>
    <row r="673" spans="1:65" s="4" customFormat="1" hidden="1" outlineLevel="2">
      <c r="A673" s="240"/>
      <c r="B673" s="240"/>
      <c r="C673" s="595"/>
      <c r="D673" s="1618"/>
      <c r="E673" s="170">
        <v>10</v>
      </c>
      <c r="F673" s="35"/>
      <c r="G673" s="184"/>
      <c r="H673" s="186"/>
      <c r="I673" s="186"/>
      <c r="J673" s="186"/>
      <c r="K673" s="186"/>
      <c r="L673" s="186"/>
      <c r="M673" s="186"/>
      <c r="N673" s="186"/>
      <c r="O673" s="186"/>
      <c r="P673" s="185"/>
      <c r="Q673" s="590">
        <f>IF(A15taxstdlife="n/a","n/a",IF(Q$3&gt;(A15taxstdlife+$E673),(('PTRM input'!$P$157+'PTRM input'!$P$123)*$P$7)-SUM($P673:P673),(('PTRM input'!$P$157+'PTRM input'!$P$123)*$P$7)/A15taxstdlife))</f>
        <v>0</v>
      </c>
      <c r="R673" s="590">
        <f>IF(A15taxstdlife="n/a","n/a",IF(R$3&gt;(A15taxstdlife+$E673),(('PTRM input'!$P$157+'PTRM input'!$P$123)*$P$7)-SUM($P673:Q673),(('PTRM input'!$P$157+'PTRM input'!$P$123)*$P$7)/A15taxstdlife))</f>
        <v>0</v>
      </c>
      <c r="S673" s="590">
        <f>IF(A15taxstdlife="n/a","n/a",IF(S$3&gt;(A15taxstdlife+$E673),(('PTRM input'!$P$157+'PTRM input'!$P$123)*$P$7)-SUM($P673:R673),(('PTRM input'!$P$157+'PTRM input'!$P$123)*$P$7)/A15taxstdlife))</f>
        <v>0</v>
      </c>
      <c r="T673" s="590">
        <f>IF(A15taxstdlife="n/a","n/a",IF(T$3&gt;(A15taxstdlife+$E673),(('PTRM input'!$P$157+'PTRM input'!$P$123)*$P$7)-SUM($P673:S673),(('PTRM input'!$P$157+'PTRM input'!$P$123)*$P$7)/A15taxstdlife))</f>
        <v>0</v>
      </c>
      <c r="U673" s="590">
        <f>IF(A15taxstdlife="n/a","n/a",IF(U$3&gt;(A15taxstdlife+$E673),(('PTRM input'!$P$157+'PTRM input'!$P$123)*$P$7)-SUM($P673:T673),(('PTRM input'!$P$157+'PTRM input'!$P$123)*$P$7)/A15taxstdlife))</f>
        <v>0</v>
      </c>
      <c r="V673" s="590">
        <f>IF(A15taxstdlife="n/a","n/a",IF(V$3&gt;(A15taxstdlife+$E673),(('PTRM input'!$P$157+'PTRM input'!$P$123)*$P$7)-SUM($P673:U673),(('PTRM input'!$P$157+'PTRM input'!$P$123)*$P$7)/A15taxstdlife))</f>
        <v>0</v>
      </c>
      <c r="W673" s="590">
        <f>IF(A15taxstdlife="n/a","n/a",IF(W$3&gt;(A15taxstdlife+$E673),(('PTRM input'!$P$157+'PTRM input'!$P$123)*$P$7)-SUM($P673:V673),(('PTRM input'!$P$157+'PTRM input'!$P$123)*$P$7)/A15taxstdlife))</f>
        <v>0</v>
      </c>
      <c r="X673" s="590">
        <f>IF(A15taxstdlife="n/a","n/a",IF(X$3&gt;(A15taxstdlife+$E673),(('PTRM input'!$P$157+'PTRM input'!$P$123)*$P$7)-SUM($P673:W673),(('PTRM input'!$P$157+'PTRM input'!$P$123)*$P$7)/A15taxstdlife))</f>
        <v>0</v>
      </c>
      <c r="Y673" s="590">
        <f>IF(A15taxstdlife="n/a","n/a",IF(Y$3&gt;(A15taxstdlife+$E673),(('PTRM input'!$P$157+'PTRM input'!$P$123)*$P$7)-SUM($P673:X673),(('PTRM input'!$P$157+'PTRM input'!$P$123)*$P$7)/A15taxstdlife))</f>
        <v>0</v>
      </c>
      <c r="Z673" s="590">
        <f>IF(A15taxstdlife="n/a","n/a",IF(Z$3&gt;(A15taxstdlife+$E673),(('PTRM input'!$P$157+'PTRM input'!$P$123)*$P$7)-SUM($P673:Y673),(('PTRM input'!$P$157+'PTRM input'!$P$123)*$P$7)/A15taxstdlife))</f>
        <v>0</v>
      </c>
      <c r="AA673" s="590">
        <f>IF(A15taxstdlife="n/a","n/a",IF(AA$3&gt;(A15taxstdlife+$E673),(('PTRM input'!$P$157+'PTRM input'!$P$123)*$P$7)-SUM($P673:Z673),(('PTRM input'!$P$157+'PTRM input'!$P$123)*$P$7)/A15taxstdlife))</f>
        <v>0</v>
      </c>
      <c r="AB673" s="590">
        <f>IF(A15taxstdlife="n/a","n/a",IF(AB$3&gt;(A15taxstdlife+$E673),(('PTRM input'!$P$157+'PTRM input'!$P$123)*$P$7)-SUM($P673:AA673),(('PTRM input'!$P$157+'PTRM input'!$P$123)*$P$7)/A15taxstdlife))</f>
        <v>0</v>
      </c>
      <c r="AC673" s="590">
        <f>IF(A15taxstdlife="n/a","n/a",IF(AC$3&gt;(A15taxstdlife+$E673),(('PTRM input'!$P$157+'PTRM input'!$P$123)*$P$7)-SUM($P673:AB673),(('PTRM input'!$P$157+'PTRM input'!$P$123)*$P$7)/A15taxstdlife))</f>
        <v>0</v>
      </c>
      <c r="AD673" s="590">
        <f>IF(A15taxstdlife="n/a","n/a",IF(AD$3&gt;(A15taxstdlife+$E673),(('PTRM input'!$P$157+'PTRM input'!$P$123)*$P$7)-SUM($P673:AC673),(('PTRM input'!$P$157+'PTRM input'!$P$123)*$P$7)/A15taxstdlife))</f>
        <v>0</v>
      </c>
      <c r="AE673" s="590">
        <f>IF(A15taxstdlife="n/a","n/a",IF(AE$3&gt;(A15taxstdlife+$E673),(('PTRM input'!$P$157+'PTRM input'!$P$123)*$P$7)-SUM($P673:AD673),(('PTRM input'!$P$157+'PTRM input'!$P$123)*$P$7)/A15taxstdlife))</f>
        <v>0</v>
      </c>
      <c r="AF673" s="590">
        <f>IF(A15taxstdlife="n/a","n/a",IF(AF$3&gt;(A15taxstdlife+$E673),(('PTRM input'!$P$157+'PTRM input'!$P$123)*$P$7)-SUM($P673:AE673),(('PTRM input'!$P$157+'PTRM input'!$P$123)*$P$7)/A15taxstdlife))</f>
        <v>0</v>
      </c>
      <c r="AG673" s="590">
        <f>IF(A15taxstdlife="n/a","n/a",IF(AG$3&gt;(A15taxstdlife+$E673),(('PTRM input'!$P$157+'PTRM input'!$P$123)*$P$7)-SUM($P673:AF673),(('PTRM input'!$P$157+'PTRM input'!$P$123)*$P$7)/A15taxstdlife))</f>
        <v>0</v>
      </c>
      <c r="AH673" s="590">
        <f>IF(A15taxstdlife="n/a","n/a",IF(AH$3&gt;(A15taxstdlife+$E673),(('PTRM input'!$P$157+'PTRM input'!$P$123)*$P$7)-SUM($P673:AG673),(('PTRM input'!$P$157+'PTRM input'!$P$123)*$P$7)/A15taxstdlife))</f>
        <v>0</v>
      </c>
      <c r="AI673" s="590">
        <f>IF(A15taxstdlife="n/a","n/a",IF(AI$3&gt;(A15taxstdlife+$E673),(('PTRM input'!$P$157+'PTRM input'!$P$123)*$P$7)-SUM($P673:AH673),(('PTRM input'!$P$157+'PTRM input'!$P$123)*$P$7)/A15taxstdlife))</f>
        <v>0</v>
      </c>
      <c r="AJ673" s="590">
        <f>IF(A15taxstdlife="n/a","n/a",IF(AJ$3&gt;(A15taxstdlife+$E673),(('PTRM input'!$P$157+'PTRM input'!$P$123)*$P$7)-SUM($P673:AI673),(('PTRM input'!$P$157+'PTRM input'!$P$123)*$P$7)/A15taxstdlife))</f>
        <v>0</v>
      </c>
      <c r="AK673" s="590">
        <f>IF(A15taxstdlife="n/a","n/a",IF(AK$3&gt;(A15taxstdlife+$E673),(('PTRM input'!$P$157+'PTRM input'!$P$123)*$P$7)-SUM($P673:AJ673),(('PTRM input'!$P$157+'PTRM input'!$P$123)*$P$7)/A15taxstdlife))</f>
        <v>0</v>
      </c>
      <c r="AL673" s="590">
        <f>IF(A15taxstdlife="n/a","n/a",IF(AL$3&gt;(A15taxstdlife+$E673),(('PTRM input'!$P$157+'PTRM input'!$P$123)*$P$7)-SUM($P673:AK673),(('PTRM input'!$P$157+'PTRM input'!$P$123)*$P$7)/A15taxstdlife))</f>
        <v>0</v>
      </c>
      <c r="AM673" s="590">
        <f>IF(A15taxstdlife="n/a","n/a",IF(AM$3&gt;(A15taxstdlife+$E673),(('PTRM input'!$P$157+'PTRM input'!$P$123)*$P$7)-SUM($P673:AL673),(('PTRM input'!$P$157+'PTRM input'!$P$123)*$P$7)/A15taxstdlife))</f>
        <v>0</v>
      </c>
      <c r="AN673" s="590">
        <f>IF(A15taxstdlife="n/a","n/a",IF(AN$3&gt;(A15taxstdlife+$E673),(('PTRM input'!$P$157+'PTRM input'!$P$123)*$P$7)-SUM($P673:AM673),(('PTRM input'!$P$157+'PTRM input'!$P$123)*$P$7)/A15taxstdlife))</f>
        <v>0</v>
      </c>
      <c r="AO673" s="590">
        <f>IF(A15taxstdlife="n/a","n/a",IF(AO$3&gt;(A15taxstdlife+$E673),(('PTRM input'!$P$157+'PTRM input'!$P$123)*$P$7)-SUM($P673:AN673),(('PTRM input'!$P$157+'PTRM input'!$P$123)*$P$7)/A15taxstdlife))</f>
        <v>0</v>
      </c>
      <c r="AP673" s="590">
        <f>IF(A15taxstdlife="n/a","n/a",IF(AP$3&gt;(A15taxstdlife+$E673),(('PTRM input'!$P$157+'PTRM input'!$P$123)*$P$7)-SUM($P673:AO673),(('PTRM input'!$P$157+'PTRM input'!$P$123)*$P$7)/A15taxstdlife))</f>
        <v>0</v>
      </c>
      <c r="AQ673" s="590">
        <f>IF(A15taxstdlife="n/a","n/a",IF(AQ$3&gt;(A15taxstdlife+$E673),(('PTRM input'!$P$157+'PTRM input'!$P$123)*$P$7)-SUM($P673:AP673),(('PTRM input'!$P$157+'PTRM input'!$P$123)*$P$7)/A15taxstdlife))</f>
        <v>0</v>
      </c>
      <c r="AR673" s="590">
        <f>IF(A15taxstdlife="n/a","n/a",IF(AR$3&gt;(A15taxstdlife+$E673),(('PTRM input'!$P$157+'PTRM input'!$P$123)*$P$7)-SUM($P673:AQ673),(('PTRM input'!$P$157+'PTRM input'!$P$123)*$P$7)/A15taxstdlife))</f>
        <v>0</v>
      </c>
      <c r="AS673" s="590">
        <f>IF(A15taxstdlife="n/a","n/a",IF(AS$3&gt;(A15taxstdlife+$E673),(('PTRM input'!$P$157+'PTRM input'!$P$123)*$P$7)-SUM($P673:AR673),(('PTRM input'!$P$157+'PTRM input'!$P$123)*$P$7)/A15taxstdlife))</f>
        <v>0</v>
      </c>
      <c r="AT673" s="590">
        <f>IF(A15taxstdlife="n/a","n/a",IF(AT$3&gt;(A15taxstdlife+$E673),(('PTRM input'!$P$157+'PTRM input'!$P$123)*$P$7)-SUM($P673:AS673),(('PTRM input'!$P$157+'PTRM input'!$P$123)*$P$7)/A15taxstdlife))</f>
        <v>0</v>
      </c>
      <c r="AU673" s="590">
        <f>IF(A15taxstdlife="n/a","n/a",IF(AU$3&gt;(A15taxstdlife+$E673),(('PTRM input'!$P$157+'PTRM input'!$P$123)*$P$7)-SUM($P673:AT673),(('PTRM input'!$P$157+'PTRM input'!$P$123)*$P$7)/A15taxstdlife))</f>
        <v>0</v>
      </c>
      <c r="AV673" s="590">
        <f>IF(A15taxstdlife="n/a","n/a",IF(AV$3&gt;(A15taxstdlife+$E673),(('PTRM input'!$P$157+'PTRM input'!$P$123)*$P$7)-SUM($P673:AU673),(('PTRM input'!$P$157+'PTRM input'!$P$123)*$P$7)/A15taxstdlife))</f>
        <v>0</v>
      </c>
      <c r="AW673" s="590">
        <f>IF(A15taxstdlife="n/a","n/a",IF(AW$3&gt;(A15taxstdlife+$E673),(('PTRM input'!$P$157+'PTRM input'!$P$123)*$P$7)-SUM($P673:AV673),(('PTRM input'!$P$157+'PTRM input'!$P$123)*$P$7)/A15taxstdlife))</f>
        <v>0</v>
      </c>
      <c r="AX673" s="590">
        <f>IF(A15taxstdlife="n/a","n/a",IF(AX$3&gt;(A15taxstdlife+$E673),(('PTRM input'!$P$157+'PTRM input'!$P$123)*$P$7)-SUM($P673:AW673),(('PTRM input'!$P$157+'PTRM input'!$P$123)*$P$7)/A15taxstdlife))</f>
        <v>0</v>
      </c>
      <c r="AY673" s="590">
        <f>IF(A15taxstdlife="n/a","n/a",IF(AY$3&gt;(A15taxstdlife+$E673),(('PTRM input'!$P$157+'PTRM input'!$P$123)*$P$7)-SUM($P673:AX673),(('PTRM input'!$P$157+'PTRM input'!$P$123)*$P$7)/A15taxstdlife))</f>
        <v>0</v>
      </c>
      <c r="AZ673" s="590">
        <f>IF(A15taxstdlife="n/a","n/a",IF(AZ$3&gt;(A15taxstdlife+$E673),(('PTRM input'!$P$157+'PTRM input'!$P$123)*$P$7)-SUM($P673:AY673),(('PTRM input'!$P$157+'PTRM input'!$P$123)*$P$7)/A15taxstdlife))</f>
        <v>0</v>
      </c>
      <c r="BA673" s="590">
        <f>IF(A15taxstdlife="n/a","n/a",IF(BA$3&gt;(A15taxstdlife+$E673),(('PTRM input'!$P$157+'PTRM input'!$P$123)*$P$7)-SUM($P673:AZ673),(('PTRM input'!$P$157+'PTRM input'!$P$123)*$P$7)/A15taxstdlife))</f>
        <v>0</v>
      </c>
      <c r="BB673" s="590">
        <f>IF(A15taxstdlife="n/a","n/a",IF(BB$3&gt;(A15taxstdlife+$E673),(('PTRM input'!$P$157+'PTRM input'!$P$123)*$P$7)-SUM($P673:BA673),(('PTRM input'!$P$157+'PTRM input'!$P$123)*$P$7)/A15taxstdlife))</f>
        <v>0</v>
      </c>
      <c r="BC673" s="590">
        <f>IF(A15taxstdlife="n/a","n/a",IF(BC$3&gt;(A15taxstdlife+$E673),(('PTRM input'!$P$157+'PTRM input'!$P$123)*$P$7)-SUM($P673:BB673),(('PTRM input'!$P$157+'PTRM input'!$P$123)*$P$7)/A15taxstdlife))</f>
        <v>0</v>
      </c>
      <c r="BD673" s="590">
        <f>IF(A15taxstdlife="n/a","n/a",IF(BD$3&gt;(A15taxstdlife+$E673),(('PTRM input'!$P$157+'PTRM input'!$P$123)*$P$7)-SUM($P673:BC673),(('PTRM input'!$P$157+'PTRM input'!$P$123)*$P$7)/A15taxstdlife))</f>
        <v>0</v>
      </c>
      <c r="BE673" s="590">
        <f>IF(A15taxstdlife="n/a","n/a",IF(BE$3&gt;(A15taxstdlife+$E673),(('PTRM input'!$P$157+'PTRM input'!$P$123)*$P$7)-SUM($P673:BD673),(('PTRM input'!$P$157+'PTRM input'!$P$123)*$P$7)/A15taxstdlife))</f>
        <v>0</v>
      </c>
      <c r="BF673" s="590">
        <f>IF(A15taxstdlife="n/a","n/a",IF(BF$3&gt;(A15taxstdlife+$E673),(('PTRM input'!$P$157+'PTRM input'!$P$123)*$P$7)-SUM($P673:BE673),(('PTRM input'!$P$157+'PTRM input'!$P$123)*$P$7)/A15taxstdlife))</f>
        <v>0</v>
      </c>
      <c r="BG673" s="590">
        <f>IF(A15taxstdlife="n/a","n/a",IF(BG$3&gt;(A15taxstdlife+$E673),(('PTRM input'!$P$157+'PTRM input'!$P$123)*$P$7)-SUM($P673:BF673),(('PTRM input'!$P$157+'PTRM input'!$P$123)*$P$7)/A15taxstdlife))</f>
        <v>0</v>
      </c>
      <c r="BH673" s="590">
        <f>IF(A15taxstdlife="n/a","n/a",IF(BH$3&gt;(A15taxstdlife+$E673),(('PTRM input'!$P$157+'PTRM input'!$P$123)*$P$7)-SUM($P673:BG673),(('PTRM input'!$P$157+'PTRM input'!$P$123)*$P$7)/A15taxstdlife))</f>
        <v>0</v>
      </c>
      <c r="BI673" s="590">
        <f>IF(A15taxstdlife="n/a","n/a",IF(BI$3&gt;(A15taxstdlife+$E673),(('PTRM input'!$P$157+'PTRM input'!$P$123)*$P$7)-SUM($P673:BH673),(('PTRM input'!$P$157+'PTRM input'!$P$123)*$P$7)/A15taxstdlife))</f>
        <v>0</v>
      </c>
      <c r="BJ673" s="240"/>
      <c r="BK673" s="240"/>
      <c r="BL673" s="240"/>
      <c r="BM673" s="240"/>
    </row>
    <row r="674" spans="1:65" s="4" customFormat="1" hidden="1" outlineLevel="1">
      <c r="A674" s="240"/>
      <c r="B674" s="240"/>
      <c r="C674" s="595">
        <f>Asset15</f>
        <v>0</v>
      </c>
      <c r="D674" s="240"/>
      <c r="E674" s="240"/>
      <c r="F674" s="596"/>
      <c r="G674" s="591">
        <f t="shared" ref="G674:AL674" si="134">SUM(G662:G673)</f>
        <v>0</v>
      </c>
      <c r="H674" s="591">
        <f t="shared" si="134"/>
        <v>0</v>
      </c>
      <c r="I674" s="591">
        <f t="shared" si="134"/>
        <v>0</v>
      </c>
      <c r="J674" s="591">
        <f t="shared" si="134"/>
        <v>0</v>
      </c>
      <c r="K674" s="591">
        <f t="shared" si="134"/>
        <v>0</v>
      </c>
      <c r="L674" s="591">
        <f t="shared" si="134"/>
        <v>0</v>
      </c>
      <c r="M674" s="591">
        <f t="shared" si="134"/>
        <v>0</v>
      </c>
      <c r="N674" s="591">
        <f t="shared" si="134"/>
        <v>0</v>
      </c>
      <c r="O674" s="591">
        <f t="shared" si="134"/>
        <v>0</v>
      </c>
      <c r="P674" s="591">
        <f t="shared" si="134"/>
        <v>0</v>
      </c>
      <c r="Q674" s="591">
        <f t="shared" si="134"/>
        <v>0</v>
      </c>
      <c r="R674" s="591">
        <f t="shared" si="134"/>
        <v>0</v>
      </c>
      <c r="S674" s="591">
        <f t="shared" si="134"/>
        <v>0</v>
      </c>
      <c r="T674" s="591">
        <f t="shared" si="134"/>
        <v>0</v>
      </c>
      <c r="U674" s="591">
        <f t="shared" si="134"/>
        <v>0</v>
      </c>
      <c r="V674" s="591">
        <f t="shared" si="134"/>
        <v>0</v>
      </c>
      <c r="W674" s="591">
        <f t="shared" si="134"/>
        <v>0</v>
      </c>
      <c r="X674" s="591">
        <f t="shared" si="134"/>
        <v>0</v>
      </c>
      <c r="Y674" s="591">
        <f t="shared" si="134"/>
        <v>0</v>
      </c>
      <c r="Z674" s="591">
        <f t="shared" si="134"/>
        <v>0</v>
      </c>
      <c r="AA674" s="591">
        <f t="shared" si="134"/>
        <v>0</v>
      </c>
      <c r="AB674" s="591">
        <f t="shared" si="134"/>
        <v>0</v>
      </c>
      <c r="AC674" s="591">
        <f t="shared" si="134"/>
        <v>0</v>
      </c>
      <c r="AD674" s="591">
        <f t="shared" si="134"/>
        <v>0</v>
      </c>
      <c r="AE674" s="591">
        <f t="shared" si="134"/>
        <v>0</v>
      </c>
      <c r="AF674" s="591">
        <f t="shared" si="134"/>
        <v>0</v>
      </c>
      <c r="AG674" s="591">
        <f t="shared" si="134"/>
        <v>0</v>
      </c>
      <c r="AH674" s="591">
        <f t="shared" si="134"/>
        <v>0</v>
      </c>
      <c r="AI674" s="591">
        <f t="shared" si="134"/>
        <v>0</v>
      </c>
      <c r="AJ674" s="591">
        <f t="shared" si="134"/>
        <v>0</v>
      </c>
      <c r="AK674" s="591">
        <f t="shared" si="134"/>
        <v>0</v>
      </c>
      <c r="AL674" s="591">
        <f t="shared" si="134"/>
        <v>0</v>
      </c>
      <c r="AM674" s="591">
        <f t="shared" ref="AM674:BI674" si="135">SUM(AM662:AM673)</f>
        <v>0</v>
      </c>
      <c r="AN674" s="591">
        <f t="shared" si="135"/>
        <v>0</v>
      </c>
      <c r="AO674" s="591">
        <f t="shared" si="135"/>
        <v>0</v>
      </c>
      <c r="AP674" s="591">
        <f t="shared" si="135"/>
        <v>0</v>
      </c>
      <c r="AQ674" s="591">
        <f t="shared" si="135"/>
        <v>0</v>
      </c>
      <c r="AR674" s="591">
        <f t="shared" si="135"/>
        <v>0</v>
      </c>
      <c r="AS674" s="591">
        <f t="shared" si="135"/>
        <v>0</v>
      </c>
      <c r="AT674" s="591">
        <f t="shared" si="135"/>
        <v>0</v>
      </c>
      <c r="AU674" s="591">
        <f t="shared" si="135"/>
        <v>0</v>
      </c>
      <c r="AV674" s="591">
        <f t="shared" si="135"/>
        <v>0</v>
      </c>
      <c r="AW674" s="591">
        <f t="shared" si="135"/>
        <v>0</v>
      </c>
      <c r="AX674" s="591">
        <f t="shared" si="135"/>
        <v>0</v>
      </c>
      <c r="AY674" s="591">
        <f t="shared" si="135"/>
        <v>0</v>
      </c>
      <c r="AZ674" s="591">
        <f t="shared" si="135"/>
        <v>0</v>
      </c>
      <c r="BA674" s="591">
        <f t="shared" si="135"/>
        <v>0</v>
      </c>
      <c r="BB674" s="591">
        <f t="shared" si="135"/>
        <v>0</v>
      </c>
      <c r="BC674" s="591">
        <f t="shared" si="135"/>
        <v>0</v>
      </c>
      <c r="BD674" s="591">
        <f t="shared" si="135"/>
        <v>0</v>
      </c>
      <c r="BE674" s="591">
        <f t="shared" si="135"/>
        <v>0</v>
      </c>
      <c r="BF674" s="591">
        <f t="shared" si="135"/>
        <v>0</v>
      </c>
      <c r="BG674" s="591">
        <f t="shared" si="135"/>
        <v>0</v>
      </c>
      <c r="BH674" s="591">
        <f t="shared" si="135"/>
        <v>0</v>
      </c>
      <c r="BI674" s="591">
        <f t="shared" si="135"/>
        <v>0</v>
      </c>
      <c r="BJ674" s="240"/>
      <c r="BK674" s="240"/>
      <c r="BL674" s="240"/>
      <c r="BM674" s="240"/>
    </row>
    <row r="675" spans="1:65" s="4" customFormat="1" hidden="1" outlineLevel="2">
      <c r="A675" s="240"/>
      <c r="B675" s="597">
        <f>C687</f>
        <v>0</v>
      </c>
      <c r="C675" s="488"/>
      <c r="D675" s="598" t="s">
        <v>58</v>
      </c>
      <c r="E675" s="488"/>
      <c r="F675" s="599"/>
      <c r="G675" s="592">
        <f>IF(G$3&gt;A16taxremlife,A16taxvalue-SUM($F675:F675),IF(A16taxremlife="N/A","n/a",A16taxvalue/A16taxremlife))</f>
        <v>0</v>
      </c>
      <c r="H675" s="592">
        <f>IF(H$3&gt;A16taxremlife,A16taxvalue-SUM($F675:G675),IF(A16taxremlife="N/A","n/a",A16taxvalue/A16taxremlife))</f>
        <v>0</v>
      </c>
      <c r="I675" s="592">
        <f>IF(I$3&gt;A16taxremlife,A16taxvalue-SUM($F675:H675),IF(A16taxremlife="N/A","n/a",A16taxvalue/A16taxremlife))</f>
        <v>0</v>
      </c>
      <c r="J675" s="592">
        <f>IF(J$3&gt;A16taxremlife,A16taxvalue-SUM($F675:I675),IF(A16taxremlife="N/A","n/a",A16taxvalue/A16taxremlife))</f>
        <v>0</v>
      </c>
      <c r="K675" s="592">
        <f>IF(K$3&gt;A16taxremlife,A16taxvalue-SUM($F675:J675),IF(A16taxremlife="N/A","n/a",A16taxvalue/A16taxremlife))</f>
        <v>0</v>
      </c>
      <c r="L675" s="592">
        <f>IF(L$3&gt;A16taxremlife,A16taxvalue-SUM($F675:K675),IF(A16taxremlife="N/A","n/a",A16taxvalue/A16taxremlife))</f>
        <v>0</v>
      </c>
      <c r="M675" s="592">
        <f>IF(M$3&gt;A16taxremlife,A16taxvalue-SUM($F675:L675),IF(A16taxremlife="N/A","n/a",A16taxvalue/A16taxremlife))</f>
        <v>0</v>
      </c>
      <c r="N675" s="592">
        <f>IF(N$3&gt;A16taxremlife,A16taxvalue-SUM($F675:M675),IF(A16taxremlife="N/A","n/a",A16taxvalue/A16taxremlife))</f>
        <v>0</v>
      </c>
      <c r="O675" s="592">
        <f>IF(O$3&gt;A16taxremlife,A16taxvalue-SUM($F675:N675),IF(A16taxremlife="N/A","n/a",A16taxvalue/A16taxremlife))</f>
        <v>0</v>
      </c>
      <c r="P675" s="592">
        <f>IF(P$3&gt;A16taxremlife,A16taxvalue-SUM($F675:O675),IF(A16taxremlife="N/A","n/a",A16taxvalue/A16taxremlife))</f>
        <v>0</v>
      </c>
      <c r="Q675" s="592">
        <f>IF(Q$3&gt;A16taxremlife,A16taxvalue-SUM($F675:P675),IF(A16taxremlife="N/A","n/a",A16taxvalue/A16taxremlife))</f>
        <v>0</v>
      </c>
      <c r="R675" s="592">
        <f>IF(R$3&gt;A16taxremlife,A16taxvalue-SUM($F675:Q675),IF(A16taxremlife="N/A","n/a",A16taxvalue/A16taxremlife))</f>
        <v>0</v>
      </c>
      <c r="S675" s="592">
        <f>IF(S$3&gt;A16taxremlife,A16taxvalue-SUM($F675:R675),IF(A16taxremlife="N/A","n/a",A16taxvalue/A16taxremlife))</f>
        <v>0</v>
      </c>
      <c r="T675" s="592">
        <f>IF(T$3&gt;A16taxremlife,A16taxvalue-SUM($F675:S675),IF(A16taxremlife="N/A","n/a",A16taxvalue/A16taxremlife))</f>
        <v>0</v>
      </c>
      <c r="U675" s="592">
        <f>IF(U$3&gt;A16taxremlife,A16taxvalue-SUM($F675:T675),IF(A16taxremlife="N/A","n/a",A16taxvalue/A16taxremlife))</f>
        <v>0</v>
      </c>
      <c r="V675" s="592">
        <f>IF(V$3&gt;A16taxremlife,A16taxvalue-SUM($F675:U675),IF(A16taxremlife="N/A","n/a",A16taxvalue/A16taxremlife))</f>
        <v>0</v>
      </c>
      <c r="W675" s="592">
        <f>IF(W$3&gt;A16taxremlife,A16taxvalue-SUM($F675:V675),IF(A16taxremlife="N/A","n/a",A16taxvalue/A16taxremlife))</f>
        <v>0</v>
      </c>
      <c r="X675" s="592">
        <f>IF(X$3&gt;A16taxremlife,A16taxvalue-SUM($F675:W675),IF(A16taxremlife="N/A","n/a",A16taxvalue/A16taxremlife))</f>
        <v>0</v>
      </c>
      <c r="Y675" s="592">
        <f>IF(Y$3&gt;A16taxremlife,A16taxvalue-SUM($F675:X675),IF(A16taxremlife="N/A","n/a",A16taxvalue/A16taxremlife))</f>
        <v>0</v>
      </c>
      <c r="Z675" s="592">
        <f>IF(Z$3&gt;A16taxremlife,A16taxvalue-SUM($F675:Y675),IF(A16taxremlife="N/A","n/a",A16taxvalue/A16taxremlife))</f>
        <v>0</v>
      </c>
      <c r="AA675" s="592">
        <f>IF(AA$3&gt;A16taxremlife,A16taxvalue-SUM($F675:Z675),IF(A16taxremlife="N/A","n/a",A16taxvalue/A16taxremlife))</f>
        <v>0</v>
      </c>
      <c r="AB675" s="592">
        <f>IF(AB$3&gt;A16taxremlife,A16taxvalue-SUM($F675:AA675),IF(A16taxremlife="N/A","n/a",A16taxvalue/A16taxremlife))</f>
        <v>0</v>
      </c>
      <c r="AC675" s="592">
        <f>IF(AC$3&gt;A16taxremlife,A16taxvalue-SUM($F675:AB675),IF(A16taxremlife="N/A","n/a",A16taxvalue/A16taxremlife))</f>
        <v>0</v>
      </c>
      <c r="AD675" s="592">
        <f>IF(AD$3&gt;A16taxremlife,A16taxvalue-SUM($F675:AC675),IF(A16taxremlife="N/A","n/a",A16taxvalue/A16taxremlife))</f>
        <v>0</v>
      </c>
      <c r="AE675" s="592">
        <f>IF(AE$3&gt;A16taxremlife,A16taxvalue-SUM($F675:AD675),IF(A16taxremlife="N/A","n/a",A16taxvalue/A16taxremlife))</f>
        <v>0</v>
      </c>
      <c r="AF675" s="592">
        <f>IF(AF$3&gt;A16taxremlife,A16taxvalue-SUM($F675:AE675),IF(A16taxremlife="N/A","n/a",A16taxvalue/A16taxremlife))</f>
        <v>0</v>
      </c>
      <c r="AG675" s="592">
        <f>IF(AG$3&gt;A16taxremlife,A16taxvalue-SUM($F675:AF675),IF(A16taxremlife="N/A","n/a",A16taxvalue/A16taxremlife))</f>
        <v>0</v>
      </c>
      <c r="AH675" s="592">
        <f>IF(AH$3&gt;A16taxremlife,A16taxvalue-SUM($F675:AG675),IF(A16taxremlife="N/A","n/a",A16taxvalue/A16taxremlife))</f>
        <v>0</v>
      </c>
      <c r="AI675" s="592">
        <f>IF(AI$3&gt;A16taxremlife,A16taxvalue-SUM($F675:AH675),IF(A16taxremlife="N/A","n/a",A16taxvalue/A16taxremlife))</f>
        <v>0</v>
      </c>
      <c r="AJ675" s="592">
        <f>IF(AJ$3&gt;A16taxremlife,A16taxvalue-SUM($F675:AI675),IF(A16taxremlife="N/A","n/a",A16taxvalue/A16taxremlife))</f>
        <v>0</v>
      </c>
      <c r="AK675" s="592">
        <f>IF(AK$3&gt;A16taxremlife,A16taxvalue-SUM($F675:AJ675),IF(A16taxremlife="N/A","n/a",A16taxvalue/A16taxremlife))</f>
        <v>0</v>
      </c>
      <c r="AL675" s="592">
        <f>IF(AL$3&gt;A16taxremlife,A16taxvalue-SUM($F675:AK675),IF(A16taxremlife="N/A","n/a",A16taxvalue/A16taxremlife))</f>
        <v>0</v>
      </c>
      <c r="AM675" s="592">
        <f>IF(AM$3&gt;A16taxremlife,A16taxvalue-SUM($F675:AL675),IF(A16taxremlife="N/A","n/a",A16taxvalue/A16taxremlife))</f>
        <v>0</v>
      </c>
      <c r="AN675" s="592">
        <f>IF(AN$3&gt;A16taxremlife,A16taxvalue-SUM($F675:AM675),IF(A16taxremlife="N/A","n/a",A16taxvalue/A16taxremlife))</f>
        <v>0</v>
      </c>
      <c r="AO675" s="592">
        <f>IF(AO$3&gt;A16taxremlife,A16taxvalue-SUM($F675:AN675),IF(A16taxremlife="N/A","n/a",A16taxvalue/A16taxremlife))</f>
        <v>0</v>
      </c>
      <c r="AP675" s="592">
        <f>IF(AP$3&gt;A16taxremlife,A16taxvalue-SUM($F675:AO675),IF(A16taxremlife="N/A","n/a",A16taxvalue/A16taxremlife))</f>
        <v>0</v>
      </c>
      <c r="AQ675" s="592">
        <f>IF(AQ$3&gt;A16taxremlife,A16taxvalue-SUM($F675:AP675),IF(A16taxremlife="N/A","n/a",A16taxvalue/A16taxremlife))</f>
        <v>0</v>
      </c>
      <c r="AR675" s="592">
        <f>IF(AR$3&gt;A16taxremlife,A16taxvalue-SUM($F675:AQ675),IF(A16taxremlife="N/A","n/a",A16taxvalue/A16taxremlife))</f>
        <v>0</v>
      </c>
      <c r="AS675" s="592">
        <f>IF(AS$3&gt;A16taxremlife,A16taxvalue-SUM($F675:AR675),IF(A16taxremlife="N/A","n/a",A16taxvalue/A16taxremlife))</f>
        <v>0</v>
      </c>
      <c r="AT675" s="592">
        <f>IF(AT$3&gt;A16taxremlife,A16taxvalue-SUM($F675:AS675),IF(A16taxremlife="N/A","n/a",A16taxvalue/A16taxremlife))</f>
        <v>0</v>
      </c>
      <c r="AU675" s="592">
        <f>IF(AU$3&gt;A16taxremlife,A16taxvalue-SUM($F675:AT675),IF(A16taxremlife="N/A","n/a",A16taxvalue/A16taxremlife))</f>
        <v>0</v>
      </c>
      <c r="AV675" s="592">
        <f>IF(AV$3&gt;A16taxremlife,A16taxvalue-SUM($F675:AU675),IF(A16taxremlife="N/A","n/a",A16taxvalue/A16taxremlife))</f>
        <v>0</v>
      </c>
      <c r="AW675" s="592">
        <f>IF(AW$3&gt;A16taxremlife,A16taxvalue-SUM($F675:AV675),IF(A16taxremlife="N/A","n/a",A16taxvalue/A16taxremlife))</f>
        <v>0</v>
      </c>
      <c r="AX675" s="592">
        <f>IF(AX$3&gt;A16taxremlife,A16taxvalue-SUM($F675:AW675),IF(A16taxremlife="N/A","n/a",A16taxvalue/A16taxremlife))</f>
        <v>0</v>
      </c>
      <c r="AY675" s="592">
        <f>IF(AY$3&gt;A16taxremlife,A16taxvalue-SUM($F675:AX675),IF(A16taxremlife="N/A","n/a",A16taxvalue/A16taxremlife))</f>
        <v>0</v>
      </c>
      <c r="AZ675" s="592">
        <f>IF(AZ$3&gt;A16taxremlife,A16taxvalue-SUM($F675:AY675),IF(A16taxremlife="N/A","n/a",A16taxvalue/A16taxremlife))</f>
        <v>0</v>
      </c>
      <c r="BA675" s="592">
        <f>IF(BA$3&gt;A16taxremlife,A16taxvalue-SUM($F675:AZ675),IF(A16taxremlife="N/A","n/a",A16taxvalue/A16taxremlife))</f>
        <v>0</v>
      </c>
      <c r="BB675" s="592">
        <f>IF(BB$3&gt;A16taxremlife,A16taxvalue-SUM($F675:BA675),IF(A16taxremlife="N/A","n/a",A16taxvalue/A16taxremlife))</f>
        <v>0</v>
      </c>
      <c r="BC675" s="592">
        <f>IF(BC$3&gt;A16taxremlife,A16taxvalue-SUM($F675:BB675),IF(A16taxremlife="N/A","n/a",A16taxvalue/A16taxremlife))</f>
        <v>0</v>
      </c>
      <c r="BD675" s="592">
        <f>IF(BD$3&gt;A16taxremlife,A16taxvalue-SUM($F675:BC675),IF(A16taxremlife="N/A","n/a",A16taxvalue/A16taxremlife))</f>
        <v>0</v>
      </c>
      <c r="BE675" s="592">
        <f>IF(BE$3&gt;A16taxremlife,A16taxvalue-SUM($F675:BD675),IF(A16taxremlife="N/A","n/a",A16taxvalue/A16taxremlife))</f>
        <v>0</v>
      </c>
      <c r="BF675" s="592">
        <f>IF(BF$3&gt;A16taxremlife,A16taxvalue-SUM($F675:BE675),IF(A16taxremlife="N/A","n/a",A16taxvalue/A16taxremlife))</f>
        <v>0</v>
      </c>
      <c r="BG675" s="592">
        <f>IF(BG$3&gt;A16taxremlife,A16taxvalue-SUM($F675:BF675),IF(A16taxremlife="N/A","n/a",A16taxvalue/A16taxremlife))</f>
        <v>0</v>
      </c>
      <c r="BH675" s="592">
        <f>IF(BH$3&gt;A16taxremlife,A16taxvalue-SUM($F675:BG675),IF(A16taxremlife="N/A","n/a",A16taxvalue/A16taxremlife))</f>
        <v>0</v>
      </c>
      <c r="BI675" s="592">
        <f>IF(BI$3&gt;A16taxremlife,A16taxvalue-SUM($F675:BH675),IF(A16taxremlife="N/A","n/a",A16taxvalue/A16taxremlife))</f>
        <v>0</v>
      </c>
      <c r="BJ675" s="240"/>
      <c r="BK675" s="240"/>
      <c r="BL675" s="240"/>
      <c r="BM675" s="240"/>
    </row>
    <row r="676" spans="1:65" s="4" customFormat="1" ht="12.75" hidden="1" customHeight="1" outlineLevel="2">
      <c r="A676" s="240"/>
      <c r="B676" s="240"/>
      <c r="C676" s="595"/>
      <c r="D676" s="1618" t="s">
        <v>357</v>
      </c>
      <c r="E676" s="169">
        <v>0</v>
      </c>
      <c r="F676" s="35"/>
      <c r="G676" s="107"/>
      <c r="H676" s="107"/>
      <c r="I676" s="107"/>
      <c r="J676" s="107"/>
      <c r="K676" s="107"/>
      <c r="L676" s="107"/>
      <c r="M676" s="107"/>
      <c r="N676" s="107"/>
      <c r="O676" s="107"/>
      <c r="P676" s="107"/>
      <c r="Q676" s="590"/>
      <c r="R676" s="590"/>
      <c r="S676" s="590"/>
      <c r="T676" s="590"/>
      <c r="U676" s="590"/>
      <c r="V676" s="590"/>
      <c r="W676" s="590"/>
      <c r="X676" s="590"/>
      <c r="Y676" s="590"/>
      <c r="Z676" s="590"/>
      <c r="AA676" s="590"/>
      <c r="AB676" s="590"/>
      <c r="AC676" s="590"/>
      <c r="AD676" s="590"/>
      <c r="AE676" s="590"/>
      <c r="AF676" s="590"/>
      <c r="AG676" s="590"/>
      <c r="AH676" s="590"/>
      <c r="AI676" s="590"/>
      <c r="AJ676" s="590"/>
      <c r="AK676" s="590"/>
      <c r="AL676" s="590"/>
      <c r="AM676" s="590"/>
      <c r="AN676" s="590"/>
      <c r="AO676" s="590"/>
      <c r="AP676" s="590"/>
      <c r="AQ676" s="590"/>
      <c r="AR676" s="590"/>
      <c r="AS676" s="590"/>
      <c r="AT676" s="590"/>
      <c r="AU676" s="590"/>
      <c r="AV676" s="590"/>
      <c r="AW676" s="590"/>
      <c r="AX676" s="590"/>
      <c r="AY676" s="590"/>
      <c r="AZ676" s="590"/>
      <c r="BA676" s="590"/>
      <c r="BB676" s="590"/>
      <c r="BC676" s="590"/>
      <c r="BD676" s="590"/>
      <c r="BE676" s="590"/>
      <c r="BF676" s="590"/>
      <c r="BG676" s="590"/>
      <c r="BH676" s="590"/>
      <c r="BI676" s="590"/>
      <c r="BJ676" s="240"/>
      <c r="BK676" s="240"/>
      <c r="BL676" s="240"/>
      <c r="BM676" s="240"/>
    </row>
    <row r="677" spans="1:65" s="4" customFormat="1" hidden="1" outlineLevel="2">
      <c r="A677" s="240"/>
      <c r="B677" s="240"/>
      <c r="C677" s="595"/>
      <c r="D677" s="1618"/>
      <c r="E677" s="169">
        <v>1</v>
      </c>
      <c r="F677" s="35"/>
      <c r="G677" s="183"/>
      <c r="H677" s="107">
        <f>IF(A16taxstdlife="n/a","n/a",IF(H$3&gt;(A16taxstdlife+$E677),(('PTRM input'!$G$158+'PTRM input'!$G$124)*$G$7)-SUM($G677:G677),(('PTRM input'!$G$158+'PTRM input'!$G$124)*$G$7)/A16taxstdlife))</f>
        <v>0</v>
      </c>
      <c r="I677" s="107">
        <f>IF(A16taxstdlife="n/a","n/a",IF(I$3&gt;(A16taxstdlife+$E677),(('PTRM input'!$G$158+'PTRM input'!$G$124)*$G$7)-SUM($G677:H677),(('PTRM input'!$G$158+'PTRM input'!$G$124)*$G$7)/A16taxstdlife))</f>
        <v>0</v>
      </c>
      <c r="J677" s="107">
        <f>IF(A16taxstdlife="n/a","n/a",IF(J$3&gt;(A16taxstdlife+$E677),(('PTRM input'!$G$158+'PTRM input'!$G$124)*$G$7)-SUM($G677:I677),(('PTRM input'!$G$158+'PTRM input'!$G$124)*$G$7)/A16taxstdlife))</f>
        <v>0</v>
      </c>
      <c r="K677" s="107">
        <f>IF(A16taxstdlife="n/a","n/a",IF(K$3&gt;(A16taxstdlife+$E677),(('PTRM input'!$G$158+'PTRM input'!$G$124)*$G$7)-SUM($G677:J677),(('PTRM input'!$G$158+'PTRM input'!$G$124)*$G$7)/A16taxstdlife))</f>
        <v>0</v>
      </c>
      <c r="L677" s="107">
        <f>IF(A16taxstdlife="n/a","n/a",IF(L$3&gt;(A16taxstdlife+$E677),(('PTRM input'!$G$158+'PTRM input'!$G$124)*$G$7)-SUM($G677:K677),(('PTRM input'!$G$158+'PTRM input'!$G$124)*$G$7)/A16taxstdlife))</f>
        <v>0</v>
      </c>
      <c r="M677" s="107">
        <f>IF(A16taxstdlife="n/a","n/a",IF(M$3&gt;(A16taxstdlife+$E677),(('PTRM input'!$G$158+'PTRM input'!$G$124)*$G$7)-SUM($G677:L677),(('PTRM input'!$G$158+'PTRM input'!$G$124)*$G$7)/A16taxstdlife))</f>
        <v>0</v>
      </c>
      <c r="N677" s="107">
        <f>IF(A16taxstdlife="n/a","n/a",IF(N$3&gt;(A16taxstdlife+$E677),(('PTRM input'!$G$158+'PTRM input'!$G$124)*$G$7)-SUM($G677:M677),(('PTRM input'!$G$158+'PTRM input'!$G$124)*$G$7)/A16taxstdlife))</f>
        <v>0</v>
      </c>
      <c r="O677" s="107">
        <f>IF(A16taxstdlife="n/a","n/a",IF(O$3&gt;(A16taxstdlife+$E677),(('PTRM input'!$G$158+'PTRM input'!$G$124)*$G$7)-SUM($G677:N677),(('PTRM input'!$G$158+'PTRM input'!$G$124)*$G$7)/A16taxstdlife))</f>
        <v>0</v>
      </c>
      <c r="P677" s="107">
        <f>IF(A16taxstdlife="n/a","n/a",IF(P$3&gt;(A16taxstdlife+$E677),(('PTRM input'!$G$158+'PTRM input'!$G$124)*$G$7)-SUM($G677:O677),(('PTRM input'!$G$158+'PTRM input'!$G$124)*$G$7)/A16taxstdlife))</f>
        <v>0</v>
      </c>
      <c r="Q677" s="590">
        <f>IF(A16taxstdlife="n/a","n/a",IF(Q$3&gt;(A16taxstdlife+$E677),(('PTRM input'!$G$158+'PTRM input'!$G$124)*$G$7)-SUM($G677:P677),(('PTRM input'!$G$158+'PTRM input'!$G$124)*$G$7)/A16taxstdlife))</f>
        <v>0</v>
      </c>
      <c r="R677" s="590">
        <f>IF(A16taxstdlife="n/a","n/a",IF(R$3&gt;(A16taxstdlife+$E677),(('PTRM input'!$G$158+'PTRM input'!$G$124)*$G$7)-SUM($G677:Q677),(('PTRM input'!$G$158+'PTRM input'!$G$124)*$G$7)/A16taxstdlife))</f>
        <v>0</v>
      </c>
      <c r="S677" s="590">
        <f>IF(A16taxstdlife="n/a","n/a",IF(S$3&gt;(A16taxstdlife+$E677),(('PTRM input'!$G$158+'PTRM input'!$G$124)*$G$7)-SUM($G677:R677),(('PTRM input'!$G$158+'PTRM input'!$G$124)*$G$7)/A16taxstdlife))</f>
        <v>0</v>
      </c>
      <c r="T677" s="590">
        <f>IF(A16taxstdlife="n/a","n/a",IF(T$3&gt;(A16taxstdlife+$E677),(('PTRM input'!$G$158+'PTRM input'!$G$124)*$G$7)-SUM($G677:S677),(('PTRM input'!$G$158+'PTRM input'!$G$124)*$G$7)/A16taxstdlife))</f>
        <v>0</v>
      </c>
      <c r="U677" s="590">
        <f>IF(A16taxstdlife="n/a","n/a",IF(U$3&gt;(A16taxstdlife+$E677),(('PTRM input'!$G$158+'PTRM input'!$G$124)*$G$7)-SUM($G677:T677),(('PTRM input'!$G$158+'PTRM input'!$G$124)*$G$7)/A16taxstdlife))</f>
        <v>0</v>
      </c>
      <c r="V677" s="590">
        <f>IF(A16taxstdlife="n/a","n/a",IF(V$3&gt;(A16taxstdlife+$E677),(('PTRM input'!$G$158+'PTRM input'!$G$124)*$G$7)-SUM($G677:U677),(('PTRM input'!$G$158+'PTRM input'!$G$124)*$G$7)/A16taxstdlife))</f>
        <v>0</v>
      </c>
      <c r="W677" s="590">
        <f>IF(A16taxstdlife="n/a","n/a",IF(W$3&gt;(A16taxstdlife+$E677),(('PTRM input'!$G$158+'PTRM input'!$G$124)*$G$7)-SUM($G677:V677),(('PTRM input'!$G$158+'PTRM input'!$G$124)*$G$7)/A16taxstdlife))</f>
        <v>0</v>
      </c>
      <c r="X677" s="590">
        <f>IF(A16taxstdlife="n/a","n/a",IF(X$3&gt;(A16taxstdlife+$E677),(('PTRM input'!$G$158+'PTRM input'!$G$124)*$G$7)-SUM($G677:W677),(('PTRM input'!$G$158+'PTRM input'!$G$124)*$G$7)/A16taxstdlife))</f>
        <v>0</v>
      </c>
      <c r="Y677" s="590">
        <f>IF(A16taxstdlife="n/a","n/a",IF(Y$3&gt;(A16taxstdlife+$E677),(('PTRM input'!$G$158+'PTRM input'!$G$124)*$G$7)-SUM($G677:X677),(('PTRM input'!$G$158+'PTRM input'!$G$124)*$G$7)/A16taxstdlife))</f>
        <v>0</v>
      </c>
      <c r="Z677" s="590">
        <f>IF(A16taxstdlife="n/a","n/a",IF(Z$3&gt;(A16taxstdlife+$E677),(('PTRM input'!$G$158+'PTRM input'!$G$124)*$G$7)-SUM($G677:Y677),(('PTRM input'!$G$158+'PTRM input'!$G$124)*$G$7)/A16taxstdlife))</f>
        <v>0</v>
      </c>
      <c r="AA677" s="590">
        <f>IF(A16taxstdlife="n/a","n/a",IF(AA$3&gt;(A16taxstdlife+$E677),(('PTRM input'!$G$158+'PTRM input'!$G$124)*$G$7)-SUM($G677:Z677),(('PTRM input'!$G$158+'PTRM input'!$G$124)*$G$7)/A16taxstdlife))</f>
        <v>0</v>
      </c>
      <c r="AB677" s="590">
        <f>IF(A16taxstdlife="n/a","n/a",IF(AB$3&gt;(A16taxstdlife+$E677),(('PTRM input'!$G$158+'PTRM input'!$G$124)*$G$7)-SUM($G677:AA677),(('PTRM input'!$G$158+'PTRM input'!$G$124)*$G$7)/A16taxstdlife))</f>
        <v>0</v>
      </c>
      <c r="AC677" s="590">
        <f>IF(A16taxstdlife="n/a","n/a",IF(AC$3&gt;(A16taxstdlife+$E677),(('PTRM input'!$G$158+'PTRM input'!$G$124)*$G$7)-SUM($G677:AB677),(('PTRM input'!$G$158+'PTRM input'!$G$124)*$G$7)/A16taxstdlife))</f>
        <v>0</v>
      </c>
      <c r="AD677" s="590">
        <f>IF(A16taxstdlife="n/a","n/a",IF(AD$3&gt;(A16taxstdlife+$E677),(('PTRM input'!$G$158+'PTRM input'!$G$124)*$G$7)-SUM($G677:AC677),(('PTRM input'!$G$158+'PTRM input'!$G$124)*$G$7)/A16taxstdlife))</f>
        <v>0</v>
      </c>
      <c r="AE677" s="590">
        <f>IF(A16taxstdlife="n/a","n/a",IF(AE$3&gt;(A16taxstdlife+$E677),(('PTRM input'!$G$158+'PTRM input'!$G$124)*$G$7)-SUM($G677:AD677),(('PTRM input'!$G$158+'PTRM input'!$G$124)*$G$7)/A16taxstdlife))</f>
        <v>0</v>
      </c>
      <c r="AF677" s="590">
        <f>IF(A16taxstdlife="n/a","n/a",IF(AF$3&gt;(A16taxstdlife+$E677),(('PTRM input'!$G$158+'PTRM input'!$G$124)*$G$7)-SUM($G677:AE677),(('PTRM input'!$G$158+'PTRM input'!$G$124)*$G$7)/A16taxstdlife))</f>
        <v>0</v>
      </c>
      <c r="AG677" s="590">
        <f>IF(A16taxstdlife="n/a","n/a",IF(AG$3&gt;(A16taxstdlife+$E677),(('PTRM input'!$G$158+'PTRM input'!$G$124)*$G$7)-SUM($G677:AF677),(('PTRM input'!$G$158+'PTRM input'!$G$124)*$G$7)/A16taxstdlife))</f>
        <v>0</v>
      </c>
      <c r="AH677" s="590">
        <f>IF(A16taxstdlife="n/a","n/a",IF(AH$3&gt;(A16taxstdlife+$E677),(('PTRM input'!$G$158+'PTRM input'!$G$124)*$G$7)-SUM($G677:AG677),(('PTRM input'!$G$158+'PTRM input'!$G$124)*$G$7)/A16taxstdlife))</f>
        <v>0</v>
      </c>
      <c r="AI677" s="590">
        <f>IF(A16taxstdlife="n/a","n/a",IF(AI$3&gt;(A16taxstdlife+$E677),(('PTRM input'!$G$158+'PTRM input'!$G$124)*$G$7)-SUM($G677:AH677),(('PTRM input'!$G$158+'PTRM input'!$G$124)*$G$7)/A16taxstdlife))</f>
        <v>0</v>
      </c>
      <c r="AJ677" s="590">
        <f>IF(A16taxstdlife="n/a","n/a",IF(AJ$3&gt;(A16taxstdlife+$E677),(('PTRM input'!$G$158+'PTRM input'!$G$124)*$G$7)-SUM($G677:AI677),(('PTRM input'!$G$158+'PTRM input'!$G$124)*$G$7)/A16taxstdlife))</f>
        <v>0</v>
      </c>
      <c r="AK677" s="590">
        <f>IF(A16taxstdlife="n/a","n/a",IF(AK$3&gt;(A16taxstdlife+$E677),(('PTRM input'!$G$158+'PTRM input'!$G$124)*$G$7)-SUM($G677:AJ677),(('PTRM input'!$G$158+'PTRM input'!$G$124)*$G$7)/A16taxstdlife))</f>
        <v>0</v>
      </c>
      <c r="AL677" s="590">
        <f>IF(A16taxstdlife="n/a","n/a",IF(AL$3&gt;(A16taxstdlife+$E677),(('PTRM input'!$G$158+'PTRM input'!$G$124)*$G$7)-SUM($G677:AK677),(('PTRM input'!$G$158+'PTRM input'!$G$124)*$G$7)/A16taxstdlife))</f>
        <v>0</v>
      </c>
      <c r="AM677" s="590">
        <f>IF(A16taxstdlife="n/a","n/a",IF(AM$3&gt;(A16taxstdlife+$E677),(('PTRM input'!$G$158+'PTRM input'!$G$124)*$G$7)-SUM($G677:AL677),(('PTRM input'!$G$158+'PTRM input'!$G$124)*$G$7)/A16taxstdlife))</f>
        <v>0</v>
      </c>
      <c r="AN677" s="590">
        <f>IF(A16taxstdlife="n/a","n/a",IF(AN$3&gt;(A16taxstdlife+$E677),(('PTRM input'!$G$158+'PTRM input'!$G$124)*$G$7)-SUM($G677:AM677),(('PTRM input'!$G$158+'PTRM input'!$G$124)*$G$7)/A16taxstdlife))</f>
        <v>0</v>
      </c>
      <c r="AO677" s="590">
        <f>IF(A16taxstdlife="n/a","n/a",IF(AO$3&gt;(A16taxstdlife+$E677),(('PTRM input'!$G$158+'PTRM input'!$G$124)*$G$7)-SUM($G677:AN677),(('PTRM input'!$G$158+'PTRM input'!$G$124)*$G$7)/A16taxstdlife))</f>
        <v>0</v>
      </c>
      <c r="AP677" s="590">
        <f>IF(A16taxstdlife="n/a","n/a",IF(AP$3&gt;(A16taxstdlife+$E677),(('PTRM input'!$G$158+'PTRM input'!$G$124)*$G$7)-SUM($G677:AO677),(('PTRM input'!$G$158+'PTRM input'!$G$124)*$G$7)/A16taxstdlife))</f>
        <v>0</v>
      </c>
      <c r="AQ677" s="590">
        <f>IF(A16taxstdlife="n/a","n/a",IF(AQ$3&gt;(A16taxstdlife+$E677),(('PTRM input'!$G$158+'PTRM input'!$G$124)*$G$7)-SUM($G677:AP677),(('PTRM input'!$G$158+'PTRM input'!$G$124)*$G$7)/A16taxstdlife))</f>
        <v>0</v>
      </c>
      <c r="AR677" s="590">
        <f>IF(A16taxstdlife="n/a","n/a",IF(AR$3&gt;(A16taxstdlife+$E677),(('PTRM input'!$G$158+'PTRM input'!$G$124)*$G$7)-SUM($G677:AQ677),(('PTRM input'!$G$158+'PTRM input'!$G$124)*$G$7)/A16taxstdlife))</f>
        <v>0</v>
      </c>
      <c r="AS677" s="590">
        <f>IF(A16taxstdlife="n/a","n/a",IF(AS$3&gt;(A16taxstdlife+$E677),(('PTRM input'!$G$158+'PTRM input'!$G$124)*$G$7)-SUM($G677:AR677),(('PTRM input'!$G$158+'PTRM input'!$G$124)*$G$7)/A16taxstdlife))</f>
        <v>0</v>
      </c>
      <c r="AT677" s="590">
        <f>IF(A16taxstdlife="n/a","n/a",IF(AT$3&gt;(A16taxstdlife+$E677),(('PTRM input'!$G$158+'PTRM input'!$G$124)*$G$7)-SUM($G677:AS677),(('PTRM input'!$G$158+'PTRM input'!$G$124)*$G$7)/A16taxstdlife))</f>
        <v>0</v>
      </c>
      <c r="AU677" s="590">
        <f>IF(A16taxstdlife="n/a","n/a",IF(AU$3&gt;(A16taxstdlife+$E677),(('PTRM input'!$G$158+'PTRM input'!$G$124)*$G$7)-SUM($G677:AT677),(('PTRM input'!$G$158+'PTRM input'!$G$124)*$G$7)/A16taxstdlife))</f>
        <v>0</v>
      </c>
      <c r="AV677" s="590">
        <f>IF(A16taxstdlife="n/a","n/a",IF(AV$3&gt;(A16taxstdlife+$E677),(('PTRM input'!$G$158+'PTRM input'!$G$124)*$G$7)-SUM($G677:AU677),(('PTRM input'!$G$158+'PTRM input'!$G$124)*$G$7)/A16taxstdlife))</f>
        <v>0</v>
      </c>
      <c r="AW677" s="590">
        <f>IF(A16taxstdlife="n/a","n/a",IF(AW$3&gt;(A16taxstdlife+$E677),(('PTRM input'!$G$158+'PTRM input'!$G$124)*$G$7)-SUM($G677:AV677),(('PTRM input'!$G$158+'PTRM input'!$G$124)*$G$7)/A16taxstdlife))</f>
        <v>0</v>
      </c>
      <c r="AX677" s="590">
        <f>IF(A16taxstdlife="n/a","n/a",IF(AX$3&gt;(A16taxstdlife+$E677),(('PTRM input'!$G$158+'PTRM input'!$G$124)*$G$7)-SUM($G677:AW677),(('PTRM input'!$G$158+'PTRM input'!$G$124)*$G$7)/A16taxstdlife))</f>
        <v>0</v>
      </c>
      <c r="AY677" s="590">
        <f>IF(A16taxstdlife="n/a","n/a",IF(AY$3&gt;(A16taxstdlife+$E677),(('PTRM input'!$G$158+'PTRM input'!$G$124)*$G$7)-SUM($G677:AX677),(('PTRM input'!$G$158+'PTRM input'!$G$124)*$G$7)/A16taxstdlife))</f>
        <v>0</v>
      </c>
      <c r="AZ677" s="590">
        <f>IF(A16taxstdlife="n/a","n/a",IF(AZ$3&gt;(A16taxstdlife+$E677),(('PTRM input'!$G$158+'PTRM input'!$G$124)*$G$7)-SUM($G677:AY677),(('PTRM input'!$G$158+'PTRM input'!$G$124)*$G$7)/A16taxstdlife))</f>
        <v>0</v>
      </c>
      <c r="BA677" s="590">
        <f>IF(A16taxstdlife="n/a","n/a",IF(BA$3&gt;(A16taxstdlife+$E677),(('PTRM input'!$G$158+'PTRM input'!$G$124)*$G$7)-SUM($G677:AZ677),(('PTRM input'!$G$158+'PTRM input'!$G$124)*$G$7)/A16taxstdlife))</f>
        <v>0</v>
      </c>
      <c r="BB677" s="590">
        <f>IF(A16taxstdlife="n/a","n/a",IF(BB$3&gt;(A16taxstdlife+$E677),(('PTRM input'!$G$158+'PTRM input'!$G$124)*$G$7)-SUM($G677:BA677),(('PTRM input'!$G$158+'PTRM input'!$G$124)*$G$7)/A16taxstdlife))</f>
        <v>0</v>
      </c>
      <c r="BC677" s="590">
        <f>IF(A16taxstdlife="n/a","n/a",IF(BC$3&gt;(A16taxstdlife+$E677),(('PTRM input'!$G$158+'PTRM input'!$G$124)*$G$7)-SUM($G677:BB677),(('PTRM input'!$G$158+'PTRM input'!$G$124)*$G$7)/A16taxstdlife))</f>
        <v>0</v>
      </c>
      <c r="BD677" s="590">
        <f>IF(A16taxstdlife="n/a","n/a",IF(BD$3&gt;(A16taxstdlife+$E677),(('PTRM input'!$G$158+'PTRM input'!$G$124)*$G$7)-SUM($G677:BC677),(('PTRM input'!$G$158+'PTRM input'!$G$124)*$G$7)/A16taxstdlife))</f>
        <v>0</v>
      </c>
      <c r="BE677" s="590">
        <f>IF(A16taxstdlife="n/a","n/a",IF(BE$3&gt;(A16taxstdlife+$E677),(('PTRM input'!$G$158+'PTRM input'!$G$124)*$G$7)-SUM($G677:BD677),(('PTRM input'!$G$158+'PTRM input'!$G$124)*$G$7)/A16taxstdlife))</f>
        <v>0</v>
      </c>
      <c r="BF677" s="590">
        <f>IF(A16taxstdlife="n/a","n/a",IF(BF$3&gt;(A16taxstdlife+$E677),(('PTRM input'!$G$158+'PTRM input'!$G$124)*$G$7)-SUM($G677:BE677),(('PTRM input'!$G$158+'PTRM input'!$G$124)*$G$7)/A16taxstdlife))</f>
        <v>0</v>
      </c>
      <c r="BG677" s="590">
        <f>IF(A16taxstdlife="n/a","n/a",IF(BG$3&gt;(A16taxstdlife+$E677),(('PTRM input'!$G$158+'PTRM input'!$G$124)*$G$7)-SUM($G677:BF677),(('PTRM input'!$G$158+'PTRM input'!$G$124)*$G$7)/A16taxstdlife))</f>
        <v>0</v>
      </c>
      <c r="BH677" s="590">
        <f>IF(A16taxstdlife="n/a","n/a",IF(BH$3&gt;(A16taxstdlife+$E677),(('PTRM input'!$G$158+'PTRM input'!$G$124)*$G$7)-SUM($G677:BG677),(('PTRM input'!$G$158+'PTRM input'!$G$124)*$G$7)/A16taxstdlife))</f>
        <v>0</v>
      </c>
      <c r="BI677" s="590">
        <f>IF(A16taxstdlife="n/a","n/a",IF(BI$3&gt;(A16taxstdlife+$E677),(('PTRM input'!$G$158+'PTRM input'!$G$124)*$G$7)-SUM($G677:BH677),(('PTRM input'!$G$158+'PTRM input'!$G$124)*$G$7)/A16taxstdlife))</f>
        <v>0</v>
      </c>
      <c r="BJ677" s="240"/>
      <c r="BK677" s="240"/>
      <c r="BL677" s="240"/>
      <c r="BM677" s="240"/>
    </row>
    <row r="678" spans="1:65" s="4" customFormat="1" hidden="1" outlineLevel="2">
      <c r="A678" s="240"/>
      <c r="B678" s="240"/>
      <c r="C678" s="595"/>
      <c r="D678" s="1618"/>
      <c r="E678" s="169">
        <v>2</v>
      </c>
      <c r="F678" s="35"/>
      <c r="G678" s="184"/>
      <c r="H678" s="185"/>
      <c r="I678" s="107">
        <f>IF(A16taxstdlife="n/a","n/a",IF(I$3&gt;(A16taxstdlife+$E678),(('PTRM input'!$H$158+'PTRM input'!$H$124)*$H$7)-SUM($H678:H678),(('PTRM input'!$H$158+'PTRM input'!$H$124)*$H$7)/A16taxstdlife))</f>
        <v>0</v>
      </c>
      <c r="J678" s="107">
        <f>IF(A16taxstdlife="n/a","n/a",IF(J$3&gt;(A16taxstdlife+$E678),(('PTRM input'!$H$158+'PTRM input'!$H$124)*$H$7)-SUM($H678:I678),(('PTRM input'!$H$158+'PTRM input'!$H$124)*$H$7)/A16taxstdlife))</f>
        <v>0</v>
      </c>
      <c r="K678" s="107">
        <f>IF(A16taxstdlife="n/a","n/a",IF(K$3&gt;(A16taxstdlife+$E678),(('PTRM input'!$H$158+'PTRM input'!$H$124)*$H$7)-SUM($H678:J678),(('PTRM input'!$H$158+'PTRM input'!$H$124)*$H$7)/A16taxstdlife))</f>
        <v>0</v>
      </c>
      <c r="L678" s="107">
        <f>IF(A16taxstdlife="n/a","n/a",IF(L$3&gt;(A16taxstdlife+$E678),(('PTRM input'!$H$158+'PTRM input'!$H$124)*$H$7)-SUM($H678:K678),(('PTRM input'!$H$158+'PTRM input'!$H$124)*$H$7)/A16taxstdlife))</f>
        <v>0</v>
      </c>
      <c r="M678" s="107">
        <f>IF(A16taxstdlife="n/a","n/a",IF(M$3&gt;(A16taxstdlife+$E678),(('PTRM input'!$H$158+'PTRM input'!$H$124)*$H$7)-SUM($H678:L678),(('PTRM input'!$H$158+'PTRM input'!$H$124)*$H$7)/A16taxstdlife))</f>
        <v>0</v>
      </c>
      <c r="N678" s="107">
        <f>IF(A16taxstdlife="n/a","n/a",IF(N$3&gt;(A16taxstdlife+$E678),(('PTRM input'!$H$158+'PTRM input'!$H$124)*$H$7)-SUM($H678:M678),(('PTRM input'!$H$158+'PTRM input'!$H$124)*$H$7)/A16taxstdlife))</f>
        <v>0</v>
      </c>
      <c r="O678" s="107">
        <f>IF(A16taxstdlife="n/a","n/a",IF(O$3&gt;(A16taxstdlife+$E678),(('PTRM input'!$H$158+'PTRM input'!$H$124)*$H$7)-SUM($H678:N678),(('PTRM input'!$H$158+'PTRM input'!$H$124)*$H$7)/A16taxstdlife))</f>
        <v>0</v>
      </c>
      <c r="P678" s="107">
        <f>IF(A16taxstdlife="n/a","n/a",IF(P$3&gt;(A16taxstdlife+$E678),(('PTRM input'!$H$158+'PTRM input'!$H$124)*$H$7)-SUM($H678:O678),(('PTRM input'!$H$158+'PTRM input'!$H$124)*$H$7)/A16taxstdlife))</f>
        <v>0</v>
      </c>
      <c r="Q678" s="590">
        <f>IF(A16taxstdlife="n/a","n/a",IF(Q$3&gt;(A16taxstdlife+$E678),(('PTRM input'!$H$158+'PTRM input'!$H$124)*$H$7)-SUM($H678:P678),(('PTRM input'!$H$158+'PTRM input'!$H$124)*$H$7)/A16taxstdlife))</f>
        <v>0</v>
      </c>
      <c r="R678" s="590">
        <f>IF(A16taxstdlife="n/a","n/a",IF(R$3&gt;(A16taxstdlife+$E678),(('PTRM input'!$H$158+'PTRM input'!$H$124)*$H$7)-SUM($H678:Q678),(('PTRM input'!$H$158+'PTRM input'!$H$124)*$H$7)/A16taxstdlife))</f>
        <v>0</v>
      </c>
      <c r="S678" s="590">
        <f>IF(A16taxstdlife="n/a","n/a",IF(S$3&gt;(A16taxstdlife+$E678),(('PTRM input'!$H$158+'PTRM input'!$H$124)*$H$7)-SUM($H678:R678),(('PTRM input'!$H$158+'PTRM input'!$H$124)*$H$7)/A16taxstdlife))</f>
        <v>0</v>
      </c>
      <c r="T678" s="590">
        <f>IF(A16taxstdlife="n/a","n/a",IF(T$3&gt;(A16taxstdlife+$E678),(('PTRM input'!$H$158+'PTRM input'!$H$124)*$H$7)-SUM($H678:S678),(('PTRM input'!$H$158+'PTRM input'!$H$124)*$H$7)/A16taxstdlife))</f>
        <v>0</v>
      </c>
      <c r="U678" s="590">
        <f>IF(A16taxstdlife="n/a","n/a",IF(U$3&gt;(A16taxstdlife+$E678),(('PTRM input'!$H$158+'PTRM input'!$H$124)*$H$7)-SUM($H678:T678),(('PTRM input'!$H$158+'PTRM input'!$H$124)*$H$7)/A16taxstdlife))</f>
        <v>0</v>
      </c>
      <c r="V678" s="590">
        <f>IF(A16taxstdlife="n/a","n/a",IF(V$3&gt;(A16taxstdlife+$E678),(('PTRM input'!$H$158+'PTRM input'!$H$124)*$H$7)-SUM($H678:U678),(('PTRM input'!$H$158+'PTRM input'!$H$124)*$H$7)/A16taxstdlife))</f>
        <v>0</v>
      </c>
      <c r="W678" s="590">
        <f>IF(A16taxstdlife="n/a","n/a",IF(W$3&gt;(A16taxstdlife+$E678),(('PTRM input'!$H$158+'PTRM input'!$H$124)*$H$7)-SUM($H678:V678),(('PTRM input'!$H$158+'PTRM input'!$H$124)*$H$7)/A16taxstdlife))</f>
        <v>0</v>
      </c>
      <c r="X678" s="590">
        <f>IF(A16taxstdlife="n/a","n/a",IF(X$3&gt;(A16taxstdlife+$E678),(('PTRM input'!$H$158+'PTRM input'!$H$124)*$H$7)-SUM($H678:W678),(('PTRM input'!$H$158+'PTRM input'!$H$124)*$H$7)/A16taxstdlife))</f>
        <v>0</v>
      </c>
      <c r="Y678" s="590">
        <f>IF(A16taxstdlife="n/a","n/a",IF(Y$3&gt;(A16taxstdlife+$E678),(('PTRM input'!$H$158+'PTRM input'!$H$124)*$H$7)-SUM($H678:X678),(('PTRM input'!$H$158+'PTRM input'!$H$124)*$H$7)/A16taxstdlife))</f>
        <v>0</v>
      </c>
      <c r="Z678" s="590">
        <f>IF(A16taxstdlife="n/a","n/a",IF(Z$3&gt;(A16taxstdlife+$E678),(('PTRM input'!$H$158+'PTRM input'!$H$124)*$H$7)-SUM($H678:Y678),(('PTRM input'!$H$158+'PTRM input'!$H$124)*$H$7)/A16taxstdlife))</f>
        <v>0</v>
      </c>
      <c r="AA678" s="590">
        <f>IF(A16taxstdlife="n/a","n/a",IF(AA$3&gt;(A16taxstdlife+$E678),(('PTRM input'!$H$158+'PTRM input'!$H$124)*$H$7)-SUM($H678:Z678),(('PTRM input'!$H$158+'PTRM input'!$H$124)*$H$7)/A16taxstdlife))</f>
        <v>0</v>
      </c>
      <c r="AB678" s="590">
        <f>IF(A16taxstdlife="n/a","n/a",IF(AB$3&gt;(A16taxstdlife+$E678),(('PTRM input'!$H$158+'PTRM input'!$H$124)*$H$7)-SUM($H678:AA678),(('PTRM input'!$H$158+'PTRM input'!$H$124)*$H$7)/A16taxstdlife))</f>
        <v>0</v>
      </c>
      <c r="AC678" s="590">
        <f>IF(A16taxstdlife="n/a","n/a",IF(AC$3&gt;(A16taxstdlife+$E678),(('PTRM input'!$H$158+'PTRM input'!$H$124)*$H$7)-SUM($H678:AB678),(('PTRM input'!$H$158+'PTRM input'!$H$124)*$H$7)/A16taxstdlife))</f>
        <v>0</v>
      </c>
      <c r="AD678" s="590">
        <f>IF(A16taxstdlife="n/a","n/a",IF(AD$3&gt;(A16taxstdlife+$E678),(('PTRM input'!$H$158+'PTRM input'!$H$124)*$H$7)-SUM($H678:AC678),(('PTRM input'!$H$158+'PTRM input'!$H$124)*$H$7)/A16taxstdlife))</f>
        <v>0</v>
      </c>
      <c r="AE678" s="590">
        <f>IF(A16taxstdlife="n/a","n/a",IF(AE$3&gt;(A16taxstdlife+$E678),(('PTRM input'!$H$158+'PTRM input'!$H$124)*$H$7)-SUM($H678:AD678),(('PTRM input'!$H$158+'PTRM input'!$H$124)*$H$7)/A16taxstdlife))</f>
        <v>0</v>
      </c>
      <c r="AF678" s="590">
        <f>IF(A16taxstdlife="n/a","n/a",IF(AF$3&gt;(A16taxstdlife+$E678),(('PTRM input'!$H$158+'PTRM input'!$H$124)*$H$7)-SUM($H678:AE678),(('PTRM input'!$H$158+'PTRM input'!$H$124)*$H$7)/A16taxstdlife))</f>
        <v>0</v>
      </c>
      <c r="AG678" s="590">
        <f>IF(A16taxstdlife="n/a","n/a",IF(AG$3&gt;(A16taxstdlife+$E678),(('PTRM input'!$H$158+'PTRM input'!$H$124)*$H$7)-SUM($H678:AF678),(('PTRM input'!$H$158+'PTRM input'!$H$124)*$H$7)/A16taxstdlife))</f>
        <v>0</v>
      </c>
      <c r="AH678" s="590">
        <f>IF(A16taxstdlife="n/a","n/a",IF(AH$3&gt;(A16taxstdlife+$E678),(('PTRM input'!$H$158+'PTRM input'!$H$124)*$H$7)-SUM($H678:AG678),(('PTRM input'!$H$158+'PTRM input'!$H$124)*$H$7)/A16taxstdlife))</f>
        <v>0</v>
      </c>
      <c r="AI678" s="590">
        <f>IF(A16taxstdlife="n/a","n/a",IF(AI$3&gt;(A16taxstdlife+$E678),(('PTRM input'!$H$158+'PTRM input'!$H$124)*$H$7)-SUM($H678:AH678),(('PTRM input'!$H$158+'PTRM input'!$H$124)*$H$7)/A16taxstdlife))</f>
        <v>0</v>
      </c>
      <c r="AJ678" s="590">
        <f>IF(A16taxstdlife="n/a","n/a",IF(AJ$3&gt;(A16taxstdlife+$E678),(('PTRM input'!$H$158+'PTRM input'!$H$124)*$H$7)-SUM($H678:AI678),(('PTRM input'!$H$158+'PTRM input'!$H$124)*$H$7)/A16taxstdlife))</f>
        <v>0</v>
      </c>
      <c r="AK678" s="590">
        <f>IF(A16taxstdlife="n/a","n/a",IF(AK$3&gt;(A16taxstdlife+$E678),(('PTRM input'!$H$158+'PTRM input'!$H$124)*$H$7)-SUM($H678:AJ678),(('PTRM input'!$H$158+'PTRM input'!$H$124)*$H$7)/A16taxstdlife))</f>
        <v>0</v>
      </c>
      <c r="AL678" s="590">
        <f>IF(A16taxstdlife="n/a","n/a",IF(AL$3&gt;(A16taxstdlife+$E678),(('PTRM input'!$H$158+'PTRM input'!$H$124)*$H$7)-SUM($H678:AK678),(('PTRM input'!$H$158+'PTRM input'!$H$124)*$H$7)/A16taxstdlife))</f>
        <v>0</v>
      </c>
      <c r="AM678" s="590">
        <f>IF(A16taxstdlife="n/a","n/a",IF(AM$3&gt;(A16taxstdlife+$E678),(('PTRM input'!$H$158+'PTRM input'!$H$124)*$H$7)-SUM($H678:AL678),(('PTRM input'!$H$158+'PTRM input'!$H$124)*$H$7)/A16taxstdlife))</f>
        <v>0</v>
      </c>
      <c r="AN678" s="590">
        <f>IF(A16taxstdlife="n/a","n/a",IF(AN$3&gt;(A16taxstdlife+$E678),(('PTRM input'!$H$158+'PTRM input'!$H$124)*$H$7)-SUM($H678:AM678),(('PTRM input'!$H$158+'PTRM input'!$H$124)*$H$7)/A16taxstdlife))</f>
        <v>0</v>
      </c>
      <c r="AO678" s="590">
        <f>IF(A16taxstdlife="n/a","n/a",IF(AO$3&gt;(A16taxstdlife+$E678),(('PTRM input'!$H$158+'PTRM input'!$H$124)*$H$7)-SUM($H678:AN678),(('PTRM input'!$H$158+'PTRM input'!$H$124)*$H$7)/A16taxstdlife))</f>
        <v>0</v>
      </c>
      <c r="AP678" s="590">
        <f>IF(A16taxstdlife="n/a","n/a",IF(AP$3&gt;(A16taxstdlife+$E678),(('PTRM input'!$H$158+'PTRM input'!$H$124)*$H$7)-SUM($H678:AO678),(('PTRM input'!$H$158+'PTRM input'!$H$124)*$H$7)/A16taxstdlife))</f>
        <v>0</v>
      </c>
      <c r="AQ678" s="590">
        <f>IF(A16taxstdlife="n/a","n/a",IF(AQ$3&gt;(A16taxstdlife+$E678),(('PTRM input'!$H$158+'PTRM input'!$H$124)*$H$7)-SUM($H678:AP678),(('PTRM input'!$H$158+'PTRM input'!$H$124)*$H$7)/A16taxstdlife))</f>
        <v>0</v>
      </c>
      <c r="AR678" s="590">
        <f>IF(A16taxstdlife="n/a","n/a",IF(AR$3&gt;(A16taxstdlife+$E678),(('PTRM input'!$H$158+'PTRM input'!$H$124)*$H$7)-SUM($H678:AQ678),(('PTRM input'!$H$158+'PTRM input'!$H$124)*$H$7)/A16taxstdlife))</f>
        <v>0</v>
      </c>
      <c r="AS678" s="590">
        <f>IF(A16taxstdlife="n/a","n/a",IF(AS$3&gt;(A16taxstdlife+$E678),(('PTRM input'!$H$158+'PTRM input'!$H$124)*$H$7)-SUM($H678:AR678),(('PTRM input'!$H$158+'PTRM input'!$H$124)*$H$7)/A16taxstdlife))</f>
        <v>0</v>
      </c>
      <c r="AT678" s="590">
        <f>IF(A16taxstdlife="n/a","n/a",IF(AT$3&gt;(A16taxstdlife+$E678),(('PTRM input'!$H$158+'PTRM input'!$H$124)*$H$7)-SUM($H678:AS678),(('PTRM input'!$H$158+'PTRM input'!$H$124)*$H$7)/A16taxstdlife))</f>
        <v>0</v>
      </c>
      <c r="AU678" s="590">
        <f>IF(A16taxstdlife="n/a","n/a",IF(AU$3&gt;(A16taxstdlife+$E678),(('PTRM input'!$H$158+'PTRM input'!$H$124)*$H$7)-SUM($H678:AT678),(('PTRM input'!$H$158+'PTRM input'!$H$124)*$H$7)/A16taxstdlife))</f>
        <v>0</v>
      </c>
      <c r="AV678" s="590">
        <f>IF(A16taxstdlife="n/a","n/a",IF(AV$3&gt;(A16taxstdlife+$E678),(('PTRM input'!$H$158+'PTRM input'!$H$124)*$H$7)-SUM($H678:AU678),(('PTRM input'!$H$158+'PTRM input'!$H$124)*$H$7)/A16taxstdlife))</f>
        <v>0</v>
      </c>
      <c r="AW678" s="590">
        <f>IF(A16taxstdlife="n/a","n/a",IF(AW$3&gt;(A16taxstdlife+$E678),(('PTRM input'!$H$158+'PTRM input'!$H$124)*$H$7)-SUM($H678:AV678),(('PTRM input'!$H$158+'PTRM input'!$H$124)*$H$7)/A16taxstdlife))</f>
        <v>0</v>
      </c>
      <c r="AX678" s="590">
        <f>IF(A16taxstdlife="n/a","n/a",IF(AX$3&gt;(A16taxstdlife+$E678),(('PTRM input'!$H$158+'PTRM input'!$H$124)*$H$7)-SUM($H678:AW678),(('PTRM input'!$H$158+'PTRM input'!$H$124)*$H$7)/A16taxstdlife))</f>
        <v>0</v>
      </c>
      <c r="AY678" s="590">
        <f>IF(A16taxstdlife="n/a","n/a",IF(AY$3&gt;(A16taxstdlife+$E678),(('PTRM input'!$H$158+'PTRM input'!$H$124)*$H$7)-SUM($H678:AX678),(('PTRM input'!$H$158+'PTRM input'!$H$124)*$H$7)/A16taxstdlife))</f>
        <v>0</v>
      </c>
      <c r="AZ678" s="590">
        <f>IF(A16taxstdlife="n/a","n/a",IF(AZ$3&gt;(A16taxstdlife+$E678),(('PTRM input'!$H$158+'PTRM input'!$H$124)*$H$7)-SUM($H678:AY678),(('PTRM input'!$H$158+'PTRM input'!$H$124)*$H$7)/A16taxstdlife))</f>
        <v>0</v>
      </c>
      <c r="BA678" s="590">
        <f>IF(A16taxstdlife="n/a","n/a",IF(BA$3&gt;(A16taxstdlife+$E678),(('PTRM input'!$H$158+'PTRM input'!$H$124)*$H$7)-SUM($H678:AZ678),(('PTRM input'!$H$158+'PTRM input'!$H$124)*$H$7)/A16taxstdlife))</f>
        <v>0</v>
      </c>
      <c r="BB678" s="590">
        <f>IF(A16taxstdlife="n/a","n/a",IF(BB$3&gt;(A16taxstdlife+$E678),(('PTRM input'!$H$158+'PTRM input'!$H$124)*$H$7)-SUM($H678:BA678),(('PTRM input'!$H$158+'PTRM input'!$H$124)*$H$7)/A16taxstdlife))</f>
        <v>0</v>
      </c>
      <c r="BC678" s="590">
        <f>IF(A16taxstdlife="n/a","n/a",IF(BC$3&gt;(A16taxstdlife+$E678),(('PTRM input'!$H$158+'PTRM input'!$H$124)*$H$7)-SUM($H678:BB678),(('PTRM input'!$H$158+'PTRM input'!$H$124)*$H$7)/A16taxstdlife))</f>
        <v>0</v>
      </c>
      <c r="BD678" s="590">
        <f>IF(A16taxstdlife="n/a","n/a",IF(BD$3&gt;(A16taxstdlife+$E678),(('PTRM input'!$H$158+'PTRM input'!$H$124)*$H$7)-SUM($H678:BC678),(('PTRM input'!$H$158+'PTRM input'!$H$124)*$H$7)/A16taxstdlife))</f>
        <v>0</v>
      </c>
      <c r="BE678" s="590">
        <f>IF(A16taxstdlife="n/a","n/a",IF(BE$3&gt;(A16taxstdlife+$E678),(('PTRM input'!$H$158+'PTRM input'!$H$124)*$H$7)-SUM($H678:BD678),(('PTRM input'!$H$158+'PTRM input'!$H$124)*$H$7)/A16taxstdlife))</f>
        <v>0</v>
      </c>
      <c r="BF678" s="590">
        <f>IF(A16taxstdlife="n/a","n/a",IF(BF$3&gt;(A16taxstdlife+$E678),(('PTRM input'!$H$158+'PTRM input'!$H$124)*$H$7)-SUM($H678:BE678),(('PTRM input'!$H$158+'PTRM input'!$H$124)*$H$7)/A16taxstdlife))</f>
        <v>0</v>
      </c>
      <c r="BG678" s="590">
        <f>IF(A16taxstdlife="n/a","n/a",IF(BG$3&gt;(A16taxstdlife+$E678),(('PTRM input'!$H$158+'PTRM input'!$H$124)*$H$7)-SUM($H678:BF678),(('PTRM input'!$H$158+'PTRM input'!$H$124)*$H$7)/A16taxstdlife))</f>
        <v>0</v>
      </c>
      <c r="BH678" s="590">
        <f>IF(A16taxstdlife="n/a","n/a",IF(BH$3&gt;(A16taxstdlife+$E678),(('PTRM input'!$H$158+'PTRM input'!$H$124)*$H$7)-SUM($H678:BG678),(('PTRM input'!$H$158+'PTRM input'!$H$124)*$H$7)/A16taxstdlife))</f>
        <v>0</v>
      </c>
      <c r="BI678" s="590">
        <f>IF(A16taxstdlife="n/a","n/a",IF(BI$3&gt;(A16taxstdlife+$E678),(('PTRM input'!$H$158+'PTRM input'!$H$124)*$H$7)-SUM($H678:BH678),(('PTRM input'!$H$158+'PTRM input'!$H$124)*$H$7)/A16taxstdlife))</f>
        <v>0</v>
      </c>
      <c r="BJ678" s="240"/>
      <c r="BK678" s="240"/>
      <c r="BL678" s="240"/>
      <c r="BM678" s="240"/>
    </row>
    <row r="679" spans="1:65" s="4" customFormat="1" hidden="1" outlineLevel="2">
      <c r="A679" s="240"/>
      <c r="B679" s="240"/>
      <c r="C679" s="595"/>
      <c r="D679" s="1618"/>
      <c r="E679" s="169">
        <v>3</v>
      </c>
      <c r="F679" s="35"/>
      <c r="G679" s="184"/>
      <c r="H679" s="186"/>
      <c r="I679" s="185"/>
      <c r="J679" s="107">
        <f>IF(A16taxstdlife="n/a","n/a",IF(J$3&gt;(A16taxstdlife+$E679),(('PTRM input'!$I$158+'PTRM input'!$I$124)*$I$7)-SUM($I679:I679),(('PTRM input'!$I$158+'PTRM input'!$I$124)*$I$7)/A16taxstdlife))</f>
        <v>0</v>
      </c>
      <c r="K679" s="107">
        <f>IF(A16taxstdlife="n/a","n/a",IF(K$3&gt;(A16taxstdlife+$E679),(('PTRM input'!$I$158+'PTRM input'!$I$124)*$I$7)-SUM($I679:J679),(('PTRM input'!$I$158+'PTRM input'!$I$124)*$I$7)/A16taxstdlife))</f>
        <v>0</v>
      </c>
      <c r="L679" s="107">
        <f>IF(A16taxstdlife="n/a","n/a",IF(L$3&gt;(A16taxstdlife+$E679),(('PTRM input'!$I$158+'PTRM input'!$I$124)*$I$7)-SUM($I679:K679),(('PTRM input'!$I$158+'PTRM input'!$I$124)*$I$7)/A16taxstdlife))</f>
        <v>0</v>
      </c>
      <c r="M679" s="107">
        <f>IF(A16taxstdlife="n/a","n/a",IF(M$3&gt;(A16taxstdlife+$E679),(('PTRM input'!$I$158+'PTRM input'!$I$124)*$I$7)-SUM($I679:L679),(('PTRM input'!$I$158+'PTRM input'!$I$124)*$I$7)/A16taxstdlife))</f>
        <v>0</v>
      </c>
      <c r="N679" s="107">
        <f>IF(A16taxstdlife="n/a","n/a",IF(N$3&gt;(A16taxstdlife+$E679),(('PTRM input'!$I$158+'PTRM input'!$I$124)*$I$7)-SUM($I679:M679),(('PTRM input'!$I$158+'PTRM input'!$I$124)*$I$7)/A16taxstdlife))</f>
        <v>0</v>
      </c>
      <c r="O679" s="107">
        <f>IF(A16taxstdlife="n/a","n/a",IF(O$3&gt;(A16taxstdlife+$E679),(('PTRM input'!$I$158+'PTRM input'!$I$124)*$I$7)-SUM($I679:N679),(('PTRM input'!$I$158+'PTRM input'!$I$124)*$I$7)/A16taxstdlife))</f>
        <v>0</v>
      </c>
      <c r="P679" s="107">
        <f>IF(A16taxstdlife="n/a","n/a",IF(P$3&gt;(A16taxstdlife+$E679),(('PTRM input'!$I$158+'PTRM input'!$I$124)*$I$7)-SUM($I679:O679),(('PTRM input'!$I$158+'PTRM input'!$I$124)*$I$7)/A16taxstdlife))</f>
        <v>0</v>
      </c>
      <c r="Q679" s="590">
        <f>IF(A16taxstdlife="n/a","n/a",IF(Q$3&gt;(A16taxstdlife+$E679),(('PTRM input'!$I$158+'PTRM input'!$I$124)*$I$7)-SUM($I679:P679),(('PTRM input'!$I$158+'PTRM input'!$I$124)*$I$7)/A16taxstdlife))</f>
        <v>0</v>
      </c>
      <c r="R679" s="590">
        <f>IF(A16taxstdlife="n/a","n/a",IF(R$3&gt;(A16taxstdlife+$E679),(('PTRM input'!$I$158+'PTRM input'!$I$124)*$I$7)-SUM($I679:Q679),(('PTRM input'!$I$158+'PTRM input'!$I$124)*$I$7)/A16taxstdlife))</f>
        <v>0</v>
      </c>
      <c r="S679" s="590">
        <f>IF(A16taxstdlife="n/a","n/a",IF(S$3&gt;(A16taxstdlife+$E679),(('PTRM input'!$I$158+'PTRM input'!$I$124)*$I$7)-SUM($I679:R679),(('PTRM input'!$I$158+'PTRM input'!$I$124)*$I$7)/A16taxstdlife))</f>
        <v>0</v>
      </c>
      <c r="T679" s="590">
        <f>IF(A16taxstdlife="n/a","n/a",IF(T$3&gt;(A16taxstdlife+$E679),(('PTRM input'!$I$158+'PTRM input'!$I$124)*$I$7)-SUM($I679:S679),(('PTRM input'!$I$158+'PTRM input'!$I$124)*$I$7)/A16taxstdlife))</f>
        <v>0</v>
      </c>
      <c r="U679" s="590">
        <f>IF(A16taxstdlife="n/a","n/a",IF(U$3&gt;(A16taxstdlife+$E679),(('PTRM input'!$I$158+'PTRM input'!$I$124)*$I$7)-SUM($I679:T679),(('PTRM input'!$I$158+'PTRM input'!$I$124)*$I$7)/A16taxstdlife))</f>
        <v>0</v>
      </c>
      <c r="V679" s="590">
        <f>IF(A16taxstdlife="n/a","n/a",IF(V$3&gt;(A16taxstdlife+$E679),(('PTRM input'!$I$158+'PTRM input'!$I$124)*$I$7)-SUM($I679:U679),(('PTRM input'!$I$158+'PTRM input'!$I$124)*$I$7)/A16taxstdlife))</f>
        <v>0</v>
      </c>
      <c r="W679" s="590">
        <f>IF(A16taxstdlife="n/a","n/a",IF(W$3&gt;(A16taxstdlife+$E679),(('PTRM input'!$I$158+'PTRM input'!$I$124)*$I$7)-SUM($I679:V679),(('PTRM input'!$I$158+'PTRM input'!$I$124)*$I$7)/A16taxstdlife))</f>
        <v>0</v>
      </c>
      <c r="X679" s="590">
        <f>IF(A16taxstdlife="n/a","n/a",IF(X$3&gt;(A16taxstdlife+$E679),(('PTRM input'!$I$158+'PTRM input'!$I$124)*$I$7)-SUM($I679:W679),(('PTRM input'!$I$158+'PTRM input'!$I$124)*$I$7)/A16taxstdlife))</f>
        <v>0</v>
      </c>
      <c r="Y679" s="590">
        <f>IF(A16taxstdlife="n/a","n/a",IF(Y$3&gt;(A16taxstdlife+$E679),(('PTRM input'!$I$158+'PTRM input'!$I$124)*$I$7)-SUM($I679:X679),(('PTRM input'!$I$158+'PTRM input'!$I$124)*$I$7)/A16taxstdlife))</f>
        <v>0</v>
      </c>
      <c r="Z679" s="590">
        <f>IF(A16taxstdlife="n/a","n/a",IF(Z$3&gt;(A16taxstdlife+$E679),(('PTRM input'!$I$158+'PTRM input'!$I$124)*$I$7)-SUM($I679:Y679),(('PTRM input'!$I$158+'PTRM input'!$I$124)*$I$7)/A16taxstdlife))</f>
        <v>0</v>
      </c>
      <c r="AA679" s="590">
        <f>IF(A16taxstdlife="n/a","n/a",IF(AA$3&gt;(A16taxstdlife+$E679),(('PTRM input'!$I$158+'PTRM input'!$I$124)*$I$7)-SUM($I679:Z679),(('PTRM input'!$I$158+'PTRM input'!$I$124)*$I$7)/A16taxstdlife))</f>
        <v>0</v>
      </c>
      <c r="AB679" s="590">
        <f>IF(A16taxstdlife="n/a","n/a",IF(AB$3&gt;(A16taxstdlife+$E679),(('PTRM input'!$I$158+'PTRM input'!$I$124)*$I$7)-SUM($I679:AA679),(('PTRM input'!$I$158+'PTRM input'!$I$124)*$I$7)/A16taxstdlife))</f>
        <v>0</v>
      </c>
      <c r="AC679" s="590">
        <f>IF(A16taxstdlife="n/a","n/a",IF(AC$3&gt;(A16taxstdlife+$E679),(('PTRM input'!$I$158+'PTRM input'!$I$124)*$I$7)-SUM($I679:AB679),(('PTRM input'!$I$158+'PTRM input'!$I$124)*$I$7)/A16taxstdlife))</f>
        <v>0</v>
      </c>
      <c r="AD679" s="590">
        <f>IF(A16taxstdlife="n/a","n/a",IF(AD$3&gt;(A16taxstdlife+$E679),(('PTRM input'!$I$158+'PTRM input'!$I$124)*$I$7)-SUM($I679:AC679),(('PTRM input'!$I$158+'PTRM input'!$I$124)*$I$7)/A16taxstdlife))</f>
        <v>0</v>
      </c>
      <c r="AE679" s="590">
        <f>IF(A16taxstdlife="n/a","n/a",IF(AE$3&gt;(A16taxstdlife+$E679),(('PTRM input'!$I$158+'PTRM input'!$I$124)*$I$7)-SUM($I679:AD679),(('PTRM input'!$I$158+'PTRM input'!$I$124)*$I$7)/A16taxstdlife))</f>
        <v>0</v>
      </c>
      <c r="AF679" s="590">
        <f>IF(A16taxstdlife="n/a","n/a",IF(AF$3&gt;(A16taxstdlife+$E679),(('PTRM input'!$I$158+'PTRM input'!$I$124)*$I$7)-SUM($I679:AE679),(('PTRM input'!$I$158+'PTRM input'!$I$124)*$I$7)/A16taxstdlife))</f>
        <v>0</v>
      </c>
      <c r="AG679" s="590">
        <f>IF(A16taxstdlife="n/a","n/a",IF(AG$3&gt;(A16taxstdlife+$E679),(('PTRM input'!$I$158+'PTRM input'!$I$124)*$I$7)-SUM($I679:AF679),(('PTRM input'!$I$158+'PTRM input'!$I$124)*$I$7)/A16taxstdlife))</f>
        <v>0</v>
      </c>
      <c r="AH679" s="590">
        <f>IF(A16taxstdlife="n/a","n/a",IF(AH$3&gt;(A16taxstdlife+$E679),(('PTRM input'!$I$158+'PTRM input'!$I$124)*$I$7)-SUM($I679:AG679),(('PTRM input'!$I$158+'PTRM input'!$I$124)*$I$7)/A16taxstdlife))</f>
        <v>0</v>
      </c>
      <c r="AI679" s="590">
        <f>IF(A16taxstdlife="n/a","n/a",IF(AI$3&gt;(A16taxstdlife+$E679),(('PTRM input'!$I$158+'PTRM input'!$I$124)*$I$7)-SUM($I679:AH679),(('PTRM input'!$I$158+'PTRM input'!$I$124)*$I$7)/A16taxstdlife))</f>
        <v>0</v>
      </c>
      <c r="AJ679" s="590">
        <f>IF(A16taxstdlife="n/a","n/a",IF(AJ$3&gt;(A16taxstdlife+$E679),(('PTRM input'!$I$158+'PTRM input'!$I$124)*$I$7)-SUM($I679:AI679),(('PTRM input'!$I$158+'PTRM input'!$I$124)*$I$7)/A16taxstdlife))</f>
        <v>0</v>
      </c>
      <c r="AK679" s="590">
        <f>IF(A16taxstdlife="n/a","n/a",IF(AK$3&gt;(A16taxstdlife+$E679),(('PTRM input'!$I$158+'PTRM input'!$I$124)*$I$7)-SUM($I679:AJ679),(('PTRM input'!$I$158+'PTRM input'!$I$124)*$I$7)/A16taxstdlife))</f>
        <v>0</v>
      </c>
      <c r="AL679" s="590">
        <f>IF(A16taxstdlife="n/a","n/a",IF(AL$3&gt;(A16taxstdlife+$E679),(('PTRM input'!$I$158+'PTRM input'!$I$124)*$I$7)-SUM($I679:AK679),(('PTRM input'!$I$158+'PTRM input'!$I$124)*$I$7)/A16taxstdlife))</f>
        <v>0</v>
      </c>
      <c r="AM679" s="590">
        <f>IF(A16taxstdlife="n/a","n/a",IF(AM$3&gt;(A16taxstdlife+$E679),(('PTRM input'!$I$158+'PTRM input'!$I$124)*$I$7)-SUM($I679:AL679),(('PTRM input'!$I$158+'PTRM input'!$I$124)*$I$7)/A16taxstdlife))</f>
        <v>0</v>
      </c>
      <c r="AN679" s="590">
        <f>IF(A16taxstdlife="n/a","n/a",IF(AN$3&gt;(A16taxstdlife+$E679),(('PTRM input'!$I$158+'PTRM input'!$I$124)*$I$7)-SUM($I679:AM679),(('PTRM input'!$I$158+'PTRM input'!$I$124)*$I$7)/A16taxstdlife))</f>
        <v>0</v>
      </c>
      <c r="AO679" s="590">
        <f>IF(A16taxstdlife="n/a","n/a",IF(AO$3&gt;(A16taxstdlife+$E679),(('PTRM input'!$I$158+'PTRM input'!$I$124)*$I$7)-SUM($I679:AN679),(('PTRM input'!$I$158+'PTRM input'!$I$124)*$I$7)/A16taxstdlife))</f>
        <v>0</v>
      </c>
      <c r="AP679" s="590">
        <f>IF(A16taxstdlife="n/a","n/a",IF(AP$3&gt;(A16taxstdlife+$E679),(('PTRM input'!$I$158+'PTRM input'!$I$124)*$I$7)-SUM($I679:AO679),(('PTRM input'!$I$158+'PTRM input'!$I$124)*$I$7)/A16taxstdlife))</f>
        <v>0</v>
      </c>
      <c r="AQ679" s="590">
        <f>IF(A16taxstdlife="n/a","n/a",IF(AQ$3&gt;(A16taxstdlife+$E679),(('PTRM input'!$I$158+'PTRM input'!$I$124)*$I$7)-SUM($I679:AP679),(('PTRM input'!$I$158+'PTRM input'!$I$124)*$I$7)/A16taxstdlife))</f>
        <v>0</v>
      </c>
      <c r="AR679" s="590">
        <f>IF(A16taxstdlife="n/a","n/a",IF(AR$3&gt;(A16taxstdlife+$E679),(('PTRM input'!$I$158+'PTRM input'!$I$124)*$I$7)-SUM($I679:AQ679),(('PTRM input'!$I$158+'PTRM input'!$I$124)*$I$7)/A16taxstdlife))</f>
        <v>0</v>
      </c>
      <c r="AS679" s="590">
        <f>IF(A16taxstdlife="n/a","n/a",IF(AS$3&gt;(A16taxstdlife+$E679),(('PTRM input'!$I$158+'PTRM input'!$I$124)*$I$7)-SUM($I679:AR679),(('PTRM input'!$I$158+'PTRM input'!$I$124)*$I$7)/A16taxstdlife))</f>
        <v>0</v>
      </c>
      <c r="AT679" s="590">
        <f>IF(A16taxstdlife="n/a","n/a",IF(AT$3&gt;(A16taxstdlife+$E679),(('PTRM input'!$I$158+'PTRM input'!$I$124)*$I$7)-SUM($I679:AS679),(('PTRM input'!$I$158+'PTRM input'!$I$124)*$I$7)/A16taxstdlife))</f>
        <v>0</v>
      </c>
      <c r="AU679" s="590">
        <f>IF(A16taxstdlife="n/a","n/a",IF(AU$3&gt;(A16taxstdlife+$E679),(('PTRM input'!$I$158+'PTRM input'!$I$124)*$I$7)-SUM($I679:AT679),(('PTRM input'!$I$158+'PTRM input'!$I$124)*$I$7)/A16taxstdlife))</f>
        <v>0</v>
      </c>
      <c r="AV679" s="590">
        <f>IF(A16taxstdlife="n/a","n/a",IF(AV$3&gt;(A16taxstdlife+$E679),(('PTRM input'!$I$158+'PTRM input'!$I$124)*$I$7)-SUM($I679:AU679),(('PTRM input'!$I$158+'PTRM input'!$I$124)*$I$7)/A16taxstdlife))</f>
        <v>0</v>
      </c>
      <c r="AW679" s="590">
        <f>IF(A16taxstdlife="n/a","n/a",IF(AW$3&gt;(A16taxstdlife+$E679),(('PTRM input'!$I$158+'PTRM input'!$I$124)*$I$7)-SUM($I679:AV679),(('PTRM input'!$I$158+'PTRM input'!$I$124)*$I$7)/A16taxstdlife))</f>
        <v>0</v>
      </c>
      <c r="AX679" s="590">
        <f>IF(A16taxstdlife="n/a","n/a",IF(AX$3&gt;(A16taxstdlife+$E679),(('PTRM input'!$I$158+'PTRM input'!$I$124)*$I$7)-SUM($I679:AW679),(('PTRM input'!$I$158+'PTRM input'!$I$124)*$I$7)/A16taxstdlife))</f>
        <v>0</v>
      </c>
      <c r="AY679" s="590">
        <f>IF(A16taxstdlife="n/a","n/a",IF(AY$3&gt;(A16taxstdlife+$E679),(('PTRM input'!$I$158+'PTRM input'!$I$124)*$I$7)-SUM($I679:AX679),(('PTRM input'!$I$158+'PTRM input'!$I$124)*$I$7)/A16taxstdlife))</f>
        <v>0</v>
      </c>
      <c r="AZ679" s="590">
        <f>IF(A16taxstdlife="n/a","n/a",IF(AZ$3&gt;(A16taxstdlife+$E679),(('PTRM input'!$I$158+'PTRM input'!$I$124)*$I$7)-SUM($I679:AY679),(('PTRM input'!$I$158+'PTRM input'!$I$124)*$I$7)/A16taxstdlife))</f>
        <v>0</v>
      </c>
      <c r="BA679" s="590">
        <f>IF(A16taxstdlife="n/a","n/a",IF(BA$3&gt;(A16taxstdlife+$E679),(('PTRM input'!$I$158+'PTRM input'!$I$124)*$I$7)-SUM($I679:AZ679),(('PTRM input'!$I$158+'PTRM input'!$I$124)*$I$7)/A16taxstdlife))</f>
        <v>0</v>
      </c>
      <c r="BB679" s="590">
        <f>IF(A16taxstdlife="n/a","n/a",IF(BB$3&gt;(A16taxstdlife+$E679),(('PTRM input'!$I$158+'PTRM input'!$I$124)*$I$7)-SUM($I679:BA679),(('PTRM input'!$I$158+'PTRM input'!$I$124)*$I$7)/A16taxstdlife))</f>
        <v>0</v>
      </c>
      <c r="BC679" s="590">
        <f>IF(A16taxstdlife="n/a","n/a",IF(BC$3&gt;(A16taxstdlife+$E679),(('PTRM input'!$I$158+'PTRM input'!$I$124)*$I$7)-SUM($I679:BB679),(('PTRM input'!$I$158+'PTRM input'!$I$124)*$I$7)/A16taxstdlife))</f>
        <v>0</v>
      </c>
      <c r="BD679" s="590">
        <f>IF(A16taxstdlife="n/a","n/a",IF(BD$3&gt;(A16taxstdlife+$E679),(('PTRM input'!$I$158+'PTRM input'!$I$124)*$I$7)-SUM($I679:BC679),(('PTRM input'!$I$158+'PTRM input'!$I$124)*$I$7)/A16taxstdlife))</f>
        <v>0</v>
      </c>
      <c r="BE679" s="590">
        <f>IF(A16taxstdlife="n/a","n/a",IF(BE$3&gt;(A16taxstdlife+$E679),(('PTRM input'!$I$158+'PTRM input'!$I$124)*$I$7)-SUM($I679:BD679),(('PTRM input'!$I$158+'PTRM input'!$I$124)*$I$7)/A16taxstdlife))</f>
        <v>0</v>
      </c>
      <c r="BF679" s="590">
        <f>IF(A16taxstdlife="n/a","n/a",IF(BF$3&gt;(A16taxstdlife+$E679),(('PTRM input'!$I$158+'PTRM input'!$I$124)*$I$7)-SUM($I679:BE679),(('PTRM input'!$I$158+'PTRM input'!$I$124)*$I$7)/A16taxstdlife))</f>
        <v>0</v>
      </c>
      <c r="BG679" s="590">
        <f>IF(A16taxstdlife="n/a","n/a",IF(BG$3&gt;(A16taxstdlife+$E679),(('PTRM input'!$I$158+'PTRM input'!$I$124)*$I$7)-SUM($I679:BF679),(('PTRM input'!$I$158+'PTRM input'!$I$124)*$I$7)/A16taxstdlife))</f>
        <v>0</v>
      </c>
      <c r="BH679" s="590">
        <f>IF(A16taxstdlife="n/a","n/a",IF(BH$3&gt;(A16taxstdlife+$E679),(('PTRM input'!$I$158+'PTRM input'!$I$124)*$I$7)-SUM($I679:BG679),(('PTRM input'!$I$158+'PTRM input'!$I$124)*$I$7)/A16taxstdlife))</f>
        <v>0</v>
      </c>
      <c r="BI679" s="590">
        <f>IF(A16taxstdlife="n/a","n/a",IF(BI$3&gt;(A16taxstdlife+$E679),(('PTRM input'!$I$158+'PTRM input'!$I$124)*$I$7)-SUM($I679:BH679),(('PTRM input'!$I$158+'PTRM input'!$I$124)*$I$7)/A16taxstdlife))</f>
        <v>0</v>
      </c>
      <c r="BJ679" s="240"/>
      <c r="BK679" s="240"/>
      <c r="BL679" s="240"/>
      <c r="BM679" s="240"/>
    </row>
    <row r="680" spans="1:65" s="4" customFormat="1" hidden="1" outlineLevel="2">
      <c r="A680" s="240"/>
      <c r="B680" s="240"/>
      <c r="C680" s="595"/>
      <c r="D680" s="1618"/>
      <c r="E680" s="169">
        <v>4</v>
      </c>
      <c r="F680" s="35"/>
      <c r="G680" s="184"/>
      <c r="H680" s="186"/>
      <c r="I680" s="186"/>
      <c r="J680" s="185"/>
      <c r="K680" s="107">
        <f>IF(A16taxstdlife="n/a","n/a",IF(K$3&gt;(A16taxstdlife+$E680),(('PTRM input'!$J$158+'PTRM input'!$J$124)*$J$7)-SUM($J680:J680),(('PTRM input'!$J$158+'PTRM input'!$J$124)*$J$7)/A16taxstdlife))</f>
        <v>0</v>
      </c>
      <c r="L680" s="107">
        <f>IF(A16taxstdlife="n/a","n/a",IF(L$3&gt;(A16taxstdlife+$E680),(('PTRM input'!$J$158+'PTRM input'!$J$124)*$J$7)-SUM($J680:K680),(('PTRM input'!$J$158+'PTRM input'!$J$124)*$J$7)/A16taxstdlife))</f>
        <v>0</v>
      </c>
      <c r="M680" s="107">
        <f>IF(A16taxstdlife="n/a","n/a",IF(M$3&gt;(A16taxstdlife+$E680),(('PTRM input'!$J$158+'PTRM input'!$J$124)*$J$7)-SUM($J680:L680),(('PTRM input'!$J$158+'PTRM input'!$J$124)*$J$7)/A16taxstdlife))</f>
        <v>0</v>
      </c>
      <c r="N680" s="107">
        <f>IF(A16taxstdlife="n/a","n/a",IF(N$3&gt;(A16taxstdlife+$E680),(('PTRM input'!$J$158+'PTRM input'!$J$124)*$J$7)-SUM($J680:M680),(('PTRM input'!$J$158+'PTRM input'!$J$124)*$J$7)/A16taxstdlife))</f>
        <v>0</v>
      </c>
      <c r="O680" s="107">
        <f>IF(A16taxstdlife="n/a","n/a",IF(O$3&gt;(A16taxstdlife+$E680),(('PTRM input'!$J$158+'PTRM input'!$J$124)*$J$7)-SUM($J680:N680),(('PTRM input'!$J$158+'PTRM input'!$J$124)*$J$7)/A16taxstdlife))</f>
        <v>0</v>
      </c>
      <c r="P680" s="107">
        <f>IF(A16taxstdlife="n/a","n/a",IF(P$3&gt;(A16taxstdlife+$E680),(('PTRM input'!$J$158+'PTRM input'!$J$124)*$J$7)-SUM($J680:O680),(('PTRM input'!$J$158+'PTRM input'!$J$124)*$J$7)/A16taxstdlife))</f>
        <v>0</v>
      </c>
      <c r="Q680" s="590">
        <f>IF(A16taxstdlife="n/a","n/a",IF(Q$3&gt;(A16taxstdlife+$E680),(('PTRM input'!$J$158+'PTRM input'!$J$124)*$J$7)-SUM($J680:P680),(('PTRM input'!$J$158+'PTRM input'!$J$124)*$J$7)/A16taxstdlife))</f>
        <v>0</v>
      </c>
      <c r="R680" s="590">
        <f>IF(A16taxstdlife="n/a","n/a",IF(R$3&gt;(A16taxstdlife+$E680),(('PTRM input'!$J$158+'PTRM input'!$J$124)*$J$7)-SUM($J680:Q680),(('PTRM input'!$J$158+'PTRM input'!$J$124)*$J$7)/A16taxstdlife))</f>
        <v>0</v>
      </c>
      <c r="S680" s="590">
        <f>IF(A16taxstdlife="n/a","n/a",IF(S$3&gt;(A16taxstdlife+$E680),(('PTRM input'!$J$158+'PTRM input'!$J$124)*$J$7)-SUM($J680:R680),(('PTRM input'!$J$158+'PTRM input'!$J$124)*$J$7)/A16taxstdlife))</f>
        <v>0</v>
      </c>
      <c r="T680" s="590">
        <f>IF(A16taxstdlife="n/a","n/a",IF(T$3&gt;(A16taxstdlife+$E680),(('PTRM input'!$J$158+'PTRM input'!$J$124)*$J$7)-SUM($J680:S680),(('PTRM input'!$J$158+'PTRM input'!$J$124)*$J$7)/A16taxstdlife))</f>
        <v>0</v>
      </c>
      <c r="U680" s="590">
        <f>IF(A16taxstdlife="n/a","n/a",IF(U$3&gt;(A16taxstdlife+$E680),(('PTRM input'!$J$158+'PTRM input'!$J$124)*$J$7)-SUM($J680:T680),(('PTRM input'!$J$158+'PTRM input'!$J$124)*$J$7)/A16taxstdlife))</f>
        <v>0</v>
      </c>
      <c r="V680" s="590">
        <f>IF(A16taxstdlife="n/a","n/a",IF(V$3&gt;(A16taxstdlife+$E680),(('PTRM input'!$J$158+'PTRM input'!$J$124)*$J$7)-SUM($J680:U680),(('PTRM input'!$J$158+'PTRM input'!$J$124)*$J$7)/A16taxstdlife))</f>
        <v>0</v>
      </c>
      <c r="W680" s="590">
        <f>IF(A16taxstdlife="n/a","n/a",IF(W$3&gt;(A16taxstdlife+$E680),(('PTRM input'!$J$158+'PTRM input'!$J$124)*$J$7)-SUM($J680:V680),(('PTRM input'!$J$158+'PTRM input'!$J$124)*$J$7)/A16taxstdlife))</f>
        <v>0</v>
      </c>
      <c r="X680" s="590">
        <f>IF(A16taxstdlife="n/a","n/a",IF(X$3&gt;(A16taxstdlife+$E680),(('PTRM input'!$J$158+'PTRM input'!$J$124)*$J$7)-SUM($J680:W680),(('PTRM input'!$J$158+'PTRM input'!$J$124)*$J$7)/A16taxstdlife))</f>
        <v>0</v>
      </c>
      <c r="Y680" s="590">
        <f>IF(A16taxstdlife="n/a","n/a",IF(Y$3&gt;(A16taxstdlife+$E680),(('PTRM input'!$J$158+'PTRM input'!$J$124)*$J$7)-SUM($J680:X680),(('PTRM input'!$J$158+'PTRM input'!$J$124)*$J$7)/A16taxstdlife))</f>
        <v>0</v>
      </c>
      <c r="Z680" s="590">
        <f>IF(A16taxstdlife="n/a","n/a",IF(Z$3&gt;(A16taxstdlife+$E680),(('PTRM input'!$J$158+'PTRM input'!$J$124)*$J$7)-SUM($J680:Y680),(('PTRM input'!$J$158+'PTRM input'!$J$124)*$J$7)/A16taxstdlife))</f>
        <v>0</v>
      </c>
      <c r="AA680" s="590">
        <f>IF(A16taxstdlife="n/a","n/a",IF(AA$3&gt;(A16taxstdlife+$E680),(('PTRM input'!$J$158+'PTRM input'!$J$124)*$J$7)-SUM($J680:Z680),(('PTRM input'!$J$158+'PTRM input'!$J$124)*$J$7)/A16taxstdlife))</f>
        <v>0</v>
      </c>
      <c r="AB680" s="590">
        <f>IF(A16taxstdlife="n/a","n/a",IF(AB$3&gt;(A16taxstdlife+$E680),(('PTRM input'!$J$158+'PTRM input'!$J$124)*$J$7)-SUM($J680:AA680),(('PTRM input'!$J$158+'PTRM input'!$J$124)*$J$7)/A16taxstdlife))</f>
        <v>0</v>
      </c>
      <c r="AC680" s="590">
        <f>IF(A16taxstdlife="n/a","n/a",IF(AC$3&gt;(A16taxstdlife+$E680),(('PTRM input'!$J$158+'PTRM input'!$J$124)*$J$7)-SUM($J680:AB680),(('PTRM input'!$J$158+'PTRM input'!$J$124)*$J$7)/A16taxstdlife))</f>
        <v>0</v>
      </c>
      <c r="AD680" s="590">
        <f>IF(A16taxstdlife="n/a","n/a",IF(AD$3&gt;(A16taxstdlife+$E680),(('PTRM input'!$J$158+'PTRM input'!$J$124)*$J$7)-SUM($J680:AC680),(('PTRM input'!$J$158+'PTRM input'!$J$124)*$J$7)/A16taxstdlife))</f>
        <v>0</v>
      </c>
      <c r="AE680" s="590">
        <f>IF(A16taxstdlife="n/a","n/a",IF(AE$3&gt;(A16taxstdlife+$E680),(('PTRM input'!$J$158+'PTRM input'!$J$124)*$J$7)-SUM($J680:AD680),(('PTRM input'!$J$158+'PTRM input'!$J$124)*$J$7)/A16taxstdlife))</f>
        <v>0</v>
      </c>
      <c r="AF680" s="590">
        <f>IF(A16taxstdlife="n/a","n/a",IF(AF$3&gt;(A16taxstdlife+$E680),(('PTRM input'!$J$158+'PTRM input'!$J$124)*$J$7)-SUM($J680:AE680),(('PTRM input'!$J$158+'PTRM input'!$J$124)*$J$7)/A16taxstdlife))</f>
        <v>0</v>
      </c>
      <c r="AG680" s="590">
        <f>IF(A16taxstdlife="n/a","n/a",IF(AG$3&gt;(A16taxstdlife+$E680),(('PTRM input'!$J$158+'PTRM input'!$J$124)*$J$7)-SUM($J680:AF680),(('PTRM input'!$J$158+'PTRM input'!$J$124)*$J$7)/A16taxstdlife))</f>
        <v>0</v>
      </c>
      <c r="AH680" s="590">
        <f>IF(A16taxstdlife="n/a","n/a",IF(AH$3&gt;(A16taxstdlife+$E680),(('PTRM input'!$J$158+'PTRM input'!$J$124)*$J$7)-SUM($J680:AG680),(('PTRM input'!$J$158+'PTRM input'!$J$124)*$J$7)/A16taxstdlife))</f>
        <v>0</v>
      </c>
      <c r="AI680" s="590">
        <f>IF(A16taxstdlife="n/a","n/a",IF(AI$3&gt;(A16taxstdlife+$E680),(('PTRM input'!$J$158+'PTRM input'!$J$124)*$J$7)-SUM($J680:AH680),(('PTRM input'!$J$158+'PTRM input'!$J$124)*$J$7)/A16taxstdlife))</f>
        <v>0</v>
      </c>
      <c r="AJ680" s="590">
        <f>IF(A16taxstdlife="n/a","n/a",IF(AJ$3&gt;(A16taxstdlife+$E680),(('PTRM input'!$J$158+'PTRM input'!$J$124)*$J$7)-SUM($J680:AI680),(('PTRM input'!$J$158+'PTRM input'!$J$124)*$J$7)/A16taxstdlife))</f>
        <v>0</v>
      </c>
      <c r="AK680" s="590">
        <f>IF(A16taxstdlife="n/a","n/a",IF(AK$3&gt;(A16taxstdlife+$E680),(('PTRM input'!$J$158+'PTRM input'!$J$124)*$J$7)-SUM($J680:AJ680),(('PTRM input'!$J$158+'PTRM input'!$J$124)*$J$7)/A16taxstdlife))</f>
        <v>0</v>
      </c>
      <c r="AL680" s="590">
        <f>IF(A16taxstdlife="n/a","n/a",IF(AL$3&gt;(A16taxstdlife+$E680),(('PTRM input'!$J$158+'PTRM input'!$J$124)*$J$7)-SUM($J680:AK680),(('PTRM input'!$J$158+'PTRM input'!$J$124)*$J$7)/A16taxstdlife))</f>
        <v>0</v>
      </c>
      <c r="AM680" s="590">
        <f>IF(A16taxstdlife="n/a","n/a",IF(AM$3&gt;(A16taxstdlife+$E680),(('PTRM input'!$J$158+'PTRM input'!$J$124)*$J$7)-SUM($J680:AL680),(('PTRM input'!$J$158+'PTRM input'!$J$124)*$J$7)/A16taxstdlife))</f>
        <v>0</v>
      </c>
      <c r="AN680" s="590">
        <f>IF(A16taxstdlife="n/a","n/a",IF(AN$3&gt;(A16taxstdlife+$E680),(('PTRM input'!$J$158+'PTRM input'!$J$124)*$J$7)-SUM($J680:AM680),(('PTRM input'!$J$158+'PTRM input'!$J$124)*$J$7)/A16taxstdlife))</f>
        <v>0</v>
      </c>
      <c r="AO680" s="590">
        <f>IF(A16taxstdlife="n/a","n/a",IF(AO$3&gt;(A16taxstdlife+$E680),(('PTRM input'!$J$158+'PTRM input'!$J$124)*$J$7)-SUM($J680:AN680),(('PTRM input'!$J$158+'PTRM input'!$J$124)*$J$7)/A16taxstdlife))</f>
        <v>0</v>
      </c>
      <c r="AP680" s="590">
        <f>IF(A16taxstdlife="n/a","n/a",IF(AP$3&gt;(A16taxstdlife+$E680),(('PTRM input'!$J$158+'PTRM input'!$J$124)*$J$7)-SUM($J680:AO680),(('PTRM input'!$J$158+'PTRM input'!$J$124)*$J$7)/A16taxstdlife))</f>
        <v>0</v>
      </c>
      <c r="AQ680" s="590">
        <f>IF(A16taxstdlife="n/a","n/a",IF(AQ$3&gt;(A16taxstdlife+$E680),(('PTRM input'!$J$158+'PTRM input'!$J$124)*$J$7)-SUM($J680:AP680),(('PTRM input'!$J$158+'PTRM input'!$J$124)*$J$7)/A16taxstdlife))</f>
        <v>0</v>
      </c>
      <c r="AR680" s="590">
        <f>IF(A16taxstdlife="n/a","n/a",IF(AR$3&gt;(A16taxstdlife+$E680),(('PTRM input'!$J$158+'PTRM input'!$J$124)*$J$7)-SUM($J680:AQ680),(('PTRM input'!$J$158+'PTRM input'!$J$124)*$J$7)/A16taxstdlife))</f>
        <v>0</v>
      </c>
      <c r="AS680" s="590">
        <f>IF(A16taxstdlife="n/a","n/a",IF(AS$3&gt;(A16taxstdlife+$E680),(('PTRM input'!$J$158+'PTRM input'!$J$124)*$J$7)-SUM($J680:AR680),(('PTRM input'!$J$158+'PTRM input'!$J$124)*$J$7)/A16taxstdlife))</f>
        <v>0</v>
      </c>
      <c r="AT680" s="590">
        <f>IF(A16taxstdlife="n/a","n/a",IF(AT$3&gt;(A16taxstdlife+$E680),(('PTRM input'!$J$158+'PTRM input'!$J$124)*$J$7)-SUM($J680:AS680),(('PTRM input'!$J$158+'PTRM input'!$J$124)*$J$7)/A16taxstdlife))</f>
        <v>0</v>
      </c>
      <c r="AU680" s="590">
        <f>IF(A16taxstdlife="n/a","n/a",IF(AU$3&gt;(A16taxstdlife+$E680),(('PTRM input'!$J$158+'PTRM input'!$J$124)*$J$7)-SUM($J680:AT680),(('PTRM input'!$J$158+'PTRM input'!$J$124)*$J$7)/A16taxstdlife))</f>
        <v>0</v>
      </c>
      <c r="AV680" s="590">
        <f>IF(A16taxstdlife="n/a","n/a",IF(AV$3&gt;(A16taxstdlife+$E680),(('PTRM input'!$J$158+'PTRM input'!$J$124)*$J$7)-SUM($J680:AU680),(('PTRM input'!$J$158+'PTRM input'!$J$124)*$J$7)/A16taxstdlife))</f>
        <v>0</v>
      </c>
      <c r="AW680" s="590">
        <f>IF(A16taxstdlife="n/a","n/a",IF(AW$3&gt;(A16taxstdlife+$E680),(('PTRM input'!$J$158+'PTRM input'!$J$124)*$J$7)-SUM($J680:AV680),(('PTRM input'!$J$158+'PTRM input'!$J$124)*$J$7)/A16taxstdlife))</f>
        <v>0</v>
      </c>
      <c r="AX680" s="590">
        <f>IF(A16taxstdlife="n/a","n/a",IF(AX$3&gt;(A16taxstdlife+$E680),(('PTRM input'!$J$158+'PTRM input'!$J$124)*$J$7)-SUM($J680:AW680),(('PTRM input'!$J$158+'PTRM input'!$J$124)*$J$7)/A16taxstdlife))</f>
        <v>0</v>
      </c>
      <c r="AY680" s="590">
        <f>IF(A16taxstdlife="n/a","n/a",IF(AY$3&gt;(A16taxstdlife+$E680),(('PTRM input'!$J$158+'PTRM input'!$J$124)*$J$7)-SUM($J680:AX680),(('PTRM input'!$J$158+'PTRM input'!$J$124)*$J$7)/A16taxstdlife))</f>
        <v>0</v>
      </c>
      <c r="AZ680" s="590">
        <f>IF(A16taxstdlife="n/a","n/a",IF(AZ$3&gt;(A16taxstdlife+$E680),(('PTRM input'!$J$158+'PTRM input'!$J$124)*$J$7)-SUM($J680:AY680),(('PTRM input'!$J$158+'PTRM input'!$J$124)*$J$7)/A16taxstdlife))</f>
        <v>0</v>
      </c>
      <c r="BA680" s="590">
        <f>IF(A16taxstdlife="n/a","n/a",IF(BA$3&gt;(A16taxstdlife+$E680),(('PTRM input'!$J$158+'PTRM input'!$J$124)*$J$7)-SUM($J680:AZ680),(('PTRM input'!$J$158+'PTRM input'!$J$124)*$J$7)/A16taxstdlife))</f>
        <v>0</v>
      </c>
      <c r="BB680" s="590">
        <f>IF(A16taxstdlife="n/a","n/a",IF(BB$3&gt;(A16taxstdlife+$E680),(('PTRM input'!$J$158+'PTRM input'!$J$124)*$J$7)-SUM($J680:BA680),(('PTRM input'!$J$158+'PTRM input'!$J$124)*$J$7)/A16taxstdlife))</f>
        <v>0</v>
      </c>
      <c r="BC680" s="590">
        <f>IF(A16taxstdlife="n/a","n/a",IF(BC$3&gt;(A16taxstdlife+$E680),(('PTRM input'!$J$158+'PTRM input'!$J$124)*$J$7)-SUM($J680:BB680),(('PTRM input'!$J$158+'PTRM input'!$J$124)*$J$7)/A16taxstdlife))</f>
        <v>0</v>
      </c>
      <c r="BD680" s="590">
        <f>IF(A16taxstdlife="n/a","n/a",IF(BD$3&gt;(A16taxstdlife+$E680),(('PTRM input'!$J$158+'PTRM input'!$J$124)*$J$7)-SUM($J680:BC680),(('PTRM input'!$J$158+'PTRM input'!$J$124)*$J$7)/A16taxstdlife))</f>
        <v>0</v>
      </c>
      <c r="BE680" s="590">
        <f>IF(A16taxstdlife="n/a","n/a",IF(BE$3&gt;(A16taxstdlife+$E680),(('PTRM input'!$J$158+'PTRM input'!$J$124)*$J$7)-SUM($J680:BD680),(('PTRM input'!$J$158+'PTRM input'!$J$124)*$J$7)/A16taxstdlife))</f>
        <v>0</v>
      </c>
      <c r="BF680" s="590">
        <f>IF(A16taxstdlife="n/a","n/a",IF(BF$3&gt;(A16taxstdlife+$E680),(('PTRM input'!$J$158+'PTRM input'!$J$124)*$J$7)-SUM($J680:BE680),(('PTRM input'!$J$158+'PTRM input'!$J$124)*$J$7)/A16taxstdlife))</f>
        <v>0</v>
      </c>
      <c r="BG680" s="590">
        <f>IF(A16taxstdlife="n/a","n/a",IF(BG$3&gt;(A16taxstdlife+$E680),(('PTRM input'!$J$158+'PTRM input'!$J$124)*$J$7)-SUM($J680:BF680),(('PTRM input'!$J$158+'PTRM input'!$J$124)*$J$7)/A16taxstdlife))</f>
        <v>0</v>
      </c>
      <c r="BH680" s="590">
        <f>IF(A16taxstdlife="n/a","n/a",IF(BH$3&gt;(A16taxstdlife+$E680),(('PTRM input'!$J$158+'PTRM input'!$J$124)*$J$7)-SUM($J680:BG680),(('PTRM input'!$J$158+'PTRM input'!$J$124)*$J$7)/A16taxstdlife))</f>
        <v>0</v>
      </c>
      <c r="BI680" s="590">
        <f>IF(A16taxstdlife="n/a","n/a",IF(BI$3&gt;(A16taxstdlife+$E680),(('PTRM input'!$J$158+'PTRM input'!$J$124)*$J$7)-SUM($J680:BH680),(('PTRM input'!$J$158+'PTRM input'!$J$124)*$J$7)/A16taxstdlife))</f>
        <v>0</v>
      </c>
      <c r="BJ680" s="240"/>
      <c r="BK680" s="240"/>
      <c r="BL680" s="240"/>
      <c r="BM680" s="240"/>
    </row>
    <row r="681" spans="1:65" s="4" customFormat="1" hidden="1" outlineLevel="2">
      <c r="A681" s="240"/>
      <c r="B681" s="240"/>
      <c r="C681" s="595"/>
      <c r="D681" s="1618"/>
      <c r="E681" s="169">
        <v>5</v>
      </c>
      <c r="F681" s="35"/>
      <c r="G681" s="184"/>
      <c r="H681" s="186"/>
      <c r="I681" s="186"/>
      <c r="J681" s="186"/>
      <c r="K681" s="185"/>
      <c r="L681" s="107">
        <f>IF(A16taxstdlife="n/a","n/a",IF(L$3&gt;(A16taxstdlife+$E681),(('PTRM input'!$K$158+'PTRM input'!$K$124)*$K$7)-SUM($K681:K681),(('PTRM input'!$K$158+'PTRM input'!$K$124)*$K$7)/A16taxstdlife))</f>
        <v>0</v>
      </c>
      <c r="M681" s="107">
        <f>IF(A16taxstdlife="n/a","n/a",IF(M$3&gt;(A16taxstdlife+$E681),(('PTRM input'!$K$158+'PTRM input'!$K$124)*$K$7)-SUM($K681:L681),(('PTRM input'!$K$158+'PTRM input'!$K$124)*$K$7)/A16taxstdlife))</f>
        <v>0</v>
      </c>
      <c r="N681" s="107">
        <f>IF(A16taxstdlife="n/a","n/a",IF(N$3&gt;(A16taxstdlife+$E681),(('PTRM input'!$K$158+'PTRM input'!$K$124)*$K$7)-SUM($K681:M681),(('PTRM input'!$K$158+'PTRM input'!$K$124)*$K$7)/A16taxstdlife))</f>
        <v>0</v>
      </c>
      <c r="O681" s="107">
        <f>IF(A16taxstdlife="n/a","n/a",IF(O$3&gt;(A16taxstdlife+$E681),(('PTRM input'!$K$158+'PTRM input'!$K$124)*$K$7)-SUM($K681:N681),(('PTRM input'!$K$158+'PTRM input'!$K$124)*$K$7)/A16taxstdlife))</f>
        <v>0</v>
      </c>
      <c r="P681" s="107">
        <f>IF(A16taxstdlife="n/a","n/a",IF(P$3&gt;(A16taxstdlife+$E681),(('PTRM input'!$K$158+'PTRM input'!$K$124)*$K$7)-SUM($K681:O681),(('PTRM input'!$K$158+'PTRM input'!$K$124)*$K$7)/A16taxstdlife))</f>
        <v>0</v>
      </c>
      <c r="Q681" s="590">
        <f>IF(A16taxstdlife="n/a","n/a",IF(Q$3&gt;(A16taxstdlife+$E681),(('PTRM input'!$K$158+'PTRM input'!$K$124)*$K$7)-SUM($K681:P681),(('PTRM input'!$K$158+'PTRM input'!$K$124)*$K$7)/A16taxstdlife))</f>
        <v>0</v>
      </c>
      <c r="R681" s="590">
        <f>IF(A16taxstdlife="n/a","n/a",IF(R$3&gt;(A16taxstdlife+$E681),(('PTRM input'!$K$158+'PTRM input'!$K$124)*$K$7)-SUM($K681:Q681),(('PTRM input'!$K$158+'PTRM input'!$K$124)*$K$7)/A16taxstdlife))</f>
        <v>0</v>
      </c>
      <c r="S681" s="590">
        <f>IF(A16taxstdlife="n/a","n/a",IF(S$3&gt;(A16taxstdlife+$E681),(('PTRM input'!$K$158+'PTRM input'!$K$124)*$K$7)-SUM($K681:R681),(('PTRM input'!$K$158+'PTRM input'!$K$124)*$K$7)/A16taxstdlife))</f>
        <v>0</v>
      </c>
      <c r="T681" s="590">
        <f>IF(A16taxstdlife="n/a","n/a",IF(T$3&gt;(A16taxstdlife+$E681),(('PTRM input'!$K$158+'PTRM input'!$K$124)*$K$7)-SUM($K681:S681),(('PTRM input'!$K$158+'PTRM input'!$K$124)*$K$7)/A16taxstdlife))</f>
        <v>0</v>
      </c>
      <c r="U681" s="590">
        <f>IF(A16taxstdlife="n/a","n/a",IF(U$3&gt;(A16taxstdlife+$E681),(('PTRM input'!$K$158+'PTRM input'!$K$124)*$K$7)-SUM($K681:T681),(('PTRM input'!$K$158+'PTRM input'!$K$124)*$K$7)/A16taxstdlife))</f>
        <v>0</v>
      </c>
      <c r="V681" s="590">
        <f>IF(A16taxstdlife="n/a","n/a",IF(V$3&gt;(A16taxstdlife+$E681),(('PTRM input'!$K$158+'PTRM input'!$K$124)*$K$7)-SUM($K681:U681),(('PTRM input'!$K$158+'PTRM input'!$K$124)*$K$7)/A16taxstdlife))</f>
        <v>0</v>
      </c>
      <c r="W681" s="590">
        <f>IF(A16taxstdlife="n/a","n/a",IF(W$3&gt;(A16taxstdlife+$E681),(('PTRM input'!$K$158+'PTRM input'!$K$124)*$K$7)-SUM($K681:V681),(('PTRM input'!$K$158+'PTRM input'!$K$124)*$K$7)/A16taxstdlife))</f>
        <v>0</v>
      </c>
      <c r="X681" s="590">
        <f>IF(A16taxstdlife="n/a","n/a",IF(X$3&gt;(A16taxstdlife+$E681),(('PTRM input'!$K$158+'PTRM input'!$K$124)*$K$7)-SUM($K681:W681),(('PTRM input'!$K$158+'PTRM input'!$K$124)*$K$7)/A16taxstdlife))</f>
        <v>0</v>
      </c>
      <c r="Y681" s="590">
        <f>IF(A16taxstdlife="n/a","n/a",IF(Y$3&gt;(A16taxstdlife+$E681),(('PTRM input'!$K$158+'PTRM input'!$K$124)*$K$7)-SUM($K681:X681),(('PTRM input'!$K$158+'PTRM input'!$K$124)*$K$7)/A16taxstdlife))</f>
        <v>0</v>
      </c>
      <c r="Z681" s="590">
        <f>IF(A16taxstdlife="n/a","n/a",IF(Z$3&gt;(A16taxstdlife+$E681),(('PTRM input'!$K$158+'PTRM input'!$K$124)*$K$7)-SUM($K681:Y681),(('PTRM input'!$K$158+'PTRM input'!$K$124)*$K$7)/A16taxstdlife))</f>
        <v>0</v>
      </c>
      <c r="AA681" s="590">
        <f>IF(A16taxstdlife="n/a","n/a",IF(AA$3&gt;(A16taxstdlife+$E681),(('PTRM input'!$K$158+'PTRM input'!$K$124)*$K$7)-SUM($K681:Z681),(('PTRM input'!$K$158+'PTRM input'!$K$124)*$K$7)/A16taxstdlife))</f>
        <v>0</v>
      </c>
      <c r="AB681" s="590">
        <f>IF(A16taxstdlife="n/a","n/a",IF(AB$3&gt;(A16taxstdlife+$E681),(('PTRM input'!$K$158+'PTRM input'!$K$124)*$K$7)-SUM($K681:AA681),(('PTRM input'!$K$158+'PTRM input'!$K$124)*$K$7)/A16taxstdlife))</f>
        <v>0</v>
      </c>
      <c r="AC681" s="590">
        <f>IF(A16taxstdlife="n/a","n/a",IF(AC$3&gt;(A16taxstdlife+$E681),(('PTRM input'!$K$158+'PTRM input'!$K$124)*$K$7)-SUM($K681:AB681),(('PTRM input'!$K$158+'PTRM input'!$K$124)*$K$7)/A16taxstdlife))</f>
        <v>0</v>
      </c>
      <c r="AD681" s="590">
        <f>IF(A16taxstdlife="n/a","n/a",IF(AD$3&gt;(A16taxstdlife+$E681),(('PTRM input'!$K$158+'PTRM input'!$K$124)*$K$7)-SUM($K681:AC681),(('PTRM input'!$K$158+'PTRM input'!$K$124)*$K$7)/A16taxstdlife))</f>
        <v>0</v>
      </c>
      <c r="AE681" s="590">
        <f>IF(A16taxstdlife="n/a","n/a",IF(AE$3&gt;(A16taxstdlife+$E681),(('PTRM input'!$K$158+'PTRM input'!$K$124)*$K$7)-SUM($K681:AD681),(('PTRM input'!$K$158+'PTRM input'!$K$124)*$K$7)/A16taxstdlife))</f>
        <v>0</v>
      </c>
      <c r="AF681" s="590">
        <f>IF(A16taxstdlife="n/a","n/a",IF(AF$3&gt;(A16taxstdlife+$E681),(('PTRM input'!$K$158+'PTRM input'!$K$124)*$K$7)-SUM($K681:AE681),(('PTRM input'!$K$158+'PTRM input'!$K$124)*$K$7)/A16taxstdlife))</f>
        <v>0</v>
      </c>
      <c r="AG681" s="590">
        <f>IF(A16taxstdlife="n/a","n/a",IF(AG$3&gt;(A16taxstdlife+$E681),(('PTRM input'!$K$158+'PTRM input'!$K$124)*$K$7)-SUM($K681:AF681),(('PTRM input'!$K$158+'PTRM input'!$K$124)*$K$7)/A16taxstdlife))</f>
        <v>0</v>
      </c>
      <c r="AH681" s="590">
        <f>IF(A16taxstdlife="n/a","n/a",IF(AH$3&gt;(A16taxstdlife+$E681),(('PTRM input'!$K$158+'PTRM input'!$K$124)*$K$7)-SUM($K681:AG681),(('PTRM input'!$K$158+'PTRM input'!$K$124)*$K$7)/A16taxstdlife))</f>
        <v>0</v>
      </c>
      <c r="AI681" s="590">
        <f>IF(A16taxstdlife="n/a","n/a",IF(AI$3&gt;(A16taxstdlife+$E681),(('PTRM input'!$K$158+'PTRM input'!$K$124)*$K$7)-SUM($K681:AH681),(('PTRM input'!$K$158+'PTRM input'!$K$124)*$K$7)/A16taxstdlife))</f>
        <v>0</v>
      </c>
      <c r="AJ681" s="590">
        <f>IF(A16taxstdlife="n/a","n/a",IF(AJ$3&gt;(A16taxstdlife+$E681),(('PTRM input'!$K$158+'PTRM input'!$K$124)*$K$7)-SUM($K681:AI681),(('PTRM input'!$K$158+'PTRM input'!$K$124)*$K$7)/A16taxstdlife))</f>
        <v>0</v>
      </c>
      <c r="AK681" s="590">
        <f>IF(A16taxstdlife="n/a","n/a",IF(AK$3&gt;(A16taxstdlife+$E681),(('PTRM input'!$K$158+'PTRM input'!$K$124)*$K$7)-SUM($K681:AJ681),(('PTRM input'!$K$158+'PTRM input'!$K$124)*$K$7)/A16taxstdlife))</f>
        <v>0</v>
      </c>
      <c r="AL681" s="590">
        <f>IF(A16taxstdlife="n/a","n/a",IF(AL$3&gt;(A16taxstdlife+$E681),(('PTRM input'!$K$158+'PTRM input'!$K$124)*$K$7)-SUM($K681:AK681),(('PTRM input'!$K$158+'PTRM input'!$K$124)*$K$7)/A16taxstdlife))</f>
        <v>0</v>
      </c>
      <c r="AM681" s="590">
        <f>IF(A16taxstdlife="n/a","n/a",IF(AM$3&gt;(A16taxstdlife+$E681),(('PTRM input'!$K$158+'PTRM input'!$K$124)*$K$7)-SUM($K681:AL681),(('PTRM input'!$K$158+'PTRM input'!$K$124)*$K$7)/A16taxstdlife))</f>
        <v>0</v>
      </c>
      <c r="AN681" s="590">
        <f>IF(A16taxstdlife="n/a","n/a",IF(AN$3&gt;(A16taxstdlife+$E681),(('PTRM input'!$K$158+'PTRM input'!$K$124)*$K$7)-SUM($K681:AM681),(('PTRM input'!$K$158+'PTRM input'!$K$124)*$K$7)/A16taxstdlife))</f>
        <v>0</v>
      </c>
      <c r="AO681" s="590">
        <f>IF(A16taxstdlife="n/a","n/a",IF(AO$3&gt;(A16taxstdlife+$E681),(('PTRM input'!$K$158+'PTRM input'!$K$124)*$K$7)-SUM($K681:AN681),(('PTRM input'!$K$158+'PTRM input'!$K$124)*$K$7)/A16taxstdlife))</f>
        <v>0</v>
      </c>
      <c r="AP681" s="590">
        <f>IF(A16taxstdlife="n/a","n/a",IF(AP$3&gt;(A16taxstdlife+$E681),(('PTRM input'!$K$158+'PTRM input'!$K$124)*$K$7)-SUM($K681:AO681),(('PTRM input'!$K$158+'PTRM input'!$K$124)*$K$7)/A16taxstdlife))</f>
        <v>0</v>
      </c>
      <c r="AQ681" s="590">
        <f>IF(A16taxstdlife="n/a","n/a",IF(AQ$3&gt;(A16taxstdlife+$E681),(('PTRM input'!$K$158+'PTRM input'!$K$124)*$K$7)-SUM($K681:AP681),(('PTRM input'!$K$158+'PTRM input'!$K$124)*$K$7)/A16taxstdlife))</f>
        <v>0</v>
      </c>
      <c r="AR681" s="590">
        <f>IF(A16taxstdlife="n/a","n/a",IF(AR$3&gt;(A16taxstdlife+$E681),(('PTRM input'!$K$158+'PTRM input'!$K$124)*$K$7)-SUM($K681:AQ681),(('PTRM input'!$K$158+'PTRM input'!$K$124)*$K$7)/A16taxstdlife))</f>
        <v>0</v>
      </c>
      <c r="AS681" s="590">
        <f>IF(A16taxstdlife="n/a","n/a",IF(AS$3&gt;(A16taxstdlife+$E681),(('PTRM input'!$K$158+'PTRM input'!$K$124)*$K$7)-SUM($K681:AR681),(('PTRM input'!$K$158+'PTRM input'!$K$124)*$K$7)/A16taxstdlife))</f>
        <v>0</v>
      </c>
      <c r="AT681" s="590">
        <f>IF(A16taxstdlife="n/a","n/a",IF(AT$3&gt;(A16taxstdlife+$E681),(('PTRM input'!$K$158+'PTRM input'!$K$124)*$K$7)-SUM($K681:AS681),(('PTRM input'!$K$158+'PTRM input'!$K$124)*$K$7)/A16taxstdlife))</f>
        <v>0</v>
      </c>
      <c r="AU681" s="590">
        <f>IF(A16taxstdlife="n/a","n/a",IF(AU$3&gt;(A16taxstdlife+$E681),(('PTRM input'!$K$158+'PTRM input'!$K$124)*$K$7)-SUM($K681:AT681),(('PTRM input'!$K$158+'PTRM input'!$K$124)*$K$7)/A16taxstdlife))</f>
        <v>0</v>
      </c>
      <c r="AV681" s="590">
        <f>IF(A16taxstdlife="n/a","n/a",IF(AV$3&gt;(A16taxstdlife+$E681),(('PTRM input'!$K$158+'PTRM input'!$K$124)*$K$7)-SUM($K681:AU681),(('PTRM input'!$K$158+'PTRM input'!$K$124)*$K$7)/A16taxstdlife))</f>
        <v>0</v>
      </c>
      <c r="AW681" s="590">
        <f>IF(A16taxstdlife="n/a","n/a",IF(AW$3&gt;(A16taxstdlife+$E681),(('PTRM input'!$K$158+'PTRM input'!$K$124)*$K$7)-SUM($K681:AV681),(('PTRM input'!$K$158+'PTRM input'!$K$124)*$K$7)/A16taxstdlife))</f>
        <v>0</v>
      </c>
      <c r="AX681" s="590">
        <f>IF(A16taxstdlife="n/a","n/a",IF(AX$3&gt;(A16taxstdlife+$E681),(('PTRM input'!$K$158+'PTRM input'!$K$124)*$K$7)-SUM($K681:AW681),(('PTRM input'!$K$158+'PTRM input'!$K$124)*$K$7)/A16taxstdlife))</f>
        <v>0</v>
      </c>
      <c r="AY681" s="590">
        <f>IF(A16taxstdlife="n/a","n/a",IF(AY$3&gt;(A16taxstdlife+$E681),(('PTRM input'!$K$158+'PTRM input'!$K$124)*$K$7)-SUM($K681:AX681),(('PTRM input'!$K$158+'PTRM input'!$K$124)*$K$7)/A16taxstdlife))</f>
        <v>0</v>
      </c>
      <c r="AZ681" s="590">
        <f>IF(A16taxstdlife="n/a","n/a",IF(AZ$3&gt;(A16taxstdlife+$E681),(('PTRM input'!$K$158+'PTRM input'!$K$124)*$K$7)-SUM($K681:AY681),(('PTRM input'!$K$158+'PTRM input'!$K$124)*$K$7)/A16taxstdlife))</f>
        <v>0</v>
      </c>
      <c r="BA681" s="590">
        <f>IF(A16taxstdlife="n/a","n/a",IF(BA$3&gt;(A16taxstdlife+$E681),(('PTRM input'!$K$158+'PTRM input'!$K$124)*$K$7)-SUM($K681:AZ681),(('PTRM input'!$K$158+'PTRM input'!$K$124)*$K$7)/A16taxstdlife))</f>
        <v>0</v>
      </c>
      <c r="BB681" s="590">
        <f>IF(A16taxstdlife="n/a","n/a",IF(BB$3&gt;(A16taxstdlife+$E681),(('PTRM input'!$K$158+'PTRM input'!$K$124)*$K$7)-SUM($K681:BA681),(('PTRM input'!$K$158+'PTRM input'!$K$124)*$K$7)/A16taxstdlife))</f>
        <v>0</v>
      </c>
      <c r="BC681" s="590">
        <f>IF(A16taxstdlife="n/a","n/a",IF(BC$3&gt;(A16taxstdlife+$E681),(('PTRM input'!$K$158+'PTRM input'!$K$124)*$K$7)-SUM($K681:BB681),(('PTRM input'!$K$158+'PTRM input'!$K$124)*$K$7)/A16taxstdlife))</f>
        <v>0</v>
      </c>
      <c r="BD681" s="590">
        <f>IF(A16taxstdlife="n/a","n/a",IF(BD$3&gt;(A16taxstdlife+$E681),(('PTRM input'!$K$158+'PTRM input'!$K$124)*$K$7)-SUM($K681:BC681),(('PTRM input'!$K$158+'PTRM input'!$K$124)*$K$7)/A16taxstdlife))</f>
        <v>0</v>
      </c>
      <c r="BE681" s="590">
        <f>IF(A16taxstdlife="n/a","n/a",IF(BE$3&gt;(A16taxstdlife+$E681),(('PTRM input'!$K$158+'PTRM input'!$K$124)*$K$7)-SUM($K681:BD681),(('PTRM input'!$K$158+'PTRM input'!$K$124)*$K$7)/A16taxstdlife))</f>
        <v>0</v>
      </c>
      <c r="BF681" s="590">
        <f>IF(A16taxstdlife="n/a","n/a",IF(BF$3&gt;(A16taxstdlife+$E681),(('PTRM input'!$K$158+'PTRM input'!$K$124)*$K$7)-SUM($K681:BE681),(('PTRM input'!$K$158+'PTRM input'!$K$124)*$K$7)/A16taxstdlife))</f>
        <v>0</v>
      </c>
      <c r="BG681" s="590">
        <f>IF(A16taxstdlife="n/a","n/a",IF(BG$3&gt;(A16taxstdlife+$E681),(('PTRM input'!$K$158+'PTRM input'!$K$124)*$K$7)-SUM($K681:BF681),(('PTRM input'!$K$158+'PTRM input'!$K$124)*$K$7)/A16taxstdlife))</f>
        <v>0</v>
      </c>
      <c r="BH681" s="590">
        <f>IF(A16taxstdlife="n/a","n/a",IF(BH$3&gt;(A16taxstdlife+$E681),(('PTRM input'!$K$158+'PTRM input'!$K$124)*$K$7)-SUM($K681:BG681),(('PTRM input'!$K$158+'PTRM input'!$K$124)*$K$7)/A16taxstdlife))</f>
        <v>0</v>
      </c>
      <c r="BI681" s="590">
        <f>IF(A16taxstdlife="n/a","n/a",IF(BI$3&gt;(A16taxstdlife+$E681),(('PTRM input'!$K$158+'PTRM input'!$K$124)*$K$7)-SUM($K681:BH681),(('PTRM input'!$K$158+'PTRM input'!$K$124)*$K$7)/A16taxstdlife))</f>
        <v>0</v>
      </c>
      <c r="BJ681" s="240"/>
      <c r="BK681" s="240"/>
      <c r="BL681" s="240"/>
      <c r="BM681" s="240"/>
    </row>
    <row r="682" spans="1:65" s="4" customFormat="1" hidden="1" outlineLevel="2">
      <c r="A682" s="240"/>
      <c r="B682" s="240"/>
      <c r="C682" s="595"/>
      <c r="D682" s="1618"/>
      <c r="E682" s="169">
        <v>6</v>
      </c>
      <c r="F682" s="35"/>
      <c r="G682" s="184"/>
      <c r="H682" s="186"/>
      <c r="I682" s="186"/>
      <c r="J682" s="186"/>
      <c r="K682" s="186"/>
      <c r="L682" s="185"/>
      <c r="M682" s="107">
        <f>IF(A16taxstdlife="n/a","n/a",IF(M$3&gt;(A16taxstdlife+$E682),(('PTRM input'!$L$158+'PTRM input'!$L$124)*$L$7)-SUM($L682:L682),(('PTRM input'!$L$158+'PTRM input'!$L$124)*$L$7)/A16taxstdlife))</f>
        <v>0</v>
      </c>
      <c r="N682" s="107">
        <f>IF(A16taxstdlife="n/a","n/a",IF(N$3&gt;(A16taxstdlife+$E682),(('PTRM input'!$L$158+'PTRM input'!$L$124)*$L$7)-SUM($L682:M682),(('PTRM input'!$L$158+'PTRM input'!$L$124)*$L$7)/A16taxstdlife))</f>
        <v>0</v>
      </c>
      <c r="O682" s="107">
        <f>IF(A16taxstdlife="n/a","n/a",IF(O$3&gt;(A16taxstdlife+$E682),(('PTRM input'!$L$158+'PTRM input'!$L$124)*$L$7)-SUM($L682:N682),(('PTRM input'!$L$158+'PTRM input'!$L$124)*$L$7)/A16taxstdlife))</f>
        <v>0</v>
      </c>
      <c r="P682" s="107">
        <f>IF(A16taxstdlife="n/a","n/a",IF(P$3&gt;(A16taxstdlife+$E682),(('PTRM input'!$L$158+'PTRM input'!$L$124)*$L$7)-SUM($L682:O682),(('PTRM input'!$L$158+'PTRM input'!$L$124)*$L$7)/A16taxstdlife))</f>
        <v>0</v>
      </c>
      <c r="Q682" s="590">
        <f>IF(A16taxstdlife="n/a","n/a",IF(Q$3&gt;(A16taxstdlife+$E682),(('PTRM input'!$L$158+'PTRM input'!$L$124)*$L$7)-SUM($L682:P682),(('PTRM input'!$L$158+'PTRM input'!$L$124)*$L$7)/A16taxstdlife))</f>
        <v>0</v>
      </c>
      <c r="R682" s="590">
        <f>IF(A16taxstdlife="n/a","n/a",IF(R$3&gt;(A16taxstdlife+$E682),(('PTRM input'!$L$158+'PTRM input'!$L$124)*$L$7)-SUM($L682:Q682),(('PTRM input'!$L$158+'PTRM input'!$L$124)*$L$7)/A16taxstdlife))</f>
        <v>0</v>
      </c>
      <c r="S682" s="590">
        <f>IF(A16taxstdlife="n/a","n/a",IF(S$3&gt;(A16taxstdlife+$E682),(('PTRM input'!$L$158+'PTRM input'!$L$124)*$L$7)-SUM($L682:R682),(('PTRM input'!$L$158+'PTRM input'!$L$124)*$L$7)/A16taxstdlife))</f>
        <v>0</v>
      </c>
      <c r="T682" s="590">
        <f>IF(A16taxstdlife="n/a","n/a",IF(T$3&gt;(A16taxstdlife+$E682),(('PTRM input'!$L$158+'PTRM input'!$L$124)*$L$7)-SUM($L682:S682),(('PTRM input'!$L$158+'PTRM input'!$L$124)*$L$7)/A16taxstdlife))</f>
        <v>0</v>
      </c>
      <c r="U682" s="590">
        <f>IF(A16taxstdlife="n/a","n/a",IF(U$3&gt;(A16taxstdlife+$E682),(('PTRM input'!$L$158+'PTRM input'!$L$124)*$L$7)-SUM($L682:T682),(('PTRM input'!$L$158+'PTRM input'!$L$124)*$L$7)/A16taxstdlife))</f>
        <v>0</v>
      </c>
      <c r="V682" s="590">
        <f>IF(A16taxstdlife="n/a","n/a",IF(V$3&gt;(A16taxstdlife+$E682),(('PTRM input'!$L$158+'PTRM input'!$L$124)*$L$7)-SUM($L682:U682),(('PTRM input'!$L$158+'PTRM input'!$L$124)*$L$7)/A16taxstdlife))</f>
        <v>0</v>
      </c>
      <c r="W682" s="590">
        <f>IF(A16taxstdlife="n/a","n/a",IF(W$3&gt;(A16taxstdlife+$E682),(('PTRM input'!$L$158+'PTRM input'!$L$124)*$L$7)-SUM($L682:V682),(('PTRM input'!$L$158+'PTRM input'!$L$124)*$L$7)/A16taxstdlife))</f>
        <v>0</v>
      </c>
      <c r="X682" s="590">
        <f>IF(A16taxstdlife="n/a","n/a",IF(X$3&gt;(A16taxstdlife+$E682),(('PTRM input'!$L$158+'PTRM input'!$L$124)*$L$7)-SUM($L682:W682),(('PTRM input'!$L$158+'PTRM input'!$L$124)*$L$7)/A16taxstdlife))</f>
        <v>0</v>
      </c>
      <c r="Y682" s="590">
        <f>IF(A16taxstdlife="n/a","n/a",IF(Y$3&gt;(A16taxstdlife+$E682),(('PTRM input'!$L$158+'PTRM input'!$L$124)*$L$7)-SUM($L682:X682),(('PTRM input'!$L$158+'PTRM input'!$L$124)*$L$7)/A16taxstdlife))</f>
        <v>0</v>
      </c>
      <c r="Z682" s="590">
        <f>IF(A16taxstdlife="n/a","n/a",IF(Z$3&gt;(A16taxstdlife+$E682),(('PTRM input'!$L$158+'PTRM input'!$L$124)*$L$7)-SUM($L682:Y682),(('PTRM input'!$L$158+'PTRM input'!$L$124)*$L$7)/A16taxstdlife))</f>
        <v>0</v>
      </c>
      <c r="AA682" s="590">
        <f>IF(A16taxstdlife="n/a","n/a",IF(AA$3&gt;(A16taxstdlife+$E682),(('PTRM input'!$L$158+'PTRM input'!$L$124)*$L$7)-SUM($L682:Z682),(('PTRM input'!$L$158+'PTRM input'!$L$124)*$L$7)/A16taxstdlife))</f>
        <v>0</v>
      </c>
      <c r="AB682" s="590">
        <f>IF(A16taxstdlife="n/a","n/a",IF(AB$3&gt;(A16taxstdlife+$E682),(('PTRM input'!$L$158+'PTRM input'!$L$124)*$L$7)-SUM($L682:AA682),(('PTRM input'!$L$158+'PTRM input'!$L$124)*$L$7)/A16taxstdlife))</f>
        <v>0</v>
      </c>
      <c r="AC682" s="590">
        <f>IF(A16taxstdlife="n/a","n/a",IF(AC$3&gt;(A16taxstdlife+$E682),(('PTRM input'!$L$158+'PTRM input'!$L$124)*$L$7)-SUM($L682:AB682),(('PTRM input'!$L$158+'PTRM input'!$L$124)*$L$7)/A16taxstdlife))</f>
        <v>0</v>
      </c>
      <c r="AD682" s="590">
        <f>IF(A16taxstdlife="n/a","n/a",IF(AD$3&gt;(A16taxstdlife+$E682),(('PTRM input'!$L$158+'PTRM input'!$L$124)*$L$7)-SUM($L682:AC682),(('PTRM input'!$L$158+'PTRM input'!$L$124)*$L$7)/A16taxstdlife))</f>
        <v>0</v>
      </c>
      <c r="AE682" s="590">
        <f>IF(A16taxstdlife="n/a","n/a",IF(AE$3&gt;(A16taxstdlife+$E682),(('PTRM input'!$L$158+'PTRM input'!$L$124)*$L$7)-SUM($L682:AD682),(('PTRM input'!$L$158+'PTRM input'!$L$124)*$L$7)/A16taxstdlife))</f>
        <v>0</v>
      </c>
      <c r="AF682" s="590">
        <f>IF(A16taxstdlife="n/a","n/a",IF(AF$3&gt;(A16taxstdlife+$E682),(('PTRM input'!$L$158+'PTRM input'!$L$124)*$L$7)-SUM($L682:AE682),(('PTRM input'!$L$158+'PTRM input'!$L$124)*$L$7)/A16taxstdlife))</f>
        <v>0</v>
      </c>
      <c r="AG682" s="590">
        <f>IF(A16taxstdlife="n/a","n/a",IF(AG$3&gt;(A16taxstdlife+$E682),(('PTRM input'!$L$158+'PTRM input'!$L$124)*$L$7)-SUM($L682:AF682),(('PTRM input'!$L$158+'PTRM input'!$L$124)*$L$7)/A16taxstdlife))</f>
        <v>0</v>
      </c>
      <c r="AH682" s="590">
        <f>IF(A16taxstdlife="n/a","n/a",IF(AH$3&gt;(A16taxstdlife+$E682),(('PTRM input'!$L$158+'PTRM input'!$L$124)*$L$7)-SUM($L682:AG682),(('PTRM input'!$L$158+'PTRM input'!$L$124)*$L$7)/A16taxstdlife))</f>
        <v>0</v>
      </c>
      <c r="AI682" s="590">
        <f>IF(A16taxstdlife="n/a","n/a",IF(AI$3&gt;(A16taxstdlife+$E682),(('PTRM input'!$L$158+'PTRM input'!$L$124)*$L$7)-SUM($L682:AH682),(('PTRM input'!$L$158+'PTRM input'!$L$124)*$L$7)/A16taxstdlife))</f>
        <v>0</v>
      </c>
      <c r="AJ682" s="590">
        <f>IF(A16taxstdlife="n/a","n/a",IF(AJ$3&gt;(A16taxstdlife+$E682),(('PTRM input'!$L$158+'PTRM input'!$L$124)*$L$7)-SUM($L682:AI682),(('PTRM input'!$L$158+'PTRM input'!$L$124)*$L$7)/A16taxstdlife))</f>
        <v>0</v>
      </c>
      <c r="AK682" s="590">
        <f>IF(A16taxstdlife="n/a","n/a",IF(AK$3&gt;(A16taxstdlife+$E682),(('PTRM input'!$L$158+'PTRM input'!$L$124)*$L$7)-SUM($L682:AJ682),(('PTRM input'!$L$158+'PTRM input'!$L$124)*$L$7)/A16taxstdlife))</f>
        <v>0</v>
      </c>
      <c r="AL682" s="590">
        <f>IF(A16taxstdlife="n/a","n/a",IF(AL$3&gt;(A16taxstdlife+$E682),(('PTRM input'!$L$158+'PTRM input'!$L$124)*$L$7)-SUM($L682:AK682),(('PTRM input'!$L$158+'PTRM input'!$L$124)*$L$7)/A16taxstdlife))</f>
        <v>0</v>
      </c>
      <c r="AM682" s="590">
        <f>IF(A16taxstdlife="n/a","n/a",IF(AM$3&gt;(A16taxstdlife+$E682),(('PTRM input'!$L$158+'PTRM input'!$L$124)*$L$7)-SUM($L682:AL682),(('PTRM input'!$L$158+'PTRM input'!$L$124)*$L$7)/A16taxstdlife))</f>
        <v>0</v>
      </c>
      <c r="AN682" s="590">
        <f>IF(A16taxstdlife="n/a","n/a",IF(AN$3&gt;(A16taxstdlife+$E682),(('PTRM input'!$L$158+'PTRM input'!$L$124)*$L$7)-SUM($L682:AM682),(('PTRM input'!$L$158+'PTRM input'!$L$124)*$L$7)/A16taxstdlife))</f>
        <v>0</v>
      </c>
      <c r="AO682" s="590">
        <f>IF(A16taxstdlife="n/a","n/a",IF(AO$3&gt;(A16taxstdlife+$E682),(('PTRM input'!$L$158+'PTRM input'!$L$124)*$L$7)-SUM($L682:AN682),(('PTRM input'!$L$158+'PTRM input'!$L$124)*$L$7)/A16taxstdlife))</f>
        <v>0</v>
      </c>
      <c r="AP682" s="590">
        <f>IF(A16taxstdlife="n/a","n/a",IF(AP$3&gt;(A16taxstdlife+$E682),(('PTRM input'!$L$158+'PTRM input'!$L$124)*$L$7)-SUM($L682:AO682),(('PTRM input'!$L$158+'PTRM input'!$L$124)*$L$7)/A16taxstdlife))</f>
        <v>0</v>
      </c>
      <c r="AQ682" s="590">
        <f>IF(A16taxstdlife="n/a","n/a",IF(AQ$3&gt;(A16taxstdlife+$E682),(('PTRM input'!$L$158+'PTRM input'!$L$124)*$L$7)-SUM($L682:AP682),(('PTRM input'!$L$158+'PTRM input'!$L$124)*$L$7)/A16taxstdlife))</f>
        <v>0</v>
      </c>
      <c r="AR682" s="590">
        <f>IF(A16taxstdlife="n/a","n/a",IF(AR$3&gt;(A16taxstdlife+$E682),(('PTRM input'!$L$158+'PTRM input'!$L$124)*$L$7)-SUM($L682:AQ682),(('PTRM input'!$L$158+'PTRM input'!$L$124)*$L$7)/A16taxstdlife))</f>
        <v>0</v>
      </c>
      <c r="AS682" s="590">
        <f>IF(A16taxstdlife="n/a","n/a",IF(AS$3&gt;(A16taxstdlife+$E682),(('PTRM input'!$L$158+'PTRM input'!$L$124)*$L$7)-SUM($L682:AR682),(('PTRM input'!$L$158+'PTRM input'!$L$124)*$L$7)/A16taxstdlife))</f>
        <v>0</v>
      </c>
      <c r="AT682" s="590">
        <f>IF(A16taxstdlife="n/a","n/a",IF(AT$3&gt;(A16taxstdlife+$E682),(('PTRM input'!$L$158+'PTRM input'!$L$124)*$L$7)-SUM($L682:AS682),(('PTRM input'!$L$158+'PTRM input'!$L$124)*$L$7)/A16taxstdlife))</f>
        <v>0</v>
      </c>
      <c r="AU682" s="590">
        <f>IF(A16taxstdlife="n/a","n/a",IF(AU$3&gt;(A16taxstdlife+$E682),(('PTRM input'!$L$158+'PTRM input'!$L$124)*$L$7)-SUM($L682:AT682),(('PTRM input'!$L$158+'PTRM input'!$L$124)*$L$7)/A16taxstdlife))</f>
        <v>0</v>
      </c>
      <c r="AV682" s="590">
        <f>IF(A16taxstdlife="n/a","n/a",IF(AV$3&gt;(A16taxstdlife+$E682),(('PTRM input'!$L$158+'PTRM input'!$L$124)*$L$7)-SUM($L682:AU682),(('PTRM input'!$L$158+'PTRM input'!$L$124)*$L$7)/A16taxstdlife))</f>
        <v>0</v>
      </c>
      <c r="AW682" s="590">
        <f>IF(A16taxstdlife="n/a","n/a",IF(AW$3&gt;(A16taxstdlife+$E682),(('PTRM input'!$L$158+'PTRM input'!$L$124)*$L$7)-SUM($L682:AV682),(('PTRM input'!$L$158+'PTRM input'!$L$124)*$L$7)/A16taxstdlife))</f>
        <v>0</v>
      </c>
      <c r="AX682" s="590">
        <f>IF(A16taxstdlife="n/a","n/a",IF(AX$3&gt;(A16taxstdlife+$E682),(('PTRM input'!$L$158+'PTRM input'!$L$124)*$L$7)-SUM($L682:AW682),(('PTRM input'!$L$158+'PTRM input'!$L$124)*$L$7)/A16taxstdlife))</f>
        <v>0</v>
      </c>
      <c r="AY682" s="590">
        <f>IF(A16taxstdlife="n/a","n/a",IF(AY$3&gt;(A16taxstdlife+$E682),(('PTRM input'!$L$158+'PTRM input'!$L$124)*$L$7)-SUM($L682:AX682),(('PTRM input'!$L$158+'PTRM input'!$L$124)*$L$7)/A16taxstdlife))</f>
        <v>0</v>
      </c>
      <c r="AZ682" s="590">
        <f>IF(A16taxstdlife="n/a","n/a",IF(AZ$3&gt;(A16taxstdlife+$E682),(('PTRM input'!$L$158+'PTRM input'!$L$124)*$L$7)-SUM($L682:AY682),(('PTRM input'!$L$158+'PTRM input'!$L$124)*$L$7)/A16taxstdlife))</f>
        <v>0</v>
      </c>
      <c r="BA682" s="590">
        <f>IF(A16taxstdlife="n/a","n/a",IF(BA$3&gt;(A16taxstdlife+$E682),(('PTRM input'!$L$158+'PTRM input'!$L$124)*$L$7)-SUM($L682:AZ682),(('PTRM input'!$L$158+'PTRM input'!$L$124)*$L$7)/A16taxstdlife))</f>
        <v>0</v>
      </c>
      <c r="BB682" s="590">
        <f>IF(A16taxstdlife="n/a","n/a",IF(BB$3&gt;(A16taxstdlife+$E682),(('PTRM input'!$L$158+'PTRM input'!$L$124)*$L$7)-SUM($L682:BA682),(('PTRM input'!$L$158+'PTRM input'!$L$124)*$L$7)/A16taxstdlife))</f>
        <v>0</v>
      </c>
      <c r="BC682" s="590">
        <f>IF(A16taxstdlife="n/a","n/a",IF(BC$3&gt;(A16taxstdlife+$E682),(('PTRM input'!$L$158+'PTRM input'!$L$124)*$L$7)-SUM($L682:BB682),(('PTRM input'!$L$158+'PTRM input'!$L$124)*$L$7)/A16taxstdlife))</f>
        <v>0</v>
      </c>
      <c r="BD682" s="590">
        <f>IF(A16taxstdlife="n/a","n/a",IF(BD$3&gt;(A16taxstdlife+$E682),(('PTRM input'!$L$158+'PTRM input'!$L$124)*$L$7)-SUM($L682:BC682),(('PTRM input'!$L$158+'PTRM input'!$L$124)*$L$7)/A16taxstdlife))</f>
        <v>0</v>
      </c>
      <c r="BE682" s="590">
        <f>IF(A16taxstdlife="n/a","n/a",IF(BE$3&gt;(A16taxstdlife+$E682),(('PTRM input'!$L$158+'PTRM input'!$L$124)*$L$7)-SUM($L682:BD682),(('PTRM input'!$L$158+'PTRM input'!$L$124)*$L$7)/A16taxstdlife))</f>
        <v>0</v>
      </c>
      <c r="BF682" s="590">
        <f>IF(A16taxstdlife="n/a","n/a",IF(BF$3&gt;(A16taxstdlife+$E682),(('PTRM input'!$L$158+'PTRM input'!$L$124)*$L$7)-SUM($L682:BE682),(('PTRM input'!$L$158+'PTRM input'!$L$124)*$L$7)/A16taxstdlife))</f>
        <v>0</v>
      </c>
      <c r="BG682" s="590">
        <f>IF(A16taxstdlife="n/a","n/a",IF(BG$3&gt;(A16taxstdlife+$E682),(('PTRM input'!$L$158+'PTRM input'!$L$124)*$L$7)-SUM($L682:BF682),(('PTRM input'!$L$158+'PTRM input'!$L$124)*$L$7)/A16taxstdlife))</f>
        <v>0</v>
      </c>
      <c r="BH682" s="590">
        <f>IF(A16taxstdlife="n/a","n/a",IF(BH$3&gt;(A16taxstdlife+$E682),(('PTRM input'!$L$158+'PTRM input'!$L$124)*$L$7)-SUM($L682:BG682),(('PTRM input'!$L$158+'PTRM input'!$L$124)*$L$7)/A16taxstdlife))</f>
        <v>0</v>
      </c>
      <c r="BI682" s="590">
        <f>IF(A16taxstdlife="n/a","n/a",IF(BI$3&gt;(A16taxstdlife+$E682),(('PTRM input'!$L$158+'PTRM input'!$L$124)*$L$7)-SUM($L682:BH682),(('PTRM input'!$L$158+'PTRM input'!$L$124)*$L$7)/A16taxstdlife))</f>
        <v>0</v>
      </c>
      <c r="BJ682" s="240"/>
      <c r="BK682" s="240"/>
      <c r="BL682" s="240"/>
      <c r="BM682" s="240"/>
    </row>
    <row r="683" spans="1:65" s="4" customFormat="1" hidden="1" outlineLevel="2">
      <c r="A683" s="240"/>
      <c r="B683" s="240"/>
      <c r="C683" s="595"/>
      <c r="D683" s="1618"/>
      <c r="E683" s="169">
        <v>7</v>
      </c>
      <c r="F683" s="35"/>
      <c r="G683" s="184"/>
      <c r="H683" s="186"/>
      <c r="I683" s="186"/>
      <c r="J683" s="186"/>
      <c r="K683" s="186"/>
      <c r="L683" s="186"/>
      <c r="M683" s="185"/>
      <c r="N683" s="107">
        <f>IF(A16taxstdlife="n/a","n/a",IF(N$3&gt;(A16taxstdlife+$E683),(('PTRM input'!$M$158+'PTRM input'!$M$124)*$M$7)-SUM($M683:M683),(('PTRM input'!$M$158+'PTRM input'!$M$124)*$M$7)/A16taxstdlife))</f>
        <v>0</v>
      </c>
      <c r="O683" s="107">
        <f>IF(A16taxstdlife="n/a","n/a",IF(O$3&gt;(A16taxstdlife+$E683),(('PTRM input'!$M$158+'PTRM input'!$M$124)*$M$7)-SUM($M683:N683),(('PTRM input'!$M$158+'PTRM input'!$M$124)*$M$7)/A16taxstdlife))</f>
        <v>0</v>
      </c>
      <c r="P683" s="107">
        <f>IF(A16taxstdlife="n/a","n/a",IF(P$3&gt;(A16taxstdlife+$E683),(('PTRM input'!$M$158+'PTRM input'!$M$124)*$M$7)-SUM($M683:O683),(('PTRM input'!$M$158+'PTRM input'!$M$124)*$M$7)/A16taxstdlife))</f>
        <v>0</v>
      </c>
      <c r="Q683" s="590">
        <f>IF(A16taxstdlife="n/a","n/a",IF(Q$3&gt;(A16taxstdlife+$E683),(('PTRM input'!$M$158+'PTRM input'!$M$124)*$M$7)-SUM($M683:P683),(('PTRM input'!$M$158+'PTRM input'!$M$124)*$M$7)/A16taxstdlife))</f>
        <v>0</v>
      </c>
      <c r="R683" s="590">
        <f>IF(A16taxstdlife="n/a","n/a",IF(R$3&gt;(A16taxstdlife+$E683),(('PTRM input'!$M$158+'PTRM input'!$M$124)*$M$7)-SUM($M683:Q683),(('PTRM input'!$M$158+'PTRM input'!$M$124)*$M$7)/A16taxstdlife))</f>
        <v>0</v>
      </c>
      <c r="S683" s="590">
        <f>IF(A16taxstdlife="n/a","n/a",IF(S$3&gt;(A16taxstdlife+$E683),(('PTRM input'!$M$158+'PTRM input'!$M$124)*$M$7)-SUM($M683:R683),(('PTRM input'!$M$158+'PTRM input'!$M$124)*$M$7)/A16taxstdlife))</f>
        <v>0</v>
      </c>
      <c r="T683" s="590">
        <f>IF(A16taxstdlife="n/a","n/a",IF(T$3&gt;(A16taxstdlife+$E683),(('PTRM input'!$M$158+'PTRM input'!$M$124)*$M$7)-SUM($M683:S683),(('PTRM input'!$M$158+'PTRM input'!$M$124)*$M$7)/A16taxstdlife))</f>
        <v>0</v>
      </c>
      <c r="U683" s="590">
        <f>IF(A16taxstdlife="n/a","n/a",IF(U$3&gt;(A16taxstdlife+$E683),(('PTRM input'!$M$158+'PTRM input'!$M$124)*$M$7)-SUM($M683:T683),(('PTRM input'!$M$158+'PTRM input'!$M$124)*$M$7)/A16taxstdlife))</f>
        <v>0</v>
      </c>
      <c r="V683" s="590">
        <f>IF(A16taxstdlife="n/a","n/a",IF(V$3&gt;(A16taxstdlife+$E683),(('PTRM input'!$M$158+'PTRM input'!$M$124)*$M$7)-SUM($M683:U683),(('PTRM input'!$M$158+'PTRM input'!$M$124)*$M$7)/A16taxstdlife))</f>
        <v>0</v>
      </c>
      <c r="W683" s="590">
        <f>IF(A16taxstdlife="n/a","n/a",IF(W$3&gt;(A16taxstdlife+$E683),(('PTRM input'!$M$158+'PTRM input'!$M$124)*$M$7)-SUM($M683:V683),(('PTRM input'!$M$158+'PTRM input'!$M$124)*$M$7)/A16taxstdlife))</f>
        <v>0</v>
      </c>
      <c r="X683" s="590">
        <f>IF(A16taxstdlife="n/a","n/a",IF(X$3&gt;(A16taxstdlife+$E683),(('PTRM input'!$M$158+'PTRM input'!$M$124)*$M$7)-SUM($M683:W683),(('PTRM input'!$M$158+'PTRM input'!$M$124)*$M$7)/A16taxstdlife))</f>
        <v>0</v>
      </c>
      <c r="Y683" s="590">
        <f>IF(A16taxstdlife="n/a","n/a",IF(Y$3&gt;(A16taxstdlife+$E683),(('PTRM input'!$M$158+'PTRM input'!$M$124)*$M$7)-SUM($M683:X683),(('PTRM input'!$M$158+'PTRM input'!$M$124)*$M$7)/A16taxstdlife))</f>
        <v>0</v>
      </c>
      <c r="Z683" s="590">
        <f>IF(A16taxstdlife="n/a","n/a",IF(Z$3&gt;(A16taxstdlife+$E683),(('PTRM input'!$M$158+'PTRM input'!$M$124)*$M$7)-SUM($M683:Y683),(('PTRM input'!$M$158+'PTRM input'!$M$124)*$M$7)/A16taxstdlife))</f>
        <v>0</v>
      </c>
      <c r="AA683" s="590">
        <f>IF(A16taxstdlife="n/a","n/a",IF(AA$3&gt;(A16taxstdlife+$E683),(('PTRM input'!$M$158+'PTRM input'!$M$124)*$M$7)-SUM($M683:Z683),(('PTRM input'!$M$158+'PTRM input'!$M$124)*$M$7)/A16taxstdlife))</f>
        <v>0</v>
      </c>
      <c r="AB683" s="590">
        <f>IF(A16taxstdlife="n/a","n/a",IF(AB$3&gt;(A16taxstdlife+$E683),(('PTRM input'!$M$158+'PTRM input'!$M$124)*$M$7)-SUM($M683:AA683),(('PTRM input'!$M$158+'PTRM input'!$M$124)*$M$7)/A16taxstdlife))</f>
        <v>0</v>
      </c>
      <c r="AC683" s="590">
        <f>IF(A16taxstdlife="n/a","n/a",IF(AC$3&gt;(A16taxstdlife+$E683),(('PTRM input'!$M$158+'PTRM input'!$M$124)*$M$7)-SUM($M683:AB683),(('PTRM input'!$M$158+'PTRM input'!$M$124)*$M$7)/A16taxstdlife))</f>
        <v>0</v>
      </c>
      <c r="AD683" s="590">
        <f>IF(A16taxstdlife="n/a","n/a",IF(AD$3&gt;(A16taxstdlife+$E683),(('PTRM input'!$M$158+'PTRM input'!$M$124)*$M$7)-SUM($M683:AC683),(('PTRM input'!$M$158+'PTRM input'!$M$124)*$M$7)/A16taxstdlife))</f>
        <v>0</v>
      </c>
      <c r="AE683" s="590">
        <f>IF(A16taxstdlife="n/a","n/a",IF(AE$3&gt;(A16taxstdlife+$E683),(('PTRM input'!$M$158+'PTRM input'!$M$124)*$M$7)-SUM($M683:AD683),(('PTRM input'!$M$158+'PTRM input'!$M$124)*$M$7)/A16taxstdlife))</f>
        <v>0</v>
      </c>
      <c r="AF683" s="590">
        <f>IF(A16taxstdlife="n/a","n/a",IF(AF$3&gt;(A16taxstdlife+$E683),(('PTRM input'!$M$158+'PTRM input'!$M$124)*$M$7)-SUM($M683:AE683),(('PTRM input'!$M$158+'PTRM input'!$M$124)*$M$7)/A16taxstdlife))</f>
        <v>0</v>
      </c>
      <c r="AG683" s="590">
        <f>IF(A16taxstdlife="n/a","n/a",IF(AG$3&gt;(A16taxstdlife+$E683),(('PTRM input'!$M$158+'PTRM input'!$M$124)*$M$7)-SUM($M683:AF683),(('PTRM input'!$M$158+'PTRM input'!$M$124)*$M$7)/A16taxstdlife))</f>
        <v>0</v>
      </c>
      <c r="AH683" s="590">
        <f>IF(A16taxstdlife="n/a","n/a",IF(AH$3&gt;(A16taxstdlife+$E683),(('PTRM input'!$M$158+'PTRM input'!$M$124)*$M$7)-SUM($M683:AG683),(('PTRM input'!$M$158+'PTRM input'!$M$124)*$M$7)/A16taxstdlife))</f>
        <v>0</v>
      </c>
      <c r="AI683" s="590">
        <f>IF(A16taxstdlife="n/a","n/a",IF(AI$3&gt;(A16taxstdlife+$E683),(('PTRM input'!$M$158+'PTRM input'!$M$124)*$M$7)-SUM($M683:AH683),(('PTRM input'!$M$158+'PTRM input'!$M$124)*$M$7)/A16taxstdlife))</f>
        <v>0</v>
      </c>
      <c r="AJ683" s="590">
        <f>IF(A16taxstdlife="n/a","n/a",IF(AJ$3&gt;(A16taxstdlife+$E683),(('PTRM input'!$M$158+'PTRM input'!$M$124)*$M$7)-SUM($M683:AI683),(('PTRM input'!$M$158+'PTRM input'!$M$124)*$M$7)/A16taxstdlife))</f>
        <v>0</v>
      </c>
      <c r="AK683" s="590">
        <f>IF(A16taxstdlife="n/a","n/a",IF(AK$3&gt;(A16taxstdlife+$E683),(('PTRM input'!$M$158+'PTRM input'!$M$124)*$M$7)-SUM($M683:AJ683),(('PTRM input'!$M$158+'PTRM input'!$M$124)*$M$7)/A16taxstdlife))</f>
        <v>0</v>
      </c>
      <c r="AL683" s="590">
        <f>IF(A16taxstdlife="n/a","n/a",IF(AL$3&gt;(A16taxstdlife+$E683),(('PTRM input'!$M$158+'PTRM input'!$M$124)*$M$7)-SUM($M683:AK683),(('PTRM input'!$M$158+'PTRM input'!$M$124)*$M$7)/A16taxstdlife))</f>
        <v>0</v>
      </c>
      <c r="AM683" s="590">
        <f>IF(A16taxstdlife="n/a","n/a",IF(AM$3&gt;(A16taxstdlife+$E683),(('PTRM input'!$M$158+'PTRM input'!$M$124)*$M$7)-SUM($M683:AL683),(('PTRM input'!$M$158+'PTRM input'!$M$124)*$M$7)/A16taxstdlife))</f>
        <v>0</v>
      </c>
      <c r="AN683" s="590">
        <f>IF(A16taxstdlife="n/a","n/a",IF(AN$3&gt;(A16taxstdlife+$E683),(('PTRM input'!$M$158+'PTRM input'!$M$124)*$M$7)-SUM($M683:AM683),(('PTRM input'!$M$158+'PTRM input'!$M$124)*$M$7)/A16taxstdlife))</f>
        <v>0</v>
      </c>
      <c r="AO683" s="590">
        <f>IF(A16taxstdlife="n/a","n/a",IF(AO$3&gt;(A16taxstdlife+$E683),(('PTRM input'!$M$158+'PTRM input'!$M$124)*$M$7)-SUM($M683:AN683),(('PTRM input'!$M$158+'PTRM input'!$M$124)*$M$7)/A16taxstdlife))</f>
        <v>0</v>
      </c>
      <c r="AP683" s="590">
        <f>IF(A16taxstdlife="n/a","n/a",IF(AP$3&gt;(A16taxstdlife+$E683),(('PTRM input'!$M$158+'PTRM input'!$M$124)*$M$7)-SUM($M683:AO683),(('PTRM input'!$M$158+'PTRM input'!$M$124)*$M$7)/A16taxstdlife))</f>
        <v>0</v>
      </c>
      <c r="AQ683" s="590">
        <f>IF(A16taxstdlife="n/a","n/a",IF(AQ$3&gt;(A16taxstdlife+$E683),(('PTRM input'!$M$158+'PTRM input'!$M$124)*$M$7)-SUM($M683:AP683),(('PTRM input'!$M$158+'PTRM input'!$M$124)*$M$7)/A16taxstdlife))</f>
        <v>0</v>
      </c>
      <c r="AR683" s="590">
        <f>IF(A16taxstdlife="n/a","n/a",IF(AR$3&gt;(A16taxstdlife+$E683),(('PTRM input'!$M$158+'PTRM input'!$M$124)*$M$7)-SUM($M683:AQ683),(('PTRM input'!$M$158+'PTRM input'!$M$124)*$M$7)/A16taxstdlife))</f>
        <v>0</v>
      </c>
      <c r="AS683" s="590">
        <f>IF(A16taxstdlife="n/a","n/a",IF(AS$3&gt;(A16taxstdlife+$E683),(('PTRM input'!$M$158+'PTRM input'!$M$124)*$M$7)-SUM($M683:AR683),(('PTRM input'!$M$158+'PTRM input'!$M$124)*$M$7)/A16taxstdlife))</f>
        <v>0</v>
      </c>
      <c r="AT683" s="590">
        <f>IF(A16taxstdlife="n/a","n/a",IF(AT$3&gt;(A16taxstdlife+$E683),(('PTRM input'!$M$158+'PTRM input'!$M$124)*$M$7)-SUM($M683:AS683),(('PTRM input'!$M$158+'PTRM input'!$M$124)*$M$7)/A16taxstdlife))</f>
        <v>0</v>
      </c>
      <c r="AU683" s="590">
        <f>IF(A16taxstdlife="n/a","n/a",IF(AU$3&gt;(A16taxstdlife+$E683),(('PTRM input'!$M$158+'PTRM input'!$M$124)*$M$7)-SUM($M683:AT683),(('PTRM input'!$M$158+'PTRM input'!$M$124)*$M$7)/A16taxstdlife))</f>
        <v>0</v>
      </c>
      <c r="AV683" s="590">
        <f>IF(A16taxstdlife="n/a","n/a",IF(AV$3&gt;(A16taxstdlife+$E683),(('PTRM input'!$M$158+'PTRM input'!$M$124)*$M$7)-SUM($M683:AU683),(('PTRM input'!$M$158+'PTRM input'!$M$124)*$M$7)/A16taxstdlife))</f>
        <v>0</v>
      </c>
      <c r="AW683" s="590">
        <f>IF(A16taxstdlife="n/a","n/a",IF(AW$3&gt;(A16taxstdlife+$E683),(('PTRM input'!$M$158+'PTRM input'!$M$124)*$M$7)-SUM($M683:AV683),(('PTRM input'!$M$158+'PTRM input'!$M$124)*$M$7)/A16taxstdlife))</f>
        <v>0</v>
      </c>
      <c r="AX683" s="590">
        <f>IF(A16taxstdlife="n/a","n/a",IF(AX$3&gt;(A16taxstdlife+$E683),(('PTRM input'!$M$158+'PTRM input'!$M$124)*$M$7)-SUM($M683:AW683),(('PTRM input'!$M$158+'PTRM input'!$M$124)*$M$7)/A16taxstdlife))</f>
        <v>0</v>
      </c>
      <c r="AY683" s="590">
        <f>IF(A16taxstdlife="n/a","n/a",IF(AY$3&gt;(A16taxstdlife+$E683),(('PTRM input'!$M$158+'PTRM input'!$M$124)*$M$7)-SUM($M683:AX683),(('PTRM input'!$M$158+'PTRM input'!$M$124)*$M$7)/A16taxstdlife))</f>
        <v>0</v>
      </c>
      <c r="AZ683" s="590">
        <f>IF(A16taxstdlife="n/a","n/a",IF(AZ$3&gt;(A16taxstdlife+$E683),(('PTRM input'!$M$158+'PTRM input'!$M$124)*$M$7)-SUM($M683:AY683),(('PTRM input'!$M$158+'PTRM input'!$M$124)*$M$7)/A16taxstdlife))</f>
        <v>0</v>
      </c>
      <c r="BA683" s="590">
        <f>IF(A16taxstdlife="n/a","n/a",IF(BA$3&gt;(A16taxstdlife+$E683),(('PTRM input'!$M$158+'PTRM input'!$M$124)*$M$7)-SUM($M683:AZ683),(('PTRM input'!$M$158+'PTRM input'!$M$124)*$M$7)/A16taxstdlife))</f>
        <v>0</v>
      </c>
      <c r="BB683" s="590">
        <f>IF(A16taxstdlife="n/a","n/a",IF(BB$3&gt;(A16taxstdlife+$E683),(('PTRM input'!$M$158+'PTRM input'!$M$124)*$M$7)-SUM($M683:BA683),(('PTRM input'!$M$158+'PTRM input'!$M$124)*$M$7)/A16taxstdlife))</f>
        <v>0</v>
      </c>
      <c r="BC683" s="590">
        <f>IF(A16taxstdlife="n/a","n/a",IF(BC$3&gt;(A16taxstdlife+$E683),(('PTRM input'!$M$158+'PTRM input'!$M$124)*$M$7)-SUM($M683:BB683),(('PTRM input'!$M$158+'PTRM input'!$M$124)*$M$7)/A16taxstdlife))</f>
        <v>0</v>
      </c>
      <c r="BD683" s="590">
        <f>IF(A16taxstdlife="n/a","n/a",IF(BD$3&gt;(A16taxstdlife+$E683),(('PTRM input'!$M$158+'PTRM input'!$M$124)*$M$7)-SUM($M683:BC683),(('PTRM input'!$M$158+'PTRM input'!$M$124)*$M$7)/A16taxstdlife))</f>
        <v>0</v>
      </c>
      <c r="BE683" s="590">
        <f>IF(A16taxstdlife="n/a","n/a",IF(BE$3&gt;(A16taxstdlife+$E683),(('PTRM input'!$M$158+'PTRM input'!$M$124)*$M$7)-SUM($M683:BD683),(('PTRM input'!$M$158+'PTRM input'!$M$124)*$M$7)/A16taxstdlife))</f>
        <v>0</v>
      </c>
      <c r="BF683" s="590">
        <f>IF(A16taxstdlife="n/a","n/a",IF(BF$3&gt;(A16taxstdlife+$E683),(('PTRM input'!$M$158+'PTRM input'!$M$124)*$M$7)-SUM($M683:BE683),(('PTRM input'!$M$158+'PTRM input'!$M$124)*$M$7)/A16taxstdlife))</f>
        <v>0</v>
      </c>
      <c r="BG683" s="590">
        <f>IF(A16taxstdlife="n/a","n/a",IF(BG$3&gt;(A16taxstdlife+$E683),(('PTRM input'!$M$158+'PTRM input'!$M$124)*$M$7)-SUM($M683:BF683),(('PTRM input'!$M$158+'PTRM input'!$M$124)*$M$7)/A16taxstdlife))</f>
        <v>0</v>
      </c>
      <c r="BH683" s="590">
        <f>IF(A16taxstdlife="n/a","n/a",IF(BH$3&gt;(A16taxstdlife+$E683),(('PTRM input'!$M$158+'PTRM input'!$M$124)*$M$7)-SUM($M683:BG683),(('PTRM input'!$M$158+'PTRM input'!$M$124)*$M$7)/A16taxstdlife))</f>
        <v>0</v>
      </c>
      <c r="BI683" s="590">
        <f>IF(A16taxstdlife="n/a","n/a",IF(BI$3&gt;(A16taxstdlife+$E683),(('PTRM input'!$M$158+'PTRM input'!$M$124)*$M$7)-SUM($M683:BH683),(('PTRM input'!$M$158+'PTRM input'!$M$124)*$M$7)/A16taxstdlife))</f>
        <v>0</v>
      </c>
      <c r="BJ683" s="590"/>
      <c r="BK683" s="240"/>
      <c r="BL683" s="240"/>
      <c r="BM683" s="240"/>
    </row>
    <row r="684" spans="1:65" s="4" customFormat="1" hidden="1" outlineLevel="2">
      <c r="A684" s="240"/>
      <c r="B684" s="240"/>
      <c r="C684" s="595"/>
      <c r="D684" s="1618"/>
      <c r="E684" s="169">
        <v>8</v>
      </c>
      <c r="F684" s="35"/>
      <c r="G684" s="184"/>
      <c r="H684" s="186"/>
      <c r="I684" s="186"/>
      <c r="J684" s="186"/>
      <c r="K684" s="186"/>
      <c r="L684" s="186"/>
      <c r="M684" s="186"/>
      <c r="N684" s="185"/>
      <c r="O684" s="107">
        <f>IF(A16taxstdlife="n/a","n/a",IF(O$3&gt;(A16taxstdlife+$E684),(('PTRM input'!$N$158+'PTRM input'!$N$124)*$N$7)-SUM($N684:N684),(('PTRM input'!$N$158+'PTRM input'!$N$124)*$N$7)/A16taxstdlife))</f>
        <v>0</v>
      </c>
      <c r="P684" s="107">
        <f>IF(A16taxstdlife="n/a","n/a",IF(P$3&gt;(A16taxstdlife+$E684),(('PTRM input'!$N$158+'PTRM input'!$N$124)*$N$7)-SUM($N684:O684),(('PTRM input'!$N$158+'PTRM input'!$N$124)*$N$7)/A16taxstdlife))</f>
        <v>0</v>
      </c>
      <c r="Q684" s="590">
        <f>IF(A16taxstdlife="n/a","n/a",IF(Q$3&gt;(A16taxstdlife+$E684),(('PTRM input'!$N$158+'PTRM input'!$N$124)*$N$7)-SUM($N684:P684),(('PTRM input'!$N$158+'PTRM input'!$N$124)*$N$7)/A16taxstdlife))</f>
        <v>0</v>
      </c>
      <c r="R684" s="590">
        <f>IF(A16taxstdlife="n/a","n/a",IF(R$3&gt;(A16taxstdlife+$E684),(('PTRM input'!$N$158+'PTRM input'!$N$124)*$N$7)-SUM($N684:Q684),(('PTRM input'!$N$158+'PTRM input'!$N$124)*$N$7)/A16taxstdlife))</f>
        <v>0</v>
      </c>
      <c r="S684" s="590">
        <f>IF(A16taxstdlife="n/a","n/a",IF(S$3&gt;(A16taxstdlife+$E684),(('PTRM input'!$N$158+'PTRM input'!$N$124)*$N$7)-SUM($N684:R684),(('PTRM input'!$N$158+'PTRM input'!$N$124)*$N$7)/A16taxstdlife))</f>
        <v>0</v>
      </c>
      <c r="T684" s="590">
        <f>IF(A16taxstdlife="n/a","n/a",IF(T$3&gt;(A16taxstdlife+$E684),(('PTRM input'!$N$158+'PTRM input'!$N$124)*$N$7)-SUM($N684:S684),(('PTRM input'!$N$158+'PTRM input'!$N$124)*$N$7)/A16taxstdlife))</f>
        <v>0</v>
      </c>
      <c r="U684" s="590">
        <f>IF(A16taxstdlife="n/a","n/a",IF(U$3&gt;(A16taxstdlife+$E684),(('PTRM input'!$N$158+'PTRM input'!$N$124)*$N$7)-SUM($N684:T684),(('PTRM input'!$N$158+'PTRM input'!$N$124)*$N$7)/A16taxstdlife))</f>
        <v>0</v>
      </c>
      <c r="V684" s="590">
        <f>IF(A16taxstdlife="n/a","n/a",IF(V$3&gt;(A16taxstdlife+$E684),(('PTRM input'!$N$158+'PTRM input'!$N$124)*$N$7)-SUM($N684:U684),(('PTRM input'!$N$158+'PTRM input'!$N$124)*$N$7)/A16taxstdlife))</f>
        <v>0</v>
      </c>
      <c r="W684" s="590">
        <f>IF(A16taxstdlife="n/a","n/a",IF(W$3&gt;(A16taxstdlife+$E684),(('PTRM input'!$N$158+'PTRM input'!$N$124)*$N$7)-SUM($N684:V684),(('PTRM input'!$N$158+'PTRM input'!$N$124)*$N$7)/A16taxstdlife))</f>
        <v>0</v>
      </c>
      <c r="X684" s="590">
        <f>IF(A16taxstdlife="n/a","n/a",IF(X$3&gt;(A16taxstdlife+$E684),(('PTRM input'!$N$158+'PTRM input'!$N$124)*$N$7)-SUM($N684:W684),(('PTRM input'!$N$158+'PTRM input'!$N$124)*$N$7)/A16taxstdlife))</f>
        <v>0</v>
      </c>
      <c r="Y684" s="590">
        <f>IF(A16taxstdlife="n/a","n/a",IF(Y$3&gt;(A16taxstdlife+$E684),(('PTRM input'!$N$158+'PTRM input'!$N$124)*$N$7)-SUM($N684:X684),(('PTRM input'!$N$158+'PTRM input'!$N$124)*$N$7)/A16taxstdlife))</f>
        <v>0</v>
      </c>
      <c r="Z684" s="590">
        <f>IF(A16taxstdlife="n/a","n/a",IF(Z$3&gt;(A16taxstdlife+$E684),(('PTRM input'!$N$158+'PTRM input'!$N$124)*$N$7)-SUM($N684:Y684),(('PTRM input'!$N$158+'PTRM input'!$N$124)*$N$7)/A16taxstdlife))</f>
        <v>0</v>
      </c>
      <c r="AA684" s="590">
        <f>IF(A16taxstdlife="n/a","n/a",IF(AA$3&gt;(A16taxstdlife+$E684),(('PTRM input'!$N$158+'PTRM input'!$N$124)*$N$7)-SUM($N684:Z684),(('PTRM input'!$N$158+'PTRM input'!$N$124)*$N$7)/A16taxstdlife))</f>
        <v>0</v>
      </c>
      <c r="AB684" s="590">
        <f>IF(A16taxstdlife="n/a","n/a",IF(AB$3&gt;(A16taxstdlife+$E684),(('PTRM input'!$N$158+'PTRM input'!$N$124)*$N$7)-SUM($N684:AA684),(('PTRM input'!$N$158+'PTRM input'!$N$124)*$N$7)/A16taxstdlife))</f>
        <v>0</v>
      </c>
      <c r="AC684" s="590">
        <f>IF(A16taxstdlife="n/a","n/a",IF(AC$3&gt;(A16taxstdlife+$E684),(('PTRM input'!$N$158+'PTRM input'!$N$124)*$N$7)-SUM($N684:AB684),(('PTRM input'!$N$158+'PTRM input'!$N$124)*$N$7)/A16taxstdlife))</f>
        <v>0</v>
      </c>
      <c r="AD684" s="590">
        <f>IF(A16taxstdlife="n/a","n/a",IF(AD$3&gt;(A16taxstdlife+$E684),(('PTRM input'!$N$158+'PTRM input'!$N$124)*$N$7)-SUM($N684:AC684),(('PTRM input'!$N$158+'PTRM input'!$N$124)*$N$7)/A16taxstdlife))</f>
        <v>0</v>
      </c>
      <c r="AE684" s="590">
        <f>IF(A16taxstdlife="n/a","n/a",IF(AE$3&gt;(A16taxstdlife+$E684),(('PTRM input'!$N$158+'PTRM input'!$N$124)*$N$7)-SUM($N684:AD684),(('PTRM input'!$N$158+'PTRM input'!$N$124)*$N$7)/A16taxstdlife))</f>
        <v>0</v>
      </c>
      <c r="AF684" s="590">
        <f>IF(A16taxstdlife="n/a","n/a",IF(AF$3&gt;(A16taxstdlife+$E684),(('PTRM input'!$N$158+'PTRM input'!$N$124)*$N$7)-SUM($N684:AE684),(('PTRM input'!$N$158+'PTRM input'!$N$124)*$N$7)/A16taxstdlife))</f>
        <v>0</v>
      </c>
      <c r="AG684" s="590">
        <f>IF(A16taxstdlife="n/a","n/a",IF(AG$3&gt;(A16taxstdlife+$E684),(('PTRM input'!$N$158+'PTRM input'!$N$124)*$N$7)-SUM($N684:AF684),(('PTRM input'!$N$158+'PTRM input'!$N$124)*$N$7)/A16taxstdlife))</f>
        <v>0</v>
      </c>
      <c r="AH684" s="590">
        <f>IF(A16taxstdlife="n/a","n/a",IF(AH$3&gt;(A16taxstdlife+$E684),(('PTRM input'!$N$158+'PTRM input'!$N$124)*$N$7)-SUM($N684:AG684),(('PTRM input'!$N$158+'PTRM input'!$N$124)*$N$7)/A16taxstdlife))</f>
        <v>0</v>
      </c>
      <c r="AI684" s="590">
        <f>IF(A16taxstdlife="n/a","n/a",IF(AI$3&gt;(A16taxstdlife+$E684),(('PTRM input'!$N$158+'PTRM input'!$N$124)*$N$7)-SUM($N684:AH684),(('PTRM input'!$N$158+'PTRM input'!$N$124)*$N$7)/A16taxstdlife))</f>
        <v>0</v>
      </c>
      <c r="AJ684" s="590">
        <f>IF(A16taxstdlife="n/a","n/a",IF(AJ$3&gt;(A16taxstdlife+$E684),(('PTRM input'!$N$158+'PTRM input'!$N$124)*$N$7)-SUM($N684:AI684),(('PTRM input'!$N$158+'PTRM input'!$N$124)*$N$7)/A16taxstdlife))</f>
        <v>0</v>
      </c>
      <c r="AK684" s="590">
        <f>IF(A16taxstdlife="n/a","n/a",IF(AK$3&gt;(A16taxstdlife+$E684),(('PTRM input'!$N$158+'PTRM input'!$N$124)*$N$7)-SUM($N684:AJ684),(('PTRM input'!$N$158+'PTRM input'!$N$124)*$N$7)/A16taxstdlife))</f>
        <v>0</v>
      </c>
      <c r="AL684" s="590">
        <f>IF(A16taxstdlife="n/a","n/a",IF(AL$3&gt;(A16taxstdlife+$E684),(('PTRM input'!$N$158+'PTRM input'!$N$124)*$N$7)-SUM($N684:AK684),(('PTRM input'!$N$158+'PTRM input'!$N$124)*$N$7)/A16taxstdlife))</f>
        <v>0</v>
      </c>
      <c r="AM684" s="590">
        <f>IF(A16taxstdlife="n/a","n/a",IF(AM$3&gt;(A16taxstdlife+$E684),(('PTRM input'!$N$158+'PTRM input'!$N$124)*$N$7)-SUM($N684:AL684),(('PTRM input'!$N$158+'PTRM input'!$N$124)*$N$7)/A16taxstdlife))</f>
        <v>0</v>
      </c>
      <c r="AN684" s="590">
        <f>IF(A16taxstdlife="n/a","n/a",IF(AN$3&gt;(A16taxstdlife+$E684),(('PTRM input'!$N$158+'PTRM input'!$N$124)*$N$7)-SUM($N684:AM684),(('PTRM input'!$N$158+'PTRM input'!$N$124)*$N$7)/A16taxstdlife))</f>
        <v>0</v>
      </c>
      <c r="AO684" s="590">
        <f>IF(A16taxstdlife="n/a","n/a",IF(AO$3&gt;(A16taxstdlife+$E684),(('PTRM input'!$N$158+'PTRM input'!$N$124)*$N$7)-SUM($N684:AN684),(('PTRM input'!$N$158+'PTRM input'!$N$124)*$N$7)/A16taxstdlife))</f>
        <v>0</v>
      </c>
      <c r="AP684" s="590">
        <f>IF(A16taxstdlife="n/a","n/a",IF(AP$3&gt;(A16taxstdlife+$E684),(('PTRM input'!$N$158+'PTRM input'!$N$124)*$N$7)-SUM($N684:AO684),(('PTRM input'!$N$158+'PTRM input'!$N$124)*$N$7)/A16taxstdlife))</f>
        <v>0</v>
      </c>
      <c r="AQ684" s="590">
        <f>IF(A16taxstdlife="n/a","n/a",IF(AQ$3&gt;(A16taxstdlife+$E684),(('PTRM input'!$N$158+'PTRM input'!$N$124)*$N$7)-SUM($N684:AP684),(('PTRM input'!$N$158+'PTRM input'!$N$124)*$N$7)/A16taxstdlife))</f>
        <v>0</v>
      </c>
      <c r="AR684" s="590">
        <f>IF(A16taxstdlife="n/a","n/a",IF(AR$3&gt;(A16taxstdlife+$E684),(('PTRM input'!$N$158+'PTRM input'!$N$124)*$N$7)-SUM($N684:AQ684),(('PTRM input'!$N$158+'PTRM input'!$N$124)*$N$7)/A16taxstdlife))</f>
        <v>0</v>
      </c>
      <c r="AS684" s="590">
        <f>IF(A16taxstdlife="n/a","n/a",IF(AS$3&gt;(A16taxstdlife+$E684),(('PTRM input'!$N$158+'PTRM input'!$N$124)*$N$7)-SUM($N684:AR684),(('PTRM input'!$N$158+'PTRM input'!$N$124)*$N$7)/A16taxstdlife))</f>
        <v>0</v>
      </c>
      <c r="AT684" s="590">
        <f>IF(A16taxstdlife="n/a","n/a",IF(AT$3&gt;(A16taxstdlife+$E684),(('PTRM input'!$N$158+'PTRM input'!$N$124)*$N$7)-SUM($N684:AS684),(('PTRM input'!$N$158+'PTRM input'!$N$124)*$N$7)/A16taxstdlife))</f>
        <v>0</v>
      </c>
      <c r="AU684" s="590">
        <f>IF(A16taxstdlife="n/a","n/a",IF(AU$3&gt;(A16taxstdlife+$E684),(('PTRM input'!$N$158+'PTRM input'!$N$124)*$N$7)-SUM($N684:AT684),(('PTRM input'!$N$158+'PTRM input'!$N$124)*$N$7)/A16taxstdlife))</f>
        <v>0</v>
      </c>
      <c r="AV684" s="590">
        <f>IF(A16taxstdlife="n/a","n/a",IF(AV$3&gt;(A16taxstdlife+$E684),(('PTRM input'!$N$158+'PTRM input'!$N$124)*$N$7)-SUM($N684:AU684),(('PTRM input'!$N$158+'PTRM input'!$N$124)*$N$7)/A16taxstdlife))</f>
        <v>0</v>
      </c>
      <c r="AW684" s="590">
        <f>IF(A16taxstdlife="n/a","n/a",IF(AW$3&gt;(A16taxstdlife+$E684),(('PTRM input'!$N$158+'PTRM input'!$N$124)*$N$7)-SUM($N684:AV684),(('PTRM input'!$N$158+'PTRM input'!$N$124)*$N$7)/A16taxstdlife))</f>
        <v>0</v>
      </c>
      <c r="AX684" s="590">
        <f>IF(A16taxstdlife="n/a","n/a",IF(AX$3&gt;(A16taxstdlife+$E684),(('PTRM input'!$N$158+'PTRM input'!$N$124)*$N$7)-SUM($N684:AW684),(('PTRM input'!$N$158+'PTRM input'!$N$124)*$N$7)/A16taxstdlife))</f>
        <v>0</v>
      </c>
      <c r="AY684" s="590">
        <f>IF(A16taxstdlife="n/a","n/a",IF(AY$3&gt;(A16taxstdlife+$E684),(('PTRM input'!$N$158+'PTRM input'!$N$124)*$N$7)-SUM($N684:AX684),(('PTRM input'!$N$158+'PTRM input'!$N$124)*$N$7)/A16taxstdlife))</f>
        <v>0</v>
      </c>
      <c r="AZ684" s="590">
        <f>IF(A16taxstdlife="n/a","n/a",IF(AZ$3&gt;(A16taxstdlife+$E684),(('PTRM input'!$N$158+'PTRM input'!$N$124)*$N$7)-SUM($N684:AY684),(('PTRM input'!$N$158+'PTRM input'!$N$124)*$N$7)/A16taxstdlife))</f>
        <v>0</v>
      </c>
      <c r="BA684" s="590">
        <f>IF(A16taxstdlife="n/a","n/a",IF(BA$3&gt;(A16taxstdlife+$E684),(('PTRM input'!$N$158+'PTRM input'!$N$124)*$N$7)-SUM($N684:AZ684),(('PTRM input'!$N$158+'PTRM input'!$N$124)*$N$7)/A16taxstdlife))</f>
        <v>0</v>
      </c>
      <c r="BB684" s="590">
        <f>IF(A16taxstdlife="n/a","n/a",IF(BB$3&gt;(A16taxstdlife+$E684),(('PTRM input'!$N$158+'PTRM input'!$N$124)*$N$7)-SUM($N684:BA684),(('PTRM input'!$N$158+'PTRM input'!$N$124)*$N$7)/A16taxstdlife))</f>
        <v>0</v>
      </c>
      <c r="BC684" s="590">
        <f>IF(A16taxstdlife="n/a","n/a",IF(BC$3&gt;(A16taxstdlife+$E684),(('PTRM input'!$N$158+'PTRM input'!$N$124)*$N$7)-SUM($N684:BB684),(('PTRM input'!$N$158+'PTRM input'!$N$124)*$N$7)/A16taxstdlife))</f>
        <v>0</v>
      </c>
      <c r="BD684" s="590">
        <f>IF(A16taxstdlife="n/a","n/a",IF(BD$3&gt;(A16taxstdlife+$E684),(('PTRM input'!$N$158+'PTRM input'!$N$124)*$N$7)-SUM($N684:BC684),(('PTRM input'!$N$158+'PTRM input'!$N$124)*$N$7)/A16taxstdlife))</f>
        <v>0</v>
      </c>
      <c r="BE684" s="590">
        <f>IF(A16taxstdlife="n/a","n/a",IF(BE$3&gt;(A16taxstdlife+$E684),(('PTRM input'!$N$158+'PTRM input'!$N$124)*$N$7)-SUM($N684:BD684),(('PTRM input'!$N$158+'PTRM input'!$N$124)*$N$7)/A16taxstdlife))</f>
        <v>0</v>
      </c>
      <c r="BF684" s="590">
        <f>IF(A16taxstdlife="n/a","n/a",IF(BF$3&gt;(A16taxstdlife+$E684),(('PTRM input'!$N$158+'PTRM input'!$N$124)*$N$7)-SUM($N684:BE684),(('PTRM input'!$N$158+'PTRM input'!$N$124)*$N$7)/A16taxstdlife))</f>
        <v>0</v>
      </c>
      <c r="BG684" s="590">
        <f>IF(A16taxstdlife="n/a","n/a",IF(BG$3&gt;(A16taxstdlife+$E684),(('PTRM input'!$N$158+'PTRM input'!$N$124)*$N$7)-SUM($N684:BF684),(('PTRM input'!$N$158+'PTRM input'!$N$124)*$N$7)/A16taxstdlife))</f>
        <v>0</v>
      </c>
      <c r="BH684" s="590">
        <f>IF(A16taxstdlife="n/a","n/a",IF(BH$3&gt;(A16taxstdlife+$E684),(('PTRM input'!$N$158+'PTRM input'!$N$124)*$N$7)-SUM($N684:BG684),(('PTRM input'!$N$158+'PTRM input'!$N$124)*$N$7)/A16taxstdlife))</f>
        <v>0</v>
      </c>
      <c r="BI684" s="590">
        <f>IF(A16taxstdlife="n/a","n/a",IF(BI$3&gt;(A16taxstdlife+$E684),(('PTRM input'!$N$158+'PTRM input'!$N$124)*$N$7)-SUM($N684:BH684),(('PTRM input'!$N$158+'PTRM input'!$N$124)*$N$7)/A16taxstdlife))</f>
        <v>0</v>
      </c>
      <c r="BJ684" s="240"/>
      <c r="BK684" s="240"/>
      <c r="BL684" s="240"/>
      <c r="BM684" s="240"/>
    </row>
    <row r="685" spans="1:65" s="4" customFormat="1" hidden="1" outlineLevel="2">
      <c r="A685" s="240"/>
      <c r="B685" s="240"/>
      <c r="C685" s="595"/>
      <c r="D685" s="1618"/>
      <c r="E685" s="169">
        <v>9</v>
      </c>
      <c r="F685" s="35"/>
      <c r="G685" s="184"/>
      <c r="H685" s="186"/>
      <c r="I685" s="186"/>
      <c r="J685" s="186"/>
      <c r="K685" s="186"/>
      <c r="L685" s="186"/>
      <c r="M685" s="186"/>
      <c r="N685" s="186"/>
      <c r="O685" s="185"/>
      <c r="P685" s="107">
        <f>IF(A16taxstdlife="n/a","n/a",IF(P$3&gt;(A16taxstdlife+$E685),(('PTRM input'!$O$158+'PTRM input'!$O$124)*$O$7)-SUM($O685:O685),(('PTRM input'!$O$158+'PTRM input'!$O$124)*$O$7)/A16taxstdlife))</f>
        <v>0</v>
      </c>
      <c r="Q685" s="590">
        <f>IF(A16taxstdlife="n/a","n/a",IF(Q$3&gt;(A16taxstdlife+$E685),(('PTRM input'!$O$158+'PTRM input'!$O$124)*$O$7)-SUM($O685:P685),(('PTRM input'!$O$158+'PTRM input'!$O$124)*$O$7)/A16taxstdlife))</f>
        <v>0</v>
      </c>
      <c r="R685" s="590">
        <f>IF(A16taxstdlife="n/a","n/a",IF(R$3&gt;(A16taxstdlife+$E685),(('PTRM input'!$O$158+'PTRM input'!$O$124)*$O$7)-SUM($O685:Q685),(('PTRM input'!$O$158+'PTRM input'!$O$124)*$O$7)/A16taxstdlife))</f>
        <v>0</v>
      </c>
      <c r="S685" s="590">
        <f>IF(A16taxstdlife="n/a","n/a",IF(S$3&gt;(A16taxstdlife+$E685),(('PTRM input'!$O$158+'PTRM input'!$O$124)*$O$7)-SUM($O685:R685),(('PTRM input'!$O$158+'PTRM input'!$O$124)*$O$7)/A16taxstdlife))</f>
        <v>0</v>
      </c>
      <c r="T685" s="590">
        <f>IF(A16taxstdlife="n/a","n/a",IF(T$3&gt;(A16taxstdlife+$E685),(('PTRM input'!$O$158+'PTRM input'!$O$124)*$O$7)-SUM($O685:S685),(('PTRM input'!$O$158+'PTRM input'!$O$124)*$O$7)/A16taxstdlife))</f>
        <v>0</v>
      </c>
      <c r="U685" s="590">
        <f>IF(A16taxstdlife="n/a","n/a",IF(U$3&gt;(A16taxstdlife+$E685),(('PTRM input'!$O$158+'PTRM input'!$O$124)*$O$7)-SUM($O685:T685),(('PTRM input'!$O$158+'PTRM input'!$O$124)*$O$7)/A16taxstdlife))</f>
        <v>0</v>
      </c>
      <c r="V685" s="590">
        <f>IF(A16taxstdlife="n/a","n/a",IF(V$3&gt;(A16taxstdlife+$E685),(('PTRM input'!$O$158+'PTRM input'!$O$124)*$O$7)-SUM($O685:U685),(('PTRM input'!$O$158+'PTRM input'!$O$124)*$O$7)/A16taxstdlife))</f>
        <v>0</v>
      </c>
      <c r="W685" s="590">
        <f>IF(A16taxstdlife="n/a","n/a",IF(W$3&gt;(A16taxstdlife+$E685),(('PTRM input'!$O$158+'PTRM input'!$O$124)*$O$7)-SUM($O685:V685),(('PTRM input'!$O$158+'PTRM input'!$O$124)*$O$7)/A16taxstdlife))</f>
        <v>0</v>
      </c>
      <c r="X685" s="590">
        <f>IF(A16taxstdlife="n/a","n/a",IF(X$3&gt;(A16taxstdlife+$E685),(('PTRM input'!$O$158+'PTRM input'!$O$124)*$O$7)-SUM($O685:W685),(('PTRM input'!$O$158+'PTRM input'!$O$124)*$O$7)/A16taxstdlife))</f>
        <v>0</v>
      </c>
      <c r="Y685" s="590">
        <f>IF(A16taxstdlife="n/a","n/a",IF(Y$3&gt;(A16taxstdlife+$E685),(('PTRM input'!$O$158+'PTRM input'!$O$124)*$O$7)-SUM($O685:X685),(('PTRM input'!$O$158+'PTRM input'!$O$124)*$O$7)/A16taxstdlife))</f>
        <v>0</v>
      </c>
      <c r="Z685" s="590">
        <f>IF(A16taxstdlife="n/a","n/a",IF(Z$3&gt;(A16taxstdlife+$E685),(('PTRM input'!$O$158+'PTRM input'!$O$124)*$O$7)-SUM($O685:Y685),(('PTRM input'!$O$158+'PTRM input'!$O$124)*$O$7)/A16taxstdlife))</f>
        <v>0</v>
      </c>
      <c r="AA685" s="590">
        <f>IF(A16taxstdlife="n/a","n/a",IF(AA$3&gt;(A16taxstdlife+$E685),(('PTRM input'!$O$158+'PTRM input'!$O$124)*$O$7)-SUM($O685:Z685),(('PTRM input'!$O$158+'PTRM input'!$O$124)*$O$7)/A16taxstdlife))</f>
        <v>0</v>
      </c>
      <c r="AB685" s="590">
        <f>IF(A16taxstdlife="n/a","n/a",IF(AB$3&gt;(A16taxstdlife+$E685),(('PTRM input'!$O$158+'PTRM input'!$O$124)*$O$7)-SUM($O685:AA685),(('PTRM input'!$O$158+'PTRM input'!$O$124)*$O$7)/A16taxstdlife))</f>
        <v>0</v>
      </c>
      <c r="AC685" s="590">
        <f>IF(A16taxstdlife="n/a","n/a",IF(AC$3&gt;(A16taxstdlife+$E685),(('PTRM input'!$O$158+'PTRM input'!$O$124)*$O$7)-SUM($O685:AB685),(('PTRM input'!$O$158+'PTRM input'!$O$124)*$O$7)/A16taxstdlife))</f>
        <v>0</v>
      </c>
      <c r="AD685" s="590">
        <f>IF(A16taxstdlife="n/a","n/a",IF(AD$3&gt;(A16taxstdlife+$E685),(('PTRM input'!$O$158+'PTRM input'!$O$124)*$O$7)-SUM($O685:AC685),(('PTRM input'!$O$158+'PTRM input'!$O$124)*$O$7)/A16taxstdlife))</f>
        <v>0</v>
      </c>
      <c r="AE685" s="590">
        <f>IF(A16taxstdlife="n/a","n/a",IF(AE$3&gt;(A16taxstdlife+$E685),(('PTRM input'!$O$158+'PTRM input'!$O$124)*$O$7)-SUM($O685:AD685),(('PTRM input'!$O$158+'PTRM input'!$O$124)*$O$7)/A16taxstdlife))</f>
        <v>0</v>
      </c>
      <c r="AF685" s="590">
        <f>IF(A16taxstdlife="n/a","n/a",IF(AF$3&gt;(A16taxstdlife+$E685),(('PTRM input'!$O$158+'PTRM input'!$O$124)*$O$7)-SUM($O685:AE685),(('PTRM input'!$O$158+'PTRM input'!$O$124)*$O$7)/A16taxstdlife))</f>
        <v>0</v>
      </c>
      <c r="AG685" s="590">
        <f>IF(A16taxstdlife="n/a","n/a",IF(AG$3&gt;(A16taxstdlife+$E685),(('PTRM input'!$O$158+'PTRM input'!$O$124)*$O$7)-SUM($O685:AF685),(('PTRM input'!$O$158+'PTRM input'!$O$124)*$O$7)/A16taxstdlife))</f>
        <v>0</v>
      </c>
      <c r="AH685" s="590">
        <f>IF(A16taxstdlife="n/a","n/a",IF(AH$3&gt;(A16taxstdlife+$E685),(('PTRM input'!$O$158+'PTRM input'!$O$124)*$O$7)-SUM($O685:AG685),(('PTRM input'!$O$158+'PTRM input'!$O$124)*$O$7)/A16taxstdlife))</f>
        <v>0</v>
      </c>
      <c r="AI685" s="590">
        <f>IF(A16taxstdlife="n/a","n/a",IF(AI$3&gt;(A16taxstdlife+$E685),(('PTRM input'!$O$158+'PTRM input'!$O$124)*$O$7)-SUM($O685:AH685),(('PTRM input'!$O$158+'PTRM input'!$O$124)*$O$7)/A16taxstdlife))</f>
        <v>0</v>
      </c>
      <c r="AJ685" s="590">
        <f>IF(A16taxstdlife="n/a","n/a",IF(AJ$3&gt;(A16taxstdlife+$E685),(('PTRM input'!$O$158+'PTRM input'!$O$124)*$O$7)-SUM($O685:AI685),(('PTRM input'!$O$158+'PTRM input'!$O$124)*$O$7)/A16taxstdlife))</f>
        <v>0</v>
      </c>
      <c r="AK685" s="590">
        <f>IF(A16taxstdlife="n/a","n/a",IF(AK$3&gt;(A16taxstdlife+$E685),(('PTRM input'!$O$158+'PTRM input'!$O$124)*$O$7)-SUM($O685:AJ685),(('PTRM input'!$O$158+'PTRM input'!$O$124)*$O$7)/A16taxstdlife))</f>
        <v>0</v>
      </c>
      <c r="AL685" s="590">
        <f>IF(A16taxstdlife="n/a","n/a",IF(AL$3&gt;(A16taxstdlife+$E685),(('PTRM input'!$O$158+'PTRM input'!$O$124)*$O$7)-SUM($O685:AK685),(('PTRM input'!$O$158+'PTRM input'!$O$124)*$O$7)/A16taxstdlife))</f>
        <v>0</v>
      </c>
      <c r="AM685" s="590">
        <f>IF(A16taxstdlife="n/a","n/a",IF(AM$3&gt;(A16taxstdlife+$E685),(('PTRM input'!$O$158+'PTRM input'!$O$124)*$O$7)-SUM($O685:AL685),(('PTRM input'!$O$158+'PTRM input'!$O$124)*$O$7)/A16taxstdlife))</f>
        <v>0</v>
      </c>
      <c r="AN685" s="590">
        <f>IF(A16taxstdlife="n/a","n/a",IF(AN$3&gt;(A16taxstdlife+$E685),(('PTRM input'!$O$158+'PTRM input'!$O$124)*$O$7)-SUM($O685:AM685),(('PTRM input'!$O$158+'PTRM input'!$O$124)*$O$7)/A16taxstdlife))</f>
        <v>0</v>
      </c>
      <c r="AO685" s="590">
        <f>IF(A16taxstdlife="n/a","n/a",IF(AO$3&gt;(A16taxstdlife+$E685),(('PTRM input'!$O$158+'PTRM input'!$O$124)*$O$7)-SUM($O685:AN685),(('PTRM input'!$O$158+'PTRM input'!$O$124)*$O$7)/A16taxstdlife))</f>
        <v>0</v>
      </c>
      <c r="AP685" s="590">
        <f>IF(A16taxstdlife="n/a","n/a",IF(AP$3&gt;(A16taxstdlife+$E685),(('PTRM input'!$O$158+'PTRM input'!$O$124)*$O$7)-SUM($O685:AO685),(('PTRM input'!$O$158+'PTRM input'!$O$124)*$O$7)/A16taxstdlife))</f>
        <v>0</v>
      </c>
      <c r="AQ685" s="590">
        <f>IF(A16taxstdlife="n/a","n/a",IF(AQ$3&gt;(A16taxstdlife+$E685),(('PTRM input'!$O$158+'PTRM input'!$O$124)*$O$7)-SUM($O685:AP685),(('PTRM input'!$O$158+'PTRM input'!$O$124)*$O$7)/A16taxstdlife))</f>
        <v>0</v>
      </c>
      <c r="AR685" s="590">
        <f>IF(A16taxstdlife="n/a","n/a",IF(AR$3&gt;(A16taxstdlife+$E685),(('PTRM input'!$O$158+'PTRM input'!$O$124)*$O$7)-SUM($O685:AQ685),(('PTRM input'!$O$158+'PTRM input'!$O$124)*$O$7)/A16taxstdlife))</f>
        <v>0</v>
      </c>
      <c r="AS685" s="590">
        <f>IF(A16taxstdlife="n/a","n/a",IF(AS$3&gt;(A16taxstdlife+$E685),(('PTRM input'!$O$158+'PTRM input'!$O$124)*$O$7)-SUM($O685:AR685),(('PTRM input'!$O$158+'PTRM input'!$O$124)*$O$7)/A16taxstdlife))</f>
        <v>0</v>
      </c>
      <c r="AT685" s="590">
        <f>IF(A16taxstdlife="n/a","n/a",IF(AT$3&gt;(A16taxstdlife+$E685),(('PTRM input'!$O$158+'PTRM input'!$O$124)*$O$7)-SUM($O685:AS685),(('PTRM input'!$O$158+'PTRM input'!$O$124)*$O$7)/A16taxstdlife))</f>
        <v>0</v>
      </c>
      <c r="AU685" s="590">
        <f>IF(A16taxstdlife="n/a","n/a",IF(AU$3&gt;(A16taxstdlife+$E685),(('PTRM input'!$O$158+'PTRM input'!$O$124)*$O$7)-SUM($O685:AT685),(('PTRM input'!$O$158+'PTRM input'!$O$124)*$O$7)/A16taxstdlife))</f>
        <v>0</v>
      </c>
      <c r="AV685" s="590">
        <f>IF(A16taxstdlife="n/a","n/a",IF(AV$3&gt;(A16taxstdlife+$E685),(('PTRM input'!$O$158+'PTRM input'!$O$124)*$O$7)-SUM($O685:AU685),(('PTRM input'!$O$158+'PTRM input'!$O$124)*$O$7)/A16taxstdlife))</f>
        <v>0</v>
      </c>
      <c r="AW685" s="590">
        <f>IF(A16taxstdlife="n/a","n/a",IF(AW$3&gt;(A16taxstdlife+$E685),(('PTRM input'!$O$158+'PTRM input'!$O$124)*$O$7)-SUM($O685:AV685),(('PTRM input'!$O$158+'PTRM input'!$O$124)*$O$7)/A16taxstdlife))</f>
        <v>0</v>
      </c>
      <c r="AX685" s="590">
        <f>IF(A16taxstdlife="n/a","n/a",IF(AX$3&gt;(A16taxstdlife+$E685),(('PTRM input'!$O$158+'PTRM input'!$O$124)*$O$7)-SUM($O685:AW685),(('PTRM input'!$O$158+'PTRM input'!$O$124)*$O$7)/A16taxstdlife))</f>
        <v>0</v>
      </c>
      <c r="AY685" s="590">
        <f>IF(A16taxstdlife="n/a","n/a",IF(AY$3&gt;(A16taxstdlife+$E685),(('PTRM input'!$O$158+'PTRM input'!$O$124)*$O$7)-SUM($O685:AX685),(('PTRM input'!$O$158+'PTRM input'!$O$124)*$O$7)/A16taxstdlife))</f>
        <v>0</v>
      </c>
      <c r="AZ685" s="590">
        <f>IF(A16taxstdlife="n/a","n/a",IF(AZ$3&gt;(A16taxstdlife+$E685),(('PTRM input'!$O$158+'PTRM input'!$O$124)*$O$7)-SUM($O685:AY685),(('PTRM input'!$O$158+'PTRM input'!$O$124)*$O$7)/A16taxstdlife))</f>
        <v>0</v>
      </c>
      <c r="BA685" s="590">
        <f>IF(A16taxstdlife="n/a","n/a",IF(BA$3&gt;(A16taxstdlife+$E685),(('PTRM input'!$O$158+'PTRM input'!$O$124)*$O$7)-SUM($O685:AZ685),(('PTRM input'!$O$158+'PTRM input'!$O$124)*$O$7)/A16taxstdlife))</f>
        <v>0</v>
      </c>
      <c r="BB685" s="590">
        <f>IF(A16taxstdlife="n/a","n/a",IF(BB$3&gt;(A16taxstdlife+$E685),(('PTRM input'!$O$158+'PTRM input'!$O$124)*$O$7)-SUM($O685:BA685),(('PTRM input'!$O$158+'PTRM input'!$O$124)*$O$7)/A16taxstdlife))</f>
        <v>0</v>
      </c>
      <c r="BC685" s="590">
        <f>IF(A16taxstdlife="n/a","n/a",IF(BC$3&gt;(A16taxstdlife+$E685),(('PTRM input'!$O$158+'PTRM input'!$O$124)*$O$7)-SUM($O685:BB685),(('PTRM input'!$O$158+'PTRM input'!$O$124)*$O$7)/A16taxstdlife))</f>
        <v>0</v>
      </c>
      <c r="BD685" s="590">
        <f>IF(A16taxstdlife="n/a","n/a",IF(BD$3&gt;(A16taxstdlife+$E685),(('PTRM input'!$O$158+'PTRM input'!$O$124)*$O$7)-SUM($O685:BC685),(('PTRM input'!$O$158+'PTRM input'!$O$124)*$O$7)/A16taxstdlife))</f>
        <v>0</v>
      </c>
      <c r="BE685" s="590">
        <f>IF(A16taxstdlife="n/a","n/a",IF(BE$3&gt;(A16taxstdlife+$E685),(('PTRM input'!$O$158+'PTRM input'!$O$124)*$O$7)-SUM($O685:BD685),(('PTRM input'!$O$158+'PTRM input'!$O$124)*$O$7)/A16taxstdlife))</f>
        <v>0</v>
      </c>
      <c r="BF685" s="590">
        <f>IF(A16taxstdlife="n/a","n/a",IF(BF$3&gt;(A16taxstdlife+$E685),(('PTRM input'!$O$158+'PTRM input'!$O$124)*$O$7)-SUM($O685:BE685),(('PTRM input'!$O$158+'PTRM input'!$O$124)*$O$7)/A16taxstdlife))</f>
        <v>0</v>
      </c>
      <c r="BG685" s="590">
        <f>IF(A16taxstdlife="n/a","n/a",IF(BG$3&gt;(A16taxstdlife+$E685),(('PTRM input'!$O$158+'PTRM input'!$O$124)*$O$7)-SUM($O685:BF685),(('PTRM input'!$O$158+'PTRM input'!$O$124)*$O$7)/A16taxstdlife))</f>
        <v>0</v>
      </c>
      <c r="BH685" s="590">
        <f>IF(A16taxstdlife="n/a","n/a",IF(BH$3&gt;(A16taxstdlife+$E685),(('PTRM input'!$O$158+'PTRM input'!$O$124)*$O$7)-SUM($O685:BG685),(('PTRM input'!$O$158+'PTRM input'!$O$124)*$O$7)/A16taxstdlife))</f>
        <v>0</v>
      </c>
      <c r="BI685" s="590">
        <f>IF(A16taxstdlife="n/a","n/a",IF(BI$3&gt;(A16taxstdlife+$E685),(('PTRM input'!$O$158+'PTRM input'!$O$124)*$O$7)-SUM($O685:BH685),(('PTRM input'!$O$158+'PTRM input'!$O$124)*$O$7)/A16taxstdlife))</f>
        <v>0</v>
      </c>
      <c r="BJ685" s="240"/>
      <c r="BK685" s="240"/>
      <c r="BL685" s="240"/>
      <c r="BM685" s="240"/>
    </row>
    <row r="686" spans="1:65" s="4" customFormat="1" hidden="1" outlineLevel="2">
      <c r="A686" s="240"/>
      <c r="B686" s="240"/>
      <c r="C686" s="595"/>
      <c r="D686" s="1618"/>
      <c r="E686" s="170">
        <v>10</v>
      </c>
      <c r="F686" s="35"/>
      <c r="G686" s="184"/>
      <c r="H686" s="186"/>
      <c r="I686" s="186"/>
      <c r="J686" s="186"/>
      <c r="K686" s="186"/>
      <c r="L686" s="186"/>
      <c r="M686" s="186"/>
      <c r="N686" s="186"/>
      <c r="O686" s="186"/>
      <c r="P686" s="185"/>
      <c r="Q686" s="590">
        <f>IF(A16taxstdlife="n/a","n/a",IF(Q$3&gt;(A16taxstdlife+$E686),(('PTRM input'!$P$158+'PTRM input'!$P$124)*$P$7)-SUM($P686:P686),(('PTRM input'!$P$158+'PTRM input'!$P$124)*$P$7)/A16taxstdlife))</f>
        <v>0</v>
      </c>
      <c r="R686" s="590">
        <f>IF(A16taxstdlife="n/a","n/a",IF(R$3&gt;(A16taxstdlife+$E686),(('PTRM input'!$P$158+'PTRM input'!$P$124)*$P$7)-SUM($P686:Q686),(('PTRM input'!$P$158+'PTRM input'!$P$124)*$P$7)/A16taxstdlife))</f>
        <v>0</v>
      </c>
      <c r="S686" s="590">
        <f>IF(A16taxstdlife="n/a","n/a",IF(S$3&gt;(A16taxstdlife+$E686),(('PTRM input'!$P$158+'PTRM input'!$P$124)*$P$7)-SUM($P686:R686),(('PTRM input'!$P$158+'PTRM input'!$P$124)*$P$7)/A16taxstdlife))</f>
        <v>0</v>
      </c>
      <c r="T686" s="590">
        <f>IF(A16taxstdlife="n/a","n/a",IF(T$3&gt;(A16taxstdlife+$E686),(('PTRM input'!$P$158+'PTRM input'!$P$124)*$P$7)-SUM($P686:S686),(('PTRM input'!$P$158+'PTRM input'!$P$124)*$P$7)/A16taxstdlife))</f>
        <v>0</v>
      </c>
      <c r="U686" s="590">
        <f>IF(A16taxstdlife="n/a","n/a",IF(U$3&gt;(A16taxstdlife+$E686),(('PTRM input'!$P$158+'PTRM input'!$P$124)*$P$7)-SUM($P686:T686),(('PTRM input'!$P$158+'PTRM input'!$P$124)*$P$7)/A16taxstdlife))</f>
        <v>0</v>
      </c>
      <c r="V686" s="590">
        <f>IF(A16taxstdlife="n/a","n/a",IF(V$3&gt;(A16taxstdlife+$E686),(('PTRM input'!$P$158+'PTRM input'!$P$124)*$P$7)-SUM($P686:U686),(('PTRM input'!$P$158+'PTRM input'!$P$124)*$P$7)/A16taxstdlife))</f>
        <v>0</v>
      </c>
      <c r="W686" s="590">
        <f>IF(A16taxstdlife="n/a","n/a",IF(W$3&gt;(A16taxstdlife+$E686),(('PTRM input'!$P$158+'PTRM input'!$P$124)*$P$7)-SUM($P686:V686),(('PTRM input'!$P$158+'PTRM input'!$P$124)*$P$7)/A16taxstdlife))</f>
        <v>0</v>
      </c>
      <c r="X686" s="590">
        <f>IF(A16taxstdlife="n/a","n/a",IF(X$3&gt;(A16taxstdlife+$E686),(('PTRM input'!$P$158+'PTRM input'!$P$124)*$P$7)-SUM($P686:W686),(('PTRM input'!$P$158+'PTRM input'!$P$124)*$P$7)/A16taxstdlife))</f>
        <v>0</v>
      </c>
      <c r="Y686" s="590">
        <f>IF(A16taxstdlife="n/a","n/a",IF(Y$3&gt;(A16taxstdlife+$E686),(('PTRM input'!$P$158+'PTRM input'!$P$124)*$P$7)-SUM($P686:X686),(('PTRM input'!$P$158+'PTRM input'!$P$124)*$P$7)/A16taxstdlife))</f>
        <v>0</v>
      </c>
      <c r="Z686" s="590">
        <f>IF(A16taxstdlife="n/a","n/a",IF(Z$3&gt;(A16taxstdlife+$E686),(('PTRM input'!$P$158+'PTRM input'!$P$124)*$P$7)-SUM($P686:Y686),(('PTRM input'!$P$158+'PTRM input'!$P$124)*$P$7)/A16taxstdlife))</f>
        <v>0</v>
      </c>
      <c r="AA686" s="590">
        <f>IF(A16taxstdlife="n/a","n/a",IF(AA$3&gt;(A16taxstdlife+$E686),(('PTRM input'!$P$158+'PTRM input'!$P$124)*$P$7)-SUM($P686:Z686),(('PTRM input'!$P$158+'PTRM input'!$P$124)*$P$7)/A16taxstdlife))</f>
        <v>0</v>
      </c>
      <c r="AB686" s="590">
        <f>IF(A16taxstdlife="n/a","n/a",IF(AB$3&gt;(A16taxstdlife+$E686),(('PTRM input'!$P$158+'PTRM input'!$P$124)*$P$7)-SUM($P686:AA686),(('PTRM input'!$P$158+'PTRM input'!$P$124)*$P$7)/A16taxstdlife))</f>
        <v>0</v>
      </c>
      <c r="AC686" s="590">
        <f>IF(A16taxstdlife="n/a","n/a",IF(AC$3&gt;(A16taxstdlife+$E686),(('PTRM input'!$P$158+'PTRM input'!$P$124)*$P$7)-SUM($P686:AB686),(('PTRM input'!$P$158+'PTRM input'!$P$124)*$P$7)/A16taxstdlife))</f>
        <v>0</v>
      </c>
      <c r="AD686" s="590">
        <f>IF(A16taxstdlife="n/a","n/a",IF(AD$3&gt;(A16taxstdlife+$E686),(('PTRM input'!$P$158+'PTRM input'!$P$124)*$P$7)-SUM($P686:AC686),(('PTRM input'!$P$158+'PTRM input'!$P$124)*$P$7)/A16taxstdlife))</f>
        <v>0</v>
      </c>
      <c r="AE686" s="590">
        <f>IF(A16taxstdlife="n/a","n/a",IF(AE$3&gt;(A16taxstdlife+$E686),(('PTRM input'!$P$158+'PTRM input'!$P$124)*$P$7)-SUM($P686:AD686),(('PTRM input'!$P$158+'PTRM input'!$P$124)*$P$7)/A16taxstdlife))</f>
        <v>0</v>
      </c>
      <c r="AF686" s="590">
        <f>IF(A16taxstdlife="n/a","n/a",IF(AF$3&gt;(A16taxstdlife+$E686),(('PTRM input'!$P$158+'PTRM input'!$P$124)*$P$7)-SUM($P686:AE686),(('PTRM input'!$P$158+'PTRM input'!$P$124)*$P$7)/A16taxstdlife))</f>
        <v>0</v>
      </c>
      <c r="AG686" s="590">
        <f>IF(A16taxstdlife="n/a","n/a",IF(AG$3&gt;(A16taxstdlife+$E686),(('PTRM input'!$P$158+'PTRM input'!$P$124)*$P$7)-SUM($P686:AF686),(('PTRM input'!$P$158+'PTRM input'!$P$124)*$P$7)/A16taxstdlife))</f>
        <v>0</v>
      </c>
      <c r="AH686" s="590">
        <f>IF(A16taxstdlife="n/a","n/a",IF(AH$3&gt;(A16taxstdlife+$E686),(('PTRM input'!$P$158+'PTRM input'!$P$124)*$P$7)-SUM($P686:AG686),(('PTRM input'!$P$158+'PTRM input'!$P$124)*$P$7)/A16taxstdlife))</f>
        <v>0</v>
      </c>
      <c r="AI686" s="590">
        <f>IF(A16taxstdlife="n/a","n/a",IF(AI$3&gt;(A16taxstdlife+$E686),(('PTRM input'!$P$158+'PTRM input'!$P$124)*$P$7)-SUM($P686:AH686),(('PTRM input'!$P$158+'PTRM input'!$P$124)*$P$7)/A16taxstdlife))</f>
        <v>0</v>
      </c>
      <c r="AJ686" s="590">
        <f>IF(A16taxstdlife="n/a","n/a",IF(AJ$3&gt;(A16taxstdlife+$E686),(('PTRM input'!$P$158+'PTRM input'!$P$124)*$P$7)-SUM($P686:AI686),(('PTRM input'!$P$158+'PTRM input'!$P$124)*$P$7)/A16taxstdlife))</f>
        <v>0</v>
      </c>
      <c r="AK686" s="590">
        <f>IF(A16taxstdlife="n/a","n/a",IF(AK$3&gt;(A16taxstdlife+$E686),(('PTRM input'!$P$158+'PTRM input'!$P$124)*$P$7)-SUM($P686:AJ686),(('PTRM input'!$P$158+'PTRM input'!$P$124)*$P$7)/A16taxstdlife))</f>
        <v>0</v>
      </c>
      <c r="AL686" s="590">
        <f>IF(A16taxstdlife="n/a","n/a",IF(AL$3&gt;(A16taxstdlife+$E686),(('PTRM input'!$P$158+'PTRM input'!$P$124)*$P$7)-SUM($P686:AK686),(('PTRM input'!$P$158+'PTRM input'!$P$124)*$P$7)/A16taxstdlife))</f>
        <v>0</v>
      </c>
      <c r="AM686" s="590">
        <f>IF(A16taxstdlife="n/a","n/a",IF(AM$3&gt;(A16taxstdlife+$E686),(('PTRM input'!$P$158+'PTRM input'!$P$124)*$P$7)-SUM($P686:AL686),(('PTRM input'!$P$158+'PTRM input'!$P$124)*$P$7)/A16taxstdlife))</f>
        <v>0</v>
      </c>
      <c r="AN686" s="590">
        <f>IF(A16taxstdlife="n/a","n/a",IF(AN$3&gt;(A16taxstdlife+$E686),(('PTRM input'!$P$158+'PTRM input'!$P$124)*$P$7)-SUM($P686:AM686),(('PTRM input'!$P$158+'PTRM input'!$P$124)*$P$7)/A16taxstdlife))</f>
        <v>0</v>
      </c>
      <c r="AO686" s="590">
        <f>IF(A16taxstdlife="n/a","n/a",IF(AO$3&gt;(A16taxstdlife+$E686),(('PTRM input'!$P$158+'PTRM input'!$P$124)*$P$7)-SUM($P686:AN686),(('PTRM input'!$P$158+'PTRM input'!$P$124)*$P$7)/A16taxstdlife))</f>
        <v>0</v>
      </c>
      <c r="AP686" s="590">
        <f>IF(A16taxstdlife="n/a","n/a",IF(AP$3&gt;(A16taxstdlife+$E686),(('PTRM input'!$P$158+'PTRM input'!$P$124)*$P$7)-SUM($P686:AO686),(('PTRM input'!$P$158+'PTRM input'!$P$124)*$P$7)/A16taxstdlife))</f>
        <v>0</v>
      </c>
      <c r="AQ686" s="590">
        <f>IF(A16taxstdlife="n/a","n/a",IF(AQ$3&gt;(A16taxstdlife+$E686),(('PTRM input'!$P$158+'PTRM input'!$P$124)*$P$7)-SUM($P686:AP686),(('PTRM input'!$P$158+'PTRM input'!$P$124)*$P$7)/A16taxstdlife))</f>
        <v>0</v>
      </c>
      <c r="AR686" s="590">
        <f>IF(A16taxstdlife="n/a","n/a",IF(AR$3&gt;(A16taxstdlife+$E686),(('PTRM input'!$P$158+'PTRM input'!$P$124)*$P$7)-SUM($P686:AQ686),(('PTRM input'!$P$158+'PTRM input'!$P$124)*$P$7)/A16taxstdlife))</f>
        <v>0</v>
      </c>
      <c r="AS686" s="590">
        <f>IF(A16taxstdlife="n/a","n/a",IF(AS$3&gt;(A16taxstdlife+$E686),(('PTRM input'!$P$158+'PTRM input'!$P$124)*$P$7)-SUM($P686:AR686),(('PTRM input'!$P$158+'PTRM input'!$P$124)*$P$7)/A16taxstdlife))</f>
        <v>0</v>
      </c>
      <c r="AT686" s="590">
        <f>IF(A16taxstdlife="n/a","n/a",IF(AT$3&gt;(A16taxstdlife+$E686),(('PTRM input'!$P$158+'PTRM input'!$P$124)*$P$7)-SUM($P686:AS686),(('PTRM input'!$P$158+'PTRM input'!$P$124)*$P$7)/A16taxstdlife))</f>
        <v>0</v>
      </c>
      <c r="AU686" s="590">
        <f>IF(A16taxstdlife="n/a","n/a",IF(AU$3&gt;(A16taxstdlife+$E686),(('PTRM input'!$P$158+'PTRM input'!$P$124)*$P$7)-SUM($P686:AT686),(('PTRM input'!$P$158+'PTRM input'!$P$124)*$P$7)/A16taxstdlife))</f>
        <v>0</v>
      </c>
      <c r="AV686" s="590">
        <f>IF(A16taxstdlife="n/a","n/a",IF(AV$3&gt;(A16taxstdlife+$E686),(('PTRM input'!$P$158+'PTRM input'!$P$124)*$P$7)-SUM($P686:AU686),(('PTRM input'!$P$158+'PTRM input'!$P$124)*$P$7)/A16taxstdlife))</f>
        <v>0</v>
      </c>
      <c r="AW686" s="590">
        <f>IF(A16taxstdlife="n/a","n/a",IF(AW$3&gt;(A16taxstdlife+$E686),(('PTRM input'!$P$158+'PTRM input'!$P$124)*$P$7)-SUM($P686:AV686),(('PTRM input'!$P$158+'PTRM input'!$P$124)*$P$7)/A16taxstdlife))</f>
        <v>0</v>
      </c>
      <c r="AX686" s="590">
        <f>IF(A16taxstdlife="n/a","n/a",IF(AX$3&gt;(A16taxstdlife+$E686),(('PTRM input'!$P$158+'PTRM input'!$P$124)*$P$7)-SUM($P686:AW686),(('PTRM input'!$P$158+'PTRM input'!$P$124)*$P$7)/A16taxstdlife))</f>
        <v>0</v>
      </c>
      <c r="AY686" s="590">
        <f>IF(A16taxstdlife="n/a","n/a",IF(AY$3&gt;(A16taxstdlife+$E686),(('PTRM input'!$P$158+'PTRM input'!$P$124)*$P$7)-SUM($P686:AX686),(('PTRM input'!$P$158+'PTRM input'!$P$124)*$P$7)/A16taxstdlife))</f>
        <v>0</v>
      </c>
      <c r="AZ686" s="590">
        <f>IF(A16taxstdlife="n/a","n/a",IF(AZ$3&gt;(A16taxstdlife+$E686),(('PTRM input'!$P$158+'PTRM input'!$P$124)*$P$7)-SUM($P686:AY686),(('PTRM input'!$P$158+'PTRM input'!$P$124)*$P$7)/A16taxstdlife))</f>
        <v>0</v>
      </c>
      <c r="BA686" s="590">
        <f>IF(A16taxstdlife="n/a","n/a",IF(BA$3&gt;(A16taxstdlife+$E686),(('PTRM input'!$P$158+'PTRM input'!$P$124)*$P$7)-SUM($P686:AZ686),(('PTRM input'!$P$158+'PTRM input'!$P$124)*$P$7)/A16taxstdlife))</f>
        <v>0</v>
      </c>
      <c r="BB686" s="590">
        <f>IF(A16taxstdlife="n/a","n/a",IF(BB$3&gt;(A16taxstdlife+$E686),(('PTRM input'!$P$158+'PTRM input'!$P$124)*$P$7)-SUM($P686:BA686),(('PTRM input'!$P$158+'PTRM input'!$P$124)*$P$7)/A16taxstdlife))</f>
        <v>0</v>
      </c>
      <c r="BC686" s="590">
        <f>IF(A16taxstdlife="n/a","n/a",IF(BC$3&gt;(A16taxstdlife+$E686),(('PTRM input'!$P$158+'PTRM input'!$P$124)*$P$7)-SUM($P686:BB686),(('PTRM input'!$P$158+'PTRM input'!$P$124)*$P$7)/A16taxstdlife))</f>
        <v>0</v>
      </c>
      <c r="BD686" s="590">
        <f>IF(A16taxstdlife="n/a","n/a",IF(BD$3&gt;(A16taxstdlife+$E686),(('PTRM input'!$P$158+'PTRM input'!$P$124)*$P$7)-SUM($P686:BC686),(('PTRM input'!$P$158+'PTRM input'!$P$124)*$P$7)/A16taxstdlife))</f>
        <v>0</v>
      </c>
      <c r="BE686" s="590">
        <f>IF(A16taxstdlife="n/a","n/a",IF(BE$3&gt;(A16taxstdlife+$E686),(('PTRM input'!$P$158+'PTRM input'!$P$124)*$P$7)-SUM($P686:BD686),(('PTRM input'!$P$158+'PTRM input'!$P$124)*$P$7)/A16taxstdlife))</f>
        <v>0</v>
      </c>
      <c r="BF686" s="590">
        <f>IF(A16taxstdlife="n/a","n/a",IF(BF$3&gt;(A16taxstdlife+$E686),(('PTRM input'!$P$158+'PTRM input'!$P$124)*$P$7)-SUM($P686:BE686),(('PTRM input'!$P$158+'PTRM input'!$P$124)*$P$7)/A16taxstdlife))</f>
        <v>0</v>
      </c>
      <c r="BG686" s="590">
        <f>IF(A16taxstdlife="n/a","n/a",IF(BG$3&gt;(A16taxstdlife+$E686),(('PTRM input'!$P$158+'PTRM input'!$P$124)*$P$7)-SUM($P686:BF686),(('PTRM input'!$P$158+'PTRM input'!$P$124)*$P$7)/A16taxstdlife))</f>
        <v>0</v>
      </c>
      <c r="BH686" s="590">
        <f>IF(A16taxstdlife="n/a","n/a",IF(BH$3&gt;(A16taxstdlife+$E686),(('PTRM input'!$P$158+'PTRM input'!$P$124)*$P$7)-SUM($P686:BG686),(('PTRM input'!$P$158+'PTRM input'!$P$124)*$P$7)/A16taxstdlife))</f>
        <v>0</v>
      </c>
      <c r="BI686" s="590">
        <f>IF(A16taxstdlife="n/a","n/a",IF(BI$3&gt;(A16taxstdlife+$E686),(('PTRM input'!$P$158+'PTRM input'!$P$124)*$P$7)-SUM($P686:BH686),(('PTRM input'!$P$158+'PTRM input'!$P$124)*$P$7)/A16taxstdlife))</f>
        <v>0</v>
      </c>
      <c r="BJ686" s="240"/>
      <c r="BK686" s="240"/>
      <c r="BL686" s="240"/>
      <c r="BM686" s="240"/>
    </row>
    <row r="687" spans="1:65" s="4" customFormat="1" hidden="1" outlineLevel="1">
      <c r="A687" s="240"/>
      <c r="B687" s="240"/>
      <c r="C687" s="595">
        <f>Asset16</f>
        <v>0</v>
      </c>
      <c r="D687" s="240"/>
      <c r="E687" s="240"/>
      <c r="F687" s="596"/>
      <c r="G687" s="591">
        <f t="shared" ref="G687:AL687" si="136">SUM(G675:G686)</f>
        <v>0</v>
      </c>
      <c r="H687" s="591">
        <f t="shared" si="136"/>
        <v>0</v>
      </c>
      <c r="I687" s="591">
        <f t="shared" si="136"/>
        <v>0</v>
      </c>
      <c r="J687" s="591">
        <f t="shared" si="136"/>
        <v>0</v>
      </c>
      <c r="K687" s="591">
        <f t="shared" si="136"/>
        <v>0</v>
      </c>
      <c r="L687" s="591">
        <f t="shared" si="136"/>
        <v>0</v>
      </c>
      <c r="M687" s="591">
        <f t="shared" si="136"/>
        <v>0</v>
      </c>
      <c r="N687" s="591">
        <f t="shared" si="136"/>
        <v>0</v>
      </c>
      <c r="O687" s="591">
        <f t="shared" si="136"/>
        <v>0</v>
      </c>
      <c r="P687" s="591">
        <f t="shared" si="136"/>
        <v>0</v>
      </c>
      <c r="Q687" s="591">
        <f t="shared" si="136"/>
        <v>0</v>
      </c>
      <c r="R687" s="591">
        <f t="shared" si="136"/>
        <v>0</v>
      </c>
      <c r="S687" s="591">
        <f t="shared" si="136"/>
        <v>0</v>
      </c>
      <c r="T687" s="591">
        <f t="shared" si="136"/>
        <v>0</v>
      </c>
      <c r="U687" s="591">
        <f t="shared" si="136"/>
        <v>0</v>
      </c>
      <c r="V687" s="591">
        <f t="shared" si="136"/>
        <v>0</v>
      </c>
      <c r="W687" s="591">
        <f t="shared" si="136"/>
        <v>0</v>
      </c>
      <c r="X687" s="591">
        <f t="shared" si="136"/>
        <v>0</v>
      </c>
      <c r="Y687" s="591">
        <f t="shared" si="136"/>
        <v>0</v>
      </c>
      <c r="Z687" s="591">
        <f t="shared" si="136"/>
        <v>0</v>
      </c>
      <c r="AA687" s="591">
        <f t="shared" si="136"/>
        <v>0</v>
      </c>
      <c r="AB687" s="591">
        <f t="shared" si="136"/>
        <v>0</v>
      </c>
      <c r="AC687" s="591">
        <f t="shared" si="136"/>
        <v>0</v>
      </c>
      <c r="AD687" s="591">
        <f t="shared" si="136"/>
        <v>0</v>
      </c>
      <c r="AE687" s="591">
        <f t="shared" si="136"/>
        <v>0</v>
      </c>
      <c r="AF687" s="591">
        <f t="shared" si="136"/>
        <v>0</v>
      </c>
      <c r="AG687" s="591">
        <f t="shared" si="136"/>
        <v>0</v>
      </c>
      <c r="AH687" s="591">
        <f t="shared" si="136"/>
        <v>0</v>
      </c>
      <c r="AI687" s="591">
        <f t="shared" si="136"/>
        <v>0</v>
      </c>
      <c r="AJ687" s="591">
        <f t="shared" si="136"/>
        <v>0</v>
      </c>
      <c r="AK687" s="591">
        <f t="shared" si="136"/>
        <v>0</v>
      </c>
      <c r="AL687" s="591">
        <f t="shared" si="136"/>
        <v>0</v>
      </c>
      <c r="AM687" s="591">
        <f t="shared" ref="AM687:BI687" si="137">SUM(AM675:AM686)</f>
        <v>0</v>
      </c>
      <c r="AN687" s="591">
        <f t="shared" si="137"/>
        <v>0</v>
      </c>
      <c r="AO687" s="591">
        <f t="shared" si="137"/>
        <v>0</v>
      </c>
      <c r="AP687" s="591">
        <f t="shared" si="137"/>
        <v>0</v>
      </c>
      <c r="AQ687" s="591">
        <f t="shared" si="137"/>
        <v>0</v>
      </c>
      <c r="AR687" s="591">
        <f t="shared" si="137"/>
        <v>0</v>
      </c>
      <c r="AS687" s="591">
        <f t="shared" si="137"/>
        <v>0</v>
      </c>
      <c r="AT687" s="591">
        <f t="shared" si="137"/>
        <v>0</v>
      </c>
      <c r="AU687" s="591">
        <f t="shared" si="137"/>
        <v>0</v>
      </c>
      <c r="AV687" s="591">
        <f t="shared" si="137"/>
        <v>0</v>
      </c>
      <c r="AW687" s="591">
        <f t="shared" si="137"/>
        <v>0</v>
      </c>
      <c r="AX687" s="591">
        <f t="shared" si="137"/>
        <v>0</v>
      </c>
      <c r="AY687" s="591">
        <f t="shared" si="137"/>
        <v>0</v>
      </c>
      <c r="AZ687" s="591">
        <f t="shared" si="137"/>
        <v>0</v>
      </c>
      <c r="BA687" s="591">
        <f t="shared" si="137"/>
        <v>0</v>
      </c>
      <c r="BB687" s="591">
        <f t="shared" si="137"/>
        <v>0</v>
      </c>
      <c r="BC687" s="591">
        <f t="shared" si="137"/>
        <v>0</v>
      </c>
      <c r="BD687" s="591">
        <f t="shared" si="137"/>
        <v>0</v>
      </c>
      <c r="BE687" s="591">
        <f t="shared" si="137"/>
        <v>0</v>
      </c>
      <c r="BF687" s="591">
        <f t="shared" si="137"/>
        <v>0</v>
      </c>
      <c r="BG687" s="591">
        <f t="shared" si="137"/>
        <v>0</v>
      </c>
      <c r="BH687" s="591">
        <f t="shared" si="137"/>
        <v>0</v>
      </c>
      <c r="BI687" s="591">
        <f t="shared" si="137"/>
        <v>0</v>
      </c>
      <c r="BJ687" s="240"/>
      <c r="BK687" s="240"/>
      <c r="BL687" s="240"/>
      <c r="BM687" s="240"/>
    </row>
    <row r="688" spans="1:65" s="4" customFormat="1" hidden="1" outlineLevel="2">
      <c r="A688" s="240"/>
      <c r="B688" s="597">
        <f>C700</f>
        <v>0</v>
      </c>
      <c r="C688" s="488"/>
      <c r="D688" s="598" t="s">
        <v>58</v>
      </c>
      <c r="E688" s="488"/>
      <c r="F688" s="599"/>
      <c r="G688" s="592">
        <f>IF(G$3&gt;A17taxremlife,A17taxvalue-SUM($F688:F688),IF(A17taxremlife="N/A","n/a",A17taxvalue/A17taxremlife))</f>
        <v>0</v>
      </c>
      <c r="H688" s="592">
        <f>IF(H$3&gt;A17taxremlife,A17taxvalue-SUM($F688:G688),IF(A17taxremlife="N/A","n/a",A17taxvalue/A17taxremlife))</f>
        <v>0</v>
      </c>
      <c r="I688" s="592">
        <f>IF(I$3&gt;A17taxremlife,A17taxvalue-SUM($F688:H688),IF(A17taxremlife="N/A","n/a",A17taxvalue/A17taxremlife))</f>
        <v>0</v>
      </c>
      <c r="J688" s="592">
        <f>IF(J$3&gt;A17taxremlife,A17taxvalue-SUM($F688:I688),IF(A17taxremlife="N/A","n/a",A17taxvalue/A17taxremlife))</f>
        <v>0</v>
      </c>
      <c r="K688" s="592">
        <f>IF(K$3&gt;A17taxremlife,A17taxvalue-SUM($F688:J688),IF(A17taxremlife="N/A","n/a",A17taxvalue/A17taxremlife))</f>
        <v>0</v>
      </c>
      <c r="L688" s="592">
        <f>IF(L$3&gt;A17taxremlife,A17taxvalue-SUM($F688:K688),IF(A17taxremlife="N/A","n/a",A17taxvalue/A17taxremlife))</f>
        <v>0</v>
      </c>
      <c r="M688" s="592">
        <f>IF(M$3&gt;A17taxremlife,A17taxvalue-SUM($F688:L688),IF(A17taxremlife="N/A","n/a",A17taxvalue/A17taxremlife))</f>
        <v>0</v>
      </c>
      <c r="N688" s="592">
        <f>IF(N$3&gt;A17taxremlife,A17taxvalue-SUM($F688:M688),IF(A17taxremlife="N/A","n/a",A17taxvalue/A17taxremlife))</f>
        <v>0</v>
      </c>
      <c r="O688" s="592">
        <f>IF(O$3&gt;A17taxremlife,A17taxvalue-SUM($F688:N688),IF(A17taxremlife="N/A","n/a",A17taxvalue/A17taxremlife))</f>
        <v>0</v>
      </c>
      <c r="P688" s="592">
        <f>IF(P$3&gt;A17taxremlife,A17taxvalue-SUM($F688:O688),IF(A17taxremlife="N/A","n/a",A17taxvalue/A17taxremlife))</f>
        <v>0</v>
      </c>
      <c r="Q688" s="592">
        <f>IF(Q$3&gt;A17taxremlife,A17taxvalue-SUM($F688:P688),IF(A17taxremlife="N/A","n/a",A17taxvalue/A17taxremlife))</f>
        <v>0</v>
      </c>
      <c r="R688" s="592">
        <f>IF(R$3&gt;A17taxremlife,A17taxvalue-SUM($F688:Q688),IF(A17taxremlife="N/A","n/a",A17taxvalue/A17taxremlife))</f>
        <v>0</v>
      </c>
      <c r="S688" s="592">
        <f>IF(S$3&gt;A17taxremlife,A17taxvalue-SUM($F688:R688),IF(A17taxremlife="N/A","n/a",A17taxvalue/A17taxremlife))</f>
        <v>0</v>
      </c>
      <c r="T688" s="592">
        <f>IF(T$3&gt;A17taxremlife,A17taxvalue-SUM($F688:S688),IF(A17taxremlife="N/A","n/a",A17taxvalue/A17taxremlife))</f>
        <v>0</v>
      </c>
      <c r="U688" s="592">
        <f>IF(U$3&gt;A17taxremlife,A17taxvalue-SUM($F688:T688),IF(A17taxremlife="N/A","n/a",A17taxvalue/A17taxremlife))</f>
        <v>0</v>
      </c>
      <c r="V688" s="592">
        <f>IF(V$3&gt;A17taxremlife,A17taxvalue-SUM($F688:U688),IF(A17taxremlife="N/A","n/a",A17taxvalue/A17taxremlife))</f>
        <v>0</v>
      </c>
      <c r="W688" s="592">
        <f>IF(W$3&gt;A17taxremlife,A17taxvalue-SUM($F688:V688),IF(A17taxremlife="N/A","n/a",A17taxvalue/A17taxremlife))</f>
        <v>0</v>
      </c>
      <c r="X688" s="592">
        <f>IF(X$3&gt;A17taxremlife,A17taxvalue-SUM($F688:W688),IF(A17taxremlife="N/A","n/a",A17taxvalue/A17taxremlife))</f>
        <v>0</v>
      </c>
      <c r="Y688" s="592">
        <f>IF(Y$3&gt;A17taxremlife,A17taxvalue-SUM($F688:X688),IF(A17taxremlife="N/A","n/a",A17taxvalue/A17taxremlife))</f>
        <v>0</v>
      </c>
      <c r="Z688" s="592">
        <f>IF(Z$3&gt;A17taxremlife,A17taxvalue-SUM($F688:Y688),IF(A17taxremlife="N/A","n/a",A17taxvalue/A17taxremlife))</f>
        <v>0</v>
      </c>
      <c r="AA688" s="592">
        <f>IF(AA$3&gt;A17taxremlife,A17taxvalue-SUM($F688:Z688),IF(A17taxremlife="N/A","n/a",A17taxvalue/A17taxremlife))</f>
        <v>0</v>
      </c>
      <c r="AB688" s="592">
        <f>IF(AB$3&gt;A17taxremlife,A17taxvalue-SUM($F688:AA688),IF(A17taxremlife="N/A","n/a",A17taxvalue/A17taxremlife))</f>
        <v>0</v>
      </c>
      <c r="AC688" s="592">
        <f>IF(AC$3&gt;A17taxremlife,A17taxvalue-SUM($F688:AB688),IF(A17taxremlife="N/A","n/a",A17taxvalue/A17taxremlife))</f>
        <v>0</v>
      </c>
      <c r="AD688" s="592">
        <f>IF(AD$3&gt;A17taxremlife,A17taxvalue-SUM($F688:AC688),IF(A17taxremlife="N/A","n/a",A17taxvalue/A17taxremlife))</f>
        <v>0</v>
      </c>
      <c r="AE688" s="592">
        <f>IF(AE$3&gt;A17taxremlife,A17taxvalue-SUM($F688:AD688),IF(A17taxremlife="N/A","n/a",A17taxvalue/A17taxremlife))</f>
        <v>0</v>
      </c>
      <c r="AF688" s="592">
        <f>IF(AF$3&gt;A17taxremlife,A17taxvalue-SUM($F688:AE688),IF(A17taxremlife="N/A","n/a",A17taxvalue/A17taxremlife))</f>
        <v>0</v>
      </c>
      <c r="AG688" s="592">
        <f>IF(AG$3&gt;A17taxremlife,A17taxvalue-SUM($F688:AF688),IF(A17taxremlife="N/A","n/a",A17taxvalue/A17taxremlife))</f>
        <v>0</v>
      </c>
      <c r="AH688" s="592">
        <f>IF(AH$3&gt;A17taxremlife,A17taxvalue-SUM($F688:AG688),IF(A17taxremlife="N/A","n/a",A17taxvalue/A17taxremlife))</f>
        <v>0</v>
      </c>
      <c r="AI688" s="592">
        <f>IF(AI$3&gt;A17taxremlife,A17taxvalue-SUM($F688:AH688),IF(A17taxremlife="N/A","n/a",A17taxvalue/A17taxremlife))</f>
        <v>0</v>
      </c>
      <c r="AJ688" s="592">
        <f>IF(AJ$3&gt;A17taxremlife,A17taxvalue-SUM($F688:AI688),IF(A17taxremlife="N/A","n/a",A17taxvalue/A17taxremlife))</f>
        <v>0</v>
      </c>
      <c r="AK688" s="592">
        <f>IF(AK$3&gt;A17taxremlife,A17taxvalue-SUM($F688:AJ688),IF(A17taxremlife="N/A","n/a",A17taxvalue/A17taxremlife))</f>
        <v>0</v>
      </c>
      <c r="AL688" s="592">
        <f>IF(AL$3&gt;A17taxremlife,A17taxvalue-SUM($F688:AK688),IF(A17taxremlife="N/A","n/a",A17taxvalue/A17taxremlife))</f>
        <v>0</v>
      </c>
      <c r="AM688" s="592">
        <f>IF(AM$3&gt;A17taxremlife,A17taxvalue-SUM($F688:AL688),IF(A17taxremlife="N/A","n/a",A17taxvalue/A17taxremlife))</f>
        <v>0</v>
      </c>
      <c r="AN688" s="592">
        <f>IF(AN$3&gt;A17taxremlife,A17taxvalue-SUM($F688:AM688),IF(A17taxremlife="N/A","n/a",A17taxvalue/A17taxremlife))</f>
        <v>0</v>
      </c>
      <c r="AO688" s="592">
        <f>IF(AO$3&gt;A17taxremlife,A17taxvalue-SUM($F688:AN688),IF(A17taxremlife="N/A","n/a",A17taxvalue/A17taxremlife))</f>
        <v>0</v>
      </c>
      <c r="AP688" s="592">
        <f>IF(AP$3&gt;A17taxremlife,A17taxvalue-SUM($F688:AO688),IF(A17taxremlife="N/A","n/a",A17taxvalue/A17taxremlife))</f>
        <v>0</v>
      </c>
      <c r="AQ688" s="592">
        <f>IF(AQ$3&gt;A17taxremlife,A17taxvalue-SUM($F688:AP688),IF(A17taxremlife="N/A","n/a",A17taxvalue/A17taxremlife))</f>
        <v>0</v>
      </c>
      <c r="AR688" s="592">
        <f>IF(AR$3&gt;A17taxremlife,A17taxvalue-SUM($F688:AQ688),IF(A17taxremlife="N/A","n/a",A17taxvalue/A17taxremlife))</f>
        <v>0</v>
      </c>
      <c r="AS688" s="592">
        <f>IF(AS$3&gt;A17taxremlife,A17taxvalue-SUM($F688:AR688),IF(A17taxremlife="N/A","n/a",A17taxvalue/A17taxremlife))</f>
        <v>0</v>
      </c>
      <c r="AT688" s="592">
        <f>IF(AT$3&gt;A17taxremlife,A17taxvalue-SUM($F688:AS688),IF(A17taxremlife="N/A","n/a",A17taxvalue/A17taxremlife))</f>
        <v>0</v>
      </c>
      <c r="AU688" s="592">
        <f>IF(AU$3&gt;A17taxremlife,A17taxvalue-SUM($F688:AT688),IF(A17taxremlife="N/A","n/a",A17taxvalue/A17taxremlife))</f>
        <v>0</v>
      </c>
      <c r="AV688" s="592">
        <f>IF(AV$3&gt;A17taxremlife,A17taxvalue-SUM($F688:AU688),IF(A17taxremlife="N/A","n/a",A17taxvalue/A17taxremlife))</f>
        <v>0</v>
      </c>
      <c r="AW688" s="592">
        <f>IF(AW$3&gt;A17taxremlife,A17taxvalue-SUM($F688:AV688),IF(A17taxremlife="N/A","n/a",A17taxvalue/A17taxremlife))</f>
        <v>0</v>
      </c>
      <c r="AX688" s="592">
        <f>IF(AX$3&gt;A17taxremlife,A17taxvalue-SUM($F688:AW688),IF(A17taxremlife="N/A","n/a",A17taxvalue/A17taxremlife))</f>
        <v>0</v>
      </c>
      <c r="AY688" s="592">
        <f>IF(AY$3&gt;A17taxremlife,A17taxvalue-SUM($F688:AX688),IF(A17taxremlife="N/A","n/a",A17taxvalue/A17taxremlife))</f>
        <v>0</v>
      </c>
      <c r="AZ688" s="592">
        <f>IF(AZ$3&gt;A17taxremlife,A17taxvalue-SUM($F688:AY688),IF(A17taxremlife="N/A","n/a",A17taxvalue/A17taxremlife))</f>
        <v>0</v>
      </c>
      <c r="BA688" s="592">
        <f>IF(BA$3&gt;A17taxremlife,A17taxvalue-SUM($F688:AZ688),IF(A17taxremlife="N/A","n/a",A17taxvalue/A17taxremlife))</f>
        <v>0</v>
      </c>
      <c r="BB688" s="592">
        <f>IF(BB$3&gt;A17taxremlife,A17taxvalue-SUM($F688:BA688),IF(A17taxremlife="N/A","n/a",A17taxvalue/A17taxremlife))</f>
        <v>0</v>
      </c>
      <c r="BC688" s="592">
        <f>IF(BC$3&gt;A17taxremlife,A17taxvalue-SUM($F688:BB688),IF(A17taxremlife="N/A","n/a",A17taxvalue/A17taxremlife))</f>
        <v>0</v>
      </c>
      <c r="BD688" s="592">
        <f>IF(BD$3&gt;A17taxremlife,A17taxvalue-SUM($F688:BC688),IF(A17taxremlife="N/A","n/a",A17taxvalue/A17taxremlife))</f>
        <v>0</v>
      </c>
      <c r="BE688" s="592">
        <f>IF(BE$3&gt;A17taxremlife,A17taxvalue-SUM($F688:BD688),IF(A17taxremlife="N/A","n/a",A17taxvalue/A17taxremlife))</f>
        <v>0</v>
      </c>
      <c r="BF688" s="592">
        <f>IF(BF$3&gt;A17taxremlife,A17taxvalue-SUM($F688:BE688),IF(A17taxremlife="N/A","n/a",A17taxvalue/A17taxremlife))</f>
        <v>0</v>
      </c>
      <c r="BG688" s="592">
        <f>IF(BG$3&gt;A17taxremlife,A17taxvalue-SUM($F688:BF688),IF(A17taxremlife="N/A","n/a",A17taxvalue/A17taxremlife))</f>
        <v>0</v>
      </c>
      <c r="BH688" s="592">
        <f>IF(BH$3&gt;A17taxremlife,A17taxvalue-SUM($F688:BG688),IF(A17taxremlife="N/A","n/a",A17taxvalue/A17taxremlife))</f>
        <v>0</v>
      </c>
      <c r="BI688" s="592">
        <f>IF(BI$3&gt;A17taxremlife,A17taxvalue-SUM($F688:BH688),IF(A17taxremlife="N/A","n/a",A17taxvalue/A17taxremlife))</f>
        <v>0</v>
      </c>
      <c r="BJ688" s="240"/>
      <c r="BK688" s="240"/>
      <c r="BL688" s="240"/>
      <c r="BM688" s="240"/>
    </row>
    <row r="689" spans="1:65" s="4" customFormat="1" ht="12.75" hidden="1" customHeight="1" outlineLevel="2">
      <c r="A689" s="240"/>
      <c r="B689" s="240"/>
      <c r="C689" s="595"/>
      <c r="D689" s="1618" t="s">
        <v>357</v>
      </c>
      <c r="E689" s="169">
        <v>0</v>
      </c>
      <c r="F689" s="35"/>
      <c r="G689" s="107"/>
      <c r="H689" s="107"/>
      <c r="I689" s="107"/>
      <c r="J689" s="107"/>
      <c r="K689" s="107"/>
      <c r="L689" s="107"/>
      <c r="M689" s="107"/>
      <c r="N689" s="107"/>
      <c r="O689" s="107"/>
      <c r="P689" s="107"/>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240"/>
      <c r="BK689" s="240"/>
      <c r="BL689" s="240"/>
      <c r="BM689" s="240"/>
    </row>
    <row r="690" spans="1:65" s="4" customFormat="1" hidden="1" outlineLevel="2">
      <c r="A690" s="240"/>
      <c r="B690" s="240"/>
      <c r="C690" s="595"/>
      <c r="D690" s="1618"/>
      <c r="E690" s="169">
        <v>1</v>
      </c>
      <c r="F690" s="35"/>
      <c r="G690" s="183"/>
      <c r="H690" s="107">
        <f>IF(A17taxstdlife="n/a","n/a",IF(H$3&gt;(A17taxstdlife+$E690),(('PTRM input'!$G$159+'PTRM input'!$G$125)*$G$7)-SUM($G690:G690),(('PTRM input'!$G$159+'PTRM input'!$G$125)*$G$7)/A17taxstdlife))</f>
        <v>0</v>
      </c>
      <c r="I690" s="107">
        <f>IF(A17taxstdlife="n/a","n/a",IF(I$3&gt;(A17taxstdlife+$E690),(('PTRM input'!$G$159+'PTRM input'!$G$125)*$G$7)-SUM($G690:H690),(('PTRM input'!$G$159+'PTRM input'!$G$125)*$G$7)/A17taxstdlife))</f>
        <v>0</v>
      </c>
      <c r="J690" s="107">
        <f>IF(A17taxstdlife="n/a","n/a",IF(J$3&gt;(A17taxstdlife+$E690),(('PTRM input'!$G$159+'PTRM input'!$G$125)*$G$7)-SUM($G690:I690),(('PTRM input'!$G$159+'PTRM input'!$G$125)*$G$7)/A17taxstdlife))</f>
        <v>0</v>
      </c>
      <c r="K690" s="107">
        <f>IF(A17taxstdlife="n/a","n/a",IF(K$3&gt;(A17taxstdlife+$E690),(('PTRM input'!$G$159+'PTRM input'!$G$125)*$G$7)-SUM($G690:J690),(('PTRM input'!$G$159+'PTRM input'!$G$125)*$G$7)/A17taxstdlife))</f>
        <v>0</v>
      </c>
      <c r="L690" s="107">
        <f>IF(A17taxstdlife="n/a","n/a",IF(L$3&gt;(A17taxstdlife+$E690),(('PTRM input'!$G$159+'PTRM input'!$G$125)*$G$7)-SUM($G690:K690),(('PTRM input'!$G$159+'PTRM input'!$G$125)*$G$7)/A17taxstdlife))</f>
        <v>0</v>
      </c>
      <c r="M690" s="107">
        <f>IF(A17taxstdlife="n/a","n/a",IF(M$3&gt;(A17taxstdlife+$E690),(('PTRM input'!$G$159+'PTRM input'!$G$125)*$G$7)-SUM($G690:L690),(('PTRM input'!$G$159+'PTRM input'!$G$125)*$G$7)/A17taxstdlife))</f>
        <v>0</v>
      </c>
      <c r="N690" s="107">
        <f>IF(A17taxstdlife="n/a","n/a",IF(N$3&gt;(A17taxstdlife+$E690),(('PTRM input'!$G$159+'PTRM input'!$G$125)*$G$7)-SUM($G690:M690),(('PTRM input'!$G$159+'PTRM input'!$G$125)*$G$7)/A17taxstdlife))</f>
        <v>0</v>
      </c>
      <c r="O690" s="107">
        <f>IF(A17taxstdlife="n/a","n/a",IF(O$3&gt;(A17taxstdlife+$E690),(('PTRM input'!$G$159+'PTRM input'!$G$125)*$G$7)-SUM($G690:N690),(('PTRM input'!$G$159+'PTRM input'!$G$125)*$G$7)/A17taxstdlife))</f>
        <v>0</v>
      </c>
      <c r="P690" s="107">
        <f>IF(A17taxstdlife="n/a","n/a",IF(P$3&gt;(A17taxstdlife+$E690),(('PTRM input'!$G$159+'PTRM input'!$G$125)*$G$7)-SUM($G690:O690),(('PTRM input'!$G$159+'PTRM input'!$G$125)*$G$7)/A17taxstdlife))</f>
        <v>0</v>
      </c>
      <c r="Q690" s="590">
        <f>IF(A17taxstdlife="n/a","n/a",IF(Q$3&gt;(A17taxstdlife+$E690),(('PTRM input'!$G$159+'PTRM input'!$G$125)*$G$7)-SUM($G690:P690),(('PTRM input'!$G$159+'PTRM input'!$G$125)*$G$7)/A17taxstdlife))</f>
        <v>0</v>
      </c>
      <c r="R690" s="590">
        <f>IF(A17taxstdlife="n/a","n/a",IF(R$3&gt;(A17taxstdlife+$E690),(('PTRM input'!$G$159+'PTRM input'!$G$125)*$G$7)-SUM($G690:Q690),(('PTRM input'!$G$159+'PTRM input'!$G$125)*$G$7)/A17taxstdlife))</f>
        <v>0</v>
      </c>
      <c r="S690" s="590">
        <f>IF(A17taxstdlife="n/a","n/a",IF(S$3&gt;(A17taxstdlife+$E690),(('PTRM input'!$G$159+'PTRM input'!$G$125)*$G$7)-SUM($G690:R690),(('PTRM input'!$G$159+'PTRM input'!$G$125)*$G$7)/A17taxstdlife))</f>
        <v>0</v>
      </c>
      <c r="T690" s="590">
        <f>IF(A17taxstdlife="n/a","n/a",IF(T$3&gt;(A17taxstdlife+$E690),(('PTRM input'!$G$159+'PTRM input'!$G$125)*$G$7)-SUM($G690:S690),(('PTRM input'!$G$159+'PTRM input'!$G$125)*$G$7)/A17taxstdlife))</f>
        <v>0</v>
      </c>
      <c r="U690" s="590">
        <f>IF(A17taxstdlife="n/a","n/a",IF(U$3&gt;(A17taxstdlife+$E690),(('PTRM input'!$G$159+'PTRM input'!$G$125)*$G$7)-SUM($G690:T690),(('PTRM input'!$G$159+'PTRM input'!$G$125)*$G$7)/A17taxstdlife))</f>
        <v>0</v>
      </c>
      <c r="V690" s="590">
        <f>IF(A17taxstdlife="n/a","n/a",IF(V$3&gt;(A17taxstdlife+$E690),(('PTRM input'!$G$159+'PTRM input'!$G$125)*$G$7)-SUM($G690:U690),(('PTRM input'!$G$159+'PTRM input'!$G$125)*$G$7)/A17taxstdlife))</f>
        <v>0</v>
      </c>
      <c r="W690" s="590">
        <f>IF(A17taxstdlife="n/a","n/a",IF(W$3&gt;(A17taxstdlife+$E690),(('PTRM input'!$G$159+'PTRM input'!$G$125)*$G$7)-SUM($G690:V690),(('PTRM input'!$G$159+'PTRM input'!$G$125)*$G$7)/A17taxstdlife))</f>
        <v>0</v>
      </c>
      <c r="X690" s="590">
        <f>IF(A17taxstdlife="n/a","n/a",IF(X$3&gt;(A17taxstdlife+$E690),(('PTRM input'!$G$159+'PTRM input'!$G$125)*$G$7)-SUM($G690:W690),(('PTRM input'!$G$159+'PTRM input'!$G$125)*$G$7)/A17taxstdlife))</f>
        <v>0</v>
      </c>
      <c r="Y690" s="590">
        <f>IF(A17taxstdlife="n/a","n/a",IF(Y$3&gt;(A17taxstdlife+$E690),(('PTRM input'!$G$159+'PTRM input'!$G$125)*$G$7)-SUM($G690:X690),(('PTRM input'!$G$159+'PTRM input'!$G$125)*$G$7)/A17taxstdlife))</f>
        <v>0</v>
      </c>
      <c r="Z690" s="590">
        <f>IF(A17taxstdlife="n/a","n/a",IF(Z$3&gt;(A17taxstdlife+$E690),(('PTRM input'!$G$159+'PTRM input'!$G$125)*$G$7)-SUM($G690:Y690),(('PTRM input'!$G$159+'PTRM input'!$G$125)*$G$7)/A17taxstdlife))</f>
        <v>0</v>
      </c>
      <c r="AA690" s="590">
        <f>IF(A17taxstdlife="n/a","n/a",IF(AA$3&gt;(A17taxstdlife+$E690),(('PTRM input'!$G$159+'PTRM input'!$G$125)*$G$7)-SUM($G690:Z690),(('PTRM input'!$G$159+'PTRM input'!$G$125)*$G$7)/A17taxstdlife))</f>
        <v>0</v>
      </c>
      <c r="AB690" s="590">
        <f>IF(A17taxstdlife="n/a","n/a",IF(AB$3&gt;(A17taxstdlife+$E690),(('PTRM input'!$G$159+'PTRM input'!$G$125)*$G$7)-SUM($G690:AA690),(('PTRM input'!$G$159+'PTRM input'!$G$125)*$G$7)/A17taxstdlife))</f>
        <v>0</v>
      </c>
      <c r="AC690" s="590">
        <f>IF(A17taxstdlife="n/a","n/a",IF(AC$3&gt;(A17taxstdlife+$E690),(('PTRM input'!$G$159+'PTRM input'!$G$125)*$G$7)-SUM($G690:AB690),(('PTRM input'!$G$159+'PTRM input'!$G$125)*$G$7)/A17taxstdlife))</f>
        <v>0</v>
      </c>
      <c r="AD690" s="590">
        <f>IF(A17taxstdlife="n/a","n/a",IF(AD$3&gt;(A17taxstdlife+$E690),(('PTRM input'!$G$159+'PTRM input'!$G$125)*$G$7)-SUM($G690:AC690),(('PTRM input'!$G$159+'PTRM input'!$G$125)*$G$7)/A17taxstdlife))</f>
        <v>0</v>
      </c>
      <c r="AE690" s="590">
        <f>IF(A17taxstdlife="n/a","n/a",IF(AE$3&gt;(A17taxstdlife+$E690),(('PTRM input'!$G$159+'PTRM input'!$G$125)*$G$7)-SUM($G690:AD690),(('PTRM input'!$G$159+'PTRM input'!$G$125)*$G$7)/A17taxstdlife))</f>
        <v>0</v>
      </c>
      <c r="AF690" s="590">
        <f>IF(A17taxstdlife="n/a","n/a",IF(AF$3&gt;(A17taxstdlife+$E690),(('PTRM input'!$G$159+'PTRM input'!$G$125)*$G$7)-SUM($G690:AE690),(('PTRM input'!$G$159+'PTRM input'!$G$125)*$G$7)/A17taxstdlife))</f>
        <v>0</v>
      </c>
      <c r="AG690" s="590">
        <f>IF(A17taxstdlife="n/a","n/a",IF(AG$3&gt;(A17taxstdlife+$E690),(('PTRM input'!$G$159+'PTRM input'!$G$125)*$G$7)-SUM($G690:AF690),(('PTRM input'!$G$159+'PTRM input'!$G$125)*$G$7)/A17taxstdlife))</f>
        <v>0</v>
      </c>
      <c r="AH690" s="590">
        <f>IF(A17taxstdlife="n/a","n/a",IF(AH$3&gt;(A17taxstdlife+$E690),(('PTRM input'!$G$159+'PTRM input'!$G$125)*$G$7)-SUM($G690:AG690),(('PTRM input'!$G$159+'PTRM input'!$G$125)*$G$7)/A17taxstdlife))</f>
        <v>0</v>
      </c>
      <c r="AI690" s="590">
        <f>IF(A17taxstdlife="n/a","n/a",IF(AI$3&gt;(A17taxstdlife+$E690),(('PTRM input'!$G$159+'PTRM input'!$G$125)*$G$7)-SUM($G690:AH690),(('PTRM input'!$G$159+'PTRM input'!$G$125)*$G$7)/A17taxstdlife))</f>
        <v>0</v>
      </c>
      <c r="AJ690" s="590">
        <f>IF(A17taxstdlife="n/a","n/a",IF(AJ$3&gt;(A17taxstdlife+$E690),(('PTRM input'!$G$159+'PTRM input'!$G$125)*$G$7)-SUM($G690:AI690),(('PTRM input'!$G$159+'PTRM input'!$G$125)*$G$7)/A17taxstdlife))</f>
        <v>0</v>
      </c>
      <c r="AK690" s="590">
        <f>IF(A17taxstdlife="n/a","n/a",IF(AK$3&gt;(A17taxstdlife+$E690),(('PTRM input'!$G$159+'PTRM input'!$G$125)*$G$7)-SUM($G690:AJ690),(('PTRM input'!$G$159+'PTRM input'!$G$125)*$G$7)/A17taxstdlife))</f>
        <v>0</v>
      </c>
      <c r="AL690" s="590">
        <f>IF(A17taxstdlife="n/a","n/a",IF(AL$3&gt;(A17taxstdlife+$E690),(('PTRM input'!$G$159+'PTRM input'!$G$125)*$G$7)-SUM($G690:AK690),(('PTRM input'!$G$159+'PTRM input'!$G$125)*$G$7)/A17taxstdlife))</f>
        <v>0</v>
      </c>
      <c r="AM690" s="590">
        <f>IF(A17taxstdlife="n/a","n/a",IF(AM$3&gt;(A17taxstdlife+$E690),(('PTRM input'!$G$159+'PTRM input'!$G$125)*$G$7)-SUM($G690:AL690),(('PTRM input'!$G$159+'PTRM input'!$G$125)*$G$7)/A17taxstdlife))</f>
        <v>0</v>
      </c>
      <c r="AN690" s="590">
        <f>IF(A17taxstdlife="n/a","n/a",IF(AN$3&gt;(A17taxstdlife+$E690),(('PTRM input'!$G$159+'PTRM input'!$G$125)*$G$7)-SUM($G690:AM690),(('PTRM input'!$G$159+'PTRM input'!$G$125)*$G$7)/A17taxstdlife))</f>
        <v>0</v>
      </c>
      <c r="AO690" s="590">
        <f>IF(A17taxstdlife="n/a","n/a",IF(AO$3&gt;(A17taxstdlife+$E690),(('PTRM input'!$G$159+'PTRM input'!$G$125)*$G$7)-SUM($G690:AN690),(('PTRM input'!$G$159+'PTRM input'!$G$125)*$G$7)/A17taxstdlife))</f>
        <v>0</v>
      </c>
      <c r="AP690" s="590">
        <f>IF(A17taxstdlife="n/a","n/a",IF(AP$3&gt;(A17taxstdlife+$E690),(('PTRM input'!$G$159+'PTRM input'!$G$125)*$G$7)-SUM($G690:AO690),(('PTRM input'!$G$159+'PTRM input'!$G$125)*$G$7)/A17taxstdlife))</f>
        <v>0</v>
      </c>
      <c r="AQ690" s="590">
        <f>IF(A17taxstdlife="n/a","n/a",IF(AQ$3&gt;(A17taxstdlife+$E690),(('PTRM input'!$G$159+'PTRM input'!$G$125)*$G$7)-SUM($G690:AP690),(('PTRM input'!$G$159+'PTRM input'!$G$125)*$G$7)/A17taxstdlife))</f>
        <v>0</v>
      </c>
      <c r="AR690" s="590">
        <f>IF(A17taxstdlife="n/a","n/a",IF(AR$3&gt;(A17taxstdlife+$E690),(('PTRM input'!$G$159+'PTRM input'!$G$125)*$G$7)-SUM($G690:AQ690),(('PTRM input'!$G$159+'PTRM input'!$G$125)*$G$7)/A17taxstdlife))</f>
        <v>0</v>
      </c>
      <c r="AS690" s="590">
        <f>IF(A17taxstdlife="n/a","n/a",IF(AS$3&gt;(A17taxstdlife+$E690),(('PTRM input'!$G$159+'PTRM input'!$G$125)*$G$7)-SUM($G690:AR690),(('PTRM input'!$G$159+'PTRM input'!$G$125)*$G$7)/A17taxstdlife))</f>
        <v>0</v>
      </c>
      <c r="AT690" s="590">
        <f>IF(A17taxstdlife="n/a","n/a",IF(AT$3&gt;(A17taxstdlife+$E690),(('PTRM input'!$G$159+'PTRM input'!$G$125)*$G$7)-SUM($G690:AS690),(('PTRM input'!$G$159+'PTRM input'!$G$125)*$G$7)/A17taxstdlife))</f>
        <v>0</v>
      </c>
      <c r="AU690" s="590">
        <f>IF(A17taxstdlife="n/a","n/a",IF(AU$3&gt;(A17taxstdlife+$E690),(('PTRM input'!$G$159+'PTRM input'!$G$125)*$G$7)-SUM($G690:AT690),(('PTRM input'!$G$159+'PTRM input'!$G$125)*$G$7)/A17taxstdlife))</f>
        <v>0</v>
      </c>
      <c r="AV690" s="590">
        <f>IF(A17taxstdlife="n/a","n/a",IF(AV$3&gt;(A17taxstdlife+$E690),(('PTRM input'!$G$159+'PTRM input'!$G$125)*$G$7)-SUM($G690:AU690),(('PTRM input'!$G$159+'PTRM input'!$G$125)*$G$7)/A17taxstdlife))</f>
        <v>0</v>
      </c>
      <c r="AW690" s="590">
        <f>IF(A17taxstdlife="n/a","n/a",IF(AW$3&gt;(A17taxstdlife+$E690),(('PTRM input'!$G$159+'PTRM input'!$G$125)*$G$7)-SUM($G690:AV690),(('PTRM input'!$G$159+'PTRM input'!$G$125)*$G$7)/A17taxstdlife))</f>
        <v>0</v>
      </c>
      <c r="AX690" s="590">
        <f>IF(A17taxstdlife="n/a","n/a",IF(AX$3&gt;(A17taxstdlife+$E690),(('PTRM input'!$G$159+'PTRM input'!$G$125)*$G$7)-SUM($G690:AW690),(('PTRM input'!$G$159+'PTRM input'!$G$125)*$G$7)/A17taxstdlife))</f>
        <v>0</v>
      </c>
      <c r="AY690" s="590">
        <f>IF(A17taxstdlife="n/a","n/a",IF(AY$3&gt;(A17taxstdlife+$E690),(('PTRM input'!$G$159+'PTRM input'!$G$125)*$G$7)-SUM($G690:AX690),(('PTRM input'!$G$159+'PTRM input'!$G$125)*$G$7)/A17taxstdlife))</f>
        <v>0</v>
      </c>
      <c r="AZ690" s="590">
        <f>IF(A17taxstdlife="n/a","n/a",IF(AZ$3&gt;(A17taxstdlife+$E690),(('PTRM input'!$G$159+'PTRM input'!$G$125)*$G$7)-SUM($G690:AY690),(('PTRM input'!$G$159+'PTRM input'!$G$125)*$G$7)/A17taxstdlife))</f>
        <v>0</v>
      </c>
      <c r="BA690" s="590">
        <f>IF(A17taxstdlife="n/a","n/a",IF(BA$3&gt;(A17taxstdlife+$E690),(('PTRM input'!$G$159+'PTRM input'!$G$125)*$G$7)-SUM($G690:AZ690),(('PTRM input'!$G$159+'PTRM input'!$G$125)*$G$7)/A17taxstdlife))</f>
        <v>0</v>
      </c>
      <c r="BB690" s="590">
        <f>IF(A17taxstdlife="n/a","n/a",IF(BB$3&gt;(A17taxstdlife+$E690),(('PTRM input'!$G$159+'PTRM input'!$G$125)*$G$7)-SUM($G690:BA690),(('PTRM input'!$G$159+'PTRM input'!$G$125)*$G$7)/A17taxstdlife))</f>
        <v>0</v>
      </c>
      <c r="BC690" s="590">
        <f>IF(A17taxstdlife="n/a","n/a",IF(BC$3&gt;(A17taxstdlife+$E690),(('PTRM input'!$G$159+'PTRM input'!$G$125)*$G$7)-SUM($G690:BB690),(('PTRM input'!$G$159+'PTRM input'!$G$125)*$G$7)/A17taxstdlife))</f>
        <v>0</v>
      </c>
      <c r="BD690" s="590">
        <f>IF(A17taxstdlife="n/a","n/a",IF(BD$3&gt;(A17taxstdlife+$E690),(('PTRM input'!$G$159+'PTRM input'!$G$125)*$G$7)-SUM($G690:BC690),(('PTRM input'!$G$159+'PTRM input'!$G$125)*$G$7)/A17taxstdlife))</f>
        <v>0</v>
      </c>
      <c r="BE690" s="590">
        <f>IF(A17taxstdlife="n/a","n/a",IF(BE$3&gt;(A17taxstdlife+$E690),(('PTRM input'!$G$159+'PTRM input'!$G$125)*$G$7)-SUM($G690:BD690),(('PTRM input'!$G$159+'PTRM input'!$G$125)*$G$7)/A17taxstdlife))</f>
        <v>0</v>
      </c>
      <c r="BF690" s="590">
        <f>IF(A17taxstdlife="n/a","n/a",IF(BF$3&gt;(A17taxstdlife+$E690),(('PTRM input'!$G$159+'PTRM input'!$G$125)*$G$7)-SUM($G690:BE690),(('PTRM input'!$G$159+'PTRM input'!$G$125)*$G$7)/A17taxstdlife))</f>
        <v>0</v>
      </c>
      <c r="BG690" s="590">
        <f>IF(A17taxstdlife="n/a","n/a",IF(BG$3&gt;(A17taxstdlife+$E690),(('PTRM input'!$G$159+'PTRM input'!$G$125)*$G$7)-SUM($G690:BF690),(('PTRM input'!$G$159+'PTRM input'!$G$125)*$G$7)/A17taxstdlife))</f>
        <v>0</v>
      </c>
      <c r="BH690" s="590">
        <f>IF(A17taxstdlife="n/a","n/a",IF(BH$3&gt;(A17taxstdlife+$E690),(('PTRM input'!$G$159+'PTRM input'!$G$125)*$G$7)-SUM($G690:BG690),(('PTRM input'!$G$159+'PTRM input'!$G$125)*$G$7)/A17taxstdlife))</f>
        <v>0</v>
      </c>
      <c r="BI690" s="590">
        <f>IF(A17taxstdlife="n/a","n/a",IF(BI$3&gt;(A17taxstdlife+$E690),(('PTRM input'!$G$159+'PTRM input'!$G$125)*$G$7)-SUM($G690:BH690),(('PTRM input'!$G$159+'PTRM input'!$G$125)*$G$7)/A17taxstdlife))</f>
        <v>0</v>
      </c>
      <c r="BJ690" s="240"/>
      <c r="BK690" s="240"/>
      <c r="BL690" s="240"/>
      <c r="BM690" s="240"/>
    </row>
    <row r="691" spans="1:65" s="4" customFormat="1" hidden="1" outlineLevel="2">
      <c r="A691" s="240"/>
      <c r="B691" s="240"/>
      <c r="C691" s="595"/>
      <c r="D691" s="1618"/>
      <c r="E691" s="169">
        <v>2</v>
      </c>
      <c r="F691" s="35"/>
      <c r="G691" s="184"/>
      <c r="H691" s="185"/>
      <c r="I691" s="107">
        <f>IF(A17taxstdlife="n/a","n/a",IF(I$3&gt;(A17taxstdlife+$E691),(('PTRM input'!$H$159+'PTRM input'!$H$125)*$H$7)-SUM($H691:H691),(('PTRM input'!$H$159+'PTRM input'!$H$125)*$H$7)/A17taxstdlife))</f>
        <v>0</v>
      </c>
      <c r="J691" s="107">
        <f>IF(A17taxstdlife="n/a","n/a",IF(J$3&gt;(A17taxstdlife+$E691),(('PTRM input'!$H$159+'PTRM input'!$H$125)*$H$7)-SUM($H691:I691),(('PTRM input'!$H$159+'PTRM input'!$H$125)*$H$7)/A17taxstdlife))</f>
        <v>0</v>
      </c>
      <c r="K691" s="107">
        <f>IF(A17taxstdlife="n/a","n/a",IF(K$3&gt;(A17taxstdlife+$E691),(('PTRM input'!$H$159+'PTRM input'!$H$125)*$H$7)-SUM($H691:J691),(('PTRM input'!$H$159+'PTRM input'!$H$125)*$H$7)/A17taxstdlife))</f>
        <v>0</v>
      </c>
      <c r="L691" s="107">
        <f>IF(A17taxstdlife="n/a","n/a",IF(L$3&gt;(A17taxstdlife+$E691),(('PTRM input'!$H$159+'PTRM input'!$H$125)*$H$7)-SUM($H691:K691),(('PTRM input'!$H$159+'PTRM input'!$H$125)*$H$7)/A17taxstdlife))</f>
        <v>0</v>
      </c>
      <c r="M691" s="107">
        <f>IF(A17taxstdlife="n/a","n/a",IF(M$3&gt;(A17taxstdlife+$E691),(('PTRM input'!$H$159+'PTRM input'!$H$125)*$H$7)-SUM($H691:L691),(('PTRM input'!$H$159+'PTRM input'!$H$125)*$H$7)/A17taxstdlife))</f>
        <v>0</v>
      </c>
      <c r="N691" s="107">
        <f>IF(A17taxstdlife="n/a","n/a",IF(N$3&gt;(A17taxstdlife+$E691),(('PTRM input'!$H$159+'PTRM input'!$H$125)*$H$7)-SUM($H691:M691),(('PTRM input'!$H$159+'PTRM input'!$H$125)*$H$7)/A17taxstdlife))</f>
        <v>0</v>
      </c>
      <c r="O691" s="107">
        <f>IF(A17taxstdlife="n/a","n/a",IF(O$3&gt;(A17taxstdlife+$E691),(('PTRM input'!$H$159+'PTRM input'!$H$125)*$H$7)-SUM($H691:N691),(('PTRM input'!$H$159+'PTRM input'!$H$125)*$H$7)/A17taxstdlife))</f>
        <v>0</v>
      </c>
      <c r="P691" s="107">
        <f>IF(A17taxstdlife="n/a","n/a",IF(P$3&gt;(A17taxstdlife+$E691),(('PTRM input'!$H$159+'PTRM input'!$H$125)*$H$7)-SUM($H691:O691),(('PTRM input'!$H$159+'PTRM input'!$H$125)*$H$7)/A17taxstdlife))</f>
        <v>0</v>
      </c>
      <c r="Q691" s="590">
        <f>IF(A17taxstdlife="n/a","n/a",IF(Q$3&gt;(A17taxstdlife+$E691),(('PTRM input'!$H$159+'PTRM input'!$H$125)*$H$7)-SUM($H691:P691),(('PTRM input'!$H$159+'PTRM input'!$H$125)*$H$7)/A17taxstdlife))</f>
        <v>0</v>
      </c>
      <c r="R691" s="590">
        <f>IF(A17taxstdlife="n/a","n/a",IF(R$3&gt;(A17taxstdlife+$E691),(('PTRM input'!$H$159+'PTRM input'!$H$125)*$H$7)-SUM($H691:Q691),(('PTRM input'!$H$159+'PTRM input'!$H$125)*$H$7)/A17taxstdlife))</f>
        <v>0</v>
      </c>
      <c r="S691" s="590">
        <f>IF(A17taxstdlife="n/a","n/a",IF(S$3&gt;(A17taxstdlife+$E691),(('PTRM input'!$H$159+'PTRM input'!$H$125)*$H$7)-SUM($H691:R691),(('PTRM input'!$H$159+'PTRM input'!$H$125)*$H$7)/A17taxstdlife))</f>
        <v>0</v>
      </c>
      <c r="T691" s="590">
        <f>IF(A17taxstdlife="n/a","n/a",IF(T$3&gt;(A17taxstdlife+$E691),(('PTRM input'!$H$159+'PTRM input'!$H$125)*$H$7)-SUM($H691:S691),(('PTRM input'!$H$159+'PTRM input'!$H$125)*$H$7)/A17taxstdlife))</f>
        <v>0</v>
      </c>
      <c r="U691" s="590">
        <f>IF(A17taxstdlife="n/a","n/a",IF(U$3&gt;(A17taxstdlife+$E691),(('PTRM input'!$H$159+'PTRM input'!$H$125)*$H$7)-SUM($H691:T691),(('PTRM input'!$H$159+'PTRM input'!$H$125)*$H$7)/A17taxstdlife))</f>
        <v>0</v>
      </c>
      <c r="V691" s="590">
        <f>IF(A17taxstdlife="n/a","n/a",IF(V$3&gt;(A17taxstdlife+$E691),(('PTRM input'!$H$159+'PTRM input'!$H$125)*$H$7)-SUM($H691:U691),(('PTRM input'!$H$159+'PTRM input'!$H$125)*$H$7)/A17taxstdlife))</f>
        <v>0</v>
      </c>
      <c r="W691" s="590">
        <f>IF(A17taxstdlife="n/a","n/a",IF(W$3&gt;(A17taxstdlife+$E691),(('PTRM input'!$H$159+'PTRM input'!$H$125)*$H$7)-SUM($H691:V691),(('PTRM input'!$H$159+'PTRM input'!$H$125)*$H$7)/A17taxstdlife))</f>
        <v>0</v>
      </c>
      <c r="X691" s="590">
        <f>IF(A17taxstdlife="n/a","n/a",IF(X$3&gt;(A17taxstdlife+$E691),(('PTRM input'!$H$159+'PTRM input'!$H$125)*$H$7)-SUM($H691:W691),(('PTRM input'!$H$159+'PTRM input'!$H$125)*$H$7)/A17taxstdlife))</f>
        <v>0</v>
      </c>
      <c r="Y691" s="590">
        <f>IF(A17taxstdlife="n/a","n/a",IF(Y$3&gt;(A17taxstdlife+$E691),(('PTRM input'!$H$159+'PTRM input'!$H$125)*$H$7)-SUM($H691:X691),(('PTRM input'!$H$159+'PTRM input'!$H$125)*$H$7)/A17taxstdlife))</f>
        <v>0</v>
      </c>
      <c r="Z691" s="590">
        <f>IF(A17taxstdlife="n/a","n/a",IF(Z$3&gt;(A17taxstdlife+$E691),(('PTRM input'!$H$159+'PTRM input'!$H$125)*$H$7)-SUM($H691:Y691),(('PTRM input'!$H$159+'PTRM input'!$H$125)*$H$7)/A17taxstdlife))</f>
        <v>0</v>
      </c>
      <c r="AA691" s="590">
        <f>IF(A17taxstdlife="n/a","n/a",IF(AA$3&gt;(A17taxstdlife+$E691),(('PTRM input'!$H$159+'PTRM input'!$H$125)*$H$7)-SUM($H691:Z691),(('PTRM input'!$H$159+'PTRM input'!$H$125)*$H$7)/A17taxstdlife))</f>
        <v>0</v>
      </c>
      <c r="AB691" s="590">
        <f>IF(A17taxstdlife="n/a","n/a",IF(AB$3&gt;(A17taxstdlife+$E691),(('PTRM input'!$H$159+'PTRM input'!$H$125)*$H$7)-SUM($H691:AA691),(('PTRM input'!$H$159+'PTRM input'!$H$125)*$H$7)/A17taxstdlife))</f>
        <v>0</v>
      </c>
      <c r="AC691" s="590">
        <f>IF(A17taxstdlife="n/a","n/a",IF(AC$3&gt;(A17taxstdlife+$E691),(('PTRM input'!$H$159+'PTRM input'!$H$125)*$H$7)-SUM($H691:AB691),(('PTRM input'!$H$159+'PTRM input'!$H$125)*$H$7)/A17taxstdlife))</f>
        <v>0</v>
      </c>
      <c r="AD691" s="590">
        <f>IF(A17taxstdlife="n/a","n/a",IF(AD$3&gt;(A17taxstdlife+$E691),(('PTRM input'!$H$159+'PTRM input'!$H$125)*$H$7)-SUM($H691:AC691),(('PTRM input'!$H$159+'PTRM input'!$H$125)*$H$7)/A17taxstdlife))</f>
        <v>0</v>
      </c>
      <c r="AE691" s="590">
        <f>IF(A17taxstdlife="n/a","n/a",IF(AE$3&gt;(A17taxstdlife+$E691),(('PTRM input'!$H$159+'PTRM input'!$H$125)*$H$7)-SUM($H691:AD691),(('PTRM input'!$H$159+'PTRM input'!$H$125)*$H$7)/A17taxstdlife))</f>
        <v>0</v>
      </c>
      <c r="AF691" s="590">
        <f>IF(A17taxstdlife="n/a","n/a",IF(AF$3&gt;(A17taxstdlife+$E691),(('PTRM input'!$H$159+'PTRM input'!$H$125)*$H$7)-SUM($H691:AE691),(('PTRM input'!$H$159+'PTRM input'!$H$125)*$H$7)/A17taxstdlife))</f>
        <v>0</v>
      </c>
      <c r="AG691" s="590">
        <f>IF(A17taxstdlife="n/a","n/a",IF(AG$3&gt;(A17taxstdlife+$E691),(('PTRM input'!$H$159+'PTRM input'!$H$125)*$H$7)-SUM($H691:AF691),(('PTRM input'!$H$159+'PTRM input'!$H$125)*$H$7)/A17taxstdlife))</f>
        <v>0</v>
      </c>
      <c r="AH691" s="590">
        <f>IF(A17taxstdlife="n/a","n/a",IF(AH$3&gt;(A17taxstdlife+$E691),(('PTRM input'!$H$159+'PTRM input'!$H$125)*$H$7)-SUM($H691:AG691),(('PTRM input'!$H$159+'PTRM input'!$H$125)*$H$7)/A17taxstdlife))</f>
        <v>0</v>
      </c>
      <c r="AI691" s="590">
        <f>IF(A17taxstdlife="n/a","n/a",IF(AI$3&gt;(A17taxstdlife+$E691),(('PTRM input'!$H$159+'PTRM input'!$H$125)*$H$7)-SUM($H691:AH691),(('PTRM input'!$H$159+'PTRM input'!$H$125)*$H$7)/A17taxstdlife))</f>
        <v>0</v>
      </c>
      <c r="AJ691" s="590">
        <f>IF(A17taxstdlife="n/a","n/a",IF(AJ$3&gt;(A17taxstdlife+$E691),(('PTRM input'!$H$159+'PTRM input'!$H$125)*$H$7)-SUM($H691:AI691),(('PTRM input'!$H$159+'PTRM input'!$H$125)*$H$7)/A17taxstdlife))</f>
        <v>0</v>
      </c>
      <c r="AK691" s="590">
        <f>IF(A17taxstdlife="n/a","n/a",IF(AK$3&gt;(A17taxstdlife+$E691),(('PTRM input'!$H$159+'PTRM input'!$H$125)*$H$7)-SUM($H691:AJ691),(('PTRM input'!$H$159+'PTRM input'!$H$125)*$H$7)/A17taxstdlife))</f>
        <v>0</v>
      </c>
      <c r="AL691" s="590">
        <f>IF(A17taxstdlife="n/a","n/a",IF(AL$3&gt;(A17taxstdlife+$E691),(('PTRM input'!$H$159+'PTRM input'!$H$125)*$H$7)-SUM($H691:AK691),(('PTRM input'!$H$159+'PTRM input'!$H$125)*$H$7)/A17taxstdlife))</f>
        <v>0</v>
      </c>
      <c r="AM691" s="590">
        <f>IF(A17taxstdlife="n/a","n/a",IF(AM$3&gt;(A17taxstdlife+$E691),(('PTRM input'!$H$159+'PTRM input'!$H$125)*$H$7)-SUM($H691:AL691),(('PTRM input'!$H$159+'PTRM input'!$H$125)*$H$7)/A17taxstdlife))</f>
        <v>0</v>
      </c>
      <c r="AN691" s="590">
        <f>IF(A17taxstdlife="n/a","n/a",IF(AN$3&gt;(A17taxstdlife+$E691),(('PTRM input'!$H$159+'PTRM input'!$H$125)*$H$7)-SUM($H691:AM691),(('PTRM input'!$H$159+'PTRM input'!$H$125)*$H$7)/A17taxstdlife))</f>
        <v>0</v>
      </c>
      <c r="AO691" s="590">
        <f>IF(A17taxstdlife="n/a","n/a",IF(AO$3&gt;(A17taxstdlife+$E691),(('PTRM input'!$H$159+'PTRM input'!$H$125)*$H$7)-SUM($H691:AN691),(('PTRM input'!$H$159+'PTRM input'!$H$125)*$H$7)/A17taxstdlife))</f>
        <v>0</v>
      </c>
      <c r="AP691" s="590">
        <f>IF(A17taxstdlife="n/a","n/a",IF(AP$3&gt;(A17taxstdlife+$E691),(('PTRM input'!$H$159+'PTRM input'!$H$125)*$H$7)-SUM($H691:AO691),(('PTRM input'!$H$159+'PTRM input'!$H$125)*$H$7)/A17taxstdlife))</f>
        <v>0</v>
      </c>
      <c r="AQ691" s="590">
        <f>IF(A17taxstdlife="n/a","n/a",IF(AQ$3&gt;(A17taxstdlife+$E691),(('PTRM input'!$H$159+'PTRM input'!$H$125)*$H$7)-SUM($H691:AP691),(('PTRM input'!$H$159+'PTRM input'!$H$125)*$H$7)/A17taxstdlife))</f>
        <v>0</v>
      </c>
      <c r="AR691" s="590">
        <f>IF(A17taxstdlife="n/a","n/a",IF(AR$3&gt;(A17taxstdlife+$E691),(('PTRM input'!$H$159+'PTRM input'!$H$125)*$H$7)-SUM($H691:AQ691),(('PTRM input'!$H$159+'PTRM input'!$H$125)*$H$7)/A17taxstdlife))</f>
        <v>0</v>
      </c>
      <c r="AS691" s="590">
        <f>IF(A17taxstdlife="n/a","n/a",IF(AS$3&gt;(A17taxstdlife+$E691),(('PTRM input'!$H$159+'PTRM input'!$H$125)*$H$7)-SUM($H691:AR691),(('PTRM input'!$H$159+'PTRM input'!$H$125)*$H$7)/A17taxstdlife))</f>
        <v>0</v>
      </c>
      <c r="AT691" s="590">
        <f>IF(A17taxstdlife="n/a","n/a",IF(AT$3&gt;(A17taxstdlife+$E691),(('PTRM input'!$H$159+'PTRM input'!$H$125)*$H$7)-SUM($H691:AS691),(('PTRM input'!$H$159+'PTRM input'!$H$125)*$H$7)/A17taxstdlife))</f>
        <v>0</v>
      </c>
      <c r="AU691" s="590">
        <f>IF(A17taxstdlife="n/a","n/a",IF(AU$3&gt;(A17taxstdlife+$E691),(('PTRM input'!$H$159+'PTRM input'!$H$125)*$H$7)-SUM($H691:AT691),(('PTRM input'!$H$159+'PTRM input'!$H$125)*$H$7)/A17taxstdlife))</f>
        <v>0</v>
      </c>
      <c r="AV691" s="590">
        <f>IF(A17taxstdlife="n/a","n/a",IF(AV$3&gt;(A17taxstdlife+$E691),(('PTRM input'!$H$159+'PTRM input'!$H$125)*$H$7)-SUM($H691:AU691),(('PTRM input'!$H$159+'PTRM input'!$H$125)*$H$7)/A17taxstdlife))</f>
        <v>0</v>
      </c>
      <c r="AW691" s="590">
        <f>IF(A17taxstdlife="n/a","n/a",IF(AW$3&gt;(A17taxstdlife+$E691),(('PTRM input'!$H$159+'PTRM input'!$H$125)*$H$7)-SUM($H691:AV691),(('PTRM input'!$H$159+'PTRM input'!$H$125)*$H$7)/A17taxstdlife))</f>
        <v>0</v>
      </c>
      <c r="AX691" s="590">
        <f>IF(A17taxstdlife="n/a","n/a",IF(AX$3&gt;(A17taxstdlife+$E691),(('PTRM input'!$H$159+'PTRM input'!$H$125)*$H$7)-SUM($H691:AW691),(('PTRM input'!$H$159+'PTRM input'!$H$125)*$H$7)/A17taxstdlife))</f>
        <v>0</v>
      </c>
      <c r="AY691" s="590">
        <f>IF(A17taxstdlife="n/a","n/a",IF(AY$3&gt;(A17taxstdlife+$E691),(('PTRM input'!$H$159+'PTRM input'!$H$125)*$H$7)-SUM($H691:AX691),(('PTRM input'!$H$159+'PTRM input'!$H$125)*$H$7)/A17taxstdlife))</f>
        <v>0</v>
      </c>
      <c r="AZ691" s="590">
        <f>IF(A17taxstdlife="n/a","n/a",IF(AZ$3&gt;(A17taxstdlife+$E691),(('PTRM input'!$H$159+'PTRM input'!$H$125)*$H$7)-SUM($H691:AY691),(('PTRM input'!$H$159+'PTRM input'!$H$125)*$H$7)/A17taxstdlife))</f>
        <v>0</v>
      </c>
      <c r="BA691" s="590">
        <f>IF(A17taxstdlife="n/a","n/a",IF(BA$3&gt;(A17taxstdlife+$E691),(('PTRM input'!$H$159+'PTRM input'!$H$125)*$H$7)-SUM($H691:AZ691),(('PTRM input'!$H$159+'PTRM input'!$H$125)*$H$7)/A17taxstdlife))</f>
        <v>0</v>
      </c>
      <c r="BB691" s="590">
        <f>IF(A17taxstdlife="n/a","n/a",IF(BB$3&gt;(A17taxstdlife+$E691),(('PTRM input'!$H$159+'PTRM input'!$H$125)*$H$7)-SUM($H691:BA691),(('PTRM input'!$H$159+'PTRM input'!$H$125)*$H$7)/A17taxstdlife))</f>
        <v>0</v>
      </c>
      <c r="BC691" s="590">
        <f>IF(A17taxstdlife="n/a","n/a",IF(BC$3&gt;(A17taxstdlife+$E691),(('PTRM input'!$H$159+'PTRM input'!$H$125)*$H$7)-SUM($H691:BB691),(('PTRM input'!$H$159+'PTRM input'!$H$125)*$H$7)/A17taxstdlife))</f>
        <v>0</v>
      </c>
      <c r="BD691" s="590">
        <f>IF(A17taxstdlife="n/a","n/a",IF(BD$3&gt;(A17taxstdlife+$E691),(('PTRM input'!$H$159+'PTRM input'!$H$125)*$H$7)-SUM($H691:BC691),(('PTRM input'!$H$159+'PTRM input'!$H$125)*$H$7)/A17taxstdlife))</f>
        <v>0</v>
      </c>
      <c r="BE691" s="590">
        <f>IF(A17taxstdlife="n/a","n/a",IF(BE$3&gt;(A17taxstdlife+$E691),(('PTRM input'!$H$159+'PTRM input'!$H$125)*$H$7)-SUM($H691:BD691),(('PTRM input'!$H$159+'PTRM input'!$H$125)*$H$7)/A17taxstdlife))</f>
        <v>0</v>
      </c>
      <c r="BF691" s="590">
        <f>IF(A17taxstdlife="n/a","n/a",IF(BF$3&gt;(A17taxstdlife+$E691),(('PTRM input'!$H$159+'PTRM input'!$H$125)*$H$7)-SUM($H691:BE691),(('PTRM input'!$H$159+'PTRM input'!$H$125)*$H$7)/A17taxstdlife))</f>
        <v>0</v>
      </c>
      <c r="BG691" s="590">
        <f>IF(A17taxstdlife="n/a","n/a",IF(BG$3&gt;(A17taxstdlife+$E691),(('PTRM input'!$H$159+'PTRM input'!$H$125)*$H$7)-SUM($H691:BF691),(('PTRM input'!$H$159+'PTRM input'!$H$125)*$H$7)/A17taxstdlife))</f>
        <v>0</v>
      </c>
      <c r="BH691" s="590">
        <f>IF(A17taxstdlife="n/a","n/a",IF(BH$3&gt;(A17taxstdlife+$E691),(('PTRM input'!$H$159+'PTRM input'!$H$125)*$H$7)-SUM($H691:BG691),(('PTRM input'!$H$159+'PTRM input'!$H$125)*$H$7)/A17taxstdlife))</f>
        <v>0</v>
      </c>
      <c r="BI691" s="590">
        <f>IF(A17taxstdlife="n/a","n/a",IF(BI$3&gt;(A17taxstdlife+$E691),(('PTRM input'!$H$159+'PTRM input'!$H$125)*$H$7)-SUM($H691:BH691),(('PTRM input'!$H$159+'PTRM input'!$H$125)*$H$7)/A17taxstdlife))</f>
        <v>0</v>
      </c>
      <c r="BJ691" s="240"/>
      <c r="BK691" s="240"/>
      <c r="BL691" s="240"/>
      <c r="BM691" s="240"/>
    </row>
    <row r="692" spans="1:65" s="4" customFormat="1" hidden="1" outlineLevel="2">
      <c r="A692" s="240"/>
      <c r="B692" s="240"/>
      <c r="C692" s="595"/>
      <c r="D692" s="1618"/>
      <c r="E692" s="169">
        <v>3</v>
      </c>
      <c r="F692" s="35"/>
      <c r="G692" s="184"/>
      <c r="H692" s="186"/>
      <c r="I692" s="185"/>
      <c r="J692" s="107">
        <f>IF(A17taxstdlife="n/a","n/a",IF(J$3&gt;(A17taxstdlife+$E692),(('PTRM input'!$I$159+'PTRM input'!$I$125)*$I$7)-SUM($I692:I692),(('PTRM input'!$I$159+'PTRM input'!$I$125)*$I$7)/A17taxstdlife))</f>
        <v>0</v>
      </c>
      <c r="K692" s="107">
        <f>IF(A17taxstdlife="n/a","n/a",IF(K$3&gt;(A17taxstdlife+$E692),(('PTRM input'!$I$159+'PTRM input'!$I$125)*$I$7)-SUM($I692:J692),(('PTRM input'!$I$159+'PTRM input'!$I$125)*$I$7)/A17taxstdlife))</f>
        <v>0</v>
      </c>
      <c r="L692" s="107">
        <f>IF(A17taxstdlife="n/a","n/a",IF(L$3&gt;(A17taxstdlife+$E692),(('PTRM input'!$I$159+'PTRM input'!$I$125)*$I$7)-SUM($I692:K692),(('PTRM input'!$I$159+'PTRM input'!$I$125)*$I$7)/A17taxstdlife))</f>
        <v>0</v>
      </c>
      <c r="M692" s="107">
        <f>IF(A17taxstdlife="n/a","n/a",IF(M$3&gt;(A17taxstdlife+$E692),(('PTRM input'!$I$159+'PTRM input'!$I$125)*$I$7)-SUM($I692:L692),(('PTRM input'!$I$159+'PTRM input'!$I$125)*$I$7)/A17taxstdlife))</f>
        <v>0</v>
      </c>
      <c r="N692" s="107">
        <f>IF(A17taxstdlife="n/a","n/a",IF(N$3&gt;(A17taxstdlife+$E692),(('PTRM input'!$I$159+'PTRM input'!$I$125)*$I$7)-SUM($I692:M692),(('PTRM input'!$I$159+'PTRM input'!$I$125)*$I$7)/A17taxstdlife))</f>
        <v>0</v>
      </c>
      <c r="O692" s="107">
        <f>IF(A17taxstdlife="n/a","n/a",IF(O$3&gt;(A17taxstdlife+$E692),(('PTRM input'!$I$159+'PTRM input'!$I$125)*$I$7)-SUM($I692:N692),(('PTRM input'!$I$159+'PTRM input'!$I$125)*$I$7)/A17taxstdlife))</f>
        <v>0</v>
      </c>
      <c r="P692" s="107">
        <f>IF(A17taxstdlife="n/a","n/a",IF(P$3&gt;(A17taxstdlife+$E692),(('PTRM input'!$I$159+'PTRM input'!$I$125)*$I$7)-SUM($I692:O692),(('PTRM input'!$I$159+'PTRM input'!$I$125)*$I$7)/A17taxstdlife))</f>
        <v>0</v>
      </c>
      <c r="Q692" s="590">
        <f>IF(A17taxstdlife="n/a","n/a",IF(Q$3&gt;(A17taxstdlife+$E692),(('PTRM input'!$I$159+'PTRM input'!$I$125)*$I$7)-SUM($I692:P692),(('PTRM input'!$I$159+'PTRM input'!$I$125)*$I$7)/A17taxstdlife))</f>
        <v>0</v>
      </c>
      <c r="R692" s="590">
        <f>IF(A17taxstdlife="n/a","n/a",IF(R$3&gt;(A17taxstdlife+$E692),(('PTRM input'!$I$159+'PTRM input'!$I$125)*$I$7)-SUM($I692:Q692),(('PTRM input'!$I$159+'PTRM input'!$I$125)*$I$7)/A17taxstdlife))</f>
        <v>0</v>
      </c>
      <c r="S692" s="590">
        <f>IF(A17taxstdlife="n/a","n/a",IF(S$3&gt;(A17taxstdlife+$E692),(('PTRM input'!$I$159+'PTRM input'!$I$125)*$I$7)-SUM($I692:R692),(('PTRM input'!$I$159+'PTRM input'!$I$125)*$I$7)/A17taxstdlife))</f>
        <v>0</v>
      </c>
      <c r="T692" s="590">
        <f>IF(A17taxstdlife="n/a","n/a",IF(T$3&gt;(A17taxstdlife+$E692),(('PTRM input'!$I$159+'PTRM input'!$I$125)*$I$7)-SUM($I692:S692),(('PTRM input'!$I$159+'PTRM input'!$I$125)*$I$7)/A17taxstdlife))</f>
        <v>0</v>
      </c>
      <c r="U692" s="590">
        <f>IF(A17taxstdlife="n/a","n/a",IF(U$3&gt;(A17taxstdlife+$E692),(('PTRM input'!$I$159+'PTRM input'!$I$125)*$I$7)-SUM($I692:T692),(('PTRM input'!$I$159+'PTRM input'!$I$125)*$I$7)/A17taxstdlife))</f>
        <v>0</v>
      </c>
      <c r="V692" s="590">
        <f>IF(A17taxstdlife="n/a","n/a",IF(V$3&gt;(A17taxstdlife+$E692),(('PTRM input'!$I$159+'PTRM input'!$I$125)*$I$7)-SUM($I692:U692),(('PTRM input'!$I$159+'PTRM input'!$I$125)*$I$7)/A17taxstdlife))</f>
        <v>0</v>
      </c>
      <c r="W692" s="590">
        <f>IF(A17taxstdlife="n/a","n/a",IF(W$3&gt;(A17taxstdlife+$E692),(('PTRM input'!$I$159+'PTRM input'!$I$125)*$I$7)-SUM($I692:V692),(('PTRM input'!$I$159+'PTRM input'!$I$125)*$I$7)/A17taxstdlife))</f>
        <v>0</v>
      </c>
      <c r="X692" s="590">
        <f>IF(A17taxstdlife="n/a","n/a",IF(X$3&gt;(A17taxstdlife+$E692),(('PTRM input'!$I$159+'PTRM input'!$I$125)*$I$7)-SUM($I692:W692),(('PTRM input'!$I$159+'PTRM input'!$I$125)*$I$7)/A17taxstdlife))</f>
        <v>0</v>
      </c>
      <c r="Y692" s="590">
        <f>IF(A17taxstdlife="n/a","n/a",IF(Y$3&gt;(A17taxstdlife+$E692),(('PTRM input'!$I$159+'PTRM input'!$I$125)*$I$7)-SUM($I692:X692),(('PTRM input'!$I$159+'PTRM input'!$I$125)*$I$7)/A17taxstdlife))</f>
        <v>0</v>
      </c>
      <c r="Z692" s="590">
        <f>IF(A17taxstdlife="n/a","n/a",IF(Z$3&gt;(A17taxstdlife+$E692),(('PTRM input'!$I$159+'PTRM input'!$I$125)*$I$7)-SUM($I692:Y692),(('PTRM input'!$I$159+'PTRM input'!$I$125)*$I$7)/A17taxstdlife))</f>
        <v>0</v>
      </c>
      <c r="AA692" s="590">
        <f>IF(A17taxstdlife="n/a","n/a",IF(AA$3&gt;(A17taxstdlife+$E692),(('PTRM input'!$I$159+'PTRM input'!$I$125)*$I$7)-SUM($I692:Z692),(('PTRM input'!$I$159+'PTRM input'!$I$125)*$I$7)/A17taxstdlife))</f>
        <v>0</v>
      </c>
      <c r="AB692" s="590">
        <f>IF(A17taxstdlife="n/a","n/a",IF(AB$3&gt;(A17taxstdlife+$E692),(('PTRM input'!$I$159+'PTRM input'!$I$125)*$I$7)-SUM($I692:AA692),(('PTRM input'!$I$159+'PTRM input'!$I$125)*$I$7)/A17taxstdlife))</f>
        <v>0</v>
      </c>
      <c r="AC692" s="590">
        <f>IF(A17taxstdlife="n/a","n/a",IF(AC$3&gt;(A17taxstdlife+$E692),(('PTRM input'!$I$159+'PTRM input'!$I$125)*$I$7)-SUM($I692:AB692),(('PTRM input'!$I$159+'PTRM input'!$I$125)*$I$7)/A17taxstdlife))</f>
        <v>0</v>
      </c>
      <c r="AD692" s="590">
        <f>IF(A17taxstdlife="n/a","n/a",IF(AD$3&gt;(A17taxstdlife+$E692),(('PTRM input'!$I$159+'PTRM input'!$I$125)*$I$7)-SUM($I692:AC692),(('PTRM input'!$I$159+'PTRM input'!$I$125)*$I$7)/A17taxstdlife))</f>
        <v>0</v>
      </c>
      <c r="AE692" s="590">
        <f>IF(A17taxstdlife="n/a","n/a",IF(AE$3&gt;(A17taxstdlife+$E692),(('PTRM input'!$I$159+'PTRM input'!$I$125)*$I$7)-SUM($I692:AD692),(('PTRM input'!$I$159+'PTRM input'!$I$125)*$I$7)/A17taxstdlife))</f>
        <v>0</v>
      </c>
      <c r="AF692" s="590">
        <f>IF(A17taxstdlife="n/a","n/a",IF(AF$3&gt;(A17taxstdlife+$E692),(('PTRM input'!$I$159+'PTRM input'!$I$125)*$I$7)-SUM($I692:AE692),(('PTRM input'!$I$159+'PTRM input'!$I$125)*$I$7)/A17taxstdlife))</f>
        <v>0</v>
      </c>
      <c r="AG692" s="590">
        <f>IF(A17taxstdlife="n/a","n/a",IF(AG$3&gt;(A17taxstdlife+$E692),(('PTRM input'!$I$159+'PTRM input'!$I$125)*$I$7)-SUM($I692:AF692),(('PTRM input'!$I$159+'PTRM input'!$I$125)*$I$7)/A17taxstdlife))</f>
        <v>0</v>
      </c>
      <c r="AH692" s="590">
        <f>IF(A17taxstdlife="n/a","n/a",IF(AH$3&gt;(A17taxstdlife+$E692),(('PTRM input'!$I$159+'PTRM input'!$I$125)*$I$7)-SUM($I692:AG692),(('PTRM input'!$I$159+'PTRM input'!$I$125)*$I$7)/A17taxstdlife))</f>
        <v>0</v>
      </c>
      <c r="AI692" s="590">
        <f>IF(A17taxstdlife="n/a","n/a",IF(AI$3&gt;(A17taxstdlife+$E692),(('PTRM input'!$I$159+'PTRM input'!$I$125)*$I$7)-SUM($I692:AH692),(('PTRM input'!$I$159+'PTRM input'!$I$125)*$I$7)/A17taxstdlife))</f>
        <v>0</v>
      </c>
      <c r="AJ692" s="590">
        <f>IF(A17taxstdlife="n/a","n/a",IF(AJ$3&gt;(A17taxstdlife+$E692),(('PTRM input'!$I$159+'PTRM input'!$I$125)*$I$7)-SUM($I692:AI692),(('PTRM input'!$I$159+'PTRM input'!$I$125)*$I$7)/A17taxstdlife))</f>
        <v>0</v>
      </c>
      <c r="AK692" s="590">
        <f>IF(A17taxstdlife="n/a","n/a",IF(AK$3&gt;(A17taxstdlife+$E692),(('PTRM input'!$I$159+'PTRM input'!$I$125)*$I$7)-SUM($I692:AJ692),(('PTRM input'!$I$159+'PTRM input'!$I$125)*$I$7)/A17taxstdlife))</f>
        <v>0</v>
      </c>
      <c r="AL692" s="590">
        <f>IF(A17taxstdlife="n/a","n/a",IF(AL$3&gt;(A17taxstdlife+$E692),(('PTRM input'!$I$159+'PTRM input'!$I$125)*$I$7)-SUM($I692:AK692),(('PTRM input'!$I$159+'PTRM input'!$I$125)*$I$7)/A17taxstdlife))</f>
        <v>0</v>
      </c>
      <c r="AM692" s="590">
        <f>IF(A17taxstdlife="n/a","n/a",IF(AM$3&gt;(A17taxstdlife+$E692),(('PTRM input'!$I$159+'PTRM input'!$I$125)*$I$7)-SUM($I692:AL692),(('PTRM input'!$I$159+'PTRM input'!$I$125)*$I$7)/A17taxstdlife))</f>
        <v>0</v>
      </c>
      <c r="AN692" s="590">
        <f>IF(A17taxstdlife="n/a","n/a",IF(AN$3&gt;(A17taxstdlife+$E692),(('PTRM input'!$I$159+'PTRM input'!$I$125)*$I$7)-SUM($I692:AM692),(('PTRM input'!$I$159+'PTRM input'!$I$125)*$I$7)/A17taxstdlife))</f>
        <v>0</v>
      </c>
      <c r="AO692" s="590">
        <f>IF(A17taxstdlife="n/a","n/a",IF(AO$3&gt;(A17taxstdlife+$E692),(('PTRM input'!$I$159+'PTRM input'!$I$125)*$I$7)-SUM($I692:AN692),(('PTRM input'!$I$159+'PTRM input'!$I$125)*$I$7)/A17taxstdlife))</f>
        <v>0</v>
      </c>
      <c r="AP692" s="590">
        <f>IF(A17taxstdlife="n/a","n/a",IF(AP$3&gt;(A17taxstdlife+$E692),(('PTRM input'!$I$159+'PTRM input'!$I$125)*$I$7)-SUM($I692:AO692),(('PTRM input'!$I$159+'PTRM input'!$I$125)*$I$7)/A17taxstdlife))</f>
        <v>0</v>
      </c>
      <c r="AQ692" s="590">
        <f>IF(A17taxstdlife="n/a","n/a",IF(AQ$3&gt;(A17taxstdlife+$E692),(('PTRM input'!$I$159+'PTRM input'!$I$125)*$I$7)-SUM($I692:AP692),(('PTRM input'!$I$159+'PTRM input'!$I$125)*$I$7)/A17taxstdlife))</f>
        <v>0</v>
      </c>
      <c r="AR692" s="590">
        <f>IF(A17taxstdlife="n/a","n/a",IF(AR$3&gt;(A17taxstdlife+$E692),(('PTRM input'!$I$159+'PTRM input'!$I$125)*$I$7)-SUM($I692:AQ692),(('PTRM input'!$I$159+'PTRM input'!$I$125)*$I$7)/A17taxstdlife))</f>
        <v>0</v>
      </c>
      <c r="AS692" s="590">
        <f>IF(A17taxstdlife="n/a","n/a",IF(AS$3&gt;(A17taxstdlife+$E692),(('PTRM input'!$I$159+'PTRM input'!$I$125)*$I$7)-SUM($I692:AR692),(('PTRM input'!$I$159+'PTRM input'!$I$125)*$I$7)/A17taxstdlife))</f>
        <v>0</v>
      </c>
      <c r="AT692" s="590">
        <f>IF(A17taxstdlife="n/a","n/a",IF(AT$3&gt;(A17taxstdlife+$E692),(('PTRM input'!$I$159+'PTRM input'!$I$125)*$I$7)-SUM($I692:AS692),(('PTRM input'!$I$159+'PTRM input'!$I$125)*$I$7)/A17taxstdlife))</f>
        <v>0</v>
      </c>
      <c r="AU692" s="590">
        <f>IF(A17taxstdlife="n/a","n/a",IF(AU$3&gt;(A17taxstdlife+$E692),(('PTRM input'!$I$159+'PTRM input'!$I$125)*$I$7)-SUM($I692:AT692),(('PTRM input'!$I$159+'PTRM input'!$I$125)*$I$7)/A17taxstdlife))</f>
        <v>0</v>
      </c>
      <c r="AV692" s="590">
        <f>IF(A17taxstdlife="n/a","n/a",IF(AV$3&gt;(A17taxstdlife+$E692),(('PTRM input'!$I$159+'PTRM input'!$I$125)*$I$7)-SUM($I692:AU692),(('PTRM input'!$I$159+'PTRM input'!$I$125)*$I$7)/A17taxstdlife))</f>
        <v>0</v>
      </c>
      <c r="AW692" s="590">
        <f>IF(A17taxstdlife="n/a","n/a",IF(AW$3&gt;(A17taxstdlife+$E692),(('PTRM input'!$I$159+'PTRM input'!$I$125)*$I$7)-SUM($I692:AV692),(('PTRM input'!$I$159+'PTRM input'!$I$125)*$I$7)/A17taxstdlife))</f>
        <v>0</v>
      </c>
      <c r="AX692" s="590">
        <f>IF(A17taxstdlife="n/a","n/a",IF(AX$3&gt;(A17taxstdlife+$E692),(('PTRM input'!$I$159+'PTRM input'!$I$125)*$I$7)-SUM($I692:AW692),(('PTRM input'!$I$159+'PTRM input'!$I$125)*$I$7)/A17taxstdlife))</f>
        <v>0</v>
      </c>
      <c r="AY692" s="590">
        <f>IF(A17taxstdlife="n/a","n/a",IF(AY$3&gt;(A17taxstdlife+$E692),(('PTRM input'!$I$159+'PTRM input'!$I$125)*$I$7)-SUM($I692:AX692),(('PTRM input'!$I$159+'PTRM input'!$I$125)*$I$7)/A17taxstdlife))</f>
        <v>0</v>
      </c>
      <c r="AZ692" s="590">
        <f>IF(A17taxstdlife="n/a","n/a",IF(AZ$3&gt;(A17taxstdlife+$E692),(('PTRM input'!$I$159+'PTRM input'!$I$125)*$I$7)-SUM($I692:AY692),(('PTRM input'!$I$159+'PTRM input'!$I$125)*$I$7)/A17taxstdlife))</f>
        <v>0</v>
      </c>
      <c r="BA692" s="590">
        <f>IF(A17taxstdlife="n/a","n/a",IF(BA$3&gt;(A17taxstdlife+$E692),(('PTRM input'!$I$159+'PTRM input'!$I$125)*$I$7)-SUM($I692:AZ692),(('PTRM input'!$I$159+'PTRM input'!$I$125)*$I$7)/A17taxstdlife))</f>
        <v>0</v>
      </c>
      <c r="BB692" s="590">
        <f>IF(A17taxstdlife="n/a","n/a",IF(BB$3&gt;(A17taxstdlife+$E692),(('PTRM input'!$I$159+'PTRM input'!$I$125)*$I$7)-SUM($I692:BA692),(('PTRM input'!$I$159+'PTRM input'!$I$125)*$I$7)/A17taxstdlife))</f>
        <v>0</v>
      </c>
      <c r="BC692" s="590">
        <f>IF(A17taxstdlife="n/a","n/a",IF(BC$3&gt;(A17taxstdlife+$E692),(('PTRM input'!$I$159+'PTRM input'!$I$125)*$I$7)-SUM($I692:BB692),(('PTRM input'!$I$159+'PTRM input'!$I$125)*$I$7)/A17taxstdlife))</f>
        <v>0</v>
      </c>
      <c r="BD692" s="590">
        <f>IF(A17taxstdlife="n/a","n/a",IF(BD$3&gt;(A17taxstdlife+$E692),(('PTRM input'!$I$159+'PTRM input'!$I$125)*$I$7)-SUM($I692:BC692),(('PTRM input'!$I$159+'PTRM input'!$I$125)*$I$7)/A17taxstdlife))</f>
        <v>0</v>
      </c>
      <c r="BE692" s="590">
        <f>IF(A17taxstdlife="n/a","n/a",IF(BE$3&gt;(A17taxstdlife+$E692),(('PTRM input'!$I$159+'PTRM input'!$I$125)*$I$7)-SUM($I692:BD692),(('PTRM input'!$I$159+'PTRM input'!$I$125)*$I$7)/A17taxstdlife))</f>
        <v>0</v>
      </c>
      <c r="BF692" s="590">
        <f>IF(A17taxstdlife="n/a","n/a",IF(BF$3&gt;(A17taxstdlife+$E692),(('PTRM input'!$I$159+'PTRM input'!$I$125)*$I$7)-SUM($I692:BE692),(('PTRM input'!$I$159+'PTRM input'!$I$125)*$I$7)/A17taxstdlife))</f>
        <v>0</v>
      </c>
      <c r="BG692" s="590">
        <f>IF(A17taxstdlife="n/a","n/a",IF(BG$3&gt;(A17taxstdlife+$E692),(('PTRM input'!$I$159+'PTRM input'!$I$125)*$I$7)-SUM($I692:BF692),(('PTRM input'!$I$159+'PTRM input'!$I$125)*$I$7)/A17taxstdlife))</f>
        <v>0</v>
      </c>
      <c r="BH692" s="590">
        <f>IF(A17taxstdlife="n/a","n/a",IF(BH$3&gt;(A17taxstdlife+$E692),(('PTRM input'!$I$159+'PTRM input'!$I$125)*$I$7)-SUM($I692:BG692),(('PTRM input'!$I$159+'PTRM input'!$I$125)*$I$7)/A17taxstdlife))</f>
        <v>0</v>
      </c>
      <c r="BI692" s="590">
        <f>IF(A17taxstdlife="n/a","n/a",IF(BI$3&gt;(A17taxstdlife+$E692),(('PTRM input'!$I$159+'PTRM input'!$I$125)*$I$7)-SUM($I692:BH692),(('PTRM input'!$I$159+'PTRM input'!$I$125)*$I$7)/A17taxstdlife))</f>
        <v>0</v>
      </c>
      <c r="BJ692" s="240"/>
      <c r="BK692" s="240"/>
      <c r="BL692" s="240"/>
      <c r="BM692" s="240"/>
    </row>
    <row r="693" spans="1:65" s="4" customFormat="1" hidden="1" outlineLevel="2">
      <c r="A693" s="240"/>
      <c r="B693" s="240"/>
      <c r="C693" s="595"/>
      <c r="D693" s="1618"/>
      <c r="E693" s="169">
        <v>4</v>
      </c>
      <c r="F693" s="35"/>
      <c r="G693" s="184"/>
      <c r="H693" s="186"/>
      <c r="I693" s="186"/>
      <c r="J693" s="185"/>
      <c r="K693" s="107">
        <f>IF(A17taxstdlife="n/a","n/a",IF(K$3&gt;(A17taxstdlife+$E693),(('PTRM input'!$J$159+'PTRM input'!$J$125)*$J$7)-SUM($J693:J693),(('PTRM input'!$J$159+'PTRM input'!$J$125)*$J$7)/A17taxstdlife))</f>
        <v>0</v>
      </c>
      <c r="L693" s="107">
        <f>IF(A17taxstdlife="n/a","n/a",IF(L$3&gt;(A17taxstdlife+$E693),(('PTRM input'!$J$159+'PTRM input'!$J$125)*$J$7)-SUM($J693:K693),(('PTRM input'!$J$159+'PTRM input'!$J$125)*$J$7)/A17taxstdlife))</f>
        <v>0</v>
      </c>
      <c r="M693" s="107">
        <f>IF(A17taxstdlife="n/a","n/a",IF(M$3&gt;(A17taxstdlife+$E693),(('PTRM input'!$J$159+'PTRM input'!$J$125)*$J$7)-SUM($J693:L693),(('PTRM input'!$J$159+'PTRM input'!$J$125)*$J$7)/A17taxstdlife))</f>
        <v>0</v>
      </c>
      <c r="N693" s="107">
        <f>IF(A17taxstdlife="n/a","n/a",IF(N$3&gt;(A17taxstdlife+$E693),(('PTRM input'!$J$159+'PTRM input'!$J$125)*$J$7)-SUM($J693:M693),(('PTRM input'!$J$159+'PTRM input'!$J$125)*$J$7)/A17taxstdlife))</f>
        <v>0</v>
      </c>
      <c r="O693" s="107">
        <f>IF(A17taxstdlife="n/a","n/a",IF(O$3&gt;(A17taxstdlife+$E693),(('PTRM input'!$J$159+'PTRM input'!$J$125)*$J$7)-SUM($J693:N693),(('PTRM input'!$J$159+'PTRM input'!$J$125)*$J$7)/A17taxstdlife))</f>
        <v>0</v>
      </c>
      <c r="P693" s="107">
        <f>IF(A17taxstdlife="n/a","n/a",IF(P$3&gt;(A17taxstdlife+$E693),(('PTRM input'!$J$159+'PTRM input'!$J$125)*$J$7)-SUM($J693:O693),(('PTRM input'!$J$159+'PTRM input'!$J$125)*$J$7)/A17taxstdlife))</f>
        <v>0</v>
      </c>
      <c r="Q693" s="590">
        <f>IF(A17taxstdlife="n/a","n/a",IF(Q$3&gt;(A17taxstdlife+$E693),(('PTRM input'!$J$159+'PTRM input'!$J$125)*$J$7)-SUM($J693:P693),(('PTRM input'!$J$159+'PTRM input'!$J$125)*$J$7)/A17taxstdlife))</f>
        <v>0</v>
      </c>
      <c r="R693" s="590">
        <f>IF(A17taxstdlife="n/a","n/a",IF(R$3&gt;(A17taxstdlife+$E693),(('PTRM input'!$J$159+'PTRM input'!$J$125)*$J$7)-SUM($J693:Q693),(('PTRM input'!$J$159+'PTRM input'!$J$125)*$J$7)/A17taxstdlife))</f>
        <v>0</v>
      </c>
      <c r="S693" s="590">
        <f>IF(A17taxstdlife="n/a","n/a",IF(S$3&gt;(A17taxstdlife+$E693),(('PTRM input'!$J$159+'PTRM input'!$J$125)*$J$7)-SUM($J693:R693),(('PTRM input'!$J$159+'PTRM input'!$J$125)*$J$7)/A17taxstdlife))</f>
        <v>0</v>
      </c>
      <c r="T693" s="590">
        <f>IF(A17taxstdlife="n/a","n/a",IF(T$3&gt;(A17taxstdlife+$E693),(('PTRM input'!$J$159+'PTRM input'!$J$125)*$J$7)-SUM($J693:S693),(('PTRM input'!$J$159+'PTRM input'!$J$125)*$J$7)/A17taxstdlife))</f>
        <v>0</v>
      </c>
      <c r="U693" s="590">
        <f>IF(A17taxstdlife="n/a","n/a",IF(U$3&gt;(A17taxstdlife+$E693),(('PTRM input'!$J$159+'PTRM input'!$J$125)*$J$7)-SUM($J693:T693),(('PTRM input'!$J$159+'PTRM input'!$J$125)*$J$7)/A17taxstdlife))</f>
        <v>0</v>
      </c>
      <c r="V693" s="590">
        <f>IF(A17taxstdlife="n/a","n/a",IF(V$3&gt;(A17taxstdlife+$E693),(('PTRM input'!$J$159+'PTRM input'!$J$125)*$J$7)-SUM($J693:U693),(('PTRM input'!$J$159+'PTRM input'!$J$125)*$J$7)/A17taxstdlife))</f>
        <v>0</v>
      </c>
      <c r="W693" s="590">
        <f>IF(A17taxstdlife="n/a","n/a",IF(W$3&gt;(A17taxstdlife+$E693),(('PTRM input'!$J$159+'PTRM input'!$J$125)*$J$7)-SUM($J693:V693),(('PTRM input'!$J$159+'PTRM input'!$J$125)*$J$7)/A17taxstdlife))</f>
        <v>0</v>
      </c>
      <c r="X693" s="590">
        <f>IF(A17taxstdlife="n/a","n/a",IF(X$3&gt;(A17taxstdlife+$E693),(('PTRM input'!$J$159+'PTRM input'!$J$125)*$J$7)-SUM($J693:W693),(('PTRM input'!$J$159+'PTRM input'!$J$125)*$J$7)/A17taxstdlife))</f>
        <v>0</v>
      </c>
      <c r="Y693" s="590">
        <f>IF(A17taxstdlife="n/a","n/a",IF(Y$3&gt;(A17taxstdlife+$E693),(('PTRM input'!$J$159+'PTRM input'!$J$125)*$J$7)-SUM($J693:X693),(('PTRM input'!$J$159+'PTRM input'!$J$125)*$J$7)/A17taxstdlife))</f>
        <v>0</v>
      </c>
      <c r="Z693" s="590">
        <f>IF(A17taxstdlife="n/a","n/a",IF(Z$3&gt;(A17taxstdlife+$E693),(('PTRM input'!$J$159+'PTRM input'!$J$125)*$J$7)-SUM($J693:Y693),(('PTRM input'!$J$159+'PTRM input'!$J$125)*$J$7)/A17taxstdlife))</f>
        <v>0</v>
      </c>
      <c r="AA693" s="590">
        <f>IF(A17taxstdlife="n/a","n/a",IF(AA$3&gt;(A17taxstdlife+$E693),(('PTRM input'!$J$159+'PTRM input'!$J$125)*$J$7)-SUM($J693:Z693),(('PTRM input'!$J$159+'PTRM input'!$J$125)*$J$7)/A17taxstdlife))</f>
        <v>0</v>
      </c>
      <c r="AB693" s="590">
        <f>IF(A17taxstdlife="n/a","n/a",IF(AB$3&gt;(A17taxstdlife+$E693),(('PTRM input'!$J$159+'PTRM input'!$J$125)*$J$7)-SUM($J693:AA693),(('PTRM input'!$J$159+'PTRM input'!$J$125)*$J$7)/A17taxstdlife))</f>
        <v>0</v>
      </c>
      <c r="AC693" s="590">
        <f>IF(A17taxstdlife="n/a","n/a",IF(AC$3&gt;(A17taxstdlife+$E693),(('PTRM input'!$J$159+'PTRM input'!$J$125)*$J$7)-SUM($J693:AB693),(('PTRM input'!$J$159+'PTRM input'!$J$125)*$J$7)/A17taxstdlife))</f>
        <v>0</v>
      </c>
      <c r="AD693" s="590">
        <f>IF(A17taxstdlife="n/a","n/a",IF(AD$3&gt;(A17taxstdlife+$E693),(('PTRM input'!$J$159+'PTRM input'!$J$125)*$J$7)-SUM($J693:AC693),(('PTRM input'!$J$159+'PTRM input'!$J$125)*$J$7)/A17taxstdlife))</f>
        <v>0</v>
      </c>
      <c r="AE693" s="590">
        <f>IF(A17taxstdlife="n/a","n/a",IF(AE$3&gt;(A17taxstdlife+$E693),(('PTRM input'!$J$159+'PTRM input'!$J$125)*$J$7)-SUM($J693:AD693),(('PTRM input'!$J$159+'PTRM input'!$J$125)*$J$7)/A17taxstdlife))</f>
        <v>0</v>
      </c>
      <c r="AF693" s="590">
        <f>IF(A17taxstdlife="n/a","n/a",IF(AF$3&gt;(A17taxstdlife+$E693),(('PTRM input'!$J$159+'PTRM input'!$J$125)*$J$7)-SUM($J693:AE693),(('PTRM input'!$J$159+'PTRM input'!$J$125)*$J$7)/A17taxstdlife))</f>
        <v>0</v>
      </c>
      <c r="AG693" s="590">
        <f>IF(A17taxstdlife="n/a","n/a",IF(AG$3&gt;(A17taxstdlife+$E693),(('PTRM input'!$J$159+'PTRM input'!$J$125)*$J$7)-SUM($J693:AF693),(('PTRM input'!$J$159+'PTRM input'!$J$125)*$J$7)/A17taxstdlife))</f>
        <v>0</v>
      </c>
      <c r="AH693" s="590">
        <f>IF(A17taxstdlife="n/a","n/a",IF(AH$3&gt;(A17taxstdlife+$E693),(('PTRM input'!$J$159+'PTRM input'!$J$125)*$J$7)-SUM($J693:AG693),(('PTRM input'!$J$159+'PTRM input'!$J$125)*$J$7)/A17taxstdlife))</f>
        <v>0</v>
      </c>
      <c r="AI693" s="590">
        <f>IF(A17taxstdlife="n/a","n/a",IF(AI$3&gt;(A17taxstdlife+$E693),(('PTRM input'!$J$159+'PTRM input'!$J$125)*$J$7)-SUM($J693:AH693),(('PTRM input'!$J$159+'PTRM input'!$J$125)*$J$7)/A17taxstdlife))</f>
        <v>0</v>
      </c>
      <c r="AJ693" s="590">
        <f>IF(A17taxstdlife="n/a","n/a",IF(AJ$3&gt;(A17taxstdlife+$E693),(('PTRM input'!$J$159+'PTRM input'!$J$125)*$J$7)-SUM($J693:AI693),(('PTRM input'!$J$159+'PTRM input'!$J$125)*$J$7)/A17taxstdlife))</f>
        <v>0</v>
      </c>
      <c r="AK693" s="590">
        <f>IF(A17taxstdlife="n/a","n/a",IF(AK$3&gt;(A17taxstdlife+$E693),(('PTRM input'!$J$159+'PTRM input'!$J$125)*$J$7)-SUM($J693:AJ693),(('PTRM input'!$J$159+'PTRM input'!$J$125)*$J$7)/A17taxstdlife))</f>
        <v>0</v>
      </c>
      <c r="AL693" s="590">
        <f>IF(A17taxstdlife="n/a","n/a",IF(AL$3&gt;(A17taxstdlife+$E693),(('PTRM input'!$J$159+'PTRM input'!$J$125)*$J$7)-SUM($J693:AK693),(('PTRM input'!$J$159+'PTRM input'!$J$125)*$J$7)/A17taxstdlife))</f>
        <v>0</v>
      </c>
      <c r="AM693" s="590">
        <f>IF(A17taxstdlife="n/a","n/a",IF(AM$3&gt;(A17taxstdlife+$E693),(('PTRM input'!$J$159+'PTRM input'!$J$125)*$J$7)-SUM($J693:AL693),(('PTRM input'!$J$159+'PTRM input'!$J$125)*$J$7)/A17taxstdlife))</f>
        <v>0</v>
      </c>
      <c r="AN693" s="590">
        <f>IF(A17taxstdlife="n/a","n/a",IF(AN$3&gt;(A17taxstdlife+$E693),(('PTRM input'!$J$159+'PTRM input'!$J$125)*$J$7)-SUM($J693:AM693),(('PTRM input'!$J$159+'PTRM input'!$J$125)*$J$7)/A17taxstdlife))</f>
        <v>0</v>
      </c>
      <c r="AO693" s="590">
        <f>IF(A17taxstdlife="n/a","n/a",IF(AO$3&gt;(A17taxstdlife+$E693),(('PTRM input'!$J$159+'PTRM input'!$J$125)*$J$7)-SUM($J693:AN693),(('PTRM input'!$J$159+'PTRM input'!$J$125)*$J$7)/A17taxstdlife))</f>
        <v>0</v>
      </c>
      <c r="AP693" s="590">
        <f>IF(A17taxstdlife="n/a","n/a",IF(AP$3&gt;(A17taxstdlife+$E693),(('PTRM input'!$J$159+'PTRM input'!$J$125)*$J$7)-SUM($J693:AO693),(('PTRM input'!$J$159+'PTRM input'!$J$125)*$J$7)/A17taxstdlife))</f>
        <v>0</v>
      </c>
      <c r="AQ693" s="590">
        <f>IF(A17taxstdlife="n/a","n/a",IF(AQ$3&gt;(A17taxstdlife+$E693),(('PTRM input'!$J$159+'PTRM input'!$J$125)*$J$7)-SUM($J693:AP693),(('PTRM input'!$J$159+'PTRM input'!$J$125)*$J$7)/A17taxstdlife))</f>
        <v>0</v>
      </c>
      <c r="AR693" s="590">
        <f>IF(A17taxstdlife="n/a","n/a",IF(AR$3&gt;(A17taxstdlife+$E693),(('PTRM input'!$J$159+'PTRM input'!$J$125)*$J$7)-SUM($J693:AQ693),(('PTRM input'!$J$159+'PTRM input'!$J$125)*$J$7)/A17taxstdlife))</f>
        <v>0</v>
      </c>
      <c r="AS693" s="590">
        <f>IF(A17taxstdlife="n/a","n/a",IF(AS$3&gt;(A17taxstdlife+$E693),(('PTRM input'!$J$159+'PTRM input'!$J$125)*$J$7)-SUM($J693:AR693),(('PTRM input'!$J$159+'PTRM input'!$J$125)*$J$7)/A17taxstdlife))</f>
        <v>0</v>
      </c>
      <c r="AT693" s="590">
        <f>IF(A17taxstdlife="n/a","n/a",IF(AT$3&gt;(A17taxstdlife+$E693),(('PTRM input'!$J$159+'PTRM input'!$J$125)*$J$7)-SUM($J693:AS693),(('PTRM input'!$J$159+'PTRM input'!$J$125)*$J$7)/A17taxstdlife))</f>
        <v>0</v>
      </c>
      <c r="AU693" s="590">
        <f>IF(A17taxstdlife="n/a","n/a",IF(AU$3&gt;(A17taxstdlife+$E693),(('PTRM input'!$J$159+'PTRM input'!$J$125)*$J$7)-SUM($J693:AT693),(('PTRM input'!$J$159+'PTRM input'!$J$125)*$J$7)/A17taxstdlife))</f>
        <v>0</v>
      </c>
      <c r="AV693" s="590">
        <f>IF(A17taxstdlife="n/a","n/a",IF(AV$3&gt;(A17taxstdlife+$E693),(('PTRM input'!$J$159+'PTRM input'!$J$125)*$J$7)-SUM($J693:AU693),(('PTRM input'!$J$159+'PTRM input'!$J$125)*$J$7)/A17taxstdlife))</f>
        <v>0</v>
      </c>
      <c r="AW693" s="590">
        <f>IF(A17taxstdlife="n/a","n/a",IF(AW$3&gt;(A17taxstdlife+$E693),(('PTRM input'!$J$159+'PTRM input'!$J$125)*$J$7)-SUM($J693:AV693),(('PTRM input'!$J$159+'PTRM input'!$J$125)*$J$7)/A17taxstdlife))</f>
        <v>0</v>
      </c>
      <c r="AX693" s="590">
        <f>IF(A17taxstdlife="n/a","n/a",IF(AX$3&gt;(A17taxstdlife+$E693),(('PTRM input'!$J$159+'PTRM input'!$J$125)*$J$7)-SUM($J693:AW693),(('PTRM input'!$J$159+'PTRM input'!$J$125)*$J$7)/A17taxstdlife))</f>
        <v>0</v>
      </c>
      <c r="AY693" s="590">
        <f>IF(A17taxstdlife="n/a","n/a",IF(AY$3&gt;(A17taxstdlife+$E693),(('PTRM input'!$J$159+'PTRM input'!$J$125)*$J$7)-SUM($J693:AX693),(('PTRM input'!$J$159+'PTRM input'!$J$125)*$J$7)/A17taxstdlife))</f>
        <v>0</v>
      </c>
      <c r="AZ693" s="590">
        <f>IF(A17taxstdlife="n/a","n/a",IF(AZ$3&gt;(A17taxstdlife+$E693),(('PTRM input'!$J$159+'PTRM input'!$J$125)*$J$7)-SUM($J693:AY693),(('PTRM input'!$J$159+'PTRM input'!$J$125)*$J$7)/A17taxstdlife))</f>
        <v>0</v>
      </c>
      <c r="BA693" s="590">
        <f>IF(A17taxstdlife="n/a","n/a",IF(BA$3&gt;(A17taxstdlife+$E693),(('PTRM input'!$J$159+'PTRM input'!$J$125)*$J$7)-SUM($J693:AZ693),(('PTRM input'!$J$159+'PTRM input'!$J$125)*$J$7)/A17taxstdlife))</f>
        <v>0</v>
      </c>
      <c r="BB693" s="590">
        <f>IF(A17taxstdlife="n/a","n/a",IF(BB$3&gt;(A17taxstdlife+$E693),(('PTRM input'!$J$159+'PTRM input'!$J$125)*$J$7)-SUM($J693:BA693),(('PTRM input'!$J$159+'PTRM input'!$J$125)*$J$7)/A17taxstdlife))</f>
        <v>0</v>
      </c>
      <c r="BC693" s="590">
        <f>IF(A17taxstdlife="n/a","n/a",IF(BC$3&gt;(A17taxstdlife+$E693),(('PTRM input'!$J$159+'PTRM input'!$J$125)*$J$7)-SUM($J693:BB693),(('PTRM input'!$J$159+'PTRM input'!$J$125)*$J$7)/A17taxstdlife))</f>
        <v>0</v>
      </c>
      <c r="BD693" s="590">
        <f>IF(A17taxstdlife="n/a","n/a",IF(BD$3&gt;(A17taxstdlife+$E693),(('PTRM input'!$J$159+'PTRM input'!$J$125)*$J$7)-SUM($J693:BC693),(('PTRM input'!$J$159+'PTRM input'!$J$125)*$J$7)/A17taxstdlife))</f>
        <v>0</v>
      </c>
      <c r="BE693" s="590">
        <f>IF(A17taxstdlife="n/a","n/a",IF(BE$3&gt;(A17taxstdlife+$E693),(('PTRM input'!$J$159+'PTRM input'!$J$125)*$J$7)-SUM($J693:BD693),(('PTRM input'!$J$159+'PTRM input'!$J$125)*$J$7)/A17taxstdlife))</f>
        <v>0</v>
      </c>
      <c r="BF693" s="590">
        <f>IF(A17taxstdlife="n/a","n/a",IF(BF$3&gt;(A17taxstdlife+$E693),(('PTRM input'!$J$159+'PTRM input'!$J$125)*$J$7)-SUM($J693:BE693),(('PTRM input'!$J$159+'PTRM input'!$J$125)*$J$7)/A17taxstdlife))</f>
        <v>0</v>
      </c>
      <c r="BG693" s="590">
        <f>IF(A17taxstdlife="n/a","n/a",IF(BG$3&gt;(A17taxstdlife+$E693),(('PTRM input'!$J$159+'PTRM input'!$J$125)*$J$7)-SUM($J693:BF693),(('PTRM input'!$J$159+'PTRM input'!$J$125)*$J$7)/A17taxstdlife))</f>
        <v>0</v>
      </c>
      <c r="BH693" s="590">
        <f>IF(A17taxstdlife="n/a","n/a",IF(BH$3&gt;(A17taxstdlife+$E693),(('PTRM input'!$J$159+'PTRM input'!$J$125)*$J$7)-SUM($J693:BG693),(('PTRM input'!$J$159+'PTRM input'!$J$125)*$J$7)/A17taxstdlife))</f>
        <v>0</v>
      </c>
      <c r="BI693" s="590">
        <f>IF(A17taxstdlife="n/a","n/a",IF(BI$3&gt;(A17taxstdlife+$E693),(('PTRM input'!$J$159+'PTRM input'!$J$125)*$J$7)-SUM($J693:BH693),(('PTRM input'!$J$159+'PTRM input'!$J$125)*$J$7)/A17taxstdlife))</f>
        <v>0</v>
      </c>
      <c r="BJ693" s="240"/>
      <c r="BK693" s="240"/>
      <c r="BL693" s="240"/>
      <c r="BM693" s="240"/>
    </row>
    <row r="694" spans="1:65" s="4" customFormat="1" hidden="1" outlineLevel="2">
      <c r="A694" s="240"/>
      <c r="B694" s="240"/>
      <c r="C694" s="595"/>
      <c r="D694" s="1618"/>
      <c r="E694" s="169">
        <v>5</v>
      </c>
      <c r="F694" s="35"/>
      <c r="G694" s="184"/>
      <c r="H694" s="186"/>
      <c r="I694" s="186"/>
      <c r="J694" s="186"/>
      <c r="K694" s="185"/>
      <c r="L694" s="107">
        <f>IF(A17taxstdlife="n/a","n/a",IF(L$3&gt;(A17taxstdlife+$E694),(('PTRM input'!$K$159+'PTRM input'!$K$125)*$K$7)-SUM($K694:K694),(('PTRM input'!$K$159+'PTRM input'!$K$125)*$K$7)/A17taxstdlife))</f>
        <v>0</v>
      </c>
      <c r="M694" s="107">
        <f>IF(A17taxstdlife="n/a","n/a",IF(M$3&gt;(A17taxstdlife+$E694),(('PTRM input'!$K$159+'PTRM input'!$K$125)*$K$7)-SUM($K694:L694),(('PTRM input'!$K$159+'PTRM input'!$K$125)*$K$7)/A17taxstdlife))</f>
        <v>0</v>
      </c>
      <c r="N694" s="107">
        <f>IF(A17taxstdlife="n/a","n/a",IF(N$3&gt;(A17taxstdlife+$E694),(('PTRM input'!$K$159+'PTRM input'!$K$125)*$K$7)-SUM($K694:M694),(('PTRM input'!$K$159+'PTRM input'!$K$125)*$K$7)/A17taxstdlife))</f>
        <v>0</v>
      </c>
      <c r="O694" s="107">
        <f>IF(A17taxstdlife="n/a","n/a",IF(O$3&gt;(A17taxstdlife+$E694),(('PTRM input'!$K$159+'PTRM input'!$K$125)*$K$7)-SUM($K694:N694),(('PTRM input'!$K$159+'PTRM input'!$K$125)*$K$7)/A17taxstdlife))</f>
        <v>0</v>
      </c>
      <c r="P694" s="107">
        <f>IF(A17taxstdlife="n/a","n/a",IF(P$3&gt;(A17taxstdlife+$E694),(('PTRM input'!$K$159+'PTRM input'!$K$125)*$K$7)-SUM($K694:O694),(('PTRM input'!$K$159+'PTRM input'!$K$125)*$K$7)/A17taxstdlife))</f>
        <v>0</v>
      </c>
      <c r="Q694" s="590">
        <f>IF(A17taxstdlife="n/a","n/a",IF(Q$3&gt;(A17taxstdlife+$E694),(('PTRM input'!$K$159+'PTRM input'!$K$125)*$K$7)-SUM($K694:P694),(('PTRM input'!$K$159+'PTRM input'!$K$125)*$K$7)/A17taxstdlife))</f>
        <v>0</v>
      </c>
      <c r="R694" s="590">
        <f>IF(A17taxstdlife="n/a","n/a",IF(R$3&gt;(A17taxstdlife+$E694),(('PTRM input'!$K$159+'PTRM input'!$K$125)*$K$7)-SUM($K694:Q694),(('PTRM input'!$K$159+'PTRM input'!$K$125)*$K$7)/A17taxstdlife))</f>
        <v>0</v>
      </c>
      <c r="S694" s="590">
        <f>IF(A17taxstdlife="n/a","n/a",IF(S$3&gt;(A17taxstdlife+$E694),(('PTRM input'!$K$159+'PTRM input'!$K$125)*$K$7)-SUM($K694:R694),(('PTRM input'!$K$159+'PTRM input'!$K$125)*$K$7)/A17taxstdlife))</f>
        <v>0</v>
      </c>
      <c r="T694" s="590">
        <f>IF(A17taxstdlife="n/a","n/a",IF(T$3&gt;(A17taxstdlife+$E694),(('PTRM input'!$K$159+'PTRM input'!$K$125)*$K$7)-SUM($K694:S694),(('PTRM input'!$K$159+'PTRM input'!$K$125)*$K$7)/A17taxstdlife))</f>
        <v>0</v>
      </c>
      <c r="U694" s="590">
        <f>IF(A17taxstdlife="n/a","n/a",IF(U$3&gt;(A17taxstdlife+$E694),(('PTRM input'!$K$159+'PTRM input'!$K$125)*$K$7)-SUM($K694:T694),(('PTRM input'!$K$159+'PTRM input'!$K$125)*$K$7)/A17taxstdlife))</f>
        <v>0</v>
      </c>
      <c r="V694" s="590">
        <f>IF(A17taxstdlife="n/a","n/a",IF(V$3&gt;(A17taxstdlife+$E694),(('PTRM input'!$K$159+'PTRM input'!$K$125)*$K$7)-SUM($K694:U694),(('PTRM input'!$K$159+'PTRM input'!$K$125)*$K$7)/A17taxstdlife))</f>
        <v>0</v>
      </c>
      <c r="W694" s="590">
        <f>IF(A17taxstdlife="n/a","n/a",IF(W$3&gt;(A17taxstdlife+$E694),(('PTRM input'!$K$159+'PTRM input'!$K$125)*$K$7)-SUM($K694:V694),(('PTRM input'!$K$159+'PTRM input'!$K$125)*$K$7)/A17taxstdlife))</f>
        <v>0</v>
      </c>
      <c r="X694" s="590">
        <f>IF(A17taxstdlife="n/a","n/a",IF(X$3&gt;(A17taxstdlife+$E694),(('PTRM input'!$K$159+'PTRM input'!$K$125)*$K$7)-SUM($K694:W694),(('PTRM input'!$K$159+'PTRM input'!$K$125)*$K$7)/A17taxstdlife))</f>
        <v>0</v>
      </c>
      <c r="Y694" s="590">
        <f>IF(A17taxstdlife="n/a","n/a",IF(Y$3&gt;(A17taxstdlife+$E694),(('PTRM input'!$K$159+'PTRM input'!$K$125)*$K$7)-SUM($K694:X694),(('PTRM input'!$K$159+'PTRM input'!$K$125)*$K$7)/A17taxstdlife))</f>
        <v>0</v>
      </c>
      <c r="Z694" s="590">
        <f>IF(A17taxstdlife="n/a","n/a",IF(Z$3&gt;(A17taxstdlife+$E694),(('PTRM input'!$K$159+'PTRM input'!$K$125)*$K$7)-SUM($K694:Y694),(('PTRM input'!$K$159+'PTRM input'!$K$125)*$K$7)/A17taxstdlife))</f>
        <v>0</v>
      </c>
      <c r="AA694" s="590">
        <f>IF(A17taxstdlife="n/a","n/a",IF(AA$3&gt;(A17taxstdlife+$E694),(('PTRM input'!$K$159+'PTRM input'!$K$125)*$K$7)-SUM($K694:Z694),(('PTRM input'!$K$159+'PTRM input'!$K$125)*$K$7)/A17taxstdlife))</f>
        <v>0</v>
      </c>
      <c r="AB694" s="590">
        <f>IF(A17taxstdlife="n/a","n/a",IF(AB$3&gt;(A17taxstdlife+$E694),(('PTRM input'!$K$159+'PTRM input'!$K$125)*$K$7)-SUM($K694:AA694),(('PTRM input'!$K$159+'PTRM input'!$K$125)*$K$7)/A17taxstdlife))</f>
        <v>0</v>
      </c>
      <c r="AC694" s="590">
        <f>IF(A17taxstdlife="n/a","n/a",IF(AC$3&gt;(A17taxstdlife+$E694),(('PTRM input'!$K$159+'PTRM input'!$K$125)*$K$7)-SUM($K694:AB694),(('PTRM input'!$K$159+'PTRM input'!$K$125)*$K$7)/A17taxstdlife))</f>
        <v>0</v>
      </c>
      <c r="AD694" s="590">
        <f>IF(A17taxstdlife="n/a","n/a",IF(AD$3&gt;(A17taxstdlife+$E694),(('PTRM input'!$K$159+'PTRM input'!$K$125)*$K$7)-SUM($K694:AC694),(('PTRM input'!$K$159+'PTRM input'!$K$125)*$K$7)/A17taxstdlife))</f>
        <v>0</v>
      </c>
      <c r="AE694" s="590">
        <f>IF(A17taxstdlife="n/a","n/a",IF(AE$3&gt;(A17taxstdlife+$E694),(('PTRM input'!$K$159+'PTRM input'!$K$125)*$K$7)-SUM($K694:AD694),(('PTRM input'!$K$159+'PTRM input'!$K$125)*$K$7)/A17taxstdlife))</f>
        <v>0</v>
      </c>
      <c r="AF694" s="590">
        <f>IF(A17taxstdlife="n/a","n/a",IF(AF$3&gt;(A17taxstdlife+$E694),(('PTRM input'!$K$159+'PTRM input'!$K$125)*$K$7)-SUM($K694:AE694),(('PTRM input'!$K$159+'PTRM input'!$K$125)*$K$7)/A17taxstdlife))</f>
        <v>0</v>
      </c>
      <c r="AG694" s="590">
        <f>IF(A17taxstdlife="n/a","n/a",IF(AG$3&gt;(A17taxstdlife+$E694),(('PTRM input'!$K$159+'PTRM input'!$K$125)*$K$7)-SUM($K694:AF694),(('PTRM input'!$K$159+'PTRM input'!$K$125)*$K$7)/A17taxstdlife))</f>
        <v>0</v>
      </c>
      <c r="AH694" s="590">
        <f>IF(A17taxstdlife="n/a","n/a",IF(AH$3&gt;(A17taxstdlife+$E694),(('PTRM input'!$K$159+'PTRM input'!$K$125)*$K$7)-SUM($K694:AG694),(('PTRM input'!$K$159+'PTRM input'!$K$125)*$K$7)/A17taxstdlife))</f>
        <v>0</v>
      </c>
      <c r="AI694" s="590">
        <f>IF(A17taxstdlife="n/a","n/a",IF(AI$3&gt;(A17taxstdlife+$E694),(('PTRM input'!$K$159+'PTRM input'!$K$125)*$K$7)-SUM($K694:AH694),(('PTRM input'!$K$159+'PTRM input'!$K$125)*$K$7)/A17taxstdlife))</f>
        <v>0</v>
      </c>
      <c r="AJ694" s="590">
        <f>IF(A17taxstdlife="n/a","n/a",IF(AJ$3&gt;(A17taxstdlife+$E694),(('PTRM input'!$K$159+'PTRM input'!$K$125)*$K$7)-SUM($K694:AI694),(('PTRM input'!$K$159+'PTRM input'!$K$125)*$K$7)/A17taxstdlife))</f>
        <v>0</v>
      </c>
      <c r="AK694" s="590">
        <f>IF(A17taxstdlife="n/a","n/a",IF(AK$3&gt;(A17taxstdlife+$E694),(('PTRM input'!$K$159+'PTRM input'!$K$125)*$K$7)-SUM($K694:AJ694),(('PTRM input'!$K$159+'PTRM input'!$K$125)*$K$7)/A17taxstdlife))</f>
        <v>0</v>
      </c>
      <c r="AL694" s="590">
        <f>IF(A17taxstdlife="n/a","n/a",IF(AL$3&gt;(A17taxstdlife+$E694),(('PTRM input'!$K$159+'PTRM input'!$K$125)*$K$7)-SUM($K694:AK694),(('PTRM input'!$K$159+'PTRM input'!$K$125)*$K$7)/A17taxstdlife))</f>
        <v>0</v>
      </c>
      <c r="AM694" s="590">
        <f>IF(A17taxstdlife="n/a","n/a",IF(AM$3&gt;(A17taxstdlife+$E694),(('PTRM input'!$K$159+'PTRM input'!$K$125)*$K$7)-SUM($K694:AL694),(('PTRM input'!$K$159+'PTRM input'!$K$125)*$K$7)/A17taxstdlife))</f>
        <v>0</v>
      </c>
      <c r="AN694" s="590">
        <f>IF(A17taxstdlife="n/a","n/a",IF(AN$3&gt;(A17taxstdlife+$E694),(('PTRM input'!$K$159+'PTRM input'!$K$125)*$K$7)-SUM($K694:AM694),(('PTRM input'!$K$159+'PTRM input'!$K$125)*$K$7)/A17taxstdlife))</f>
        <v>0</v>
      </c>
      <c r="AO694" s="590">
        <f>IF(A17taxstdlife="n/a","n/a",IF(AO$3&gt;(A17taxstdlife+$E694),(('PTRM input'!$K$159+'PTRM input'!$K$125)*$K$7)-SUM($K694:AN694),(('PTRM input'!$K$159+'PTRM input'!$K$125)*$K$7)/A17taxstdlife))</f>
        <v>0</v>
      </c>
      <c r="AP694" s="590">
        <f>IF(A17taxstdlife="n/a","n/a",IF(AP$3&gt;(A17taxstdlife+$E694),(('PTRM input'!$K$159+'PTRM input'!$K$125)*$K$7)-SUM($K694:AO694),(('PTRM input'!$K$159+'PTRM input'!$K$125)*$K$7)/A17taxstdlife))</f>
        <v>0</v>
      </c>
      <c r="AQ694" s="590">
        <f>IF(A17taxstdlife="n/a","n/a",IF(AQ$3&gt;(A17taxstdlife+$E694),(('PTRM input'!$K$159+'PTRM input'!$K$125)*$K$7)-SUM($K694:AP694),(('PTRM input'!$K$159+'PTRM input'!$K$125)*$K$7)/A17taxstdlife))</f>
        <v>0</v>
      </c>
      <c r="AR694" s="590">
        <f>IF(A17taxstdlife="n/a","n/a",IF(AR$3&gt;(A17taxstdlife+$E694),(('PTRM input'!$K$159+'PTRM input'!$K$125)*$K$7)-SUM($K694:AQ694),(('PTRM input'!$K$159+'PTRM input'!$K$125)*$K$7)/A17taxstdlife))</f>
        <v>0</v>
      </c>
      <c r="AS694" s="590">
        <f>IF(A17taxstdlife="n/a","n/a",IF(AS$3&gt;(A17taxstdlife+$E694),(('PTRM input'!$K$159+'PTRM input'!$K$125)*$K$7)-SUM($K694:AR694),(('PTRM input'!$K$159+'PTRM input'!$K$125)*$K$7)/A17taxstdlife))</f>
        <v>0</v>
      </c>
      <c r="AT694" s="590">
        <f>IF(A17taxstdlife="n/a","n/a",IF(AT$3&gt;(A17taxstdlife+$E694),(('PTRM input'!$K$159+'PTRM input'!$K$125)*$K$7)-SUM($K694:AS694),(('PTRM input'!$K$159+'PTRM input'!$K$125)*$K$7)/A17taxstdlife))</f>
        <v>0</v>
      </c>
      <c r="AU694" s="590">
        <f>IF(A17taxstdlife="n/a","n/a",IF(AU$3&gt;(A17taxstdlife+$E694),(('PTRM input'!$K$159+'PTRM input'!$K$125)*$K$7)-SUM($K694:AT694),(('PTRM input'!$K$159+'PTRM input'!$K$125)*$K$7)/A17taxstdlife))</f>
        <v>0</v>
      </c>
      <c r="AV694" s="590">
        <f>IF(A17taxstdlife="n/a","n/a",IF(AV$3&gt;(A17taxstdlife+$E694),(('PTRM input'!$K$159+'PTRM input'!$K$125)*$K$7)-SUM($K694:AU694),(('PTRM input'!$K$159+'PTRM input'!$K$125)*$K$7)/A17taxstdlife))</f>
        <v>0</v>
      </c>
      <c r="AW694" s="590">
        <f>IF(A17taxstdlife="n/a","n/a",IF(AW$3&gt;(A17taxstdlife+$E694),(('PTRM input'!$K$159+'PTRM input'!$K$125)*$K$7)-SUM($K694:AV694),(('PTRM input'!$K$159+'PTRM input'!$K$125)*$K$7)/A17taxstdlife))</f>
        <v>0</v>
      </c>
      <c r="AX694" s="590">
        <f>IF(A17taxstdlife="n/a","n/a",IF(AX$3&gt;(A17taxstdlife+$E694),(('PTRM input'!$K$159+'PTRM input'!$K$125)*$K$7)-SUM($K694:AW694),(('PTRM input'!$K$159+'PTRM input'!$K$125)*$K$7)/A17taxstdlife))</f>
        <v>0</v>
      </c>
      <c r="AY694" s="590">
        <f>IF(A17taxstdlife="n/a","n/a",IF(AY$3&gt;(A17taxstdlife+$E694),(('PTRM input'!$K$159+'PTRM input'!$K$125)*$K$7)-SUM($K694:AX694),(('PTRM input'!$K$159+'PTRM input'!$K$125)*$K$7)/A17taxstdlife))</f>
        <v>0</v>
      </c>
      <c r="AZ694" s="590">
        <f>IF(A17taxstdlife="n/a","n/a",IF(AZ$3&gt;(A17taxstdlife+$E694),(('PTRM input'!$K$159+'PTRM input'!$K$125)*$K$7)-SUM($K694:AY694),(('PTRM input'!$K$159+'PTRM input'!$K$125)*$K$7)/A17taxstdlife))</f>
        <v>0</v>
      </c>
      <c r="BA694" s="590">
        <f>IF(A17taxstdlife="n/a","n/a",IF(BA$3&gt;(A17taxstdlife+$E694),(('PTRM input'!$K$159+'PTRM input'!$K$125)*$K$7)-SUM($K694:AZ694),(('PTRM input'!$K$159+'PTRM input'!$K$125)*$K$7)/A17taxstdlife))</f>
        <v>0</v>
      </c>
      <c r="BB694" s="590">
        <f>IF(A17taxstdlife="n/a","n/a",IF(BB$3&gt;(A17taxstdlife+$E694),(('PTRM input'!$K$159+'PTRM input'!$K$125)*$K$7)-SUM($K694:BA694),(('PTRM input'!$K$159+'PTRM input'!$K$125)*$K$7)/A17taxstdlife))</f>
        <v>0</v>
      </c>
      <c r="BC694" s="590">
        <f>IF(A17taxstdlife="n/a","n/a",IF(BC$3&gt;(A17taxstdlife+$E694),(('PTRM input'!$K$159+'PTRM input'!$K$125)*$K$7)-SUM($K694:BB694),(('PTRM input'!$K$159+'PTRM input'!$K$125)*$K$7)/A17taxstdlife))</f>
        <v>0</v>
      </c>
      <c r="BD694" s="590">
        <f>IF(A17taxstdlife="n/a","n/a",IF(BD$3&gt;(A17taxstdlife+$E694),(('PTRM input'!$K$159+'PTRM input'!$K$125)*$K$7)-SUM($K694:BC694),(('PTRM input'!$K$159+'PTRM input'!$K$125)*$K$7)/A17taxstdlife))</f>
        <v>0</v>
      </c>
      <c r="BE694" s="590">
        <f>IF(A17taxstdlife="n/a","n/a",IF(BE$3&gt;(A17taxstdlife+$E694),(('PTRM input'!$K$159+'PTRM input'!$K$125)*$K$7)-SUM($K694:BD694),(('PTRM input'!$K$159+'PTRM input'!$K$125)*$K$7)/A17taxstdlife))</f>
        <v>0</v>
      </c>
      <c r="BF694" s="590">
        <f>IF(A17taxstdlife="n/a","n/a",IF(BF$3&gt;(A17taxstdlife+$E694),(('PTRM input'!$K$159+'PTRM input'!$K$125)*$K$7)-SUM($K694:BE694),(('PTRM input'!$K$159+'PTRM input'!$K$125)*$K$7)/A17taxstdlife))</f>
        <v>0</v>
      </c>
      <c r="BG694" s="590">
        <f>IF(A17taxstdlife="n/a","n/a",IF(BG$3&gt;(A17taxstdlife+$E694),(('PTRM input'!$K$159+'PTRM input'!$K$125)*$K$7)-SUM($K694:BF694),(('PTRM input'!$K$159+'PTRM input'!$K$125)*$K$7)/A17taxstdlife))</f>
        <v>0</v>
      </c>
      <c r="BH694" s="590">
        <f>IF(A17taxstdlife="n/a","n/a",IF(BH$3&gt;(A17taxstdlife+$E694),(('PTRM input'!$K$159+'PTRM input'!$K$125)*$K$7)-SUM($K694:BG694),(('PTRM input'!$K$159+'PTRM input'!$K$125)*$K$7)/A17taxstdlife))</f>
        <v>0</v>
      </c>
      <c r="BI694" s="590">
        <f>IF(A17taxstdlife="n/a","n/a",IF(BI$3&gt;(A17taxstdlife+$E694),(('PTRM input'!$K$159+'PTRM input'!$K$125)*$K$7)-SUM($K694:BH694),(('PTRM input'!$K$159+'PTRM input'!$K$125)*$K$7)/A17taxstdlife))</f>
        <v>0</v>
      </c>
      <c r="BJ694" s="240"/>
      <c r="BK694" s="240"/>
      <c r="BL694" s="240"/>
      <c r="BM694" s="240"/>
    </row>
    <row r="695" spans="1:65" s="4" customFormat="1" hidden="1" outlineLevel="2">
      <c r="A695" s="240"/>
      <c r="B695" s="240"/>
      <c r="C695" s="595"/>
      <c r="D695" s="1618"/>
      <c r="E695" s="169">
        <v>6</v>
      </c>
      <c r="F695" s="35"/>
      <c r="G695" s="184"/>
      <c r="H695" s="186"/>
      <c r="I695" s="186"/>
      <c r="J695" s="186"/>
      <c r="K695" s="186"/>
      <c r="L695" s="185"/>
      <c r="M695" s="107">
        <f>IF(A17taxstdlife="n/a","n/a",IF(M$3&gt;(A17taxstdlife+$E695),(('PTRM input'!$L$159+'PTRM input'!$L$125)*$L$7)-SUM($L695:L695),(('PTRM input'!$L$159+'PTRM input'!$L$125)*$L$7)/A17taxstdlife))</f>
        <v>0</v>
      </c>
      <c r="N695" s="107">
        <f>IF(A17taxstdlife="n/a","n/a",IF(N$3&gt;(A17taxstdlife+$E695),(('PTRM input'!$L$159+'PTRM input'!$L$125)*$L$7)-SUM($L695:M695),(('PTRM input'!$L$159+'PTRM input'!$L$125)*$L$7)/A17taxstdlife))</f>
        <v>0</v>
      </c>
      <c r="O695" s="107">
        <f>IF(A17taxstdlife="n/a","n/a",IF(O$3&gt;(A17taxstdlife+$E695),(('PTRM input'!$L$159+'PTRM input'!$L$125)*$L$7)-SUM($L695:N695),(('PTRM input'!$L$159+'PTRM input'!$L$125)*$L$7)/A17taxstdlife))</f>
        <v>0</v>
      </c>
      <c r="P695" s="107">
        <f>IF(A17taxstdlife="n/a","n/a",IF(P$3&gt;(A17taxstdlife+$E695),(('PTRM input'!$L$159+'PTRM input'!$L$125)*$L$7)-SUM($L695:O695),(('PTRM input'!$L$159+'PTRM input'!$L$125)*$L$7)/A17taxstdlife))</f>
        <v>0</v>
      </c>
      <c r="Q695" s="590">
        <f>IF(A17taxstdlife="n/a","n/a",IF(Q$3&gt;(A17taxstdlife+$E695),(('PTRM input'!$L$159+'PTRM input'!$L$125)*$L$7)-SUM($L695:P695),(('PTRM input'!$L$159+'PTRM input'!$L$125)*$L$7)/A17taxstdlife))</f>
        <v>0</v>
      </c>
      <c r="R695" s="590">
        <f>IF(A17taxstdlife="n/a","n/a",IF(R$3&gt;(A17taxstdlife+$E695),(('PTRM input'!$L$159+'PTRM input'!$L$125)*$L$7)-SUM($L695:Q695),(('PTRM input'!$L$159+'PTRM input'!$L$125)*$L$7)/A17taxstdlife))</f>
        <v>0</v>
      </c>
      <c r="S695" s="590">
        <f>IF(A17taxstdlife="n/a","n/a",IF(S$3&gt;(A17taxstdlife+$E695),(('PTRM input'!$L$159+'PTRM input'!$L$125)*$L$7)-SUM($L695:R695),(('PTRM input'!$L$159+'PTRM input'!$L$125)*$L$7)/A17taxstdlife))</f>
        <v>0</v>
      </c>
      <c r="T695" s="590">
        <f>IF(A17taxstdlife="n/a","n/a",IF(T$3&gt;(A17taxstdlife+$E695),(('PTRM input'!$L$159+'PTRM input'!$L$125)*$L$7)-SUM($L695:S695),(('PTRM input'!$L$159+'PTRM input'!$L$125)*$L$7)/A17taxstdlife))</f>
        <v>0</v>
      </c>
      <c r="U695" s="590">
        <f>IF(A17taxstdlife="n/a","n/a",IF(U$3&gt;(A17taxstdlife+$E695),(('PTRM input'!$L$159+'PTRM input'!$L$125)*$L$7)-SUM($L695:T695),(('PTRM input'!$L$159+'PTRM input'!$L$125)*$L$7)/A17taxstdlife))</f>
        <v>0</v>
      </c>
      <c r="V695" s="590">
        <f>IF(A17taxstdlife="n/a","n/a",IF(V$3&gt;(A17taxstdlife+$E695),(('PTRM input'!$L$159+'PTRM input'!$L$125)*$L$7)-SUM($L695:U695),(('PTRM input'!$L$159+'PTRM input'!$L$125)*$L$7)/A17taxstdlife))</f>
        <v>0</v>
      </c>
      <c r="W695" s="590">
        <f>IF(A17taxstdlife="n/a","n/a",IF(W$3&gt;(A17taxstdlife+$E695),(('PTRM input'!$L$159+'PTRM input'!$L$125)*$L$7)-SUM($L695:V695),(('PTRM input'!$L$159+'PTRM input'!$L$125)*$L$7)/A17taxstdlife))</f>
        <v>0</v>
      </c>
      <c r="X695" s="590">
        <f>IF(A17taxstdlife="n/a","n/a",IF(X$3&gt;(A17taxstdlife+$E695),(('PTRM input'!$L$159+'PTRM input'!$L$125)*$L$7)-SUM($L695:W695),(('PTRM input'!$L$159+'PTRM input'!$L$125)*$L$7)/A17taxstdlife))</f>
        <v>0</v>
      </c>
      <c r="Y695" s="590">
        <f>IF(A17taxstdlife="n/a","n/a",IF(Y$3&gt;(A17taxstdlife+$E695),(('PTRM input'!$L$159+'PTRM input'!$L$125)*$L$7)-SUM($L695:X695),(('PTRM input'!$L$159+'PTRM input'!$L$125)*$L$7)/A17taxstdlife))</f>
        <v>0</v>
      </c>
      <c r="Z695" s="590">
        <f>IF(A17taxstdlife="n/a","n/a",IF(Z$3&gt;(A17taxstdlife+$E695),(('PTRM input'!$L$159+'PTRM input'!$L$125)*$L$7)-SUM($L695:Y695),(('PTRM input'!$L$159+'PTRM input'!$L$125)*$L$7)/A17taxstdlife))</f>
        <v>0</v>
      </c>
      <c r="AA695" s="590">
        <f>IF(A17taxstdlife="n/a","n/a",IF(AA$3&gt;(A17taxstdlife+$E695),(('PTRM input'!$L$159+'PTRM input'!$L$125)*$L$7)-SUM($L695:Z695),(('PTRM input'!$L$159+'PTRM input'!$L$125)*$L$7)/A17taxstdlife))</f>
        <v>0</v>
      </c>
      <c r="AB695" s="590">
        <f>IF(A17taxstdlife="n/a","n/a",IF(AB$3&gt;(A17taxstdlife+$E695),(('PTRM input'!$L$159+'PTRM input'!$L$125)*$L$7)-SUM($L695:AA695),(('PTRM input'!$L$159+'PTRM input'!$L$125)*$L$7)/A17taxstdlife))</f>
        <v>0</v>
      </c>
      <c r="AC695" s="590">
        <f>IF(A17taxstdlife="n/a","n/a",IF(AC$3&gt;(A17taxstdlife+$E695),(('PTRM input'!$L$159+'PTRM input'!$L$125)*$L$7)-SUM($L695:AB695),(('PTRM input'!$L$159+'PTRM input'!$L$125)*$L$7)/A17taxstdlife))</f>
        <v>0</v>
      </c>
      <c r="AD695" s="590">
        <f>IF(A17taxstdlife="n/a","n/a",IF(AD$3&gt;(A17taxstdlife+$E695),(('PTRM input'!$L$159+'PTRM input'!$L$125)*$L$7)-SUM($L695:AC695),(('PTRM input'!$L$159+'PTRM input'!$L$125)*$L$7)/A17taxstdlife))</f>
        <v>0</v>
      </c>
      <c r="AE695" s="590">
        <f>IF(A17taxstdlife="n/a","n/a",IF(AE$3&gt;(A17taxstdlife+$E695),(('PTRM input'!$L$159+'PTRM input'!$L$125)*$L$7)-SUM($L695:AD695),(('PTRM input'!$L$159+'PTRM input'!$L$125)*$L$7)/A17taxstdlife))</f>
        <v>0</v>
      </c>
      <c r="AF695" s="590">
        <f>IF(A17taxstdlife="n/a","n/a",IF(AF$3&gt;(A17taxstdlife+$E695),(('PTRM input'!$L$159+'PTRM input'!$L$125)*$L$7)-SUM($L695:AE695),(('PTRM input'!$L$159+'PTRM input'!$L$125)*$L$7)/A17taxstdlife))</f>
        <v>0</v>
      </c>
      <c r="AG695" s="590">
        <f>IF(A17taxstdlife="n/a","n/a",IF(AG$3&gt;(A17taxstdlife+$E695),(('PTRM input'!$L$159+'PTRM input'!$L$125)*$L$7)-SUM($L695:AF695),(('PTRM input'!$L$159+'PTRM input'!$L$125)*$L$7)/A17taxstdlife))</f>
        <v>0</v>
      </c>
      <c r="AH695" s="590">
        <f>IF(A17taxstdlife="n/a","n/a",IF(AH$3&gt;(A17taxstdlife+$E695),(('PTRM input'!$L$159+'PTRM input'!$L$125)*$L$7)-SUM($L695:AG695),(('PTRM input'!$L$159+'PTRM input'!$L$125)*$L$7)/A17taxstdlife))</f>
        <v>0</v>
      </c>
      <c r="AI695" s="590">
        <f>IF(A17taxstdlife="n/a","n/a",IF(AI$3&gt;(A17taxstdlife+$E695),(('PTRM input'!$L$159+'PTRM input'!$L$125)*$L$7)-SUM($L695:AH695),(('PTRM input'!$L$159+'PTRM input'!$L$125)*$L$7)/A17taxstdlife))</f>
        <v>0</v>
      </c>
      <c r="AJ695" s="590">
        <f>IF(A17taxstdlife="n/a","n/a",IF(AJ$3&gt;(A17taxstdlife+$E695),(('PTRM input'!$L$159+'PTRM input'!$L$125)*$L$7)-SUM($L695:AI695),(('PTRM input'!$L$159+'PTRM input'!$L$125)*$L$7)/A17taxstdlife))</f>
        <v>0</v>
      </c>
      <c r="AK695" s="590">
        <f>IF(A17taxstdlife="n/a","n/a",IF(AK$3&gt;(A17taxstdlife+$E695),(('PTRM input'!$L$159+'PTRM input'!$L$125)*$L$7)-SUM($L695:AJ695),(('PTRM input'!$L$159+'PTRM input'!$L$125)*$L$7)/A17taxstdlife))</f>
        <v>0</v>
      </c>
      <c r="AL695" s="590">
        <f>IF(A17taxstdlife="n/a","n/a",IF(AL$3&gt;(A17taxstdlife+$E695),(('PTRM input'!$L$159+'PTRM input'!$L$125)*$L$7)-SUM($L695:AK695),(('PTRM input'!$L$159+'PTRM input'!$L$125)*$L$7)/A17taxstdlife))</f>
        <v>0</v>
      </c>
      <c r="AM695" s="590">
        <f>IF(A17taxstdlife="n/a","n/a",IF(AM$3&gt;(A17taxstdlife+$E695),(('PTRM input'!$L$159+'PTRM input'!$L$125)*$L$7)-SUM($L695:AL695),(('PTRM input'!$L$159+'PTRM input'!$L$125)*$L$7)/A17taxstdlife))</f>
        <v>0</v>
      </c>
      <c r="AN695" s="590">
        <f>IF(A17taxstdlife="n/a","n/a",IF(AN$3&gt;(A17taxstdlife+$E695),(('PTRM input'!$L$159+'PTRM input'!$L$125)*$L$7)-SUM($L695:AM695),(('PTRM input'!$L$159+'PTRM input'!$L$125)*$L$7)/A17taxstdlife))</f>
        <v>0</v>
      </c>
      <c r="AO695" s="590">
        <f>IF(A17taxstdlife="n/a","n/a",IF(AO$3&gt;(A17taxstdlife+$E695),(('PTRM input'!$L$159+'PTRM input'!$L$125)*$L$7)-SUM($L695:AN695),(('PTRM input'!$L$159+'PTRM input'!$L$125)*$L$7)/A17taxstdlife))</f>
        <v>0</v>
      </c>
      <c r="AP695" s="590">
        <f>IF(A17taxstdlife="n/a","n/a",IF(AP$3&gt;(A17taxstdlife+$E695),(('PTRM input'!$L$159+'PTRM input'!$L$125)*$L$7)-SUM($L695:AO695),(('PTRM input'!$L$159+'PTRM input'!$L$125)*$L$7)/A17taxstdlife))</f>
        <v>0</v>
      </c>
      <c r="AQ695" s="590">
        <f>IF(A17taxstdlife="n/a","n/a",IF(AQ$3&gt;(A17taxstdlife+$E695),(('PTRM input'!$L$159+'PTRM input'!$L$125)*$L$7)-SUM($L695:AP695),(('PTRM input'!$L$159+'PTRM input'!$L$125)*$L$7)/A17taxstdlife))</f>
        <v>0</v>
      </c>
      <c r="AR695" s="590">
        <f>IF(A17taxstdlife="n/a","n/a",IF(AR$3&gt;(A17taxstdlife+$E695),(('PTRM input'!$L$159+'PTRM input'!$L$125)*$L$7)-SUM($L695:AQ695),(('PTRM input'!$L$159+'PTRM input'!$L$125)*$L$7)/A17taxstdlife))</f>
        <v>0</v>
      </c>
      <c r="AS695" s="590">
        <f>IF(A17taxstdlife="n/a","n/a",IF(AS$3&gt;(A17taxstdlife+$E695),(('PTRM input'!$L$159+'PTRM input'!$L$125)*$L$7)-SUM($L695:AR695),(('PTRM input'!$L$159+'PTRM input'!$L$125)*$L$7)/A17taxstdlife))</f>
        <v>0</v>
      </c>
      <c r="AT695" s="590">
        <f>IF(A17taxstdlife="n/a","n/a",IF(AT$3&gt;(A17taxstdlife+$E695),(('PTRM input'!$L$159+'PTRM input'!$L$125)*$L$7)-SUM($L695:AS695),(('PTRM input'!$L$159+'PTRM input'!$L$125)*$L$7)/A17taxstdlife))</f>
        <v>0</v>
      </c>
      <c r="AU695" s="590">
        <f>IF(A17taxstdlife="n/a","n/a",IF(AU$3&gt;(A17taxstdlife+$E695),(('PTRM input'!$L$159+'PTRM input'!$L$125)*$L$7)-SUM($L695:AT695),(('PTRM input'!$L$159+'PTRM input'!$L$125)*$L$7)/A17taxstdlife))</f>
        <v>0</v>
      </c>
      <c r="AV695" s="590">
        <f>IF(A17taxstdlife="n/a","n/a",IF(AV$3&gt;(A17taxstdlife+$E695),(('PTRM input'!$L$159+'PTRM input'!$L$125)*$L$7)-SUM($L695:AU695),(('PTRM input'!$L$159+'PTRM input'!$L$125)*$L$7)/A17taxstdlife))</f>
        <v>0</v>
      </c>
      <c r="AW695" s="590">
        <f>IF(A17taxstdlife="n/a","n/a",IF(AW$3&gt;(A17taxstdlife+$E695),(('PTRM input'!$L$159+'PTRM input'!$L$125)*$L$7)-SUM($L695:AV695),(('PTRM input'!$L$159+'PTRM input'!$L$125)*$L$7)/A17taxstdlife))</f>
        <v>0</v>
      </c>
      <c r="AX695" s="590">
        <f>IF(A17taxstdlife="n/a","n/a",IF(AX$3&gt;(A17taxstdlife+$E695),(('PTRM input'!$L$159+'PTRM input'!$L$125)*$L$7)-SUM($L695:AW695),(('PTRM input'!$L$159+'PTRM input'!$L$125)*$L$7)/A17taxstdlife))</f>
        <v>0</v>
      </c>
      <c r="AY695" s="590">
        <f>IF(A17taxstdlife="n/a","n/a",IF(AY$3&gt;(A17taxstdlife+$E695),(('PTRM input'!$L$159+'PTRM input'!$L$125)*$L$7)-SUM($L695:AX695),(('PTRM input'!$L$159+'PTRM input'!$L$125)*$L$7)/A17taxstdlife))</f>
        <v>0</v>
      </c>
      <c r="AZ695" s="590">
        <f>IF(A17taxstdlife="n/a","n/a",IF(AZ$3&gt;(A17taxstdlife+$E695),(('PTRM input'!$L$159+'PTRM input'!$L$125)*$L$7)-SUM($L695:AY695),(('PTRM input'!$L$159+'PTRM input'!$L$125)*$L$7)/A17taxstdlife))</f>
        <v>0</v>
      </c>
      <c r="BA695" s="590">
        <f>IF(A17taxstdlife="n/a","n/a",IF(BA$3&gt;(A17taxstdlife+$E695),(('PTRM input'!$L$159+'PTRM input'!$L$125)*$L$7)-SUM($L695:AZ695),(('PTRM input'!$L$159+'PTRM input'!$L$125)*$L$7)/A17taxstdlife))</f>
        <v>0</v>
      </c>
      <c r="BB695" s="590">
        <f>IF(A17taxstdlife="n/a","n/a",IF(BB$3&gt;(A17taxstdlife+$E695),(('PTRM input'!$L$159+'PTRM input'!$L$125)*$L$7)-SUM($L695:BA695),(('PTRM input'!$L$159+'PTRM input'!$L$125)*$L$7)/A17taxstdlife))</f>
        <v>0</v>
      </c>
      <c r="BC695" s="590">
        <f>IF(A17taxstdlife="n/a","n/a",IF(BC$3&gt;(A17taxstdlife+$E695),(('PTRM input'!$L$159+'PTRM input'!$L$125)*$L$7)-SUM($L695:BB695),(('PTRM input'!$L$159+'PTRM input'!$L$125)*$L$7)/A17taxstdlife))</f>
        <v>0</v>
      </c>
      <c r="BD695" s="590">
        <f>IF(A17taxstdlife="n/a","n/a",IF(BD$3&gt;(A17taxstdlife+$E695),(('PTRM input'!$L$159+'PTRM input'!$L$125)*$L$7)-SUM($L695:BC695),(('PTRM input'!$L$159+'PTRM input'!$L$125)*$L$7)/A17taxstdlife))</f>
        <v>0</v>
      </c>
      <c r="BE695" s="590">
        <f>IF(A17taxstdlife="n/a","n/a",IF(BE$3&gt;(A17taxstdlife+$E695),(('PTRM input'!$L$159+'PTRM input'!$L$125)*$L$7)-SUM($L695:BD695),(('PTRM input'!$L$159+'PTRM input'!$L$125)*$L$7)/A17taxstdlife))</f>
        <v>0</v>
      </c>
      <c r="BF695" s="590">
        <f>IF(A17taxstdlife="n/a","n/a",IF(BF$3&gt;(A17taxstdlife+$E695),(('PTRM input'!$L$159+'PTRM input'!$L$125)*$L$7)-SUM($L695:BE695),(('PTRM input'!$L$159+'PTRM input'!$L$125)*$L$7)/A17taxstdlife))</f>
        <v>0</v>
      </c>
      <c r="BG695" s="590">
        <f>IF(A17taxstdlife="n/a","n/a",IF(BG$3&gt;(A17taxstdlife+$E695),(('PTRM input'!$L$159+'PTRM input'!$L$125)*$L$7)-SUM($L695:BF695),(('PTRM input'!$L$159+'PTRM input'!$L$125)*$L$7)/A17taxstdlife))</f>
        <v>0</v>
      </c>
      <c r="BH695" s="590">
        <f>IF(A17taxstdlife="n/a","n/a",IF(BH$3&gt;(A17taxstdlife+$E695),(('PTRM input'!$L$159+'PTRM input'!$L$125)*$L$7)-SUM($L695:BG695),(('PTRM input'!$L$159+'PTRM input'!$L$125)*$L$7)/A17taxstdlife))</f>
        <v>0</v>
      </c>
      <c r="BI695" s="590">
        <f>IF(A17taxstdlife="n/a","n/a",IF(BI$3&gt;(A17taxstdlife+$E695),(('PTRM input'!$L$159+'PTRM input'!$L$125)*$L$7)-SUM($L695:BH695),(('PTRM input'!$L$159+'PTRM input'!$L$125)*$L$7)/A17taxstdlife))</f>
        <v>0</v>
      </c>
      <c r="BJ695" s="240"/>
      <c r="BK695" s="240"/>
      <c r="BL695" s="240"/>
      <c r="BM695" s="240"/>
    </row>
    <row r="696" spans="1:65" s="4" customFormat="1" hidden="1" outlineLevel="2">
      <c r="A696" s="240"/>
      <c r="B696" s="240"/>
      <c r="C696" s="595"/>
      <c r="D696" s="1618"/>
      <c r="E696" s="169">
        <v>7</v>
      </c>
      <c r="F696" s="35"/>
      <c r="G696" s="184"/>
      <c r="H696" s="186"/>
      <c r="I696" s="186"/>
      <c r="J696" s="186"/>
      <c r="K696" s="186"/>
      <c r="L696" s="186"/>
      <c r="M696" s="185"/>
      <c r="N696" s="107">
        <f>IF(A17taxstdlife="n/a","n/a",IF(N$3&gt;(A17taxstdlife+$E696),(('PTRM input'!$M$159+'PTRM input'!$M$125)*$M$7)-SUM($M696:M696),(('PTRM input'!$M$159+'PTRM input'!$M$125)*$M$7)/A17taxstdlife))</f>
        <v>0</v>
      </c>
      <c r="O696" s="107">
        <f>IF(A17taxstdlife="n/a","n/a",IF(O$3&gt;(A17taxstdlife+$E696),(('PTRM input'!$M$159+'PTRM input'!$M$125)*$M$7)-SUM($M696:N696),(('PTRM input'!$M$159+'PTRM input'!$M$125)*$M$7)/A17taxstdlife))</f>
        <v>0</v>
      </c>
      <c r="P696" s="107">
        <f>IF(A17taxstdlife="n/a","n/a",IF(P$3&gt;(A17taxstdlife+$E696),(('PTRM input'!$M$159+'PTRM input'!$M$125)*$M$7)-SUM($M696:O696),(('PTRM input'!$M$159+'PTRM input'!$M$125)*$M$7)/A17taxstdlife))</f>
        <v>0</v>
      </c>
      <c r="Q696" s="590">
        <f>IF(A17taxstdlife="n/a","n/a",IF(Q$3&gt;(A17taxstdlife+$E696),(('PTRM input'!$M$159+'PTRM input'!$M$125)*$M$7)-SUM($M696:P696),(('PTRM input'!$M$159+'PTRM input'!$M$125)*$M$7)/A17taxstdlife))</f>
        <v>0</v>
      </c>
      <c r="R696" s="590">
        <f>IF(A17taxstdlife="n/a","n/a",IF(R$3&gt;(A17taxstdlife+$E696),(('PTRM input'!$M$159+'PTRM input'!$M$125)*$M$7)-SUM($M696:Q696),(('PTRM input'!$M$159+'PTRM input'!$M$125)*$M$7)/A17taxstdlife))</f>
        <v>0</v>
      </c>
      <c r="S696" s="590">
        <f>IF(A17taxstdlife="n/a","n/a",IF(S$3&gt;(A17taxstdlife+$E696),(('PTRM input'!$M$159+'PTRM input'!$M$125)*$M$7)-SUM($M696:R696),(('PTRM input'!$M$159+'PTRM input'!$M$125)*$M$7)/A17taxstdlife))</f>
        <v>0</v>
      </c>
      <c r="T696" s="590">
        <f>IF(A17taxstdlife="n/a","n/a",IF(T$3&gt;(A17taxstdlife+$E696),(('PTRM input'!$M$159+'PTRM input'!$M$125)*$M$7)-SUM($M696:S696),(('PTRM input'!$M$159+'PTRM input'!$M$125)*$M$7)/A17taxstdlife))</f>
        <v>0</v>
      </c>
      <c r="U696" s="590">
        <f>IF(A17taxstdlife="n/a","n/a",IF(U$3&gt;(A17taxstdlife+$E696),(('PTRM input'!$M$159+'PTRM input'!$M$125)*$M$7)-SUM($M696:T696),(('PTRM input'!$M$159+'PTRM input'!$M$125)*$M$7)/A17taxstdlife))</f>
        <v>0</v>
      </c>
      <c r="V696" s="590">
        <f>IF(A17taxstdlife="n/a","n/a",IF(V$3&gt;(A17taxstdlife+$E696),(('PTRM input'!$M$159+'PTRM input'!$M$125)*$M$7)-SUM($M696:U696),(('PTRM input'!$M$159+'PTRM input'!$M$125)*$M$7)/A17taxstdlife))</f>
        <v>0</v>
      </c>
      <c r="W696" s="590">
        <f>IF(A17taxstdlife="n/a","n/a",IF(W$3&gt;(A17taxstdlife+$E696),(('PTRM input'!$M$159+'PTRM input'!$M$125)*$M$7)-SUM($M696:V696),(('PTRM input'!$M$159+'PTRM input'!$M$125)*$M$7)/A17taxstdlife))</f>
        <v>0</v>
      </c>
      <c r="X696" s="590">
        <f>IF(A17taxstdlife="n/a","n/a",IF(X$3&gt;(A17taxstdlife+$E696),(('PTRM input'!$M$159+'PTRM input'!$M$125)*$M$7)-SUM($M696:W696),(('PTRM input'!$M$159+'PTRM input'!$M$125)*$M$7)/A17taxstdlife))</f>
        <v>0</v>
      </c>
      <c r="Y696" s="590">
        <f>IF(A17taxstdlife="n/a","n/a",IF(Y$3&gt;(A17taxstdlife+$E696),(('PTRM input'!$M$159+'PTRM input'!$M$125)*$M$7)-SUM($M696:X696),(('PTRM input'!$M$159+'PTRM input'!$M$125)*$M$7)/A17taxstdlife))</f>
        <v>0</v>
      </c>
      <c r="Z696" s="590">
        <f>IF(A17taxstdlife="n/a","n/a",IF(Z$3&gt;(A17taxstdlife+$E696),(('PTRM input'!$M$159+'PTRM input'!$M$125)*$M$7)-SUM($M696:Y696),(('PTRM input'!$M$159+'PTRM input'!$M$125)*$M$7)/A17taxstdlife))</f>
        <v>0</v>
      </c>
      <c r="AA696" s="590">
        <f>IF(A17taxstdlife="n/a","n/a",IF(AA$3&gt;(A17taxstdlife+$E696),(('PTRM input'!$M$159+'PTRM input'!$M$125)*$M$7)-SUM($M696:Z696),(('PTRM input'!$M$159+'PTRM input'!$M$125)*$M$7)/A17taxstdlife))</f>
        <v>0</v>
      </c>
      <c r="AB696" s="590">
        <f>IF(A17taxstdlife="n/a","n/a",IF(AB$3&gt;(A17taxstdlife+$E696),(('PTRM input'!$M$159+'PTRM input'!$M$125)*$M$7)-SUM($M696:AA696),(('PTRM input'!$M$159+'PTRM input'!$M$125)*$M$7)/A17taxstdlife))</f>
        <v>0</v>
      </c>
      <c r="AC696" s="590">
        <f>IF(A17taxstdlife="n/a","n/a",IF(AC$3&gt;(A17taxstdlife+$E696),(('PTRM input'!$M$159+'PTRM input'!$M$125)*$M$7)-SUM($M696:AB696),(('PTRM input'!$M$159+'PTRM input'!$M$125)*$M$7)/A17taxstdlife))</f>
        <v>0</v>
      </c>
      <c r="AD696" s="590">
        <f>IF(A17taxstdlife="n/a","n/a",IF(AD$3&gt;(A17taxstdlife+$E696),(('PTRM input'!$M$159+'PTRM input'!$M$125)*$M$7)-SUM($M696:AC696),(('PTRM input'!$M$159+'PTRM input'!$M$125)*$M$7)/A17taxstdlife))</f>
        <v>0</v>
      </c>
      <c r="AE696" s="590">
        <f>IF(A17taxstdlife="n/a","n/a",IF(AE$3&gt;(A17taxstdlife+$E696),(('PTRM input'!$M$159+'PTRM input'!$M$125)*$M$7)-SUM($M696:AD696),(('PTRM input'!$M$159+'PTRM input'!$M$125)*$M$7)/A17taxstdlife))</f>
        <v>0</v>
      </c>
      <c r="AF696" s="590">
        <f>IF(A17taxstdlife="n/a","n/a",IF(AF$3&gt;(A17taxstdlife+$E696),(('PTRM input'!$M$159+'PTRM input'!$M$125)*$M$7)-SUM($M696:AE696),(('PTRM input'!$M$159+'PTRM input'!$M$125)*$M$7)/A17taxstdlife))</f>
        <v>0</v>
      </c>
      <c r="AG696" s="590">
        <f>IF(A17taxstdlife="n/a","n/a",IF(AG$3&gt;(A17taxstdlife+$E696),(('PTRM input'!$M$159+'PTRM input'!$M$125)*$M$7)-SUM($M696:AF696),(('PTRM input'!$M$159+'PTRM input'!$M$125)*$M$7)/A17taxstdlife))</f>
        <v>0</v>
      </c>
      <c r="AH696" s="590">
        <f>IF(A17taxstdlife="n/a","n/a",IF(AH$3&gt;(A17taxstdlife+$E696),(('PTRM input'!$M$159+'PTRM input'!$M$125)*$M$7)-SUM($M696:AG696),(('PTRM input'!$M$159+'PTRM input'!$M$125)*$M$7)/A17taxstdlife))</f>
        <v>0</v>
      </c>
      <c r="AI696" s="590">
        <f>IF(A17taxstdlife="n/a","n/a",IF(AI$3&gt;(A17taxstdlife+$E696),(('PTRM input'!$M$159+'PTRM input'!$M$125)*$M$7)-SUM($M696:AH696),(('PTRM input'!$M$159+'PTRM input'!$M$125)*$M$7)/A17taxstdlife))</f>
        <v>0</v>
      </c>
      <c r="AJ696" s="590">
        <f>IF(A17taxstdlife="n/a","n/a",IF(AJ$3&gt;(A17taxstdlife+$E696),(('PTRM input'!$M$159+'PTRM input'!$M$125)*$M$7)-SUM($M696:AI696),(('PTRM input'!$M$159+'PTRM input'!$M$125)*$M$7)/A17taxstdlife))</f>
        <v>0</v>
      </c>
      <c r="AK696" s="590">
        <f>IF(A17taxstdlife="n/a","n/a",IF(AK$3&gt;(A17taxstdlife+$E696),(('PTRM input'!$M$159+'PTRM input'!$M$125)*$M$7)-SUM($M696:AJ696),(('PTRM input'!$M$159+'PTRM input'!$M$125)*$M$7)/A17taxstdlife))</f>
        <v>0</v>
      </c>
      <c r="AL696" s="590">
        <f>IF(A17taxstdlife="n/a","n/a",IF(AL$3&gt;(A17taxstdlife+$E696),(('PTRM input'!$M$159+'PTRM input'!$M$125)*$M$7)-SUM($M696:AK696),(('PTRM input'!$M$159+'PTRM input'!$M$125)*$M$7)/A17taxstdlife))</f>
        <v>0</v>
      </c>
      <c r="AM696" s="590">
        <f>IF(A17taxstdlife="n/a","n/a",IF(AM$3&gt;(A17taxstdlife+$E696),(('PTRM input'!$M$159+'PTRM input'!$M$125)*$M$7)-SUM($M696:AL696),(('PTRM input'!$M$159+'PTRM input'!$M$125)*$M$7)/A17taxstdlife))</f>
        <v>0</v>
      </c>
      <c r="AN696" s="590">
        <f>IF(A17taxstdlife="n/a","n/a",IF(AN$3&gt;(A17taxstdlife+$E696),(('PTRM input'!$M$159+'PTRM input'!$M$125)*$M$7)-SUM($M696:AM696),(('PTRM input'!$M$159+'PTRM input'!$M$125)*$M$7)/A17taxstdlife))</f>
        <v>0</v>
      </c>
      <c r="AO696" s="590">
        <f>IF(A17taxstdlife="n/a","n/a",IF(AO$3&gt;(A17taxstdlife+$E696),(('PTRM input'!$M$159+'PTRM input'!$M$125)*$M$7)-SUM($M696:AN696),(('PTRM input'!$M$159+'PTRM input'!$M$125)*$M$7)/A17taxstdlife))</f>
        <v>0</v>
      </c>
      <c r="AP696" s="590">
        <f>IF(A17taxstdlife="n/a","n/a",IF(AP$3&gt;(A17taxstdlife+$E696),(('PTRM input'!$M$159+'PTRM input'!$M$125)*$M$7)-SUM($M696:AO696),(('PTRM input'!$M$159+'PTRM input'!$M$125)*$M$7)/A17taxstdlife))</f>
        <v>0</v>
      </c>
      <c r="AQ696" s="590">
        <f>IF(A17taxstdlife="n/a","n/a",IF(AQ$3&gt;(A17taxstdlife+$E696),(('PTRM input'!$M$159+'PTRM input'!$M$125)*$M$7)-SUM($M696:AP696),(('PTRM input'!$M$159+'PTRM input'!$M$125)*$M$7)/A17taxstdlife))</f>
        <v>0</v>
      </c>
      <c r="AR696" s="590">
        <f>IF(A17taxstdlife="n/a","n/a",IF(AR$3&gt;(A17taxstdlife+$E696),(('PTRM input'!$M$159+'PTRM input'!$M$125)*$M$7)-SUM($M696:AQ696),(('PTRM input'!$M$159+'PTRM input'!$M$125)*$M$7)/A17taxstdlife))</f>
        <v>0</v>
      </c>
      <c r="AS696" s="590">
        <f>IF(A17taxstdlife="n/a","n/a",IF(AS$3&gt;(A17taxstdlife+$E696),(('PTRM input'!$M$159+'PTRM input'!$M$125)*$M$7)-SUM($M696:AR696),(('PTRM input'!$M$159+'PTRM input'!$M$125)*$M$7)/A17taxstdlife))</f>
        <v>0</v>
      </c>
      <c r="AT696" s="590">
        <f>IF(A17taxstdlife="n/a","n/a",IF(AT$3&gt;(A17taxstdlife+$E696),(('PTRM input'!$M$159+'PTRM input'!$M$125)*$M$7)-SUM($M696:AS696),(('PTRM input'!$M$159+'PTRM input'!$M$125)*$M$7)/A17taxstdlife))</f>
        <v>0</v>
      </c>
      <c r="AU696" s="590">
        <f>IF(A17taxstdlife="n/a","n/a",IF(AU$3&gt;(A17taxstdlife+$E696),(('PTRM input'!$M$159+'PTRM input'!$M$125)*$M$7)-SUM($M696:AT696),(('PTRM input'!$M$159+'PTRM input'!$M$125)*$M$7)/A17taxstdlife))</f>
        <v>0</v>
      </c>
      <c r="AV696" s="590">
        <f>IF(A17taxstdlife="n/a","n/a",IF(AV$3&gt;(A17taxstdlife+$E696),(('PTRM input'!$M$159+'PTRM input'!$M$125)*$M$7)-SUM($M696:AU696),(('PTRM input'!$M$159+'PTRM input'!$M$125)*$M$7)/A17taxstdlife))</f>
        <v>0</v>
      </c>
      <c r="AW696" s="590">
        <f>IF(A17taxstdlife="n/a","n/a",IF(AW$3&gt;(A17taxstdlife+$E696),(('PTRM input'!$M$159+'PTRM input'!$M$125)*$M$7)-SUM($M696:AV696),(('PTRM input'!$M$159+'PTRM input'!$M$125)*$M$7)/A17taxstdlife))</f>
        <v>0</v>
      </c>
      <c r="AX696" s="590">
        <f>IF(A17taxstdlife="n/a","n/a",IF(AX$3&gt;(A17taxstdlife+$E696),(('PTRM input'!$M$159+'PTRM input'!$M$125)*$M$7)-SUM($M696:AW696),(('PTRM input'!$M$159+'PTRM input'!$M$125)*$M$7)/A17taxstdlife))</f>
        <v>0</v>
      </c>
      <c r="AY696" s="590">
        <f>IF(A17taxstdlife="n/a","n/a",IF(AY$3&gt;(A17taxstdlife+$E696),(('PTRM input'!$M$159+'PTRM input'!$M$125)*$M$7)-SUM($M696:AX696),(('PTRM input'!$M$159+'PTRM input'!$M$125)*$M$7)/A17taxstdlife))</f>
        <v>0</v>
      </c>
      <c r="AZ696" s="590">
        <f>IF(A17taxstdlife="n/a","n/a",IF(AZ$3&gt;(A17taxstdlife+$E696),(('PTRM input'!$M$159+'PTRM input'!$M$125)*$M$7)-SUM($M696:AY696),(('PTRM input'!$M$159+'PTRM input'!$M$125)*$M$7)/A17taxstdlife))</f>
        <v>0</v>
      </c>
      <c r="BA696" s="590">
        <f>IF(A17taxstdlife="n/a","n/a",IF(BA$3&gt;(A17taxstdlife+$E696),(('PTRM input'!$M$159+'PTRM input'!$M$125)*$M$7)-SUM($M696:AZ696),(('PTRM input'!$M$159+'PTRM input'!$M$125)*$M$7)/A17taxstdlife))</f>
        <v>0</v>
      </c>
      <c r="BB696" s="590">
        <f>IF(A17taxstdlife="n/a","n/a",IF(BB$3&gt;(A17taxstdlife+$E696),(('PTRM input'!$M$159+'PTRM input'!$M$125)*$M$7)-SUM($M696:BA696),(('PTRM input'!$M$159+'PTRM input'!$M$125)*$M$7)/A17taxstdlife))</f>
        <v>0</v>
      </c>
      <c r="BC696" s="590">
        <f>IF(A17taxstdlife="n/a","n/a",IF(BC$3&gt;(A17taxstdlife+$E696),(('PTRM input'!$M$159+'PTRM input'!$M$125)*$M$7)-SUM($M696:BB696),(('PTRM input'!$M$159+'PTRM input'!$M$125)*$M$7)/A17taxstdlife))</f>
        <v>0</v>
      </c>
      <c r="BD696" s="590">
        <f>IF(A17taxstdlife="n/a","n/a",IF(BD$3&gt;(A17taxstdlife+$E696),(('PTRM input'!$M$159+'PTRM input'!$M$125)*$M$7)-SUM($M696:BC696),(('PTRM input'!$M$159+'PTRM input'!$M$125)*$M$7)/A17taxstdlife))</f>
        <v>0</v>
      </c>
      <c r="BE696" s="590">
        <f>IF(A17taxstdlife="n/a","n/a",IF(BE$3&gt;(A17taxstdlife+$E696),(('PTRM input'!$M$159+'PTRM input'!$M$125)*$M$7)-SUM($M696:BD696),(('PTRM input'!$M$159+'PTRM input'!$M$125)*$M$7)/A17taxstdlife))</f>
        <v>0</v>
      </c>
      <c r="BF696" s="590">
        <f>IF(A17taxstdlife="n/a","n/a",IF(BF$3&gt;(A17taxstdlife+$E696),(('PTRM input'!$M$159+'PTRM input'!$M$125)*$M$7)-SUM($M696:BE696),(('PTRM input'!$M$159+'PTRM input'!$M$125)*$M$7)/A17taxstdlife))</f>
        <v>0</v>
      </c>
      <c r="BG696" s="590">
        <f>IF(A17taxstdlife="n/a","n/a",IF(BG$3&gt;(A17taxstdlife+$E696),(('PTRM input'!$M$159+'PTRM input'!$M$125)*$M$7)-SUM($M696:BF696),(('PTRM input'!$M$159+'PTRM input'!$M$125)*$M$7)/A17taxstdlife))</f>
        <v>0</v>
      </c>
      <c r="BH696" s="590">
        <f>IF(A17taxstdlife="n/a","n/a",IF(BH$3&gt;(A17taxstdlife+$E696),(('PTRM input'!$M$159+'PTRM input'!$M$125)*$M$7)-SUM($M696:BG696),(('PTRM input'!$M$159+'PTRM input'!$M$125)*$M$7)/A17taxstdlife))</f>
        <v>0</v>
      </c>
      <c r="BI696" s="590">
        <f>IF(A17taxstdlife="n/a","n/a",IF(BI$3&gt;(A17taxstdlife+$E696),(('PTRM input'!$M$159+'PTRM input'!$M$125)*$M$7)-SUM($M696:BH696),(('PTRM input'!$M$159+'PTRM input'!$M$125)*$M$7)/A17taxstdlife))</f>
        <v>0</v>
      </c>
      <c r="BJ696" s="240"/>
      <c r="BK696" s="240"/>
      <c r="BL696" s="240"/>
      <c r="BM696" s="240"/>
    </row>
    <row r="697" spans="1:65" s="4" customFormat="1" hidden="1" outlineLevel="2">
      <c r="A697" s="240"/>
      <c r="B697" s="240"/>
      <c r="C697" s="595"/>
      <c r="D697" s="1618"/>
      <c r="E697" s="169">
        <v>8</v>
      </c>
      <c r="F697" s="35"/>
      <c r="G697" s="184"/>
      <c r="H697" s="186"/>
      <c r="I697" s="186"/>
      <c r="J697" s="186"/>
      <c r="K697" s="186"/>
      <c r="L697" s="186"/>
      <c r="M697" s="186"/>
      <c r="N697" s="185"/>
      <c r="O697" s="107">
        <f>IF(A17taxstdlife="n/a","n/a",IF(O$3&gt;(A17taxstdlife+$E697),(('PTRM input'!$N$159+'PTRM input'!$N$125)*$N$7)-SUM($N697:N697),(('PTRM input'!$N$159+'PTRM input'!$N$125)*$N$7)/A17taxstdlife))</f>
        <v>0</v>
      </c>
      <c r="P697" s="107">
        <f>IF(A17taxstdlife="n/a","n/a",IF(P$3&gt;(A17taxstdlife+$E697),(('PTRM input'!$N$159+'PTRM input'!$N$125)*$N$7)-SUM($N697:O697),(('PTRM input'!$N$159+'PTRM input'!$N$125)*$N$7)/A17taxstdlife))</f>
        <v>0</v>
      </c>
      <c r="Q697" s="590">
        <f>IF(A17taxstdlife="n/a","n/a",IF(Q$3&gt;(A17taxstdlife+$E697),(('PTRM input'!$N$159+'PTRM input'!$N$125)*$N$7)-SUM($N697:P697),(('PTRM input'!$N$159+'PTRM input'!$N$125)*$N$7)/A17taxstdlife))</f>
        <v>0</v>
      </c>
      <c r="R697" s="590">
        <f>IF(A17taxstdlife="n/a","n/a",IF(R$3&gt;(A17taxstdlife+$E697),(('PTRM input'!$N$159+'PTRM input'!$N$125)*$N$7)-SUM($N697:Q697),(('PTRM input'!$N$159+'PTRM input'!$N$125)*$N$7)/A17taxstdlife))</f>
        <v>0</v>
      </c>
      <c r="S697" s="590">
        <f>IF(A17taxstdlife="n/a","n/a",IF(S$3&gt;(A17taxstdlife+$E697),(('PTRM input'!$N$159+'PTRM input'!$N$125)*$N$7)-SUM($N697:R697),(('PTRM input'!$N$159+'PTRM input'!$N$125)*$N$7)/A17taxstdlife))</f>
        <v>0</v>
      </c>
      <c r="T697" s="590">
        <f>IF(A17taxstdlife="n/a","n/a",IF(T$3&gt;(A17taxstdlife+$E697),(('PTRM input'!$N$159+'PTRM input'!$N$125)*$N$7)-SUM($N697:S697),(('PTRM input'!$N$159+'PTRM input'!$N$125)*$N$7)/A17taxstdlife))</f>
        <v>0</v>
      </c>
      <c r="U697" s="590">
        <f>IF(A17taxstdlife="n/a","n/a",IF(U$3&gt;(A17taxstdlife+$E697),(('PTRM input'!$N$159+'PTRM input'!$N$125)*$N$7)-SUM($N697:T697),(('PTRM input'!$N$159+'PTRM input'!$N$125)*$N$7)/A17taxstdlife))</f>
        <v>0</v>
      </c>
      <c r="V697" s="590">
        <f>IF(A17taxstdlife="n/a","n/a",IF(V$3&gt;(A17taxstdlife+$E697),(('PTRM input'!$N$159+'PTRM input'!$N$125)*$N$7)-SUM($N697:U697),(('PTRM input'!$N$159+'PTRM input'!$N$125)*$N$7)/A17taxstdlife))</f>
        <v>0</v>
      </c>
      <c r="W697" s="590">
        <f>IF(A17taxstdlife="n/a","n/a",IF(W$3&gt;(A17taxstdlife+$E697),(('PTRM input'!$N$159+'PTRM input'!$N$125)*$N$7)-SUM($N697:V697),(('PTRM input'!$N$159+'PTRM input'!$N$125)*$N$7)/A17taxstdlife))</f>
        <v>0</v>
      </c>
      <c r="X697" s="590">
        <f>IF(A17taxstdlife="n/a","n/a",IF(X$3&gt;(A17taxstdlife+$E697),(('PTRM input'!$N$159+'PTRM input'!$N$125)*$N$7)-SUM($N697:W697),(('PTRM input'!$N$159+'PTRM input'!$N$125)*$N$7)/A17taxstdlife))</f>
        <v>0</v>
      </c>
      <c r="Y697" s="590">
        <f>IF(A17taxstdlife="n/a","n/a",IF(Y$3&gt;(A17taxstdlife+$E697),(('PTRM input'!$N$159+'PTRM input'!$N$125)*$N$7)-SUM($N697:X697),(('PTRM input'!$N$159+'PTRM input'!$N$125)*$N$7)/A17taxstdlife))</f>
        <v>0</v>
      </c>
      <c r="Z697" s="590">
        <f>IF(A17taxstdlife="n/a","n/a",IF(Z$3&gt;(A17taxstdlife+$E697),(('PTRM input'!$N$159+'PTRM input'!$N$125)*$N$7)-SUM($N697:Y697),(('PTRM input'!$N$159+'PTRM input'!$N$125)*$N$7)/A17taxstdlife))</f>
        <v>0</v>
      </c>
      <c r="AA697" s="590">
        <f>IF(A17taxstdlife="n/a","n/a",IF(AA$3&gt;(A17taxstdlife+$E697),(('PTRM input'!$N$159+'PTRM input'!$N$125)*$N$7)-SUM($N697:Z697),(('PTRM input'!$N$159+'PTRM input'!$N$125)*$N$7)/A17taxstdlife))</f>
        <v>0</v>
      </c>
      <c r="AB697" s="590">
        <f>IF(A17taxstdlife="n/a","n/a",IF(AB$3&gt;(A17taxstdlife+$E697),(('PTRM input'!$N$159+'PTRM input'!$N$125)*$N$7)-SUM($N697:AA697),(('PTRM input'!$N$159+'PTRM input'!$N$125)*$N$7)/A17taxstdlife))</f>
        <v>0</v>
      </c>
      <c r="AC697" s="590">
        <f>IF(A17taxstdlife="n/a","n/a",IF(AC$3&gt;(A17taxstdlife+$E697),(('PTRM input'!$N$159+'PTRM input'!$N$125)*$N$7)-SUM($N697:AB697),(('PTRM input'!$N$159+'PTRM input'!$N$125)*$N$7)/A17taxstdlife))</f>
        <v>0</v>
      </c>
      <c r="AD697" s="590">
        <f>IF(A17taxstdlife="n/a","n/a",IF(AD$3&gt;(A17taxstdlife+$E697),(('PTRM input'!$N$159+'PTRM input'!$N$125)*$N$7)-SUM($N697:AC697),(('PTRM input'!$N$159+'PTRM input'!$N$125)*$N$7)/A17taxstdlife))</f>
        <v>0</v>
      </c>
      <c r="AE697" s="590">
        <f>IF(A17taxstdlife="n/a","n/a",IF(AE$3&gt;(A17taxstdlife+$E697),(('PTRM input'!$N$159+'PTRM input'!$N$125)*$N$7)-SUM($N697:AD697),(('PTRM input'!$N$159+'PTRM input'!$N$125)*$N$7)/A17taxstdlife))</f>
        <v>0</v>
      </c>
      <c r="AF697" s="590">
        <f>IF(A17taxstdlife="n/a","n/a",IF(AF$3&gt;(A17taxstdlife+$E697),(('PTRM input'!$N$159+'PTRM input'!$N$125)*$N$7)-SUM($N697:AE697),(('PTRM input'!$N$159+'PTRM input'!$N$125)*$N$7)/A17taxstdlife))</f>
        <v>0</v>
      </c>
      <c r="AG697" s="590">
        <f>IF(A17taxstdlife="n/a","n/a",IF(AG$3&gt;(A17taxstdlife+$E697),(('PTRM input'!$N$159+'PTRM input'!$N$125)*$N$7)-SUM($N697:AF697),(('PTRM input'!$N$159+'PTRM input'!$N$125)*$N$7)/A17taxstdlife))</f>
        <v>0</v>
      </c>
      <c r="AH697" s="590">
        <f>IF(A17taxstdlife="n/a","n/a",IF(AH$3&gt;(A17taxstdlife+$E697),(('PTRM input'!$N$159+'PTRM input'!$N$125)*$N$7)-SUM($N697:AG697),(('PTRM input'!$N$159+'PTRM input'!$N$125)*$N$7)/A17taxstdlife))</f>
        <v>0</v>
      </c>
      <c r="AI697" s="590">
        <f>IF(A17taxstdlife="n/a","n/a",IF(AI$3&gt;(A17taxstdlife+$E697),(('PTRM input'!$N$159+'PTRM input'!$N$125)*$N$7)-SUM($N697:AH697),(('PTRM input'!$N$159+'PTRM input'!$N$125)*$N$7)/A17taxstdlife))</f>
        <v>0</v>
      </c>
      <c r="AJ697" s="590">
        <f>IF(A17taxstdlife="n/a","n/a",IF(AJ$3&gt;(A17taxstdlife+$E697),(('PTRM input'!$N$159+'PTRM input'!$N$125)*$N$7)-SUM($N697:AI697),(('PTRM input'!$N$159+'PTRM input'!$N$125)*$N$7)/A17taxstdlife))</f>
        <v>0</v>
      </c>
      <c r="AK697" s="590">
        <f>IF(A17taxstdlife="n/a","n/a",IF(AK$3&gt;(A17taxstdlife+$E697),(('PTRM input'!$N$159+'PTRM input'!$N$125)*$N$7)-SUM($N697:AJ697),(('PTRM input'!$N$159+'PTRM input'!$N$125)*$N$7)/A17taxstdlife))</f>
        <v>0</v>
      </c>
      <c r="AL697" s="590">
        <f>IF(A17taxstdlife="n/a","n/a",IF(AL$3&gt;(A17taxstdlife+$E697),(('PTRM input'!$N$159+'PTRM input'!$N$125)*$N$7)-SUM($N697:AK697),(('PTRM input'!$N$159+'PTRM input'!$N$125)*$N$7)/A17taxstdlife))</f>
        <v>0</v>
      </c>
      <c r="AM697" s="590">
        <f>IF(A17taxstdlife="n/a","n/a",IF(AM$3&gt;(A17taxstdlife+$E697),(('PTRM input'!$N$159+'PTRM input'!$N$125)*$N$7)-SUM($N697:AL697),(('PTRM input'!$N$159+'PTRM input'!$N$125)*$N$7)/A17taxstdlife))</f>
        <v>0</v>
      </c>
      <c r="AN697" s="590">
        <f>IF(A17taxstdlife="n/a","n/a",IF(AN$3&gt;(A17taxstdlife+$E697),(('PTRM input'!$N$159+'PTRM input'!$N$125)*$N$7)-SUM($N697:AM697),(('PTRM input'!$N$159+'PTRM input'!$N$125)*$N$7)/A17taxstdlife))</f>
        <v>0</v>
      </c>
      <c r="AO697" s="590">
        <f>IF(A17taxstdlife="n/a","n/a",IF(AO$3&gt;(A17taxstdlife+$E697),(('PTRM input'!$N$159+'PTRM input'!$N$125)*$N$7)-SUM($N697:AN697),(('PTRM input'!$N$159+'PTRM input'!$N$125)*$N$7)/A17taxstdlife))</f>
        <v>0</v>
      </c>
      <c r="AP697" s="590">
        <f>IF(A17taxstdlife="n/a","n/a",IF(AP$3&gt;(A17taxstdlife+$E697),(('PTRM input'!$N$159+'PTRM input'!$N$125)*$N$7)-SUM($N697:AO697),(('PTRM input'!$N$159+'PTRM input'!$N$125)*$N$7)/A17taxstdlife))</f>
        <v>0</v>
      </c>
      <c r="AQ697" s="590">
        <f>IF(A17taxstdlife="n/a","n/a",IF(AQ$3&gt;(A17taxstdlife+$E697),(('PTRM input'!$N$159+'PTRM input'!$N$125)*$N$7)-SUM($N697:AP697),(('PTRM input'!$N$159+'PTRM input'!$N$125)*$N$7)/A17taxstdlife))</f>
        <v>0</v>
      </c>
      <c r="AR697" s="590">
        <f>IF(A17taxstdlife="n/a","n/a",IF(AR$3&gt;(A17taxstdlife+$E697),(('PTRM input'!$N$159+'PTRM input'!$N$125)*$N$7)-SUM($N697:AQ697),(('PTRM input'!$N$159+'PTRM input'!$N$125)*$N$7)/A17taxstdlife))</f>
        <v>0</v>
      </c>
      <c r="AS697" s="590">
        <f>IF(A17taxstdlife="n/a","n/a",IF(AS$3&gt;(A17taxstdlife+$E697),(('PTRM input'!$N$159+'PTRM input'!$N$125)*$N$7)-SUM($N697:AR697),(('PTRM input'!$N$159+'PTRM input'!$N$125)*$N$7)/A17taxstdlife))</f>
        <v>0</v>
      </c>
      <c r="AT697" s="590">
        <f>IF(A17taxstdlife="n/a","n/a",IF(AT$3&gt;(A17taxstdlife+$E697),(('PTRM input'!$N$159+'PTRM input'!$N$125)*$N$7)-SUM($N697:AS697),(('PTRM input'!$N$159+'PTRM input'!$N$125)*$N$7)/A17taxstdlife))</f>
        <v>0</v>
      </c>
      <c r="AU697" s="590">
        <f>IF(A17taxstdlife="n/a","n/a",IF(AU$3&gt;(A17taxstdlife+$E697),(('PTRM input'!$N$159+'PTRM input'!$N$125)*$N$7)-SUM($N697:AT697),(('PTRM input'!$N$159+'PTRM input'!$N$125)*$N$7)/A17taxstdlife))</f>
        <v>0</v>
      </c>
      <c r="AV697" s="590">
        <f>IF(A17taxstdlife="n/a","n/a",IF(AV$3&gt;(A17taxstdlife+$E697),(('PTRM input'!$N$159+'PTRM input'!$N$125)*$N$7)-SUM($N697:AU697),(('PTRM input'!$N$159+'PTRM input'!$N$125)*$N$7)/A17taxstdlife))</f>
        <v>0</v>
      </c>
      <c r="AW697" s="590">
        <f>IF(A17taxstdlife="n/a","n/a",IF(AW$3&gt;(A17taxstdlife+$E697),(('PTRM input'!$N$159+'PTRM input'!$N$125)*$N$7)-SUM($N697:AV697),(('PTRM input'!$N$159+'PTRM input'!$N$125)*$N$7)/A17taxstdlife))</f>
        <v>0</v>
      </c>
      <c r="AX697" s="590">
        <f>IF(A17taxstdlife="n/a","n/a",IF(AX$3&gt;(A17taxstdlife+$E697),(('PTRM input'!$N$159+'PTRM input'!$N$125)*$N$7)-SUM($N697:AW697),(('PTRM input'!$N$159+'PTRM input'!$N$125)*$N$7)/A17taxstdlife))</f>
        <v>0</v>
      </c>
      <c r="AY697" s="590">
        <f>IF(A17taxstdlife="n/a","n/a",IF(AY$3&gt;(A17taxstdlife+$E697),(('PTRM input'!$N$159+'PTRM input'!$N$125)*$N$7)-SUM($N697:AX697),(('PTRM input'!$N$159+'PTRM input'!$N$125)*$N$7)/A17taxstdlife))</f>
        <v>0</v>
      </c>
      <c r="AZ697" s="590">
        <f>IF(A17taxstdlife="n/a","n/a",IF(AZ$3&gt;(A17taxstdlife+$E697),(('PTRM input'!$N$159+'PTRM input'!$N$125)*$N$7)-SUM($N697:AY697),(('PTRM input'!$N$159+'PTRM input'!$N$125)*$N$7)/A17taxstdlife))</f>
        <v>0</v>
      </c>
      <c r="BA697" s="590">
        <f>IF(A17taxstdlife="n/a","n/a",IF(BA$3&gt;(A17taxstdlife+$E697),(('PTRM input'!$N$159+'PTRM input'!$N$125)*$N$7)-SUM($N697:AZ697),(('PTRM input'!$N$159+'PTRM input'!$N$125)*$N$7)/A17taxstdlife))</f>
        <v>0</v>
      </c>
      <c r="BB697" s="590">
        <f>IF(A17taxstdlife="n/a","n/a",IF(BB$3&gt;(A17taxstdlife+$E697),(('PTRM input'!$N$159+'PTRM input'!$N$125)*$N$7)-SUM($N697:BA697),(('PTRM input'!$N$159+'PTRM input'!$N$125)*$N$7)/A17taxstdlife))</f>
        <v>0</v>
      </c>
      <c r="BC697" s="590">
        <f>IF(A17taxstdlife="n/a","n/a",IF(BC$3&gt;(A17taxstdlife+$E697),(('PTRM input'!$N$159+'PTRM input'!$N$125)*$N$7)-SUM($N697:BB697),(('PTRM input'!$N$159+'PTRM input'!$N$125)*$N$7)/A17taxstdlife))</f>
        <v>0</v>
      </c>
      <c r="BD697" s="590">
        <f>IF(A17taxstdlife="n/a","n/a",IF(BD$3&gt;(A17taxstdlife+$E697),(('PTRM input'!$N$159+'PTRM input'!$N$125)*$N$7)-SUM($N697:BC697),(('PTRM input'!$N$159+'PTRM input'!$N$125)*$N$7)/A17taxstdlife))</f>
        <v>0</v>
      </c>
      <c r="BE697" s="590">
        <f>IF(A17taxstdlife="n/a","n/a",IF(BE$3&gt;(A17taxstdlife+$E697),(('PTRM input'!$N$159+'PTRM input'!$N$125)*$N$7)-SUM($N697:BD697),(('PTRM input'!$N$159+'PTRM input'!$N$125)*$N$7)/A17taxstdlife))</f>
        <v>0</v>
      </c>
      <c r="BF697" s="590">
        <f>IF(A17taxstdlife="n/a","n/a",IF(BF$3&gt;(A17taxstdlife+$E697),(('PTRM input'!$N$159+'PTRM input'!$N$125)*$N$7)-SUM($N697:BE697),(('PTRM input'!$N$159+'PTRM input'!$N$125)*$N$7)/A17taxstdlife))</f>
        <v>0</v>
      </c>
      <c r="BG697" s="590">
        <f>IF(A17taxstdlife="n/a","n/a",IF(BG$3&gt;(A17taxstdlife+$E697),(('PTRM input'!$N$159+'PTRM input'!$N$125)*$N$7)-SUM($N697:BF697),(('PTRM input'!$N$159+'PTRM input'!$N$125)*$N$7)/A17taxstdlife))</f>
        <v>0</v>
      </c>
      <c r="BH697" s="590">
        <f>IF(A17taxstdlife="n/a","n/a",IF(BH$3&gt;(A17taxstdlife+$E697),(('PTRM input'!$N$159+'PTRM input'!$N$125)*$N$7)-SUM($N697:BG697),(('PTRM input'!$N$159+'PTRM input'!$N$125)*$N$7)/A17taxstdlife))</f>
        <v>0</v>
      </c>
      <c r="BI697" s="590">
        <f>IF(A17taxstdlife="n/a","n/a",IF(BI$3&gt;(A17taxstdlife+$E697),(('PTRM input'!$N$159+'PTRM input'!$N$125)*$N$7)-SUM($N697:BH697),(('PTRM input'!$N$159+'PTRM input'!$N$125)*$N$7)/A17taxstdlife))</f>
        <v>0</v>
      </c>
      <c r="BJ697" s="240"/>
      <c r="BK697" s="240"/>
      <c r="BL697" s="240"/>
      <c r="BM697" s="240"/>
    </row>
    <row r="698" spans="1:65" s="4" customFormat="1" hidden="1" outlineLevel="2">
      <c r="A698" s="240"/>
      <c r="B698" s="240"/>
      <c r="C698" s="595"/>
      <c r="D698" s="1618"/>
      <c r="E698" s="169">
        <v>9</v>
      </c>
      <c r="F698" s="35"/>
      <c r="G698" s="184"/>
      <c r="H698" s="186"/>
      <c r="I698" s="186"/>
      <c r="J698" s="186"/>
      <c r="K698" s="186"/>
      <c r="L698" s="186"/>
      <c r="M698" s="186"/>
      <c r="N698" s="186"/>
      <c r="O698" s="185"/>
      <c r="P698" s="107">
        <f>IF(A17taxstdlife="n/a","n/a",IF(P$3&gt;(A17taxstdlife+$E698),(('PTRM input'!$O$159+'PTRM input'!$O$125)*$O$7)-SUM($O698:O698),(('PTRM input'!$O$159+'PTRM input'!$O$125)*$O$7)/A17taxstdlife))</f>
        <v>0</v>
      </c>
      <c r="Q698" s="590">
        <f>IF(A17taxstdlife="n/a","n/a",IF(Q$3&gt;(A17taxstdlife+$E698),(('PTRM input'!$O$159+'PTRM input'!$O$125)*$O$7)-SUM($O698:P698),(('PTRM input'!$O$159+'PTRM input'!$O$125)*$O$7)/A17taxstdlife))</f>
        <v>0</v>
      </c>
      <c r="R698" s="590">
        <f>IF(A17taxstdlife="n/a","n/a",IF(R$3&gt;(A17taxstdlife+$E698),(('PTRM input'!$O$159+'PTRM input'!$O$125)*$O$7)-SUM($O698:Q698),(('PTRM input'!$O$159+'PTRM input'!$O$125)*$O$7)/A17taxstdlife))</f>
        <v>0</v>
      </c>
      <c r="S698" s="590">
        <f>IF(A17taxstdlife="n/a","n/a",IF(S$3&gt;(A17taxstdlife+$E698),(('PTRM input'!$O$159+'PTRM input'!$O$125)*$O$7)-SUM($O698:R698),(('PTRM input'!$O$159+'PTRM input'!$O$125)*$O$7)/A17taxstdlife))</f>
        <v>0</v>
      </c>
      <c r="T698" s="590">
        <f>IF(A17taxstdlife="n/a","n/a",IF(T$3&gt;(A17taxstdlife+$E698),(('PTRM input'!$O$159+'PTRM input'!$O$125)*$O$7)-SUM($O698:S698),(('PTRM input'!$O$159+'PTRM input'!$O$125)*$O$7)/A17taxstdlife))</f>
        <v>0</v>
      </c>
      <c r="U698" s="590">
        <f>IF(A17taxstdlife="n/a","n/a",IF(U$3&gt;(A17taxstdlife+$E698),(('PTRM input'!$O$159+'PTRM input'!$O$125)*$O$7)-SUM($O698:T698),(('PTRM input'!$O$159+'PTRM input'!$O$125)*$O$7)/A17taxstdlife))</f>
        <v>0</v>
      </c>
      <c r="V698" s="590">
        <f>IF(A17taxstdlife="n/a","n/a",IF(V$3&gt;(A17taxstdlife+$E698),(('PTRM input'!$O$159+'PTRM input'!$O$125)*$O$7)-SUM($O698:U698),(('PTRM input'!$O$159+'PTRM input'!$O$125)*$O$7)/A17taxstdlife))</f>
        <v>0</v>
      </c>
      <c r="W698" s="590">
        <f>IF(A17taxstdlife="n/a","n/a",IF(W$3&gt;(A17taxstdlife+$E698),(('PTRM input'!$O$159+'PTRM input'!$O$125)*$O$7)-SUM($O698:V698),(('PTRM input'!$O$159+'PTRM input'!$O$125)*$O$7)/A17taxstdlife))</f>
        <v>0</v>
      </c>
      <c r="X698" s="590">
        <f>IF(A17taxstdlife="n/a","n/a",IF(X$3&gt;(A17taxstdlife+$E698),(('PTRM input'!$O$159+'PTRM input'!$O$125)*$O$7)-SUM($O698:W698),(('PTRM input'!$O$159+'PTRM input'!$O$125)*$O$7)/A17taxstdlife))</f>
        <v>0</v>
      </c>
      <c r="Y698" s="590">
        <f>IF(A17taxstdlife="n/a","n/a",IF(Y$3&gt;(A17taxstdlife+$E698),(('PTRM input'!$O$159+'PTRM input'!$O$125)*$O$7)-SUM($O698:X698),(('PTRM input'!$O$159+'PTRM input'!$O$125)*$O$7)/A17taxstdlife))</f>
        <v>0</v>
      </c>
      <c r="Z698" s="590">
        <f>IF(A17taxstdlife="n/a","n/a",IF(Z$3&gt;(A17taxstdlife+$E698),(('PTRM input'!$O$159+'PTRM input'!$O$125)*$O$7)-SUM($O698:Y698),(('PTRM input'!$O$159+'PTRM input'!$O$125)*$O$7)/A17taxstdlife))</f>
        <v>0</v>
      </c>
      <c r="AA698" s="590">
        <f>IF(A17taxstdlife="n/a","n/a",IF(AA$3&gt;(A17taxstdlife+$E698),(('PTRM input'!$O$159+'PTRM input'!$O$125)*$O$7)-SUM($O698:Z698),(('PTRM input'!$O$159+'PTRM input'!$O$125)*$O$7)/A17taxstdlife))</f>
        <v>0</v>
      </c>
      <c r="AB698" s="590">
        <f>IF(A17taxstdlife="n/a","n/a",IF(AB$3&gt;(A17taxstdlife+$E698),(('PTRM input'!$O$159+'PTRM input'!$O$125)*$O$7)-SUM($O698:AA698),(('PTRM input'!$O$159+'PTRM input'!$O$125)*$O$7)/A17taxstdlife))</f>
        <v>0</v>
      </c>
      <c r="AC698" s="590">
        <f>IF(A17taxstdlife="n/a","n/a",IF(AC$3&gt;(A17taxstdlife+$E698),(('PTRM input'!$O$159+'PTRM input'!$O$125)*$O$7)-SUM($O698:AB698),(('PTRM input'!$O$159+'PTRM input'!$O$125)*$O$7)/A17taxstdlife))</f>
        <v>0</v>
      </c>
      <c r="AD698" s="590">
        <f>IF(A17taxstdlife="n/a","n/a",IF(AD$3&gt;(A17taxstdlife+$E698),(('PTRM input'!$O$159+'PTRM input'!$O$125)*$O$7)-SUM($O698:AC698),(('PTRM input'!$O$159+'PTRM input'!$O$125)*$O$7)/A17taxstdlife))</f>
        <v>0</v>
      </c>
      <c r="AE698" s="590">
        <f>IF(A17taxstdlife="n/a","n/a",IF(AE$3&gt;(A17taxstdlife+$E698),(('PTRM input'!$O$159+'PTRM input'!$O$125)*$O$7)-SUM($O698:AD698),(('PTRM input'!$O$159+'PTRM input'!$O$125)*$O$7)/A17taxstdlife))</f>
        <v>0</v>
      </c>
      <c r="AF698" s="590">
        <f>IF(A17taxstdlife="n/a","n/a",IF(AF$3&gt;(A17taxstdlife+$E698),(('PTRM input'!$O$159+'PTRM input'!$O$125)*$O$7)-SUM($O698:AE698),(('PTRM input'!$O$159+'PTRM input'!$O$125)*$O$7)/A17taxstdlife))</f>
        <v>0</v>
      </c>
      <c r="AG698" s="590">
        <f>IF(A17taxstdlife="n/a","n/a",IF(AG$3&gt;(A17taxstdlife+$E698),(('PTRM input'!$O$159+'PTRM input'!$O$125)*$O$7)-SUM($O698:AF698),(('PTRM input'!$O$159+'PTRM input'!$O$125)*$O$7)/A17taxstdlife))</f>
        <v>0</v>
      </c>
      <c r="AH698" s="590">
        <f>IF(A17taxstdlife="n/a","n/a",IF(AH$3&gt;(A17taxstdlife+$E698),(('PTRM input'!$O$159+'PTRM input'!$O$125)*$O$7)-SUM($O698:AG698),(('PTRM input'!$O$159+'PTRM input'!$O$125)*$O$7)/A17taxstdlife))</f>
        <v>0</v>
      </c>
      <c r="AI698" s="590">
        <f>IF(A17taxstdlife="n/a","n/a",IF(AI$3&gt;(A17taxstdlife+$E698),(('PTRM input'!$O$159+'PTRM input'!$O$125)*$O$7)-SUM($O698:AH698),(('PTRM input'!$O$159+'PTRM input'!$O$125)*$O$7)/A17taxstdlife))</f>
        <v>0</v>
      </c>
      <c r="AJ698" s="590">
        <f>IF(A17taxstdlife="n/a","n/a",IF(AJ$3&gt;(A17taxstdlife+$E698),(('PTRM input'!$O$159+'PTRM input'!$O$125)*$O$7)-SUM($O698:AI698),(('PTRM input'!$O$159+'PTRM input'!$O$125)*$O$7)/A17taxstdlife))</f>
        <v>0</v>
      </c>
      <c r="AK698" s="590">
        <f>IF(A17taxstdlife="n/a","n/a",IF(AK$3&gt;(A17taxstdlife+$E698),(('PTRM input'!$O$159+'PTRM input'!$O$125)*$O$7)-SUM($O698:AJ698),(('PTRM input'!$O$159+'PTRM input'!$O$125)*$O$7)/A17taxstdlife))</f>
        <v>0</v>
      </c>
      <c r="AL698" s="590">
        <f>IF(A17taxstdlife="n/a","n/a",IF(AL$3&gt;(A17taxstdlife+$E698),(('PTRM input'!$O$159+'PTRM input'!$O$125)*$O$7)-SUM($O698:AK698),(('PTRM input'!$O$159+'PTRM input'!$O$125)*$O$7)/A17taxstdlife))</f>
        <v>0</v>
      </c>
      <c r="AM698" s="590">
        <f>IF(A17taxstdlife="n/a","n/a",IF(AM$3&gt;(A17taxstdlife+$E698),(('PTRM input'!$O$159+'PTRM input'!$O$125)*$O$7)-SUM($O698:AL698),(('PTRM input'!$O$159+'PTRM input'!$O$125)*$O$7)/A17taxstdlife))</f>
        <v>0</v>
      </c>
      <c r="AN698" s="590">
        <f>IF(A17taxstdlife="n/a","n/a",IF(AN$3&gt;(A17taxstdlife+$E698),(('PTRM input'!$O$159+'PTRM input'!$O$125)*$O$7)-SUM($O698:AM698),(('PTRM input'!$O$159+'PTRM input'!$O$125)*$O$7)/A17taxstdlife))</f>
        <v>0</v>
      </c>
      <c r="AO698" s="590">
        <f>IF(A17taxstdlife="n/a","n/a",IF(AO$3&gt;(A17taxstdlife+$E698),(('PTRM input'!$O$159+'PTRM input'!$O$125)*$O$7)-SUM($O698:AN698),(('PTRM input'!$O$159+'PTRM input'!$O$125)*$O$7)/A17taxstdlife))</f>
        <v>0</v>
      </c>
      <c r="AP698" s="590">
        <f>IF(A17taxstdlife="n/a","n/a",IF(AP$3&gt;(A17taxstdlife+$E698),(('PTRM input'!$O$159+'PTRM input'!$O$125)*$O$7)-SUM($O698:AO698),(('PTRM input'!$O$159+'PTRM input'!$O$125)*$O$7)/A17taxstdlife))</f>
        <v>0</v>
      </c>
      <c r="AQ698" s="590">
        <f>IF(A17taxstdlife="n/a","n/a",IF(AQ$3&gt;(A17taxstdlife+$E698),(('PTRM input'!$O$159+'PTRM input'!$O$125)*$O$7)-SUM($O698:AP698),(('PTRM input'!$O$159+'PTRM input'!$O$125)*$O$7)/A17taxstdlife))</f>
        <v>0</v>
      </c>
      <c r="AR698" s="590">
        <f>IF(A17taxstdlife="n/a","n/a",IF(AR$3&gt;(A17taxstdlife+$E698),(('PTRM input'!$O$159+'PTRM input'!$O$125)*$O$7)-SUM($O698:AQ698),(('PTRM input'!$O$159+'PTRM input'!$O$125)*$O$7)/A17taxstdlife))</f>
        <v>0</v>
      </c>
      <c r="AS698" s="590">
        <f>IF(A17taxstdlife="n/a","n/a",IF(AS$3&gt;(A17taxstdlife+$E698),(('PTRM input'!$O$159+'PTRM input'!$O$125)*$O$7)-SUM($O698:AR698),(('PTRM input'!$O$159+'PTRM input'!$O$125)*$O$7)/A17taxstdlife))</f>
        <v>0</v>
      </c>
      <c r="AT698" s="590">
        <f>IF(A17taxstdlife="n/a","n/a",IF(AT$3&gt;(A17taxstdlife+$E698),(('PTRM input'!$O$159+'PTRM input'!$O$125)*$O$7)-SUM($O698:AS698),(('PTRM input'!$O$159+'PTRM input'!$O$125)*$O$7)/A17taxstdlife))</f>
        <v>0</v>
      </c>
      <c r="AU698" s="590">
        <f>IF(A17taxstdlife="n/a","n/a",IF(AU$3&gt;(A17taxstdlife+$E698),(('PTRM input'!$O$159+'PTRM input'!$O$125)*$O$7)-SUM($O698:AT698),(('PTRM input'!$O$159+'PTRM input'!$O$125)*$O$7)/A17taxstdlife))</f>
        <v>0</v>
      </c>
      <c r="AV698" s="590">
        <f>IF(A17taxstdlife="n/a","n/a",IF(AV$3&gt;(A17taxstdlife+$E698),(('PTRM input'!$O$159+'PTRM input'!$O$125)*$O$7)-SUM($O698:AU698),(('PTRM input'!$O$159+'PTRM input'!$O$125)*$O$7)/A17taxstdlife))</f>
        <v>0</v>
      </c>
      <c r="AW698" s="590">
        <f>IF(A17taxstdlife="n/a","n/a",IF(AW$3&gt;(A17taxstdlife+$E698),(('PTRM input'!$O$159+'PTRM input'!$O$125)*$O$7)-SUM($O698:AV698),(('PTRM input'!$O$159+'PTRM input'!$O$125)*$O$7)/A17taxstdlife))</f>
        <v>0</v>
      </c>
      <c r="AX698" s="590">
        <f>IF(A17taxstdlife="n/a","n/a",IF(AX$3&gt;(A17taxstdlife+$E698),(('PTRM input'!$O$159+'PTRM input'!$O$125)*$O$7)-SUM($O698:AW698),(('PTRM input'!$O$159+'PTRM input'!$O$125)*$O$7)/A17taxstdlife))</f>
        <v>0</v>
      </c>
      <c r="AY698" s="590">
        <f>IF(A17taxstdlife="n/a","n/a",IF(AY$3&gt;(A17taxstdlife+$E698),(('PTRM input'!$O$159+'PTRM input'!$O$125)*$O$7)-SUM($O698:AX698),(('PTRM input'!$O$159+'PTRM input'!$O$125)*$O$7)/A17taxstdlife))</f>
        <v>0</v>
      </c>
      <c r="AZ698" s="590">
        <f>IF(A17taxstdlife="n/a","n/a",IF(AZ$3&gt;(A17taxstdlife+$E698),(('PTRM input'!$O$159+'PTRM input'!$O$125)*$O$7)-SUM($O698:AY698),(('PTRM input'!$O$159+'PTRM input'!$O$125)*$O$7)/A17taxstdlife))</f>
        <v>0</v>
      </c>
      <c r="BA698" s="590">
        <f>IF(A17taxstdlife="n/a","n/a",IF(BA$3&gt;(A17taxstdlife+$E698),(('PTRM input'!$O$159+'PTRM input'!$O$125)*$O$7)-SUM($O698:AZ698),(('PTRM input'!$O$159+'PTRM input'!$O$125)*$O$7)/A17taxstdlife))</f>
        <v>0</v>
      </c>
      <c r="BB698" s="590">
        <f>IF(A17taxstdlife="n/a","n/a",IF(BB$3&gt;(A17taxstdlife+$E698),(('PTRM input'!$O$159+'PTRM input'!$O$125)*$O$7)-SUM($O698:BA698),(('PTRM input'!$O$159+'PTRM input'!$O$125)*$O$7)/A17taxstdlife))</f>
        <v>0</v>
      </c>
      <c r="BC698" s="590">
        <f>IF(A17taxstdlife="n/a","n/a",IF(BC$3&gt;(A17taxstdlife+$E698),(('PTRM input'!$O$159+'PTRM input'!$O$125)*$O$7)-SUM($O698:BB698),(('PTRM input'!$O$159+'PTRM input'!$O$125)*$O$7)/A17taxstdlife))</f>
        <v>0</v>
      </c>
      <c r="BD698" s="590">
        <f>IF(A17taxstdlife="n/a","n/a",IF(BD$3&gt;(A17taxstdlife+$E698),(('PTRM input'!$O$159+'PTRM input'!$O$125)*$O$7)-SUM($O698:BC698),(('PTRM input'!$O$159+'PTRM input'!$O$125)*$O$7)/A17taxstdlife))</f>
        <v>0</v>
      </c>
      <c r="BE698" s="590">
        <f>IF(A17taxstdlife="n/a","n/a",IF(BE$3&gt;(A17taxstdlife+$E698),(('PTRM input'!$O$159+'PTRM input'!$O$125)*$O$7)-SUM($O698:BD698),(('PTRM input'!$O$159+'PTRM input'!$O$125)*$O$7)/A17taxstdlife))</f>
        <v>0</v>
      </c>
      <c r="BF698" s="590">
        <f>IF(A17taxstdlife="n/a","n/a",IF(BF$3&gt;(A17taxstdlife+$E698),(('PTRM input'!$O$159+'PTRM input'!$O$125)*$O$7)-SUM($O698:BE698),(('PTRM input'!$O$159+'PTRM input'!$O$125)*$O$7)/A17taxstdlife))</f>
        <v>0</v>
      </c>
      <c r="BG698" s="590">
        <f>IF(A17taxstdlife="n/a","n/a",IF(BG$3&gt;(A17taxstdlife+$E698),(('PTRM input'!$O$159+'PTRM input'!$O$125)*$O$7)-SUM($O698:BF698),(('PTRM input'!$O$159+'PTRM input'!$O$125)*$O$7)/A17taxstdlife))</f>
        <v>0</v>
      </c>
      <c r="BH698" s="590">
        <f>IF(A17taxstdlife="n/a","n/a",IF(BH$3&gt;(A17taxstdlife+$E698),(('PTRM input'!$O$159+'PTRM input'!$O$125)*$O$7)-SUM($O698:BG698),(('PTRM input'!$O$159+'PTRM input'!$O$125)*$O$7)/A17taxstdlife))</f>
        <v>0</v>
      </c>
      <c r="BI698" s="590">
        <f>IF(A17taxstdlife="n/a","n/a",IF(BI$3&gt;(A17taxstdlife+$E698),(('PTRM input'!$O$159+'PTRM input'!$O$125)*$O$7)-SUM($O698:BH698),(('PTRM input'!$O$159+'PTRM input'!$O$125)*$O$7)/A17taxstdlife))</f>
        <v>0</v>
      </c>
      <c r="BJ698" s="240"/>
      <c r="BK698" s="240"/>
      <c r="BL698" s="240"/>
      <c r="BM698" s="240"/>
    </row>
    <row r="699" spans="1:65" s="4" customFormat="1" hidden="1" outlineLevel="2">
      <c r="A699" s="240"/>
      <c r="B699" s="240"/>
      <c r="C699" s="595"/>
      <c r="D699" s="1618"/>
      <c r="E699" s="170">
        <v>10</v>
      </c>
      <c r="F699" s="35"/>
      <c r="G699" s="184"/>
      <c r="H699" s="186"/>
      <c r="I699" s="186"/>
      <c r="J699" s="186"/>
      <c r="K699" s="186"/>
      <c r="L699" s="186"/>
      <c r="M699" s="186"/>
      <c r="N699" s="186"/>
      <c r="O699" s="186"/>
      <c r="P699" s="185"/>
      <c r="Q699" s="590">
        <f>IF(A17taxstdlife="n/a","n/a",IF(Q$3&gt;(A17taxstdlife+$E699),(('PTRM input'!$P$159+'PTRM input'!$P$125)*$P$7)-SUM($P699:P699),(('PTRM input'!$P$159+'PTRM input'!$P$125)*$P$7)/A17taxstdlife))</f>
        <v>0</v>
      </c>
      <c r="R699" s="590">
        <f>IF(A17taxstdlife="n/a","n/a",IF(R$3&gt;(A17taxstdlife+$E699),(('PTRM input'!$P$159+'PTRM input'!$P$125)*$P$7)-SUM($P699:Q699),(('PTRM input'!$P$159+'PTRM input'!$P$125)*$P$7)/A17taxstdlife))</f>
        <v>0</v>
      </c>
      <c r="S699" s="590">
        <f>IF(A17taxstdlife="n/a","n/a",IF(S$3&gt;(A17taxstdlife+$E699),(('PTRM input'!$P$159+'PTRM input'!$P$125)*$P$7)-SUM($P699:R699),(('PTRM input'!$P$159+'PTRM input'!$P$125)*$P$7)/A17taxstdlife))</f>
        <v>0</v>
      </c>
      <c r="T699" s="590">
        <f>IF(A17taxstdlife="n/a","n/a",IF(T$3&gt;(A17taxstdlife+$E699),(('PTRM input'!$P$159+'PTRM input'!$P$125)*$P$7)-SUM($P699:S699),(('PTRM input'!$P$159+'PTRM input'!$P$125)*$P$7)/A17taxstdlife))</f>
        <v>0</v>
      </c>
      <c r="U699" s="590">
        <f>IF(A17taxstdlife="n/a","n/a",IF(U$3&gt;(A17taxstdlife+$E699),(('PTRM input'!$P$159+'PTRM input'!$P$125)*$P$7)-SUM($P699:T699),(('PTRM input'!$P$159+'PTRM input'!$P$125)*$P$7)/A17taxstdlife))</f>
        <v>0</v>
      </c>
      <c r="V699" s="590">
        <f>IF(A17taxstdlife="n/a","n/a",IF(V$3&gt;(A17taxstdlife+$E699),(('PTRM input'!$P$159+'PTRM input'!$P$125)*$P$7)-SUM($P699:U699),(('PTRM input'!$P$159+'PTRM input'!$P$125)*$P$7)/A17taxstdlife))</f>
        <v>0</v>
      </c>
      <c r="W699" s="590">
        <f>IF(A17taxstdlife="n/a","n/a",IF(W$3&gt;(A17taxstdlife+$E699),(('PTRM input'!$P$159+'PTRM input'!$P$125)*$P$7)-SUM($P699:V699),(('PTRM input'!$P$159+'PTRM input'!$P$125)*$P$7)/A17taxstdlife))</f>
        <v>0</v>
      </c>
      <c r="X699" s="590">
        <f>IF(A17taxstdlife="n/a","n/a",IF(X$3&gt;(A17taxstdlife+$E699),(('PTRM input'!$P$159+'PTRM input'!$P$125)*$P$7)-SUM($P699:W699),(('PTRM input'!$P$159+'PTRM input'!$P$125)*$P$7)/A17taxstdlife))</f>
        <v>0</v>
      </c>
      <c r="Y699" s="590">
        <f>IF(A17taxstdlife="n/a","n/a",IF(Y$3&gt;(A17taxstdlife+$E699),(('PTRM input'!$P$159+'PTRM input'!$P$125)*$P$7)-SUM($P699:X699),(('PTRM input'!$P$159+'PTRM input'!$P$125)*$P$7)/A17taxstdlife))</f>
        <v>0</v>
      </c>
      <c r="Z699" s="590">
        <f>IF(A17taxstdlife="n/a","n/a",IF(Z$3&gt;(A17taxstdlife+$E699),(('PTRM input'!$P$159+'PTRM input'!$P$125)*$P$7)-SUM($P699:Y699),(('PTRM input'!$P$159+'PTRM input'!$P$125)*$P$7)/A17taxstdlife))</f>
        <v>0</v>
      </c>
      <c r="AA699" s="590">
        <f>IF(A17taxstdlife="n/a","n/a",IF(AA$3&gt;(A17taxstdlife+$E699),(('PTRM input'!$P$159+'PTRM input'!$P$125)*$P$7)-SUM($P699:Z699),(('PTRM input'!$P$159+'PTRM input'!$P$125)*$P$7)/A17taxstdlife))</f>
        <v>0</v>
      </c>
      <c r="AB699" s="590">
        <f>IF(A17taxstdlife="n/a","n/a",IF(AB$3&gt;(A17taxstdlife+$E699),(('PTRM input'!$P$159+'PTRM input'!$P$125)*$P$7)-SUM($P699:AA699),(('PTRM input'!$P$159+'PTRM input'!$P$125)*$P$7)/A17taxstdlife))</f>
        <v>0</v>
      </c>
      <c r="AC699" s="590">
        <f>IF(A17taxstdlife="n/a","n/a",IF(AC$3&gt;(A17taxstdlife+$E699),(('PTRM input'!$P$159+'PTRM input'!$P$125)*$P$7)-SUM($P699:AB699),(('PTRM input'!$P$159+'PTRM input'!$P$125)*$P$7)/A17taxstdlife))</f>
        <v>0</v>
      </c>
      <c r="AD699" s="590">
        <f>IF(A17taxstdlife="n/a","n/a",IF(AD$3&gt;(A17taxstdlife+$E699),(('PTRM input'!$P$159+'PTRM input'!$P$125)*$P$7)-SUM($P699:AC699),(('PTRM input'!$P$159+'PTRM input'!$P$125)*$P$7)/A17taxstdlife))</f>
        <v>0</v>
      </c>
      <c r="AE699" s="590">
        <f>IF(A17taxstdlife="n/a","n/a",IF(AE$3&gt;(A17taxstdlife+$E699),(('PTRM input'!$P$159+'PTRM input'!$P$125)*$P$7)-SUM($P699:AD699),(('PTRM input'!$P$159+'PTRM input'!$P$125)*$P$7)/A17taxstdlife))</f>
        <v>0</v>
      </c>
      <c r="AF699" s="590">
        <f>IF(A17taxstdlife="n/a","n/a",IF(AF$3&gt;(A17taxstdlife+$E699),(('PTRM input'!$P$159+'PTRM input'!$P$125)*$P$7)-SUM($P699:AE699),(('PTRM input'!$P$159+'PTRM input'!$P$125)*$P$7)/A17taxstdlife))</f>
        <v>0</v>
      </c>
      <c r="AG699" s="590">
        <f>IF(A17taxstdlife="n/a","n/a",IF(AG$3&gt;(A17taxstdlife+$E699),(('PTRM input'!$P$159+'PTRM input'!$P$125)*$P$7)-SUM($P699:AF699),(('PTRM input'!$P$159+'PTRM input'!$P$125)*$P$7)/A17taxstdlife))</f>
        <v>0</v>
      </c>
      <c r="AH699" s="590">
        <f>IF(A17taxstdlife="n/a","n/a",IF(AH$3&gt;(A17taxstdlife+$E699),(('PTRM input'!$P$159+'PTRM input'!$P$125)*$P$7)-SUM($P699:AG699),(('PTRM input'!$P$159+'PTRM input'!$P$125)*$P$7)/A17taxstdlife))</f>
        <v>0</v>
      </c>
      <c r="AI699" s="590">
        <f>IF(A17taxstdlife="n/a","n/a",IF(AI$3&gt;(A17taxstdlife+$E699),(('PTRM input'!$P$159+'PTRM input'!$P$125)*$P$7)-SUM($P699:AH699),(('PTRM input'!$P$159+'PTRM input'!$P$125)*$P$7)/A17taxstdlife))</f>
        <v>0</v>
      </c>
      <c r="AJ699" s="590">
        <f>IF(A17taxstdlife="n/a","n/a",IF(AJ$3&gt;(A17taxstdlife+$E699),(('PTRM input'!$P$159+'PTRM input'!$P$125)*$P$7)-SUM($P699:AI699),(('PTRM input'!$P$159+'PTRM input'!$P$125)*$P$7)/A17taxstdlife))</f>
        <v>0</v>
      </c>
      <c r="AK699" s="590">
        <f>IF(A17taxstdlife="n/a","n/a",IF(AK$3&gt;(A17taxstdlife+$E699),(('PTRM input'!$P$159+'PTRM input'!$P$125)*$P$7)-SUM($P699:AJ699),(('PTRM input'!$P$159+'PTRM input'!$P$125)*$P$7)/A17taxstdlife))</f>
        <v>0</v>
      </c>
      <c r="AL699" s="590">
        <f>IF(A17taxstdlife="n/a","n/a",IF(AL$3&gt;(A17taxstdlife+$E699),(('PTRM input'!$P$159+'PTRM input'!$P$125)*$P$7)-SUM($P699:AK699),(('PTRM input'!$P$159+'PTRM input'!$P$125)*$P$7)/A17taxstdlife))</f>
        <v>0</v>
      </c>
      <c r="AM699" s="590">
        <f>IF(A17taxstdlife="n/a","n/a",IF(AM$3&gt;(A17taxstdlife+$E699),(('PTRM input'!$P$159+'PTRM input'!$P$125)*$P$7)-SUM($P699:AL699),(('PTRM input'!$P$159+'PTRM input'!$P$125)*$P$7)/A17taxstdlife))</f>
        <v>0</v>
      </c>
      <c r="AN699" s="590">
        <f>IF(A17taxstdlife="n/a","n/a",IF(AN$3&gt;(A17taxstdlife+$E699),(('PTRM input'!$P$159+'PTRM input'!$P$125)*$P$7)-SUM($P699:AM699),(('PTRM input'!$P$159+'PTRM input'!$P$125)*$P$7)/A17taxstdlife))</f>
        <v>0</v>
      </c>
      <c r="AO699" s="590">
        <f>IF(A17taxstdlife="n/a","n/a",IF(AO$3&gt;(A17taxstdlife+$E699),(('PTRM input'!$P$159+'PTRM input'!$P$125)*$P$7)-SUM($P699:AN699),(('PTRM input'!$P$159+'PTRM input'!$P$125)*$P$7)/A17taxstdlife))</f>
        <v>0</v>
      </c>
      <c r="AP699" s="590">
        <f>IF(A17taxstdlife="n/a","n/a",IF(AP$3&gt;(A17taxstdlife+$E699),(('PTRM input'!$P$159+'PTRM input'!$P$125)*$P$7)-SUM($P699:AO699),(('PTRM input'!$P$159+'PTRM input'!$P$125)*$P$7)/A17taxstdlife))</f>
        <v>0</v>
      </c>
      <c r="AQ699" s="590">
        <f>IF(A17taxstdlife="n/a","n/a",IF(AQ$3&gt;(A17taxstdlife+$E699),(('PTRM input'!$P$159+'PTRM input'!$P$125)*$P$7)-SUM($P699:AP699),(('PTRM input'!$P$159+'PTRM input'!$P$125)*$P$7)/A17taxstdlife))</f>
        <v>0</v>
      </c>
      <c r="AR699" s="590">
        <f>IF(A17taxstdlife="n/a","n/a",IF(AR$3&gt;(A17taxstdlife+$E699),(('PTRM input'!$P$159+'PTRM input'!$P$125)*$P$7)-SUM($P699:AQ699),(('PTRM input'!$P$159+'PTRM input'!$P$125)*$P$7)/A17taxstdlife))</f>
        <v>0</v>
      </c>
      <c r="AS699" s="590">
        <f>IF(A17taxstdlife="n/a","n/a",IF(AS$3&gt;(A17taxstdlife+$E699),(('PTRM input'!$P$159+'PTRM input'!$P$125)*$P$7)-SUM($P699:AR699),(('PTRM input'!$P$159+'PTRM input'!$P$125)*$P$7)/A17taxstdlife))</f>
        <v>0</v>
      </c>
      <c r="AT699" s="590">
        <f>IF(A17taxstdlife="n/a","n/a",IF(AT$3&gt;(A17taxstdlife+$E699),(('PTRM input'!$P$159+'PTRM input'!$P$125)*$P$7)-SUM($P699:AS699),(('PTRM input'!$P$159+'PTRM input'!$P$125)*$P$7)/A17taxstdlife))</f>
        <v>0</v>
      </c>
      <c r="AU699" s="590">
        <f>IF(A17taxstdlife="n/a","n/a",IF(AU$3&gt;(A17taxstdlife+$E699),(('PTRM input'!$P$159+'PTRM input'!$P$125)*$P$7)-SUM($P699:AT699),(('PTRM input'!$P$159+'PTRM input'!$P$125)*$P$7)/A17taxstdlife))</f>
        <v>0</v>
      </c>
      <c r="AV699" s="590">
        <f>IF(A17taxstdlife="n/a","n/a",IF(AV$3&gt;(A17taxstdlife+$E699),(('PTRM input'!$P$159+'PTRM input'!$P$125)*$P$7)-SUM($P699:AU699),(('PTRM input'!$P$159+'PTRM input'!$P$125)*$P$7)/A17taxstdlife))</f>
        <v>0</v>
      </c>
      <c r="AW699" s="590">
        <f>IF(A17taxstdlife="n/a","n/a",IF(AW$3&gt;(A17taxstdlife+$E699),(('PTRM input'!$P$159+'PTRM input'!$P$125)*$P$7)-SUM($P699:AV699),(('PTRM input'!$P$159+'PTRM input'!$P$125)*$P$7)/A17taxstdlife))</f>
        <v>0</v>
      </c>
      <c r="AX699" s="590">
        <f>IF(A17taxstdlife="n/a","n/a",IF(AX$3&gt;(A17taxstdlife+$E699),(('PTRM input'!$P$159+'PTRM input'!$P$125)*$P$7)-SUM($P699:AW699),(('PTRM input'!$P$159+'PTRM input'!$P$125)*$P$7)/A17taxstdlife))</f>
        <v>0</v>
      </c>
      <c r="AY699" s="590">
        <f>IF(A17taxstdlife="n/a","n/a",IF(AY$3&gt;(A17taxstdlife+$E699),(('PTRM input'!$P$159+'PTRM input'!$P$125)*$P$7)-SUM($P699:AX699),(('PTRM input'!$P$159+'PTRM input'!$P$125)*$P$7)/A17taxstdlife))</f>
        <v>0</v>
      </c>
      <c r="AZ699" s="590">
        <f>IF(A17taxstdlife="n/a","n/a",IF(AZ$3&gt;(A17taxstdlife+$E699),(('PTRM input'!$P$159+'PTRM input'!$P$125)*$P$7)-SUM($P699:AY699),(('PTRM input'!$P$159+'PTRM input'!$P$125)*$P$7)/A17taxstdlife))</f>
        <v>0</v>
      </c>
      <c r="BA699" s="590">
        <f>IF(A17taxstdlife="n/a","n/a",IF(BA$3&gt;(A17taxstdlife+$E699),(('PTRM input'!$P$159+'PTRM input'!$P$125)*$P$7)-SUM($P699:AZ699),(('PTRM input'!$P$159+'PTRM input'!$P$125)*$P$7)/A17taxstdlife))</f>
        <v>0</v>
      </c>
      <c r="BB699" s="590">
        <f>IF(A17taxstdlife="n/a","n/a",IF(BB$3&gt;(A17taxstdlife+$E699),(('PTRM input'!$P$159+'PTRM input'!$P$125)*$P$7)-SUM($P699:BA699),(('PTRM input'!$P$159+'PTRM input'!$P$125)*$P$7)/A17taxstdlife))</f>
        <v>0</v>
      </c>
      <c r="BC699" s="590">
        <f>IF(A17taxstdlife="n/a","n/a",IF(BC$3&gt;(A17taxstdlife+$E699),(('PTRM input'!$P$159+'PTRM input'!$P$125)*$P$7)-SUM($P699:BB699),(('PTRM input'!$P$159+'PTRM input'!$P$125)*$P$7)/A17taxstdlife))</f>
        <v>0</v>
      </c>
      <c r="BD699" s="590">
        <f>IF(A17taxstdlife="n/a","n/a",IF(BD$3&gt;(A17taxstdlife+$E699),(('PTRM input'!$P$159+'PTRM input'!$P$125)*$P$7)-SUM($P699:BC699),(('PTRM input'!$P$159+'PTRM input'!$P$125)*$P$7)/A17taxstdlife))</f>
        <v>0</v>
      </c>
      <c r="BE699" s="590">
        <f>IF(A17taxstdlife="n/a","n/a",IF(BE$3&gt;(A17taxstdlife+$E699),(('PTRM input'!$P$159+'PTRM input'!$P$125)*$P$7)-SUM($P699:BD699),(('PTRM input'!$P$159+'PTRM input'!$P$125)*$P$7)/A17taxstdlife))</f>
        <v>0</v>
      </c>
      <c r="BF699" s="590">
        <f>IF(A17taxstdlife="n/a","n/a",IF(BF$3&gt;(A17taxstdlife+$E699),(('PTRM input'!$P$159+'PTRM input'!$P$125)*$P$7)-SUM($P699:BE699),(('PTRM input'!$P$159+'PTRM input'!$P$125)*$P$7)/A17taxstdlife))</f>
        <v>0</v>
      </c>
      <c r="BG699" s="590">
        <f>IF(A17taxstdlife="n/a","n/a",IF(BG$3&gt;(A17taxstdlife+$E699),(('PTRM input'!$P$159+'PTRM input'!$P$125)*$P$7)-SUM($P699:BF699),(('PTRM input'!$P$159+'PTRM input'!$P$125)*$P$7)/A17taxstdlife))</f>
        <v>0</v>
      </c>
      <c r="BH699" s="590">
        <f>IF(A17taxstdlife="n/a","n/a",IF(BH$3&gt;(A17taxstdlife+$E699),(('PTRM input'!$P$159+'PTRM input'!$P$125)*$P$7)-SUM($P699:BG699),(('PTRM input'!$P$159+'PTRM input'!$P$125)*$P$7)/A17taxstdlife))</f>
        <v>0</v>
      </c>
      <c r="BI699" s="590">
        <f>IF(A17taxstdlife="n/a","n/a",IF(BI$3&gt;(A17taxstdlife+$E699),(('PTRM input'!$P$159+'PTRM input'!$P$125)*$P$7)-SUM($P699:BH699),(('PTRM input'!$P$159+'PTRM input'!$P$125)*$P$7)/A17taxstdlife))</f>
        <v>0</v>
      </c>
      <c r="BJ699" s="240"/>
      <c r="BK699" s="240"/>
      <c r="BL699" s="240"/>
      <c r="BM699" s="240"/>
    </row>
    <row r="700" spans="1:65" s="4" customFormat="1" hidden="1" outlineLevel="1">
      <c r="A700" s="240"/>
      <c r="B700" s="240"/>
      <c r="C700" s="595">
        <f>Asset17</f>
        <v>0</v>
      </c>
      <c r="D700" s="240"/>
      <c r="E700" s="240"/>
      <c r="F700" s="596"/>
      <c r="G700" s="591">
        <f t="shared" ref="G700:AL700" si="138">SUM(G688:G699)</f>
        <v>0</v>
      </c>
      <c r="H700" s="591">
        <f t="shared" si="138"/>
        <v>0</v>
      </c>
      <c r="I700" s="591">
        <f t="shared" si="138"/>
        <v>0</v>
      </c>
      <c r="J700" s="591">
        <f t="shared" si="138"/>
        <v>0</v>
      </c>
      <c r="K700" s="591">
        <f t="shared" si="138"/>
        <v>0</v>
      </c>
      <c r="L700" s="591">
        <f t="shared" si="138"/>
        <v>0</v>
      </c>
      <c r="M700" s="591">
        <f t="shared" si="138"/>
        <v>0</v>
      </c>
      <c r="N700" s="591">
        <f t="shared" si="138"/>
        <v>0</v>
      </c>
      <c r="O700" s="591">
        <f t="shared" si="138"/>
        <v>0</v>
      </c>
      <c r="P700" s="591">
        <f t="shared" si="138"/>
        <v>0</v>
      </c>
      <c r="Q700" s="591">
        <f t="shared" si="138"/>
        <v>0</v>
      </c>
      <c r="R700" s="591">
        <f t="shared" si="138"/>
        <v>0</v>
      </c>
      <c r="S700" s="591">
        <f t="shared" si="138"/>
        <v>0</v>
      </c>
      <c r="T700" s="591">
        <f t="shared" si="138"/>
        <v>0</v>
      </c>
      <c r="U700" s="591">
        <f t="shared" si="138"/>
        <v>0</v>
      </c>
      <c r="V700" s="591">
        <f t="shared" si="138"/>
        <v>0</v>
      </c>
      <c r="W700" s="591">
        <f t="shared" si="138"/>
        <v>0</v>
      </c>
      <c r="X700" s="591">
        <f t="shared" si="138"/>
        <v>0</v>
      </c>
      <c r="Y700" s="591">
        <f t="shared" si="138"/>
        <v>0</v>
      </c>
      <c r="Z700" s="591">
        <f t="shared" si="138"/>
        <v>0</v>
      </c>
      <c r="AA700" s="591">
        <f t="shared" si="138"/>
        <v>0</v>
      </c>
      <c r="AB700" s="591">
        <f t="shared" si="138"/>
        <v>0</v>
      </c>
      <c r="AC700" s="591">
        <f t="shared" si="138"/>
        <v>0</v>
      </c>
      <c r="AD700" s="591">
        <f t="shared" si="138"/>
        <v>0</v>
      </c>
      <c r="AE700" s="591">
        <f t="shared" si="138"/>
        <v>0</v>
      </c>
      <c r="AF700" s="591">
        <f t="shared" si="138"/>
        <v>0</v>
      </c>
      <c r="AG700" s="591">
        <f t="shared" si="138"/>
        <v>0</v>
      </c>
      <c r="AH700" s="591">
        <f t="shared" si="138"/>
        <v>0</v>
      </c>
      <c r="AI700" s="591">
        <f t="shared" si="138"/>
        <v>0</v>
      </c>
      <c r="AJ700" s="591">
        <f t="shared" si="138"/>
        <v>0</v>
      </c>
      <c r="AK700" s="591">
        <f t="shared" si="138"/>
        <v>0</v>
      </c>
      <c r="AL700" s="591">
        <f t="shared" si="138"/>
        <v>0</v>
      </c>
      <c r="AM700" s="591">
        <f t="shared" ref="AM700:BI700" si="139">SUM(AM688:AM699)</f>
        <v>0</v>
      </c>
      <c r="AN700" s="591">
        <f t="shared" si="139"/>
        <v>0</v>
      </c>
      <c r="AO700" s="591">
        <f t="shared" si="139"/>
        <v>0</v>
      </c>
      <c r="AP700" s="591">
        <f t="shared" si="139"/>
        <v>0</v>
      </c>
      <c r="AQ700" s="591">
        <f t="shared" si="139"/>
        <v>0</v>
      </c>
      <c r="AR700" s="591">
        <f t="shared" si="139"/>
        <v>0</v>
      </c>
      <c r="AS700" s="591">
        <f t="shared" si="139"/>
        <v>0</v>
      </c>
      <c r="AT700" s="591">
        <f t="shared" si="139"/>
        <v>0</v>
      </c>
      <c r="AU700" s="591">
        <f t="shared" si="139"/>
        <v>0</v>
      </c>
      <c r="AV700" s="591">
        <f t="shared" si="139"/>
        <v>0</v>
      </c>
      <c r="AW700" s="591">
        <f t="shared" si="139"/>
        <v>0</v>
      </c>
      <c r="AX700" s="591">
        <f t="shared" si="139"/>
        <v>0</v>
      </c>
      <c r="AY700" s="591">
        <f t="shared" si="139"/>
        <v>0</v>
      </c>
      <c r="AZ700" s="591">
        <f t="shared" si="139"/>
        <v>0</v>
      </c>
      <c r="BA700" s="591">
        <f t="shared" si="139"/>
        <v>0</v>
      </c>
      <c r="BB700" s="591">
        <f t="shared" si="139"/>
        <v>0</v>
      </c>
      <c r="BC700" s="591">
        <f t="shared" si="139"/>
        <v>0</v>
      </c>
      <c r="BD700" s="591">
        <f t="shared" si="139"/>
        <v>0</v>
      </c>
      <c r="BE700" s="591">
        <f t="shared" si="139"/>
        <v>0</v>
      </c>
      <c r="BF700" s="591">
        <f t="shared" si="139"/>
        <v>0</v>
      </c>
      <c r="BG700" s="591">
        <f t="shared" si="139"/>
        <v>0</v>
      </c>
      <c r="BH700" s="591">
        <f t="shared" si="139"/>
        <v>0</v>
      </c>
      <c r="BI700" s="591">
        <f t="shared" si="139"/>
        <v>0</v>
      </c>
      <c r="BJ700" s="240"/>
      <c r="BK700" s="240"/>
      <c r="BL700" s="240"/>
      <c r="BM700" s="240"/>
    </row>
    <row r="701" spans="1:65" s="4" customFormat="1" hidden="1" outlineLevel="2">
      <c r="A701" s="240"/>
      <c r="B701" s="597">
        <f>C713</f>
        <v>0</v>
      </c>
      <c r="C701" s="488"/>
      <c r="D701" s="598" t="s">
        <v>58</v>
      </c>
      <c r="E701" s="488"/>
      <c r="F701" s="599"/>
      <c r="G701" s="592">
        <f>IF(G$3&gt;A18taxremlife,A18taxvalue-SUM($F701:F701),IF(A18taxremlife="N/A","n/a",A18taxvalue/A18taxremlife))</f>
        <v>0</v>
      </c>
      <c r="H701" s="592">
        <f>IF(H$3&gt;A18taxremlife,A18taxvalue-SUM($F701:G701),IF(A18taxremlife="N/A","n/a",A18taxvalue/A18taxremlife))</f>
        <v>0</v>
      </c>
      <c r="I701" s="592">
        <f>IF(I$3&gt;A18taxremlife,A18taxvalue-SUM($F701:H701),IF(A18taxremlife="N/A","n/a",A18taxvalue/A18taxremlife))</f>
        <v>0</v>
      </c>
      <c r="J701" s="592">
        <f>IF(J$3&gt;A18taxremlife,A18taxvalue-SUM($F701:I701),IF(A18taxremlife="N/A","n/a",A18taxvalue/A18taxremlife))</f>
        <v>0</v>
      </c>
      <c r="K701" s="592">
        <f>IF(K$3&gt;A18taxremlife,A18taxvalue-SUM($F701:J701),IF(A18taxremlife="N/A","n/a",A18taxvalue/A18taxremlife))</f>
        <v>0</v>
      </c>
      <c r="L701" s="592">
        <f>IF(L$3&gt;A18taxremlife,A18taxvalue-SUM($F701:K701),IF(A18taxremlife="N/A","n/a",A18taxvalue/A18taxremlife))</f>
        <v>0</v>
      </c>
      <c r="M701" s="592">
        <f>IF(M$3&gt;A18taxremlife,A18taxvalue-SUM($F701:L701),IF(A18taxremlife="N/A","n/a",A18taxvalue/A18taxremlife))</f>
        <v>0</v>
      </c>
      <c r="N701" s="592">
        <f>IF(N$3&gt;A18taxremlife,A18taxvalue-SUM($F701:M701),IF(A18taxremlife="N/A","n/a",A18taxvalue/A18taxremlife))</f>
        <v>0</v>
      </c>
      <c r="O701" s="592">
        <f>IF(O$3&gt;A18taxremlife,A18taxvalue-SUM($F701:N701),IF(A18taxremlife="N/A","n/a",A18taxvalue/A18taxremlife))</f>
        <v>0</v>
      </c>
      <c r="P701" s="592">
        <f>IF(P$3&gt;A18taxremlife,A18taxvalue-SUM($F701:O701),IF(A18taxremlife="N/A","n/a",A18taxvalue/A18taxremlife))</f>
        <v>0</v>
      </c>
      <c r="Q701" s="592">
        <f>IF(Q$3&gt;A18taxremlife,A18taxvalue-SUM($F701:P701),IF(A18taxremlife="N/A","n/a",A18taxvalue/A18taxremlife))</f>
        <v>0</v>
      </c>
      <c r="R701" s="592">
        <f>IF(R$3&gt;A18taxremlife,A18taxvalue-SUM($F701:Q701),IF(A18taxremlife="N/A","n/a",A18taxvalue/A18taxremlife))</f>
        <v>0</v>
      </c>
      <c r="S701" s="592">
        <f>IF(S$3&gt;A18taxremlife,A18taxvalue-SUM($F701:R701),IF(A18taxremlife="N/A","n/a",A18taxvalue/A18taxremlife))</f>
        <v>0</v>
      </c>
      <c r="T701" s="592">
        <f>IF(T$3&gt;A18taxremlife,A18taxvalue-SUM($F701:S701),IF(A18taxremlife="N/A","n/a",A18taxvalue/A18taxremlife))</f>
        <v>0</v>
      </c>
      <c r="U701" s="592">
        <f>IF(U$3&gt;A18taxremlife,A18taxvalue-SUM($F701:T701),IF(A18taxremlife="N/A","n/a",A18taxvalue/A18taxremlife))</f>
        <v>0</v>
      </c>
      <c r="V701" s="592">
        <f>IF(V$3&gt;A18taxremlife,A18taxvalue-SUM($F701:U701),IF(A18taxremlife="N/A","n/a",A18taxvalue/A18taxremlife))</f>
        <v>0</v>
      </c>
      <c r="W701" s="592">
        <f>IF(W$3&gt;A18taxremlife,A18taxvalue-SUM($F701:V701),IF(A18taxremlife="N/A","n/a",A18taxvalue/A18taxremlife))</f>
        <v>0</v>
      </c>
      <c r="X701" s="592">
        <f>IF(X$3&gt;A18taxremlife,A18taxvalue-SUM($F701:W701),IF(A18taxremlife="N/A","n/a",A18taxvalue/A18taxremlife))</f>
        <v>0</v>
      </c>
      <c r="Y701" s="592">
        <f>IF(Y$3&gt;A18taxremlife,A18taxvalue-SUM($F701:X701),IF(A18taxremlife="N/A","n/a",A18taxvalue/A18taxremlife))</f>
        <v>0</v>
      </c>
      <c r="Z701" s="592">
        <f>IF(Z$3&gt;A18taxremlife,A18taxvalue-SUM($F701:Y701),IF(A18taxremlife="N/A","n/a",A18taxvalue/A18taxremlife))</f>
        <v>0</v>
      </c>
      <c r="AA701" s="592">
        <f>IF(AA$3&gt;A18taxremlife,A18taxvalue-SUM($F701:Z701),IF(A18taxremlife="N/A","n/a",A18taxvalue/A18taxremlife))</f>
        <v>0</v>
      </c>
      <c r="AB701" s="592">
        <f>IF(AB$3&gt;A18taxremlife,A18taxvalue-SUM($F701:AA701),IF(A18taxremlife="N/A","n/a",A18taxvalue/A18taxremlife))</f>
        <v>0</v>
      </c>
      <c r="AC701" s="592">
        <f>IF(AC$3&gt;A18taxremlife,A18taxvalue-SUM($F701:AB701),IF(A18taxremlife="N/A","n/a",A18taxvalue/A18taxremlife))</f>
        <v>0</v>
      </c>
      <c r="AD701" s="592">
        <f>IF(AD$3&gt;A18taxremlife,A18taxvalue-SUM($F701:AC701),IF(A18taxremlife="N/A","n/a",A18taxvalue/A18taxremlife))</f>
        <v>0</v>
      </c>
      <c r="AE701" s="592">
        <f>IF(AE$3&gt;A18taxremlife,A18taxvalue-SUM($F701:AD701),IF(A18taxremlife="N/A","n/a",A18taxvalue/A18taxremlife))</f>
        <v>0</v>
      </c>
      <c r="AF701" s="592">
        <f>IF(AF$3&gt;A18taxremlife,A18taxvalue-SUM($F701:AE701),IF(A18taxremlife="N/A","n/a",A18taxvalue/A18taxremlife))</f>
        <v>0</v>
      </c>
      <c r="AG701" s="592">
        <f>IF(AG$3&gt;A18taxremlife,A18taxvalue-SUM($F701:AF701),IF(A18taxremlife="N/A","n/a",A18taxvalue/A18taxremlife))</f>
        <v>0</v>
      </c>
      <c r="AH701" s="592">
        <f>IF(AH$3&gt;A18taxremlife,A18taxvalue-SUM($F701:AG701),IF(A18taxremlife="N/A","n/a",A18taxvalue/A18taxremlife))</f>
        <v>0</v>
      </c>
      <c r="AI701" s="592">
        <f>IF(AI$3&gt;A18taxremlife,A18taxvalue-SUM($F701:AH701),IF(A18taxremlife="N/A","n/a",A18taxvalue/A18taxremlife))</f>
        <v>0</v>
      </c>
      <c r="AJ701" s="592">
        <f>IF(AJ$3&gt;A18taxremlife,A18taxvalue-SUM($F701:AI701),IF(A18taxremlife="N/A","n/a",A18taxvalue/A18taxremlife))</f>
        <v>0</v>
      </c>
      <c r="AK701" s="592">
        <f>IF(AK$3&gt;A18taxremlife,A18taxvalue-SUM($F701:AJ701),IF(A18taxremlife="N/A","n/a",A18taxvalue/A18taxremlife))</f>
        <v>0</v>
      </c>
      <c r="AL701" s="592">
        <f>IF(AL$3&gt;A18taxremlife,A18taxvalue-SUM($F701:AK701),IF(A18taxremlife="N/A","n/a",A18taxvalue/A18taxremlife))</f>
        <v>0</v>
      </c>
      <c r="AM701" s="592">
        <f>IF(AM$3&gt;A18taxremlife,A18taxvalue-SUM($F701:AL701),IF(A18taxremlife="N/A","n/a",A18taxvalue/A18taxremlife))</f>
        <v>0</v>
      </c>
      <c r="AN701" s="592">
        <f>IF(AN$3&gt;A18taxremlife,A18taxvalue-SUM($F701:AM701),IF(A18taxremlife="N/A","n/a",A18taxvalue/A18taxremlife))</f>
        <v>0</v>
      </c>
      <c r="AO701" s="592">
        <f>IF(AO$3&gt;A18taxremlife,A18taxvalue-SUM($F701:AN701),IF(A18taxremlife="N/A","n/a",A18taxvalue/A18taxremlife))</f>
        <v>0</v>
      </c>
      <c r="AP701" s="592">
        <f>IF(AP$3&gt;A18taxremlife,A18taxvalue-SUM($F701:AO701),IF(A18taxremlife="N/A","n/a",A18taxvalue/A18taxremlife))</f>
        <v>0</v>
      </c>
      <c r="AQ701" s="592">
        <f>IF(AQ$3&gt;A18taxremlife,A18taxvalue-SUM($F701:AP701),IF(A18taxremlife="N/A","n/a",A18taxvalue/A18taxremlife))</f>
        <v>0</v>
      </c>
      <c r="AR701" s="592">
        <f>IF(AR$3&gt;A18taxremlife,A18taxvalue-SUM($F701:AQ701),IF(A18taxremlife="N/A","n/a",A18taxvalue/A18taxremlife))</f>
        <v>0</v>
      </c>
      <c r="AS701" s="592">
        <f>IF(AS$3&gt;A18taxremlife,A18taxvalue-SUM($F701:AR701),IF(A18taxremlife="N/A","n/a",A18taxvalue/A18taxremlife))</f>
        <v>0</v>
      </c>
      <c r="AT701" s="592">
        <f>IF(AT$3&gt;A18taxremlife,A18taxvalue-SUM($F701:AS701),IF(A18taxremlife="N/A","n/a",A18taxvalue/A18taxremlife))</f>
        <v>0</v>
      </c>
      <c r="AU701" s="592">
        <f>IF(AU$3&gt;A18taxremlife,A18taxvalue-SUM($F701:AT701),IF(A18taxremlife="N/A","n/a",A18taxvalue/A18taxremlife))</f>
        <v>0</v>
      </c>
      <c r="AV701" s="592">
        <f>IF(AV$3&gt;A18taxremlife,A18taxvalue-SUM($F701:AU701),IF(A18taxremlife="N/A","n/a",A18taxvalue/A18taxremlife))</f>
        <v>0</v>
      </c>
      <c r="AW701" s="592">
        <f>IF(AW$3&gt;A18taxremlife,A18taxvalue-SUM($F701:AV701),IF(A18taxremlife="N/A","n/a",A18taxvalue/A18taxremlife))</f>
        <v>0</v>
      </c>
      <c r="AX701" s="592">
        <f>IF(AX$3&gt;A18taxremlife,A18taxvalue-SUM($F701:AW701),IF(A18taxremlife="N/A","n/a",A18taxvalue/A18taxremlife))</f>
        <v>0</v>
      </c>
      <c r="AY701" s="592">
        <f>IF(AY$3&gt;A18taxremlife,A18taxvalue-SUM($F701:AX701),IF(A18taxremlife="N/A","n/a",A18taxvalue/A18taxremlife))</f>
        <v>0</v>
      </c>
      <c r="AZ701" s="592">
        <f>IF(AZ$3&gt;A18taxremlife,A18taxvalue-SUM($F701:AY701),IF(A18taxremlife="N/A","n/a",A18taxvalue/A18taxremlife))</f>
        <v>0</v>
      </c>
      <c r="BA701" s="592">
        <f>IF(BA$3&gt;A18taxremlife,A18taxvalue-SUM($F701:AZ701),IF(A18taxremlife="N/A","n/a",A18taxvalue/A18taxremlife))</f>
        <v>0</v>
      </c>
      <c r="BB701" s="592">
        <f>IF(BB$3&gt;A18taxremlife,A18taxvalue-SUM($F701:BA701),IF(A18taxremlife="N/A","n/a",A18taxvalue/A18taxremlife))</f>
        <v>0</v>
      </c>
      <c r="BC701" s="592">
        <f>IF(BC$3&gt;A18taxremlife,A18taxvalue-SUM($F701:BB701),IF(A18taxremlife="N/A","n/a",A18taxvalue/A18taxremlife))</f>
        <v>0</v>
      </c>
      <c r="BD701" s="592">
        <f>IF(BD$3&gt;A18taxremlife,A18taxvalue-SUM($F701:BC701),IF(A18taxremlife="N/A","n/a",A18taxvalue/A18taxremlife))</f>
        <v>0</v>
      </c>
      <c r="BE701" s="592">
        <f>IF(BE$3&gt;A18taxremlife,A18taxvalue-SUM($F701:BD701),IF(A18taxremlife="N/A","n/a",A18taxvalue/A18taxremlife))</f>
        <v>0</v>
      </c>
      <c r="BF701" s="592">
        <f>IF(BF$3&gt;A18taxremlife,A18taxvalue-SUM($F701:BE701),IF(A18taxremlife="N/A","n/a",A18taxvalue/A18taxremlife))</f>
        <v>0</v>
      </c>
      <c r="BG701" s="592">
        <f>IF(BG$3&gt;A18taxremlife,A18taxvalue-SUM($F701:BF701),IF(A18taxremlife="N/A","n/a",A18taxvalue/A18taxremlife))</f>
        <v>0</v>
      </c>
      <c r="BH701" s="592">
        <f>IF(BH$3&gt;A18taxremlife,A18taxvalue-SUM($F701:BG701),IF(A18taxremlife="N/A","n/a",A18taxvalue/A18taxremlife))</f>
        <v>0</v>
      </c>
      <c r="BI701" s="592">
        <f>IF(BI$3&gt;A18taxremlife,A18taxvalue-SUM($F701:BH701),IF(A18taxremlife="N/A","n/a",A18taxvalue/A18taxremlife))</f>
        <v>0</v>
      </c>
      <c r="BJ701" s="240"/>
      <c r="BK701" s="240"/>
      <c r="BL701" s="240"/>
      <c r="BM701" s="240"/>
    </row>
    <row r="702" spans="1:65" s="4" customFormat="1" ht="12.75" hidden="1" customHeight="1" outlineLevel="2">
      <c r="A702" s="240"/>
      <c r="B702" s="240"/>
      <c r="C702" s="595"/>
      <c r="D702" s="1618" t="s">
        <v>357</v>
      </c>
      <c r="E702" s="169">
        <v>0</v>
      </c>
      <c r="F702" s="35"/>
      <c r="G702" s="107"/>
      <c r="H702" s="107"/>
      <c r="I702" s="107"/>
      <c r="J702" s="107"/>
      <c r="K702" s="107"/>
      <c r="L702" s="107"/>
      <c r="M702" s="107"/>
      <c r="N702" s="107"/>
      <c r="O702" s="107"/>
      <c r="P702" s="107"/>
      <c r="Q702" s="590"/>
      <c r="R702" s="590"/>
      <c r="S702" s="590"/>
      <c r="T702" s="590"/>
      <c r="U702" s="590"/>
      <c r="V702" s="590"/>
      <c r="W702" s="590"/>
      <c r="X702" s="590"/>
      <c r="Y702" s="590"/>
      <c r="Z702" s="590"/>
      <c r="AA702" s="590"/>
      <c r="AB702" s="590"/>
      <c r="AC702" s="590"/>
      <c r="AD702" s="590"/>
      <c r="AE702" s="590"/>
      <c r="AF702" s="590"/>
      <c r="AG702" s="590"/>
      <c r="AH702" s="590"/>
      <c r="AI702" s="590"/>
      <c r="AJ702" s="590"/>
      <c r="AK702" s="590"/>
      <c r="AL702" s="590"/>
      <c r="AM702" s="590"/>
      <c r="AN702" s="590"/>
      <c r="AO702" s="590"/>
      <c r="AP702" s="590"/>
      <c r="AQ702" s="590"/>
      <c r="AR702" s="590"/>
      <c r="AS702" s="590"/>
      <c r="AT702" s="590"/>
      <c r="AU702" s="590"/>
      <c r="AV702" s="590"/>
      <c r="AW702" s="590"/>
      <c r="AX702" s="590"/>
      <c r="AY702" s="590"/>
      <c r="AZ702" s="590"/>
      <c r="BA702" s="590"/>
      <c r="BB702" s="590"/>
      <c r="BC702" s="590"/>
      <c r="BD702" s="590"/>
      <c r="BE702" s="590"/>
      <c r="BF702" s="590"/>
      <c r="BG702" s="590"/>
      <c r="BH702" s="590"/>
      <c r="BI702" s="590"/>
      <c r="BJ702" s="240"/>
      <c r="BK702" s="240"/>
      <c r="BL702" s="240"/>
      <c r="BM702" s="240"/>
    </row>
    <row r="703" spans="1:65" s="4" customFormat="1" hidden="1" outlineLevel="2">
      <c r="A703" s="240"/>
      <c r="B703" s="240"/>
      <c r="C703" s="595"/>
      <c r="D703" s="1618"/>
      <c r="E703" s="169">
        <v>1</v>
      </c>
      <c r="F703" s="35"/>
      <c r="G703" s="183"/>
      <c r="H703" s="107">
        <f>IF(A18taxstdlife="n/a","n/a",IF(H$3&gt;(A18taxstdlife+$E703),(('PTRM input'!$G$160+'PTRM input'!$G$126)*$G$7)-SUM($G703:G703),(('PTRM input'!$G$160+'PTRM input'!$G$126)*$G$7)/A18taxstdlife))</f>
        <v>0</v>
      </c>
      <c r="I703" s="107">
        <f>IF(A18taxstdlife="n/a","n/a",IF(I$3&gt;(A18taxstdlife+$E703),(('PTRM input'!$G$160+'PTRM input'!$G$126)*$G$7)-SUM($G703:H703),(('PTRM input'!$G$160+'PTRM input'!$G$126)*$G$7)/A18taxstdlife))</f>
        <v>0</v>
      </c>
      <c r="J703" s="107">
        <f>IF(A18taxstdlife="n/a","n/a",IF(J$3&gt;(A18taxstdlife+$E703),(('PTRM input'!$G$160+'PTRM input'!$G$126)*$G$7)-SUM($G703:I703),(('PTRM input'!$G$160+'PTRM input'!$G$126)*$G$7)/A18taxstdlife))</f>
        <v>0</v>
      </c>
      <c r="K703" s="107">
        <f>IF(A18taxstdlife="n/a","n/a",IF(K$3&gt;(A18taxstdlife+$E703),(('PTRM input'!$G$160+'PTRM input'!$G$126)*$G$7)-SUM($G703:J703),(('PTRM input'!$G$160+'PTRM input'!$G$126)*$G$7)/A18taxstdlife))</f>
        <v>0</v>
      </c>
      <c r="L703" s="107">
        <f>IF(A18taxstdlife="n/a","n/a",IF(L$3&gt;(A18taxstdlife+$E703),(('PTRM input'!$G$160+'PTRM input'!$G$126)*$G$7)-SUM($G703:K703),(('PTRM input'!$G$160+'PTRM input'!$G$126)*$G$7)/A18taxstdlife))</f>
        <v>0</v>
      </c>
      <c r="M703" s="107">
        <f>IF(A18taxstdlife="n/a","n/a",IF(M$3&gt;(A18taxstdlife+$E703),(('PTRM input'!$G$160+'PTRM input'!$G$126)*$G$7)-SUM($G703:L703),(('PTRM input'!$G$160+'PTRM input'!$G$126)*$G$7)/A18taxstdlife))</f>
        <v>0</v>
      </c>
      <c r="N703" s="107">
        <f>IF(A18taxstdlife="n/a","n/a",IF(N$3&gt;(A18taxstdlife+$E703),(('PTRM input'!$G$160+'PTRM input'!$G$126)*$G$7)-SUM($G703:M703),(('PTRM input'!$G$160+'PTRM input'!$G$126)*$G$7)/A18taxstdlife))</f>
        <v>0</v>
      </c>
      <c r="O703" s="107">
        <f>IF(A18taxstdlife="n/a","n/a",IF(O$3&gt;(A18taxstdlife+$E703),(('PTRM input'!$G$160+'PTRM input'!$G$126)*$G$7)-SUM($G703:N703),(('PTRM input'!$G$160+'PTRM input'!$G$126)*$G$7)/A18taxstdlife))</f>
        <v>0</v>
      </c>
      <c r="P703" s="107">
        <f>IF(A18taxstdlife="n/a","n/a",IF(P$3&gt;(A18taxstdlife+$E703),(('PTRM input'!$G$160+'PTRM input'!$G$126)*$G$7)-SUM($G703:O703),(('PTRM input'!$G$160+'PTRM input'!$G$126)*$G$7)/A18taxstdlife))</f>
        <v>0</v>
      </c>
      <c r="Q703" s="590">
        <f>IF(A18taxstdlife="n/a","n/a",IF(Q$3&gt;(A18taxstdlife+$E703),(('PTRM input'!$G$160+'PTRM input'!$G$126)*$G$7)-SUM($G703:P703),(('PTRM input'!$G$160+'PTRM input'!$G$126)*$G$7)/A18taxstdlife))</f>
        <v>0</v>
      </c>
      <c r="R703" s="590">
        <f>IF(A18taxstdlife="n/a","n/a",IF(R$3&gt;(A18taxstdlife+$E703),(('PTRM input'!$G$160+'PTRM input'!$G$126)*$G$7)-SUM($G703:Q703),(('PTRM input'!$G$160+'PTRM input'!$G$126)*$G$7)/A18taxstdlife))</f>
        <v>0</v>
      </c>
      <c r="S703" s="590">
        <f>IF(A18taxstdlife="n/a","n/a",IF(S$3&gt;(A18taxstdlife+$E703),(('PTRM input'!$G$160+'PTRM input'!$G$126)*$G$7)-SUM($G703:R703),(('PTRM input'!$G$160+'PTRM input'!$G$126)*$G$7)/A18taxstdlife))</f>
        <v>0</v>
      </c>
      <c r="T703" s="590">
        <f>IF(A18taxstdlife="n/a","n/a",IF(T$3&gt;(A18taxstdlife+$E703),(('PTRM input'!$G$160+'PTRM input'!$G$126)*$G$7)-SUM($G703:S703),(('PTRM input'!$G$160+'PTRM input'!$G$126)*$G$7)/A18taxstdlife))</f>
        <v>0</v>
      </c>
      <c r="U703" s="590">
        <f>IF(A18taxstdlife="n/a","n/a",IF(U$3&gt;(A18taxstdlife+$E703),(('PTRM input'!$G$160+'PTRM input'!$G$126)*$G$7)-SUM($G703:T703),(('PTRM input'!$G$160+'PTRM input'!$G$126)*$G$7)/A18taxstdlife))</f>
        <v>0</v>
      </c>
      <c r="V703" s="590">
        <f>IF(A18taxstdlife="n/a","n/a",IF(V$3&gt;(A18taxstdlife+$E703),(('PTRM input'!$G$160+'PTRM input'!$G$126)*$G$7)-SUM($G703:U703),(('PTRM input'!$G$160+'PTRM input'!$G$126)*$G$7)/A18taxstdlife))</f>
        <v>0</v>
      </c>
      <c r="W703" s="590">
        <f>IF(A18taxstdlife="n/a","n/a",IF(W$3&gt;(A18taxstdlife+$E703),(('PTRM input'!$G$160+'PTRM input'!$G$126)*$G$7)-SUM($G703:V703),(('PTRM input'!$G$160+'PTRM input'!$G$126)*$G$7)/A18taxstdlife))</f>
        <v>0</v>
      </c>
      <c r="X703" s="590">
        <f>IF(A18taxstdlife="n/a","n/a",IF(X$3&gt;(A18taxstdlife+$E703),(('PTRM input'!$G$160+'PTRM input'!$G$126)*$G$7)-SUM($G703:W703),(('PTRM input'!$G$160+'PTRM input'!$G$126)*$G$7)/A18taxstdlife))</f>
        <v>0</v>
      </c>
      <c r="Y703" s="590">
        <f>IF(A18taxstdlife="n/a","n/a",IF(Y$3&gt;(A18taxstdlife+$E703),(('PTRM input'!$G$160+'PTRM input'!$G$126)*$G$7)-SUM($G703:X703),(('PTRM input'!$G$160+'PTRM input'!$G$126)*$G$7)/A18taxstdlife))</f>
        <v>0</v>
      </c>
      <c r="Z703" s="590">
        <f>IF(A18taxstdlife="n/a","n/a",IF(Z$3&gt;(A18taxstdlife+$E703),(('PTRM input'!$G$160+'PTRM input'!$G$126)*$G$7)-SUM($G703:Y703),(('PTRM input'!$G$160+'PTRM input'!$G$126)*$G$7)/A18taxstdlife))</f>
        <v>0</v>
      </c>
      <c r="AA703" s="590">
        <f>IF(A18taxstdlife="n/a","n/a",IF(AA$3&gt;(A18taxstdlife+$E703),(('PTRM input'!$G$160+'PTRM input'!$G$126)*$G$7)-SUM($G703:Z703),(('PTRM input'!$G$160+'PTRM input'!$G$126)*$G$7)/A18taxstdlife))</f>
        <v>0</v>
      </c>
      <c r="AB703" s="590">
        <f>IF(A18taxstdlife="n/a","n/a",IF(AB$3&gt;(A18taxstdlife+$E703),(('PTRM input'!$G$160+'PTRM input'!$G$126)*$G$7)-SUM($G703:AA703),(('PTRM input'!$G$160+'PTRM input'!$G$126)*$G$7)/A18taxstdlife))</f>
        <v>0</v>
      </c>
      <c r="AC703" s="590">
        <f>IF(A18taxstdlife="n/a","n/a",IF(AC$3&gt;(A18taxstdlife+$E703),(('PTRM input'!$G$160+'PTRM input'!$G$126)*$G$7)-SUM($G703:AB703),(('PTRM input'!$G$160+'PTRM input'!$G$126)*$G$7)/A18taxstdlife))</f>
        <v>0</v>
      </c>
      <c r="AD703" s="590">
        <f>IF(A18taxstdlife="n/a","n/a",IF(AD$3&gt;(A18taxstdlife+$E703),(('PTRM input'!$G$160+'PTRM input'!$G$126)*$G$7)-SUM($G703:AC703),(('PTRM input'!$G$160+'PTRM input'!$G$126)*$G$7)/A18taxstdlife))</f>
        <v>0</v>
      </c>
      <c r="AE703" s="590">
        <f>IF(A18taxstdlife="n/a","n/a",IF(AE$3&gt;(A18taxstdlife+$E703),(('PTRM input'!$G$160+'PTRM input'!$G$126)*$G$7)-SUM($G703:AD703),(('PTRM input'!$G$160+'PTRM input'!$G$126)*$G$7)/A18taxstdlife))</f>
        <v>0</v>
      </c>
      <c r="AF703" s="590">
        <f>IF(A18taxstdlife="n/a","n/a",IF(AF$3&gt;(A18taxstdlife+$E703),(('PTRM input'!$G$160+'PTRM input'!$G$126)*$G$7)-SUM($G703:AE703),(('PTRM input'!$G$160+'PTRM input'!$G$126)*$G$7)/A18taxstdlife))</f>
        <v>0</v>
      </c>
      <c r="AG703" s="590">
        <f>IF(A18taxstdlife="n/a","n/a",IF(AG$3&gt;(A18taxstdlife+$E703),(('PTRM input'!$G$160+'PTRM input'!$G$126)*$G$7)-SUM($G703:AF703),(('PTRM input'!$G$160+'PTRM input'!$G$126)*$G$7)/A18taxstdlife))</f>
        <v>0</v>
      </c>
      <c r="AH703" s="590">
        <f>IF(A18taxstdlife="n/a","n/a",IF(AH$3&gt;(A18taxstdlife+$E703),(('PTRM input'!$G$160+'PTRM input'!$G$126)*$G$7)-SUM($G703:AG703),(('PTRM input'!$G$160+'PTRM input'!$G$126)*$G$7)/A18taxstdlife))</f>
        <v>0</v>
      </c>
      <c r="AI703" s="590">
        <f>IF(A18taxstdlife="n/a","n/a",IF(AI$3&gt;(A18taxstdlife+$E703),(('PTRM input'!$G$160+'PTRM input'!$G$126)*$G$7)-SUM($G703:AH703),(('PTRM input'!$G$160+'PTRM input'!$G$126)*$G$7)/A18taxstdlife))</f>
        <v>0</v>
      </c>
      <c r="AJ703" s="590">
        <f>IF(A18taxstdlife="n/a","n/a",IF(AJ$3&gt;(A18taxstdlife+$E703),(('PTRM input'!$G$160+'PTRM input'!$G$126)*$G$7)-SUM($G703:AI703),(('PTRM input'!$G$160+'PTRM input'!$G$126)*$G$7)/A18taxstdlife))</f>
        <v>0</v>
      </c>
      <c r="AK703" s="590">
        <f>IF(A18taxstdlife="n/a","n/a",IF(AK$3&gt;(A18taxstdlife+$E703),(('PTRM input'!$G$160+'PTRM input'!$G$126)*$G$7)-SUM($G703:AJ703),(('PTRM input'!$G$160+'PTRM input'!$G$126)*$G$7)/A18taxstdlife))</f>
        <v>0</v>
      </c>
      <c r="AL703" s="590">
        <f>IF(A18taxstdlife="n/a","n/a",IF(AL$3&gt;(A18taxstdlife+$E703),(('PTRM input'!$G$160+'PTRM input'!$G$126)*$G$7)-SUM($G703:AK703),(('PTRM input'!$G$160+'PTRM input'!$G$126)*$G$7)/A18taxstdlife))</f>
        <v>0</v>
      </c>
      <c r="AM703" s="590">
        <f>IF(A18taxstdlife="n/a","n/a",IF(AM$3&gt;(A18taxstdlife+$E703),(('PTRM input'!$G$160+'PTRM input'!$G$126)*$G$7)-SUM($G703:AL703),(('PTRM input'!$G$160+'PTRM input'!$G$126)*$G$7)/A18taxstdlife))</f>
        <v>0</v>
      </c>
      <c r="AN703" s="590">
        <f>IF(A18taxstdlife="n/a","n/a",IF(AN$3&gt;(A18taxstdlife+$E703),(('PTRM input'!$G$160+'PTRM input'!$G$126)*$G$7)-SUM($G703:AM703),(('PTRM input'!$G$160+'PTRM input'!$G$126)*$G$7)/A18taxstdlife))</f>
        <v>0</v>
      </c>
      <c r="AO703" s="590">
        <f>IF(A18taxstdlife="n/a","n/a",IF(AO$3&gt;(A18taxstdlife+$E703),(('PTRM input'!$G$160+'PTRM input'!$G$126)*$G$7)-SUM($G703:AN703),(('PTRM input'!$G$160+'PTRM input'!$G$126)*$G$7)/A18taxstdlife))</f>
        <v>0</v>
      </c>
      <c r="AP703" s="590">
        <f>IF(A18taxstdlife="n/a","n/a",IF(AP$3&gt;(A18taxstdlife+$E703),(('PTRM input'!$G$160+'PTRM input'!$G$126)*$G$7)-SUM($G703:AO703),(('PTRM input'!$G$160+'PTRM input'!$G$126)*$G$7)/A18taxstdlife))</f>
        <v>0</v>
      </c>
      <c r="AQ703" s="590">
        <f>IF(A18taxstdlife="n/a","n/a",IF(AQ$3&gt;(A18taxstdlife+$E703),(('PTRM input'!$G$160+'PTRM input'!$G$126)*$G$7)-SUM($G703:AP703),(('PTRM input'!$G$160+'PTRM input'!$G$126)*$G$7)/A18taxstdlife))</f>
        <v>0</v>
      </c>
      <c r="AR703" s="590">
        <f>IF(A18taxstdlife="n/a","n/a",IF(AR$3&gt;(A18taxstdlife+$E703),(('PTRM input'!$G$160+'PTRM input'!$G$126)*$G$7)-SUM($G703:AQ703),(('PTRM input'!$G$160+'PTRM input'!$G$126)*$G$7)/A18taxstdlife))</f>
        <v>0</v>
      </c>
      <c r="AS703" s="590">
        <f>IF(A18taxstdlife="n/a","n/a",IF(AS$3&gt;(A18taxstdlife+$E703),(('PTRM input'!$G$160+'PTRM input'!$G$126)*$G$7)-SUM($G703:AR703),(('PTRM input'!$G$160+'PTRM input'!$G$126)*$G$7)/A18taxstdlife))</f>
        <v>0</v>
      </c>
      <c r="AT703" s="590">
        <f>IF(A18taxstdlife="n/a","n/a",IF(AT$3&gt;(A18taxstdlife+$E703),(('PTRM input'!$G$160+'PTRM input'!$G$126)*$G$7)-SUM($G703:AS703),(('PTRM input'!$G$160+'PTRM input'!$G$126)*$G$7)/A18taxstdlife))</f>
        <v>0</v>
      </c>
      <c r="AU703" s="590">
        <f>IF(A18taxstdlife="n/a","n/a",IF(AU$3&gt;(A18taxstdlife+$E703),(('PTRM input'!$G$160+'PTRM input'!$G$126)*$G$7)-SUM($G703:AT703),(('PTRM input'!$G$160+'PTRM input'!$G$126)*$G$7)/A18taxstdlife))</f>
        <v>0</v>
      </c>
      <c r="AV703" s="590">
        <f>IF(A18taxstdlife="n/a","n/a",IF(AV$3&gt;(A18taxstdlife+$E703),(('PTRM input'!$G$160+'PTRM input'!$G$126)*$G$7)-SUM($G703:AU703),(('PTRM input'!$G$160+'PTRM input'!$G$126)*$G$7)/A18taxstdlife))</f>
        <v>0</v>
      </c>
      <c r="AW703" s="590">
        <f>IF(A18taxstdlife="n/a","n/a",IF(AW$3&gt;(A18taxstdlife+$E703),(('PTRM input'!$G$160+'PTRM input'!$G$126)*$G$7)-SUM($G703:AV703),(('PTRM input'!$G$160+'PTRM input'!$G$126)*$G$7)/A18taxstdlife))</f>
        <v>0</v>
      </c>
      <c r="AX703" s="590">
        <f>IF(A18taxstdlife="n/a","n/a",IF(AX$3&gt;(A18taxstdlife+$E703),(('PTRM input'!$G$160+'PTRM input'!$G$126)*$G$7)-SUM($G703:AW703),(('PTRM input'!$G$160+'PTRM input'!$G$126)*$G$7)/A18taxstdlife))</f>
        <v>0</v>
      </c>
      <c r="AY703" s="590">
        <f>IF(A18taxstdlife="n/a","n/a",IF(AY$3&gt;(A18taxstdlife+$E703),(('PTRM input'!$G$160+'PTRM input'!$G$126)*$G$7)-SUM($G703:AX703),(('PTRM input'!$G$160+'PTRM input'!$G$126)*$G$7)/A18taxstdlife))</f>
        <v>0</v>
      </c>
      <c r="AZ703" s="590">
        <f>IF(A18taxstdlife="n/a","n/a",IF(AZ$3&gt;(A18taxstdlife+$E703),(('PTRM input'!$G$160+'PTRM input'!$G$126)*$G$7)-SUM($G703:AY703),(('PTRM input'!$G$160+'PTRM input'!$G$126)*$G$7)/A18taxstdlife))</f>
        <v>0</v>
      </c>
      <c r="BA703" s="590">
        <f>IF(A18taxstdlife="n/a","n/a",IF(BA$3&gt;(A18taxstdlife+$E703),(('PTRM input'!$G$160+'PTRM input'!$G$126)*$G$7)-SUM($G703:AZ703),(('PTRM input'!$G$160+'PTRM input'!$G$126)*$G$7)/A18taxstdlife))</f>
        <v>0</v>
      </c>
      <c r="BB703" s="590">
        <f>IF(A18taxstdlife="n/a","n/a",IF(BB$3&gt;(A18taxstdlife+$E703),(('PTRM input'!$G$160+'PTRM input'!$G$126)*$G$7)-SUM($G703:BA703),(('PTRM input'!$G$160+'PTRM input'!$G$126)*$G$7)/A18taxstdlife))</f>
        <v>0</v>
      </c>
      <c r="BC703" s="590">
        <f>IF(A18taxstdlife="n/a","n/a",IF(BC$3&gt;(A18taxstdlife+$E703),(('PTRM input'!$G$160+'PTRM input'!$G$126)*$G$7)-SUM($G703:BB703),(('PTRM input'!$G$160+'PTRM input'!$G$126)*$G$7)/A18taxstdlife))</f>
        <v>0</v>
      </c>
      <c r="BD703" s="590">
        <f>IF(A18taxstdlife="n/a","n/a",IF(BD$3&gt;(A18taxstdlife+$E703),(('PTRM input'!$G$160+'PTRM input'!$G$126)*$G$7)-SUM($G703:BC703),(('PTRM input'!$G$160+'PTRM input'!$G$126)*$G$7)/A18taxstdlife))</f>
        <v>0</v>
      </c>
      <c r="BE703" s="590">
        <f>IF(A18taxstdlife="n/a","n/a",IF(BE$3&gt;(A18taxstdlife+$E703),(('PTRM input'!$G$160+'PTRM input'!$G$126)*$G$7)-SUM($G703:BD703),(('PTRM input'!$G$160+'PTRM input'!$G$126)*$G$7)/A18taxstdlife))</f>
        <v>0</v>
      </c>
      <c r="BF703" s="590">
        <f>IF(A18taxstdlife="n/a","n/a",IF(BF$3&gt;(A18taxstdlife+$E703),(('PTRM input'!$G$160+'PTRM input'!$G$126)*$G$7)-SUM($G703:BE703),(('PTRM input'!$G$160+'PTRM input'!$G$126)*$G$7)/A18taxstdlife))</f>
        <v>0</v>
      </c>
      <c r="BG703" s="590">
        <f>IF(A18taxstdlife="n/a","n/a",IF(BG$3&gt;(A18taxstdlife+$E703),(('PTRM input'!$G$160+'PTRM input'!$G$126)*$G$7)-SUM($G703:BF703),(('PTRM input'!$G$160+'PTRM input'!$G$126)*$G$7)/A18taxstdlife))</f>
        <v>0</v>
      </c>
      <c r="BH703" s="590">
        <f>IF(A18taxstdlife="n/a","n/a",IF(BH$3&gt;(A18taxstdlife+$E703),(('PTRM input'!$G$160+'PTRM input'!$G$126)*$G$7)-SUM($G703:BG703),(('PTRM input'!$G$160+'PTRM input'!$G$126)*$G$7)/A18taxstdlife))</f>
        <v>0</v>
      </c>
      <c r="BI703" s="590">
        <f>IF(A18taxstdlife="n/a","n/a",IF(BI$3&gt;(A18taxstdlife+$E703),(('PTRM input'!$G$160+'PTRM input'!$G$126)*$G$7)-SUM($G703:BH703),(('PTRM input'!$G$160+'PTRM input'!$G$126)*$G$7)/A18taxstdlife))</f>
        <v>0</v>
      </c>
      <c r="BJ703" s="240"/>
      <c r="BK703" s="240"/>
      <c r="BL703" s="240"/>
      <c r="BM703" s="240"/>
    </row>
    <row r="704" spans="1:65" s="4" customFormat="1" hidden="1" outlineLevel="2">
      <c r="A704" s="240"/>
      <c r="B704" s="240"/>
      <c r="C704" s="595"/>
      <c r="D704" s="1618"/>
      <c r="E704" s="169">
        <v>2</v>
      </c>
      <c r="F704" s="35"/>
      <c r="G704" s="184"/>
      <c r="H704" s="185"/>
      <c r="I704" s="107">
        <f>IF(A18taxstdlife="n/a","n/a",IF(I$3&gt;(A18taxstdlife+$E704),(('PTRM input'!$H$160+'PTRM input'!$H$126)*$H$7)-SUM($H704:H704),(('PTRM input'!$H$160+'PTRM input'!$H$126)*$H$7)/A18taxstdlife))</f>
        <v>0</v>
      </c>
      <c r="J704" s="107">
        <f>IF(A18taxstdlife="n/a","n/a",IF(J$3&gt;(A18taxstdlife+$E704),(('PTRM input'!$H$160+'PTRM input'!$H$126)*$H$7)-SUM($H704:I704),(('PTRM input'!$H$160+'PTRM input'!$H$126)*$H$7)/A18taxstdlife))</f>
        <v>0</v>
      </c>
      <c r="K704" s="107">
        <f>IF(A18taxstdlife="n/a","n/a",IF(K$3&gt;(A18taxstdlife+$E704),(('PTRM input'!$H$160+'PTRM input'!$H$126)*$H$7)-SUM($H704:J704),(('PTRM input'!$H$160+'PTRM input'!$H$126)*$H$7)/A18taxstdlife))</f>
        <v>0</v>
      </c>
      <c r="L704" s="107">
        <f>IF(A18taxstdlife="n/a","n/a",IF(L$3&gt;(A18taxstdlife+$E704),(('PTRM input'!$H$160+'PTRM input'!$H$126)*$H$7)-SUM($H704:K704),(('PTRM input'!$H$160+'PTRM input'!$H$126)*$H$7)/A18taxstdlife))</f>
        <v>0</v>
      </c>
      <c r="M704" s="107">
        <f>IF(A18taxstdlife="n/a","n/a",IF(M$3&gt;(A18taxstdlife+$E704),(('PTRM input'!$H$160+'PTRM input'!$H$126)*$H$7)-SUM($H704:L704),(('PTRM input'!$H$160+'PTRM input'!$H$126)*$H$7)/A18taxstdlife))</f>
        <v>0</v>
      </c>
      <c r="N704" s="107">
        <f>IF(A18taxstdlife="n/a","n/a",IF(N$3&gt;(A18taxstdlife+$E704),(('PTRM input'!$H$160+'PTRM input'!$H$126)*$H$7)-SUM($H704:M704),(('PTRM input'!$H$160+'PTRM input'!$H$126)*$H$7)/A18taxstdlife))</f>
        <v>0</v>
      </c>
      <c r="O704" s="107">
        <f>IF(A18taxstdlife="n/a","n/a",IF(O$3&gt;(A18taxstdlife+$E704),(('PTRM input'!$H$160+'PTRM input'!$H$126)*$H$7)-SUM($H704:N704),(('PTRM input'!$H$160+'PTRM input'!$H$126)*$H$7)/A18taxstdlife))</f>
        <v>0</v>
      </c>
      <c r="P704" s="107">
        <f>IF(A18taxstdlife="n/a","n/a",IF(P$3&gt;(A18taxstdlife+$E704),(('PTRM input'!$H$160+'PTRM input'!$H$126)*$H$7)-SUM($H704:O704),(('PTRM input'!$H$160+'PTRM input'!$H$126)*$H$7)/A18taxstdlife))</f>
        <v>0</v>
      </c>
      <c r="Q704" s="590">
        <f>IF(A18taxstdlife="n/a","n/a",IF(Q$3&gt;(A18taxstdlife+$E704),(('PTRM input'!$H$160+'PTRM input'!$H$126)*$H$7)-SUM($H704:P704),(('PTRM input'!$H$160+'PTRM input'!$H$126)*$H$7)/A18taxstdlife))</f>
        <v>0</v>
      </c>
      <c r="R704" s="590">
        <f>IF(A18taxstdlife="n/a","n/a",IF(R$3&gt;(A18taxstdlife+$E704),(('PTRM input'!$H$160+'PTRM input'!$H$126)*$H$7)-SUM($H704:Q704),(('PTRM input'!$H$160+'PTRM input'!$H$126)*$H$7)/A18taxstdlife))</f>
        <v>0</v>
      </c>
      <c r="S704" s="590">
        <f>IF(A18taxstdlife="n/a","n/a",IF(S$3&gt;(A18taxstdlife+$E704),(('PTRM input'!$H$160+'PTRM input'!$H$126)*$H$7)-SUM($H704:R704),(('PTRM input'!$H$160+'PTRM input'!$H$126)*$H$7)/A18taxstdlife))</f>
        <v>0</v>
      </c>
      <c r="T704" s="590">
        <f>IF(A18taxstdlife="n/a","n/a",IF(T$3&gt;(A18taxstdlife+$E704),(('PTRM input'!$H$160+'PTRM input'!$H$126)*$H$7)-SUM($H704:S704),(('PTRM input'!$H$160+'PTRM input'!$H$126)*$H$7)/A18taxstdlife))</f>
        <v>0</v>
      </c>
      <c r="U704" s="590">
        <f>IF(A18taxstdlife="n/a","n/a",IF(U$3&gt;(A18taxstdlife+$E704),(('PTRM input'!$H$160+'PTRM input'!$H$126)*$H$7)-SUM($H704:T704),(('PTRM input'!$H$160+'PTRM input'!$H$126)*$H$7)/A18taxstdlife))</f>
        <v>0</v>
      </c>
      <c r="V704" s="590">
        <f>IF(A18taxstdlife="n/a","n/a",IF(V$3&gt;(A18taxstdlife+$E704),(('PTRM input'!$H$160+'PTRM input'!$H$126)*$H$7)-SUM($H704:U704),(('PTRM input'!$H$160+'PTRM input'!$H$126)*$H$7)/A18taxstdlife))</f>
        <v>0</v>
      </c>
      <c r="W704" s="590">
        <f>IF(A18taxstdlife="n/a","n/a",IF(W$3&gt;(A18taxstdlife+$E704),(('PTRM input'!$H$160+'PTRM input'!$H$126)*$H$7)-SUM($H704:V704),(('PTRM input'!$H$160+'PTRM input'!$H$126)*$H$7)/A18taxstdlife))</f>
        <v>0</v>
      </c>
      <c r="X704" s="590">
        <f>IF(A18taxstdlife="n/a","n/a",IF(X$3&gt;(A18taxstdlife+$E704),(('PTRM input'!$H$160+'PTRM input'!$H$126)*$H$7)-SUM($H704:W704),(('PTRM input'!$H$160+'PTRM input'!$H$126)*$H$7)/A18taxstdlife))</f>
        <v>0</v>
      </c>
      <c r="Y704" s="590">
        <f>IF(A18taxstdlife="n/a","n/a",IF(Y$3&gt;(A18taxstdlife+$E704),(('PTRM input'!$H$160+'PTRM input'!$H$126)*$H$7)-SUM($H704:X704),(('PTRM input'!$H$160+'PTRM input'!$H$126)*$H$7)/A18taxstdlife))</f>
        <v>0</v>
      </c>
      <c r="Z704" s="590">
        <f>IF(A18taxstdlife="n/a","n/a",IF(Z$3&gt;(A18taxstdlife+$E704),(('PTRM input'!$H$160+'PTRM input'!$H$126)*$H$7)-SUM($H704:Y704),(('PTRM input'!$H$160+'PTRM input'!$H$126)*$H$7)/A18taxstdlife))</f>
        <v>0</v>
      </c>
      <c r="AA704" s="590">
        <f>IF(A18taxstdlife="n/a","n/a",IF(AA$3&gt;(A18taxstdlife+$E704),(('PTRM input'!$H$160+'PTRM input'!$H$126)*$H$7)-SUM($H704:Z704),(('PTRM input'!$H$160+'PTRM input'!$H$126)*$H$7)/A18taxstdlife))</f>
        <v>0</v>
      </c>
      <c r="AB704" s="590">
        <f>IF(A18taxstdlife="n/a","n/a",IF(AB$3&gt;(A18taxstdlife+$E704),(('PTRM input'!$H$160+'PTRM input'!$H$126)*$H$7)-SUM($H704:AA704),(('PTRM input'!$H$160+'PTRM input'!$H$126)*$H$7)/A18taxstdlife))</f>
        <v>0</v>
      </c>
      <c r="AC704" s="590">
        <f>IF(A18taxstdlife="n/a","n/a",IF(AC$3&gt;(A18taxstdlife+$E704),(('PTRM input'!$H$160+'PTRM input'!$H$126)*$H$7)-SUM($H704:AB704),(('PTRM input'!$H$160+'PTRM input'!$H$126)*$H$7)/A18taxstdlife))</f>
        <v>0</v>
      </c>
      <c r="AD704" s="590">
        <f>IF(A18taxstdlife="n/a","n/a",IF(AD$3&gt;(A18taxstdlife+$E704),(('PTRM input'!$H$160+'PTRM input'!$H$126)*$H$7)-SUM($H704:AC704),(('PTRM input'!$H$160+'PTRM input'!$H$126)*$H$7)/A18taxstdlife))</f>
        <v>0</v>
      </c>
      <c r="AE704" s="590">
        <f>IF(A18taxstdlife="n/a","n/a",IF(AE$3&gt;(A18taxstdlife+$E704),(('PTRM input'!$H$160+'PTRM input'!$H$126)*$H$7)-SUM($H704:AD704),(('PTRM input'!$H$160+'PTRM input'!$H$126)*$H$7)/A18taxstdlife))</f>
        <v>0</v>
      </c>
      <c r="AF704" s="590">
        <f>IF(A18taxstdlife="n/a","n/a",IF(AF$3&gt;(A18taxstdlife+$E704),(('PTRM input'!$H$160+'PTRM input'!$H$126)*$H$7)-SUM($H704:AE704),(('PTRM input'!$H$160+'PTRM input'!$H$126)*$H$7)/A18taxstdlife))</f>
        <v>0</v>
      </c>
      <c r="AG704" s="590">
        <f>IF(A18taxstdlife="n/a","n/a",IF(AG$3&gt;(A18taxstdlife+$E704),(('PTRM input'!$H$160+'PTRM input'!$H$126)*$H$7)-SUM($H704:AF704),(('PTRM input'!$H$160+'PTRM input'!$H$126)*$H$7)/A18taxstdlife))</f>
        <v>0</v>
      </c>
      <c r="AH704" s="590">
        <f>IF(A18taxstdlife="n/a","n/a",IF(AH$3&gt;(A18taxstdlife+$E704),(('PTRM input'!$H$160+'PTRM input'!$H$126)*$H$7)-SUM($H704:AG704),(('PTRM input'!$H$160+'PTRM input'!$H$126)*$H$7)/A18taxstdlife))</f>
        <v>0</v>
      </c>
      <c r="AI704" s="590">
        <f>IF(A18taxstdlife="n/a","n/a",IF(AI$3&gt;(A18taxstdlife+$E704),(('PTRM input'!$H$160+'PTRM input'!$H$126)*$H$7)-SUM($H704:AH704),(('PTRM input'!$H$160+'PTRM input'!$H$126)*$H$7)/A18taxstdlife))</f>
        <v>0</v>
      </c>
      <c r="AJ704" s="590">
        <f>IF(A18taxstdlife="n/a","n/a",IF(AJ$3&gt;(A18taxstdlife+$E704),(('PTRM input'!$H$160+'PTRM input'!$H$126)*$H$7)-SUM($H704:AI704),(('PTRM input'!$H$160+'PTRM input'!$H$126)*$H$7)/A18taxstdlife))</f>
        <v>0</v>
      </c>
      <c r="AK704" s="590">
        <f>IF(A18taxstdlife="n/a","n/a",IF(AK$3&gt;(A18taxstdlife+$E704),(('PTRM input'!$H$160+'PTRM input'!$H$126)*$H$7)-SUM($H704:AJ704),(('PTRM input'!$H$160+'PTRM input'!$H$126)*$H$7)/A18taxstdlife))</f>
        <v>0</v>
      </c>
      <c r="AL704" s="590">
        <f>IF(A18taxstdlife="n/a","n/a",IF(AL$3&gt;(A18taxstdlife+$E704),(('PTRM input'!$H$160+'PTRM input'!$H$126)*$H$7)-SUM($H704:AK704),(('PTRM input'!$H$160+'PTRM input'!$H$126)*$H$7)/A18taxstdlife))</f>
        <v>0</v>
      </c>
      <c r="AM704" s="590">
        <f>IF(A18taxstdlife="n/a","n/a",IF(AM$3&gt;(A18taxstdlife+$E704),(('PTRM input'!$H$160+'PTRM input'!$H$126)*$H$7)-SUM($H704:AL704),(('PTRM input'!$H$160+'PTRM input'!$H$126)*$H$7)/A18taxstdlife))</f>
        <v>0</v>
      </c>
      <c r="AN704" s="590">
        <f>IF(A18taxstdlife="n/a","n/a",IF(AN$3&gt;(A18taxstdlife+$E704),(('PTRM input'!$H$160+'PTRM input'!$H$126)*$H$7)-SUM($H704:AM704),(('PTRM input'!$H$160+'PTRM input'!$H$126)*$H$7)/A18taxstdlife))</f>
        <v>0</v>
      </c>
      <c r="AO704" s="590">
        <f>IF(A18taxstdlife="n/a","n/a",IF(AO$3&gt;(A18taxstdlife+$E704),(('PTRM input'!$H$160+'PTRM input'!$H$126)*$H$7)-SUM($H704:AN704),(('PTRM input'!$H$160+'PTRM input'!$H$126)*$H$7)/A18taxstdlife))</f>
        <v>0</v>
      </c>
      <c r="AP704" s="590">
        <f>IF(A18taxstdlife="n/a","n/a",IF(AP$3&gt;(A18taxstdlife+$E704),(('PTRM input'!$H$160+'PTRM input'!$H$126)*$H$7)-SUM($H704:AO704),(('PTRM input'!$H$160+'PTRM input'!$H$126)*$H$7)/A18taxstdlife))</f>
        <v>0</v>
      </c>
      <c r="AQ704" s="590">
        <f>IF(A18taxstdlife="n/a","n/a",IF(AQ$3&gt;(A18taxstdlife+$E704),(('PTRM input'!$H$160+'PTRM input'!$H$126)*$H$7)-SUM($H704:AP704),(('PTRM input'!$H$160+'PTRM input'!$H$126)*$H$7)/A18taxstdlife))</f>
        <v>0</v>
      </c>
      <c r="AR704" s="590">
        <f>IF(A18taxstdlife="n/a","n/a",IF(AR$3&gt;(A18taxstdlife+$E704),(('PTRM input'!$H$160+'PTRM input'!$H$126)*$H$7)-SUM($H704:AQ704),(('PTRM input'!$H$160+'PTRM input'!$H$126)*$H$7)/A18taxstdlife))</f>
        <v>0</v>
      </c>
      <c r="AS704" s="590">
        <f>IF(A18taxstdlife="n/a","n/a",IF(AS$3&gt;(A18taxstdlife+$E704),(('PTRM input'!$H$160+'PTRM input'!$H$126)*$H$7)-SUM($H704:AR704),(('PTRM input'!$H$160+'PTRM input'!$H$126)*$H$7)/A18taxstdlife))</f>
        <v>0</v>
      </c>
      <c r="AT704" s="590">
        <f>IF(A18taxstdlife="n/a","n/a",IF(AT$3&gt;(A18taxstdlife+$E704),(('PTRM input'!$H$160+'PTRM input'!$H$126)*$H$7)-SUM($H704:AS704),(('PTRM input'!$H$160+'PTRM input'!$H$126)*$H$7)/A18taxstdlife))</f>
        <v>0</v>
      </c>
      <c r="AU704" s="590">
        <f>IF(A18taxstdlife="n/a","n/a",IF(AU$3&gt;(A18taxstdlife+$E704),(('PTRM input'!$H$160+'PTRM input'!$H$126)*$H$7)-SUM($H704:AT704),(('PTRM input'!$H$160+'PTRM input'!$H$126)*$H$7)/A18taxstdlife))</f>
        <v>0</v>
      </c>
      <c r="AV704" s="590">
        <f>IF(A18taxstdlife="n/a","n/a",IF(AV$3&gt;(A18taxstdlife+$E704),(('PTRM input'!$H$160+'PTRM input'!$H$126)*$H$7)-SUM($H704:AU704),(('PTRM input'!$H$160+'PTRM input'!$H$126)*$H$7)/A18taxstdlife))</f>
        <v>0</v>
      </c>
      <c r="AW704" s="590">
        <f>IF(A18taxstdlife="n/a","n/a",IF(AW$3&gt;(A18taxstdlife+$E704),(('PTRM input'!$H$160+'PTRM input'!$H$126)*$H$7)-SUM($H704:AV704),(('PTRM input'!$H$160+'PTRM input'!$H$126)*$H$7)/A18taxstdlife))</f>
        <v>0</v>
      </c>
      <c r="AX704" s="590">
        <f>IF(A18taxstdlife="n/a","n/a",IF(AX$3&gt;(A18taxstdlife+$E704),(('PTRM input'!$H$160+'PTRM input'!$H$126)*$H$7)-SUM($H704:AW704),(('PTRM input'!$H$160+'PTRM input'!$H$126)*$H$7)/A18taxstdlife))</f>
        <v>0</v>
      </c>
      <c r="AY704" s="590">
        <f>IF(A18taxstdlife="n/a","n/a",IF(AY$3&gt;(A18taxstdlife+$E704),(('PTRM input'!$H$160+'PTRM input'!$H$126)*$H$7)-SUM($H704:AX704),(('PTRM input'!$H$160+'PTRM input'!$H$126)*$H$7)/A18taxstdlife))</f>
        <v>0</v>
      </c>
      <c r="AZ704" s="590">
        <f>IF(A18taxstdlife="n/a","n/a",IF(AZ$3&gt;(A18taxstdlife+$E704),(('PTRM input'!$H$160+'PTRM input'!$H$126)*$H$7)-SUM($H704:AY704),(('PTRM input'!$H$160+'PTRM input'!$H$126)*$H$7)/A18taxstdlife))</f>
        <v>0</v>
      </c>
      <c r="BA704" s="590">
        <f>IF(A18taxstdlife="n/a","n/a",IF(BA$3&gt;(A18taxstdlife+$E704),(('PTRM input'!$H$160+'PTRM input'!$H$126)*$H$7)-SUM($H704:AZ704),(('PTRM input'!$H$160+'PTRM input'!$H$126)*$H$7)/A18taxstdlife))</f>
        <v>0</v>
      </c>
      <c r="BB704" s="590">
        <f>IF(A18taxstdlife="n/a","n/a",IF(BB$3&gt;(A18taxstdlife+$E704),(('PTRM input'!$H$160+'PTRM input'!$H$126)*$H$7)-SUM($H704:BA704),(('PTRM input'!$H$160+'PTRM input'!$H$126)*$H$7)/A18taxstdlife))</f>
        <v>0</v>
      </c>
      <c r="BC704" s="590">
        <f>IF(A18taxstdlife="n/a","n/a",IF(BC$3&gt;(A18taxstdlife+$E704),(('PTRM input'!$H$160+'PTRM input'!$H$126)*$H$7)-SUM($H704:BB704),(('PTRM input'!$H$160+'PTRM input'!$H$126)*$H$7)/A18taxstdlife))</f>
        <v>0</v>
      </c>
      <c r="BD704" s="590">
        <f>IF(A18taxstdlife="n/a","n/a",IF(BD$3&gt;(A18taxstdlife+$E704),(('PTRM input'!$H$160+'PTRM input'!$H$126)*$H$7)-SUM($H704:BC704),(('PTRM input'!$H$160+'PTRM input'!$H$126)*$H$7)/A18taxstdlife))</f>
        <v>0</v>
      </c>
      <c r="BE704" s="590">
        <f>IF(A18taxstdlife="n/a","n/a",IF(BE$3&gt;(A18taxstdlife+$E704),(('PTRM input'!$H$160+'PTRM input'!$H$126)*$H$7)-SUM($H704:BD704),(('PTRM input'!$H$160+'PTRM input'!$H$126)*$H$7)/A18taxstdlife))</f>
        <v>0</v>
      </c>
      <c r="BF704" s="590">
        <f>IF(A18taxstdlife="n/a","n/a",IF(BF$3&gt;(A18taxstdlife+$E704),(('PTRM input'!$H$160+'PTRM input'!$H$126)*$H$7)-SUM($H704:BE704),(('PTRM input'!$H$160+'PTRM input'!$H$126)*$H$7)/A18taxstdlife))</f>
        <v>0</v>
      </c>
      <c r="BG704" s="590">
        <f>IF(A18taxstdlife="n/a","n/a",IF(BG$3&gt;(A18taxstdlife+$E704),(('PTRM input'!$H$160+'PTRM input'!$H$126)*$H$7)-SUM($H704:BF704),(('PTRM input'!$H$160+'PTRM input'!$H$126)*$H$7)/A18taxstdlife))</f>
        <v>0</v>
      </c>
      <c r="BH704" s="590">
        <f>IF(A18taxstdlife="n/a","n/a",IF(BH$3&gt;(A18taxstdlife+$E704),(('PTRM input'!$H$160+'PTRM input'!$H$126)*$H$7)-SUM($H704:BG704),(('PTRM input'!$H$160+'PTRM input'!$H$126)*$H$7)/A18taxstdlife))</f>
        <v>0</v>
      </c>
      <c r="BI704" s="590">
        <f>IF(A18taxstdlife="n/a","n/a",IF(BI$3&gt;(A18taxstdlife+$E704),(('PTRM input'!$H$160+'PTRM input'!$H$126)*$H$7)-SUM($H704:BH704),(('PTRM input'!$H$160+'PTRM input'!$H$126)*$H$7)/A18taxstdlife))</f>
        <v>0</v>
      </c>
      <c r="BJ704" s="240"/>
      <c r="BK704" s="240"/>
      <c r="BL704" s="240"/>
      <c r="BM704" s="240"/>
    </row>
    <row r="705" spans="1:65" s="4" customFormat="1" hidden="1" outlineLevel="2">
      <c r="A705" s="240"/>
      <c r="B705" s="240"/>
      <c r="C705" s="595"/>
      <c r="D705" s="1618"/>
      <c r="E705" s="169">
        <v>3</v>
      </c>
      <c r="F705" s="35"/>
      <c r="G705" s="184"/>
      <c r="H705" s="186"/>
      <c r="I705" s="185"/>
      <c r="J705" s="107">
        <f>IF(A18taxstdlife="n/a","n/a",IF(J$3&gt;(A18taxstdlife+$E705),(('PTRM input'!$I$160+'PTRM input'!$I$126)*$I$7)-SUM($I705:I705),(('PTRM input'!$I$160+'PTRM input'!$I$126)*$I$7)/A18taxstdlife))</f>
        <v>0</v>
      </c>
      <c r="K705" s="107">
        <f>IF(A18taxstdlife="n/a","n/a",IF(K$3&gt;(A18taxstdlife+$E705),(('PTRM input'!$I$160+'PTRM input'!$I$126)*$I$7)-SUM($I705:J705),(('PTRM input'!$I$160+'PTRM input'!$I$126)*$I$7)/A18taxstdlife))</f>
        <v>0</v>
      </c>
      <c r="L705" s="107">
        <f>IF(A18taxstdlife="n/a","n/a",IF(L$3&gt;(A18taxstdlife+$E705),(('PTRM input'!$I$160+'PTRM input'!$I$126)*$I$7)-SUM($I705:K705),(('PTRM input'!$I$160+'PTRM input'!$I$126)*$I$7)/A18taxstdlife))</f>
        <v>0</v>
      </c>
      <c r="M705" s="107">
        <f>IF(A18taxstdlife="n/a","n/a",IF(M$3&gt;(A18taxstdlife+$E705),(('PTRM input'!$I$160+'PTRM input'!$I$126)*$I$7)-SUM($I705:L705),(('PTRM input'!$I$160+'PTRM input'!$I$126)*$I$7)/A18taxstdlife))</f>
        <v>0</v>
      </c>
      <c r="N705" s="107">
        <f>IF(A18taxstdlife="n/a","n/a",IF(N$3&gt;(A18taxstdlife+$E705),(('PTRM input'!$I$160+'PTRM input'!$I$126)*$I$7)-SUM($I705:M705),(('PTRM input'!$I$160+'PTRM input'!$I$126)*$I$7)/A18taxstdlife))</f>
        <v>0</v>
      </c>
      <c r="O705" s="107">
        <f>IF(A18taxstdlife="n/a","n/a",IF(O$3&gt;(A18taxstdlife+$E705),(('PTRM input'!$I$160+'PTRM input'!$I$126)*$I$7)-SUM($I705:N705),(('PTRM input'!$I$160+'PTRM input'!$I$126)*$I$7)/A18taxstdlife))</f>
        <v>0</v>
      </c>
      <c r="P705" s="107">
        <f>IF(A18taxstdlife="n/a","n/a",IF(P$3&gt;(A18taxstdlife+$E705),(('PTRM input'!$I$160+'PTRM input'!$I$126)*$I$7)-SUM($I705:O705),(('PTRM input'!$I$160+'PTRM input'!$I$126)*$I$7)/A18taxstdlife))</f>
        <v>0</v>
      </c>
      <c r="Q705" s="590">
        <f>IF(A18taxstdlife="n/a","n/a",IF(Q$3&gt;(A18taxstdlife+$E705),(('PTRM input'!$I$160+'PTRM input'!$I$126)*$I$7)-SUM($I705:P705),(('PTRM input'!$I$160+'PTRM input'!$I$126)*$I$7)/A18taxstdlife))</f>
        <v>0</v>
      </c>
      <c r="R705" s="590">
        <f>IF(A18taxstdlife="n/a","n/a",IF(R$3&gt;(A18taxstdlife+$E705),(('PTRM input'!$I$160+'PTRM input'!$I$126)*$I$7)-SUM($I705:Q705),(('PTRM input'!$I$160+'PTRM input'!$I$126)*$I$7)/A18taxstdlife))</f>
        <v>0</v>
      </c>
      <c r="S705" s="590">
        <f>IF(A18taxstdlife="n/a","n/a",IF(S$3&gt;(A18taxstdlife+$E705),(('PTRM input'!$I$160+'PTRM input'!$I$126)*$I$7)-SUM($I705:R705),(('PTRM input'!$I$160+'PTRM input'!$I$126)*$I$7)/A18taxstdlife))</f>
        <v>0</v>
      </c>
      <c r="T705" s="590">
        <f>IF(A18taxstdlife="n/a","n/a",IF(T$3&gt;(A18taxstdlife+$E705),(('PTRM input'!$I$160+'PTRM input'!$I$126)*$I$7)-SUM($I705:S705),(('PTRM input'!$I$160+'PTRM input'!$I$126)*$I$7)/A18taxstdlife))</f>
        <v>0</v>
      </c>
      <c r="U705" s="590">
        <f>IF(A18taxstdlife="n/a","n/a",IF(U$3&gt;(A18taxstdlife+$E705),(('PTRM input'!$I$160+'PTRM input'!$I$126)*$I$7)-SUM($I705:T705),(('PTRM input'!$I$160+'PTRM input'!$I$126)*$I$7)/A18taxstdlife))</f>
        <v>0</v>
      </c>
      <c r="V705" s="590">
        <f>IF(A18taxstdlife="n/a","n/a",IF(V$3&gt;(A18taxstdlife+$E705),(('PTRM input'!$I$160+'PTRM input'!$I$126)*$I$7)-SUM($I705:U705),(('PTRM input'!$I$160+'PTRM input'!$I$126)*$I$7)/A18taxstdlife))</f>
        <v>0</v>
      </c>
      <c r="W705" s="590">
        <f>IF(A18taxstdlife="n/a","n/a",IF(W$3&gt;(A18taxstdlife+$E705),(('PTRM input'!$I$160+'PTRM input'!$I$126)*$I$7)-SUM($I705:V705),(('PTRM input'!$I$160+'PTRM input'!$I$126)*$I$7)/A18taxstdlife))</f>
        <v>0</v>
      </c>
      <c r="X705" s="590">
        <f>IF(A18taxstdlife="n/a","n/a",IF(X$3&gt;(A18taxstdlife+$E705),(('PTRM input'!$I$160+'PTRM input'!$I$126)*$I$7)-SUM($I705:W705),(('PTRM input'!$I$160+'PTRM input'!$I$126)*$I$7)/A18taxstdlife))</f>
        <v>0</v>
      </c>
      <c r="Y705" s="590">
        <f>IF(A18taxstdlife="n/a","n/a",IF(Y$3&gt;(A18taxstdlife+$E705),(('PTRM input'!$I$160+'PTRM input'!$I$126)*$I$7)-SUM($I705:X705),(('PTRM input'!$I$160+'PTRM input'!$I$126)*$I$7)/A18taxstdlife))</f>
        <v>0</v>
      </c>
      <c r="Z705" s="590">
        <f>IF(A18taxstdlife="n/a","n/a",IF(Z$3&gt;(A18taxstdlife+$E705),(('PTRM input'!$I$160+'PTRM input'!$I$126)*$I$7)-SUM($I705:Y705),(('PTRM input'!$I$160+'PTRM input'!$I$126)*$I$7)/A18taxstdlife))</f>
        <v>0</v>
      </c>
      <c r="AA705" s="590">
        <f>IF(A18taxstdlife="n/a","n/a",IF(AA$3&gt;(A18taxstdlife+$E705),(('PTRM input'!$I$160+'PTRM input'!$I$126)*$I$7)-SUM($I705:Z705),(('PTRM input'!$I$160+'PTRM input'!$I$126)*$I$7)/A18taxstdlife))</f>
        <v>0</v>
      </c>
      <c r="AB705" s="590">
        <f>IF(A18taxstdlife="n/a","n/a",IF(AB$3&gt;(A18taxstdlife+$E705),(('PTRM input'!$I$160+'PTRM input'!$I$126)*$I$7)-SUM($I705:AA705),(('PTRM input'!$I$160+'PTRM input'!$I$126)*$I$7)/A18taxstdlife))</f>
        <v>0</v>
      </c>
      <c r="AC705" s="590">
        <f>IF(A18taxstdlife="n/a","n/a",IF(AC$3&gt;(A18taxstdlife+$E705),(('PTRM input'!$I$160+'PTRM input'!$I$126)*$I$7)-SUM($I705:AB705),(('PTRM input'!$I$160+'PTRM input'!$I$126)*$I$7)/A18taxstdlife))</f>
        <v>0</v>
      </c>
      <c r="AD705" s="590">
        <f>IF(A18taxstdlife="n/a","n/a",IF(AD$3&gt;(A18taxstdlife+$E705),(('PTRM input'!$I$160+'PTRM input'!$I$126)*$I$7)-SUM($I705:AC705),(('PTRM input'!$I$160+'PTRM input'!$I$126)*$I$7)/A18taxstdlife))</f>
        <v>0</v>
      </c>
      <c r="AE705" s="590">
        <f>IF(A18taxstdlife="n/a","n/a",IF(AE$3&gt;(A18taxstdlife+$E705),(('PTRM input'!$I$160+'PTRM input'!$I$126)*$I$7)-SUM($I705:AD705),(('PTRM input'!$I$160+'PTRM input'!$I$126)*$I$7)/A18taxstdlife))</f>
        <v>0</v>
      </c>
      <c r="AF705" s="590">
        <f>IF(A18taxstdlife="n/a","n/a",IF(AF$3&gt;(A18taxstdlife+$E705),(('PTRM input'!$I$160+'PTRM input'!$I$126)*$I$7)-SUM($I705:AE705),(('PTRM input'!$I$160+'PTRM input'!$I$126)*$I$7)/A18taxstdlife))</f>
        <v>0</v>
      </c>
      <c r="AG705" s="590">
        <f>IF(A18taxstdlife="n/a","n/a",IF(AG$3&gt;(A18taxstdlife+$E705),(('PTRM input'!$I$160+'PTRM input'!$I$126)*$I$7)-SUM($I705:AF705),(('PTRM input'!$I$160+'PTRM input'!$I$126)*$I$7)/A18taxstdlife))</f>
        <v>0</v>
      </c>
      <c r="AH705" s="590">
        <f>IF(A18taxstdlife="n/a","n/a",IF(AH$3&gt;(A18taxstdlife+$E705),(('PTRM input'!$I$160+'PTRM input'!$I$126)*$I$7)-SUM($I705:AG705),(('PTRM input'!$I$160+'PTRM input'!$I$126)*$I$7)/A18taxstdlife))</f>
        <v>0</v>
      </c>
      <c r="AI705" s="590">
        <f>IF(A18taxstdlife="n/a","n/a",IF(AI$3&gt;(A18taxstdlife+$E705),(('PTRM input'!$I$160+'PTRM input'!$I$126)*$I$7)-SUM($I705:AH705),(('PTRM input'!$I$160+'PTRM input'!$I$126)*$I$7)/A18taxstdlife))</f>
        <v>0</v>
      </c>
      <c r="AJ705" s="590">
        <f>IF(A18taxstdlife="n/a","n/a",IF(AJ$3&gt;(A18taxstdlife+$E705),(('PTRM input'!$I$160+'PTRM input'!$I$126)*$I$7)-SUM($I705:AI705),(('PTRM input'!$I$160+'PTRM input'!$I$126)*$I$7)/A18taxstdlife))</f>
        <v>0</v>
      </c>
      <c r="AK705" s="590">
        <f>IF(A18taxstdlife="n/a","n/a",IF(AK$3&gt;(A18taxstdlife+$E705),(('PTRM input'!$I$160+'PTRM input'!$I$126)*$I$7)-SUM($I705:AJ705),(('PTRM input'!$I$160+'PTRM input'!$I$126)*$I$7)/A18taxstdlife))</f>
        <v>0</v>
      </c>
      <c r="AL705" s="590">
        <f>IF(A18taxstdlife="n/a","n/a",IF(AL$3&gt;(A18taxstdlife+$E705),(('PTRM input'!$I$160+'PTRM input'!$I$126)*$I$7)-SUM($I705:AK705),(('PTRM input'!$I$160+'PTRM input'!$I$126)*$I$7)/A18taxstdlife))</f>
        <v>0</v>
      </c>
      <c r="AM705" s="590">
        <f>IF(A18taxstdlife="n/a","n/a",IF(AM$3&gt;(A18taxstdlife+$E705),(('PTRM input'!$I$160+'PTRM input'!$I$126)*$I$7)-SUM($I705:AL705),(('PTRM input'!$I$160+'PTRM input'!$I$126)*$I$7)/A18taxstdlife))</f>
        <v>0</v>
      </c>
      <c r="AN705" s="590">
        <f>IF(A18taxstdlife="n/a","n/a",IF(AN$3&gt;(A18taxstdlife+$E705),(('PTRM input'!$I$160+'PTRM input'!$I$126)*$I$7)-SUM($I705:AM705),(('PTRM input'!$I$160+'PTRM input'!$I$126)*$I$7)/A18taxstdlife))</f>
        <v>0</v>
      </c>
      <c r="AO705" s="590">
        <f>IF(A18taxstdlife="n/a","n/a",IF(AO$3&gt;(A18taxstdlife+$E705),(('PTRM input'!$I$160+'PTRM input'!$I$126)*$I$7)-SUM($I705:AN705),(('PTRM input'!$I$160+'PTRM input'!$I$126)*$I$7)/A18taxstdlife))</f>
        <v>0</v>
      </c>
      <c r="AP705" s="590">
        <f>IF(A18taxstdlife="n/a","n/a",IF(AP$3&gt;(A18taxstdlife+$E705),(('PTRM input'!$I$160+'PTRM input'!$I$126)*$I$7)-SUM($I705:AO705),(('PTRM input'!$I$160+'PTRM input'!$I$126)*$I$7)/A18taxstdlife))</f>
        <v>0</v>
      </c>
      <c r="AQ705" s="590">
        <f>IF(A18taxstdlife="n/a","n/a",IF(AQ$3&gt;(A18taxstdlife+$E705),(('PTRM input'!$I$160+'PTRM input'!$I$126)*$I$7)-SUM($I705:AP705),(('PTRM input'!$I$160+'PTRM input'!$I$126)*$I$7)/A18taxstdlife))</f>
        <v>0</v>
      </c>
      <c r="AR705" s="590">
        <f>IF(A18taxstdlife="n/a","n/a",IF(AR$3&gt;(A18taxstdlife+$E705),(('PTRM input'!$I$160+'PTRM input'!$I$126)*$I$7)-SUM($I705:AQ705),(('PTRM input'!$I$160+'PTRM input'!$I$126)*$I$7)/A18taxstdlife))</f>
        <v>0</v>
      </c>
      <c r="AS705" s="590">
        <f>IF(A18taxstdlife="n/a","n/a",IF(AS$3&gt;(A18taxstdlife+$E705),(('PTRM input'!$I$160+'PTRM input'!$I$126)*$I$7)-SUM($I705:AR705),(('PTRM input'!$I$160+'PTRM input'!$I$126)*$I$7)/A18taxstdlife))</f>
        <v>0</v>
      </c>
      <c r="AT705" s="590">
        <f>IF(A18taxstdlife="n/a","n/a",IF(AT$3&gt;(A18taxstdlife+$E705),(('PTRM input'!$I$160+'PTRM input'!$I$126)*$I$7)-SUM($I705:AS705),(('PTRM input'!$I$160+'PTRM input'!$I$126)*$I$7)/A18taxstdlife))</f>
        <v>0</v>
      </c>
      <c r="AU705" s="590">
        <f>IF(A18taxstdlife="n/a","n/a",IF(AU$3&gt;(A18taxstdlife+$E705),(('PTRM input'!$I$160+'PTRM input'!$I$126)*$I$7)-SUM($I705:AT705),(('PTRM input'!$I$160+'PTRM input'!$I$126)*$I$7)/A18taxstdlife))</f>
        <v>0</v>
      </c>
      <c r="AV705" s="590">
        <f>IF(A18taxstdlife="n/a","n/a",IF(AV$3&gt;(A18taxstdlife+$E705),(('PTRM input'!$I$160+'PTRM input'!$I$126)*$I$7)-SUM($I705:AU705),(('PTRM input'!$I$160+'PTRM input'!$I$126)*$I$7)/A18taxstdlife))</f>
        <v>0</v>
      </c>
      <c r="AW705" s="590">
        <f>IF(A18taxstdlife="n/a","n/a",IF(AW$3&gt;(A18taxstdlife+$E705),(('PTRM input'!$I$160+'PTRM input'!$I$126)*$I$7)-SUM($I705:AV705),(('PTRM input'!$I$160+'PTRM input'!$I$126)*$I$7)/A18taxstdlife))</f>
        <v>0</v>
      </c>
      <c r="AX705" s="590">
        <f>IF(A18taxstdlife="n/a","n/a",IF(AX$3&gt;(A18taxstdlife+$E705),(('PTRM input'!$I$160+'PTRM input'!$I$126)*$I$7)-SUM($I705:AW705),(('PTRM input'!$I$160+'PTRM input'!$I$126)*$I$7)/A18taxstdlife))</f>
        <v>0</v>
      </c>
      <c r="AY705" s="590">
        <f>IF(A18taxstdlife="n/a","n/a",IF(AY$3&gt;(A18taxstdlife+$E705),(('PTRM input'!$I$160+'PTRM input'!$I$126)*$I$7)-SUM($I705:AX705),(('PTRM input'!$I$160+'PTRM input'!$I$126)*$I$7)/A18taxstdlife))</f>
        <v>0</v>
      </c>
      <c r="AZ705" s="590">
        <f>IF(A18taxstdlife="n/a","n/a",IF(AZ$3&gt;(A18taxstdlife+$E705),(('PTRM input'!$I$160+'PTRM input'!$I$126)*$I$7)-SUM($I705:AY705),(('PTRM input'!$I$160+'PTRM input'!$I$126)*$I$7)/A18taxstdlife))</f>
        <v>0</v>
      </c>
      <c r="BA705" s="590">
        <f>IF(A18taxstdlife="n/a","n/a",IF(BA$3&gt;(A18taxstdlife+$E705),(('PTRM input'!$I$160+'PTRM input'!$I$126)*$I$7)-SUM($I705:AZ705),(('PTRM input'!$I$160+'PTRM input'!$I$126)*$I$7)/A18taxstdlife))</f>
        <v>0</v>
      </c>
      <c r="BB705" s="590">
        <f>IF(A18taxstdlife="n/a","n/a",IF(BB$3&gt;(A18taxstdlife+$E705),(('PTRM input'!$I$160+'PTRM input'!$I$126)*$I$7)-SUM($I705:BA705),(('PTRM input'!$I$160+'PTRM input'!$I$126)*$I$7)/A18taxstdlife))</f>
        <v>0</v>
      </c>
      <c r="BC705" s="590">
        <f>IF(A18taxstdlife="n/a","n/a",IF(BC$3&gt;(A18taxstdlife+$E705),(('PTRM input'!$I$160+'PTRM input'!$I$126)*$I$7)-SUM($I705:BB705),(('PTRM input'!$I$160+'PTRM input'!$I$126)*$I$7)/A18taxstdlife))</f>
        <v>0</v>
      </c>
      <c r="BD705" s="590">
        <f>IF(A18taxstdlife="n/a","n/a",IF(BD$3&gt;(A18taxstdlife+$E705),(('PTRM input'!$I$160+'PTRM input'!$I$126)*$I$7)-SUM($I705:BC705),(('PTRM input'!$I$160+'PTRM input'!$I$126)*$I$7)/A18taxstdlife))</f>
        <v>0</v>
      </c>
      <c r="BE705" s="590">
        <f>IF(A18taxstdlife="n/a","n/a",IF(BE$3&gt;(A18taxstdlife+$E705),(('PTRM input'!$I$160+'PTRM input'!$I$126)*$I$7)-SUM($I705:BD705),(('PTRM input'!$I$160+'PTRM input'!$I$126)*$I$7)/A18taxstdlife))</f>
        <v>0</v>
      </c>
      <c r="BF705" s="590">
        <f>IF(A18taxstdlife="n/a","n/a",IF(BF$3&gt;(A18taxstdlife+$E705),(('PTRM input'!$I$160+'PTRM input'!$I$126)*$I$7)-SUM($I705:BE705),(('PTRM input'!$I$160+'PTRM input'!$I$126)*$I$7)/A18taxstdlife))</f>
        <v>0</v>
      </c>
      <c r="BG705" s="590">
        <f>IF(A18taxstdlife="n/a","n/a",IF(BG$3&gt;(A18taxstdlife+$E705),(('PTRM input'!$I$160+'PTRM input'!$I$126)*$I$7)-SUM($I705:BF705),(('PTRM input'!$I$160+'PTRM input'!$I$126)*$I$7)/A18taxstdlife))</f>
        <v>0</v>
      </c>
      <c r="BH705" s="590">
        <f>IF(A18taxstdlife="n/a","n/a",IF(BH$3&gt;(A18taxstdlife+$E705),(('PTRM input'!$I$160+'PTRM input'!$I$126)*$I$7)-SUM($I705:BG705),(('PTRM input'!$I$160+'PTRM input'!$I$126)*$I$7)/A18taxstdlife))</f>
        <v>0</v>
      </c>
      <c r="BI705" s="590">
        <f>IF(A18taxstdlife="n/a","n/a",IF(BI$3&gt;(A18taxstdlife+$E705),(('PTRM input'!$I$160+'PTRM input'!$I$126)*$I$7)-SUM($I705:BH705),(('PTRM input'!$I$160+'PTRM input'!$I$126)*$I$7)/A18taxstdlife))</f>
        <v>0</v>
      </c>
      <c r="BJ705" s="240"/>
      <c r="BK705" s="240"/>
      <c r="BL705" s="240"/>
      <c r="BM705" s="240"/>
    </row>
    <row r="706" spans="1:65" s="4" customFormat="1" hidden="1" outlineLevel="2">
      <c r="A706" s="240"/>
      <c r="B706" s="240"/>
      <c r="C706" s="595"/>
      <c r="D706" s="1618"/>
      <c r="E706" s="169">
        <v>4</v>
      </c>
      <c r="F706" s="35"/>
      <c r="G706" s="184"/>
      <c r="H706" s="186"/>
      <c r="I706" s="186"/>
      <c r="J706" s="185"/>
      <c r="K706" s="107">
        <f>IF(A18taxstdlife="n/a","n/a",IF(K$3&gt;(A18taxstdlife+$E706),(('PTRM input'!$J$160+'PTRM input'!$J$126)*$J$7)-SUM($J706:J706),(('PTRM input'!$J$160+'PTRM input'!$J$126)*$J$7)/A18taxstdlife))</f>
        <v>0</v>
      </c>
      <c r="L706" s="107">
        <f>IF(A18taxstdlife="n/a","n/a",IF(L$3&gt;(A18taxstdlife+$E706),(('PTRM input'!$J$160+'PTRM input'!$J$126)*$J$7)-SUM($J706:K706),(('PTRM input'!$J$160+'PTRM input'!$J$126)*$J$7)/A18taxstdlife))</f>
        <v>0</v>
      </c>
      <c r="M706" s="107">
        <f>IF(A18taxstdlife="n/a","n/a",IF(M$3&gt;(A18taxstdlife+$E706),(('PTRM input'!$J$160+'PTRM input'!$J$126)*$J$7)-SUM($J706:L706),(('PTRM input'!$J$160+'PTRM input'!$J$126)*$J$7)/A18taxstdlife))</f>
        <v>0</v>
      </c>
      <c r="N706" s="107">
        <f>IF(A18taxstdlife="n/a","n/a",IF(N$3&gt;(A18taxstdlife+$E706),(('PTRM input'!$J$160+'PTRM input'!$J$126)*$J$7)-SUM($J706:M706),(('PTRM input'!$J$160+'PTRM input'!$J$126)*$J$7)/A18taxstdlife))</f>
        <v>0</v>
      </c>
      <c r="O706" s="107">
        <f>IF(A18taxstdlife="n/a","n/a",IF(O$3&gt;(A18taxstdlife+$E706),(('PTRM input'!$J$160+'PTRM input'!$J$126)*$J$7)-SUM($J706:N706),(('PTRM input'!$J$160+'PTRM input'!$J$126)*$J$7)/A18taxstdlife))</f>
        <v>0</v>
      </c>
      <c r="P706" s="107">
        <f>IF(A18taxstdlife="n/a","n/a",IF(P$3&gt;(A18taxstdlife+$E706),(('PTRM input'!$J$160+'PTRM input'!$J$126)*$J$7)-SUM($J706:O706),(('PTRM input'!$J$160+'PTRM input'!$J$126)*$J$7)/A18taxstdlife))</f>
        <v>0</v>
      </c>
      <c r="Q706" s="590">
        <f>IF(A18taxstdlife="n/a","n/a",IF(Q$3&gt;(A18taxstdlife+$E706),(('PTRM input'!$J$160+'PTRM input'!$J$126)*$J$7)-SUM($J706:P706),(('PTRM input'!$J$160+'PTRM input'!$J$126)*$J$7)/A18taxstdlife))</f>
        <v>0</v>
      </c>
      <c r="R706" s="590">
        <f>IF(A18taxstdlife="n/a","n/a",IF(R$3&gt;(A18taxstdlife+$E706),(('PTRM input'!$J$160+'PTRM input'!$J$126)*$J$7)-SUM($J706:Q706),(('PTRM input'!$J$160+'PTRM input'!$J$126)*$J$7)/A18taxstdlife))</f>
        <v>0</v>
      </c>
      <c r="S706" s="590">
        <f>IF(A18taxstdlife="n/a","n/a",IF(S$3&gt;(A18taxstdlife+$E706),(('PTRM input'!$J$160+'PTRM input'!$J$126)*$J$7)-SUM($J706:R706),(('PTRM input'!$J$160+'PTRM input'!$J$126)*$J$7)/A18taxstdlife))</f>
        <v>0</v>
      </c>
      <c r="T706" s="590">
        <f>IF(A18taxstdlife="n/a","n/a",IF(T$3&gt;(A18taxstdlife+$E706),(('PTRM input'!$J$160+'PTRM input'!$J$126)*$J$7)-SUM($J706:S706),(('PTRM input'!$J$160+'PTRM input'!$J$126)*$J$7)/A18taxstdlife))</f>
        <v>0</v>
      </c>
      <c r="U706" s="590">
        <f>IF(A18taxstdlife="n/a","n/a",IF(U$3&gt;(A18taxstdlife+$E706),(('PTRM input'!$J$160+'PTRM input'!$J$126)*$J$7)-SUM($J706:T706),(('PTRM input'!$J$160+'PTRM input'!$J$126)*$J$7)/A18taxstdlife))</f>
        <v>0</v>
      </c>
      <c r="V706" s="590">
        <f>IF(A18taxstdlife="n/a","n/a",IF(V$3&gt;(A18taxstdlife+$E706),(('PTRM input'!$J$160+'PTRM input'!$J$126)*$J$7)-SUM($J706:U706),(('PTRM input'!$J$160+'PTRM input'!$J$126)*$J$7)/A18taxstdlife))</f>
        <v>0</v>
      </c>
      <c r="W706" s="590">
        <f>IF(A18taxstdlife="n/a","n/a",IF(W$3&gt;(A18taxstdlife+$E706),(('PTRM input'!$J$160+'PTRM input'!$J$126)*$J$7)-SUM($J706:V706),(('PTRM input'!$J$160+'PTRM input'!$J$126)*$J$7)/A18taxstdlife))</f>
        <v>0</v>
      </c>
      <c r="X706" s="590">
        <f>IF(A18taxstdlife="n/a","n/a",IF(X$3&gt;(A18taxstdlife+$E706),(('PTRM input'!$J$160+'PTRM input'!$J$126)*$J$7)-SUM($J706:W706),(('PTRM input'!$J$160+'PTRM input'!$J$126)*$J$7)/A18taxstdlife))</f>
        <v>0</v>
      </c>
      <c r="Y706" s="590">
        <f>IF(A18taxstdlife="n/a","n/a",IF(Y$3&gt;(A18taxstdlife+$E706),(('PTRM input'!$J$160+'PTRM input'!$J$126)*$J$7)-SUM($J706:X706),(('PTRM input'!$J$160+'PTRM input'!$J$126)*$J$7)/A18taxstdlife))</f>
        <v>0</v>
      </c>
      <c r="Z706" s="590">
        <f>IF(A18taxstdlife="n/a","n/a",IF(Z$3&gt;(A18taxstdlife+$E706),(('PTRM input'!$J$160+'PTRM input'!$J$126)*$J$7)-SUM($J706:Y706),(('PTRM input'!$J$160+'PTRM input'!$J$126)*$J$7)/A18taxstdlife))</f>
        <v>0</v>
      </c>
      <c r="AA706" s="590">
        <f>IF(A18taxstdlife="n/a","n/a",IF(AA$3&gt;(A18taxstdlife+$E706),(('PTRM input'!$J$160+'PTRM input'!$J$126)*$J$7)-SUM($J706:Z706),(('PTRM input'!$J$160+'PTRM input'!$J$126)*$J$7)/A18taxstdlife))</f>
        <v>0</v>
      </c>
      <c r="AB706" s="590">
        <f>IF(A18taxstdlife="n/a","n/a",IF(AB$3&gt;(A18taxstdlife+$E706),(('PTRM input'!$J$160+'PTRM input'!$J$126)*$J$7)-SUM($J706:AA706),(('PTRM input'!$J$160+'PTRM input'!$J$126)*$J$7)/A18taxstdlife))</f>
        <v>0</v>
      </c>
      <c r="AC706" s="590">
        <f>IF(A18taxstdlife="n/a","n/a",IF(AC$3&gt;(A18taxstdlife+$E706),(('PTRM input'!$J$160+'PTRM input'!$J$126)*$J$7)-SUM($J706:AB706),(('PTRM input'!$J$160+'PTRM input'!$J$126)*$J$7)/A18taxstdlife))</f>
        <v>0</v>
      </c>
      <c r="AD706" s="590">
        <f>IF(A18taxstdlife="n/a","n/a",IF(AD$3&gt;(A18taxstdlife+$E706),(('PTRM input'!$J$160+'PTRM input'!$J$126)*$J$7)-SUM($J706:AC706),(('PTRM input'!$J$160+'PTRM input'!$J$126)*$J$7)/A18taxstdlife))</f>
        <v>0</v>
      </c>
      <c r="AE706" s="590">
        <f>IF(A18taxstdlife="n/a","n/a",IF(AE$3&gt;(A18taxstdlife+$E706),(('PTRM input'!$J$160+'PTRM input'!$J$126)*$J$7)-SUM($J706:AD706),(('PTRM input'!$J$160+'PTRM input'!$J$126)*$J$7)/A18taxstdlife))</f>
        <v>0</v>
      </c>
      <c r="AF706" s="590">
        <f>IF(A18taxstdlife="n/a","n/a",IF(AF$3&gt;(A18taxstdlife+$E706),(('PTRM input'!$J$160+'PTRM input'!$J$126)*$J$7)-SUM($J706:AE706),(('PTRM input'!$J$160+'PTRM input'!$J$126)*$J$7)/A18taxstdlife))</f>
        <v>0</v>
      </c>
      <c r="AG706" s="590">
        <f>IF(A18taxstdlife="n/a","n/a",IF(AG$3&gt;(A18taxstdlife+$E706),(('PTRM input'!$J$160+'PTRM input'!$J$126)*$J$7)-SUM($J706:AF706),(('PTRM input'!$J$160+'PTRM input'!$J$126)*$J$7)/A18taxstdlife))</f>
        <v>0</v>
      </c>
      <c r="AH706" s="590">
        <f>IF(A18taxstdlife="n/a","n/a",IF(AH$3&gt;(A18taxstdlife+$E706),(('PTRM input'!$J$160+'PTRM input'!$J$126)*$J$7)-SUM($J706:AG706),(('PTRM input'!$J$160+'PTRM input'!$J$126)*$J$7)/A18taxstdlife))</f>
        <v>0</v>
      </c>
      <c r="AI706" s="590">
        <f>IF(A18taxstdlife="n/a","n/a",IF(AI$3&gt;(A18taxstdlife+$E706),(('PTRM input'!$J$160+'PTRM input'!$J$126)*$J$7)-SUM($J706:AH706),(('PTRM input'!$J$160+'PTRM input'!$J$126)*$J$7)/A18taxstdlife))</f>
        <v>0</v>
      </c>
      <c r="AJ706" s="590">
        <f>IF(A18taxstdlife="n/a","n/a",IF(AJ$3&gt;(A18taxstdlife+$E706),(('PTRM input'!$J$160+'PTRM input'!$J$126)*$J$7)-SUM($J706:AI706),(('PTRM input'!$J$160+'PTRM input'!$J$126)*$J$7)/A18taxstdlife))</f>
        <v>0</v>
      </c>
      <c r="AK706" s="590">
        <f>IF(A18taxstdlife="n/a","n/a",IF(AK$3&gt;(A18taxstdlife+$E706),(('PTRM input'!$J$160+'PTRM input'!$J$126)*$J$7)-SUM($J706:AJ706),(('PTRM input'!$J$160+'PTRM input'!$J$126)*$J$7)/A18taxstdlife))</f>
        <v>0</v>
      </c>
      <c r="AL706" s="590">
        <f>IF(A18taxstdlife="n/a","n/a",IF(AL$3&gt;(A18taxstdlife+$E706),(('PTRM input'!$J$160+'PTRM input'!$J$126)*$J$7)-SUM($J706:AK706),(('PTRM input'!$J$160+'PTRM input'!$J$126)*$J$7)/A18taxstdlife))</f>
        <v>0</v>
      </c>
      <c r="AM706" s="590">
        <f>IF(A18taxstdlife="n/a","n/a",IF(AM$3&gt;(A18taxstdlife+$E706),(('PTRM input'!$J$160+'PTRM input'!$J$126)*$J$7)-SUM($J706:AL706),(('PTRM input'!$J$160+'PTRM input'!$J$126)*$J$7)/A18taxstdlife))</f>
        <v>0</v>
      </c>
      <c r="AN706" s="590">
        <f>IF(A18taxstdlife="n/a","n/a",IF(AN$3&gt;(A18taxstdlife+$E706),(('PTRM input'!$J$160+'PTRM input'!$J$126)*$J$7)-SUM($J706:AM706),(('PTRM input'!$J$160+'PTRM input'!$J$126)*$J$7)/A18taxstdlife))</f>
        <v>0</v>
      </c>
      <c r="AO706" s="590">
        <f>IF(A18taxstdlife="n/a","n/a",IF(AO$3&gt;(A18taxstdlife+$E706),(('PTRM input'!$J$160+'PTRM input'!$J$126)*$J$7)-SUM($J706:AN706),(('PTRM input'!$J$160+'PTRM input'!$J$126)*$J$7)/A18taxstdlife))</f>
        <v>0</v>
      </c>
      <c r="AP706" s="590">
        <f>IF(A18taxstdlife="n/a","n/a",IF(AP$3&gt;(A18taxstdlife+$E706),(('PTRM input'!$J$160+'PTRM input'!$J$126)*$J$7)-SUM($J706:AO706),(('PTRM input'!$J$160+'PTRM input'!$J$126)*$J$7)/A18taxstdlife))</f>
        <v>0</v>
      </c>
      <c r="AQ706" s="590">
        <f>IF(A18taxstdlife="n/a","n/a",IF(AQ$3&gt;(A18taxstdlife+$E706),(('PTRM input'!$J$160+'PTRM input'!$J$126)*$J$7)-SUM($J706:AP706),(('PTRM input'!$J$160+'PTRM input'!$J$126)*$J$7)/A18taxstdlife))</f>
        <v>0</v>
      </c>
      <c r="AR706" s="590">
        <f>IF(A18taxstdlife="n/a","n/a",IF(AR$3&gt;(A18taxstdlife+$E706),(('PTRM input'!$J$160+'PTRM input'!$J$126)*$J$7)-SUM($J706:AQ706),(('PTRM input'!$J$160+'PTRM input'!$J$126)*$J$7)/A18taxstdlife))</f>
        <v>0</v>
      </c>
      <c r="AS706" s="590">
        <f>IF(A18taxstdlife="n/a","n/a",IF(AS$3&gt;(A18taxstdlife+$E706),(('PTRM input'!$J$160+'PTRM input'!$J$126)*$J$7)-SUM($J706:AR706),(('PTRM input'!$J$160+'PTRM input'!$J$126)*$J$7)/A18taxstdlife))</f>
        <v>0</v>
      </c>
      <c r="AT706" s="590">
        <f>IF(A18taxstdlife="n/a","n/a",IF(AT$3&gt;(A18taxstdlife+$E706),(('PTRM input'!$J$160+'PTRM input'!$J$126)*$J$7)-SUM($J706:AS706),(('PTRM input'!$J$160+'PTRM input'!$J$126)*$J$7)/A18taxstdlife))</f>
        <v>0</v>
      </c>
      <c r="AU706" s="590">
        <f>IF(A18taxstdlife="n/a","n/a",IF(AU$3&gt;(A18taxstdlife+$E706),(('PTRM input'!$J$160+'PTRM input'!$J$126)*$J$7)-SUM($J706:AT706),(('PTRM input'!$J$160+'PTRM input'!$J$126)*$J$7)/A18taxstdlife))</f>
        <v>0</v>
      </c>
      <c r="AV706" s="590">
        <f>IF(A18taxstdlife="n/a","n/a",IF(AV$3&gt;(A18taxstdlife+$E706),(('PTRM input'!$J$160+'PTRM input'!$J$126)*$J$7)-SUM($J706:AU706),(('PTRM input'!$J$160+'PTRM input'!$J$126)*$J$7)/A18taxstdlife))</f>
        <v>0</v>
      </c>
      <c r="AW706" s="590">
        <f>IF(A18taxstdlife="n/a","n/a",IF(AW$3&gt;(A18taxstdlife+$E706),(('PTRM input'!$J$160+'PTRM input'!$J$126)*$J$7)-SUM($J706:AV706),(('PTRM input'!$J$160+'PTRM input'!$J$126)*$J$7)/A18taxstdlife))</f>
        <v>0</v>
      </c>
      <c r="AX706" s="590">
        <f>IF(A18taxstdlife="n/a","n/a",IF(AX$3&gt;(A18taxstdlife+$E706),(('PTRM input'!$J$160+'PTRM input'!$J$126)*$J$7)-SUM($J706:AW706),(('PTRM input'!$J$160+'PTRM input'!$J$126)*$J$7)/A18taxstdlife))</f>
        <v>0</v>
      </c>
      <c r="AY706" s="590">
        <f>IF(A18taxstdlife="n/a","n/a",IF(AY$3&gt;(A18taxstdlife+$E706),(('PTRM input'!$J$160+'PTRM input'!$J$126)*$J$7)-SUM($J706:AX706),(('PTRM input'!$J$160+'PTRM input'!$J$126)*$J$7)/A18taxstdlife))</f>
        <v>0</v>
      </c>
      <c r="AZ706" s="590">
        <f>IF(A18taxstdlife="n/a","n/a",IF(AZ$3&gt;(A18taxstdlife+$E706),(('PTRM input'!$J$160+'PTRM input'!$J$126)*$J$7)-SUM($J706:AY706),(('PTRM input'!$J$160+'PTRM input'!$J$126)*$J$7)/A18taxstdlife))</f>
        <v>0</v>
      </c>
      <c r="BA706" s="590">
        <f>IF(A18taxstdlife="n/a","n/a",IF(BA$3&gt;(A18taxstdlife+$E706),(('PTRM input'!$J$160+'PTRM input'!$J$126)*$J$7)-SUM($J706:AZ706),(('PTRM input'!$J$160+'PTRM input'!$J$126)*$J$7)/A18taxstdlife))</f>
        <v>0</v>
      </c>
      <c r="BB706" s="590">
        <f>IF(A18taxstdlife="n/a","n/a",IF(BB$3&gt;(A18taxstdlife+$E706),(('PTRM input'!$J$160+'PTRM input'!$J$126)*$J$7)-SUM($J706:BA706),(('PTRM input'!$J$160+'PTRM input'!$J$126)*$J$7)/A18taxstdlife))</f>
        <v>0</v>
      </c>
      <c r="BC706" s="590">
        <f>IF(A18taxstdlife="n/a","n/a",IF(BC$3&gt;(A18taxstdlife+$E706),(('PTRM input'!$J$160+'PTRM input'!$J$126)*$J$7)-SUM($J706:BB706),(('PTRM input'!$J$160+'PTRM input'!$J$126)*$J$7)/A18taxstdlife))</f>
        <v>0</v>
      </c>
      <c r="BD706" s="590">
        <f>IF(A18taxstdlife="n/a","n/a",IF(BD$3&gt;(A18taxstdlife+$E706),(('PTRM input'!$J$160+'PTRM input'!$J$126)*$J$7)-SUM($J706:BC706),(('PTRM input'!$J$160+'PTRM input'!$J$126)*$J$7)/A18taxstdlife))</f>
        <v>0</v>
      </c>
      <c r="BE706" s="590">
        <f>IF(A18taxstdlife="n/a","n/a",IF(BE$3&gt;(A18taxstdlife+$E706),(('PTRM input'!$J$160+'PTRM input'!$J$126)*$J$7)-SUM($J706:BD706),(('PTRM input'!$J$160+'PTRM input'!$J$126)*$J$7)/A18taxstdlife))</f>
        <v>0</v>
      </c>
      <c r="BF706" s="590">
        <f>IF(A18taxstdlife="n/a","n/a",IF(BF$3&gt;(A18taxstdlife+$E706),(('PTRM input'!$J$160+'PTRM input'!$J$126)*$J$7)-SUM($J706:BE706),(('PTRM input'!$J$160+'PTRM input'!$J$126)*$J$7)/A18taxstdlife))</f>
        <v>0</v>
      </c>
      <c r="BG706" s="590">
        <f>IF(A18taxstdlife="n/a","n/a",IF(BG$3&gt;(A18taxstdlife+$E706),(('PTRM input'!$J$160+'PTRM input'!$J$126)*$J$7)-SUM($J706:BF706),(('PTRM input'!$J$160+'PTRM input'!$J$126)*$J$7)/A18taxstdlife))</f>
        <v>0</v>
      </c>
      <c r="BH706" s="590">
        <f>IF(A18taxstdlife="n/a","n/a",IF(BH$3&gt;(A18taxstdlife+$E706),(('PTRM input'!$J$160+'PTRM input'!$J$126)*$J$7)-SUM($J706:BG706),(('PTRM input'!$J$160+'PTRM input'!$J$126)*$J$7)/A18taxstdlife))</f>
        <v>0</v>
      </c>
      <c r="BI706" s="590">
        <f>IF(A18taxstdlife="n/a","n/a",IF(BI$3&gt;(A18taxstdlife+$E706),(('PTRM input'!$J$160+'PTRM input'!$J$126)*$J$7)-SUM($J706:BH706),(('PTRM input'!$J$160+'PTRM input'!$J$126)*$J$7)/A18taxstdlife))</f>
        <v>0</v>
      </c>
      <c r="BJ706" s="240"/>
      <c r="BK706" s="240"/>
      <c r="BL706" s="240"/>
      <c r="BM706" s="240"/>
    </row>
    <row r="707" spans="1:65" s="4" customFormat="1" hidden="1" outlineLevel="2">
      <c r="A707" s="240"/>
      <c r="B707" s="240"/>
      <c r="C707" s="595"/>
      <c r="D707" s="1618"/>
      <c r="E707" s="169">
        <v>5</v>
      </c>
      <c r="F707" s="35"/>
      <c r="G707" s="184"/>
      <c r="H707" s="186"/>
      <c r="I707" s="186"/>
      <c r="J707" s="186"/>
      <c r="K707" s="185"/>
      <c r="L707" s="107">
        <f>IF(A18taxstdlife="n/a","n/a",IF(L$3&gt;(A18taxstdlife+$E707),(('PTRM input'!$K$160+'PTRM input'!$K$126)*$K$7)-SUM($K707:K707),(('PTRM input'!$K$160+'PTRM input'!$K$126)*$K$7)/A18taxstdlife))</f>
        <v>0</v>
      </c>
      <c r="M707" s="107">
        <f>IF(A18taxstdlife="n/a","n/a",IF(M$3&gt;(A18taxstdlife+$E707),(('PTRM input'!$K$160+'PTRM input'!$K$126)*$K$7)-SUM($K707:L707),(('PTRM input'!$K$160+'PTRM input'!$K$126)*$K$7)/A18taxstdlife))</f>
        <v>0</v>
      </c>
      <c r="N707" s="107">
        <f>IF(A18taxstdlife="n/a","n/a",IF(N$3&gt;(A18taxstdlife+$E707),(('PTRM input'!$K$160+'PTRM input'!$K$126)*$K$7)-SUM($K707:M707),(('PTRM input'!$K$160+'PTRM input'!$K$126)*$K$7)/A18taxstdlife))</f>
        <v>0</v>
      </c>
      <c r="O707" s="107">
        <f>IF(A18taxstdlife="n/a","n/a",IF(O$3&gt;(A18taxstdlife+$E707),(('PTRM input'!$K$160+'PTRM input'!$K$126)*$K$7)-SUM($K707:N707),(('PTRM input'!$K$160+'PTRM input'!$K$126)*$K$7)/A18taxstdlife))</f>
        <v>0</v>
      </c>
      <c r="P707" s="107">
        <f>IF(A18taxstdlife="n/a","n/a",IF(P$3&gt;(A18taxstdlife+$E707),(('PTRM input'!$K$160+'PTRM input'!$K$126)*$K$7)-SUM($K707:O707),(('PTRM input'!$K$160+'PTRM input'!$K$126)*$K$7)/A18taxstdlife))</f>
        <v>0</v>
      </c>
      <c r="Q707" s="590">
        <f>IF(A18taxstdlife="n/a","n/a",IF(Q$3&gt;(A18taxstdlife+$E707),(('PTRM input'!$K$160+'PTRM input'!$K$126)*$K$7)-SUM($K707:P707),(('PTRM input'!$K$160+'PTRM input'!$K$126)*$K$7)/A18taxstdlife))</f>
        <v>0</v>
      </c>
      <c r="R707" s="590">
        <f>IF(A18taxstdlife="n/a","n/a",IF(R$3&gt;(A18taxstdlife+$E707),(('PTRM input'!$K$160+'PTRM input'!$K$126)*$K$7)-SUM($K707:Q707),(('PTRM input'!$K$160+'PTRM input'!$K$126)*$K$7)/A18taxstdlife))</f>
        <v>0</v>
      </c>
      <c r="S707" s="590">
        <f>IF(A18taxstdlife="n/a","n/a",IF(S$3&gt;(A18taxstdlife+$E707),(('PTRM input'!$K$160+'PTRM input'!$K$126)*$K$7)-SUM($K707:R707),(('PTRM input'!$K$160+'PTRM input'!$K$126)*$K$7)/A18taxstdlife))</f>
        <v>0</v>
      </c>
      <c r="T707" s="590">
        <f>IF(A18taxstdlife="n/a","n/a",IF(T$3&gt;(A18taxstdlife+$E707),(('PTRM input'!$K$160+'PTRM input'!$K$126)*$K$7)-SUM($K707:S707),(('PTRM input'!$K$160+'PTRM input'!$K$126)*$K$7)/A18taxstdlife))</f>
        <v>0</v>
      </c>
      <c r="U707" s="590">
        <f>IF(A18taxstdlife="n/a","n/a",IF(U$3&gt;(A18taxstdlife+$E707),(('PTRM input'!$K$160+'PTRM input'!$K$126)*$K$7)-SUM($K707:T707),(('PTRM input'!$K$160+'PTRM input'!$K$126)*$K$7)/A18taxstdlife))</f>
        <v>0</v>
      </c>
      <c r="V707" s="590">
        <f>IF(A18taxstdlife="n/a","n/a",IF(V$3&gt;(A18taxstdlife+$E707),(('PTRM input'!$K$160+'PTRM input'!$K$126)*$K$7)-SUM($K707:U707),(('PTRM input'!$K$160+'PTRM input'!$K$126)*$K$7)/A18taxstdlife))</f>
        <v>0</v>
      </c>
      <c r="W707" s="590">
        <f>IF(A18taxstdlife="n/a","n/a",IF(W$3&gt;(A18taxstdlife+$E707),(('PTRM input'!$K$160+'PTRM input'!$K$126)*$K$7)-SUM($K707:V707),(('PTRM input'!$K$160+'PTRM input'!$K$126)*$K$7)/A18taxstdlife))</f>
        <v>0</v>
      </c>
      <c r="X707" s="590">
        <f>IF(A18taxstdlife="n/a","n/a",IF(X$3&gt;(A18taxstdlife+$E707),(('PTRM input'!$K$160+'PTRM input'!$K$126)*$K$7)-SUM($K707:W707),(('PTRM input'!$K$160+'PTRM input'!$K$126)*$K$7)/A18taxstdlife))</f>
        <v>0</v>
      </c>
      <c r="Y707" s="590">
        <f>IF(A18taxstdlife="n/a","n/a",IF(Y$3&gt;(A18taxstdlife+$E707),(('PTRM input'!$K$160+'PTRM input'!$K$126)*$K$7)-SUM($K707:X707),(('PTRM input'!$K$160+'PTRM input'!$K$126)*$K$7)/A18taxstdlife))</f>
        <v>0</v>
      </c>
      <c r="Z707" s="590">
        <f>IF(A18taxstdlife="n/a","n/a",IF(Z$3&gt;(A18taxstdlife+$E707),(('PTRM input'!$K$160+'PTRM input'!$K$126)*$K$7)-SUM($K707:Y707),(('PTRM input'!$K$160+'PTRM input'!$K$126)*$K$7)/A18taxstdlife))</f>
        <v>0</v>
      </c>
      <c r="AA707" s="590">
        <f>IF(A18taxstdlife="n/a","n/a",IF(AA$3&gt;(A18taxstdlife+$E707),(('PTRM input'!$K$160+'PTRM input'!$K$126)*$K$7)-SUM($K707:Z707),(('PTRM input'!$K$160+'PTRM input'!$K$126)*$K$7)/A18taxstdlife))</f>
        <v>0</v>
      </c>
      <c r="AB707" s="590">
        <f>IF(A18taxstdlife="n/a","n/a",IF(AB$3&gt;(A18taxstdlife+$E707),(('PTRM input'!$K$160+'PTRM input'!$K$126)*$K$7)-SUM($K707:AA707),(('PTRM input'!$K$160+'PTRM input'!$K$126)*$K$7)/A18taxstdlife))</f>
        <v>0</v>
      </c>
      <c r="AC707" s="590">
        <f>IF(A18taxstdlife="n/a","n/a",IF(AC$3&gt;(A18taxstdlife+$E707),(('PTRM input'!$K$160+'PTRM input'!$K$126)*$K$7)-SUM($K707:AB707),(('PTRM input'!$K$160+'PTRM input'!$K$126)*$K$7)/A18taxstdlife))</f>
        <v>0</v>
      </c>
      <c r="AD707" s="590">
        <f>IF(A18taxstdlife="n/a","n/a",IF(AD$3&gt;(A18taxstdlife+$E707),(('PTRM input'!$K$160+'PTRM input'!$K$126)*$K$7)-SUM($K707:AC707),(('PTRM input'!$K$160+'PTRM input'!$K$126)*$K$7)/A18taxstdlife))</f>
        <v>0</v>
      </c>
      <c r="AE707" s="590">
        <f>IF(A18taxstdlife="n/a","n/a",IF(AE$3&gt;(A18taxstdlife+$E707),(('PTRM input'!$K$160+'PTRM input'!$K$126)*$K$7)-SUM($K707:AD707),(('PTRM input'!$K$160+'PTRM input'!$K$126)*$K$7)/A18taxstdlife))</f>
        <v>0</v>
      </c>
      <c r="AF707" s="590">
        <f>IF(A18taxstdlife="n/a","n/a",IF(AF$3&gt;(A18taxstdlife+$E707),(('PTRM input'!$K$160+'PTRM input'!$K$126)*$K$7)-SUM($K707:AE707),(('PTRM input'!$K$160+'PTRM input'!$K$126)*$K$7)/A18taxstdlife))</f>
        <v>0</v>
      </c>
      <c r="AG707" s="590">
        <f>IF(A18taxstdlife="n/a","n/a",IF(AG$3&gt;(A18taxstdlife+$E707),(('PTRM input'!$K$160+'PTRM input'!$K$126)*$K$7)-SUM($K707:AF707),(('PTRM input'!$K$160+'PTRM input'!$K$126)*$K$7)/A18taxstdlife))</f>
        <v>0</v>
      </c>
      <c r="AH707" s="590">
        <f>IF(A18taxstdlife="n/a","n/a",IF(AH$3&gt;(A18taxstdlife+$E707),(('PTRM input'!$K$160+'PTRM input'!$K$126)*$K$7)-SUM($K707:AG707),(('PTRM input'!$K$160+'PTRM input'!$K$126)*$K$7)/A18taxstdlife))</f>
        <v>0</v>
      </c>
      <c r="AI707" s="590">
        <f>IF(A18taxstdlife="n/a","n/a",IF(AI$3&gt;(A18taxstdlife+$E707),(('PTRM input'!$K$160+'PTRM input'!$K$126)*$K$7)-SUM($K707:AH707),(('PTRM input'!$K$160+'PTRM input'!$K$126)*$K$7)/A18taxstdlife))</f>
        <v>0</v>
      </c>
      <c r="AJ707" s="590">
        <f>IF(A18taxstdlife="n/a","n/a",IF(AJ$3&gt;(A18taxstdlife+$E707),(('PTRM input'!$K$160+'PTRM input'!$K$126)*$K$7)-SUM($K707:AI707),(('PTRM input'!$K$160+'PTRM input'!$K$126)*$K$7)/A18taxstdlife))</f>
        <v>0</v>
      </c>
      <c r="AK707" s="590">
        <f>IF(A18taxstdlife="n/a","n/a",IF(AK$3&gt;(A18taxstdlife+$E707),(('PTRM input'!$K$160+'PTRM input'!$K$126)*$K$7)-SUM($K707:AJ707),(('PTRM input'!$K$160+'PTRM input'!$K$126)*$K$7)/A18taxstdlife))</f>
        <v>0</v>
      </c>
      <c r="AL707" s="590">
        <f>IF(A18taxstdlife="n/a","n/a",IF(AL$3&gt;(A18taxstdlife+$E707),(('PTRM input'!$K$160+'PTRM input'!$K$126)*$K$7)-SUM($K707:AK707),(('PTRM input'!$K$160+'PTRM input'!$K$126)*$K$7)/A18taxstdlife))</f>
        <v>0</v>
      </c>
      <c r="AM707" s="590">
        <f>IF(A18taxstdlife="n/a","n/a",IF(AM$3&gt;(A18taxstdlife+$E707),(('PTRM input'!$K$160+'PTRM input'!$K$126)*$K$7)-SUM($K707:AL707),(('PTRM input'!$K$160+'PTRM input'!$K$126)*$K$7)/A18taxstdlife))</f>
        <v>0</v>
      </c>
      <c r="AN707" s="590">
        <f>IF(A18taxstdlife="n/a","n/a",IF(AN$3&gt;(A18taxstdlife+$E707),(('PTRM input'!$K$160+'PTRM input'!$K$126)*$K$7)-SUM($K707:AM707),(('PTRM input'!$K$160+'PTRM input'!$K$126)*$K$7)/A18taxstdlife))</f>
        <v>0</v>
      </c>
      <c r="AO707" s="590">
        <f>IF(A18taxstdlife="n/a","n/a",IF(AO$3&gt;(A18taxstdlife+$E707),(('PTRM input'!$K$160+'PTRM input'!$K$126)*$K$7)-SUM($K707:AN707),(('PTRM input'!$K$160+'PTRM input'!$K$126)*$K$7)/A18taxstdlife))</f>
        <v>0</v>
      </c>
      <c r="AP707" s="590">
        <f>IF(A18taxstdlife="n/a","n/a",IF(AP$3&gt;(A18taxstdlife+$E707),(('PTRM input'!$K$160+'PTRM input'!$K$126)*$K$7)-SUM($K707:AO707),(('PTRM input'!$K$160+'PTRM input'!$K$126)*$K$7)/A18taxstdlife))</f>
        <v>0</v>
      </c>
      <c r="AQ707" s="590">
        <f>IF(A18taxstdlife="n/a","n/a",IF(AQ$3&gt;(A18taxstdlife+$E707),(('PTRM input'!$K$160+'PTRM input'!$K$126)*$K$7)-SUM($K707:AP707),(('PTRM input'!$K$160+'PTRM input'!$K$126)*$K$7)/A18taxstdlife))</f>
        <v>0</v>
      </c>
      <c r="AR707" s="590">
        <f>IF(A18taxstdlife="n/a","n/a",IF(AR$3&gt;(A18taxstdlife+$E707),(('PTRM input'!$K$160+'PTRM input'!$K$126)*$K$7)-SUM($K707:AQ707),(('PTRM input'!$K$160+'PTRM input'!$K$126)*$K$7)/A18taxstdlife))</f>
        <v>0</v>
      </c>
      <c r="AS707" s="590">
        <f>IF(A18taxstdlife="n/a","n/a",IF(AS$3&gt;(A18taxstdlife+$E707),(('PTRM input'!$K$160+'PTRM input'!$K$126)*$K$7)-SUM($K707:AR707),(('PTRM input'!$K$160+'PTRM input'!$K$126)*$K$7)/A18taxstdlife))</f>
        <v>0</v>
      </c>
      <c r="AT707" s="590">
        <f>IF(A18taxstdlife="n/a","n/a",IF(AT$3&gt;(A18taxstdlife+$E707),(('PTRM input'!$K$160+'PTRM input'!$K$126)*$K$7)-SUM($K707:AS707),(('PTRM input'!$K$160+'PTRM input'!$K$126)*$K$7)/A18taxstdlife))</f>
        <v>0</v>
      </c>
      <c r="AU707" s="590">
        <f>IF(A18taxstdlife="n/a","n/a",IF(AU$3&gt;(A18taxstdlife+$E707),(('PTRM input'!$K$160+'PTRM input'!$K$126)*$K$7)-SUM($K707:AT707),(('PTRM input'!$K$160+'PTRM input'!$K$126)*$K$7)/A18taxstdlife))</f>
        <v>0</v>
      </c>
      <c r="AV707" s="590">
        <f>IF(A18taxstdlife="n/a","n/a",IF(AV$3&gt;(A18taxstdlife+$E707),(('PTRM input'!$K$160+'PTRM input'!$K$126)*$K$7)-SUM($K707:AU707),(('PTRM input'!$K$160+'PTRM input'!$K$126)*$K$7)/A18taxstdlife))</f>
        <v>0</v>
      </c>
      <c r="AW707" s="590">
        <f>IF(A18taxstdlife="n/a","n/a",IF(AW$3&gt;(A18taxstdlife+$E707),(('PTRM input'!$K$160+'PTRM input'!$K$126)*$K$7)-SUM($K707:AV707),(('PTRM input'!$K$160+'PTRM input'!$K$126)*$K$7)/A18taxstdlife))</f>
        <v>0</v>
      </c>
      <c r="AX707" s="590">
        <f>IF(A18taxstdlife="n/a","n/a",IF(AX$3&gt;(A18taxstdlife+$E707),(('PTRM input'!$K$160+'PTRM input'!$K$126)*$K$7)-SUM($K707:AW707),(('PTRM input'!$K$160+'PTRM input'!$K$126)*$K$7)/A18taxstdlife))</f>
        <v>0</v>
      </c>
      <c r="AY707" s="590">
        <f>IF(A18taxstdlife="n/a","n/a",IF(AY$3&gt;(A18taxstdlife+$E707),(('PTRM input'!$K$160+'PTRM input'!$K$126)*$K$7)-SUM($K707:AX707),(('PTRM input'!$K$160+'PTRM input'!$K$126)*$K$7)/A18taxstdlife))</f>
        <v>0</v>
      </c>
      <c r="AZ707" s="590">
        <f>IF(A18taxstdlife="n/a","n/a",IF(AZ$3&gt;(A18taxstdlife+$E707),(('PTRM input'!$K$160+'PTRM input'!$K$126)*$K$7)-SUM($K707:AY707),(('PTRM input'!$K$160+'PTRM input'!$K$126)*$K$7)/A18taxstdlife))</f>
        <v>0</v>
      </c>
      <c r="BA707" s="590">
        <f>IF(A18taxstdlife="n/a","n/a",IF(BA$3&gt;(A18taxstdlife+$E707),(('PTRM input'!$K$160+'PTRM input'!$K$126)*$K$7)-SUM($K707:AZ707),(('PTRM input'!$K$160+'PTRM input'!$K$126)*$K$7)/A18taxstdlife))</f>
        <v>0</v>
      </c>
      <c r="BB707" s="590">
        <f>IF(A18taxstdlife="n/a","n/a",IF(BB$3&gt;(A18taxstdlife+$E707),(('PTRM input'!$K$160+'PTRM input'!$K$126)*$K$7)-SUM($K707:BA707),(('PTRM input'!$K$160+'PTRM input'!$K$126)*$K$7)/A18taxstdlife))</f>
        <v>0</v>
      </c>
      <c r="BC707" s="590">
        <f>IF(A18taxstdlife="n/a","n/a",IF(BC$3&gt;(A18taxstdlife+$E707),(('PTRM input'!$K$160+'PTRM input'!$K$126)*$K$7)-SUM($K707:BB707),(('PTRM input'!$K$160+'PTRM input'!$K$126)*$K$7)/A18taxstdlife))</f>
        <v>0</v>
      </c>
      <c r="BD707" s="590">
        <f>IF(A18taxstdlife="n/a","n/a",IF(BD$3&gt;(A18taxstdlife+$E707),(('PTRM input'!$K$160+'PTRM input'!$K$126)*$K$7)-SUM($K707:BC707),(('PTRM input'!$K$160+'PTRM input'!$K$126)*$K$7)/A18taxstdlife))</f>
        <v>0</v>
      </c>
      <c r="BE707" s="590">
        <f>IF(A18taxstdlife="n/a","n/a",IF(BE$3&gt;(A18taxstdlife+$E707),(('PTRM input'!$K$160+'PTRM input'!$K$126)*$K$7)-SUM($K707:BD707),(('PTRM input'!$K$160+'PTRM input'!$K$126)*$K$7)/A18taxstdlife))</f>
        <v>0</v>
      </c>
      <c r="BF707" s="590">
        <f>IF(A18taxstdlife="n/a","n/a",IF(BF$3&gt;(A18taxstdlife+$E707),(('PTRM input'!$K$160+'PTRM input'!$K$126)*$K$7)-SUM($K707:BE707),(('PTRM input'!$K$160+'PTRM input'!$K$126)*$K$7)/A18taxstdlife))</f>
        <v>0</v>
      </c>
      <c r="BG707" s="590">
        <f>IF(A18taxstdlife="n/a","n/a",IF(BG$3&gt;(A18taxstdlife+$E707),(('PTRM input'!$K$160+'PTRM input'!$K$126)*$K$7)-SUM($K707:BF707),(('PTRM input'!$K$160+'PTRM input'!$K$126)*$K$7)/A18taxstdlife))</f>
        <v>0</v>
      </c>
      <c r="BH707" s="590">
        <f>IF(A18taxstdlife="n/a","n/a",IF(BH$3&gt;(A18taxstdlife+$E707),(('PTRM input'!$K$160+'PTRM input'!$K$126)*$K$7)-SUM($K707:BG707),(('PTRM input'!$K$160+'PTRM input'!$K$126)*$K$7)/A18taxstdlife))</f>
        <v>0</v>
      </c>
      <c r="BI707" s="590">
        <f>IF(A18taxstdlife="n/a","n/a",IF(BI$3&gt;(A18taxstdlife+$E707),(('PTRM input'!$K$160+'PTRM input'!$K$126)*$K$7)-SUM($K707:BH707),(('PTRM input'!$K$160+'PTRM input'!$K$126)*$K$7)/A18taxstdlife))</f>
        <v>0</v>
      </c>
      <c r="BJ707" s="240"/>
      <c r="BK707" s="240"/>
      <c r="BL707" s="240"/>
      <c r="BM707" s="240"/>
    </row>
    <row r="708" spans="1:65" s="4" customFormat="1" hidden="1" outlineLevel="2">
      <c r="A708" s="240"/>
      <c r="B708" s="240"/>
      <c r="C708" s="595"/>
      <c r="D708" s="1618"/>
      <c r="E708" s="169">
        <v>6</v>
      </c>
      <c r="F708" s="35"/>
      <c r="G708" s="184"/>
      <c r="H708" s="186"/>
      <c r="I708" s="186"/>
      <c r="J708" s="186"/>
      <c r="K708" s="186"/>
      <c r="L708" s="185"/>
      <c r="M708" s="107">
        <f>IF(A18taxstdlife="n/a","n/a",IF(M$3&gt;(A18taxstdlife+$E708),(('PTRM input'!$L$160+'PTRM input'!$L$126)*$L$7)-SUM($L708:L708),(('PTRM input'!$L$160+'PTRM input'!$L$126)*$L$7)/A18taxstdlife))</f>
        <v>0</v>
      </c>
      <c r="N708" s="107">
        <f>IF(A18taxstdlife="n/a","n/a",IF(N$3&gt;(A18taxstdlife+$E708),(('PTRM input'!$L$160+'PTRM input'!$L$126)*$L$7)-SUM($L708:M708),(('PTRM input'!$L$160+'PTRM input'!$L$126)*$L$7)/A18taxstdlife))</f>
        <v>0</v>
      </c>
      <c r="O708" s="107">
        <f>IF(A18taxstdlife="n/a","n/a",IF(O$3&gt;(A18taxstdlife+$E708),(('PTRM input'!$L$160+'PTRM input'!$L$126)*$L$7)-SUM($L708:N708),(('PTRM input'!$L$160+'PTRM input'!$L$126)*$L$7)/A18taxstdlife))</f>
        <v>0</v>
      </c>
      <c r="P708" s="107">
        <f>IF(A18taxstdlife="n/a","n/a",IF(P$3&gt;(A18taxstdlife+$E708),(('PTRM input'!$L$160+'PTRM input'!$L$126)*$L$7)-SUM($L708:O708),(('PTRM input'!$L$160+'PTRM input'!$L$126)*$L$7)/A18taxstdlife))</f>
        <v>0</v>
      </c>
      <c r="Q708" s="590">
        <f>IF(A18taxstdlife="n/a","n/a",IF(Q$3&gt;(A18taxstdlife+$E708),(('PTRM input'!$L$160+'PTRM input'!$L$126)*$L$7)-SUM($L708:P708),(('PTRM input'!$L$160+'PTRM input'!$L$126)*$L$7)/A18taxstdlife))</f>
        <v>0</v>
      </c>
      <c r="R708" s="590">
        <f>IF(A18taxstdlife="n/a","n/a",IF(R$3&gt;(A18taxstdlife+$E708),(('PTRM input'!$L$160+'PTRM input'!$L$126)*$L$7)-SUM($L708:Q708),(('PTRM input'!$L$160+'PTRM input'!$L$126)*$L$7)/A18taxstdlife))</f>
        <v>0</v>
      </c>
      <c r="S708" s="590">
        <f>IF(A18taxstdlife="n/a","n/a",IF(S$3&gt;(A18taxstdlife+$E708),(('PTRM input'!$L$160+'PTRM input'!$L$126)*$L$7)-SUM($L708:R708),(('PTRM input'!$L$160+'PTRM input'!$L$126)*$L$7)/A18taxstdlife))</f>
        <v>0</v>
      </c>
      <c r="T708" s="590">
        <f>IF(A18taxstdlife="n/a","n/a",IF(T$3&gt;(A18taxstdlife+$E708),(('PTRM input'!$L$160+'PTRM input'!$L$126)*$L$7)-SUM($L708:S708),(('PTRM input'!$L$160+'PTRM input'!$L$126)*$L$7)/A18taxstdlife))</f>
        <v>0</v>
      </c>
      <c r="U708" s="590">
        <f>IF(A18taxstdlife="n/a","n/a",IF(U$3&gt;(A18taxstdlife+$E708),(('PTRM input'!$L$160+'PTRM input'!$L$126)*$L$7)-SUM($L708:T708),(('PTRM input'!$L$160+'PTRM input'!$L$126)*$L$7)/A18taxstdlife))</f>
        <v>0</v>
      </c>
      <c r="V708" s="590">
        <f>IF(A18taxstdlife="n/a","n/a",IF(V$3&gt;(A18taxstdlife+$E708),(('PTRM input'!$L$160+'PTRM input'!$L$126)*$L$7)-SUM($L708:U708),(('PTRM input'!$L$160+'PTRM input'!$L$126)*$L$7)/A18taxstdlife))</f>
        <v>0</v>
      </c>
      <c r="W708" s="590">
        <f>IF(A18taxstdlife="n/a","n/a",IF(W$3&gt;(A18taxstdlife+$E708),(('PTRM input'!$L$160+'PTRM input'!$L$126)*$L$7)-SUM($L708:V708),(('PTRM input'!$L$160+'PTRM input'!$L$126)*$L$7)/A18taxstdlife))</f>
        <v>0</v>
      </c>
      <c r="X708" s="590">
        <f>IF(A18taxstdlife="n/a","n/a",IF(X$3&gt;(A18taxstdlife+$E708),(('PTRM input'!$L$160+'PTRM input'!$L$126)*$L$7)-SUM($L708:W708),(('PTRM input'!$L$160+'PTRM input'!$L$126)*$L$7)/A18taxstdlife))</f>
        <v>0</v>
      </c>
      <c r="Y708" s="590">
        <f>IF(A18taxstdlife="n/a","n/a",IF(Y$3&gt;(A18taxstdlife+$E708),(('PTRM input'!$L$160+'PTRM input'!$L$126)*$L$7)-SUM($L708:X708),(('PTRM input'!$L$160+'PTRM input'!$L$126)*$L$7)/A18taxstdlife))</f>
        <v>0</v>
      </c>
      <c r="Z708" s="590">
        <f>IF(A18taxstdlife="n/a","n/a",IF(Z$3&gt;(A18taxstdlife+$E708),(('PTRM input'!$L$160+'PTRM input'!$L$126)*$L$7)-SUM($L708:Y708),(('PTRM input'!$L$160+'PTRM input'!$L$126)*$L$7)/A18taxstdlife))</f>
        <v>0</v>
      </c>
      <c r="AA708" s="590">
        <f>IF(A18taxstdlife="n/a","n/a",IF(AA$3&gt;(A18taxstdlife+$E708),(('PTRM input'!$L$160+'PTRM input'!$L$126)*$L$7)-SUM($L708:Z708),(('PTRM input'!$L$160+'PTRM input'!$L$126)*$L$7)/A18taxstdlife))</f>
        <v>0</v>
      </c>
      <c r="AB708" s="590">
        <f>IF(A18taxstdlife="n/a","n/a",IF(AB$3&gt;(A18taxstdlife+$E708),(('PTRM input'!$L$160+'PTRM input'!$L$126)*$L$7)-SUM($L708:AA708),(('PTRM input'!$L$160+'PTRM input'!$L$126)*$L$7)/A18taxstdlife))</f>
        <v>0</v>
      </c>
      <c r="AC708" s="590">
        <f>IF(A18taxstdlife="n/a","n/a",IF(AC$3&gt;(A18taxstdlife+$E708),(('PTRM input'!$L$160+'PTRM input'!$L$126)*$L$7)-SUM($L708:AB708),(('PTRM input'!$L$160+'PTRM input'!$L$126)*$L$7)/A18taxstdlife))</f>
        <v>0</v>
      </c>
      <c r="AD708" s="590">
        <f>IF(A18taxstdlife="n/a","n/a",IF(AD$3&gt;(A18taxstdlife+$E708),(('PTRM input'!$L$160+'PTRM input'!$L$126)*$L$7)-SUM($L708:AC708),(('PTRM input'!$L$160+'PTRM input'!$L$126)*$L$7)/A18taxstdlife))</f>
        <v>0</v>
      </c>
      <c r="AE708" s="590">
        <f>IF(A18taxstdlife="n/a","n/a",IF(AE$3&gt;(A18taxstdlife+$E708),(('PTRM input'!$L$160+'PTRM input'!$L$126)*$L$7)-SUM($L708:AD708),(('PTRM input'!$L$160+'PTRM input'!$L$126)*$L$7)/A18taxstdlife))</f>
        <v>0</v>
      </c>
      <c r="AF708" s="590">
        <f>IF(A18taxstdlife="n/a","n/a",IF(AF$3&gt;(A18taxstdlife+$E708),(('PTRM input'!$L$160+'PTRM input'!$L$126)*$L$7)-SUM($L708:AE708),(('PTRM input'!$L$160+'PTRM input'!$L$126)*$L$7)/A18taxstdlife))</f>
        <v>0</v>
      </c>
      <c r="AG708" s="590">
        <f>IF(A18taxstdlife="n/a","n/a",IF(AG$3&gt;(A18taxstdlife+$E708),(('PTRM input'!$L$160+'PTRM input'!$L$126)*$L$7)-SUM($L708:AF708),(('PTRM input'!$L$160+'PTRM input'!$L$126)*$L$7)/A18taxstdlife))</f>
        <v>0</v>
      </c>
      <c r="AH708" s="590">
        <f>IF(A18taxstdlife="n/a","n/a",IF(AH$3&gt;(A18taxstdlife+$E708),(('PTRM input'!$L$160+'PTRM input'!$L$126)*$L$7)-SUM($L708:AG708),(('PTRM input'!$L$160+'PTRM input'!$L$126)*$L$7)/A18taxstdlife))</f>
        <v>0</v>
      </c>
      <c r="AI708" s="590">
        <f>IF(A18taxstdlife="n/a","n/a",IF(AI$3&gt;(A18taxstdlife+$E708),(('PTRM input'!$L$160+'PTRM input'!$L$126)*$L$7)-SUM($L708:AH708),(('PTRM input'!$L$160+'PTRM input'!$L$126)*$L$7)/A18taxstdlife))</f>
        <v>0</v>
      </c>
      <c r="AJ708" s="590">
        <f>IF(A18taxstdlife="n/a","n/a",IF(AJ$3&gt;(A18taxstdlife+$E708),(('PTRM input'!$L$160+'PTRM input'!$L$126)*$L$7)-SUM($L708:AI708),(('PTRM input'!$L$160+'PTRM input'!$L$126)*$L$7)/A18taxstdlife))</f>
        <v>0</v>
      </c>
      <c r="AK708" s="590">
        <f>IF(A18taxstdlife="n/a","n/a",IF(AK$3&gt;(A18taxstdlife+$E708),(('PTRM input'!$L$160+'PTRM input'!$L$126)*$L$7)-SUM($L708:AJ708),(('PTRM input'!$L$160+'PTRM input'!$L$126)*$L$7)/A18taxstdlife))</f>
        <v>0</v>
      </c>
      <c r="AL708" s="590">
        <f>IF(A18taxstdlife="n/a","n/a",IF(AL$3&gt;(A18taxstdlife+$E708),(('PTRM input'!$L$160+'PTRM input'!$L$126)*$L$7)-SUM($L708:AK708),(('PTRM input'!$L$160+'PTRM input'!$L$126)*$L$7)/A18taxstdlife))</f>
        <v>0</v>
      </c>
      <c r="AM708" s="590">
        <f>IF(A18taxstdlife="n/a","n/a",IF(AM$3&gt;(A18taxstdlife+$E708),(('PTRM input'!$L$160+'PTRM input'!$L$126)*$L$7)-SUM($L708:AL708),(('PTRM input'!$L$160+'PTRM input'!$L$126)*$L$7)/A18taxstdlife))</f>
        <v>0</v>
      </c>
      <c r="AN708" s="590">
        <f>IF(A18taxstdlife="n/a","n/a",IF(AN$3&gt;(A18taxstdlife+$E708),(('PTRM input'!$L$160+'PTRM input'!$L$126)*$L$7)-SUM($L708:AM708),(('PTRM input'!$L$160+'PTRM input'!$L$126)*$L$7)/A18taxstdlife))</f>
        <v>0</v>
      </c>
      <c r="AO708" s="590">
        <f>IF(A18taxstdlife="n/a","n/a",IF(AO$3&gt;(A18taxstdlife+$E708),(('PTRM input'!$L$160+'PTRM input'!$L$126)*$L$7)-SUM($L708:AN708),(('PTRM input'!$L$160+'PTRM input'!$L$126)*$L$7)/A18taxstdlife))</f>
        <v>0</v>
      </c>
      <c r="AP708" s="590">
        <f>IF(A18taxstdlife="n/a","n/a",IF(AP$3&gt;(A18taxstdlife+$E708),(('PTRM input'!$L$160+'PTRM input'!$L$126)*$L$7)-SUM($L708:AO708),(('PTRM input'!$L$160+'PTRM input'!$L$126)*$L$7)/A18taxstdlife))</f>
        <v>0</v>
      </c>
      <c r="AQ708" s="590">
        <f>IF(A18taxstdlife="n/a","n/a",IF(AQ$3&gt;(A18taxstdlife+$E708),(('PTRM input'!$L$160+'PTRM input'!$L$126)*$L$7)-SUM($L708:AP708),(('PTRM input'!$L$160+'PTRM input'!$L$126)*$L$7)/A18taxstdlife))</f>
        <v>0</v>
      </c>
      <c r="AR708" s="590">
        <f>IF(A18taxstdlife="n/a","n/a",IF(AR$3&gt;(A18taxstdlife+$E708),(('PTRM input'!$L$160+'PTRM input'!$L$126)*$L$7)-SUM($L708:AQ708),(('PTRM input'!$L$160+'PTRM input'!$L$126)*$L$7)/A18taxstdlife))</f>
        <v>0</v>
      </c>
      <c r="AS708" s="590">
        <f>IF(A18taxstdlife="n/a","n/a",IF(AS$3&gt;(A18taxstdlife+$E708),(('PTRM input'!$L$160+'PTRM input'!$L$126)*$L$7)-SUM($L708:AR708),(('PTRM input'!$L$160+'PTRM input'!$L$126)*$L$7)/A18taxstdlife))</f>
        <v>0</v>
      </c>
      <c r="AT708" s="590">
        <f>IF(A18taxstdlife="n/a","n/a",IF(AT$3&gt;(A18taxstdlife+$E708),(('PTRM input'!$L$160+'PTRM input'!$L$126)*$L$7)-SUM($L708:AS708),(('PTRM input'!$L$160+'PTRM input'!$L$126)*$L$7)/A18taxstdlife))</f>
        <v>0</v>
      </c>
      <c r="AU708" s="590">
        <f>IF(A18taxstdlife="n/a","n/a",IF(AU$3&gt;(A18taxstdlife+$E708),(('PTRM input'!$L$160+'PTRM input'!$L$126)*$L$7)-SUM($L708:AT708),(('PTRM input'!$L$160+'PTRM input'!$L$126)*$L$7)/A18taxstdlife))</f>
        <v>0</v>
      </c>
      <c r="AV708" s="590">
        <f>IF(A18taxstdlife="n/a","n/a",IF(AV$3&gt;(A18taxstdlife+$E708),(('PTRM input'!$L$160+'PTRM input'!$L$126)*$L$7)-SUM($L708:AU708),(('PTRM input'!$L$160+'PTRM input'!$L$126)*$L$7)/A18taxstdlife))</f>
        <v>0</v>
      </c>
      <c r="AW708" s="590">
        <f>IF(A18taxstdlife="n/a","n/a",IF(AW$3&gt;(A18taxstdlife+$E708),(('PTRM input'!$L$160+'PTRM input'!$L$126)*$L$7)-SUM($L708:AV708),(('PTRM input'!$L$160+'PTRM input'!$L$126)*$L$7)/A18taxstdlife))</f>
        <v>0</v>
      </c>
      <c r="AX708" s="590">
        <f>IF(A18taxstdlife="n/a","n/a",IF(AX$3&gt;(A18taxstdlife+$E708),(('PTRM input'!$L$160+'PTRM input'!$L$126)*$L$7)-SUM($L708:AW708),(('PTRM input'!$L$160+'PTRM input'!$L$126)*$L$7)/A18taxstdlife))</f>
        <v>0</v>
      </c>
      <c r="AY708" s="590">
        <f>IF(A18taxstdlife="n/a","n/a",IF(AY$3&gt;(A18taxstdlife+$E708),(('PTRM input'!$L$160+'PTRM input'!$L$126)*$L$7)-SUM($L708:AX708),(('PTRM input'!$L$160+'PTRM input'!$L$126)*$L$7)/A18taxstdlife))</f>
        <v>0</v>
      </c>
      <c r="AZ708" s="590">
        <f>IF(A18taxstdlife="n/a","n/a",IF(AZ$3&gt;(A18taxstdlife+$E708),(('PTRM input'!$L$160+'PTRM input'!$L$126)*$L$7)-SUM($L708:AY708),(('PTRM input'!$L$160+'PTRM input'!$L$126)*$L$7)/A18taxstdlife))</f>
        <v>0</v>
      </c>
      <c r="BA708" s="590">
        <f>IF(A18taxstdlife="n/a","n/a",IF(BA$3&gt;(A18taxstdlife+$E708),(('PTRM input'!$L$160+'PTRM input'!$L$126)*$L$7)-SUM($L708:AZ708),(('PTRM input'!$L$160+'PTRM input'!$L$126)*$L$7)/A18taxstdlife))</f>
        <v>0</v>
      </c>
      <c r="BB708" s="590">
        <f>IF(A18taxstdlife="n/a","n/a",IF(BB$3&gt;(A18taxstdlife+$E708),(('PTRM input'!$L$160+'PTRM input'!$L$126)*$L$7)-SUM($L708:BA708),(('PTRM input'!$L$160+'PTRM input'!$L$126)*$L$7)/A18taxstdlife))</f>
        <v>0</v>
      </c>
      <c r="BC708" s="590">
        <f>IF(A18taxstdlife="n/a","n/a",IF(BC$3&gt;(A18taxstdlife+$E708),(('PTRM input'!$L$160+'PTRM input'!$L$126)*$L$7)-SUM($L708:BB708),(('PTRM input'!$L$160+'PTRM input'!$L$126)*$L$7)/A18taxstdlife))</f>
        <v>0</v>
      </c>
      <c r="BD708" s="590">
        <f>IF(A18taxstdlife="n/a","n/a",IF(BD$3&gt;(A18taxstdlife+$E708),(('PTRM input'!$L$160+'PTRM input'!$L$126)*$L$7)-SUM($L708:BC708),(('PTRM input'!$L$160+'PTRM input'!$L$126)*$L$7)/A18taxstdlife))</f>
        <v>0</v>
      </c>
      <c r="BE708" s="590">
        <f>IF(A18taxstdlife="n/a","n/a",IF(BE$3&gt;(A18taxstdlife+$E708),(('PTRM input'!$L$160+'PTRM input'!$L$126)*$L$7)-SUM($L708:BD708),(('PTRM input'!$L$160+'PTRM input'!$L$126)*$L$7)/A18taxstdlife))</f>
        <v>0</v>
      </c>
      <c r="BF708" s="590">
        <f>IF(A18taxstdlife="n/a","n/a",IF(BF$3&gt;(A18taxstdlife+$E708),(('PTRM input'!$L$160+'PTRM input'!$L$126)*$L$7)-SUM($L708:BE708),(('PTRM input'!$L$160+'PTRM input'!$L$126)*$L$7)/A18taxstdlife))</f>
        <v>0</v>
      </c>
      <c r="BG708" s="590">
        <f>IF(A18taxstdlife="n/a","n/a",IF(BG$3&gt;(A18taxstdlife+$E708),(('PTRM input'!$L$160+'PTRM input'!$L$126)*$L$7)-SUM($L708:BF708),(('PTRM input'!$L$160+'PTRM input'!$L$126)*$L$7)/A18taxstdlife))</f>
        <v>0</v>
      </c>
      <c r="BH708" s="590">
        <f>IF(A18taxstdlife="n/a","n/a",IF(BH$3&gt;(A18taxstdlife+$E708),(('PTRM input'!$L$160+'PTRM input'!$L$126)*$L$7)-SUM($L708:BG708),(('PTRM input'!$L$160+'PTRM input'!$L$126)*$L$7)/A18taxstdlife))</f>
        <v>0</v>
      </c>
      <c r="BI708" s="590">
        <f>IF(A18taxstdlife="n/a","n/a",IF(BI$3&gt;(A18taxstdlife+$E708),(('PTRM input'!$L$160+'PTRM input'!$L$126)*$L$7)-SUM($L708:BH708),(('PTRM input'!$L$160+'PTRM input'!$L$126)*$L$7)/A18taxstdlife))</f>
        <v>0</v>
      </c>
      <c r="BJ708" s="240"/>
      <c r="BK708" s="240"/>
      <c r="BL708" s="240"/>
      <c r="BM708" s="240"/>
    </row>
    <row r="709" spans="1:65" s="4" customFormat="1" hidden="1" outlineLevel="2">
      <c r="A709" s="240"/>
      <c r="B709" s="240"/>
      <c r="C709" s="595"/>
      <c r="D709" s="1618"/>
      <c r="E709" s="169">
        <v>7</v>
      </c>
      <c r="F709" s="35"/>
      <c r="G709" s="184"/>
      <c r="H709" s="186"/>
      <c r="I709" s="186"/>
      <c r="J709" s="186"/>
      <c r="K709" s="186"/>
      <c r="L709" s="186"/>
      <c r="M709" s="185"/>
      <c r="N709" s="107">
        <f>IF(A18taxstdlife="n/a","n/a",IF(N$3&gt;(A18taxstdlife+$E709),(('PTRM input'!$M$160+'PTRM input'!$M$126)*$M$7)-SUM($M709:M709),(('PTRM input'!$M$160+'PTRM input'!$M$126)*$M$7)/A18taxstdlife))</f>
        <v>0</v>
      </c>
      <c r="O709" s="107">
        <f>IF(A18taxstdlife="n/a","n/a",IF(O$3&gt;(A18taxstdlife+$E709),(('PTRM input'!$M$160+'PTRM input'!$M$126)*$M$7)-SUM($M709:N709),(('PTRM input'!$M$160+'PTRM input'!$M$126)*$M$7)/A18taxstdlife))</f>
        <v>0</v>
      </c>
      <c r="P709" s="107">
        <f>IF(A18taxstdlife="n/a","n/a",IF(P$3&gt;(A18taxstdlife+$E709),(('PTRM input'!$M$160+'PTRM input'!$M$126)*$M$7)-SUM($M709:O709),(('PTRM input'!$M$160+'PTRM input'!$M$126)*$M$7)/A18taxstdlife))</f>
        <v>0</v>
      </c>
      <c r="Q709" s="590">
        <f>IF(A18taxstdlife="n/a","n/a",IF(Q$3&gt;(A18taxstdlife+$E709),(('PTRM input'!$M$160+'PTRM input'!$M$126)*$M$7)-SUM($M709:P709),(('PTRM input'!$M$160+'PTRM input'!$M$126)*$M$7)/A18taxstdlife))</f>
        <v>0</v>
      </c>
      <c r="R709" s="590">
        <f>IF(A18taxstdlife="n/a","n/a",IF(R$3&gt;(A18taxstdlife+$E709),(('PTRM input'!$M$160+'PTRM input'!$M$126)*$M$7)-SUM($M709:Q709),(('PTRM input'!$M$160+'PTRM input'!$M$126)*$M$7)/A18taxstdlife))</f>
        <v>0</v>
      </c>
      <c r="S709" s="590">
        <f>IF(A18taxstdlife="n/a","n/a",IF(S$3&gt;(A18taxstdlife+$E709),(('PTRM input'!$M$160+'PTRM input'!$M$126)*$M$7)-SUM($M709:R709),(('PTRM input'!$M$160+'PTRM input'!$M$126)*$M$7)/A18taxstdlife))</f>
        <v>0</v>
      </c>
      <c r="T709" s="590">
        <f>IF(A18taxstdlife="n/a","n/a",IF(T$3&gt;(A18taxstdlife+$E709),(('PTRM input'!$M$160+'PTRM input'!$M$126)*$M$7)-SUM($M709:S709),(('PTRM input'!$M$160+'PTRM input'!$M$126)*$M$7)/A18taxstdlife))</f>
        <v>0</v>
      </c>
      <c r="U709" s="590">
        <f>IF(A18taxstdlife="n/a","n/a",IF(U$3&gt;(A18taxstdlife+$E709),(('PTRM input'!$M$160+'PTRM input'!$M$126)*$M$7)-SUM($M709:T709),(('PTRM input'!$M$160+'PTRM input'!$M$126)*$M$7)/A18taxstdlife))</f>
        <v>0</v>
      </c>
      <c r="V709" s="590">
        <f>IF(A18taxstdlife="n/a","n/a",IF(V$3&gt;(A18taxstdlife+$E709),(('PTRM input'!$M$160+'PTRM input'!$M$126)*$M$7)-SUM($M709:U709),(('PTRM input'!$M$160+'PTRM input'!$M$126)*$M$7)/A18taxstdlife))</f>
        <v>0</v>
      </c>
      <c r="W709" s="590">
        <f>IF(A18taxstdlife="n/a","n/a",IF(W$3&gt;(A18taxstdlife+$E709),(('PTRM input'!$M$160+'PTRM input'!$M$126)*$M$7)-SUM($M709:V709),(('PTRM input'!$M$160+'PTRM input'!$M$126)*$M$7)/A18taxstdlife))</f>
        <v>0</v>
      </c>
      <c r="X709" s="590">
        <f>IF(A18taxstdlife="n/a","n/a",IF(X$3&gt;(A18taxstdlife+$E709),(('PTRM input'!$M$160+'PTRM input'!$M$126)*$M$7)-SUM($M709:W709),(('PTRM input'!$M$160+'PTRM input'!$M$126)*$M$7)/A18taxstdlife))</f>
        <v>0</v>
      </c>
      <c r="Y709" s="590">
        <f>IF(A18taxstdlife="n/a","n/a",IF(Y$3&gt;(A18taxstdlife+$E709),(('PTRM input'!$M$160+'PTRM input'!$M$126)*$M$7)-SUM($M709:X709),(('PTRM input'!$M$160+'PTRM input'!$M$126)*$M$7)/A18taxstdlife))</f>
        <v>0</v>
      </c>
      <c r="Z709" s="590">
        <f>IF(A18taxstdlife="n/a","n/a",IF(Z$3&gt;(A18taxstdlife+$E709),(('PTRM input'!$M$160+'PTRM input'!$M$126)*$M$7)-SUM($M709:Y709),(('PTRM input'!$M$160+'PTRM input'!$M$126)*$M$7)/A18taxstdlife))</f>
        <v>0</v>
      </c>
      <c r="AA709" s="590">
        <f>IF(A18taxstdlife="n/a","n/a",IF(AA$3&gt;(A18taxstdlife+$E709),(('PTRM input'!$M$160+'PTRM input'!$M$126)*$M$7)-SUM($M709:Z709),(('PTRM input'!$M$160+'PTRM input'!$M$126)*$M$7)/A18taxstdlife))</f>
        <v>0</v>
      </c>
      <c r="AB709" s="590">
        <f>IF(A18taxstdlife="n/a","n/a",IF(AB$3&gt;(A18taxstdlife+$E709),(('PTRM input'!$M$160+'PTRM input'!$M$126)*$M$7)-SUM($M709:AA709),(('PTRM input'!$M$160+'PTRM input'!$M$126)*$M$7)/A18taxstdlife))</f>
        <v>0</v>
      </c>
      <c r="AC709" s="590">
        <f>IF(A18taxstdlife="n/a","n/a",IF(AC$3&gt;(A18taxstdlife+$E709),(('PTRM input'!$M$160+'PTRM input'!$M$126)*$M$7)-SUM($M709:AB709),(('PTRM input'!$M$160+'PTRM input'!$M$126)*$M$7)/A18taxstdlife))</f>
        <v>0</v>
      </c>
      <c r="AD709" s="590">
        <f>IF(A18taxstdlife="n/a","n/a",IF(AD$3&gt;(A18taxstdlife+$E709),(('PTRM input'!$M$160+'PTRM input'!$M$126)*$M$7)-SUM($M709:AC709),(('PTRM input'!$M$160+'PTRM input'!$M$126)*$M$7)/A18taxstdlife))</f>
        <v>0</v>
      </c>
      <c r="AE709" s="590">
        <f>IF(A18taxstdlife="n/a","n/a",IF(AE$3&gt;(A18taxstdlife+$E709),(('PTRM input'!$M$160+'PTRM input'!$M$126)*$M$7)-SUM($M709:AD709),(('PTRM input'!$M$160+'PTRM input'!$M$126)*$M$7)/A18taxstdlife))</f>
        <v>0</v>
      </c>
      <c r="AF709" s="590">
        <f>IF(A18taxstdlife="n/a","n/a",IF(AF$3&gt;(A18taxstdlife+$E709),(('PTRM input'!$M$160+'PTRM input'!$M$126)*$M$7)-SUM($M709:AE709),(('PTRM input'!$M$160+'PTRM input'!$M$126)*$M$7)/A18taxstdlife))</f>
        <v>0</v>
      </c>
      <c r="AG709" s="590">
        <f>IF(A18taxstdlife="n/a","n/a",IF(AG$3&gt;(A18taxstdlife+$E709),(('PTRM input'!$M$160+'PTRM input'!$M$126)*$M$7)-SUM($M709:AF709),(('PTRM input'!$M$160+'PTRM input'!$M$126)*$M$7)/A18taxstdlife))</f>
        <v>0</v>
      </c>
      <c r="AH709" s="590">
        <f>IF(A18taxstdlife="n/a","n/a",IF(AH$3&gt;(A18taxstdlife+$E709),(('PTRM input'!$M$160+'PTRM input'!$M$126)*$M$7)-SUM($M709:AG709),(('PTRM input'!$M$160+'PTRM input'!$M$126)*$M$7)/A18taxstdlife))</f>
        <v>0</v>
      </c>
      <c r="AI709" s="590">
        <f>IF(A18taxstdlife="n/a","n/a",IF(AI$3&gt;(A18taxstdlife+$E709),(('PTRM input'!$M$160+'PTRM input'!$M$126)*$M$7)-SUM($M709:AH709),(('PTRM input'!$M$160+'PTRM input'!$M$126)*$M$7)/A18taxstdlife))</f>
        <v>0</v>
      </c>
      <c r="AJ709" s="590">
        <f>IF(A18taxstdlife="n/a","n/a",IF(AJ$3&gt;(A18taxstdlife+$E709),(('PTRM input'!$M$160+'PTRM input'!$M$126)*$M$7)-SUM($M709:AI709),(('PTRM input'!$M$160+'PTRM input'!$M$126)*$M$7)/A18taxstdlife))</f>
        <v>0</v>
      </c>
      <c r="AK709" s="590">
        <f>IF(A18taxstdlife="n/a","n/a",IF(AK$3&gt;(A18taxstdlife+$E709),(('PTRM input'!$M$160+'PTRM input'!$M$126)*$M$7)-SUM($M709:AJ709),(('PTRM input'!$M$160+'PTRM input'!$M$126)*$M$7)/A18taxstdlife))</f>
        <v>0</v>
      </c>
      <c r="AL709" s="590">
        <f>IF(A18taxstdlife="n/a","n/a",IF(AL$3&gt;(A18taxstdlife+$E709),(('PTRM input'!$M$160+'PTRM input'!$M$126)*$M$7)-SUM($M709:AK709),(('PTRM input'!$M$160+'PTRM input'!$M$126)*$M$7)/A18taxstdlife))</f>
        <v>0</v>
      </c>
      <c r="AM709" s="590">
        <f>IF(A18taxstdlife="n/a","n/a",IF(AM$3&gt;(A18taxstdlife+$E709),(('PTRM input'!$M$160+'PTRM input'!$M$126)*$M$7)-SUM($M709:AL709),(('PTRM input'!$M$160+'PTRM input'!$M$126)*$M$7)/A18taxstdlife))</f>
        <v>0</v>
      </c>
      <c r="AN709" s="590">
        <f>IF(A18taxstdlife="n/a","n/a",IF(AN$3&gt;(A18taxstdlife+$E709),(('PTRM input'!$M$160+'PTRM input'!$M$126)*$M$7)-SUM($M709:AM709),(('PTRM input'!$M$160+'PTRM input'!$M$126)*$M$7)/A18taxstdlife))</f>
        <v>0</v>
      </c>
      <c r="AO709" s="590">
        <f>IF(A18taxstdlife="n/a","n/a",IF(AO$3&gt;(A18taxstdlife+$E709),(('PTRM input'!$M$160+'PTRM input'!$M$126)*$M$7)-SUM($M709:AN709),(('PTRM input'!$M$160+'PTRM input'!$M$126)*$M$7)/A18taxstdlife))</f>
        <v>0</v>
      </c>
      <c r="AP709" s="590">
        <f>IF(A18taxstdlife="n/a","n/a",IF(AP$3&gt;(A18taxstdlife+$E709),(('PTRM input'!$M$160+'PTRM input'!$M$126)*$M$7)-SUM($M709:AO709),(('PTRM input'!$M$160+'PTRM input'!$M$126)*$M$7)/A18taxstdlife))</f>
        <v>0</v>
      </c>
      <c r="AQ709" s="590">
        <f>IF(A18taxstdlife="n/a","n/a",IF(AQ$3&gt;(A18taxstdlife+$E709),(('PTRM input'!$M$160+'PTRM input'!$M$126)*$M$7)-SUM($M709:AP709),(('PTRM input'!$M$160+'PTRM input'!$M$126)*$M$7)/A18taxstdlife))</f>
        <v>0</v>
      </c>
      <c r="AR709" s="590">
        <f>IF(A18taxstdlife="n/a","n/a",IF(AR$3&gt;(A18taxstdlife+$E709),(('PTRM input'!$M$160+'PTRM input'!$M$126)*$M$7)-SUM($M709:AQ709),(('PTRM input'!$M$160+'PTRM input'!$M$126)*$M$7)/A18taxstdlife))</f>
        <v>0</v>
      </c>
      <c r="AS709" s="590">
        <f>IF(A18taxstdlife="n/a","n/a",IF(AS$3&gt;(A18taxstdlife+$E709),(('PTRM input'!$M$160+'PTRM input'!$M$126)*$M$7)-SUM($M709:AR709),(('PTRM input'!$M$160+'PTRM input'!$M$126)*$M$7)/A18taxstdlife))</f>
        <v>0</v>
      </c>
      <c r="AT709" s="590">
        <f>IF(A18taxstdlife="n/a","n/a",IF(AT$3&gt;(A18taxstdlife+$E709),(('PTRM input'!$M$160+'PTRM input'!$M$126)*$M$7)-SUM($M709:AS709),(('PTRM input'!$M$160+'PTRM input'!$M$126)*$M$7)/A18taxstdlife))</f>
        <v>0</v>
      </c>
      <c r="AU709" s="590">
        <f>IF(A18taxstdlife="n/a","n/a",IF(AU$3&gt;(A18taxstdlife+$E709),(('PTRM input'!$M$160+'PTRM input'!$M$126)*$M$7)-SUM($M709:AT709),(('PTRM input'!$M$160+'PTRM input'!$M$126)*$M$7)/A18taxstdlife))</f>
        <v>0</v>
      </c>
      <c r="AV709" s="590">
        <f>IF(A18taxstdlife="n/a","n/a",IF(AV$3&gt;(A18taxstdlife+$E709),(('PTRM input'!$M$160+'PTRM input'!$M$126)*$M$7)-SUM($M709:AU709),(('PTRM input'!$M$160+'PTRM input'!$M$126)*$M$7)/A18taxstdlife))</f>
        <v>0</v>
      </c>
      <c r="AW709" s="590">
        <f>IF(A18taxstdlife="n/a","n/a",IF(AW$3&gt;(A18taxstdlife+$E709),(('PTRM input'!$M$160+'PTRM input'!$M$126)*$M$7)-SUM($M709:AV709),(('PTRM input'!$M$160+'PTRM input'!$M$126)*$M$7)/A18taxstdlife))</f>
        <v>0</v>
      </c>
      <c r="AX709" s="590">
        <f>IF(A18taxstdlife="n/a","n/a",IF(AX$3&gt;(A18taxstdlife+$E709),(('PTRM input'!$M$160+'PTRM input'!$M$126)*$M$7)-SUM($M709:AW709),(('PTRM input'!$M$160+'PTRM input'!$M$126)*$M$7)/A18taxstdlife))</f>
        <v>0</v>
      </c>
      <c r="AY709" s="590">
        <f>IF(A18taxstdlife="n/a","n/a",IF(AY$3&gt;(A18taxstdlife+$E709),(('PTRM input'!$M$160+'PTRM input'!$M$126)*$M$7)-SUM($M709:AX709),(('PTRM input'!$M$160+'PTRM input'!$M$126)*$M$7)/A18taxstdlife))</f>
        <v>0</v>
      </c>
      <c r="AZ709" s="590">
        <f>IF(A18taxstdlife="n/a","n/a",IF(AZ$3&gt;(A18taxstdlife+$E709),(('PTRM input'!$M$160+'PTRM input'!$M$126)*$M$7)-SUM($M709:AY709),(('PTRM input'!$M$160+'PTRM input'!$M$126)*$M$7)/A18taxstdlife))</f>
        <v>0</v>
      </c>
      <c r="BA709" s="590">
        <f>IF(A18taxstdlife="n/a","n/a",IF(BA$3&gt;(A18taxstdlife+$E709),(('PTRM input'!$M$160+'PTRM input'!$M$126)*$M$7)-SUM($M709:AZ709),(('PTRM input'!$M$160+'PTRM input'!$M$126)*$M$7)/A18taxstdlife))</f>
        <v>0</v>
      </c>
      <c r="BB709" s="590">
        <f>IF(A18taxstdlife="n/a","n/a",IF(BB$3&gt;(A18taxstdlife+$E709),(('PTRM input'!$M$160+'PTRM input'!$M$126)*$M$7)-SUM($M709:BA709),(('PTRM input'!$M$160+'PTRM input'!$M$126)*$M$7)/A18taxstdlife))</f>
        <v>0</v>
      </c>
      <c r="BC709" s="590">
        <f>IF(A18taxstdlife="n/a","n/a",IF(BC$3&gt;(A18taxstdlife+$E709),(('PTRM input'!$M$160+'PTRM input'!$M$126)*$M$7)-SUM($M709:BB709),(('PTRM input'!$M$160+'PTRM input'!$M$126)*$M$7)/A18taxstdlife))</f>
        <v>0</v>
      </c>
      <c r="BD709" s="590">
        <f>IF(A18taxstdlife="n/a","n/a",IF(BD$3&gt;(A18taxstdlife+$E709),(('PTRM input'!$M$160+'PTRM input'!$M$126)*$M$7)-SUM($M709:BC709),(('PTRM input'!$M$160+'PTRM input'!$M$126)*$M$7)/A18taxstdlife))</f>
        <v>0</v>
      </c>
      <c r="BE709" s="590">
        <f>IF(A18taxstdlife="n/a","n/a",IF(BE$3&gt;(A18taxstdlife+$E709),(('PTRM input'!$M$160+'PTRM input'!$M$126)*$M$7)-SUM($M709:BD709),(('PTRM input'!$M$160+'PTRM input'!$M$126)*$M$7)/A18taxstdlife))</f>
        <v>0</v>
      </c>
      <c r="BF709" s="590">
        <f>IF(A18taxstdlife="n/a","n/a",IF(BF$3&gt;(A18taxstdlife+$E709),(('PTRM input'!$M$160+'PTRM input'!$M$126)*$M$7)-SUM($M709:BE709),(('PTRM input'!$M$160+'PTRM input'!$M$126)*$M$7)/A18taxstdlife))</f>
        <v>0</v>
      </c>
      <c r="BG709" s="590">
        <f>IF(A18taxstdlife="n/a","n/a",IF(BG$3&gt;(A18taxstdlife+$E709),(('PTRM input'!$M$160+'PTRM input'!$M$126)*$M$7)-SUM($M709:BF709),(('PTRM input'!$M$160+'PTRM input'!$M$126)*$M$7)/A18taxstdlife))</f>
        <v>0</v>
      </c>
      <c r="BH709" s="590">
        <f>IF(A18taxstdlife="n/a","n/a",IF(BH$3&gt;(A18taxstdlife+$E709),(('PTRM input'!$M$160+'PTRM input'!$M$126)*$M$7)-SUM($M709:BG709),(('PTRM input'!$M$160+'PTRM input'!$M$126)*$M$7)/A18taxstdlife))</f>
        <v>0</v>
      </c>
      <c r="BI709" s="590">
        <f>IF(A18taxstdlife="n/a","n/a",IF(BI$3&gt;(A18taxstdlife+$E709),(('PTRM input'!$M$160+'PTRM input'!$M$126)*$M$7)-SUM($M709:BH709),(('PTRM input'!$M$160+'PTRM input'!$M$126)*$M$7)/A18taxstdlife))</f>
        <v>0</v>
      </c>
      <c r="BJ709" s="240"/>
      <c r="BK709" s="240"/>
      <c r="BL709" s="240"/>
      <c r="BM709" s="240"/>
    </row>
    <row r="710" spans="1:65" s="4" customFormat="1" hidden="1" outlineLevel="2">
      <c r="A710" s="240"/>
      <c r="B710" s="240"/>
      <c r="C710" s="595"/>
      <c r="D710" s="1618"/>
      <c r="E710" s="169">
        <v>8</v>
      </c>
      <c r="F710" s="35"/>
      <c r="G710" s="184"/>
      <c r="H710" s="186"/>
      <c r="I710" s="186"/>
      <c r="J710" s="186"/>
      <c r="K710" s="186"/>
      <c r="L710" s="186"/>
      <c r="M710" s="186"/>
      <c r="N710" s="185"/>
      <c r="O710" s="107">
        <f>IF(A18taxstdlife="n/a","n/a",IF(O$3&gt;(A18taxstdlife+$E710),(('PTRM input'!$N$160+'PTRM input'!$N$126)*$N$7)-SUM($N710:N710),(('PTRM input'!$N$160+'PTRM input'!$N$126)*$N$7)/A18taxstdlife))</f>
        <v>0</v>
      </c>
      <c r="P710" s="107">
        <f>IF(A18taxstdlife="n/a","n/a",IF(P$3&gt;(A18taxstdlife+$E710),(('PTRM input'!$N$160+'PTRM input'!$N$126)*$N$7)-SUM($N710:O710),(('PTRM input'!$N$160+'PTRM input'!$N$126)*$N$7)/A18taxstdlife))</f>
        <v>0</v>
      </c>
      <c r="Q710" s="590">
        <f>IF(A18taxstdlife="n/a","n/a",IF(Q$3&gt;(A18taxstdlife+$E710),(('PTRM input'!$N$160+'PTRM input'!$N$126)*$N$7)-SUM($N710:P710),(('PTRM input'!$N$160+'PTRM input'!$N$126)*$N$7)/A18taxstdlife))</f>
        <v>0</v>
      </c>
      <c r="R710" s="590">
        <f>IF(A18taxstdlife="n/a","n/a",IF(R$3&gt;(A18taxstdlife+$E710),(('PTRM input'!$N$160+'PTRM input'!$N$126)*$N$7)-SUM($N710:Q710),(('PTRM input'!$N$160+'PTRM input'!$N$126)*$N$7)/A18taxstdlife))</f>
        <v>0</v>
      </c>
      <c r="S710" s="590">
        <f>IF(A18taxstdlife="n/a","n/a",IF(S$3&gt;(A18taxstdlife+$E710),(('PTRM input'!$N$160+'PTRM input'!$N$126)*$N$7)-SUM($N710:R710),(('PTRM input'!$N$160+'PTRM input'!$N$126)*$N$7)/A18taxstdlife))</f>
        <v>0</v>
      </c>
      <c r="T710" s="590">
        <f>IF(A18taxstdlife="n/a","n/a",IF(T$3&gt;(A18taxstdlife+$E710),(('PTRM input'!$N$160+'PTRM input'!$N$126)*$N$7)-SUM($N710:S710),(('PTRM input'!$N$160+'PTRM input'!$N$126)*$N$7)/A18taxstdlife))</f>
        <v>0</v>
      </c>
      <c r="U710" s="590">
        <f>IF(A18taxstdlife="n/a","n/a",IF(U$3&gt;(A18taxstdlife+$E710),(('PTRM input'!$N$160+'PTRM input'!$N$126)*$N$7)-SUM($N710:T710),(('PTRM input'!$N$160+'PTRM input'!$N$126)*$N$7)/A18taxstdlife))</f>
        <v>0</v>
      </c>
      <c r="V710" s="590">
        <f>IF(A18taxstdlife="n/a","n/a",IF(V$3&gt;(A18taxstdlife+$E710),(('PTRM input'!$N$160+'PTRM input'!$N$126)*$N$7)-SUM($N710:U710),(('PTRM input'!$N$160+'PTRM input'!$N$126)*$N$7)/A18taxstdlife))</f>
        <v>0</v>
      </c>
      <c r="W710" s="590">
        <f>IF(A18taxstdlife="n/a","n/a",IF(W$3&gt;(A18taxstdlife+$E710),(('PTRM input'!$N$160+'PTRM input'!$N$126)*$N$7)-SUM($N710:V710),(('PTRM input'!$N$160+'PTRM input'!$N$126)*$N$7)/A18taxstdlife))</f>
        <v>0</v>
      </c>
      <c r="X710" s="590">
        <f>IF(A18taxstdlife="n/a","n/a",IF(X$3&gt;(A18taxstdlife+$E710),(('PTRM input'!$N$160+'PTRM input'!$N$126)*$N$7)-SUM($N710:W710),(('PTRM input'!$N$160+'PTRM input'!$N$126)*$N$7)/A18taxstdlife))</f>
        <v>0</v>
      </c>
      <c r="Y710" s="590">
        <f>IF(A18taxstdlife="n/a","n/a",IF(Y$3&gt;(A18taxstdlife+$E710),(('PTRM input'!$N$160+'PTRM input'!$N$126)*$N$7)-SUM($N710:X710),(('PTRM input'!$N$160+'PTRM input'!$N$126)*$N$7)/A18taxstdlife))</f>
        <v>0</v>
      </c>
      <c r="Z710" s="590">
        <f>IF(A18taxstdlife="n/a","n/a",IF(Z$3&gt;(A18taxstdlife+$E710),(('PTRM input'!$N$160+'PTRM input'!$N$126)*$N$7)-SUM($N710:Y710),(('PTRM input'!$N$160+'PTRM input'!$N$126)*$N$7)/A18taxstdlife))</f>
        <v>0</v>
      </c>
      <c r="AA710" s="590">
        <f>IF(A18taxstdlife="n/a","n/a",IF(AA$3&gt;(A18taxstdlife+$E710),(('PTRM input'!$N$160+'PTRM input'!$N$126)*$N$7)-SUM($N710:Z710),(('PTRM input'!$N$160+'PTRM input'!$N$126)*$N$7)/A18taxstdlife))</f>
        <v>0</v>
      </c>
      <c r="AB710" s="590">
        <f>IF(A18taxstdlife="n/a","n/a",IF(AB$3&gt;(A18taxstdlife+$E710),(('PTRM input'!$N$160+'PTRM input'!$N$126)*$N$7)-SUM($N710:AA710),(('PTRM input'!$N$160+'PTRM input'!$N$126)*$N$7)/A18taxstdlife))</f>
        <v>0</v>
      </c>
      <c r="AC710" s="590">
        <f>IF(A18taxstdlife="n/a","n/a",IF(AC$3&gt;(A18taxstdlife+$E710),(('PTRM input'!$N$160+'PTRM input'!$N$126)*$N$7)-SUM($N710:AB710),(('PTRM input'!$N$160+'PTRM input'!$N$126)*$N$7)/A18taxstdlife))</f>
        <v>0</v>
      </c>
      <c r="AD710" s="590">
        <f>IF(A18taxstdlife="n/a","n/a",IF(AD$3&gt;(A18taxstdlife+$E710),(('PTRM input'!$N$160+'PTRM input'!$N$126)*$N$7)-SUM($N710:AC710),(('PTRM input'!$N$160+'PTRM input'!$N$126)*$N$7)/A18taxstdlife))</f>
        <v>0</v>
      </c>
      <c r="AE710" s="590">
        <f>IF(A18taxstdlife="n/a","n/a",IF(AE$3&gt;(A18taxstdlife+$E710),(('PTRM input'!$N$160+'PTRM input'!$N$126)*$N$7)-SUM($N710:AD710),(('PTRM input'!$N$160+'PTRM input'!$N$126)*$N$7)/A18taxstdlife))</f>
        <v>0</v>
      </c>
      <c r="AF710" s="590">
        <f>IF(A18taxstdlife="n/a","n/a",IF(AF$3&gt;(A18taxstdlife+$E710),(('PTRM input'!$N$160+'PTRM input'!$N$126)*$N$7)-SUM($N710:AE710),(('PTRM input'!$N$160+'PTRM input'!$N$126)*$N$7)/A18taxstdlife))</f>
        <v>0</v>
      </c>
      <c r="AG710" s="590">
        <f>IF(A18taxstdlife="n/a","n/a",IF(AG$3&gt;(A18taxstdlife+$E710),(('PTRM input'!$N$160+'PTRM input'!$N$126)*$N$7)-SUM($N710:AF710),(('PTRM input'!$N$160+'PTRM input'!$N$126)*$N$7)/A18taxstdlife))</f>
        <v>0</v>
      </c>
      <c r="AH710" s="590">
        <f>IF(A18taxstdlife="n/a","n/a",IF(AH$3&gt;(A18taxstdlife+$E710),(('PTRM input'!$N$160+'PTRM input'!$N$126)*$N$7)-SUM($N710:AG710),(('PTRM input'!$N$160+'PTRM input'!$N$126)*$N$7)/A18taxstdlife))</f>
        <v>0</v>
      </c>
      <c r="AI710" s="590">
        <f>IF(A18taxstdlife="n/a","n/a",IF(AI$3&gt;(A18taxstdlife+$E710),(('PTRM input'!$N$160+'PTRM input'!$N$126)*$N$7)-SUM($N710:AH710),(('PTRM input'!$N$160+'PTRM input'!$N$126)*$N$7)/A18taxstdlife))</f>
        <v>0</v>
      </c>
      <c r="AJ710" s="590">
        <f>IF(A18taxstdlife="n/a","n/a",IF(AJ$3&gt;(A18taxstdlife+$E710),(('PTRM input'!$N$160+'PTRM input'!$N$126)*$N$7)-SUM($N710:AI710),(('PTRM input'!$N$160+'PTRM input'!$N$126)*$N$7)/A18taxstdlife))</f>
        <v>0</v>
      </c>
      <c r="AK710" s="590">
        <f>IF(A18taxstdlife="n/a","n/a",IF(AK$3&gt;(A18taxstdlife+$E710),(('PTRM input'!$N$160+'PTRM input'!$N$126)*$N$7)-SUM($N710:AJ710),(('PTRM input'!$N$160+'PTRM input'!$N$126)*$N$7)/A18taxstdlife))</f>
        <v>0</v>
      </c>
      <c r="AL710" s="590">
        <f>IF(A18taxstdlife="n/a","n/a",IF(AL$3&gt;(A18taxstdlife+$E710),(('PTRM input'!$N$160+'PTRM input'!$N$126)*$N$7)-SUM($N710:AK710),(('PTRM input'!$N$160+'PTRM input'!$N$126)*$N$7)/A18taxstdlife))</f>
        <v>0</v>
      </c>
      <c r="AM710" s="590">
        <f>IF(A18taxstdlife="n/a","n/a",IF(AM$3&gt;(A18taxstdlife+$E710),(('PTRM input'!$N$160+'PTRM input'!$N$126)*$N$7)-SUM($N710:AL710),(('PTRM input'!$N$160+'PTRM input'!$N$126)*$N$7)/A18taxstdlife))</f>
        <v>0</v>
      </c>
      <c r="AN710" s="590">
        <f>IF(A18taxstdlife="n/a","n/a",IF(AN$3&gt;(A18taxstdlife+$E710),(('PTRM input'!$N$160+'PTRM input'!$N$126)*$N$7)-SUM($N710:AM710),(('PTRM input'!$N$160+'PTRM input'!$N$126)*$N$7)/A18taxstdlife))</f>
        <v>0</v>
      </c>
      <c r="AO710" s="590">
        <f>IF(A18taxstdlife="n/a","n/a",IF(AO$3&gt;(A18taxstdlife+$E710),(('PTRM input'!$N$160+'PTRM input'!$N$126)*$N$7)-SUM($N710:AN710),(('PTRM input'!$N$160+'PTRM input'!$N$126)*$N$7)/A18taxstdlife))</f>
        <v>0</v>
      </c>
      <c r="AP710" s="590">
        <f>IF(A18taxstdlife="n/a","n/a",IF(AP$3&gt;(A18taxstdlife+$E710),(('PTRM input'!$N$160+'PTRM input'!$N$126)*$N$7)-SUM($N710:AO710),(('PTRM input'!$N$160+'PTRM input'!$N$126)*$N$7)/A18taxstdlife))</f>
        <v>0</v>
      </c>
      <c r="AQ710" s="590">
        <f>IF(A18taxstdlife="n/a","n/a",IF(AQ$3&gt;(A18taxstdlife+$E710),(('PTRM input'!$N$160+'PTRM input'!$N$126)*$N$7)-SUM($N710:AP710),(('PTRM input'!$N$160+'PTRM input'!$N$126)*$N$7)/A18taxstdlife))</f>
        <v>0</v>
      </c>
      <c r="AR710" s="590">
        <f>IF(A18taxstdlife="n/a","n/a",IF(AR$3&gt;(A18taxstdlife+$E710),(('PTRM input'!$N$160+'PTRM input'!$N$126)*$N$7)-SUM($N710:AQ710),(('PTRM input'!$N$160+'PTRM input'!$N$126)*$N$7)/A18taxstdlife))</f>
        <v>0</v>
      </c>
      <c r="AS710" s="590">
        <f>IF(A18taxstdlife="n/a","n/a",IF(AS$3&gt;(A18taxstdlife+$E710),(('PTRM input'!$N$160+'PTRM input'!$N$126)*$N$7)-SUM($N710:AR710),(('PTRM input'!$N$160+'PTRM input'!$N$126)*$N$7)/A18taxstdlife))</f>
        <v>0</v>
      </c>
      <c r="AT710" s="590">
        <f>IF(A18taxstdlife="n/a","n/a",IF(AT$3&gt;(A18taxstdlife+$E710),(('PTRM input'!$N$160+'PTRM input'!$N$126)*$N$7)-SUM($N710:AS710),(('PTRM input'!$N$160+'PTRM input'!$N$126)*$N$7)/A18taxstdlife))</f>
        <v>0</v>
      </c>
      <c r="AU710" s="590">
        <f>IF(A18taxstdlife="n/a","n/a",IF(AU$3&gt;(A18taxstdlife+$E710),(('PTRM input'!$N$160+'PTRM input'!$N$126)*$N$7)-SUM($N710:AT710),(('PTRM input'!$N$160+'PTRM input'!$N$126)*$N$7)/A18taxstdlife))</f>
        <v>0</v>
      </c>
      <c r="AV710" s="590">
        <f>IF(A18taxstdlife="n/a","n/a",IF(AV$3&gt;(A18taxstdlife+$E710),(('PTRM input'!$N$160+'PTRM input'!$N$126)*$N$7)-SUM($N710:AU710),(('PTRM input'!$N$160+'PTRM input'!$N$126)*$N$7)/A18taxstdlife))</f>
        <v>0</v>
      </c>
      <c r="AW710" s="590">
        <f>IF(A18taxstdlife="n/a","n/a",IF(AW$3&gt;(A18taxstdlife+$E710),(('PTRM input'!$N$160+'PTRM input'!$N$126)*$N$7)-SUM($N710:AV710),(('PTRM input'!$N$160+'PTRM input'!$N$126)*$N$7)/A18taxstdlife))</f>
        <v>0</v>
      </c>
      <c r="AX710" s="590">
        <f>IF(A18taxstdlife="n/a","n/a",IF(AX$3&gt;(A18taxstdlife+$E710),(('PTRM input'!$N$160+'PTRM input'!$N$126)*$N$7)-SUM($N710:AW710),(('PTRM input'!$N$160+'PTRM input'!$N$126)*$N$7)/A18taxstdlife))</f>
        <v>0</v>
      </c>
      <c r="AY710" s="590">
        <f>IF(A18taxstdlife="n/a","n/a",IF(AY$3&gt;(A18taxstdlife+$E710),(('PTRM input'!$N$160+'PTRM input'!$N$126)*$N$7)-SUM($N710:AX710),(('PTRM input'!$N$160+'PTRM input'!$N$126)*$N$7)/A18taxstdlife))</f>
        <v>0</v>
      </c>
      <c r="AZ710" s="590">
        <f>IF(A18taxstdlife="n/a","n/a",IF(AZ$3&gt;(A18taxstdlife+$E710),(('PTRM input'!$N$160+'PTRM input'!$N$126)*$N$7)-SUM($N710:AY710),(('PTRM input'!$N$160+'PTRM input'!$N$126)*$N$7)/A18taxstdlife))</f>
        <v>0</v>
      </c>
      <c r="BA710" s="590">
        <f>IF(A18taxstdlife="n/a","n/a",IF(BA$3&gt;(A18taxstdlife+$E710),(('PTRM input'!$N$160+'PTRM input'!$N$126)*$N$7)-SUM($N710:AZ710),(('PTRM input'!$N$160+'PTRM input'!$N$126)*$N$7)/A18taxstdlife))</f>
        <v>0</v>
      </c>
      <c r="BB710" s="590">
        <f>IF(A18taxstdlife="n/a","n/a",IF(BB$3&gt;(A18taxstdlife+$E710),(('PTRM input'!$N$160+'PTRM input'!$N$126)*$N$7)-SUM($N710:BA710),(('PTRM input'!$N$160+'PTRM input'!$N$126)*$N$7)/A18taxstdlife))</f>
        <v>0</v>
      </c>
      <c r="BC710" s="590">
        <f>IF(A18taxstdlife="n/a","n/a",IF(BC$3&gt;(A18taxstdlife+$E710),(('PTRM input'!$N$160+'PTRM input'!$N$126)*$N$7)-SUM($N710:BB710),(('PTRM input'!$N$160+'PTRM input'!$N$126)*$N$7)/A18taxstdlife))</f>
        <v>0</v>
      </c>
      <c r="BD710" s="590">
        <f>IF(A18taxstdlife="n/a","n/a",IF(BD$3&gt;(A18taxstdlife+$E710),(('PTRM input'!$N$160+'PTRM input'!$N$126)*$N$7)-SUM($N710:BC710),(('PTRM input'!$N$160+'PTRM input'!$N$126)*$N$7)/A18taxstdlife))</f>
        <v>0</v>
      </c>
      <c r="BE710" s="590">
        <f>IF(A18taxstdlife="n/a","n/a",IF(BE$3&gt;(A18taxstdlife+$E710),(('PTRM input'!$N$160+'PTRM input'!$N$126)*$N$7)-SUM($N710:BD710),(('PTRM input'!$N$160+'PTRM input'!$N$126)*$N$7)/A18taxstdlife))</f>
        <v>0</v>
      </c>
      <c r="BF710" s="590">
        <f>IF(A18taxstdlife="n/a","n/a",IF(BF$3&gt;(A18taxstdlife+$E710),(('PTRM input'!$N$160+'PTRM input'!$N$126)*$N$7)-SUM($N710:BE710),(('PTRM input'!$N$160+'PTRM input'!$N$126)*$N$7)/A18taxstdlife))</f>
        <v>0</v>
      </c>
      <c r="BG710" s="590">
        <f>IF(A18taxstdlife="n/a","n/a",IF(BG$3&gt;(A18taxstdlife+$E710),(('PTRM input'!$N$160+'PTRM input'!$N$126)*$N$7)-SUM($N710:BF710),(('PTRM input'!$N$160+'PTRM input'!$N$126)*$N$7)/A18taxstdlife))</f>
        <v>0</v>
      </c>
      <c r="BH710" s="590">
        <f>IF(A18taxstdlife="n/a","n/a",IF(BH$3&gt;(A18taxstdlife+$E710),(('PTRM input'!$N$160+'PTRM input'!$N$126)*$N$7)-SUM($N710:BG710),(('PTRM input'!$N$160+'PTRM input'!$N$126)*$N$7)/A18taxstdlife))</f>
        <v>0</v>
      </c>
      <c r="BI710" s="590">
        <f>IF(A18taxstdlife="n/a","n/a",IF(BI$3&gt;(A18taxstdlife+$E710),(('PTRM input'!$N$160+'PTRM input'!$N$126)*$N$7)-SUM($N710:BH710),(('PTRM input'!$N$160+'PTRM input'!$N$126)*$N$7)/A18taxstdlife))</f>
        <v>0</v>
      </c>
      <c r="BJ710" s="240"/>
      <c r="BK710" s="240"/>
      <c r="BL710" s="240"/>
      <c r="BM710" s="240"/>
    </row>
    <row r="711" spans="1:65" s="4" customFormat="1" hidden="1" outlineLevel="2">
      <c r="A711" s="240"/>
      <c r="B711" s="240"/>
      <c r="C711" s="595"/>
      <c r="D711" s="1618"/>
      <c r="E711" s="169">
        <v>9</v>
      </c>
      <c r="F711" s="35"/>
      <c r="G711" s="184"/>
      <c r="H711" s="186"/>
      <c r="I711" s="186"/>
      <c r="J711" s="186"/>
      <c r="K711" s="186"/>
      <c r="L711" s="186"/>
      <c r="M711" s="186"/>
      <c r="N711" s="186"/>
      <c r="O711" s="185"/>
      <c r="P711" s="107">
        <f>IF(A18taxstdlife="n/a","n/a",IF(P$3&gt;(A18taxstdlife+$E711),(('PTRM input'!$O$160+'PTRM input'!$O$126)*$O$7)-SUM($O711:O711),(('PTRM input'!$O$160+'PTRM input'!$O$126)*$O$7)/A18taxstdlife))</f>
        <v>0</v>
      </c>
      <c r="Q711" s="590">
        <f>IF(A18taxstdlife="n/a","n/a",IF(Q$3&gt;(A18taxstdlife+$E711),(('PTRM input'!$O$160+'PTRM input'!$O$126)*$O$7)-SUM($O711:P711),(('PTRM input'!$O$160+'PTRM input'!$O$126)*$O$7)/A18taxstdlife))</f>
        <v>0</v>
      </c>
      <c r="R711" s="590">
        <f>IF(A18taxstdlife="n/a","n/a",IF(R$3&gt;(A18taxstdlife+$E711),(('PTRM input'!$O$160+'PTRM input'!$O$126)*$O$7)-SUM($O711:Q711),(('PTRM input'!$O$160+'PTRM input'!$O$126)*$O$7)/A18taxstdlife))</f>
        <v>0</v>
      </c>
      <c r="S711" s="590">
        <f>IF(A18taxstdlife="n/a","n/a",IF(S$3&gt;(A18taxstdlife+$E711),(('PTRM input'!$O$160+'PTRM input'!$O$126)*$O$7)-SUM($O711:R711),(('PTRM input'!$O$160+'PTRM input'!$O$126)*$O$7)/A18taxstdlife))</f>
        <v>0</v>
      </c>
      <c r="T711" s="590">
        <f>IF(A18taxstdlife="n/a","n/a",IF(T$3&gt;(A18taxstdlife+$E711),(('PTRM input'!$O$160+'PTRM input'!$O$126)*$O$7)-SUM($O711:S711),(('PTRM input'!$O$160+'PTRM input'!$O$126)*$O$7)/A18taxstdlife))</f>
        <v>0</v>
      </c>
      <c r="U711" s="590">
        <f>IF(A18taxstdlife="n/a","n/a",IF(U$3&gt;(A18taxstdlife+$E711),(('PTRM input'!$O$160+'PTRM input'!$O$126)*$O$7)-SUM($O711:T711),(('PTRM input'!$O$160+'PTRM input'!$O$126)*$O$7)/A18taxstdlife))</f>
        <v>0</v>
      </c>
      <c r="V711" s="590">
        <f>IF(A18taxstdlife="n/a","n/a",IF(V$3&gt;(A18taxstdlife+$E711),(('PTRM input'!$O$160+'PTRM input'!$O$126)*$O$7)-SUM($O711:U711),(('PTRM input'!$O$160+'PTRM input'!$O$126)*$O$7)/A18taxstdlife))</f>
        <v>0</v>
      </c>
      <c r="W711" s="590">
        <f>IF(A18taxstdlife="n/a","n/a",IF(W$3&gt;(A18taxstdlife+$E711),(('PTRM input'!$O$160+'PTRM input'!$O$126)*$O$7)-SUM($O711:V711),(('PTRM input'!$O$160+'PTRM input'!$O$126)*$O$7)/A18taxstdlife))</f>
        <v>0</v>
      </c>
      <c r="X711" s="590">
        <f>IF(A18taxstdlife="n/a","n/a",IF(X$3&gt;(A18taxstdlife+$E711),(('PTRM input'!$O$160+'PTRM input'!$O$126)*$O$7)-SUM($O711:W711),(('PTRM input'!$O$160+'PTRM input'!$O$126)*$O$7)/A18taxstdlife))</f>
        <v>0</v>
      </c>
      <c r="Y711" s="590">
        <f>IF(A18taxstdlife="n/a","n/a",IF(Y$3&gt;(A18taxstdlife+$E711),(('PTRM input'!$O$160+'PTRM input'!$O$126)*$O$7)-SUM($O711:X711),(('PTRM input'!$O$160+'PTRM input'!$O$126)*$O$7)/A18taxstdlife))</f>
        <v>0</v>
      </c>
      <c r="Z711" s="590">
        <f>IF(A18taxstdlife="n/a","n/a",IF(Z$3&gt;(A18taxstdlife+$E711),(('PTRM input'!$O$160+'PTRM input'!$O$126)*$O$7)-SUM($O711:Y711),(('PTRM input'!$O$160+'PTRM input'!$O$126)*$O$7)/A18taxstdlife))</f>
        <v>0</v>
      </c>
      <c r="AA711" s="590">
        <f>IF(A18taxstdlife="n/a","n/a",IF(AA$3&gt;(A18taxstdlife+$E711),(('PTRM input'!$O$160+'PTRM input'!$O$126)*$O$7)-SUM($O711:Z711),(('PTRM input'!$O$160+'PTRM input'!$O$126)*$O$7)/A18taxstdlife))</f>
        <v>0</v>
      </c>
      <c r="AB711" s="590">
        <f>IF(A18taxstdlife="n/a","n/a",IF(AB$3&gt;(A18taxstdlife+$E711),(('PTRM input'!$O$160+'PTRM input'!$O$126)*$O$7)-SUM($O711:AA711),(('PTRM input'!$O$160+'PTRM input'!$O$126)*$O$7)/A18taxstdlife))</f>
        <v>0</v>
      </c>
      <c r="AC711" s="590">
        <f>IF(A18taxstdlife="n/a","n/a",IF(AC$3&gt;(A18taxstdlife+$E711),(('PTRM input'!$O$160+'PTRM input'!$O$126)*$O$7)-SUM($O711:AB711),(('PTRM input'!$O$160+'PTRM input'!$O$126)*$O$7)/A18taxstdlife))</f>
        <v>0</v>
      </c>
      <c r="AD711" s="590">
        <f>IF(A18taxstdlife="n/a","n/a",IF(AD$3&gt;(A18taxstdlife+$E711),(('PTRM input'!$O$160+'PTRM input'!$O$126)*$O$7)-SUM($O711:AC711),(('PTRM input'!$O$160+'PTRM input'!$O$126)*$O$7)/A18taxstdlife))</f>
        <v>0</v>
      </c>
      <c r="AE711" s="590">
        <f>IF(A18taxstdlife="n/a","n/a",IF(AE$3&gt;(A18taxstdlife+$E711),(('PTRM input'!$O$160+'PTRM input'!$O$126)*$O$7)-SUM($O711:AD711),(('PTRM input'!$O$160+'PTRM input'!$O$126)*$O$7)/A18taxstdlife))</f>
        <v>0</v>
      </c>
      <c r="AF711" s="590">
        <f>IF(A18taxstdlife="n/a","n/a",IF(AF$3&gt;(A18taxstdlife+$E711),(('PTRM input'!$O$160+'PTRM input'!$O$126)*$O$7)-SUM($O711:AE711),(('PTRM input'!$O$160+'PTRM input'!$O$126)*$O$7)/A18taxstdlife))</f>
        <v>0</v>
      </c>
      <c r="AG711" s="590">
        <f>IF(A18taxstdlife="n/a","n/a",IF(AG$3&gt;(A18taxstdlife+$E711),(('PTRM input'!$O$160+'PTRM input'!$O$126)*$O$7)-SUM($O711:AF711),(('PTRM input'!$O$160+'PTRM input'!$O$126)*$O$7)/A18taxstdlife))</f>
        <v>0</v>
      </c>
      <c r="AH711" s="590">
        <f>IF(A18taxstdlife="n/a","n/a",IF(AH$3&gt;(A18taxstdlife+$E711),(('PTRM input'!$O$160+'PTRM input'!$O$126)*$O$7)-SUM($O711:AG711),(('PTRM input'!$O$160+'PTRM input'!$O$126)*$O$7)/A18taxstdlife))</f>
        <v>0</v>
      </c>
      <c r="AI711" s="590">
        <f>IF(A18taxstdlife="n/a","n/a",IF(AI$3&gt;(A18taxstdlife+$E711),(('PTRM input'!$O$160+'PTRM input'!$O$126)*$O$7)-SUM($O711:AH711),(('PTRM input'!$O$160+'PTRM input'!$O$126)*$O$7)/A18taxstdlife))</f>
        <v>0</v>
      </c>
      <c r="AJ711" s="590">
        <f>IF(A18taxstdlife="n/a","n/a",IF(AJ$3&gt;(A18taxstdlife+$E711),(('PTRM input'!$O$160+'PTRM input'!$O$126)*$O$7)-SUM($O711:AI711),(('PTRM input'!$O$160+'PTRM input'!$O$126)*$O$7)/A18taxstdlife))</f>
        <v>0</v>
      </c>
      <c r="AK711" s="590">
        <f>IF(A18taxstdlife="n/a","n/a",IF(AK$3&gt;(A18taxstdlife+$E711),(('PTRM input'!$O$160+'PTRM input'!$O$126)*$O$7)-SUM($O711:AJ711),(('PTRM input'!$O$160+'PTRM input'!$O$126)*$O$7)/A18taxstdlife))</f>
        <v>0</v>
      </c>
      <c r="AL711" s="590">
        <f>IF(A18taxstdlife="n/a","n/a",IF(AL$3&gt;(A18taxstdlife+$E711),(('PTRM input'!$O$160+'PTRM input'!$O$126)*$O$7)-SUM($O711:AK711),(('PTRM input'!$O$160+'PTRM input'!$O$126)*$O$7)/A18taxstdlife))</f>
        <v>0</v>
      </c>
      <c r="AM711" s="590">
        <f>IF(A18taxstdlife="n/a","n/a",IF(AM$3&gt;(A18taxstdlife+$E711),(('PTRM input'!$O$160+'PTRM input'!$O$126)*$O$7)-SUM($O711:AL711),(('PTRM input'!$O$160+'PTRM input'!$O$126)*$O$7)/A18taxstdlife))</f>
        <v>0</v>
      </c>
      <c r="AN711" s="590">
        <f>IF(A18taxstdlife="n/a","n/a",IF(AN$3&gt;(A18taxstdlife+$E711),(('PTRM input'!$O$160+'PTRM input'!$O$126)*$O$7)-SUM($O711:AM711),(('PTRM input'!$O$160+'PTRM input'!$O$126)*$O$7)/A18taxstdlife))</f>
        <v>0</v>
      </c>
      <c r="AO711" s="590">
        <f>IF(A18taxstdlife="n/a","n/a",IF(AO$3&gt;(A18taxstdlife+$E711),(('PTRM input'!$O$160+'PTRM input'!$O$126)*$O$7)-SUM($O711:AN711),(('PTRM input'!$O$160+'PTRM input'!$O$126)*$O$7)/A18taxstdlife))</f>
        <v>0</v>
      </c>
      <c r="AP711" s="590">
        <f>IF(A18taxstdlife="n/a","n/a",IF(AP$3&gt;(A18taxstdlife+$E711),(('PTRM input'!$O$160+'PTRM input'!$O$126)*$O$7)-SUM($O711:AO711),(('PTRM input'!$O$160+'PTRM input'!$O$126)*$O$7)/A18taxstdlife))</f>
        <v>0</v>
      </c>
      <c r="AQ711" s="590">
        <f>IF(A18taxstdlife="n/a","n/a",IF(AQ$3&gt;(A18taxstdlife+$E711),(('PTRM input'!$O$160+'PTRM input'!$O$126)*$O$7)-SUM($O711:AP711),(('PTRM input'!$O$160+'PTRM input'!$O$126)*$O$7)/A18taxstdlife))</f>
        <v>0</v>
      </c>
      <c r="AR711" s="590">
        <f>IF(A18taxstdlife="n/a","n/a",IF(AR$3&gt;(A18taxstdlife+$E711),(('PTRM input'!$O$160+'PTRM input'!$O$126)*$O$7)-SUM($O711:AQ711),(('PTRM input'!$O$160+'PTRM input'!$O$126)*$O$7)/A18taxstdlife))</f>
        <v>0</v>
      </c>
      <c r="AS711" s="590">
        <f>IF(A18taxstdlife="n/a","n/a",IF(AS$3&gt;(A18taxstdlife+$E711),(('PTRM input'!$O$160+'PTRM input'!$O$126)*$O$7)-SUM($O711:AR711),(('PTRM input'!$O$160+'PTRM input'!$O$126)*$O$7)/A18taxstdlife))</f>
        <v>0</v>
      </c>
      <c r="AT711" s="590">
        <f>IF(A18taxstdlife="n/a","n/a",IF(AT$3&gt;(A18taxstdlife+$E711),(('PTRM input'!$O$160+'PTRM input'!$O$126)*$O$7)-SUM($O711:AS711),(('PTRM input'!$O$160+'PTRM input'!$O$126)*$O$7)/A18taxstdlife))</f>
        <v>0</v>
      </c>
      <c r="AU711" s="590">
        <f>IF(A18taxstdlife="n/a","n/a",IF(AU$3&gt;(A18taxstdlife+$E711),(('PTRM input'!$O$160+'PTRM input'!$O$126)*$O$7)-SUM($O711:AT711),(('PTRM input'!$O$160+'PTRM input'!$O$126)*$O$7)/A18taxstdlife))</f>
        <v>0</v>
      </c>
      <c r="AV711" s="590">
        <f>IF(A18taxstdlife="n/a","n/a",IF(AV$3&gt;(A18taxstdlife+$E711),(('PTRM input'!$O$160+'PTRM input'!$O$126)*$O$7)-SUM($O711:AU711),(('PTRM input'!$O$160+'PTRM input'!$O$126)*$O$7)/A18taxstdlife))</f>
        <v>0</v>
      </c>
      <c r="AW711" s="590">
        <f>IF(A18taxstdlife="n/a","n/a",IF(AW$3&gt;(A18taxstdlife+$E711),(('PTRM input'!$O$160+'PTRM input'!$O$126)*$O$7)-SUM($O711:AV711),(('PTRM input'!$O$160+'PTRM input'!$O$126)*$O$7)/A18taxstdlife))</f>
        <v>0</v>
      </c>
      <c r="AX711" s="590">
        <f>IF(A18taxstdlife="n/a","n/a",IF(AX$3&gt;(A18taxstdlife+$E711),(('PTRM input'!$O$160+'PTRM input'!$O$126)*$O$7)-SUM($O711:AW711),(('PTRM input'!$O$160+'PTRM input'!$O$126)*$O$7)/A18taxstdlife))</f>
        <v>0</v>
      </c>
      <c r="AY711" s="590">
        <f>IF(A18taxstdlife="n/a","n/a",IF(AY$3&gt;(A18taxstdlife+$E711),(('PTRM input'!$O$160+'PTRM input'!$O$126)*$O$7)-SUM($O711:AX711),(('PTRM input'!$O$160+'PTRM input'!$O$126)*$O$7)/A18taxstdlife))</f>
        <v>0</v>
      </c>
      <c r="AZ711" s="590">
        <f>IF(A18taxstdlife="n/a","n/a",IF(AZ$3&gt;(A18taxstdlife+$E711),(('PTRM input'!$O$160+'PTRM input'!$O$126)*$O$7)-SUM($O711:AY711),(('PTRM input'!$O$160+'PTRM input'!$O$126)*$O$7)/A18taxstdlife))</f>
        <v>0</v>
      </c>
      <c r="BA711" s="590">
        <f>IF(A18taxstdlife="n/a","n/a",IF(BA$3&gt;(A18taxstdlife+$E711),(('PTRM input'!$O$160+'PTRM input'!$O$126)*$O$7)-SUM($O711:AZ711),(('PTRM input'!$O$160+'PTRM input'!$O$126)*$O$7)/A18taxstdlife))</f>
        <v>0</v>
      </c>
      <c r="BB711" s="590">
        <f>IF(A18taxstdlife="n/a","n/a",IF(BB$3&gt;(A18taxstdlife+$E711),(('PTRM input'!$O$160+'PTRM input'!$O$126)*$O$7)-SUM($O711:BA711),(('PTRM input'!$O$160+'PTRM input'!$O$126)*$O$7)/A18taxstdlife))</f>
        <v>0</v>
      </c>
      <c r="BC711" s="590">
        <f>IF(A18taxstdlife="n/a","n/a",IF(BC$3&gt;(A18taxstdlife+$E711),(('PTRM input'!$O$160+'PTRM input'!$O$126)*$O$7)-SUM($O711:BB711),(('PTRM input'!$O$160+'PTRM input'!$O$126)*$O$7)/A18taxstdlife))</f>
        <v>0</v>
      </c>
      <c r="BD711" s="590">
        <f>IF(A18taxstdlife="n/a","n/a",IF(BD$3&gt;(A18taxstdlife+$E711),(('PTRM input'!$O$160+'PTRM input'!$O$126)*$O$7)-SUM($O711:BC711),(('PTRM input'!$O$160+'PTRM input'!$O$126)*$O$7)/A18taxstdlife))</f>
        <v>0</v>
      </c>
      <c r="BE711" s="590">
        <f>IF(A18taxstdlife="n/a","n/a",IF(BE$3&gt;(A18taxstdlife+$E711),(('PTRM input'!$O$160+'PTRM input'!$O$126)*$O$7)-SUM($O711:BD711),(('PTRM input'!$O$160+'PTRM input'!$O$126)*$O$7)/A18taxstdlife))</f>
        <v>0</v>
      </c>
      <c r="BF711" s="590">
        <f>IF(A18taxstdlife="n/a","n/a",IF(BF$3&gt;(A18taxstdlife+$E711),(('PTRM input'!$O$160+'PTRM input'!$O$126)*$O$7)-SUM($O711:BE711),(('PTRM input'!$O$160+'PTRM input'!$O$126)*$O$7)/A18taxstdlife))</f>
        <v>0</v>
      </c>
      <c r="BG711" s="590">
        <f>IF(A18taxstdlife="n/a","n/a",IF(BG$3&gt;(A18taxstdlife+$E711),(('PTRM input'!$O$160+'PTRM input'!$O$126)*$O$7)-SUM($O711:BF711),(('PTRM input'!$O$160+'PTRM input'!$O$126)*$O$7)/A18taxstdlife))</f>
        <v>0</v>
      </c>
      <c r="BH711" s="590">
        <f>IF(A18taxstdlife="n/a","n/a",IF(BH$3&gt;(A18taxstdlife+$E711),(('PTRM input'!$O$160+'PTRM input'!$O$126)*$O$7)-SUM($O711:BG711),(('PTRM input'!$O$160+'PTRM input'!$O$126)*$O$7)/A18taxstdlife))</f>
        <v>0</v>
      </c>
      <c r="BI711" s="590">
        <f>IF(A18taxstdlife="n/a","n/a",IF(BI$3&gt;(A18taxstdlife+$E711),(('PTRM input'!$O$160+'PTRM input'!$O$126)*$O$7)-SUM($O711:BH711),(('PTRM input'!$O$160+'PTRM input'!$O$126)*$O$7)/A18taxstdlife))</f>
        <v>0</v>
      </c>
      <c r="BJ711" s="240"/>
      <c r="BK711" s="240"/>
      <c r="BL711" s="240"/>
      <c r="BM711" s="240"/>
    </row>
    <row r="712" spans="1:65" s="4" customFormat="1" hidden="1" outlineLevel="2">
      <c r="A712" s="240"/>
      <c r="B712" s="240"/>
      <c r="C712" s="595"/>
      <c r="D712" s="1618"/>
      <c r="E712" s="170">
        <v>10</v>
      </c>
      <c r="F712" s="35"/>
      <c r="G712" s="184"/>
      <c r="H712" s="186"/>
      <c r="I712" s="186"/>
      <c r="J712" s="186"/>
      <c r="K712" s="186"/>
      <c r="L712" s="186"/>
      <c r="M712" s="186"/>
      <c r="N712" s="186"/>
      <c r="O712" s="186"/>
      <c r="P712" s="185"/>
      <c r="Q712" s="590">
        <f>IF(A18taxstdlife="n/a","n/a",IF(Q$3&gt;(A18taxstdlife+$E712),(('PTRM input'!$P$160+'PTRM input'!$P$126)*$P$7)-SUM($P712:P712),(('PTRM input'!$P$160+'PTRM input'!$P$126)*$P$7)/A18taxstdlife))</f>
        <v>0</v>
      </c>
      <c r="R712" s="590">
        <f>IF(A18taxstdlife="n/a","n/a",IF(R$3&gt;(A18taxstdlife+$E712),(('PTRM input'!$P$160+'PTRM input'!$P$126)*$P$7)-SUM($P712:Q712),(('PTRM input'!$P$160+'PTRM input'!$P$126)*$P$7)/A18taxstdlife))</f>
        <v>0</v>
      </c>
      <c r="S712" s="590">
        <f>IF(A18taxstdlife="n/a","n/a",IF(S$3&gt;(A18taxstdlife+$E712),(('PTRM input'!$P$160+'PTRM input'!$P$126)*$P$7)-SUM($P712:R712),(('PTRM input'!$P$160+'PTRM input'!$P$126)*$P$7)/A18taxstdlife))</f>
        <v>0</v>
      </c>
      <c r="T712" s="590">
        <f>IF(A18taxstdlife="n/a","n/a",IF(T$3&gt;(A18taxstdlife+$E712),(('PTRM input'!$P$160+'PTRM input'!$P$126)*$P$7)-SUM($P712:S712),(('PTRM input'!$P$160+'PTRM input'!$P$126)*$P$7)/A18taxstdlife))</f>
        <v>0</v>
      </c>
      <c r="U712" s="590">
        <f>IF(A18taxstdlife="n/a","n/a",IF(U$3&gt;(A18taxstdlife+$E712),(('PTRM input'!$P$160+'PTRM input'!$P$126)*$P$7)-SUM($P712:T712),(('PTRM input'!$P$160+'PTRM input'!$P$126)*$P$7)/A18taxstdlife))</f>
        <v>0</v>
      </c>
      <c r="V712" s="590">
        <f>IF(A18taxstdlife="n/a","n/a",IF(V$3&gt;(A18taxstdlife+$E712),(('PTRM input'!$P$160+'PTRM input'!$P$126)*$P$7)-SUM($P712:U712),(('PTRM input'!$P$160+'PTRM input'!$P$126)*$P$7)/A18taxstdlife))</f>
        <v>0</v>
      </c>
      <c r="W712" s="590">
        <f>IF(A18taxstdlife="n/a","n/a",IF(W$3&gt;(A18taxstdlife+$E712),(('PTRM input'!$P$160+'PTRM input'!$P$126)*$P$7)-SUM($P712:V712),(('PTRM input'!$P$160+'PTRM input'!$P$126)*$P$7)/A18taxstdlife))</f>
        <v>0</v>
      </c>
      <c r="X712" s="590">
        <f>IF(A18taxstdlife="n/a","n/a",IF(X$3&gt;(A18taxstdlife+$E712),(('PTRM input'!$P$160+'PTRM input'!$P$126)*$P$7)-SUM($P712:W712),(('PTRM input'!$P$160+'PTRM input'!$P$126)*$P$7)/A18taxstdlife))</f>
        <v>0</v>
      </c>
      <c r="Y712" s="590">
        <f>IF(A18taxstdlife="n/a","n/a",IF(Y$3&gt;(A18taxstdlife+$E712),(('PTRM input'!$P$160+'PTRM input'!$P$126)*$P$7)-SUM($P712:X712),(('PTRM input'!$P$160+'PTRM input'!$P$126)*$P$7)/A18taxstdlife))</f>
        <v>0</v>
      </c>
      <c r="Z712" s="590">
        <f>IF(A18taxstdlife="n/a","n/a",IF(Z$3&gt;(A18taxstdlife+$E712),(('PTRM input'!$P$160+'PTRM input'!$P$126)*$P$7)-SUM($P712:Y712),(('PTRM input'!$P$160+'PTRM input'!$P$126)*$P$7)/A18taxstdlife))</f>
        <v>0</v>
      </c>
      <c r="AA712" s="590">
        <f>IF(A18taxstdlife="n/a","n/a",IF(AA$3&gt;(A18taxstdlife+$E712),(('PTRM input'!$P$160+'PTRM input'!$P$126)*$P$7)-SUM($P712:Z712),(('PTRM input'!$P$160+'PTRM input'!$P$126)*$P$7)/A18taxstdlife))</f>
        <v>0</v>
      </c>
      <c r="AB712" s="590">
        <f>IF(A18taxstdlife="n/a","n/a",IF(AB$3&gt;(A18taxstdlife+$E712),(('PTRM input'!$P$160+'PTRM input'!$P$126)*$P$7)-SUM($P712:AA712),(('PTRM input'!$P$160+'PTRM input'!$P$126)*$P$7)/A18taxstdlife))</f>
        <v>0</v>
      </c>
      <c r="AC712" s="590">
        <f>IF(A18taxstdlife="n/a","n/a",IF(AC$3&gt;(A18taxstdlife+$E712),(('PTRM input'!$P$160+'PTRM input'!$P$126)*$P$7)-SUM($P712:AB712),(('PTRM input'!$P$160+'PTRM input'!$P$126)*$P$7)/A18taxstdlife))</f>
        <v>0</v>
      </c>
      <c r="AD712" s="590">
        <f>IF(A18taxstdlife="n/a","n/a",IF(AD$3&gt;(A18taxstdlife+$E712),(('PTRM input'!$P$160+'PTRM input'!$P$126)*$P$7)-SUM($P712:AC712),(('PTRM input'!$P$160+'PTRM input'!$P$126)*$P$7)/A18taxstdlife))</f>
        <v>0</v>
      </c>
      <c r="AE712" s="590">
        <f>IF(A18taxstdlife="n/a","n/a",IF(AE$3&gt;(A18taxstdlife+$E712),(('PTRM input'!$P$160+'PTRM input'!$P$126)*$P$7)-SUM($P712:AD712),(('PTRM input'!$P$160+'PTRM input'!$P$126)*$P$7)/A18taxstdlife))</f>
        <v>0</v>
      </c>
      <c r="AF712" s="590">
        <f>IF(A18taxstdlife="n/a","n/a",IF(AF$3&gt;(A18taxstdlife+$E712),(('PTRM input'!$P$160+'PTRM input'!$P$126)*$P$7)-SUM($P712:AE712),(('PTRM input'!$P$160+'PTRM input'!$P$126)*$P$7)/A18taxstdlife))</f>
        <v>0</v>
      </c>
      <c r="AG712" s="590">
        <f>IF(A18taxstdlife="n/a","n/a",IF(AG$3&gt;(A18taxstdlife+$E712),(('PTRM input'!$P$160+'PTRM input'!$P$126)*$P$7)-SUM($P712:AF712),(('PTRM input'!$P$160+'PTRM input'!$P$126)*$P$7)/A18taxstdlife))</f>
        <v>0</v>
      </c>
      <c r="AH712" s="590">
        <f>IF(A18taxstdlife="n/a","n/a",IF(AH$3&gt;(A18taxstdlife+$E712),(('PTRM input'!$P$160+'PTRM input'!$P$126)*$P$7)-SUM($P712:AG712),(('PTRM input'!$P$160+'PTRM input'!$P$126)*$P$7)/A18taxstdlife))</f>
        <v>0</v>
      </c>
      <c r="AI712" s="590">
        <f>IF(A18taxstdlife="n/a","n/a",IF(AI$3&gt;(A18taxstdlife+$E712),(('PTRM input'!$P$160+'PTRM input'!$P$126)*$P$7)-SUM($P712:AH712),(('PTRM input'!$P$160+'PTRM input'!$P$126)*$P$7)/A18taxstdlife))</f>
        <v>0</v>
      </c>
      <c r="AJ712" s="590">
        <f>IF(A18taxstdlife="n/a","n/a",IF(AJ$3&gt;(A18taxstdlife+$E712),(('PTRM input'!$P$160+'PTRM input'!$P$126)*$P$7)-SUM($P712:AI712),(('PTRM input'!$P$160+'PTRM input'!$P$126)*$P$7)/A18taxstdlife))</f>
        <v>0</v>
      </c>
      <c r="AK712" s="590">
        <f>IF(A18taxstdlife="n/a","n/a",IF(AK$3&gt;(A18taxstdlife+$E712),(('PTRM input'!$P$160+'PTRM input'!$P$126)*$P$7)-SUM($P712:AJ712),(('PTRM input'!$P$160+'PTRM input'!$P$126)*$P$7)/A18taxstdlife))</f>
        <v>0</v>
      </c>
      <c r="AL712" s="590">
        <f>IF(A18taxstdlife="n/a","n/a",IF(AL$3&gt;(A18taxstdlife+$E712),(('PTRM input'!$P$160+'PTRM input'!$P$126)*$P$7)-SUM($P712:AK712),(('PTRM input'!$P$160+'PTRM input'!$P$126)*$P$7)/A18taxstdlife))</f>
        <v>0</v>
      </c>
      <c r="AM712" s="590">
        <f>IF(A18taxstdlife="n/a","n/a",IF(AM$3&gt;(A18taxstdlife+$E712),(('PTRM input'!$P$160+'PTRM input'!$P$126)*$P$7)-SUM($P712:AL712),(('PTRM input'!$P$160+'PTRM input'!$P$126)*$P$7)/A18taxstdlife))</f>
        <v>0</v>
      </c>
      <c r="AN712" s="590">
        <f>IF(A18taxstdlife="n/a","n/a",IF(AN$3&gt;(A18taxstdlife+$E712),(('PTRM input'!$P$160+'PTRM input'!$P$126)*$P$7)-SUM($P712:AM712),(('PTRM input'!$P$160+'PTRM input'!$P$126)*$P$7)/A18taxstdlife))</f>
        <v>0</v>
      </c>
      <c r="AO712" s="590">
        <f>IF(A18taxstdlife="n/a","n/a",IF(AO$3&gt;(A18taxstdlife+$E712),(('PTRM input'!$P$160+'PTRM input'!$P$126)*$P$7)-SUM($P712:AN712),(('PTRM input'!$P$160+'PTRM input'!$P$126)*$P$7)/A18taxstdlife))</f>
        <v>0</v>
      </c>
      <c r="AP712" s="590">
        <f>IF(A18taxstdlife="n/a","n/a",IF(AP$3&gt;(A18taxstdlife+$E712),(('PTRM input'!$P$160+'PTRM input'!$P$126)*$P$7)-SUM($P712:AO712),(('PTRM input'!$P$160+'PTRM input'!$P$126)*$P$7)/A18taxstdlife))</f>
        <v>0</v>
      </c>
      <c r="AQ712" s="590">
        <f>IF(A18taxstdlife="n/a","n/a",IF(AQ$3&gt;(A18taxstdlife+$E712),(('PTRM input'!$P$160+'PTRM input'!$P$126)*$P$7)-SUM($P712:AP712),(('PTRM input'!$P$160+'PTRM input'!$P$126)*$P$7)/A18taxstdlife))</f>
        <v>0</v>
      </c>
      <c r="AR712" s="590">
        <f>IF(A18taxstdlife="n/a","n/a",IF(AR$3&gt;(A18taxstdlife+$E712),(('PTRM input'!$P$160+'PTRM input'!$P$126)*$P$7)-SUM($P712:AQ712),(('PTRM input'!$P$160+'PTRM input'!$P$126)*$P$7)/A18taxstdlife))</f>
        <v>0</v>
      </c>
      <c r="AS712" s="590">
        <f>IF(A18taxstdlife="n/a","n/a",IF(AS$3&gt;(A18taxstdlife+$E712),(('PTRM input'!$P$160+'PTRM input'!$P$126)*$P$7)-SUM($P712:AR712),(('PTRM input'!$P$160+'PTRM input'!$P$126)*$P$7)/A18taxstdlife))</f>
        <v>0</v>
      </c>
      <c r="AT712" s="590">
        <f>IF(A18taxstdlife="n/a","n/a",IF(AT$3&gt;(A18taxstdlife+$E712),(('PTRM input'!$P$160+'PTRM input'!$P$126)*$P$7)-SUM($P712:AS712),(('PTRM input'!$P$160+'PTRM input'!$P$126)*$P$7)/A18taxstdlife))</f>
        <v>0</v>
      </c>
      <c r="AU712" s="590">
        <f>IF(A18taxstdlife="n/a","n/a",IF(AU$3&gt;(A18taxstdlife+$E712),(('PTRM input'!$P$160+'PTRM input'!$P$126)*$P$7)-SUM($P712:AT712),(('PTRM input'!$P$160+'PTRM input'!$P$126)*$P$7)/A18taxstdlife))</f>
        <v>0</v>
      </c>
      <c r="AV712" s="590">
        <f>IF(A18taxstdlife="n/a","n/a",IF(AV$3&gt;(A18taxstdlife+$E712),(('PTRM input'!$P$160+'PTRM input'!$P$126)*$P$7)-SUM($P712:AU712),(('PTRM input'!$P$160+'PTRM input'!$P$126)*$P$7)/A18taxstdlife))</f>
        <v>0</v>
      </c>
      <c r="AW712" s="590">
        <f>IF(A18taxstdlife="n/a","n/a",IF(AW$3&gt;(A18taxstdlife+$E712),(('PTRM input'!$P$160+'PTRM input'!$P$126)*$P$7)-SUM($P712:AV712),(('PTRM input'!$P$160+'PTRM input'!$P$126)*$P$7)/A18taxstdlife))</f>
        <v>0</v>
      </c>
      <c r="AX712" s="590">
        <f>IF(A18taxstdlife="n/a","n/a",IF(AX$3&gt;(A18taxstdlife+$E712),(('PTRM input'!$P$160+'PTRM input'!$P$126)*$P$7)-SUM($P712:AW712),(('PTRM input'!$P$160+'PTRM input'!$P$126)*$P$7)/A18taxstdlife))</f>
        <v>0</v>
      </c>
      <c r="AY712" s="590">
        <f>IF(A18taxstdlife="n/a","n/a",IF(AY$3&gt;(A18taxstdlife+$E712),(('PTRM input'!$P$160+'PTRM input'!$P$126)*$P$7)-SUM($P712:AX712),(('PTRM input'!$P$160+'PTRM input'!$P$126)*$P$7)/A18taxstdlife))</f>
        <v>0</v>
      </c>
      <c r="AZ712" s="590">
        <f>IF(A18taxstdlife="n/a","n/a",IF(AZ$3&gt;(A18taxstdlife+$E712),(('PTRM input'!$P$160+'PTRM input'!$P$126)*$P$7)-SUM($P712:AY712),(('PTRM input'!$P$160+'PTRM input'!$P$126)*$P$7)/A18taxstdlife))</f>
        <v>0</v>
      </c>
      <c r="BA712" s="590">
        <f>IF(A18taxstdlife="n/a","n/a",IF(BA$3&gt;(A18taxstdlife+$E712),(('PTRM input'!$P$160+'PTRM input'!$P$126)*$P$7)-SUM($P712:AZ712),(('PTRM input'!$P$160+'PTRM input'!$P$126)*$P$7)/A18taxstdlife))</f>
        <v>0</v>
      </c>
      <c r="BB712" s="590">
        <f>IF(A18taxstdlife="n/a","n/a",IF(BB$3&gt;(A18taxstdlife+$E712),(('PTRM input'!$P$160+'PTRM input'!$P$126)*$P$7)-SUM($P712:BA712),(('PTRM input'!$P$160+'PTRM input'!$P$126)*$P$7)/A18taxstdlife))</f>
        <v>0</v>
      </c>
      <c r="BC712" s="590">
        <f>IF(A18taxstdlife="n/a","n/a",IF(BC$3&gt;(A18taxstdlife+$E712),(('PTRM input'!$P$160+'PTRM input'!$P$126)*$P$7)-SUM($P712:BB712),(('PTRM input'!$P$160+'PTRM input'!$P$126)*$P$7)/A18taxstdlife))</f>
        <v>0</v>
      </c>
      <c r="BD712" s="590">
        <f>IF(A18taxstdlife="n/a","n/a",IF(BD$3&gt;(A18taxstdlife+$E712),(('PTRM input'!$P$160+'PTRM input'!$P$126)*$P$7)-SUM($P712:BC712),(('PTRM input'!$P$160+'PTRM input'!$P$126)*$P$7)/A18taxstdlife))</f>
        <v>0</v>
      </c>
      <c r="BE712" s="590">
        <f>IF(A18taxstdlife="n/a","n/a",IF(BE$3&gt;(A18taxstdlife+$E712),(('PTRM input'!$P$160+'PTRM input'!$P$126)*$P$7)-SUM($P712:BD712),(('PTRM input'!$P$160+'PTRM input'!$P$126)*$P$7)/A18taxstdlife))</f>
        <v>0</v>
      </c>
      <c r="BF712" s="590">
        <f>IF(A18taxstdlife="n/a","n/a",IF(BF$3&gt;(A18taxstdlife+$E712),(('PTRM input'!$P$160+'PTRM input'!$P$126)*$P$7)-SUM($P712:BE712),(('PTRM input'!$P$160+'PTRM input'!$P$126)*$P$7)/A18taxstdlife))</f>
        <v>0</v>
      </c>
      <c r="BG712" s="590">
        <f>IF(A18taxstdlife="n/a","n/a",IF(BG$3&gt;(A18taxstdlife+$E712),(('PTRM input'!$P$160+'PTRM input'!$P$126)*$P$7)-SUM($P712:BF712),(('PTRM input'!$P$160+'PTRM input'!$P$126)*$P$7)/A18taxstdlife))</f>
        <v>0</v>
      </c>
      <c r="BH712" s="590">
        <f>IF(A18taxstdlife="n/a","n/a",IF(BH$3&gt;(A18taxstdlife+$E712),(('PTRM input'!$P$160+'PTRM input'!$P$126)*$P$7)-SUM($P712:BG712),(('PTRM input'!$P$160+'PTRM input'!$P$126)*$P$7)/A18taxstdlife))</f>
        <v>0</v>
      </c>
      <c r="BI712" s="590">
        <f>IF(A18taxstdlife="n/a","n/a",IF(BI$3&gt;(A18taxstdlife+$E712),(('PTRM input'!$P$160+'PTRM input'!$P$126)*$P$7)-SUM($P712:BH712),(('PTRM input'!$P$160+'PTRM input'!$P$126)*$P$7)/A18taxstdlife))</f>
        <v>0</v>
      </c>
      <c r="BJ712" s="240"/>
      <c r="BK712" s="240"/>
      <c r="BL712" s="240"/>
      <c r="BM712" s="240"/>
    </row>
    <row r="713" spans="1:65" s="4" customFormat="1" hidden="1" outlineLevel="1">
      <c r="A713" s="240"/>
      <c r="B713" s="240"/>
      <c r="C713" s="595">
        <f>Asset18</f>
        <v>0</v>
      </c>
      <c r="D713" s="240"/>
      <c r="E713" s="240"/>
      <c r="F713" s="596"/>
      <c r="G713" s="591">
        <f t="shared" ref="G713:AL713" si="140">SUM(G701:G712)</f>
        <v>0</v>
      </c>
      <c r="H713" s="591">
        <f t="shared" si="140"/>
        <v>0</v>
      </c>
      <c r="I713" s="591">
        <f t="shared" si="140"/>
        <v>0</v>
      </c>
      <c r="J713" s="591">
        <f t="shared" si="140"/>
        <v>0</v>
      </c>
      <c r="K713" s="591">
        <f t="shared" si="140"/>
        <v>0</v>
      </c>
      <c r="L713" s="591">
        <f t="shared" si="140"/>
        <v>0</v>
      </c>
      <c r="M713" s="591">
        <f t="shared" si="140"/>
        <v>0</v>
      </c>
      <c r="N713" s="591">
        <f t="shared" si="140"/>
        <v>0</v>
      </c>
      <c r="O713" s="591">
        <f t="shared" si="140"/>
        <v>0</v>
      </c>
      <c r="P713" s="591">
        <f t="shared" si="140"/>
        <v>0</v>
      </c>
      <c r="Q713" s="591">
        <f t="shared" si="140"/>
        <v>0</v>
      </c>
      <c r="R713" s="591">
        <f t="shared" si="140"/>
        <v>0</v>
      </c>
      <c r="S713" s="591">
        <f t="shared" si="140"/>
        <v>0</v>
      </c>
      <c r="T713" s="591">
        <f t="shared" si="140"/>
        <v>0</v>
      </c>
      <c r="U713" s="591">
        <f t="shared" si="140"/>
        <v>0</v>
      </c>
      <c r="V713" s="591">
        <f t="shared" si="140"/>
        <v>0</v>
      </c>
      <c r="W713" s="591">
        <f t="shared" si="140"/>
        <v>0</v>
      </c>
      <c r="X713" s="591">
        <f t="shared" si="140"/>
        <v>0</v>
      </c>
      <c r="Y713" s="591">
        <f t="shared" si="140"/>
        <v>0</v>
      </c>
      <c r="Z713" s="591">
        <f t="shared" si="140"/>
        <v>0</v>
      </c>
      <c r="AA713" s="591">
        <f t="shared" si="140"/>
        <v>0</v>
      </c>
      <c r="AB713" s="591">
        <f t="shared" si="140"/>
        <v>0</v>
      </c>
      <c r="AC713" s="591">
        <f t="shared" si="140"/>
        <v>0</v>
      </c>
      <c r="AD713" s="591">
        <f t="shared" si="140"/>
        <v>0</v>
      </c>
      <c r="AE713" s="591">
        <f t="shared" si="140"/>
        <v>0</v>
      </c>
      <c r="AF713" s="591">
        <f t="shared" si="140"/>
        <v>0</v>
      </c>
      <c r="AG713" s="591">
        <f t="shared" si="140"/>
        <v>0</v>
      </c>
      <c r="AH713" s="591">
        <f t="shared" si="140"/>
        <v>0</v>
      </c>
      <c r="AI713" s="591">
        <f t="shared" si="140"/>
        <v>0</v>
      </c>
      <c r="AJ713" s="591">
        <f t="shared" si="140"/>
        <v>0</v>
      </c>
      <c r="AK713" s="591">
        <f t="shared" si="140"/>
        <v>0</v>
      </c>
      <c r="AL713" s="591">
        <f t="shared" si="140"/>
        <v>0</v>
      </c>
      <c r="AM713" s="591">
        <f t="shared" ref="AM713:BI713" si="141">SUM(AM701:AM712)</f>
        <v>0</v>
      </c>
      <c r="AN713" s="591">
        <f t="shared" si="141"/>
        <v>0</v>
      </c>
      <c r="AO713" s="591">
        <f t="shared" si="141"/>
        <v>0</v>
      </c>
      <c r="AP713" s="591">
        <f t="shared" si="141"/>
        <v>0</v>
      </c>
      <c r="AQ713" s="591">
        <f t="shared" si="141"/>
        <v>0</v>
      </c>
      <c r="AR713" s="591">
        <f t="shared" si="141"/>
        <v>0</v>
      </c>
      <c r="AS713" s="591">
        <f t="shared" si="141"/>
        <v>0</v>
      </c>
      <c r="AT713" s="591">
        <f t="shared" si="141"/>
        <v>0</v>
      </c>
      <c r="AU713" s="591">
        <f t="shared" si="141"/>
        <v>0</v>
      </c>
      <c r="AV713" s="591">
        <f t="shared" si="141"/>
        <v>0</v>
      </c>
      <c r="AW713" s="591">
        <f t="shared" si="141"/>
        <v>0</v>
      </c>
      <c r="AX713" s="591">
        <f t="shared" si="141"/>
        <v>0</v>
      </c>
      <c r="AY713" s="591">
        <f t="shared" si="141"/>
        <v>0</v>
      </c>
      <c r="AZ713" s="591">
        <f t="shared" si="141"/>
        <v>0</v>
      </c>
      <c r="BA713" s="591">
        <f t="shared" si="141"/>
        <v>0</v>
      </c>
      <c r="BB713" s="591">
        <f t="shared" si="141"/>
        <v>0</v>
      </c>
      <c r="BC713" s="591">
        <f t="shared" si="141"/>
        <v>0</v>
      </c>
      <c r="BD713" s="591">
        <f t="shared" si="141"/>
        <v>0</v>
      </c>
      <c r="BE713" s="591">
        <f t="shared" si="141"/>
        <v>0</v>
      </c>
      <c r="BF713" s="591">
        <f t="shared" si="141"/>
        <v>0</v>
      </c>
      <c r="BG713" s="591">
        <f t="shared" si="141"/>
        <v>0</v>
      </c>
      <c r="BH713" s="591">
        <f t="shared" si="141"/>
        <v>0</v>
      </c>
      <c r="BI713" s="591">
        <f t="shared" si="141"/>
        <v>0</v>
      </c>
      <c r="BJ713" s="240"/>
      <c r="BK713" s="240"/>
      <c r="BL713" s="240"/>
      <c r="BM713" s="240"/>
    </row>
    <row r="714" spans="1:65" s="4" customFormat="1" hidden="1" outlineLevel="2">
      <c r="A714" s="240"/>
      <c r="B714" s="597">
        <f>C726</f>
        <v>0</v>
      </c>
      <c r="C714" s="488"/>
      <c r="D714" s="598" t="s">
        <v>58</v>
      </c>
      <c r="E714" s="488"/>
      <c r="F714" s="599"/>
      <c r="G714" s="592">
        <f>IF(G$3&gt;A19taxremlife,A19taxvalue-SUM($F714:F714),IF(A19taxremlife="N/A","n/a",A19taxvalue/A19taxremlife))</f>
        <v>0</v>
      </c>
      <c r="H714" s="592">
        <f>IF(H$3&gt;A19taxremlife,A19taxvalue-SUM($F714:G714),IF(A19taxremlife="N/A","n/a",A19taxvalue/A19taxremlife))</f>
        <v>0</v>
      </c>
      <c r="I714" s="592">
        <f>IF(I$3&gt;A19taxremlife,A19taxvalue-SUM($F714:H714),IF(A19taxremlife="N/A","n/a",A19taxvalue/A19taxremlife))</f>
        <v>0</v>
      </c>
      <c r="J714" s="592">
        <f>IF(J$3&gt;A19taxremlife,A19taxvalue-SUM($F714:I714),IF(A19taxremlife="N/A","n/a",A19taxvalue/A19taxremlife))</f>
        <v>0</v>
      </c>
      <c r="K714" s="592">
        <f>IF(K$3&gt;A19taxremlife,A19taxvalue-SUM($F714:J714),IF(A19taxremlife="N/A","n/a",A19taxvalue/A19taxremlife))</f>
        <v>0</v>
      </c>
      <c r="L714" s="592">
        <f>IF(L$3&gt;A19taxremlife,A19taxvalue-SUM($F714:K714),IF(A19taxremlife="N/A","n/a",A19taxvalue/A19taxremlife))</f>
        <v>0</v>
      </c>
      <c r="M714" s="592">
        <f>IF(M$3&gt;A19taxremlife,A19taxvalue-SUM($F714:L714),IF(A19taxremlife="N/A","n/a",A19taxvalue/A19taxremlife))</f>
        <v>0</v>
      </c>
      <c r="N714" s="592">
        <f>IF(N$3&gt;A19taxremlife,A19taxvalue-SUM($F714:M714),IF(A19taxremlife="N/A","n/a",A19taxvalue/A19taxremlife))</f>
        <v>0</v>
      </c>
      <c r="O714" s="592">
        <f>IF(O$3&gt;A19taxremlife,A19taxvalue-SUM($F714:N714),IF(A19taxremlife="N/A","n/a",A19taxvalue/A19taxremlife))</f>
        <v>0</v>
      </c>
      <c r="P714" s="592">
        <f>IF(P$3&gt;A19taxremlife,A19taxvalue-SUM($F714:O714),IF(A19taxremlife="N/A","n/a",A19taxvalue/A19taxremlife))</f>
        <v>0</v>
      </c>
      <c r="Q714" s="592">
        <f>IF(Q$3&gt;A19taxremlife,A19taxvalue-SUM($F714:P714),IF(A19taxremlife="N/A","n/a",A19taxvalue/A19taxremlife))</f>
        <v>0</v>
      </c>
      <c r="R714" s="592">
        <f>IF(R$3&gt;A19taxremlife,A19taxvalue-SUM($F714:Q714),IF(A19taxremlife="N/A","n/a",A19taxvalue/A19taxremlife))</f>
        <v>0</v>
      </c>
      <c r="S714" s="592">
        <f>IF(S$3&gt;A19taxremlife,A19taxvalue-SUM($F714:R714),IF(A19taxremlife="N/A","n/a",A19taxvalue/A19taxremlife))</f>
        <v>0</v>
      </c>
      <c r="T714" s="592">
        <f>IF(T$3&gt;A19taxremlife,A19taxvalue-SUM($F714:S714),IF(A19taxremlife="N/A","n/a",A19taxvalue/A19taxremlife))</f>
        <v>0</v>
      </c>
      <c r="U714" s="592">
        <f>IF(U$3&gt;A19taxremlife,A19taxvalue-SUM($F714:T714),IF(A19taxremlife="N/A","n/a",A19taxvalue/A19taxremlife))</f>
        <v>0</v>
      </c>
      <c r="V714" s="592">
        <f>IF(V$3&gt;A19taxremlife,A19taxvalue-SUM($F714:U714),IF(A19taxremlife="N/A","n/a",A19taxvalue/A19taxremlife))</f>
        <v>0</v>
      </c>
      <c r="W714" s="592">
        <f>IF(W$3&gt;A19taxremlife,A19taxvalue-SUM($F714:V714),IF(A19taxremlife="N/A","n/a",A19taxvalue/A19taxremlife))</f>
        <v>0</v>
      </c>
      <c r="X714" s="592">
        <f>IF(X$3&gt;A19taxremlife,A19taxvalue-SUM($F714:W714),IF(A19taxremlife="N/A","n/a",A19taxvalue/A19taxremlife))</f>
        <v>0</v>
      </c>
      <c r="Y714" s="592">
        <f>IF(Y$3&gt;A19taxremlife,A19taxvalue-SUM($F714:X714),IF(A19taxremlife="N/A","n/a",A19taxvalue/A19taxremlife))</f>
        <v>0</v>
      </c>
      <c r="Z714" s="592">
        <f>IF(Z$3&gt;A19taxremlife,A19taxvalue-SUM($F714:Y714),IF(A19taxremlife="N/A","n/a",A19taxvalue/A19taxremlife))</f>
        <v>0</v>
      </c>
      <c r="AA714" s="592">
        <f>IF(AA$3&gt;A19taxremlife,A19taxvalue-SUM($F714:Z714),IF(A19taxremlife="N/A","n/a",A19taxvalue/A19taxremlife))</f>
        <v>0</v>
      </c>
      <c r="AB714" s="592">
        <f>IF(AB$3&gt;A19taxremlife,A19taxvalue-SUM($F714:AA714),IF(A19taxremlife="N/A","n/a",A19taxvalue/A19taxremlife))</f>
        <v>0</v>
      </c>
      <c r="AC714" s="592">
        <f>IF(AC$3&gt;A19taxremlife,A19taxvalue-SUM($F714:AB714),IF(A19taxremlife="N/A","n/a",A19taxvalue/A19taxremlife))</f>
        <v>0</v>
      </c>
      <c r="AD714" s="592">
        <f>IF(AD$3&gt;A19taxremlife,A19taxvalue-SUM($F714:AC714),IF(A19taxremlife="N/A","n/a",A19taxvalue/A19taxremlife))</f>
        <v>0</v>
      </c>
      <c r="AE714" s="592">
        <f>IF(AE$3&gt;A19taxremlife,A19taxvalue-SUM($F714:AD714),IF(A19taxremlife="N/A","n/a",A19taxvalue/A19taxremlife))</f>
        <v>0</v>
      </c>
      <c r="AF714" s="592">
        <f>IF(AF$3&gt;A19taxremlife,A19taxvalue-SUM($F714:AE714),IF(A19taxremlife="N/A","n/a",A19taxvalue/A19taxremlife))</f>
        <v>0</v>
      </c>
      <c r="AG714" s="592">
        <f>IF(AG$3&gt;A19taxremlife,A19taxvalue-SUM($F714:AF714),IF(A19taxremlife="N/A","n/a",A19taxvalue/A19taxremlife))</f>
        <v>0</v>
      </c>
      <c r="AH714" s="592">
        <f>IF(AH$3&gt;A19taxremlife,A19taxvalue-SUM($F714:AG714),IF(A19taxremlife="N/A","n/a",A19taxvalue/A19taxremlife))</f>
        <v>0</v>
      </c>
      <c r="AI714" s="592">
        <f>IF(AI$3&gt;A19taxremlife,A19taxvalue-SUM($F714:AH714),IF(A19taxremlife="N/A","n/a",A19taxvalue/A19taxremlife))</f>
        <v>0</v>
      </c>
      <c r="AJ714" s="592">
        <f>IF(AJ$3&gt;A19taxremlife,A19taxvalue-SUM($F714:AI714),IF(A19taxremlife="N/A","n/a",A19taxvalue/A19taxremlife))</f>
        <v>0</v>
      </c>
      <c r="AK714" s="592">
        <f>IF(AK$3&gt;A19taxremlife,A19taxvalue-SUM($F714:AJ714),IF(A19taxremlife="N/A","n/a",A19taxvalue/A19taxremlife))</f>
        <v>0</v>
      </c>
      <c r="AL714" s="592">
        <f>IF(AL$3&gt;A19taxremlife,A19taxvalue-SUM($F714:AK714),IF(A19taxremlife="N/A","n/a",A19taxvalue/A19taxremlife))</f>
        <v>0</v>
      </c>
      <c r="AM714" s="592">
        <f>IF(AM$3&gt;A19taxremlife,A19taxvalue-SUM($F714:AL714),IF(A19taxremlife="N/A","n/a",A19taxvalue/A19taxremlife))</f>
        <v>0</v>
      </c>
      <c r="AN714" s="592">
        <f>IF(AN$3&gt;A19taxremlife,A19taxvalue-SUM($F714:AM714),IF(A19taxremlife="N/A","n/a",A19taxvalue/A19taxremlife))</f>
        <v>0</v>
      </c>
      <c r="AO714" s="592">
        <f>IF(AO$3&gt;A19taxremlife,A19taxvalue-SUM($F714:AN714),IF(A19taxremlife="N/A","n/a",A19taxvalue/A19taxremlife))</f>
        <v>0</v>
      </c>
      <c r="AP714" s="592">
        <f>IF(AP$3&gt;A19taxremlife,A19taxvalue-SUM($F714:AO714),IF(A19taxremlife="N/A","n/a",A19taxvalue/A19taxremlife))</f>
        <v>0</v>
      </c>
      <c r="AQ714" s="592">
        <f>IF(AQ$3&gt;A19taxremlife,A19taxvalue-SUM($F714:AP714),IF(A19taxremlife="N/A","n/a",A19taxvalue/A19taxremlife))</f>
        <v>0</v>
      </c>
      <c r="AR714" s="592">
        <f>IF(AR$3&gt;A19taxremlife,A19taxvalue-SUM($F714:AQ714),IF(A19taxremlife="N/A","n/a",A19taxvalue/A19taxremlife))</f>
        <v>0</v>
      </c>
      <c r="AS714" s="592">
        <f>IF(AS$3&gt;A19taxremlife,A19taxvalue-SUM($F714:AR714),IF(A19taxremlife="N/A","n/a",A19taxvalue/A19taxremlife))</f>
        <v>0</v>
      </c>
      <c r="AT714" s="592">
        <f>IF(AT$3&gt;A19taxremlife,A19taxvalue-SUM($F714:AS714),IF(A19taxremlife="N/A","n/a",A19taxvalue/A19taxremlife))</f>
        <v>0</v>
      </c>
      <c r="AU714" s="592">
        <f>IF(AU$3&gt;A19taxremlife,A19taxvalue-SUM($F714:AT714),IF(A19taxremlife="N/A","n/a",A19taxvalue/A19taxremlife))</f>
        <v>0</v>
      </c>
      <c r="AV714" s="592">
        <f>IF(AV$3&gt;A19taxremlife,A19taxvalue-SUM($F714:AU714),IF(A19taxremlife="N/A","n/a",A19taxvalue/A19taxremlife))</f>
        <v>0</v>
      </c>
      <c r="AW714" s="592">
        <f>IF(AW$3&gt;A19taxremlife,A19taxvalue-SUM($F714:AV714),IF(A19taxremlife="N/A","n/a",A19taxvalue/A19taxremlife))</f>
        <v>0</v>
      </c>
      <c r="AX714" s="592">
        <f>IF(AX$3&gt;A19taxremlife,A19taxvalue-SUM($F714:AW714),IF(A19taxremlife="N/A","n/a",A19taxvalue/A19taxremlife))</f>
        <v>0</v>
      </c>
      <c r="AY714" s="592">
        <f>IF(AY$3&gt;A19taxremlife,A19taxvalue-SUM($F714:AX714),IF(A19taxremlife="N/A","n/a",A19taxvalue/A19taxremlife))</f>
        <v>0</v>
      </c>
      <c r="AZ714" s="592">
        <f>IF(AZ$3&gt;A19taxremlife,A19taxvalue-SUM($F714:AY714),IF(A19taxremlife="N/A","n/a",A19taxvalue/A19taxremlife))</f>
        <v>0</v>
      </c>
      <c r="BA714" s="592">
        <f>IF(BA$3&gt;A19taxremlife,A19taxvalue-SUM($F714:AZ714),IF(A19taxremlife="N/A","n/a",A19taxvalue/A19taxremlife))</f>
        <v>0</v>
      </c>
      <c r="BB714" s="592">
        <f>IF(BB$3&gt;A19taxremlife,A19taxvalue-SUM($F714:BA714),IF(A19taxremlife="N/A","n/a",A19taxvalue/A19taxremlife))</f>
        <v>0</v>
      </c>
      <c r="BC714" s="592">
        <f>IF(BC$3&gt;A19taxremlife,A19taxvalue-SUM($F714:BB714),IF(A19taxremlife="N/A","n/a",A19taxvalue/A19taxremlife))</f>
        <v>0</v>
      </c>
      <c r="BD714" s="592">
        <f>IF(BD$3&gt;A19taxremlife,A19taxvalue-SUM($F714:BC714),IF(A19taxremlife="N/A","n/a",A19taxvalue/A19taxremlife))</f>
        <v>0</v>
      </c>
      <c r="BE714" s="592">
        <f>IF(BE$3&gt;A19taxremlife,A19taxvalue-SUM($F714:BD714),IF(A19taxremlife="N/A","n/a",A19taxvalue/A19taxremlife))</f>
        <v>0</v>
      </c>
      <c r="BF714" s="592">
        <f>IF(BF$3&gt;A19taxremlife,A19taxvalue-SUM($F714:BE714),IF(A19taxremlife="N/A","n/a",A19taxvalue/A19taxremlife))</f>
        <v>0</v>
      </c>
      <c r="BG714" s="592">
        <f>IF(BG$3&gt;A19taxremlife,A19taxvalue-SUM($F714:BF714),IF(A19taxremlife="N/A","n/a",A19taxvalue/A19taxremlife))</f>
        <v>0</v>
      </c>
      <c r="BH714" s="592">
        <f>IF(BH$3&gt;A19taxremlife,A19taxvalue-SUM($F714:BG714),IF(A19taxremlife="N/A","n/a",A19taxvalue/A19taxremlife))</f>
        <v>0</v>
      </c>
      <c r="BI714" s="592">
        <f>IF(BI$3&gt;A19taxremlife,A19taxvalue-SUM($F714:BH714),IF(A19taxremlife="N/A","n/a",A19taxvalue/A19taxremlife))</f>
        <v>0</v>
      </c>
      <c r="BJ714" s="240"/>
      <c r="BK714" s="240"/>
      <c r="BL714" s="240"/>
      <c r="BM714" s="240"/>
    </row>
    <row r="715" spans="1:65" s="4" customFormat="1" ht="12.75" hidden="1" customHeight="1" outlineLevel="2">
      <c r="A715" s="240"/>
      <c r="B715" s="240"/>
      <c r="C715" s="595"/>
      <c r="D715" s="1618" t="s">
        <v>357</v>
      </c>
      <c r="E715" s="169">
        <v>0</v>
      </c>
      <c r="F715" s="35"/>
      <c r="G715" s="107"/>
      <c r="H715" s="107"/>
      <c r="I715" s="107"/>
      <c r="J715" s="107"/>
      <c r="K715" s="107"/>
      <c r="L715" s="107"/>
      <c r="M715" s="107"/>
      <c r="N715" s="107"/>
      <c r="O715" s="107"/>
      <c r="P715" s="107"/>
      <c r="Q715" s="590"/>
      <c r="R715" s="590"/>
      <c r="S715" s="590"/>
      <c r="T715" s="590"/>
      <c r="U715" s="590"/>
      <c r="V715" s="590"/>
      <c r="W715" s="590"/>
      <c r="X715" s="590"/>
      <c r="Y715" s="590"/>
      <c r="Z715" s="590"/>
      <c r="AA715" s="590"/>
      <c r="AB715" s="590"/>
      <c r="AC715" s="590"/>
      <c r="AD715" s="590"/>
      <c r="AE715" s="590"/>
      <c r="AF715" s="590"/>
      <c r="AG715" s="590"/>
      <c r="AH715" s="590"/>
      <c r="AI715" s="590"/>
      <c r="AJ715" s="590"/>
      <c r="AK715" s="590"/>
      <c r="AL715" s="590"/>
      <c r="AM715" s="590"/>
      <c r="AN715" s="590"/>
      <c r="AO715" s="590"/>
      <c r="AP715" s="590"/>
      <c r="AQ715" s="590"/>
      <c r="AR715" s="590"/>
      <c r="AS715" s="590"/>
      <c r="AT715" s="590"/>
      <c r="AU715" s="590"/>
      <c r="AV715" s="590"/>
      <c r="AW715" s="590"/>
      <c r="AX715" s="590"/>
      <c r="AY715" s="590"/>
      <c r="AZ715" s="590"/>
      <c r="BA715" s="590"/>
      <c r="BB715" s="590"/>
      <c r="BC715" s="590"/>
      <c r="BD715" s="590"/>
      <c r="BE715" s="590"/>
      <c r="BF715" s="590"/>
      <c r="BG715" s="590"/>
      <c r="BH715" s="590"/>
      <c r="BI715" s="590"/>
      <c r="BJ715" s="240"/>
      <c r="BK715" s="240"/>
      <c r="BL715" s="240"/>
      <c r="BM715" s="240"/>
    </row>
    <row r="716" spans="1:65" s="4" customFormat="1" hidden="1" outlineLevel="2">
      <c r="A716" s="240"/>
      <c r="B716" s="240"/>
      <c r="C716" s="595"/>
      <c r="D716" s="1618"/>
      <c r="E716" s="169">
        <v>1</v>
      </c>
      <c r="F716" s="35"/>
      <c r="G716" s="183"/>
      <c r="H716" s="107">
        <f>IF(A19taxstdlife="n/a","n/a",IF(H$3&gt;(A19taxstdlife+$E716),(('PTRM input'!$G$161+'PTRM input'!$G$127)*$G$7)-SUM($G716:G716),(('PTRM input'!$G$161+'PTRM input'!$G$127)*$G$7)/A19taxstdlife))</f>
        <v>0</v>
      </c>
      <c r="I716" s="107">
        <f>IF(A19taxstdlife="n/a","n/a",IF(I$3&gt;(A19taxstdlife+$E716),(('PTRM input'!$G$161+'PTRM input'!$G$127)*$G$7)-SUM($G716:H716),(('PTRM input'!$G$161+'PTRM input'!$G$127)*$G$7)/A19taxstdlife))</f>
        <v>0</v>
      </c>
      <c r="J716" s="107">
        <f>IF(A19taxstdlife="n/a","n/a",IF(J$3&gt;(A19taxstdlife+$E716),(('PTRM input'!$G$161+'PTRM input'!$G$127)*$G$7)-SUM($G716:I716),(('PTRM input'!$G$161+'PTRM input'!$G$127)*$G$7)/A19taxstdlife))</f>
        <v>0</v>
      </c>
      <c r="K716" s="107">
        <f>IF(A19taxstdlife="n/a","n/a",IF(K$3&gt;(A19taxstdlife+$E716),(('PTRM input'!$G$161+'PTRM input'!$G$127)*$G$7)-SUM($G716:J716),(('PTRM input'!$G$161+'PTRM input'!$G$127)*$G$7)/A19taxstdlife))</f>
        <v>0</v>
      </c>
      <c r="L716" s="107">
        <f>IF(A19taxstdlife="n/a","n/a",IF(L$3&gt;(A19taxstdlife+$E716),(('PTRM input'!$G$161+'PTRM input'!$G$127)*$G$7)-SUM($G716:K716),(('PTRM input'!$G$161+'PTRM input'!$G$127)*$G$7)/A19taxstdlife))</f>
        <v>0</v>
      </c>
      <c r="M716" s="107">
        <f>IF(A19taxstdlife="n/a","n/a",IF(M$3&gt;(A19taxstdlife+$E716),(('PTRM input'!$G$161+'PTRM input'!$G$127)*$G$7)-SUM($G716:L716),(('PTRM input'!$G$161+'PTRM input'!$G$127)*$G$7)/A19taxstdlife))</f>
        <v>0</v>
      </c>
      <c r="N716" s="107">
        <f>IF(A19taxstdlife="n/a","n/a",IF(N$3&gt;(A19taxstdlife+$E716),(('PTRM input'!$G$161+'PTRM input'!$G$127)*$G$7)-SUM($G716:M716),(('PTRM input'!$G$161+'PTRM input'!$G$127)*$G$7)/A19taxstdlife))</f>
        <v>0</v>
      </c>
      <c r="O716" s="107">
        <f>IF(A19taxstdlife="n/a","n/a",IF(O$3&gt;(A19taxstdlife+$E716),(('PTRM input'!$G$161+'PTRM input'!$G$127)*$G$7)-SUM($G716:N716),(('PTRM input'!$G$161+'PTRM input'!$G$127)*$G$7)/A19taxstdlife))</f>
        <v>0</v>
      </c>
      <c r="P716" s="107">
        <f>IF(A19taxstdlife="n/a","n/a",IF(P$3&gt;(A19taxstdlife+$E716),(('PTRM input'!$G$161+'PTRM input'!$G$127)*$G$7)-SUM($G716:O716),(('PTRM input'!$G$161+'PTRM input'!$G$127)*$G$7)/A19taxstdlife))</f>
        <v>0</v>
      </c>
      <c r="Q716" s="590">
        <f>IF(A19taxstdlife="n/a","n/a",IF(Q$3&gt;(A19taxstdlife+$E716),(('PTRM input'!$G$161+'PTRM input'!$G$127)*$G$7)-SUM($G716:P716),(('PTRM input'!$G$161+'PTRM input'!$G$127)*$G$7)/A19taxstdlife))</f>
        <v>0</v>
      </c>
      <c r="R716" s="590">
        <f>IF(A19taxstdlife="n/a","n/a",IF(R$3&gt;(A19taxstdlife+$E716),(('PTRM input'!$G$161+'PTRM input'!$G$127)*$G$7)-SUM($G716:Q716),(('PTRM input'!$G$161+'PTRM input'!$G$127)*$G$7)/A19taxstdlife))</f>
        <v>0</v>
      </c>
      <c r="S716" s="590">
        <f>IF(A19taxstdlife="n/a","n/a",IF(S$3&gt;(A19taxstdlife+$E716),(('PTRM input'!$G$161+'PTRM input'!$G$127)*$G$7)-SUM($G716:R716),(('PTRM input'!$G$161+'PTRM input'!$G$127)*$G$7)/A19taxstdlife))</f>
        <v>0</v>
      </c>
      <c r="T716" s="590">
        <f>IF(A19taxstdlife="n/a","n/a",IF(T$3&gt;(A19taxstdlife+$E716),(('PTRM input'!$G$161+'PTRM input'!$G$127)*$G$7)-SUM($G716:S716),(('PTRM input'!$G$161+'PTRM input'!$G$127)*$G$7)/A19taxstdlife))</f>
        <v>0</v>
      </c>
      <c r="U716" s="590">
        <f>IF(A19taxstdlife="n/a","n/a",IF(U$3&gt;(A19taxstdlife+$E716),(('PTRM input'!$G$161+'PTRM input'!$G$127)*$G$7)-SUM($G716:T716),(('PTRM input'!$G$161+'PTRM input'!$G$127)*$G$7)/A19taxstdlife))</f>
        <v>0</v>
      </c>
      <c r="V716" s="590">
        <f>IF(A19taxstdlife="n/a","n/a",IF(V$3&gt;(A19taxstdlife+$E716),(('PTRM input'!$G$161+'PTRM input'!$G$127)*$G$7)-SUM($G716:U716),(('PTRM input'!$G$161+'PTRM input'!$G$127)*$G$7)/A19taxstdlife))</f>
        <v>0</v>
      </c>
      <c r="W716" s="590">
        <f>IF(A19taxstdlife="n/a","n/a",IF(W$3&gt;(A19taxstdlife+$E716),(('PTRM input'!$G$161+'PTRM input'!$G$127)*$G$7)-SUM($G716:V716),(('PTRM input'!$G$161+'PTRM input'!$G$127)*$G$7)/A19taxstdlife))</f>
        <v>0</v>
      </c>
      <c r="X716" s="590">
        <f>IF(A19taxstdlife="n/a","n/a",IF(X$3&gt;(A19taxstdlife+$E716),(('PTRM input'!$G$161+'PTRM input'!$G$127)*$G$7)-SUM($G716:W716),(('PTRM input'!$G$161+'PTRM input'!$G$127)*$G$7)/A19taxstdlife))</f>
        <v>0</v>
      </c>
      <c r="Y716" s="590">
        <f>IF(A19taxstdlife="n/a","n/a",IF(Y$3&gt;(A19taxstdlife+$E716),(('PTRM input'!$G$161+'PTRM input'!$G$127)*$G$7)-SUM($G716:X716),(('PTRM input'!$G$161+'PTRM input'!$G$127)*$G$7)/A19taxstdlife))</f>
        <v>0</v>
      </c>
      <c r="Z716" s="590">
        <f>IF(A19taxstdlife="n/a","n/a",IF(Z$3&gt;(A19taxstdlife+$E716),(('PTRM input'!$G$161+'PTRM input'!$G$127)*$G$7)-SUM($G716:Y716),(('PTRM input'!$G$161+'PTRM input'!$G$127)*$G$7)/A19taxstdlife))</f>
        <v>0</v>
      </c>
      <c r="AA716" s="590">
        <f>IF(A19taxstdlife="n/a","n/a",IF(AA$3&gt;(A19taxstdlife+$E716),(('PTRM input'!$G$161+'PTRM input'!$G$127)*$G$7)-SUM($G716:Z716),(('PTRM input'!$G$161+'PTRM input'!$G$127)*$G$7)/A19taxstdlife))</f>
        <v>0</v>
      </c>
      <c r="AB716" s="590">
        <f>IF(A19taxstdlife="n/a","n/a",IF(AB$3&gt;(A19taxstdlife+$E716),(('PTRM input'!$G$161+'PTRM input'!$G$127)*$G$7)-SUM($G716:AA716),(('PTRM input'!$G$161+'PTRM input'!$G$127)*$G$7)/A19taxstdlife))</f>
        <v>0</v>
      </c>
      <c r="AC716" s="590">
        <f>IF(A19taxstdlife="n/a","n/a",IF(AC$3&gt;(A19taxstdlife+$E716),(('PTRM input'!$G$161+'PTRM input'!$G$127)*$G$7)-SUM($G716:AB716),(('PTRM input'!$G$161+'PTRM input'!$G$127)*$G$7)/A19taxstdlife))</f>
        <v>0</v>
      </c>
      <c r="AD716" s="590">
        <f>IF(A19taxstdlife="n/a","n/a",IF(AD$3&gt;(A19taxstdlife+$E716),(('PTRM input'!$G$161+'PTRM input'!$G$127)*$G$7)-SUM($G716:AC716),(('PTRM input'!$G$161+'PTRM input'!$G$127)*$G$7)/A19taxstdlife))</f>
        <v>0</v>
      </c>
      <c r="AE716" s="590">
        <f>IF(A19taxstdlife="n/a","n/a",IF(AE$3&gt;(A19taxstdlife+$E716),(('PTRM input'!$G$161+'PTRM input'!$G$127)*$G$7)-SUM($G716:AD716),(('PTRM input'!$G$161+'PTRM input'!$G$127)*$G$7)/A19taxstdlife))</f>
        <v>0</v>
      </c>
      <c r="AF716" s="590">
        <f>IF(A19taxstdlife="n/a","n/a",IF(AF$3&gt;(A19taxstdlife+$E716),(('PTRM input'!$G$161+'PTRM input'!$G$127)*$G$7)-SUM($G716:AE716),(('PTRM input'!$G$161+'PTRM input'!$G$127)*$G$7)/A19taxstdlife))</f>
        <v>0</v>
      </c>
      <c r="AG716" s="590">
        <f>IF(A19taxstdlife="n/a","n/a",IF(AG$3&gt;(A19taxstdlife+$E716),(('PTRM input'!$G$161+'PTRM input'!$G$127)*$G$7)-SUM($G716:AF716),(('PTRM input'!$G$161+'PTRM input'!$G$127)*$G$7)/A19taxstdlife))</f>
        <v>0</v>
      </c>
      <c r="AH716" s="590">
        <f>IF(A19taxstdlife="n/a","n/a",IF(AH$3&gt;(A19taxstdlife+$E716),(('PTRM input'!$G$161+'PTRM input'!$G$127)*$G$7)-SUM($G716:AG716),(('PTRM input'!$G$161+'PTRM input'!$G$127)*$G$7)/A19taxstdlife))</f>
        <v>0</v>
      </c>
      <c r="AI716" s="590">
        <f>IF(A19taxstdlife="n/a","n/a",IF(AI$3&gt;(A19taxstdlife+$E716),(('PTRM input'!$G$161+'PTRM input'!$G$127)*$G$7)-SUM($G716:AH716),(('PTRM input'!$G$161+'PTRM input'!$G$127)*$G$7)/A19taxstdlife))</f>
        <v>0</v>
      </c>
      <c r="AJ716" s="590">
        <f>IF(A19taxstdlife="n/a","n/a",IF(AJ$3&gt;(A19taxstdlife+$E716),(('PTRM input'!$G$161+'PTRM input'!$G$127)*$G$7)-SUM($G716:AI716),(('PTRM input'!$G$161+'PTRM input'!$G$127)*$G$7)/A19taxstdlife))</f>
        <v>0</v>
      </c>
      <c r="AK716" s="590">
        <f>IF(A19taxstdlife="n/a","n/a",IF(AK$3&gt;(A19taxstdlife+$E716),(('PTRM input'!$G$161+'PTRM input'!$G$127)*$G$7)-SUM($G716:AJ716),(('PTRM input'!$G$161+'PTRM input'!$G$127)*$G$7)/A19taxstdlife))</f>
        <v>0</v>
      </c>
      <c r="AL716" s="590">
        <f>IF(A19taxstdlife="n/a","n/a",IF(AL$3&gt;(A19taxstdlife+$E716),(('PTRM input'!$G$161+'PTRM input'!$G$127)*$G$7)-SUM($G716:AK716),(('PTRM input'!$G$161+'PTRM input'!$G$127)*$G$7)/A19taxstdlife))</f>
        <v>0</v>
      </c>
      <c r="AM716" s="590">
        <f>IF(A19taxstdlife="n/a","n/a",IF(AM$3&gt;(A19taxstdlife+$E716),(('PTRM input'!$G$161+'PTRM input'!$G$127)*$G$7)-SUM($G716:AL716),(('PTRM input'!$G$161+'PTRM input'!$G$127)*$G$7)/A19taxstdlife))</f>
        <v>0</v>
      </c>
      <c r="AN716" s="590">
        <f>IF(A19taxstdlife="n/a","n/a",IF(AN$3&gt;(A19taxstdlife+$E716),(('PTRM input'!$G$161+'PTRM input'!$G$127)*$G$7)-SUM($G716:AM716),(('PTRM input'!$G$161+'PTRM input'!$G$127)*$G$7)/A19taxstdlife))</f>
        <v>0</v>
      </c>
      <c r="AO716" s="590">
        <f>IF(A19taxstdlife="n/a","n/a",IF(AO$3&gt;(A19taxstdlife+$E716),(('PTRM input'!$G$161+'PTRM input'!$G$127)*$G$7)-SUM($G716:AN716),(('PTRM input'!$G$161+'PTRM input'!$G$127)*$G$7)/A19taxstdlife))</f>
        <v>0</v>
      </c>
      <c r="AP716" s="590">
        <f>IF(A19taxstdlife="n/a","n/a",IF(AP$3&gt;(A19taxstdlife+$E716),(('PTRM input'!$G$161+'PTRM input'!$G$127)*$G$7)-SUM($G716:AO716),(('PTRM input'!$G$161+'PTRM input'!$G$127)*$G$7)/A19taxstdlife))</f>
        <v>0</v>
      </c>
      <c r="AQ716" s="590">
        <f>IF(A19taxstdlife="n/a","n/a",IF(AQ$3&gt;(A19taxstdlife+$E716),(('PTRM input'!$G$161+'PTRM input'!$G$127)*$G$7)-SUM($G716:AP716),(('PTRM input'!$G$161+'PTRM input'!$G$127)*$G$7)/A19taxstdlife))</f>
        <v>0</v>
      </c>
      <c r="AR716" s="590">
        <f>IF(A19taxstdlife="n/a","n/a",IF(AR$3&gt;(A19taxstdlife+$E716),(('PTRM input'!$G$161+'PTRM input'!$G$127)*$G$7)-SUM($G716:AQ716),(('PTRM input'!$G$161+'PTRM input'!$G$127)*$G$7)/A19taxstdlife))</f>
        <v>0</v>
      </c>
      <c r="AS716" s="590">
        <f>IF(A19taxstdlife="n/a","n/a",IF(AS$3&gt;(A19taxstdlife+$E716),(('PTRM input'!$G$161+'PTRM input'!$G$127)*$G$7)-SUM($G716:AR716),(('PTRM input'!$G$161+'PTRM input'!$G$127)*$G$7)/A19taxstdlife))</f>
        <v>0</v>
      </c>
      <c r="AT716" s="590">
        <f>IF(A19taxstdlife="n/a","n/a",IF(AT$3&gt;(A19taxstdlife+$E716),(('PTRM input'!$G$161+'PTRM input'!$G$127)*$G$7)-SUM($G716:AS716),(('PTRM input'!$G$161+'PTRM input'!$G$127)*$G$7)/A19taxstdlife))</f>
        <v>0</v>
      </c>
      <c r="AU716" s="590">
        <f>IF(A19taxstdlife="n/a","n/a",IF(AU$3&gt;(A19taxstdlife+$E716),(('PTRM input'!$G$161+'PTRM input'!$G$127)*$G$7)-SUM($G716:AT716),(('PTRM input'!$G$161+'PTRM input'!$G$127)*$G$7)/A19taxstdlife))</f>
        <v>0</v>
      </c>
      <c r="AV716" s="590">
        <f>IF(A19taxstdlife="n/a","n/a",IF(AV$3&gt;(A19taxstdlife+$E716),(('PTRM input'!$G$161+'PTRM input'!$G$127)*$G$7)-SUM($G716:AU716),(('PTRM input'!$G$161+'PTRM input'!$G$127)*$G$7)/A19taxstdlife))</f>
        <v>0</v>
      </c>
      <c r="AW716" s="590">
        <f>IF(A19taxstdlife="n/a","n/a",IF(AW$3&gt;(A19taxstdlife+$E716),(('PTRM input'!$G$161+'PTRM input'!$G$127)*$G$7)-SUM($G716:AV716),(('PTRM input'!$G$161+'PTRM input'!$G$127)*$G$7)/A19taxstdlife))</f>
        <v>0</v>
      </c>
      <c r="AX716" s="590">
        <f>IF(A19taxstdlife="n/a","n/a",IF(AX$3&gt;(A19taxstdlife+$E716),(('PTRM input'!$G$161+'PTRM input'!$G$127)*$G$7)-SUM($G716:AW716),(('PTRM input'!$G$161+'PTRM input'!$G$127)*$G$7)/A19taxstdlife))</f>
        <v>0</v>
      </c>
      <c r="AY716" s="590">
        <f>IF(A19taxstdlife="n/a","n/a",IF(AY$3&gt;(A19taxstdlife+$E716),(('PTRM input'!$G$161+'PTRM input'!$G$127)*$G$7)-SUM($G716:AX716),(('PTRM input'!$G$161+'PTRM input'!$G$127)*$G$7)/A19taxstdlife))</f>
        <v>0</v>
      </c>
      <c r="AZ716" s="590">
        <f>IF(A19taxstdlife="n/a","n/a",IF(AZ$3&gt;(A19taxstdlife+$E716),(('PTRM input'!$G$161+'PTRM input'!$G$127)*$G$7)-SUM($G716:AY716),(('PTRM input'!$G$161+'PTRM input'!$G$127)*$G$7)/A19taxstdlife))</f>
        <v>0</v>
      </c>
      <c r="BA716" s="590">
        <f>IF(A19taxstdlife="n/a","n/a",IF(BA$3&gt;(A19taxstdlife+$E716),(('PTRM input'!$G$161+'PTRM input'!$G$127)*$G$7)-SUM($G716:AZ716),(('PTRM input'!$G$161+'PTRM input'!$G$127)*$G$7)/A19taxstdlife))</f>
        <v>0</v>
      </c>
      <c r="BB716" s="590">
        <f>IF(A19taxstdlife="n/a","n/a",IF(BB$3&gt;(A19taxstdlife+$E716),(('PTRM input'!$G$161+'PTRM input'!$G$127)*$G$7)-SUM($G716:BA716),(('PTRM input'!$G$161+'PTRM input'!$G$127)*$G$7)/A19taxstdlife))</f>
        <v>0</v>
      </c>
      <c r="BC716" s="590">
        <f>IF(A19taxstdlife="n/a","n/a",IF(BC$3&gt;(A19taxstdlife+$E716),(('PTRM input'!$G$161+'PTRM input'!$G$127)*$G$7)-SUM($G716:BB716),(('PTRM input'!$G$161+'PTRM input'!$G$127)*$G$7)/A19taxstdlife))</f>
        <v>0</v>
      </c>
      <c r="BD716" s="590">
        <f>IF(A19taxstdlife="n/a","n/a",IF(BD$3&gt;(A19taxstdlife+$E716),(('PTRM input'!$G$161+'PTRM input'!$G$127)*$G$7)-SUM($G716:BC716),(('PTRM input'!$G$161+'PTRM input'!$G$127)*$G$7)/A19taxstdlife))</f>
        <v>0</v>
      </c>
      <c r="BE716" s="590">
        <f>IF(A19taxstdlife="n/a","n/a",IF(BE$3&gt;(A19taxstdlife+$E716),(('PTRM input'!$G$161+'PTRM input'!$G$127)*$G$7)-SUM($G716:BD716),(('PTRM input'!$G$161+'PTRM input'!$G$127)*$G$7)/A19taxstdlife))</f>
        <v>0</v>
      </c>
      <c r="BF716" s="590">
        <f>IF(A19taxstdlife="n/a","n/a",IF(BF$3&gt;(A19taxstdlife+$E716),(('PTRM input'!$G$161+'PTRM input'!$G$127)*$G$7)-SUM($G716:BE716),(('PTRM input'!$G$161+'PTRM input'!$G$127)*$G$7)/A19taxstdlife))</f>
        <v>0</v>
      </c>
      <c r="BG716" s="590">
        <f>IF(A19taxstdlife="n/a","n/a",IF(BG$3&gt;(A19taxstdlife+$E716),(('PTRM input'!$G$161+'PTRM input'!$G$127)*$G$7)-SUM($G716:BF716),(('PTRM input'!$G$161+'PTRM input'!$G$127)*$G$7)/A19taxstdlife))</f>
        <v>0</v>
      </c>
      <c r="BH716" s="590">
        <f>IF(A19taxstdlife="n/a","n/a",IF(BH$3&gt;(A19taxstdlife+$E716),(('PTRM input'!$G$161+'PTRM input'!$G$127)*$G$7)-SUM($G716:BG716),(('PTRM input'!$G$161+'PTRM input'!$G$127)*$G$7)/A19taxstdlife))</f>
        <v>0</v>
      </c>
      <c r="BI716" s="590">
        <f>IF(A19taxstdlife="n/a","n/a",IF(BI$3&gt;(A19taxstdlife+$E716),(('PTRM input'!$G$161+'PTRM input'!$G$127)*$G$7)-SUM($G716:BH716),(('PTRM input'!$G$161+'PTRM input'!$G$127)*$G$7)/A19taxstdlife))</f>
        <v>0</v>
      </c>
      <c r="BJ716" s="240"/>
      <c r="BK716" s="240"/>
      <c r="BL716" s="240"/>
      <c r="BM716" s="240"/>
    </row>
    <row r="717" spans="1:65" s="4" customFormat="1" hidden="1" outlineLevel="2">
      <c r="A717" s="240"/>
      <c r="B717" s="240"/>
      <c r="C717" s="595"/>
      <c r="D717" s="1618"/>
      <c r="E717" s="169">
        <v>2</v>
      </c>
      <c r="F717" s="35"/>
      <c r="G717" s="184"/>
      <c r="H717" s="185"/>
      <c r="I717" s="107">
        <f>IF(A19taxstdlife="n/a","n/a",IF(I$3&gt;(A19taxstdlife+$E717),(('PTRM input'!$H$161+'PTRM input'!$H$127)*$H$7)-SUM($H717:H717),(('PTRM input'!$H$161+'PTRM input'!$H$127)*$H$7)/A19taxstdlife))</f>
        <v>0</v>
      </c>
      <c r="J717" s="107">
        <f>IF(A19taxstdlife="n/a","n/a",IF(J$3&gt;(A19taxstdlife+$E717),(('PTRM input'!$H$161+'PTRM input'!$H$127)*$H$7)-SUM($H717:I717),(('PTRM input'!$H$161+'PTRM input'!$H$127)*$H$7)/A19taxstdlife))</f>
        <v>0</v>
      </c>
      <c r="K717" s="107">
        <f>IF(A19taxstdlife="n/a","n/a",IF(K$3&gt;(A19taxstdlife+$E717),(('PTRM input'!$H$161+'PTRM input'!$H$127)*$H$7)-SUM($H717:J717),(('PTRM input'!$H$161+'PTRM input'!$H$127)*$H$7)/A19taxstdlife))</f>
        <v>0</v>
      </c>
      <c r="L717" s="107">
        <f>IF(A19taxstdlife="n/a","n/a",IF(L$3&gt;(A19taxstdlife+$E717),(('PTRM input'!$H$161+'PTRM input'!$H$127)*$H$7)-SUM($H717:K717),(('PTRM input'!$H$161+'PTRM input'!$H$127)*$H$7)/A19taxstdlife))</f>
        <v>0</v>
      </c>
      <c r="M717" s="107">
        <f>IF(A19taxstdlife="n/a","n/a",IF(M$3&gt;(A19taxstdlife+$E717),(('PTRM input'!$H$161+'PTRM input'!$H$127)*$H$7)-SUM($H717:L717),(('PTRM input'!$H$161+'PTRM input'!$H$127)*$H$7)/A19taxstdlife))</f>
        <v>0</v>
      </c>
      <c r="N717" s="107">
        <f>IF(A19taxstdlife="n/a","n/a",IF(N$3&gt;(A19taxstdlife+$E717),(('PTRM input'!$H$161+'PTRM input'!$H$127)*$H$7)-SUM($H717:M717),(('PTRM input'!$H$161+'PTRM input'!$H$127)*$H$7)/A19taxstdlife))</f>
        <v>0</v>
      </c>
      <c r="O717" s="107">
        <f>IF(A19taxstdlife="n/a","n/a",IF(O$3&gt;(A19taxstdlife+$E717),(('PTRM input'!$H$161+'PTRM input'!$H$127)*$H$7)-SUM($H717:N717),(('PTRM input'!$H$161+'PTRM input'!$H$127)*$H$7)/A19taxstdlife))</f>
        <v>0</v>
      </c>
      <c r="P717" s="107">
        <f>IF(A19taxstdlife="n/a","n/a",IF(P$3&gt;(A19taxstdlife+$E717),(('PTRM input'!$H$161+'PTRM input'!$H$127)*$H$7)-SUM($H717:O717),(('PTRM input'!$H$161+'PTRM input'!$H$127)*$H$7)/A19taxstdlife))</f>
        <v>0</v>
      </c>
      <c r="Q717" s="590">
        <f>IF(A19taxstdlife="n/a","n/a",IF(Q$3&gt;(A19taxstdlife+$E717),(('PTRM input'!$H$161+'PTRM input'!$H$127)*$H$7)-SUM($H717:P717),(('PTRM input'!$H$161+'PTRM input'!$H$127)*$H$7)/A19taxstdlife))</f>
        <v>0</v>
      </c>
      <c r="R717" s="590">
        <f>IF(A19taxstdlife="n/a","n/a",IF(R$3&gt;(A19taxstdlife+$E717),(('PTRM input'!$H$161+'PTRM input'!$H$127)*$H$7)-SUM($H717:Q717),(('PTRM input'!$H$161+'PTRM input'!$H$127)*$H$7)/A19taxstdlife))</f>
        <v>0</v>
      </c>
      <c r="S717" s="590">
        <f>IF(A19taxstdlife="n/a","n/a",IF(S$3&gt;(A19taxstdlife+$E717),(('PTRM input'!$H$161+'PTRM input'!$H$127)*$H$7)-SUM($H717:R717),(('PTRM input'!$H$161+'PTRM input'!$H$127)*$H$7)/A19taxstdlife))</f>
        <v>0</v>
      </c>
      <c r="T717" s="590">
        <f>IF(A19taxstdlife="n/a","n/a",IF(T$3&gt;(A19taxstdlife+$E717),(('PTRM input'!$H$161+'PTRM input'!$H$127)*$H$7)-SUM($H717:S717),(('PTRM input'!$H$161+'PTRM input'!$H$127)*$H$7)/A19taxstdlife))</f>
        <v>0</v>
      </c>
      <c r="U717" s="590">
        <f>IF(A19taxstdlife="n/a","n/a",IF(U$3&gt;(A19taxstdlife+$E717),(('PTRM input'!$H$161+'PTRM input'!$H$127)*$H$7)-SUM($H717:T717),(('PTRM input'!$H$161+'PTRM input'!$H$127)*$H$7)/A19taxstdlife))</f>
        <v>0</v>
      </c>
      <c r="V717" s="590">
        <f>IF(A19taxstdlife="n/a","n/a",IF(V$3&gt;(A19taxstdlife+$E717),(('PTRM input'!$H$161+'PTRM input'!$H$127)*$H$7)-SUM($H717:U717),(('PTRM input'!$H$161+'PTRM input'!$H$127)*$H$7)/A19taxstdlife))</f>
        <v>0</v>
      </c>
      <c r="W717" s="590">
        <f>IF(A19taxstdlife="n/a","n/a",IF(W$3&gt;(A19taxstdlife+$E717),(('PTRM input'!$H$161+'PTRM input'!$H$127)*$H$7)-SUM($H717:V717),(('PTRM input'!$H$161+'PTRM input'!$H$127)*$H$7)/A19taxstdlife))</f>
        <v>0</v>
      </c>
      <c r="X717" s="590">
        <f>IF(A19taxstdlife="n/a","n/a",IF(X$3&gt;(A19taxstdlife+$E717),(('PTRM input'!$H$161+'PTRM input'!$H$127)*$H$7)-SUM($H717:W717),(('PTRM input'!$H$161+'PTRM input'!$H$127)*$H$7)/A19taxstdlife))</f>
        <v>0</v>
      </c>
      <c r="Y717" s="590">
        <f>IF(A19taxstdlife="n/a","n/a",IF(Y$3&gt;(A19taxstdlife+$E717),(('PTRM input'!$H$161+'PTRM input'!$H$127)*$H$7)-SUM($H717:X717),(('PTRM input'!$H$161+'PTRM input'!$H$127)*$H$7)/A19taxstdlife))</f>
        <v>0</v>
      </c>
      <c r="Z717" s="590">
        <f>IF(A19taxstdlife="n/a","n/a",IF(Z$3&gt;(A19taxstdlife+$E717),(('PTRM input'!$H$161+'PTRM input'!$H$127)*$H$7)-SUM($H717:Y717),(('PTRM input'!$H$161+'PTRM input'!$H$127)*$H$7)/A19taxstdlife))</f>
        <v>0</v>
      </c>
      <c r="AA717" s="590">
        <f>IF(A19taxstdlife="n/a","n/a",IF(AA$3&gt;(A19taxstdlife+$E717),(('PTRM input'!$H$161+'PTRM input'!$H$127)*$H$7)-SUM($H717:Z717),(('PTRM input'!$H$161+'PTRM input'!$H$127)*$H$7)/A19taxstdlife))</f>
        <v>0</v>
      </c>
      <c r="AB717" s="590">
        <f>IF(A19taxstdlife="n/a","n/a",IF(AB$3&gt;(A19taxstdlife+$E717),(('PTRM input'!$H$161+'PTRM input'!$H$127)*$H$7)-SUM($H717:AA717),(('PTRM input'!$H$161+'PTRM input'!$H$127)*$H$7)/A19taxstdlife))</f>
        <v>0</v>
      </c>
      <c r="AC717" s="590">
        <f>IF(A19taxstdlife="n/a","n/a",IF(AC$3&gt;(A19taxstdlife+$E717),(('PTRM input'!$H$161+'PTRM input'!$H$127)*$H$7)-SUM($H717:AB717),(('PTRM input'!$H$161+'PTRM input'!$H$127)*$H$7)/A19taxstdlife))</f>
        <v>0</v>
      </c>
      <c r="AD717" s="590">
        <f>IF(A19taxstdlife="n/a","n/a",IF(AD$3&gt;(A19taxstdlife+$E717),(('PTRM input'!$H$161+'PTRM input'!$H$127)*$H$7)-SUM($H717:AC717),(('PTRM input'!$H$161+'PTRM input'!$H$127)*$H$7)/A19taxstdlife))</f>
        <v>0</v>
      </c>
      <c r="AE717" s="590">
        <f>IF(A19taxstdlife="n/a","n/a",IF(AE$3&gt;(A19taxstdlife+$E717),(('PTRM input'!$H$161+'PTRM input'!$H$127)*$H$7)-SUM($H717:AD717),(('PTRM input'!$H$161+'PTRM input'!$H$127)*$H$7)/A19taxstdlife))</f>
        <v>0</v>
      </c>
      <c r="AF717" s="590">
        <f>IF(A19taxstdlife="n/a","n/a",IF(AF$3&gt;(A19taxstdlife+$E717),(('PTRM input'!$H$161+'PTRM input'!$H$127)*$H$7)-SUM($H717:AE717),(('PTRM input'!$H$161+'PTRM input'!$H$127)*$H$7)/A19taxstdlife))</f>
        <v>0</v>
      </c>
      <c r="AG717" s="590">
        <f>IF(A19taxstdlife="n/a","n/a",IF(AG$3&gt;(A19taxstdlife+$E717),(('PTRM input'!$H$161+'PTRM input'!$H$127)*$H$7)-SUM($H717:AF717),(('PTRM input'!$H$161+'PTRM input'!$H$127)*$H$7)/A19taxstdlife))</f>
        <v>0</v>
      </c>
      <c r="AH717" s="590">
        <f>IF(A19taxstdlife="n/a","n/a",IF(AH$3&gt;(A19taxstdlife+$E717),(('PTRM input'!$H$161+'PTRM input'!$H$127)*$H$7)-SUM($H717:AG717),(('PTRM input'!$H$161+'PTRM input'!$H$127)*$H$7)/A19taxstdlife))</f>
        <v>0</v>
      </c>
      <c r="AI717" s="590">
        <f>IF(A19taxstdlife="n/a","n/a",IF(AI$3&gt;(A19taxstdlife+$E717),(('PTRM input'!$H$161+'PTRM input'!$H$127)*$H$7)-SUM($H717:AH717),(('PTRM input'!$H$161+'PTRM input'!$H$127)*$H$7)/A19taxstdlife))</f>
        <v>0</v>
      </c>
      <c r="AJ717" s="590">
        <f>IF(A19taxstdlife="n/a","n/a",IF(AJ$3&gt;(A19taxstdlife+$E717),(('PTRM input'!$H$161+'PTRM input'!$H$127)*$H$7)-SUM($H717:AI717),(('PTRM input'!$H$161+'PTRM input'!$H$127)*$H$7)/A19taxstdlife))</f>
        <v>0</v>
      </c>
      <c r="AK717" s="590">
        <f>IF(A19taxstdlife="n/a","n/a",IF(AK$3&gt;(A19taxstdlife+$E717),(('PTRM input'!$H$161+'PTRM input'!$H$127)*$H$7)-SUM($H717:AJ717),(('PTRM input'!$H$161+'PTRM input'!$H$127)*$H$7)/A19taxstdlife))</f>
        <v>0</v>
      </c>
      <c r="AL717" s="590">
        <f>IF(A19taxstdlife="n/a","n/a",IF(AL$3&gt;(A19taxstdlife+$E717),(('PTRM input'!$H$161+'PTRM input'!$H$127)*$H$7)-SUM($H717:AK717),(('PTRM input'!$H$161+'PTRM input'!$H$127)*$H$7)/A19taxstdlife))</f>
        <v>0</v>
      </c>
      <c r="AM717" s="590">
        <f>IF(A19taxstdlife="n/a","n/a",IF(AM$3&gt;(A19taxstdlife+$E717),(('PTRM input'!$H$161+'PTRM input'!$H$127)*$H$7)-SUM($H717:AL717),(('PTRM input'!$H$161+'PTRM input'!$H$127)*$H$7)/A19taxstdlife))</f>
        <v>0</v>
      </c>
      <c r="AN717" s="590">
        <f>IF(A19taxstdlife="n/a","n/a",IF(AN$3&gt;(A19taxstdlife+$E717),(('PTRM input'!$H$161+'PTRM input'!$H$127)*$H$7)-SUM($H717:AM717),(('PTRM input'!$H$161+'PTRM input'!$H$127)*$H$7)/A19taxstdlife))</f>
        <v>0</v>
      </c>
      <c r="AO717" s="590">
        <f>IF(A19taxstdlife="n/a","n/a",IF(AO$3&gt;(A19taxstdlife+$E717),(('PTRM input'!$H$161+'PTRM input'!$H$127)*$H$7)-SUM($H717:AN717),(('PTRM input'!$H$161+'PTRM input'!$H$127)*$H$7)/A19taxstdlife))</f>
        <v>0</v>
      </c>
      <c r="AP717" s="590">
        <f>IF(A19taxstdlife="n/a","n/a",IF(AP$3&gt;(A19taxstdlife+$E717),(('PTRM input'!$H$161+'PTRM input'!$H$127)*$H$7)-SUM($H717:AO717),(('PTRM input'!$H$161+'PTRM input'!$H$127)*$H$7)/A19taxstdlife))</f>
        <v>0</v>
      </c>
      <c r="AQ717" s="590">
        <f>IF(A19taxstdlife="n/a","n/a",IF(AQ$3&gt;(A19taxstdlife+$E717),(('PTRM input'!$H$161+'PTRM input'!$H$127)*$H$7)-SUM($H717:AP717),(('PTRM input'!$H$161+'PTRM input'!$H$127)*$H$7)/A19taxstdlife))</f>
        <v>0</v>
      </c>
      <c r="AR717" s="590">
        <f>IF(A19taxstdlife="n/a","n/a",IF(AR$3&gt;(A19taxstdlife+$E717),(('PTRM input'!$H$161+'PTRM input'!$H$127)*$H$7)-SUM($H717:AQ717),(('PTRM input'!$H$161+'PTRM input'!$H$127)*$H$7)/A19taxstdlife))</f>
        <v>0</v>
      </c>
      <c r="AS717" s="590">
        <f>IF(A19taxstdlife="n/a","n/a",IF(AS$3&gt;(A19taxstdlife+$E717),(('PTRM input'!$H$161+'PTRM input'!$H$127)*$H$7)-SUM($H717:AR717),(('PTRM input'!$H$161+'PTRM input'!$H$127)*$H$7)/A19taxstdlife))</f>
        <v>0</v>
      </c>
      <c r="AT717" s="590">
        <f>IF(A19taxstdlife="n/a","n/a",IF(AT$3&gt;(A19taxstdlife+$E717),(('PTRM input'!$H$161+'PTRM input'!$H$127)*$H$7)-SUM($H717:AS717),(('PTRM input'!$H$161+'PTRM input'!$H$127)*$H$7)/A19taxstdlife))</f>
        <v>0</v>
      </c>
      <c r="AU717" s="590">
        <f>IF(A19taxstdlife="n/a","n/a",IF(AU$3&gt;(A19taxstdlife+$E717),(('PTRM input'!$H$161+'PTRM input'!$H$127)*$H$7)-SUM($H717:AT717),(('PTRM input'!$H$161+'PTRM input'!$H$127)*$H$7)/A19taxstdlife))</f>
        <v>0</v>
      </c>
      <c r="AV717" s="590">
        <f>IF(A19taxstdlife="n/a","n/a",IF(AV$3&gt;(A19taxstdlife+$E717),(('PTRM input'!$H$161+'PTRM input'!$H$127)*$H$7)-SUM($H717:AU717),(('PTRM input'!$H$161+'PTRM input'!$H$127)*$H$7)/A19taxstdlife))</f>
        <v>0</v>
      </c>
      <c r="AW717" s="590">
        <f>IF(A19taxstdlife="n/a","n/a",IF(AW$3&gt;(A19taxstdlife+$E717),(('PTRM input'!$H$161+'PTRM input'!$H$127)*$H$7)-SUM($H717:AV717),(('PTRM input'!$H$161+'PTRM input'!$H$127)*$H$7)/A19taxstdlife))</f>
        <v>0</v>
      </c>
      <c r="AX717" s="590">
        <f>IF(A19taxstdlife="n/a","n/a",IF(AX$3&gt;(A19taxstdlife+$E717),(('PTRM input'!$H$161+'PTRM input'!$H$127)*$H$7)-SUM($H717:AW717),(('PTRM input'!$H$161+'PTRM input'!$H$127)*$H$7)/A19taxstdlife))</f>
        <v>0</v>
      </c>
      <c r="AY717" s="590">
        <f>IF(A19taxstdlife="n/a","n/a",IF(AY$3&gt;(A19taxstdlife+$E717),(('PTRM input'!$H$161+'PTRM input'!$H$127)*$H$7)-SUM($H717:AX717),(('PTRM input'!$H$161+'PTRM input'!$H$127)*$H$7)/A19taxstdlife))</f>
        <v>0</v>
      </c>
      <c r="AZ717" s="590">
        <f>IF(A19taxstdlife="n/a","n/a",IF(AZ$3&gt;(A19taxstdlife+$E717),(('PTRM input'!$H$161+'PTRM input'!$H$127)*$H$7)-SUM($H717:AY717),(('PTRM input'!$H$161+'PTRM input'!$H$127)*$H$7)/A19taxstdlife))</f>
        <v>0</v>
      </c>
      <c r="BA717" s="590">
        <f>IF(A19taxstdlife="n/a","n/a",IF(BA$3&gt;(A19taxstdlife+$E717),(('PTRM input'!$H$161+'PTRM input'!$H$127)*$H$7)-SUM($H717:AZ717),(('PTRM input'!$H$161+'PTRM input'!$H$127)*$H$7)/A19taxstdlife))</f>
        <v>0</v>
      </c>
      <c r="BB717" s="590">
        <f>IF(A19taxstdlife="n/a","n/a",IF(BB$3&gt;(A19taxstdlife+$E717),(('PTRM input'!$H$161+'PTRM input'!$H$127)*$H$7)-SUM($H717:BA717),(('PTRM input'!$H$161+'PTRM input'!$H$127)*$H$7)/A19taxstdlife))</f>
        <v>0</v>
      </c>
      <c r="BC717" s="590">
        <f>IF(A19taxstdlife="n/a","n/a",IF(BC$3&gt;(A19taxstdlife+$E717),(('PTRM input'!$H$161+'PTRM input'!$H$127)*$H$7)-SUM($H717:BB717),(('PTRM input'!$H$161+'PTRM input'!$H$127)*$H$7)/A19taxstdlife))</f>
        <v>0</v>
      </c>
      <c r="BD717" s="590">
        <f>IF(A19taxstdlife="n/a","n/a",IF(BD$3&gt;(A19taxstdlife+$E717),(('PTRM input'!$H$161+'PTRM input'!$H$127)*$H$7)-SUM($H717:BC717),(('PTRM input'!$H$161+'PTRM input'!$H$127)*$H$7)/A19taxstdlife))</f>
        <v>0</v>
      </c>
      <c r="BE717" s="590">
        <f>IF(A19taxstdlife="n/a","n/a",IF(BE$3&gt;(A19taxstdlife+$E717),(('PTRM input'!$H$161+'PTRM input'!$H$127)*$H$7)-SUM($H717:BD717),(('PTRM input'!$H$161+'PTRM input'!$H$127)*$H$7)/A19taxstdlife))</f>
        <v>0</v>
      </c>
      <c r="BF717" s="590">
        <f>IF(A19taxstdlife="n/a","n/a",IF(BF$3&gt;(A19taxstdlife+$E717),(('PTRM input'!$H$161+'PTRM input'!$H$127)*$H$7)-SUM($H717:BE717),(('PTRM input'!$H$161+'PTRM input'!$H$127)*$H$7)/A19taxstdlife))</f>
        <v>0</v>
      </c>
      <c r="BG717" s="590">
        <f>IF(A19taxstdlife="n/a","n/a",IF(BG$3&gt;(A19taxstdlife+$E717),(('PTRM input'!$H$161+'PTRM input'!$H$127)*$H$7)-SUM($H717:BF717),(('PTRM input'!$H$161+'PTRM input'!$H$127)*$H$7)/A19taxstdlife))</f>
        <v>0</v>
      </c>
      <c r="BH717" s="590">
        <f>IF(A19taxstdlife="n/a","n/a",IF(BH$3&gt;(A19taxstdlife+$E717),(('PTRM input'!$H$161+'PTRM input'!$H$127)*$H$7)-SUM($H717:BG717),(('PTRM input'!$H$161+'PTRM input'!$H$127)*$H$7)/A19taxstdlife))</f>
        <v>0</v>
      </c>
      <c r="BI717" s="590">
        <f>IF(A19taxstdlife="n/a","n/a",IF(BI$3&gt;(A19taxstdlife+$E717),(('PTRM input'!$H$161+'PTRM input'!$H$127)*$H$7)-SUM($H717:BH717),(('PTRM input'!$H$161+'PTRM input'!$H$127)*$H$7)/A19taxstdlife))</f>
        <v>0</v>
      </c>
      <c r="BJ717" s="240"/>
      <c r="BK717" s="240"/>
      <c r="BL717" s="240"/>
      <c r="BM717" s="240"/>
    </row>
    <row r="718" spans="1:65" s="4" customFormat="1" hidden="1" outlineLevel="2">
      <c r="A718" s="240"/>
      <c r="B718" s="240"/>
      <c r="C718" s="595"/>
      <c r="D718" s="1618"/>
      <c r="E718" s="169">
        <v>3</v>
      </c>
      <c r="F718" s="35"/>
      <c r="G718" s="184"/>
      <c r="H718" s="186"/>
      <c r="I718" s="185"/>
      <c r="J718" s="107">
        <f>IF(A19taxstdlife="n/a","n/a",IF(J$3&gt;(A19taxstdlife+$E718),(('PTRM input'!$I$161+'PTRM input'!$I$127)*$I$7)-SUM($I718:I718),(('PTRM input'!$I$161+'PTRM input'!$I$127)*$I$7)/A19taxstdlife))</f>
        <v>0</v>
      </c>
      <c r="K718" s="107">
        <f>IF(A19taxstdlife="n/a","n/a",IF(K$3&gt;(A19taxstdlife+$E718),(('PTRM input'!$I$161+'PTRM input'!$I$127)*$I$7)-SUM($I718:J718),(('PTRM input'!$I$161+'PTRM input'!$I$127)*$I$7)/A19taxstdlife))</f>
        <v>0</v>
      </c>
      <c r="L718" s="107">
        <f>IF(A19taxstdlife="n/a","n/a",IF(L$3&gt;(A19taxstdlife+$E718),(('PTRM input'!$I$161+'PTRM input'!$I$127)*$I$7)-SUM($I718:K718),(('PTRM input'!$I$161+'PTRM input'!$I$127)*$I$7)/A19taxstdlife))</f>
        <v>0</v>
      </c>
      <c r="M718" s="107">
        <f>IF(A19taxstdlife="n/a","n/a",IF(M$3&gt;(A19taxstdlife+$E718),(('PTRM input'!$I$161+'PTRM input'!$I$127)*$I$7)-SUM($I718:L718),(('PTRM input'!$I$161+'PTRM input'!$I$127)*$I$7)/A19taxstdlife))</f>
        <v>0</v>
      </c>
      <c r="N718" s="107">
        <f>IF(A19taxstdlife="n/a","n/a",IF(N$3&gt;(A19taxstdlife+$E718),(('PTRM input'!$I$161+'PTRM input'!$I$127)*$I$7)-SUM($I718:M718),(('PTRM input'!$I$161+'PTRM input'!$I$127)*$I$7)/A19taxstdlife))</f>
        <v>0</v>
      </c>
      <c r="O718" s="107">
        <f>IF(A19taxstdlife="n/a","n/a",IF(O$3&gt;(A19taxstdlife+$E718),(('PTRM input'!$I$161+'PTRM input'!$I$127)*$I$7)-SUM($I718:N718),(('PTRM input'!$I$161+'PTRM input'!$I$127)*$I$7)/A19taxstdlife))</f>
        <v>0</v>
      </c>
      <c r="P718" s="107">
        <f>IF(A19taxstdlife="n/a","n/a",IF(P$3&gt;(A19taxstdlife+$E718),(('PTRM input'!$I$161+'PTRM input'!$I$127)*$I$7)-SUM($I718:O718),(('PTRM input'!$I$161+'PTRM input'!$I$127)*$I$7)/A19taxstdlife))</f>
        <v>0</v>
      </c>
      <c r="Q718" s="590">
        <f>IF(A19taxstdlife="n/a","n/a",IF(Q$3&gt;(A19taxstdlife+$E718),(('PTRM input'!$I$161+'PTRM input'!$I$127)*$I$7)-SUM($I718:P718),(('PTRM input'!$I$161+'PTRM input'!$I$127)*$I$7)/A19taxstdlife))</f>
        <v>0</v>
      </c>
      <c r="R718" s="590">
        <f>IF(A19taxstdlife="n/a","n/a",IF(R$3&gt;(A19taxstdlife+$E718),(('PTRM input'!$I$161+'PTRM input'!$I$127)*$I$7)-SUM($I718:Q718),(('PTRM input'!$I$161+'PTRM input'!$I$127)*$I$7)/A19taxstdlife))</f>
        <v>0</v>
      </c>
      <c r="S718" s="590">
        <f>IF(A19taxstdlife="n/a","n/a",IF(S$3&gt;(A19taxstdlife+$E718),(('PTRM input'!$I$161+'PTRM input'!$I$127)*$I$7)-SUM($I718:R718),(('PTRM input'!$I$161+'PTRM input'!$I$127)*$I$7)/A19taxstdlife))</f>
        <v>0</v>
      </c>
      <c r="T718" s="590">
        <f>IF(A19taxstdlife="n/a","n/a",IF(T$3&gt;(A19taxstdlife+$E718),(('PTRM input'!$I$161+'PTRM input'!$I$127)*$I$7)-SUM($I718:S718),(('PTRM input'!$I$161+'PTRM input'!$I$127)*$I$7)/A19taxstdlife))</f>
        <v>0</v>
      </c>
      <c r="U718" s="590">
        <f>IF(A19taxstdlife="n/a","n/a",IF(U$3&gt;(A19taxstdlife+$E718),(('PTRM input'!$I$161+'PTRM input'!$I$127)*$I$7)-SUM($I718:T718),(('PTRM input'!$I$161+'PTRM input'!$I$127)*$I$7)/A19taxstdlife))</f>
        <v>0</v>
      </c>
      <c r="V718" s="590">
        <f>IF(A19taxstdlife="n/a","n/a",IF(V$3&gt;(A19taxstdlife+$E718),(('PTRM input'!$I$161+'PTRM input'!$I$127)*$I$7)-SUM($I718:U718),(('PTRM input'!$I$161+'PTRM input'!$I$127)*$I$7)/A19taxstdlife))</f>
        <v>0</v>
      </c>
      <c r="W718" s="590">
        <f>IF(A19taxstdlife="n/a","n/a",IF(W$3&gt;(A19taxstdlife+$E718),(('PTRM input'!$I$161+'PTRM input'!$I$127)*$I$7)-SUM($I718:V718),(('PTRM input'!$I$161+'PTRM input'!$I$127)*$I$7)/A19taxstdlife))</f>
        <v>0</v>
      </c>
      <c r="X718" s="590">
        <f>IF(A19taxstdlife="n/a","n/a",IF(X$3&gt;(A19taxstdlife+$E718),(('PTRM input'!$I$161+'PTRM input'!$I$127)*$I$7)-SUM($I718:W718),(('PTRM input'!$I$161+'PTRM input'!$I$127)*$I$7)/A19taxstdlife))</f>
        <v>0</v>
      </c>
      <c r="Y718" s="590">
        <f>IF(A19taxstdlife="n/a","n/a",IF(Y$3&gt;(A19taxstdlife+$E718),(('PTRM input'!$I$161+'PTRM input'!$I$127)*$I$7)-SUM($I718:X718),(('PTRM input'!$I$161+'PTRM input'!$I$127)*$I$7)/A19taxstdlife))</f>
        <v>0</v>
      </c>
      <c r="Z718" s="590">
        <f>IF(A19taxstdlife="n/a","n/a",IF(Z$3&gt;(A19taxstdlife+$E718),(('PTRM input'!$I$161+'PTRM input'!$I$127)*$I$7)-SUM($I718:Y718),(('PTRM input'!$I$161+'PTRM input'!$I$127)*$I$7)/A19taxstdlife))</f>
        <v>0</v>
      </c>
      <c r="AA718" s="590">
        <f>IF(A19taxstdlife="n/a","n/a",IF(AA$3&gt;(A19taxstdlife+$E718),(('PTRM input'!$I$161+'PTRM input'!$I$127)*$I$7)-SUM($I718:Z718),(('PTRM input'!$I$161+'PTRM input'!$I$127)*$I$7)/A19taxstdlife))</f>
        <v>0</v>
      </c>
      <c r="AB718" s="590">
        <f>IF(A19taxstdlife="n/a","n/a",IF(AB$3&gt;(A19taxstdlife+$E718),(('PTRM input'!$I$161+'PTRM input'!$I$127)*$I$7)-SUM($I718:AA718),(('PTRM input'!$I$161+'PTRM input'!$I$127)*$I$7)/A19taxstdlife))</f>
        <v>0</v>
      </c>
      <c r="AC718" s="590">
        <f>IF(A19taxstdlife="n/a","n/a",IF(AC$3&gt;(A19taxstdlife+$E718),(('PTRM input'!$I$161+'PTRM input'!$I$127)*$I$7)-SUM($I718:AB718),(('PTRM input'!$I$161+'PTRM input'!$I$127)*$I$7)/A19taxstdlife))</f>
        <v>0</v>
      </c>
      <c r="AD718" s="590">
        <f>IF(A19taxstdlife="n/a","n/a",IF(AD$3&gt;(A19taxstdlife+$E718),(('PTRM input'!$I$161+'PTRM input'!$I$127)*$I$7)-SUM($I718:AC718),(('PTRM input'!$I$161+'PTRM input'!$I$127)*$I$7)/A19taxstdlife))</f>
        <v>0</v>
      </c>
      <c r="AE718" s="590">
        <f>IF(A19taxstdlife="n/a","n/a",IF(AE$3&gt;(A19taxstdlife+$E718),(('PTRM input'!$I$161+'PTRM input'!$I$127)*$I$7)-SUM($I718:AD718),(('PTRM input'!$I$161+'PTRM input'!$I$127)*$I$7)/A19taxstdlife))</f>
        <v>0</v>
      </c>
      <c r="AF718" s="590">
        <f>IF(A19taxstdlife="n/a","n/a",IF(AF$3&gt;(A19taxstdlife+$E718),(('PTRM input'!$I$161+'PTRM input'!$I$127)*$I$7)-SUM($I718:AE718),(('PTRM input'!$I$161+'PTRM input'!$I$127)*$I$7)/A19taxstdlife))</f>
        <v>0</v>
      </c>
      <c r="AG718" s="590">
        <f>IF(A19taxstdlife="n/a","n/a",IF(AG$3&gt;(A19taxstdlife+$E718),(('PTRM input'!$I$161+'PTRM input'!$I$127)*$I$7)-SUM($I718:AF718),(('PTRM input'!$I$161+'PTRM input'!$I$127)*$I$7)/A19taxstdlife))</f>
        <v>0</v>
      </c>
      <c r="AH718" s="590">
        <f>IF(A19taxstdlife="n/a","n/a",IF(AH$3&gt;(A19taxstdlife+$E718),(('PTRM input'!$I$161+'PTRM input'!$I$127)*$I$7)-SUM($I718:AG718),(('PTRM input'!$I$161+'PTRM input'!$I$127)*$I$7)/A19taxstdlife))</f>
        <v>0</v>
      </c>
      <c r="AI718" s="590">
        <f>IF(A19taxstdlife="n/a","n/a",IF(AI$3&gt;(A19taxstdlife+$E718),(('PTRM input'!$I$161+'PTRM input'!$I$127)*$I$7)-SUM($I718:AH718),(('PTRM input'!$I$161+'PTRM input'!$I$127)*$I$7)/A19taxstdlife))</f>
        <v>0</v>
      </c>
      <c r="AJ718" s="590">
        <f>IF(A19taxstdlife="n/a","n/a",IF(AJ$3&gt;(A19taxstdlife+$E718),(('PTRM input'!$I$161+'PTRM input'!$I$127)*$I$7)-SUM($I718:AI718),(('PTRM input'!$I$161+'PTRM input'!$I$127)*$I$7)/A19taxstdlife))</f>
        <v>0</v>
      </c>
      <c r="AK718" s="590">
        <f>IF(A19taxstdlife="n/a","n/a",IF(AK$3&gt;(A19taxstdlife+$E718),(('PTRM input'!$I$161+'PTRM input'!$I$127)*$I$7)-SUM($I718:AJ718),(('PTRM input'!$I$161+'PTRM input'!$I$127)*$I$7)/A19taxstdlife))</f>
        <v>0</v>
      </c>
      <c r="AL718" s="590">
        <f>IF(A19taxstdlife="n/a","n/a",IF(AL$3&gt;(A19taxstdlife+$E718),(('PTRM input'!$I$161+'PTRM input'!$I$127)*$I$7)-SUM($I718:AK718),(('PTRM input'!$I$161+'PTRM input'!$I$127)*$I$7)/A19taxstdlife))</f>
        <v>0</v>
      </c>
      <c r="AM718" s="590">
        <f>IF(A19taxstdlife="n/a","n/a",IF(AM$3&gt;(A19taxstdlife+$E718),(('PTRM input'!$I$161+'PTRM input'!$I$127)*$I$7)-SUM($I718:AL718),(('PTRM input'!$I$161+'PTRM input'!$I$127)*$I$7)/A19taxstdlife))</f>
        <v>0</v>
      </c>
      <c r="AN718" s="590">
        <f>IF(A19taxstdlife="n/a","n/a",IF(AN$3&gt;(A19taxstdlife+$E718),(('PTRM input'!$I$161+'PTRM input'!$I$127)*$I$7)-SUM($I718:AM718),(('PTRM input'!$I$161+'PTRM input'!$I$127)*$I$7)/A19taxstdlife))</f>
        <v>0</v>
      </c>
      <c r="AO718" s="590">
        <f>IF(A19taxstdlife="n/a","n/a",IF(AO$3&gt;(A19taxstdlife+$E718),(('PTRM input'!$I$161+'PTRM input'!$I$127)*$I$7)-SUM($I718:AN718),(('PTRM input'!$I$161+'PTRM input'!$I$127)*$I$7)/A19taxstdlife))</f>
        <v>0</v>
      </c>
      <c r="AP718" s="590">
        <f>IF(A19taxstdlife="n/a","n/a",IF(AP$3&gt;(A19taxstdlife+$E718),(('PTRM input'!$I$161+'PTRM input'!$I$127)*$I$7)-SUM($I718:AO718),(('PTRM input'!$I$161+'PTRM input'!$I$127)*$I$7)/A19taxstdlife))</f>
        <v>0</v>
      </c>
      <c r="AQ718" s="590">
        <f>IF(A19taxstdlife="n/a","n/a",IF(AQ$3&gt;(A19taxstdlife+$E718),(('PTRM input'!$I$161+'PTRM input'!$I$127)*$I$7)-SUM($I718:AP718),(('PTRM input'!$I$161+'PTRM input'!$I$127)*$I$7)/A19taxstdlife))</f>
        <v>0</v>
      </c>
      <c r="AR718" s="590">
        <f>IF(A19taxstdlife="n/a","n/a",IF(AR$3&gt;(A19taxstdlife+$E718),(('PTRM input'!$I$161+'PTRM input'!$I$127)*$I$7)-SUM($I718:AQ718),(('PTRM input'!$I$161+'PTRM input'!$I$127)*$I$7)/A19taxstdlife))</f>
        <v>0</v>
      </c>
      <c r="AS718" s="590">
        <f>IF(A19taxstdlife="n/a","n/a",IF(AS$3&gt;(A19taxstdlife+$E718),(('PTRM input'!$I$161+'PTRM input'!$I$127)*$I$7)-SUM($I718:AR718),(('PTRM input'!$I$161+'PTRM input'!$I$127)*$I$7)/A19taxstdlife))</f>
        <v>0</v>
      </c>
      <c r="AT718" s="590">
        <f>IF(A19taxstdlife="n/a","n/a",IF(AT$3&gt;(A19taxstdlife+$E718),(('PTRM input'!$I$161+'PTRM input'!$I$127)*$I$7)-SUM($I718:AS718),(('PTRM input'!$I$161+'PTRM input'!$I$127)*$I$7)/A19taxstdlife))</f>
        <v>0</v>
      </c>
      <c r="AU718" s="590">
        <f>IF(A19taxstdlife="n/a","n/a",IF(AU$3&gt;(A19taxstdlife+$E718),(('PTRM input'!$I$161+'PTRM input'!$I$127)*$I$7)-SUM($I718:AT718),(('PTRM input'!$I$161+'PTRM input'!$I$127)*$I$7)/A19taxstdlife))</f>
        <v>0</v>
      </c>
      <c r="AV718" s="590">
        <f>IF(A19taxstdlife="n/a","n/a",IF(AV$3&gt;(A19taxstdlife+$E718),(('PTRM input'!$I$161+'PTRM input'!$I$127)*$I$7)-SUM($I718:AU718),(('PTRM input'!$I$161+'PTRM input'!$I$127)*$I$7)/A19taxstdlife))</f>
        <v>0</v>
      </c>
      <c r="AW718" s="590">
        <f>IF(A19taxstdlife="n/a","n/a",IF(AW$3&gt;(A19taxstdlife+$E718),(('PTRM input'!$I$161+'PTRM input'!$I$127)*$I$7)-SUM($I718:AV718),(('PTRM input'!$I$161+'PTRM input'!$I$127)*$I$7)/A19taxstdlife))</f>
        <v>0</v>
      </c>
      <c r="AX718" s="590">
        <f>IF(A19taxstdlife="n/a","n/a",IF(AX$3&gt;(A19taxstdlife+$E718),(('PTRM input'!$I$161+'PTRM input'!$I$127)*$I$7)-SUM($I718:AW718),(('PTRM input'!$I$161+'PTRM input'!$I$127)*$I$7)/A19taxstdlife))</f>
        <v>0</v>
      </c>
      <c r="AY718" s="590">
        <f>IF(A19taxstdlife="n/a","n/a",IF(AY$3&gt;(A19taxstdlife+$E718),(('PTRM input'!$I$161+'PTRM input'!$I$127)*$I$7)-SUM($I718:AX718),(('PTRM input'!$I$161+'PTRM input'!$I$127)*$I$7)/A19taxstdlife))</f>
        <v>0</v>
      </c>
      <c r="AZ718" s="590">
        <f>IF(A19taxstdlife="n/a","n/a",IF(AZ$3&gt;(A19taxstdlife+$E718),(('PTRM input'!$I$161+'PTRM input'!$I$127)*$I$7)-SUM($I718:AY718),(('PTRM input'!$I$161+'PTRM input'!$I$127)*$I$7)/A19taxstdlife))</f>
        <v>0</v>
      </c>
      <c r="BA718" s="590">
        <f>IF(A19taxstdlife="n/a","n/a",IF(BA$3&gt;(A19taxstdlife+$E718),(('PTRM input'!$I$161+'PTRM input'!$I$127)*$I$7)-SUM($I718:AZ718),(('PTRM input'!$I$161+'PTRM input'!$I$127)*$I$7)/A19taxstdlife))</f>
        <v>0</v>
      </c>
      <c r="BB718" s="590">
        <f>IF(A19taxstdlife="n/a","n/a",IF(BB$3&gt;(A19taxstdlife+$E718),(('PTRM input'!$I$161+'PTRM input'!$I$127)*$I$7)-SUM($I718:BA718),(('PTRM input'!$I$161+'PTRM input'!$I$127)*$I$7)/A19taxstdlife))</f>
        <v>0</v>
      </c>
      <c r="BC718" s="590">
        <f>IF(A19taxstdlife="n/a","n/a",IF(BC$3&gt;(A19taxstdlife+$E718),(('PTRM input'!$I$161+'PTRM input'!$I$127)*$I$7)-SUM($I718:BB718),(('PTRM input'!$I$161+'PTRM input'!$I$127)*$I$7)/A19taxstdlife))</f>
        <v>0</v>
      </c>
      <c r="BD718" s="590">
        <f>IF(A19taxstdlife="n/a","n/a",IF(BD$3&gt;(A19taxstdlife+$E718),(('PTRM input'!$I$161+'PTRM input'!$I$127)*$I$7)-SUM($I718:BC718),(('PTRM input'!$I$161+'PTRM input'!$I$127)*$I$7)/A19taxstdlife))</f>
        <v>0</v>
      </c>
      <c r="BE718" s="590">
        <f>IF(A19taxstdlife="n/a","n/a",IF(BE$3&gt;(A19taxstdlife+$E718),(('PTRM input'!$I$161+'PTRM input'!$I$127)*$I$7)-SUM($I718:BD718),(('PTRM input'!$I$161+'PTRM input'!$I$127)*$I$7)/A19taxstdlife))</f>
        <v>0</v>
      </c>
      <c r="BF718" s="590">
        <f>IF(A19taxstdlife="n/a","n/a",IF(BF$3&gt;(A19taxstdlife+$E718),(('PTRM input'!$I$161+'PTRM input'!$I$127)*$I$7)-SUM($I718:BE718),(('PTRM input'!$I$161+'PTRM input'!$I$127)*$I$7)/A19taxstdlife))</f>
        <v>0</v>
      </c>
      <c r="BG718" s="590">
        <f>IF(A19taxstdlife="n/a","n/a",IF(BG$3&gt;(A19taxstdlife+$E718),(('PTRM input'!$I$161+'PTRM input'!$I$127)*$I$7)-SUM($I718:BF718),(('PTRM input'!$I$161+'PTRM input'!$I$127)*$I$7)/A19taxstdlife))</f>
        <v>0</v>
      </c>
      <c r="BH718" s="590">
        <f>IF(A19taxstdlife="n/a","n/a",IF(BH$3&gt;(A19taxstdlife+$E718),(('PTRM input'!$I$161+'PTRM input'!$I$127)*$I$7)-SUM($I718:BG718),(('PTRM input'!$I$161+'PTRM input'!$I$127)*$I$7)/A19taxstdlife))</f>
        <v>0</v>
      </c>
      <c r="BI718" s="590">
        <f>IF(A19taxstdlife="n/a","n/a",IF(BI$3&gt;(A19taxstdlife+$E718),(('PTRM input'!$I$161+'PTRM input'!$I$127)*$I$7)-SUM($I718:BH718),(('PTRM input'!$I$161+'PTRM input'!$I$127)*$I$7)/A19taxstdlife))</f>
        <v>0</v>
      </c>
      <c r="BJ718" s="240"/>
      <c r="BK718" s="240"/>
      <c r="BL718" s="240"/>
      <c r="BM718" s="240"/>
    </row>
    <row r="719" spans="1:65" s="4" customFormat="1" hidden="1" outlineLevel="2">
      <c r="A719" s="240"/>
      <c r="B719" s="240"/>
      <c r="C719" s="595"/>
      <c r="D719" s="1618"/>
      <c r="E719" s="169">
        <v>4</v>
      </c>
      <c r="F719" s="35"/>
      <c r="G719" s="184"/>
      <c r="H719" s="186"/>
      <c r="I719" s="186"/>
      <c r="J719" s="185"/>
      <c r="K719" s="107">
        <f>IF(A19taxstdlife="n/a","n/a",IF(K$3&gt;(A19taxstdlife+$E719),(('PTRM input'!$J$161+'PTRM input'!$J$127)*$J$7)-SUM($J719:J719),(('PTRM input'!$J$161+'PTRM input'!$J$127)*$J$7)/A19taxstdlife))</f>
        <v>0</v>
      </c>
      <c r="L719" s="107">
        <f>IF(A19taxstdlife="n/a","n/a",IF(L$3&gt;(A19taxstdlife+$E719),(('PTRM input'!$J$161+'PTRM input'!$J$127)*$J$7)-SUM($J719:K719),(('PTRM input'!$J$161+'PTRM input'!$J$127)*$J$7)/A19taxstdlife))</f>
        <v>0</v>
      </c>
      <c r="M719" s="107">
        <f>IF(A19taxstdlife="n/a","n/a",IF(M$3&gt;(A19taxstdlife+$E719),(('PTRM input'!$J$161+'PTRM input'!$J$127)*$J$7)-SUM($J719:L719),(('PTRM input'!$J$161+'PTRM input'!$J$127)*$J$7)/A19taxstdlife))</f>
        <v>0</v>
      </c>
      <c r="N719" s="107">
        <f>IF(A19taxstdlife="n/a","n/a",IF(N$3&gt;(A19taxstdlife+$E719),(('PTRM input'!$J$161+'PTRM input'!$J$127)*$J$7)-SUM($J719:M719),(('PTRM input'!$J$161+'PTRM input'!$J$127)*$J$7)/A19taxstdlife))</f>
        <v>0</v>
      </c>
      <c r="O719" s="107">
        <f>IF(A19taxstdlife="n/a","n/a",IF(O$3&gt;(A19taxstdlife+$E719),(('PTRM input'!$J$161+'PTRM input'!$J$127)*$J$7)-SUM($J719:N719),(('PTRM input'!$J$161+'PTRM input'!$J$127)*$J$7)/A19taxstdlife))</f>
        <v>0</v>
      </c>
      <c r="P719" s="107">
        <f>IF(A19taxstdlife="n/a","n/a",IF(P$3&gt;(A19taxstdlife+$E719),(('PTRM input'!$J$161+'PTRM input'!$J$127)*$J$7)-SUM($J719:O719),(('PTRM input'!$J$161+'PTRM input'!$J$127)*$J$7)/A19taxstdlife))</f>
        <v>0</v>
      </c>
      <c r="Q719" s="590">
        <f>IF(A19taxstdlife="n/a","n/a",IF(Q$3&gt;(A19taxstdlife+$E719),(('PTRM input'!$J$161+'PTRM input'!$J$127)*$J$7)-SUM($J719:P719),(('PTRM input'!$J$161+'PTRM input'!$J$127)*$J$7)/A19taxstdlife))</f>
        <v>0</v>
      </c>
      <c r="R719" s="590">
        <f>IF(A19taxstdlife="n/a","n/a",IF(R$3&gt;(A19taxstdlife+$E719),(('PTRM input'!$J$161+'PTRM input'!$J$127)*$J$7)-SUM($J719:Q719),(('PTRM input'!$J$161+'PTRM input'!$J$127)*$J$7)/A19taxstdlife))</f>
        <v>0</v>
      </c>
      <c r="S719" s="590">
        <f>IF(A19taxstdlife="n/a","n/a",IF(S$3&gt;(A19taxstdlife+$E719),(('PTRM input'!$J$161+'PTRM input'!$J$127)*$J$7)-SUM($J719:R719),(('PTRM input'!$J$161+'PTRM input'!$J$127)*$J$7)/A19taxstdlife))</f>
        <v>0</v>
      </c>
      <c r="T719" s="590">
        <f>IF(A19taxstdlife="n/a","n/a",IF(T$3&gt;(A19taxstdlife+$E719),(('PTRM input'!$J$161+'PTRM input'!$J$127)*$J$7)-SUM($J719:S719),(('PTRM input'!$J$161+'PTRM input'!$J$127)*$J$7)/A19taxstdlife))</f>
        <v>0</v>
      </c>
      <c r="U719" s="590">
        <f>IF(A19taxstdlife="n/a","n/a",IF(U$3&gt;(A19taxstdlife+$E719),(('PTRM input'!$J$161+'PTRM input'!$J$127)*$J$7)-SUM($J719:T719),(('PTRM input'!$J$161+'PTRM input'!$J$127)*$J$7)/A19taxstdlife))</f>
        <v>0</v>
      </c>
      <c r="V719" s="590">
        <f>IF(A19taxstdlife="n/a","n/a",IF(V$3&gt;(A19taxstdlife+$E719),(('PTRM input'!$J$161+'PTRM input'!$J$127)*$J$7)-SUM($J719:U719),(('PTRM input'!$J$161+'PTRM input'!$J$127)*$J$7)/A19taxstdlife))</f>
        <v>0</v>
      </c>
      <c r="W719" s="590">
        <f>IF(A19taxstdlife="n/a","n/a",IF(W$3&gt;(A19taxstdlife+$E719),(('PTRM input'!$J$161+'PTRM input'!$J$127)*$J$7)-SUM($J719:V719),(('PTRM input'!$J$161+'PTRM input'!$J$127)*$J$7)/A19taxstdlife))</f>
        <v>0</v>
      </c>
      <c r="X719" s="590">
        <f>IF(A19taxstdlife="n/a","n/a",IF(X$3&gt;(A19taxstdlife+$E719),(('PTRM input'!$J$161+'PTRM input'!$J$127)*$J$7)-SUM($J719:W719),(('PTRM input'!$J$161+'PTRM input'!$J$127)*$J$7)/A19taxstdlife))</f>
        <v>0</v>
      </c>
      <c r="Y719" s="590">
        <f>IF(A19taxstdlife="n/a","n/a",IF(Y$3&gt;(A19taxstdlife+$E719),(('PTRM input'!$J$161+'PTRM input'!$J$127)*$J$7)-SUM($J719:X719),(('PTRM input'!$J$161+'PTRM input'!$J$127)*$J$7)/A19taxstdlife))</f>
        <v>0</v>
      </c>
      <c r="Z719" s="590">
        <f>IF(A19taxstdlife="n/a","n/a",IF(Z$3&gt;(A19taxstdlife+$E719),(('PTRM input'!$J$161+'PTRM input'!$J$127)*$J$7)-SUM($J719:Y719),(('PTRM input'!$J$161+'PTRM input'!$J$127)*$J$7)/A19taxstdlife))</f>
        <v>0</v>
      </c>
      <c r="AA719" s="590">
        <f>IF(A19taxstdlife="n/a","n/a",IF(AA$3&gt;(A19taxstdlife+$E719),(('PTRM input'!$J$161+'PTRM input'!$J$127)*$J$7)-SUM($J719:Z719),(('PTRM input'!$J$161+'PTRM input'!$J$127)*$J$7)/A19taxstdlife))</f>
        <v>0</v>
      </c>
      <c r="AB719" s="590">
        <f>IF(A19taxstdlife="n/a","n/a",IF(AB$3&gt;(A19taxstdlife+$E719),(('PTRM input'!$J$161+'PTRM input'!$J$127)*$J$7)-SUM($J719:AA719),(('PTRM input'!$J$161+'PTRM input'!$J$127)*$J$7)/A19taxstdlife))</f>
        <v>0</v>
      </c>
      <c r="AC719" s="590">
        <f>IF(A19taxstdlife="n/a","n/a",IF(AC$3&gt;(A19taxstdlife+$E719),(('PTRM input'!$J$161+'PTRM input'!$J$127)*$J$7)-SUM($J719:AB719),(('PTRM input'!$J$161+'PTRM input'!$J$127)*$J$7)/A19taxstdlife))</f>
        <v>0</v>
      </c>
      <c r="AD719" s="590">
        <f>IF(A19taxstdlife="n/a","n/a",IF(AD$3&gt;(A19taxstdlife+$E719),(('PTRM input'!$J$161+'PTRM input'!$J$127)*$J$7)-SUM($J719:AC719),(('PTRM input'!$J$161+'PTRM input'!$J$127)*$J$7)/A19taxstdlife))</f>
        <v>0</v>
      </c>
      <c r="AE719" s="590">
        <f>IF(A19taxstdlife="n/a","n/a",IF(AE$3&gt;(A19taxstdlife+$E719),(('PTRM input'!$J$161+'PTRM input'!$J$127)*$J$7)-SUM($J719:AD719),(('PTRM input'!$J$161+'PTRM input'!$J$127)*$J$7)/A19taxstdlife))</f>
        <v>0</v>
      </c>
      <c r="AF719" s="590">
        <f>IF(A19taxstdlife="n/a","n/a",IF(AF$3&gt;(A19taxstdlife+$E719),(('PTRM input'!$J$161+'PTRM input'!$J$127)*$J$7)-SUM($J719:AE719),(('PTRM input'!$J$161+'PTRM input'!$J$127)*$J$7)/A19taxstdlife))</f>
        <v>0</v>
      </c>
      <c r="AG719" s="590">
        <f>IF(A19taxstdlife="n/a","n/a",IF(AG$3&gt;(A19taxstdlife+$E719),(('PTRM input'!$J$161+'PTRM input'!$J$127)*$J$7)-SUM($J719:AF719),(('PTRM input'!$J$161+'PTRM input'!$J$127)*$J$7)/A19taxstdlife))</f>
        <v>0</v>
      </c>
      <c r="AH719" s="590">
        <f>IF(A19taxstdlife="n/a","n/a",IF(AH$3&gt;(A19taxstdlife+$E719),(('PTRM input'!$J$161+'PTRM input'!$J$127)*$J$7)-SUM($J719:AG719),(('PTRM input'!$J$161+'PTRM input'!$J$127)*$J$7)/A19taxstdlife))</f>
        <v>0</v>
      </c>
      <c r="AI719" s="590">
        <f>IF(A19taxstdlife="n/a","n/a",IF(AI$3&gt;(A19taxstdlife+$E719),(('PTRM input'!$J$161+'PTRM input'!$J$127)*$J$7)-SUM($J719:AH719),(('PTRM input'!$J$161+'PTRM input'!$J$127)*$J$7)/A19taxstdlife))</f>
        <v>0</v>
      </c>
      <c r="AJ719" s="590">
        <f>IF(A19taxstdlife="n/a","n/a",IF(AJ$3&gt;(A19taxstdlife+$E719),(('PTRM input'!$J$161+'PTRM input'!$J$127)*$J$7)-SUM($J719:AI719),(('PTRM input'!$J$161+'PTRM input'!$J$127)*$J$7)/A19taxstdlife))</f>
        <v>0</v>
      </c>
      <c r="AK719" s="590">
        <f>IF(A19taxstdlife="n/a","n/a",IF(AK$3&gt;(A19taxstdlife+$E719),(('PTRM input'!$J$161+'PTRM input'!$J$127)*$J$7)-SUM($J719:AJ719),(('PTRM input'!$J$161+'PTRM input'!$J$127)*$J$7)/A19taxstdlife))</f>
        <v>0</v>
      </c>
      <c r="AL719" s="590">
        <f>IF(A19taxstdlife="n/a","n/a",IF(AL$3&gt;(A19taxstdlife+$E719),(('PTRM input'!$J$161+'PTRM input'!$J$127)*$J$7)-SUM($J719:AK719),(('PTRM input'!$J$161+'PTRM input'!$J$127)*$J$7)/A19taxstdlife))</f>
        <v>0</v>
      </c>
      <c r="AM719" s="590">
        <f>IF(A19taxstdlife="n/a","n/a",IF(AM$3&gt;(A19taxstdlife+$E719),(('PTRM input'!$J$161+'PTRM input'!$J$127)*$J$7)-SUM($J719:AL719),(('PTRM input'!$J$161+'PTRM input'!$J$127)*$J$7)/A19taxstdlife))</f>
        <v>0</v>
      </c>
      <c r="AN719" s="590">
        <f>IF(A19taxstdlife="n/a","n/a",IF(AN$3&gt;(A19taxstdlife+$E719),(('PTRM input'!$J$161+'PTRM input'!$J$127)*$J$7)-SUM($J719:AM719),(('PTRM input'!$J$161+'PTRM input'!$J$127)*$J$7)/A19taxstdlife))</f>
        <v>0</v>
      </c>
      <c r="AO719" s="590">
        <f>IF(A19taxstdlife="n/a","n/a",IF(AO$3&gt;(A19taxstdlife+$E719),(('PTRM input'!$J$161+'PTRM input'!$J$127)*$J$7)-SUM($J719:AN719),(('PTRM input'!$J$161+'PTRM input'!$J$127)*$J$7)/A19taxstdlife))</f>
        <v>0</v>
      </c>
      <c r="AP719" s="590">
        <f>IF(A19taxstdlife="n/a","n/a",IF(AP$3&gt;(A19taxstdlife+$E719),(('PTRM input'!$J$161+'PTRM input'!$J$127)*$J$7)-SUM($J719:AO719),(('PTRM input'!$J$161+'PTRM input'!$J$127)*$J$7)/A19taxstdlife))</f>
        <v>0</v>
      </c>
      <c r="AQ719" s="590">
        <f>IF(A19taxstdlife="n/a","n/a",IF(AQ$3&gt;(A19taxstdlife+$E719),(('PTRM input'!$J$161+'PTRM input'!$J$127)*$J$7)-SUM($J719:AP719),(('PTRM input'!$J$161+'PTRM input'!$J$127)*$J$7)/A19taxstdlife))</f>
        <v>0</v>
      </c>
      <c r="AR719" s="590">
        <f>IF(A19taxstdlife="n/a","n/a",IF(AR$3&gt;(A19taxstdlife+$E719),(('PTRM input'!$J$161+'PTRM input'!$J$127)*$J$7)-SUM($J719:AQ719),(('PTRM input'!$J$161+'PTRM input'!$J$127)*$J$7)/A19taxstdlife))</f>
        <v>0</v>
      </c>
      <c r="AS719" s="590">
        <f>IF(A19taxstdlife="n/a","n/a",IF(AS$3&gt;(A19taxstdlife+$E719),(('PTRM input'!$J$161+'PTRM input'!$J$127)*$J$7)-SUM($J719:AR719),(('PTRM input'!$J$161+'PTRM input'!$J$127)*$J$7)/A19taxstdlife))</f>
        <v>0</v>
      </c>
      <c r="AT719" s="590">
        <f>IF(A19taxstdlife="n/a","n/a",IF(AT$3&gt;(A19taxstdlife+$E719),(('PTRM input'!$J$161+'PTRM input'!$J$127)*$J$7)-SUM($J719:AS719),(('PTRM input'!$J$161+'PTRM input'!$J$127)*$J$7)/A19taxstdlife))</f>
        <v>0</v>
      </c>
      <c r="AU719" s="590">
        <f>IF(A19taxstdlife="n/a","n/a",IF(AU$3&gt;(A19taxstdlife+$E719),(('PTRM input'!$J$161+'PTRM input'!$J$127)*$J$7)-SUM($J719:AT719),(('PTRM input'!$J$161+'PTRM input'!$J$127)*$J$7)/A19taxstdlife))</f>
        <v>0</v>
      </c>
      <c r="AV719" s="590">
        <f>IF(A19taxstdlife="n/a","n/a",IF(AV$3&gt;(A19taxstdlife+$E719),(('PTRM input'!$J$161+'PTRM input'!$J$127)*$J$7)-SUM($J719:AU719),(('PTRM input'!$J$161+'PTRM input'!$J$127)*$J$7)/A19taxstdlife))</f>
        <v>0</v>
      </c>
      <c r="AW719" s="590">
        <f>IF(A19taxstdlife="n/a","n/a",IF(AW$3&gt;(A19taxstdlife+$E719),(('PTRM input'!$J$161+'PTRM input'!$J$127)*$J$7)-SUM($J719:AV719),(('PTRM input'!$J$161+'PTRM input'!$J$127)*$J$7)/A19taxstdlife))</f>
        <v>0</v>
      </c>
      <c r="AX719" s="590">
        <f>IF(A19taxstdlife="n/a","n/a",IF(AX$3&gt;(A19taxstdlife+$E719),(('PTRM input'!$J$161+'PTRM input'!$J$127)*$J$7)-SUM($J719:AW719),(('PTRM input'!$J$161+'PTRM input'!$J$127)*$J$7)/A19taxstdlife))</f>
        <v>0</v>
      </c>
      <c r="AY719" s="590">
        <f>IF(A19taxstdlife="n/a","n/a",IF(AY$3&gt;(A19taxstdlife+$E719),(('PTRM input'!$J$161+'PTRM input'!$J$127)*$J$7)-SUM($J719:AX719),(('PTRM input'!$J$161+'PTRM input'!$J$127)*$J$7)/A19taxstdlife))</f>
        <v>0</v>
      </c>
      <c r="AZ719" s="590">
        <f>IF(A19taxstdlife="n/a","n/a",IF(AZ$3&gt;(A19taxstdlife+$E719),(('PTRM input'!$J$161+'PTRM input'!$J$127)*$J$7)-SUM($J719:AY719),(('PTRM input'!$J$161+'PTRM input'!$J$127)*$J$7)/A19taxstdlife))</f>
        <v>0</v>
      </c>
      <c r="BA719" s="590">
        <f>IF(A19taxstdlife="n/a","n/a",IF(BA$3&gt;(A19taxstdlife+$E719),(('PTRM input'!$J$161+'PTRM input'!$J$127)*$J$7)-SUM($J719:AZ719),(('PTRM input'!$J$161+'PTRM input'!$J$127)*$J$7)/A19taxstdlife))</f>
        <v>0</v>
      </c>
      <c r="BB719" s="590">
        <f>IF(A19taxstdlife="n/a","n/a",IF(BB$3&gt;(A19taxstdlife+$E719),(('PTRM input'!$J$161+'PTRM input'!$J$127)*$J$7)-SUM($J719:BA719),(('PTRM input'!$J$161+'PTRM input'!$J$127)*$J$7)/A19taxstdlife))</f>
        <v>0</v>
      </c>
      <c r="BC719" s="590">
        <f>IF(A19taxstdlife="n/a","n/a",IF(BC$3&gt;(A19taxstdlife+$E719),(('PTRM input'!$J$161+'PTRM input'!$J$127)*$J$7)-SUM($J719:BB719),(('PTRM input'!$J$161+'PTRM input'!$J$127)*$J$7)/A19taxstdlife))</f>
        <v>0</v>
      </c>
      <c r="BD719" s="590">
        <f>IF(A19taxstdlife="n/a","n/a",IF(BD$3&gt;(A19taxstdlife+$E719),(('PTRM input'!$J$161+'PTRM input'!$J$127)*$J$7)-SUM($J719:BC719),(('PTRM input'!$J$161+'PTRM input'!$J$127)*$J$7)/A19taxstdlife))</f>
        <v>0</v>
      </c>
      <c r="BE719" s="590">
        <f>IF(A19taxstdlife="n/a","n/a",IF(BE$3&gt;(A19taxstdlife+$E719),(('PTRM input'!$J$161+'PTRM input'!$J$127)*$J$7)-SUM($J719:BD719),(('PTRM input'!$J$161+'PTRM input'!$J$127)*$J$7)/A19taxstdlife))</f>
        <v>0</v>
      </c>
      <c r="BF719" s="590">
        <f>IF(A19taxstdlife="n/a","n/a",IF(BF$3&gt;(A19taxstdlife+$E719),(('PTRM input'!$J$161+'PTRM input'!$J$127)*$J$7)-SUM($J719:BE719),(('PTRM input'!$J$161+'PTRM input'!$J$127)*$J$7)/A19taxstdlife))</f>
        <v>0</v>
      </c>
      <c r="BG719" s="590">
        <f>IF(A19taxstdlife="n/a","n/a",IF(BG$3&gt;(A19taxstdlife+$E719),(('PTRM input'!$J$161+'PTRM input'!$J$127)*$J$7)-SUM($J719:BF719),(('PTRM input'!$J$161+'PTRM input'!$J$127)*$J$7)/A19taxstdlife))</f>
        <v>0</v>
      </c>
      <c r="BH719" s="590">
        <f>IF(A19taxstdlife="n/a","n/a",IF(BH$3&gt;(A19taxstdlife+$E719),(('PTRM input'!$J$161+'PTRM input'!$J$127)*$J$7)-SUM($J719:BG719),(('PTRM input'!$J$161+'PTRM input'!$J$127)*$J$7)/A19taxstdlife))</f>
        <v>0</v>
      </c>
      <c r="BI719" s="590">
        <f>IF(A19taxstdlife="n/a","n/a",IF(BI$3&gt;(A19taxstdlife+$E719),(('PTRM input'!$J$161+'PTRM input'!$J$127)*$J$7)-SUM($J719:BH719),(('PTRM input'!$J$161+'PTRM input'!$J$127)*$J$7)/A19taxstdlife))</f>
        <v>0</v>
      </c>
      <c r="BJ719" s="240"/>
      <c r="BK719" s="240"/>
      <c r="BL719" s="240"/>
      <c r="BM719" s="240"/>
    </row>
    <row r="720" spans="1:65" s="4" customFormat="1" hidden="1" outlineLevel="2">
      <c r="A720" s="240"/>
      <c r="B720" s="240"/>
      <c r="C720" s="595"/>
      <c r="D720" s="1618"/>
      <c r="E720" s="169">
        <v>5</v>
      </c>
      <c r="F720" s="35"/>
      <c r="G720" s="184"/>
      <c r="H720" s="186"/>
      <c r="I720" s="186"/>
      <c r="J720" s="186"/>
      <c r="K720" s="185"/>
      <c r="L720" s="107">
        <f>IF(A19taxstdlife="n/a","n/a",IF(L$3&gt;(A19taxstdlife+$E720),(('PTRM input'!$K$161+'PTRM input'!$K$127)*$K$7)-SUM($K720:K720),(('PTRM input'!$K$161+'PTRM input'!$K$127)*$K$7)/A19taxstdlife))</f>
        <v>0</v>
      </c>
      <c r="M720" s="107">
        <f>IF(A19taxstdlife="n/a","n/a",IF(M$3&gt;(A19taxstdlife+$E720),(('PTRM input'!$K$161+'PTRM input'!$K$127)*$K$7)-SUM($K720:L720),(('PTRM input'!$K$161+'PTRM input'!$K$127)*$K$7)/A19taxstdlife))</f>
        <v>0</v>
      </c>
      <c r="N720" s="107">
        <f>IF(A19taxstdlife="n/a","n/a",IF(N$3&gt;(A19taxstdlife+$E720),(('PTRM input'!$K$161+'PTRM input'!$K$127)*$K$7)-SUM($K720:M720),(('PTRM input'!$K$161+'PTRM input'!$K$127)*$K$7)/A19taxstdlife))</f>
        <v>0</v>
      </c>
      <c r="O720" s="107">
        <f>IF(A19taxstdlife="n/a","n/a",IF(O$3&gt;(A19taxstdlife+$E720),(('PTRM input'!$K$161+'PTRM input'!$K$127)*$K$7)-SUM($K720:N720),(('PTRM input'!$K$161+'PTRM input'!$K$127)*$K$7)/A19taxstdlife))</f>
        <v>0</v>
      </c>
      <c r="P720" s="107">
        <f>IF(A19taxstdlife="n/a","n/a",IF(P$3&gt;(A19taxstdlife+$E720),(('PTRM input'!$K$161+'PTRM input'!$K$127)*$K$7)-SUM($K720:O720),(('PTRM input'!$K$161+'PTRM input'!$K$127)*$K$7)/A19taxstdlife))</f>
        <v>0</v>
      </c>
      <c r="Q720" s="590">
        <f>IF(A19taxstdlife="n/a","n/a",IF(Q$3&gt;(A19taxstdlife+$E720),(('PTRM input'!$K$161+'PTRM input'!$K$127)*$K$7)-SUM($K720:P720),(('PTRM input'!$K$161+'PTRM input'!$K$127)*$K$7)/A19taxstdlife))</f>
        <v>0</v>
      </c>
      <c r="R720" s="590">
        <f>IF(A19taxstdlife="n/a","n/a",IF(R$3&gt;(A19taxstdlife+$E720),(('PTRM input'!$K$161+'PTRM input'!$K$127)*$K$7)-SUM($K720:Q720),(('PTRM input'!$K$161+'PTRM input'!$K$127)*$K$7)/A19taxstdlife))</f>
        <v>0</v>
      </c>
      <c r="S720" s="590">
        <f>IF(A19taxstdlife="n/a","n/a",IF(S$3&gt;(A19taxstdlife+$E720),(('PTRM input'!$K$161+'PTRM input'!$K$127)*$K$7)-SUM($K720:R720),(('PTRM input'!$K$161+'PTRM input'!$K$127)*$K$7)/A19taxstdlife))</f>
        <v>0</v>
      </c>
      <c r="T720" s="590">
        <f>IF(A19taxstdlife="n/a","n/a",IF(T$3&gt;(A19taxstdlife+$E720),(('PTRM input'!$K$161+'PTRM input'!$K$127)*$K$7)-SUM($K720:S720),(('PTRM input'!$K$161+'PTRM input'!$K$127)*$K$7)/A19taxstdlife))</f>
        <v>0</v>
      </c>
      <c r="U720" s="590">
        <f>IF(A19taxstdlife="n/a","n/a",IF(U$3&gt;(A19taxstdlife+$E720),(('PTRM input'!$K$161+'PTRM input'!$K$127)*$K$7)-SUM($K720:T720),(('PTRM input'!$K$161+'PTRM input'!$K$127)*$K$7)/A19taxstdlife))</f>
        <v>0</v>
      </c>
      <c r="V720" s="590">
        <f>IF(A19taxstdlife="n/a","n/a",IF(V$3&gt;(A19taxstdlife+$E720),(('PTRM input'!$K$161+'PTRM input'!$K$127)*$K$7)-SUM($K720:U720),(('PTRM input'!$K$161+'PTRM input'!$K$127)*$K$7)/A19taxstdlife))</f>
        <v>0</v>
      </c>
      <c r="W720" s="590">
        <f>IF(A19taxstdlife="n/a","n/a",IF(W$3&gt;(A19taxstdlife+$E720),(('PTRM input'!$K$161+'PTRM input'!$K$127)*$K$7)-SUM($K720:V720),(('PTRM input'!$K$161+'PTRM input'!$K$127)*$K$7)/A19taxstdlife))</f>
        <v>0</v>
      </c>
      <c r="X720" s="590">
        <f>IF(A19taxstdlife="n/a","n/a",IF(X$3&gt;(A19taxstdlife+$E720),(('PTRM input'!$K$161+'PTRM input'!$K$127)*$K$7)-SUM($K720:W720),(('PTRM input'!$K$161+'PTRM input'!$K$127)*$K$7)/A19taxstdlife))</f>
        <v>0</v>
      </c>
      <c r="Y720" s="590">
        <f>IF(A19taxstdlife="n/a","n/a",IF(Y$3&gt;(A19taxstdlife+$E720),(('PTRM input'!$K$161+'PTRM input'!$K$127)*$K$7)-SUM($K720:X720),(('PTRM input'!$K$161+'PTRM input'!$K$127)*$K$7)/A19taxstdlife))</f>
        <v>0</v>
      </c>
      <c r="Z720" s="590">
        <f>IF(A19taxstdlife="n/a","n/a",IF(Z$3&gt;(A19taxstdlife+$E720),(('PTRM input'!$K$161+'PTRM input'!$K$127)*$K$7)-SUM($K720:Y720),(('PTRM input'!$K$161+'PTRM input'!$K$127)*$K$7)/A19taxstdlife))</f>
        <v>0</v>
      </c>
      <c r="AA720" s="590">
        <f>IF(A19taxstdlife="n/a","n/a",IF(AA$3&gt;(A19taxstdlife+$E720),(('PTRM input'!$K$161+'PTRM input'!$K$127)*$K$7)-SUM($K720:Z720),(('PTRM input'!$K$161+'PTRM input'!$K$127)*$K$7)/A19taxstdlife))</f>
        <v>0</v>
      </c>
      <c r="AB720" s="590">
        <f>IF(A19taxstdlife="n/a","n/a",IF(AB$3&gt;(A19taxstdlife+$E720),(('PTRM input'!$K$161+'PTRM input'!$K$127)*$K$7)-SUM($K720:AA720),(('PTRM input'!$K$161+'PTRM input'!$K$127)*$K$7)/A19taxstdlife))</f>
        <v>0</v>
      </c>
      <c r="AC720" s="590">
        <f>IF(A19taxstdlife="n/a","n/a",IF(AC$3&gt;(A19taxstdlife+$E720),(('PTRM input'!$K$161+'PTRM input'!$K$127)*$K$7)-SUM($K720:AB720),(('PTRM input'!$K$161+'PTRM input'!$K$127)*$K$7)/A19taxstdlife))</f>
        <v>0</v>
      </c>
      <c r="AD720" s="590">
        <f>IF(A19taxstdlife="n/a","n/a",IF(AD$3&gt;(A19taxstdlife+$E720),(('PTRM input'!$K$161+'PTRM input'!$K$127)*$K$7)-SUM($K720:AC720),(('PTRM input'!$K$161+'PTRM input'!$K$127)*$K$7)/A19taxstdlife))</f>
        <v>0</v>
      </c>
      <c r="AE720" s="590">
        <f>IF(A19taxstdlife="n/a","n/a",IF(AE$3&gt;(A19taxstdlife+$E720),(('PTRM input'!$K$161+'PTRM input'!$K$127)*$K$7)-SUM($K720:AD720),(('PTRM input'!$K$161+'PTRM input'!$K$127)*$K$7)/A19taxstdlife))</f>
        <v>0</v>
      </c>
      <c r="AF720" s="590">
        <f>IF(A19taxstdlife="n/a","n/a",IF(AF$3&gt;(A19taxstdlife+$E720),(('PTRM input'!$K$161+'PTRM input'!$K$127)*$K$7)-SUM($K720:AE720),(('PTRM input'!$K$161+'PTRM input'!$K$127)*$K$7)/A19taxstdlife))</f>
        <v>0</v>
      </c>
      <c r="AG720" s="590">
        <f>IF(A19taxstdlife="n/a","n/a",IF(AG$3&gt;(A19taxstdlife+$E720),(('PTRM input'!$K$161+'PTRM input'!$K$127)*$K$7)-SUM($K720:AF720),(('PTRM input'!$K$161+'PTRM input'!$K$127)*$K$7)/A19taxstdlife))</f>
        <v>0</v>
      </c>
      <c r="AH720" s="590">
        <f>IF(A19taxstdlife="n/a","n/a",IF(AH$3&gt;(A19taxstdlife+$E720),(('PTRM input'!$K$161+'PTRM input'!$K$127)*$K$7)-SUM($K720:AG720),(('PTRM input'!$K$161+'PTRM input'!$K$127)*$K$7)/A19taxstdlife))</f>
        <v>0</v>
      </c>
      <c r="AI720" s="590">
        <f>IF(A19taxstdlife="n/a","n/a",IF(AI$3&gt;(A19taxstdlife+$E720),(('PTRM input'!$K$161+'PTRM input'!$K$127)*$K$7)-SUM($K720:AH720),(('PTRM input'!$K$161+'PTRM input'!$K$127)*$K$7)/A19taxstdlife))</f>
        <v>0</v>
      </c>
      <c r="AJ720" s="590">
        <f>IF(A19taxstdlife="n/a","n/a",IF(AJ$3&gt;(A19taxstdlife+$E720),(('PTRM input'!$K$161+'PTRM input'!$K$127)*$K$7)-SUM($K720:AI720),(('PTRM input'!$K$161+'PTRM input'!$K$127)*$K$7)/A19taxstdlife))</f>
        <v>0</v>
      </c>
      <c r="AK720" s="590">
        <f>IF(A19taxstdlife="n/a","n/a",IF(AK$3&gt;(A19taxstdlife+$E720),(('PTRM input'!$K$161+'PTRM input'!$K$127)*$K$7)-SUM($K720:AJ720),(('PTRM input'!$K$161+'PTRM input'!$K$127)*$K$7)/A19taxstdlife))</f>
        <v>0</v>
      </c>
      <c r="AL720" s="590">
        <f>IF(A19taxstdlife="n/a","n/a",IF(AL$3&gt;(A19taxstdlife+$E720),(('PTRM input'!$K$161+'PTRM input'!$K$127)*$K$7)-SUM($K720:AK720),(('PTRM input'!$K$161+'PTRM input'!$K$127)*$K$7)/A19taxstdlife))</f>
        <v>0</v>
      </c>
      <c r="AM720" s="590">
        <f>IF(A19taxstdlife="n/a","n/a",IF(AM$3&gt;(A19taxstdlife+$E720),(('PTRM input'!$K$161+'PTRM input'!$K$127)*$K$7)-SUM($K720:AL720),(('PTRM input'!$K$161+'PTRM input'!$K$127)*$K$7)/A19taxstdlife))</f>
        <v>0</v>
      </c>
      <c r="AN720" s="590">
        <f>IF(A19taxstdlife="n/a","n/a",IF(AN$3&gt;(A19taxstdlife+$E720),(('PTRM input'!$K$161+'PTRM input'!$K$127)*$K$7)-SUM($K720:AM720),(('PTRM input'!$K$161+'PTRM input'!$K$127)*$K$7)/A19taxstdlife))</f>
        <v>0</v>
      </c>
      <c r="AO720" s="590">
        <f>IF(A19taxstdlife="n/a","n/a",IF(AO$3&gt;(A19taxstdlife+$E720),(('PTRM input'!$K$161+'PTRM input'!$K$127)*$K$7)-SUM($K720:AN720),(('PTRM input'!$K$161+'PTRM input'!$K$127)*$K$7)/A19taxstdlife))</f>
        <v>0</v>
      </c>
      <c r="AP720" s="590">
        <f>IF(A19taxstdlife="n/a","n/a",IF(AP$3&gt;(A19taxstdlife+$E720),(('PTRM input'!$K$161+'PTRM input'!$K$127)*$K$7)-SUM($K720:AO720),(('PTRM input'!$K$161+'PTRM input'!$K$127)*$K$7)/A19taxstdlife))</f>
        <v>0</v>
      </c>
      <c r="AQ720" s="590">
        <f>IF(A19taxstdlife="n/a","n/a",IF(AQ$3&gt;(A19taxstdlife+$E720),(('PTRM input'!$K$161+'PTRM input'!$K$127)*$K$7)-SUM($K720:AP720),(('PTRM input'!$K$161+'PTRM input'!$K$127)*$K$7)/A19taxstdlife))</f>
        <v>0</v>
      </c>
      <c r="AR720" s="590">
        <f>IF(A19taxstdlife="n/a","n/a",IF(AR$3&gt;(A19taxstdlife+$E720),(('PTRM input'!$K$161+'PTRM input'!$K$127)*$K$7)-SUM($K720:AQ720),(('PTRM input'!$K$161+'PTRM input'!$K$127)*$K$7)/A19taxstdlife))</f>
        <v>0</v>
      </c>
      <c r="AS720" s="590">
        <f>IF(A19taxstdlife="n/a","n/a",IF(AS$3&gt;(A19taxstdlife+$E720),(('PTRM input'!$K$161+'PTRM input'!$K$127)*$K$7)-SUM($K720:AR720),(('PTRM input'!$K$161+'PTRM input'!$K$127)*$K$7)/A19taxstdlife))</f>
        <v>0</v>
      </c>
      <c r="AT720" s="590">
        <f>IF(A19taxstdlife="n/a","n/a",IF(AT$3&gt;(A19taxstdlife+$E720),(('PTRM input'!$K$161+'PTRM input'!$K$127)*$K$7)-SUM($K720:AS720),(('PTRM input'!$K$161+'PTRM input'!$K$127)*$K$7)/A19taxstdlife))</f>
        <v>0</v>
      </c>
      <c r="AU720" s="590">
        <f>IF(A19taxstdlife="n/a","n/a",IF(AU$3&gt;(A19taxstdlife+$E720),(('PTRM input'!$K$161+'PTRM input'!$K$127)*$K$7)-SUM($K720:AT720),(('PTRM input'!$K$161+'PTRM input'!$K$127)*$K$7)/A19taxstdlife))</f>
        <v>0</v>
      </c>
      <c r="AV720" s="590">
        <f>IF(A19taxstdlife="n/a","n/a",IF(AV$3&gt;(A19taxstdlife+$E720),(('PTRM input'!$K$161+'PTRM input'!$K$127)*$K$7)-SUM($K720:AU720),(('PTRM input'!$K$161+'PTRM input'!$K$127)*$K$7)/A19taxstdlife))</f>
        <v>0</v>
      </c>
      <c r="AW720" s="590">
        <f>IF(A19taxstdlife="n/a","n/a",IF(AW$3&gt;(A19taxstdlife+$E720),(('PTRM input'!$K$161+'PTRM input'!$K$127)*$K$7)-SUM($K720:AV720),(('PTRM input'!$K$161+'PTRM input'!$K$127)*$K$7)/A19taxstdlife))</f>
        <v>0</v>
      </c>
      <c r="AX720" s="590">
        <f>IF(A19taxstdlife="n/a","n/a",IF(AX$3&gt;(A19taxstdlife+$E720),(('PTRM input'!$K$161+'PTRM input'!$K$127)*$K$7)-SUM($K720:AW720),(('PTRM input'!$K$161+'PTRM input'!$K$127)*$K$7)/A19taxstdlife))</f>
        <v>0</v>
      </c>
      <c r="AY720" s="590">
        <f>IF(A19taxstdlife="n/a","n/a",IF(AY$3&gt;(A19taxstdlife+$E720),(('PTRM input'!$K$161+'PTRM input'!$K$127)*$K$7)-SUM($K720:AX720),(('PTRM input'!$K$161+'PTRM input'!$K$127)*$K$7)/A19taxstdlife))</f>
        <v>0</v>
      </c>
      <c r="AZ720" s="590">
        <f>IF(A19taxstdlife="n/a","n/a",IF(AZ$3&gt;(A19taxstdlife+$E720),(('PTRM input'!$K$161+'PTRM input'!$K$127)*$K$7)-SUM($K720:AY720),(('PTRM input'!$K$161+'PTRM input'!$K$127)*$K$7)/A19taxstdlife))</f>
        <v>0</v>
      </c>
      <c r="BA720" s="590">
        <f>IF(A19taxstdlife="n/a","n/a",IF(BA$3&gt;(A19taxstdlife+$E720),(('PTRM input'!$K$161+'PTRM input'!$K$127)*$K$7)-SUM($K720:AZ720),(('PTRM input'!$K$161+'PTRM input'!$K$127)*$K$7)/A19taxstdlife))</f>
        <v>0</v>
      </c>
      <c r="BB720" s="590">
        <f>IF(A19taxstdlife="n/a","n/a",IF(BB$3&gt;(A19taxstdlife+$E720),(('PTRM input'!$K$161+'PTRM input'!$K$127)*$K$7)-SUM($K720:BA720),(('PTRM input'!$K$161+'PTRM input'!$K$127)*$K$7)/A19taxstdlife))</f>
        <v>0</v>
      </c>
      <c r="BC720" s="590">
        <f>IF(A19taxstdlife="n/a","n/a",IF(BC$3&gt;(A19taxstdlife+$E720),(('PTRM input'!$K$161+'PTRM input'!$K$127)*$K$7)-SUM($K720:BB720),(('PTRM input'!$K$161+'PTRM input'!$K$127)*$K$7)/A19taxstdlife))</f>
        <v>0</v>
      </c>
      <c r="BD720" s="590">
        <f>IF(A19taxstdlife="n/a","n/a",IF(BD$3&gt;(A19taxstdlife+$E720),(('PTRM input'!$K$161+'PTRM input'!$K$127)*$K$7)-SUM($K720:BC720),(('PTRM input'!$K$161+'PTRM input'!$K$127)*$K$7)/A19taxstdlife))</f>
        <v>0</v>
      </c>
      <c r="BE720" s="590">
        <f>IF(A19taxstdlife="n/a","n/a",IF(BE$3&gt;(A19taxstdlife+$E720),(('PTRM input'!$K$161+'PTRM input'!$K$127)*$K$7)-SUM($K720:BD720),(('PTRM input'!$K$161+'PTRM input'!$K$127)*$K$7)/A19taxstdlife))</f>
        <v>0</v>
      </c>
      <c r="BF720" s="590">
        <f>IF(A19taxstdlife="n/a","n/a",IF(BF$3&gt;(A19taxstdlife+$E720),(('PTRM input'!$K$161+'PTRM input'!$K$127)*$K$7)-SUM($K720:BE720),(('PTRM input'!$K$161+'PTRM input'!$K$127)*$K$7)/A19taxstdlife))</f>
        <v>0</v>
      </c>
      <c r="BG720" s="590">
        <f>IF(A19taxstdlife="n/a","n/a",IF(BG$3&gt;(A19taxstdlife+$E720),(('PTRM input'!$K$161+'PTRM input'!$K$127)*$K$7)-SUM($K720:BF720),(('PTRM input'!$K$161+'PTRM input'!$K$127)*$K$7)/A19taxstdlife))</f>
        <v>0</v>
      </c>
      <c r="BH720" s="590">
        <f>IF(A19taxstdlife="n/a","n/a",IF(BH$3&gt;(A19taxstdlife+$E720),(('PTRM input'!$K$161+'PTRM input'!$K$127)*$K$7)-SUM($K720:BG720),(('PTRM input'!$K$161+'PTRM input'!$K$127)*$K$7)/A19taxstdlife))</f>
        <v>0</v>
      </c>
      <c r="BI720" s="590">
        <f>IF(A19taxstdlife="n/a","n/a",IF(BI$3&gt;(A19taxstdlife+$E720),(('PTRM input'!$K$161+'PTRM input'!$K$127)*$K$7)-SUM($K720:BH720),(('PTRM input'!$K$161+'PTRM input'!$K$127)*$K$7)/A19taxstdlife))</f>
        <v>0</v>
      </c>
      <c r="BJ720" s="240"/>
      <c r="BK720" s="240"/>
      <c r="BL720" s="240"/>
      <c r="BM720" s="240"/>
    </row>
    <row r="721" spans="1:65" s="4" customFormat="1" hidden="1" outlineLevel="2">
      <c r="A721" s="240"/>
      <c r="B721" s="240"/>
      <c r="C721" s="595"/>
      <c r="D721" s="1618"/>
      <c r="E721" s="169">
        <v>6</v>
      </c>
      <c r="F721" s="35"/>
      <c r="G721" s="184"/>
      <c r="H721" s="186"/>
      <c r="I721" s="186"/>
      <c r="J721" s="186"/>
      <c r="K721" s="186"/>
      <c r="L721" s="185"/>
      <c r="M721" s="107">
        <f>IF(A19taxstdlife="n/a","n/a",IF(M$3&gt;(A19taxstdlife+$E721),(('PTRM input'!$L$161+'PTRM input'!$L$127)*$L$7)-SUM($L721:L721),(('PTRM input'!$L$161+'PTRM input'!$L$127)*$L$7)/A19taxstdlife))</f>
        <v>0</v>
      </c>
      <c r="N721" s="107">
        <f>IF(A19taxstdlife="n/a","n/a",IF(N$3&gt;(A19taxstdlife+$E721),(('PTRM input'!$L$161+'PTRM input'!$L$127)*$L$7)-SUM($L721:M721),(('PTRM input'!$L$161+'PTRM input'!$L$127)*$L$7)/A19taxstdlife))</f>
        <v>0</v>
      </c>
      <c r="O721" s="107">
        <f>IF(A19taxstdlife="n/a","n/a",IF(O$3&gt;(A19taxstdlife+$E721),(('PTRM input'!$L$161+'PTRM input'!$L$127)*$L$7)-SUM($L721:N721),(('PTRM input'!$L$161+'PTRM input'!$L$127)*$L$7)/A19taxstdlife))</f>
        <v>0</v>
      </c>
      <c r="P721" s="107">
        <f>IF(A19taxstdlife="n/a","n/a",IF(P$3&gt;(A19taxstdlife+$E721),(('PTRM input'!$L$161+'PTRM input'!$L$127)*$L$7)-SUM($L721:O721),(('PTRM input'!$L$161+'PTRM input'!$L$127)*$L$7)/A19taxstdlife))</f>
        <v>0</v>
      </c>
      <c r="Q721" s="590">
        <f>IF(A19taxstdlife="n/a","n/a",IF(Q$3&gt;(A19taxstdlife+$E721),(('PTRM input'!$L$161+'PTRM input'!$L$127)*$L$7)-SUM($L721:P721),(('PTRM input'!$L$161+'PTRM input'!$L$127)*$L$7)/A19taxstdlife))</f>
        <v>0</v>
      </c>
      <c r="R721" s="590">
        <f>IF(A19taxstdlife="n/a","n/a",IF(R$3&gt;(A19taxstdlife+$E721),(('PTRM input'!$L$161+'PTRM input'!$L$127)*$L$7)-SUM($L721:Q721),(('PTRM input'!$L$161+'PTRM input'!$L$127)*$L$7)/A19taxstdlife))</f>
        <v>0</v>
      </c>
      <c r="S721" s="590">
        <f>IF(A19taxstdlife="n/a","n/a",IF(S$3&gt;(A19taxstdlife+$E721),(('PTRM input'!$L$161+'PTRM input'!$L$127)*$L$7)-SUM($L721:R721),(('PTRM input'!$L$161+'PTRM input'!$L$127)*$L$7)/A19taxstdlife))</f>
        <v>0</v>
      </c>
      <c r="T721" s="590">
        <f>IF(A19taxstdlife="n/a","n/a",IF(T$3&gt;(A19taxstdlife+$E721),(('PTRM input'!$L$161+'PTRM input'!$L$127)*$L$7)-SUM($L721:S721),(('PTRM input'!$L$161+'PTRM input'!$L$127)*$L$7)/A19taxstdlife))</f>
        <v>0</v>
      </c>
      <c r="U721" s="590">
        <f>IF(A19taxstdlife="n/a","n/a",IF(U$3&gt;(A19taxstdlife+$E721),(('PTRM input'!$L$161+'PTRM input'!$L$127)*$L$7)-SUM($L721:T721),(('PTRM input'!$L$161+'PTRM input'!$L$127)*$L$7)/A19taxstdlife))</f>
        <v>0</v>
      </c>
      <c r="V721" s="590">
        <f>IF(A19taxstdlife="n/a","n/a",IF(V$3&gt;(A19taxstdlife+$E721),(('PTRM input'!$L$161+'PTRM input'!$L$127)*$L$7)-SUM($L721:U721),(('PTRM input'!$L$161+'PTRM input'!$L$127)*$L$7)/A19taxstdlife))</f>
        <v>0</v>
      </c>
      <c r="W721" s="590">
        <f>IF(A19taxstdlife="n/a","n/a",IF(W$3&gt;(A19taxstdlife+$E721),(('PTRM input'!$L$161+'PTRM input'!$L$127)*$L$7)-SUM($L721:V721),(('PTRM input'!$L$161+'PTRM input'!$L$127)*$L$7)/A19taxstdlife))</f>
        <v>0</v>
      </c>
      <c r="X721" s="590">
        <f>IF(A19taxstdlife="n/a","n/a",IF(X$3&gt;(A19taxstdlife+$E721),(('PTRM input'!$L$161+'PTRM input'!$L$127)*$L$7)-SUM($L721:W721),(('PTRM input'!$L$161+'PTRM input'!$L$127)*$L$7)/A19taxstdlife))</f>
        <v>0</v>
      </c>
      <c r="Y721" s="590">
        <f>IF(A19taxstdlife="n/a","n/a",IF(Y$3&gt;(A19taxstdlife+$E721),(('PTRM input'!$L$161+'PTRM input'!$L$127)*$L$7)-SUM($L721:X721),(('PTRM input'!$L$161+'PTRM input'!$L$127)*$L$7)/A19taxstdlife))</f>
        <v>0</v>
      </c>
      <c r="Z721" s="590">
        <f>IF(A19taxstdlife="n/a","n/a",IF(Z$3&gt;(A19taxstdlife+$E721),(('PTRM input'!$L$161+'PTRM input'!$L$127)*$L$7)-SUM($L721:Y721),(('PTRM input'!$L$161+'PTRM input'!$L$127)*$L$7)/A19taxstdlife))</f>
        <v>0</v>
      </c>
      <c r="AA721" s="590">
        <f>IF(A19taxstdlife="n/a","n/a",IF(AA$3&gt;(A19taxstdlife+$E721),(('PTRM input'!$L$161+'PTRM input'!$L$127)*$L$7)-SUM($L721:Z721),(('PTRM input'!$L$161+'PTRM input'!$L$127)*$L$7)/A19taxstdlife))</f>
        <v>0</v>
      </c>
      <c r="AB721" s="590">
        <f>IF(A19taxstdlife="n/a","n/a",IF(AB$3&gt;(A19taxstdlife+$E721),(('PTRM input'!$L$161+'PTRM input'!$L$127)*$L$7)-SUM($L721:AA721),(('PTRM input'!$L$161+'PTRM input'!$L$127)*$L$7)/A19taxstdlife))</f>
        <v>0</v>
      </c>
      <c r="AC721" s="590">
        <f>IF(A19taxstdlife="n/a","n/a",IF(AC$3&gt;(A19taxstdlife+$E721),(('PTRM input'!$L$161+'PTRM input'!$L$127)*$L$7)-SUM($L721:AB721),(('PTRM input'!$L$161+'PTRM input'!$L$127)*$L$7)/A19taxstdlife))</f>
        <v>0</v>
      </c>
      <c r="AD721" s="590">
        <f>IF(A19taxstdlife="n/a","n/a",IF(AD$3&gt;(A19taxstdlife+$E721),(('PTRM input'!$L$161+'PTRM input'!$L$127)*$L$7)-SUM($L721:AC721),(('PTRM input'!$L$161+'PTRM input'!$L$127)*$L$7)/A19taxstdlife))</f>
        <v>0</v>
      </c>
      <c r="AE721" s="590">
        <f>IF(A19taxstdlife="n/a","n/a",IF(AE$3&gt;(A19taxstdlife+$E721),(('PTRM input'!$L$161+'PTRM input'!$L$127)*$L$7)-SUM($L721:AD721),(('PTRM input'!$L$161+'PTRM input'!$L$127)*$L$7)/A19taxstdlife))</f>
        <v>0</v>
      </c>
      <c r="AF721" s="590">
        <f>IF(A19taxstdlife="n/a","n/a",IF(AF$3&gt;(A19taxstdlife+$E721),(('PTRM input'!$L$161+'PTRM input'!$L$127)*$L$7)-SUM($L721:AE721),(('PTRM input'!$L$161+'PTRM input'!$L$127)*$L$7)/A19taxstdlife))</f>
        <v>0</v>
      </c>
      <c r="AG721" s="590">
        <f>IF(A19taxstdlife="n/a","n/a",IF(AG$3&gt;(A19taxstdlife+$E721),(('PTRM input'!$L$161+'PTRM input'!$L$127)*$L$7)-SUM($L721:AF721),(('PTRM input'!$L$161+'PTRM input'!$L$127)*$L$7)/A19taxstdlife))</f>
        <v>0</v>
      </c>
      <c r="AH721" s="590">
        <f>IF(A19taxstdlife="n/a","n/a",IF(AH$3&gt;(A19taxstdlife+$E721),(('PTRM input'!$L$161+'PTRM input'!$L$127)*$L$7)-SUM($L721:AG721),(('PTRM input'!$L$161+'PTRM input'!$L$127)*$L$7)/A19taxstdlife))</f>
        <v>0</v>
      </c>
      <c r="AI721" s="590">
        <f>IF(A19taxstdlife="n/a","n/a",IF(AI$3&gt;(A19taxstdlife+$E721),(('PTRM input'!$L$161+'PTRM input'!$L$127)*$L$7)-SUM($L721:AH721),(('PTRM input'!$L$161+'PTRM input'!$L$127)*$L$7)/A19taxstdlife))</f>
        <v>0</v>
      </c>
      <c r="AJ721" s="590">
        <f>IF(A19taxstdlife="n/a","n/a",IF(AJ$3&gt;(A19taxstdlife+$E721),(('PTRM input'!$L$161+'PTRM input'!$L$127)*$L$7)-SUM($L721:AI721),(('PTRM input'!$L$161+'PTRM input'!$L$127)*$L$7)/A19taxstdlife))</f>
        <v>0</v>
      </c>
      <c r="AK721" s="590">
        <f>IF(A19taxstdlife="n/a","n/a",IF(AK$3&gt;(A19taxstdlife+$E721),(('PTRM input'!$L$161+'PTRM input'!$L$127)*$L$7)-SUM($L721:AJ721),(('PTRM input'!$L$161+'PTRM input'!$L$127)*$L$7)/A19taxstdlife))</f>
        <v>0</v>
      </c>
      <c r="AL721" s="590">
        <f>IF(A19taxstdlife="n/a","n/a",IF(AL$3&gt;(A19taxstdlife+$E721),(('PTRM input'!$L$161+'PTRM input'!$L$127)*$L$7)-SUM($L721:AK721),(('PTRM input'!$L$161+'PTRM input'!$L$127)*$L$7)/A19taxstdlife))</f>
        <v>0</v>
      </c>
      <c r="AM721" s="590">
        <f>IF(A19taxstdlife="n/a","n/a",IF(AM$3&gt;(A19taxstdlife+$E721),(('PTRM input'!$L$161+'PTRM input'!$L$127)*$L$7)-SUM($L721:AL721),(('PTRM input'!$L$161+'PTRM input'!$L$127)*$L$7)/A19taxstdlife))</f>
        <v>0</v>
      </c>
      <c r="AN721" s="590">
        <f>IF(A19taxstdlife="n/a","n/a",IF(AN$3&gt;(A19taxstdlife+$E721),(('PTRM input'!$L$161+'PTRM input'!$L$127)*$L$7)-SUM($L721:AM721),(('PTRM input'!$L$161+'PTRM input'!$L$127)*$L$7)/A19taxstdlife))</f>
        <v>0</v>
      </c>
      <c r="AO721" s="590">
        <f>IF(A19taxstdlife="n/a","n/a",IF(AO$3&gt;(A19taxstdlife+$E721),(('PTRM input'!$L$161+'PTRM input'!$L$127)*$L$7)-SUM($L721:AN721),(('PTRM input'!$L$161+'PTRM input'!$L$127)*$L$7)/A19taxstdlife))</f>
        <v>0</v>
      </c>
      <c r="AP721" s="590">
        <f>IF(A19taxstdlife="n/a","n/a",IF(AP$3&gt;(A19taxstdlife+$E721),(('PTRM input'!$L$161+'PTRM input'!$L$127)*$L$7)-SUM($L721:AO721),(('PTRM input'!$L$161+'PTRM input'!$L$127)*$L$7)/A19taxstdlife))</f>
        <v>0</v>
      </c>
      <c r="AQ721" s="590">
        <f>IF(A19taxstdlife="n/a","n/a",IF(AQ$3&gt;(A19taxstdlife+$E721),(('PTRM input'!$L$161+'PTRM input'!$L$127)*$L$7)-SUM($L721:AP721),(('PTRM input'!$L$161+'PTRM input'!$L$127)*$L$7)/A19taxstdlife))</f>
        <v>0</v>
      </c>
      <c r="AR721" s="590">
        <f>IF(A19taxstdlife="n/a","n/a",IF(AR$3&gt;(A19taxstdlife+$E721),(('PTRM input'!$L$161+'PTRM input'!$L$127)*$L$7)-SUM($L721:AQ721),(('PTRM input'!$L$161+'PTRM input'!$L$127)*$L$7)/A19taxstdlife))</f>
        <v>0</v>
      </c>
      <c r="AS721" s="590">
        <f>IF(A19taxstdlife="n/a","n/a",IF(AS$3&gt;(A19taxstdlife+$E721),(('PTRM input'!$L$161+'PTRM input'!$L$127)*$L$7)-SUM($L721:AR721),(('PTRM input'!$L$161+'PTRM input'!$L$127)*$L$7)/A19taxstdlife))</f>
        <v>0</v>
      </c>
      <c r="AT721" s="590">
        <f>IF(A19taxstdlife="n/a","n/a",IF(AT$3&gt;(A19taxstdlife+$E721),(('PTRM input'!$L$161+'PTRM input'!$L$127)*$L$7)-SUM($L721:AS721),(('PTRM input'!$L$161+'PTRM input'!$L$127)*$L$7)/A19taxstdlife))</f>
        <v>0</v>
      </c>
      <c r="AU721" s="590">
        <f>IF(A19taxstdlife="n/a","n/a",IF(AU$3&gt;(A19taxstdlife+$E721),(('PTRM input'!$L$161+'PTRM input'!$L$127)*$L$7)-SUM($L721:AT721),(('PTRM input'!$L$161+'PTRM input'!$L$127)*$L$7)/A19taxstdlife))</f>
        <v>0</v>
      </c>
      <c r="AV721" s="590">
        <f>IF(A19taxstdlife="n/a","n/a",IF(AV$3&gt;(A19taxstdlife+$E721),(('PTRM input'!$L$161+'PTRM input'!$L$127)*$L$7)-SUM($L721:AU721),(('PTRM input'!$L$161+'PTRM input'!$L$127)*$L$7)/A19taxstdlife))</f>
        <v>0</v>
      </c>
      <c r="AW721" s="590">
        <f>IF(A19taxstdlife="n/a","n/a",IF(AW$3&gt;(A19taxstdlife+$E721),(('PTRM input'!$L$161+'PTRM input'!$L$127)*$L$7)-SUM($L721:AV721),(('PTRM input'!$L$161+'PTRM input'!$L$127)*$L$7)/A19taxstdlife))</f>
        <v>0</v>
      </c>
      <c r="AX721" s="590">
        <f>IF(A19taxstdlife="n/a","n/a",IF(AX$3&gt;(A19taxstdlife+$E721),(('PTRM input'!$L$161+'PTRM input'!$L$127)*$L$7)-SUM($L721:AW721),(('PTRM input'!$L$161+'PTRM input'!$L$127)*$L$7)/A19taxstdlife))</f>
        <v>0</v>
      </c>
      <c r="AY721" s="590">
        <f>IF(A19taxstdlife="n/a","n/a",IF(AY$3&gt;(A19taxstdlife+$E721),(('PTRM input'!$L$161+'PTRM input'!$L$127)*$L$7)-SUM($L721:AX721),(('PTRM input'!$L$161+'PTRM input'!$L$127)*$L$7)/A19taxstdlife))</f>
        <v>0</v>
      </c>
      <c r="AZ721" s="590">
        <f>IF(A19taxstdlife="n/a","n/a",IF(AZ$3&gt;(A19taxstdlife+$E721),(('PTRM input'!$L$161+'PTRM input'!$L$127)*$L$7)-SUM($L721:AY721),(('PTRM input'!$L$161+'PTRM input'!$L$127)*$L$7)/A19taxstdlife))</f>
        <v>0</v>
      </c>
      <c r="BA721" s="590">
        <f>IF(A19taxstdlife="n/a","n/a",IF(BA$3&gt;(A19taxstdlife+$E721),(('PTRM input'!$L$161+'PTRM input'!$L$127)*$L$7)-SUM($L721:AZ721),(('PTRM input'!$L$161+'PTRM input'!$L$127)*$L$7)/A19taxstdlife))</f>
        <v>0</v>
      </c>
      <c r="BB721" s="590">
        <f>IF(A19taxstdlife="n/a","n/a",IF(BB$3&gt;(A19taxstdlife+$E721),(('PTRM input'!$L$161+'PTRM input'!$L$127)*$L$7)-SUM($L721:BA721),(('PTRM input'!$L$161+'PTRM input'!$L$127)*$L$7)/A19taxstdlife))</f>
        <v>0</v>
      </c>
      <c r="BC721" s="590">
        <f>IF(A19taxstdlife="n/a","n/a",IF(BC$3&gt;(A19taxstdlife+$E721),(('PTRM input'!$L$161+'PTRM input'!$L$127)*$L$7)-SUM($L721:BB721),(('PTRM input'!$L$161+'PTRM input'!$L$127)*$L$7)/A19taxstdlife))</f>
        <v>0</v>
      </c>
      <c r="BD721" s="590">
        <f>IF(A19taxstdlife="n/a","n/a",IF(BD$3&gt;(A19taxstdlife+$E721),(('PTRM input'!$L$161+'PTRM input'!$L$127)*$L$7)-SUM($L721:BC721),(('PTRM input'!$L$161+'PTRM input'!$L$127)*$L$7)/A19taxstdlife))</f>
        <v>0</v>
      </c>
      <c r="BE721" s="590">
        <f>IF(A19taxstdlife="n/a","n/a",IF(BE$3&gt;(A19taxstdlife+$E721),(('PTRM input'!$L$161+'PTRM input'!$L$127)*$L$7)-SUM($L721:BD721),(('PTRM input'!$L$161+'PTRM input'!$L$127)*$L$7)/A19taxstdlife))</f>
        <v>0</v>
      </c>
      <c r="BF721" s="590">
        <f>IF(A19taxstdlife="n/a","n/a",IF(BF$3&gt;(A19taxstdlife+$E721),(('PTRM input'!$L$161+'PTRM input'!$L$127)*$L$7)-SUM($L721:BE721),(('PTRM input'!$L$161+'PTRM input'!$L$127)*$L$7)/A19taxstdlife))</f>
        <v>0</v>
      </c>
      <c r="BG721" s="590">
        <f>IF(A19taxstdlife="n/a","n/a",IF(BG$3&gt;(A19taxstdlife+$E721),(('PTRM input'!$L$161+'PTRM input'!$L$127)*$L$7)-SUM($L721:BF721),(('PTRM input'!$L$161+'PTRM input'!$L$127)*$L$7)/A19taxstdlife))</f>
        <v>0</v>
      </c>
      <c r="BH721" s="590">
        <f>IF(A19taxstdlife="n/a","n/a",IF(BH$3&gt;(A19taxstdlife+$E721),(('PTRM input'!$L$161+'PTRM input'!$L$127)*$L$7)-SUM($L721:BG721),(('PTRM input'!$L$161+'PTRM input'!$L$127)*$L$7)/A19taxstdlife))</f>
        <v>0</v>
      </c>
      <c r="BI721" s="590">
        <f>IF(A19taxstdlife="n/a","n/a",IF(BI$3&gt;(A19taxstdlife+$E721),(('PTRM input'!$L$161+'PTRM input'!$L$127)*$L$7)-SUM($L721:BH721),(('PTRM input'!$L$161+'PTRM input'!$L$127)*$L$7)/A19taxstdlife))</f>
        <v>0</v>
      </c>
      <c r="BJ721" s="240"/>
      <c r="BK721" s="240"/>
      <c r="BL721" s="240"/>
      <c r="BM721" s="240"/>
    </row>
    <row r="722" spans="1:65" s="4" customFormat="1" hidden="1" outlineLevel="2">
      <c r="A722" s="240"/>
      <c r="B722" s="240"/>
      <c r="C722" s="595"/>
      <c r="D722" s="1618"/>
      <c r="E722" s="169">
        <v>7</v>
      </c>
      <c r="F722" s="35"/>
      <c r="G722" s="184"/>
      <c r="H722" s="186"/>
      <c r="I722" s="186"/>
      <c r="J722" s="186"/>
      <c r="K722" s="186"/>
      <c r="L722" s="186"/>
      <c r="M722" s="185"/>
      <c r="N722" s="107">
        <f>IF(A19taxstdlife="n/a","n/a",IF(N$3&gt;(A19taxstdlife+$E722),(('PTRM input'!$M$161+'PTRM input'!$M$127)*$M$7)-SUM($M722:M722),(('PTRM input'!$M$161+'PTRM input'!$M$127)*$M$7)/A19taxstdlife))</f>
        <v>0</v>
      </c>
      <c r="O722" s="107">
        <f>IF(A19taxstdlife="n/a","n/a",IF(O$3&gt;(A19taxstdlife+$E722),(('PTRM input'!$M$161+'PTRM input'!$M$127)*$M$7)-SUM($M722:N722),(('PTRM input'!$M$161+'PTRM input'!$M$127)*$M$7)/A19taxstdlife))</f>
        <v>0</v>
      </c>
      <c r="P722" s="107">
        <f>IF(A19taxstdlife="n/a","n/a",IF(P$3&gt;(A19taxstdlife+$E722),(('PTRM input'!$M$161+'PTRM input'!$M$127)*$M$7)-SUM($M722:O722),(('PTRM input'!$M$161+'PTRM input'!$M$127)*$M$7)/A19taxstdlife))</f>
        <v>0</v>
      </c>
      <c r="Q722" s="590">
        <f>IF(A19taxstdlife="n/a","n/a",IF(Q$3&gt;(A19taxstdlife+$E722),(('PTRM input'!$M$161+'PTRM input'!$M$127)*$M$7)-SUM($M722:P722),(('PTRM input'!$M$161+'PTRM input'!$M$127)*$M$7)/A19taxstdlife))</f>
        <v>0</v>
      </c>
      <c r="R722" s="590">
        <f>IF(A19taxstdlife="n/a","n/a",IF(R$3&gt;(A19taxstdlife+$E722),(('PTRM input'!$M$161+'PTRM input'!$M$127)*$M$7)-SUM($M722:Q722),(('PTRM input'!$M$161+'PTRM input'!$M$127)*$M$7)/A19taxstdlife))</f>
        <v>0</v>
      </c>
      <c r="S722" s="590">
        <f>IF(A19taxstdlife="n/a","n/a",IF(S$3&gt;(A19taxstdlife+$E722),(('PTRM input'!$M$161+'PTRM input'!$M$127)*$M$7)-SUM($M722:R722),(('PTRM input'!$M$161+'PTRM input'!$M$127)*$M$7)/A19taxstdlife))</f>
        <v>0</v>
      </c>
      <c r="T722" s="590">
        <f>IF(A19taxstdlife="n/a","n/a",IF(T$3&gt;(A19taxstdlife+$E722),(('PTRM input'!$M$161+'PTRM input'!$M$127)*$M$7)-SUM($M722:S722),(('PTRM input'!$M$161+'PTRM input'!$M$127)*$M$7)/A19taxstdlife))</f>
        <v>0</v>
      </c>
      <c r="U722" s="590">
        <f>IF(A19taxstdlife="n/a","n/a",IF(U$3&gt;(A19taxstdlife+$E722),(('PTRM input'!$M$161+'PTRM input'!$M$127)*$M$7)-SUM($M722:T722),(('PTRM input'!$M$161+'PTRM input'!$M$127)*$M$7)/A19taxstdlife))</f>
        <v>0</v>
      </c>
      <c r="V722" s="590">
        <f>IF(A19taxstdlife="n/a","n/a",IF(V$3&gt;(A19taxstdlife+$E722),(('PTRM input'!$M$161+'PTRM input'!$M$127)*$M$7)-SUM($M722:U722),(('PTRM input'!$M$161+'PTRM input'!$M$127)*$M$7)/A19taxstdlife))</f>
        <v>0</v>
      </c>
      <c r="W722" s="590">
        <f>IF(A19taxstdlife="n/a","n/a",IF(W$3&gt;(A19taxstdlife+$E722),(('PTRM input'!$M$161+'PTRM input'!$M$127)*$M$7)-SUM($M722:V722),(('PTRM input'!$M$161+'PTRM input'!$M$127)*$M$7)/A19taxstdlife))</f>
        <v>0</v>
      </c>
      <c r="X722" s="590">
        <f>IF(A19taxstdlife="n/a","n/a",IF(X$3&gt;(A19taxstdlife+$E722),(('PTRM input'!$M$161+'PTRM input'!$M$127)*$M$7)-SUM($M722:W722),(('PTRM input'!$M$161+'PTRM input'!$M$127)*$M$7)/A19taxstdlife))</f>
        <v>0</v>
      </c>
      <c r="Y722" s="590">
        <f>IF(A19taxstdlife="n/a","n/a",IF(Y$3&gt;(A19taxstdlife+$E722),(('PTRM input'!$M$161+'PTRM input'!$M$127)*$M$7)-SUM($M722:X722),(('PTRM input'!$M$161+'PTRM input'!$M$127)*$M$7)/A19taxstdlife))</f>
        <v>0</v>
      </c>
      <c r="Z722" s="590">
        <f>IF(A19taxstdlife="n/a","n/a",IF(Z$3&gt;(A19taxstdlife+$E722),(('PTRM input'!$M$161+'PTRM input'!$M$127)*$M$7)-SUM($M722:Y722),(('PTRM input'!$M$161+'PTRM input'!$M$127)*$M$7)/A19taxstdlife))</f>
        <v>0</v>
      </c>
      <c r="AA722" s="590">
        <f>IF(A19taxstdlife="n/a","n/a",IF(AA$3&gt;(A19taxstdlife+$E722),(('PTRM input'!$M$161+'PTRM input'!$M$127)*$M$7)-SUM($M722:Z722),(('PTRM input'!$M$161+'PTRM input'!$M$127)*$M$7)/A19taxstdlife))</f>
        <v>0</v>
      </c>
      <c r="AB722" s="590">
        <f>IF(A19taxstdlife="n/a","n/a",IF(AB$3&gt;(A19taxstdlife+$E722),(('PTRM input'!$M$161+'PTRM input'!$M$127)*$M$7)-SUM($M722:AA722),(('PTRM input'!$M$161+'PTRM input'!$M$127)*$M$7)/A19taxstdlife))</f>
        <v>0</v>
      </c>
      <c r="AC722" s="590">
        <f>IF(A19taxstdlife="n/a","n/a",IF(AC$3&gt;(A19taxstdlife+$E722),(('PTRM input'!$M$161+'PTRM input'!$M$127)*$M$7)-SUM($M722:AB722),(('PTRM input'!$M$161+'PTRM input'!$M$127)*$M$7)/A19taxstdlife))</f>
        <v>0</v>
      </c>
      <c r="AD722" s="590">
        <f>IF(A19taxstdlife="n/a","n/a",IF(AD$3&gt;(A19taxstdlife+$E722),(('PTRM input'!$M$161+'PTRM input'!$M$127)*$M$7)-SUM($M722:AC722),(('PTRM input'!$M$161+'PTRM input'!$M$127)*$M$7)/A19taxstdlife))</f>
        <v>0</v>
      </c>
      <c r="AE722" s="590">
        <f>IF(A19taxstdlife="n/a","n/a",IF(AE$3&gt;(A19taxstdlife+$E722),(('PTRM input'!$M$161+'PTRM input'!$M$127)*$M$7)-SUM($M722:AD722),(('PTRM input'!$M$161+'PTRM input'!$M$127)*$M$7)/A19taxstdlife))</f>
        <v>0</v>
      </c>
      <c r="AF722" s="590">
        <f>IF(A19taxstdlife="n/a","n/a",IF(AF$3&gt;(A19taxstdlife+$E722),(('PTRM input'!$M$161+'PTRM input'!$M$127)*$M$7)-SUM($M722:AE722),(('PTRM input'!$M$161+'PTRM input'!$M$127)*$M$7)/A19taxstdlife))</f>
        <v>0</v>
      </c>
      <c r="AG722" s="590">
        <f>IF(A19taxstdlife="n/a","n/a",IF(AG$3&gt;(A19taxstdlife+$E722),(('PTRM input'!$M$161+'PTRM input'!$M$127)*$M$7)-SUM($M722:AF722),(('PTRM input'!$M$161+'PTRM input'!$M$127)*$M$7)/A19taxstdlife))</f>
        <v>0</v>
      </c>
      <c r="AH722" s="590">
        <f>IF(A19taxstdlife="n/a","n/a",IF(AH$3&gt;(A19taxstdlife+$E722),(('PTRM input'!$M$161+'PTRM input'!$M$127)*$M$7)-SUM($M722:AG722),(('PTRM input'!$M$161+'PTRM input'!$M$127)*$M$7)/A19taxstdlife))</f>
        <v>0</v>
      </c>
      <c r="AI722" s="590">
        <f>IF(A19taxstdlife="n/a","n/a",IF(AI$3&gt;(A19taxstdlife+$E722),(('PTRM input'!$M$161+'PTRM input'!$M$127)*$M$7)-SUM($M722:AH722),(('PTRM input'!$M$161+'PTRM input'!$M$127)*$M$7)/A19taxstdlife))</f>
        <v>0</v>
      </c>
      <c r="AJ722" s="590">
        <f>IF(A19taxstdlife="n/a","n/a",IF(AJ$3&gt;(A19taxstdlife+$E722),(('PTRM input'!$M$161+'PTRM input'!$M$127)*$M$7)-SUM($M722:AI722),(('PTRM input'!$M$161+'PTRM input'!$M$127)*$M$7)/A19taxstdlife))</f>
        <v>0</v>
      </c>
      <c r="AK722" s="590">
        <f>IF(A19taxstdlife="n/a","n/a",IF(AK$3&gt;(A19taxstdlife+$E722),(('PTRM input'!$M$161+'PTRM input'!$M$127)*$M$7)-SUM($M722:AJ722),(('PTRM input'!$M$161+'PTRM input'!$M$127)*$M$7)/A19taxstdlife))</f>
        <v>0</v>
      </c>
      <c r="AL722" s="590">
        <f>IF(A19taxstdlife="n/a","n/a",IF(AL$3&gt;(A19taxstdlife+$E722),(('PTRM input'!$M$161+'PTRM input'!$M$127)*$M$7)-SUM($M722:AK722),(('PTRM input'!$M$161+'PTRM input'!$M$127)*$M$7)/A19taxstdlife))</f>
        <v>0</v>
      </c>
      <c r="AM722" s="590">
        <f>IF(A19taxstdlife="n/a","n/a",IF(AM$3&gt;(A19taxstdlife+$E722),(('PTRM input'!$M$161+'PTRM input'!$M$127)*$M$7)-SUM($M722:AL722),(('PTRM input'!$M$161+'PTRM input'!$M$127)*$M$7)/A19taxstdlife))</f>
        <v>0</v>
      </c>
      <c r="AN722" s="590">
        <f>IF(A19taxstdlife="n/a","n/a",IF(AN$3&gt;(A19taxstdlife+$E722),(('PTRM input'!$M$161+'PTRM input'!$M$127)*$M$7)-SUM($M722:AM722),(('PTRM input'!$M$161+'PTRM input'!$M$127)*$M$7)/A19taxstdlife))</f>
        <v>0</v>
      </c>
      <c r="AO722" s="590">
        <f>IF(A19taxstdlife="n/a","n/a",IF(AO$3&gt;(A19taxstdlife+$E722),(('PTRM input'!$M$161+'PTRM input'!$M$127)*$M$7)-SUM($M722:AN722),(('PTRM input'!$M$161+'PTRM input'!$M$127)*$M$7)/A19taxstdlife))</f>
        <v>0</v>
      </c>
      <c r="AP722" s="590">
        <f>IF(A19taxstdlife="n/a","n/a",IF(AP$3&gt;(A19taxstdlife+$E722),(('PTRM input'!$M$161+'PTRM input'!$M$127)*$M$7)-SUM($M722:AO722),(('PTRM input'!$M$161+'PTRM input'!$M$127)*$M$7)/A19taxstdlife))</f>
        <v>0</v>
      </c>
      <c r="AQ722" s="590">
        <f>IF(A19taxstdlife="n/a","n/a",IF(AQ$3&gt;(A19taxstdlife+$E722),(('PTRM input'!$M$161+'PTRM input'!$M$127)*$M$7)-SUM($M722:AP722),(('PTRM input'!$M$161+'PTRM input'!$M$127)*$M$7)/A19taxstdlife))</f>
        <v>0</v>
      </c>
      <c r="AR722" s="590">
        <f>IF(A19taxstdlife="n/a","n/a",IF(AR$3&gt;(A19taxstdlife+$E722),(('PTRM input'!$M$161+'PTRM input'!$M$127)*$M$7)-SUM($M722:AQ722),(('PTRM input'!$M$161+'PTRM input'!$M$127)*$M$7)/A19taxstdlife))</f>
        <v>0</v>
      </c>
      <c r="AS722" s="590">
        <f>IF(A19taxstdlife="n/a","n/a",IF(AS$3&gt;(A19taxstdlife+$E722),(('PTRM input'!$M$161+'PTRM input'!$M$127)*$M$7)-SUM($M722:AR722),(('PTRM input'!$M$161+'PTRM input'!$M$127)*$M$7)/A19taxstdlife))</f>
        <v>0</v>
      </c>
      <c r="AT722" s="590">
        <f>IF(A19taxstdlife="n/a","n/a",IF(AT$3&gt;(A19taxstdlife+$E722),(('PTRM input'!$M$161+'PTRM input'!$M$127)*$M$7)-SUM($M722:AS722),(('PTRM input'!$M$161+'PTRM input'!$M$127)*$M$7)/A19taxstdlife))</f>
        <v>0</v>
      </c>
      <c r="AU722" s="590">
        <f>IF(A19taxstdlife="n/a","n/a",IF(AU$3&gt;(A19taxstdlife+$E722),(('PTRM input'!$M$161+'PTRM input'!$M$127)*$M$7)-SUM($M722:AT722),(('PTRM input'!$M$161+'PTRM input'!$M$127)*$M$7)/A19taxstdlife))</f>
        <v>0</v>
      </c>
      <c r="AV722" s="590">
        <f>IF(A19taxstdlife="n/a","n/a",IF(AV$3&gt;(A19taxstdlife+$E722),(('PTRM input'!$M$161+'PTRM input'!$M$127)*$M$7)-SUM($M722:AU722),(('PTRM input'!$M$161+'PTRM input'!$M$127)*$M$7)/A19taxstdlife))</f>
        <v>0</v>
      </c>
      <c r="AW722" s="590">
        <f>IF(A19taxstdlife="n/a","n/a",IF(AW$3&gt;(A19taxstdlife+$E722),(('PTRM input'!$M$161+'PTRM input'!$M$127)*$M$7)-SUM($M722:AV722),(('PTRM input'!$M$161+'PTRM input'!$M$127)*$M$7)/A19taxstdlife))</f>
        <v>0</v>
      </c>
      <c r="AX722" s="590">
        <f>IF(A19taxstdlife="n/a","n/a",IF(AX$3&gt;(A19taxstdlife+$E722),(('PTRM input'!$M$161+'PTRM input'!$M$127)*$M$7)-SUM($M722:AW722),(('PTRM input'!$M$161+'PTRM input'!$M$127)*$M$7)/A19taxstdlife))</f>
        <v>0</v>
      </c>
      <c r="AY722" s="590">
        <f>IF(A19taxstdlife="n/a","n/a",IF(AY$3&gt;(A19taxstdlife+$E722),(('PTRM input'!$M$161+'PTRM input'!$M$127)*$M$7)-SUM($M722:AX722),(('PTRM input'!$M$161+'PTRM input'!$M$127)*$M$7)/A19taxstdlife))</f>
        <v>0</v>
      </c>
      <c r="AZ722" s="590">
        <f>IF(A19taxstdlife="n/a","n/a",IF(AZ$3&gt;(A19taxstdlife+$E722),(('PTRM input'!$M$161+'PTRM input'!$M$127)*$M$7)-SUM($M722:AY722),(('PTRM input'!$M$161+'PTRM input'!$M$127)*$M$7)/A19taxstdlife))</f>
        <v>0</v>
      </c>
      <c r="BA722" s="590">
        <f>IF(A19taxstdlife="n/a","n/a",IF(BA$3&gt;(A19taxstdlife+$E722),(('PTRM input'!$M$161+'PTRM input'!$M$127)*$M$7)-SUM($M722:AZ722),(('PTRM input'!$M$161+'PTRM input'!$M$127)*$M$7)/A19taxstdlife))</f>
        <v>0</v>
      </c>
      <c r="BB722" s="590">
        <f>IF(A19taxstdlife="n/a","n/a",IF(BB$3&gt;(A19taxstdlife+$E722),(('PTRM input'!$M$161+'PTRM input'!$M$127)*$M$7)-SUM($M722:BA722),(('PTRM input'!$M$161+'PTRM input'!$M$127)*$M$7)/A19taxstdlife))</f>
        <v>0</v>
      </c>
      <c r="BC722" s="590">
        <f>IF(A19taxstdlife="n/a","n/a",IF(BC$3&gt;(A19taxstdlife+$E722),(('PTRM input'!$M$161+'PTRM input'!$M$127)*$M$7)-SUM($M722:BB722),(('PTRM input'!$M$161+'PTRM input'!$M$127)*$M$7)/A19taxstdlife))</f>
        <v>0</v>
      </c>
      <c r="BD722" s="590">
        <f>IF(A19taxstdlife="n/a","n/a",IF(BD$3&gt;(A19taxstdlife+$E722),(('PTRM input'!$M$161+'PTRM input'!$M$127)*$M$7)-SUM($M722:BC722),(('PTRM input'!$M$161+'PTRM input'!$M$127)*$M$7)/A19taxstdlife))</f>
        <v>0</v>
      </c>
      <c r="BE722" s="590">
        <f>IF(A19taxstdlife="n/a","n/a",IF(BE$3&gt;(A19taxstdlife+$E722),(('PTRM input'!$M$161+'PTRM input'!$M$127)*$M$7)-SUM($M722:BD722),(('PTRM input'!$M$161+'PTRM input'!$M$127)*$M$7)/A19taxstdlife))</f>
        <v>0</v>
      </c>
      <c r="BF722" s="590">
        <f>IF(A19taxstdlife="n/a","n/a",IF(BF$3&gt;(A19taxstdlife+$E722),(('PTRM input'!$M$161+'PTRM input'!$M$127)*$M$7)-SUM($M722:BE722),(('PTRM input'!$M$161+'PTRM input'!$M$127)*$M$7)/A19taxstdlife))</f>
        <v>0</v>
      </c>
      <c r="BG722" s="590">
        <f>IF(A19taxstdlife="n/a","n/a",IF(BG$3&gt;(A19taxstdlife+$E722),(('PTRM input'!$M$161+'PTRM input'!$M$127)*$M$7)-SUM($M722:BF722),(('PTRM input'!$M$161+'PTRM input'!$M$127)*$M$7)/A19taxstdlife))</f>
        <v>0</v>
      </c>
      <c r="BH722" s="590">
        <f>IF(A19taxstdlife="n/a","n/a",IF(BH$3&gt;(A19taxstdlife+$E722),(('PTRM input'!$M$161+'PTRM input'!$M$127)*$M$7)-SUM($M722:BG722),(('PTRM input'!$M$161+'PTRM input'!$M$127)*$M$7)/A19taxstdlife))</f>
        <v>0</v>
      </c>
      <c r="BI722" s="590">
        <f>IF(A19taxstdlife="n/a","n/a",IF(BI$3&gt;(A19taxstdlife+$E722),(('PTRM input'!$M$161+'PTRM input'!$M$127)*$M$7)-SUM($M722:BH722),(('PTRM input'!$M$161+'PTRM input'!$M$127)*$M$7)/A19taxstdlife))</f>
        <v>0</v>
      </c>
      <c r="BJ722" s="240"/>
      <c r="BK722" s="240"/>
      <c r="BL722" s="240"/>
      <c r="BM722" s="240"/>
    </row>
    <row r="723" spans="1:65" s="4" customFormat="1" hidden="1" outlineLevel="2">
      <c r="A723" s="240"/>
      <c r="B723" s="240"/>
      <c r="C723" s="595"/>
      <c r="D723" s="1618"/>
      <c r="E723" s="169">
        <v>8</v>
      </c>
      <c r="F723" s="35"/>
      <c r="G723" s="184"/>
      <c r="H723" s="186"/>
      <c r="I723" s="186"/>
      <c r="J723" s="186"/>
      <c r="K723" s="186"/>
      <c r="L723" s="186"/>
      <c r="M723" s="186"/>
      <c r="N723" s="185"/>
      <c r="O723" s="107">
        <f>IF(A19taxstdlife="n/a","n/a",IF(O$3&gt;(A19taxstdlife+$E723),(('PTRM input'!$N$161+'PTRM input'!$N$127)*$N$7)-SUM($N723:N723),(('PTRM input'!$N$161+'PTRM input'!$N$127)*$N$7)/A19taxstdlife))</f>
        <v>0</v>
      </c>
      <c r="P723" s="107">
        <f>IF(A19taxstdlife="n/a","n/a",IF(P$3&gt;(A19taxstdlife+$E723),(('PTRM input'!$N$161+'PTRM input'!$N$127)*$N$7)-SUM($N723:O723),(('PTRM input'!$N$161+'PTRM input'!$N$127)*$N$7)/A19taxstdlife))</f>
        <v>0</v>
      </c>
      <c r="Q723" s="590">
        <f>IF(A19taxstdlife="n/a","n/a",IF(Q$3&gt;(A19taxstdlife+$E723),(('PTRM input'!$N$161+'PTRM input'!$N$127)*$N$7)-SUM($N723:P723),(('PTRM input'!$N$161+'PTRM input'!$N$127)*$N$7)/A19taxstdlife))</f>
        <v>0</v>
      </c>
      <c r="R723" s="590">
        <f>IF(A19taxstdlife="n/a","n/a",IF(R$3&gt;(A19taxstdlife+$E723),(('PTRM input'!$N$161+'PTRM input'!$N$127)*$N$7)-SUM($N723:Q723),(('PTRM input'!$N$161+'PTRM input'!$N$127)*$N$7)/A19taxstdlife))</f>
        <v>0</v>
      </c>
      <c r="S723" s="590">
        <f>IF(A19taxstdlife="n/a","n/a",IF(S$3&gt;(A19taxstdlife+$E723),(('PTRM input'!$N$161+'PTRM input'!$N$127)*$N$7)-SUM($N723:R723),(('PTRM input'!$N$161+'PTRM input'!$N$127)*$N$7)/A19taxstdlife))</f>
        <v>0</v>
      </c>
      <c r="T723" s="590">
        <f>IF(A19taxstdlife="n/a","n/a",IF(T$3&gt;(A19taxstdlife+$E723),(('PTRM input'!$N$161+'PTRM input'!$N$127)*$N$7)-SUM($N723:S723),(('PTRM input'!$N$161+'PTRM input'!$N$127)*$N$7)/A19taxstdlife))</f>
        <v>0</v>
      </c>
      <c r="U723" s="590">
        <f>IF(A19taxstdlife="n/a","n/a",IF(U$3&gt;(A19taxstdlife+$E723),(('PTRM input'!$N$161+'PTRM input'!$N$127)*$N$7)-SUM($N723:T723),(('PTRM input'!$N$161+'PTRM input'!$N$127)*$N$7)/A19taxstdlife))</f>
        <v>0</v>
      </c>
      <c r="V723" s="590">
        <f>IF(A19taxstdlife="n/a","n/a",IF(V$3&gt;(A19taxstdlife+$E723),(('PTRM input'!$N$161+'PTRM input'!$N$127)*$N$7)-SUM($N723:U723),(('PTRM input'!$N$161+'PTRM input'!$N$127)*$N$7)/A19taxstdlife))</f>
        <v>0</v>
      </c>
      <c r="W723" s="590">
        <f>IF(A19taxstdlife="n/a","n/a",IF(W$3&gt;(A19taxstdlife+$E723),(('PTRM input'!$N$161+'PTRM input'!$N$127)*$N$7)-SUM($N723:V723),(('PTRM input'!$N$161+'PTRM input'!$N$127)*$N$7)/A19taxstdlife))</f>
        <v>0</v>
      </c>
      <c r="X723" s="590">
        <f>IF(A19taxstdlife="n/a","n/a",IF(X$3&gt;(A19taxstdlife+$E723),(('PTRM input'!$N$161+'PTRM input'!$N$127)*$N$7)-SUM($N723:W723),(('PTRM input'!$N$161+'PTRM input'!$N$127)*$N$7)/A19taxstdlife))</f>
        <v>0</v>
      </c>
      <c r="Y723" s="590">
        <f>IF(A19taxstdlife="n/a","n/a",IF(Y$3&gt;(A19taxstdlife+$E723),(('PTRM input'!$N$161+'PTRM input'!$N$127)*$N$7)-SUM($N723:X723),(('PTRM input'!$N$161+'PTRM input'!$N$127)*$N$7)/A19taxstdlife))</f>
        <v>0</v>
      </c>
      <c r="Z723" s="590">
        <f>IF(A19taxstdlife="n/a","n/a",IF(Z$3&gt;(A19taxstdlife+$E723),(('PTRM input'!$N$161+'PTRM input'!$N$127)*$N$7)-SUM($N723:Y723),(('PTRM input'!$N$161+'PTRM input'!$N$127)*$N$7)/A19taxstdlife))</f>
        <v>0</v>
      </c>
      <c r="AA723" s="590">
        <f>IF(A19taxstdlife="n/a","n/a",IF(AA$3&gt;(A19taxstdlife+$E723),(('PTRM input'!$N$161+'PTRM input'!$N$127)*$N$7)-SUM($N723:Z723),(('PTRM input'!$N$161+'PTRM input'!$N$127)*$N$7)/A19taxstdlife))</f>
        <v>0</v>
      </c>
      <c r="AB723" s="590">
        <f>IF(A19taxstdlife="n/a","n/a",IF(AB$3&gt;(A19taxstdlife+$E723),(('PTRM input'!$N$161+'PTRM input'!$N$127)*$N$7)-SUM($N723:AA723),(('PTRM input'!$N$161+'PTRM input'!$N$127)*$N$7)/A19taxstdlife))</f>
        <v>0</v>
      </c>
      <c r="AC723" s="590">
        <f>IF(A19taxstdlife="n/a","n/a",IF(AC$3&gt;(A19taxstdlife+$E723),(('PTRM input'!$N$161+'PTRM input'!$N$127)*$N$7)-SUM($N723:AB723),(('PTRM input'!$N$161+'PTRM input'!$N$127)*$N$7)/A19taxstdlife))</f>
        <v>0</v>
      </c>
      <c r="AD723" s="590">
        <f>IF(A19taxstdlife="n/a","n/a",IF(AD$3&gt;(A19taxstdlife+$E723),(('PTRM input'!$N$161+'PTRM input'!$N$127)*$N$7)-SUM($N723:AC723),(('PTRM input'!$N$161+'PTRM input'!$N$127)*$N$7)/A19taxstdlife))</f>
        <v>0</v>
      </c>
      <c r="AE723" s="590">
        <f>IF(A19taxstdlife="n/a","n/a",IF(AE$3&gt;(A19taxstdlife+$E723),(('PTRM input'!$N$161+'PTRM input'!$N$127)*$N$7)-SUM($N723:AD723),(('PTRM input'!$N$161+'PTRM input'!$N$127)*$N$7)/A19taxstdlife))</f>
        <v>0</v>
      </c>
      <c r="AF723" s="590">
        <f>IF(A19taxstdlife="n/a","n/a",IF(AF$3&gt;(A19taxstdlife+$E723),(('PTRM input'!$N$161+'PTRM input'!$N$127)*$N$7)-SUM($N723:AE723),(('PTRM input'!$N$161+'PTRM input'!$N$127)*$N$7)/A19taxstdlife))</f>
        <v>0</v>
      </c>
      <c r="AG723" s="590">
        <f>IF(A19taxstdlife="n/a","n/a",IF(AG$3&gt;(A19taxstdlife+$E723),(('PTRM input'!$N$161+'PTRM input'!$N$127)*$N$7)-SUM($N723:AF723),(('PTRM input'!$N$161+'PTRM input'!$N$127)*$N$7)/A19taxstdlife))</f>
        <v>0</v>
      </c>
      <c r="AH723" s="590">
        <f>IF(A19taxstdlife="n/a","n/a",IF(AH$3&gt;(A19taxstdlife+$E723),(('PTRM input'!$N$161+'PTRM input'!$N$127)*$N$7)-SUM($N723:AG723),(('PTRM input'!$N$161+'PTRM input'!$N$127)*$N$7)/A19taxstdlife))</f>
        <v>0</v>
      </c>
      <c r="AI723" s="590">
        <f>IF(A19taxstdlife="n/a","n/a",IF(AI$3&gt;(A19taxstdlife+$E723),(('PTRM input'!$N$161+'PTRM input'!$N$127)*$N$7)-SUM($N723:AH723),(('PTRM input'!$N$161+'PTRM input'!$N$127)*$N$7)/A19taxstdlife))</f>
        <v>0</v>
      </c>
      <c r="AJ723" s="590">
        <f>IF(A19taxstdlife="n/a","n/a",IF(AJ$3&gt;(A19taxstdlife+$E723),(('PTRM input'!$N$161+'PTRM input'!$N$127)*$N$7)-SUM($N723:AI723),(('PTRM input'!$N$161+'PTRM input'!$N$127)*$N$7)/A19taxstdlife))</f>
        <v>0</v>
      </c>
      <c r="AK723" s="590">
        <f>IF(A19taxstdlife="n/a","n/a",IF(AK$3&gt;(A19taxstdlife+$E723),(('PTRM input'!$N$161+'PTRM input'!$N$127)*$N$7)-SUM($N723:AJ723),(('PTRM input'!$N$161+'PTRM input'!$N$127)*$N$7)/A19taxstdlife))</f>
        <v>0</v>
      </c>
      <c r="AL723" s="590">
        <f>IF(A19taxstdlife="n/a","n/a",IF(AL$3&gt;(A19taxstdlife+$E723),(('PTRM input'!$N$161+'PTRM input'!$N$127)*$N$7)-SUM($N723:AK723),(('PTRM input'!$N$161+'PTRM input'!$N$127)*$N$7)/A19taxstdlife))</f>
        <v>0</v>
      </c>
      <c r="AM723" s="590">
        <f>IF(A19taxstdlife="n/a","n/a",IF(AM$3&gt;(A19taxstdlife+$E723),(('PTRM input'!$N$161+'PTRM input'!$N$127)*$N$7)-SUM($N723:AL723),(('PTRM input'!$N$161+'PTRM input'!$N$127)*$N$7)/A19taxstdlife))</f>
        <v>0</v>
      </c>
      <c r="AN723" s="590">
        <f>IF(A19taxstdlife="n/a","n/a",IF(AN$3&gt;(A19taxstdlife+$E723),(('PTRM input'!$N$161+'PTRM input'!$N$127)*$N$7)-SUM($N723:AM723),(('PTRM input'!$N$161+'PTRM input'!$N$127)*$N$7)/A19taxstdlife))</f>
        <v>0</v>
      </c>
      <c r="AO723" s="590">
        <f>IF(A19taxstdlife="n/a","n/a",IF(AO$3&gt;(A19taxstdlife+$E723),(('PTRM input'!$N$161+'PTRM input'!$N$127)*$N$7)-SUM($N723:AN723),(('PTRM input'!$N$161+'PTRM input'!$N$127)*$N$7)/A19taxstdlife))</f>
        <v>0</v>
      </c>
      <c r="AP723" s="590">
        <f>IF(A19taxstdlife="n/a","n/a",IF(AP$3&gt;(A19taxstdlife+$E723),(('PTRM input'!$N$161+'PTRM input'!$N$127)*$N$7)-SUM($N723:AO723),(('PTRM input'!$N$161+'PTRM input'!$N$127)*$N$7)/A19taxstdlife))</f>
        <v>0</v>
      </c>
      <c r="AQ723" s="590">
        <f>IF(A19taxstdlife="n/a","n/a",IF(AQ$3&gt;(A19taxstdlife+$E723),(('PTRM input'!$N$161+'PTRM input'!$N$127)*$N$7)-SUM($N723:AP723),(('PTRM input'!$N$161+'PTRM input'!$N$127)*$N$7)/A19taxstdlife))</f>
        <v>0</v>
      </c>
      <c r="AR723" s="590">
        <f>IF(A19taxstdlife="n/a","n/a",IF(AR$3&gt;(A19taxstdlife+$E723),(('PTRM input'!$N$161+'PTRM input'!$N$127)*$N$7)-SUM($N723:AQ723),(('PTRM input'!$N$161+'PTRM input'!$N$127)*$N$7)/A19taxstdlife))</f>
        <v>0</v>
      </c>
      <c r="AS723" s="590">
        <f>IF(A19taxstdlife="n/a","n/a",IF(AS$3&gt;(A19taxstdlife+$E723),(('PTRM input'!$N$161+'PTRM input'!$N$127)*$N$7)-SUM($N723:AR723),(('PTRM input'!$N$161+'PTRM input'!$N$127)*$N$7)/A19taxstdlife))</f>
        <v>0</v>
      </c>
      <c r="AT723" s="590">
        <f>IF(A19taxstdlife="n/a","n/a",IF(AT$3&gt;(A19taxstdlife+$E723),(('PTRM input'!$N$161+'PTRM input'!$N$127)*$N$7)-SUM($N723:AS723),(('PTRM input'!$N$161+'PTRM input'!$N$127)*$N$7)/A19taxstdlife))</f>
        <v>0</v>
      </c>
      <c r="AU723" s="590">
        <f>IF(A19taxstdlife="n/a","n/a",IF(AU$3&gt;(A19taxstdlife+$E723),(('PTRM input'!$N$161+'PTRM input'!$N$127)*$N$7)-SUM($N723:AT723),(('PTRM input'!$N$161+'PTRM input'!$N$127)*$N$7)/A19taxstdlife))</f>
        <v>0</v>
      </c>
      <c r="AV723" s="590">
        <f>IF(A19taxstdlife="n/a","n/a",IF(AV$3&gt;(A19taxstdlife+$E723),(('PTRM input'!$N$161+'PTRM input'!$N$127)*$N$7)-SUM($N723:AU723),(('PTRM input'!$N$161+'PTRM input'!$N$127)*$N$7)/A19taxstdlife))</f>
        <v>0</v>
      </c>
      <c r="AW723" s="590">
        <f>IF(A19taxstdlife="n/a","n/a",IF(AW$3&gt;(A19taxstdlife+$E723),(('PTRM input'!$N$161+'PTRM input'!$N$127)*$N$7)-SUM($N723:AV723),(('PTRM input'!$N$161+'PTRM input'!$N$127)*$N$7)/A19taxstdlife))</f>
        <v>0</v>
      </c>
      <c r="AX723" s="590">
        <f>IF(A19taxstdlife="n/a","n/a",IF(AX$3&gt;(A19taxstdlife+$E723),(('PTRM input'!$N$161+'PTRM input'!$N$127)*$N$7)-SUM($N723:AW723),(('PTRM input'!$N$161+'PTRM input'!$N$127)*$N$7)/A19taxstdlife))</f>
        <v>0</v>
      </c>
      <c r="AY723" s="590">
        <f>IF(A19taxstdlife="n/a","n/a",IF(AY$3&gt;(A19taxstdlife+$E723),(('PTRM input'!$N$161+'PTRM input'!$N$127)*$N$7)-SUM($N723:AX723),(('PTRM input'!$N$161+'PTRM input'!$N$127)*$N$7)/A19taxstdlife))</f>
        <v>0</v>
      </c>
      <c r="AZ723" s="590">
        <f>IF(A19taxstdlife="n/a","n/a",IF(AZ$3&gt;(A19taxstdlife+$E723),(('PTRM input'!$N$161+'PTRM input'!$N$127)*$N$7)-SUM($N723:AY723),(('PTRM input'!$N$161+'PTRM input'!$N$127)*$N$7)/A19taxstdlife))</f>
        <v>0</v>
      </c>
      <c r="BA723" s="590">
        <f>IF(A19taxstdlife="n/a","n/a",IF(BA$3&gt;(A19taxstdlife+$E723),(('PTRM input'!$N$161+'PTRM input'!$N$127)*$N$7)-SUM($N723:AZ723),(('PTRM input'!$N$161+'PTRM input'!$N$127)*$N$7)/A19taxstdlife))</f>
        <v>0</v>
      </c>
      <c r="BB723" s="590">
        <f>IF(A19taxstdlife="n/a","n/a",IF(BB$3&gt;(A19taxstdlife+$E723),(('PTRM input'!$N$161+'PTRM input'!$N$127)*$N$7)-SUM($N723:BA723),(('PTRM input'!$N$161+'PTRM input'!$N$127)*$N$7)/A19taxstdlife))</f>
        <v>0</v>
      </c>
      <c r="BC723" s="590">
        <f>IF(A19taxstdlife="n/a","n/a",IF(BC$3&gt;(A19taxstdlife+$E723),(('PTRM input'!$N$161+'PTRM input'!$N$127)*$N$7)-SUM($N723:BB723),(('PTRM input'!$N$161+'PTRM input'!$N$127)*$N$7)/A19taxstdlife))</f>
        <v>0</v>
      </c>
      <c r="BD723" s="590">
        <f>IF(A19taxstdlife="n/a","n/a",IF(BD$3&gt;(A19taxstdlife+$E723),(('PTRM input'!$N$161+'PTRM input'!$N$127)*$N$7)-SUM($N723:BC723),(('PTRM input'!$N$161+'PTRM input'!$N$127)*$N$7)/A19taxstdlife))</f>
        <v>0</v>
      </c>
      <c r="BE723" s="590">
        <f>IF(A19taxstdlife="n/a","n/a",IF(BE$3&gt;(A19taxstdlife+$E723),(('PTRM input'!$N$161+'PTRM input'!$N$127)*$N$7)-SUM($N723:BD723),(('PTRM input'!$N$161+'PTRM input'!$N$127)*$N$7)/A19taxstdlife))</f>
        <v>0</v>
      </c>
      <c r="BF723" s="590">
        <f>IF(A19taxstdlife="n/a","n/a",IF(BF$3&gt;(A19taxstdlife+$E723),(('PTRM input'!$N$161+'PTRM input'!$N$127)*$N$7)-SUM($N723:BE723),(('PTRM input'!$N$161+'PTRM input'!$N$127)*$N$7)/A19taxstdlife))</f>
        <v>0</v>
      </c>
      <c r="BG723" s="590">
        <f>IF(A19taxstdlife="n/a","n/a",IF(BG$3&gt;(A19taxstdlife+$E723),(('PTRM input'!$N$161+'PTRM input'!$N$127)*$N$7)-SUM($N723:BF723),(('PTRM input'!$N$161+'PTRM input'!$N$127)*$N$7)/A19taxstdlife))</f>
        <v>0</v>
      </c>
      <c r="BH723" s="590">
        <f>IF(A19taxstdlife="n/a","n/a",IF(BH$3&gt;(A19taxstdlife+$E723),(('PTRM input'!$N$161+'PTRM input'!$N$127)*$N$7)-SUM($N723:BG723),(('PTRM input'!$N$161+'PTRM input'!$N$127)*$N$7)/A19taxstdlife))</f>
        <v>0</v>
      </c>
      <c r="BI723" s="590">
        <f>IF(A19taxstdlife="n/a","n/a",IF(BI$3&gt;(A19taxstdlife+$E723),(('PTRM input'!$N$161+'PTRM input'!$N$127)*$N$7)-SUM($N723:BH723),(('PTRM input'!$N$161+'PTRM input'!$N$127)*$N$7)/A19taxstdlife))</f>
        <v>0</v>
      </c>
      <c r="BJ723" s="240"/>
      <c r="BK723" s="240"/>
      <c r="BL723" s="240"/>
      <c r="BM723" s="240"/>
    </row>
    <row r="724" spans="1:65" s="4" customFormat="1" hidden="1" outlineLevel="2">
      <c r="A724" s="240"/>
      <c r="B724" s="240"/>
      <c r="C724" s="595"/>
      <c r="D724" s="1618"/>
      <c r="E724" s="169">
        <v>9</v>
      </c>
      <c r="F724" s="35"/>
      <c r="G724" s="184"/>
      <c r="H724" s="186"/>
      <c r="I724" s="186"/>
      <c r="J724" s="186"/>
      <c r="K724" s="186"/>
      <c r="L724" s="186"/>
      <c r="M724" s="186"/>
      <c r="N724" s="186"/>
      <c r="O724" s="185"/>
      <c r="P724" s="107">
        <f>IF(A19taxstdlife="n/a","n/a",IF(P$3&gt;(A19taxstdlife+$E724),(('PTRM input'!$O$161+'PTRM input'!$O$127)*$O$7)-SUM($O724:O724),(('PTRM input'!$O$161+'PTRM input'!$O$127)*$O$7)/A19taxstdlife))</f>
        <v>0</v>
      </c>
      <c r="Q724" s="590">
        <f>IF(A19taxstdlife="n/a","n/a",IF(Q$3&gt;(A19taxstdlife+$E724),(('PTRM input'!$O$161+'PTRM input'!$O$127)*$O$7)-SUM($O724:P724),(('PTRM input'!$O$161+'PTRM input'!$O$127)*$O$7)/A19taxstdlife))</f>
        <v>0</v>
      </c>
      <c r="R724" s="590">
        <f>IF(A19taxstdlife="n/a","n/a",IF(R$3&gt;(A19taxstdlife+$E724),(('PTRM input'!$O$161+'PTRM input'!$O$127)*$O$7)-SUM($O724:Q724),(('PTRM input'!$O$161+'PTRM input'!$O$127)*$O$7)/A19taxstdlife))</f>
        <v>0</v>
      </c>
      <c r="S724" s="590">
        <f>IF(A19taxstdlife="n/a","n/a",IF(S$3&gt;(A19taxstdlife+$E724),(('PTRM input'!$O$161+'PTRM input'!$O$127)*$O$7)-SUM($O724:R724),(('PTRM input'!$O$161+'PTRM input'!$O$127)*$O$7)/A19taxstdlife))</f>
        <v>0</v>
      </c>
      <c r="T724" s="590">
        <f>IF(A19taxstdlife="n/a","n/a",IF(T$3&gt;(A19taxstdlife+$E724),(('PTRM input'!$O$161+'PTRM input'!$O$127)*$O$7)-SUM($O724:S724),(('PTRM input'!$O$161+'PTRM input'!$O$127)*$O$7)/A19taxstdlife))</f>
        <v>0</v>
      </c>
      <c r="U724" s="590">
        <f>IF(A19taxstdlife="n/a","n/a",IF(U$3&gt;(A19taxstdlife+$E724),(('PTRM input'!$O$161+'PTRM input'!$O$127)*$O$7)-SUM($O724:T724),(('PTRM input'!$O$161+'PTRM input'!$O$127)*$O$7)/A19taxstdlife))</f>
        <v>0</v>
      </c>
      <c r="V724" s="590">
        <f>IF(A19taxstdlife="n/a","n/a",IF(V$3&gt;(A19taxstdlife+$E724),(('PTRM input'!$O$161+'PTRM input'!$O$127)*$O$7)-SUM($O724:U724),(('PTRM input'!$O$161+'PTRM input'!$O$127)*$O$7)/A19taxstdlife))</f>
        <v>0</v>
      </c>
      <c r="W724" s="590">
        <f>IF(A19taxstdlife="n/a","n/a",IF(W$3&gt;(A19taxstdlife+$E724),(('PTRM input'!$O$161+'PTRM input'!$O$127)*$O$7)-SUM($O724:V724),(('PTRM input'!$O$161+'PTRM input'!$O$127)*$O$7)/A19taxstdlife))</f>
        <v>0</v>
      </c>
      <c r="X724" s="590">
        <f>IF(A19taxstdlife="n/a","n/a",IF(X$3&gt;(A19taxstdlife+$E724),(('PTRM input'!$O$161+'PTRM input'!$O$127)*$O$7)-SUM($O724:W724),(('PTRM input'!$O$161+'PTRM input'!$O$127)*$O$7)/A19taxstdlife))</f>
        <v>0</v>
      </c>
      <c r="Y724" s="590">
        <f>IF(A19taxstdlife="n/a","n/a",IF(Y$3&gt;(A19taxstdlife+$E724),(('PTRM input'!$O$161+'PTRM input'!$O$127)*$O$7)-SUM($O724:X724),(('PTRM input'!$O$161+'PTRM input'!$O$127)*$O$7)/A19taxstdlife))</f>
        <v>0</v>
      </c>
      <c r="Z724" s="590">
        <f>IF(A19taxstdlife="n/a","n/a",IF(Z$3&gt;(A19taxstdlife+$E724),(('PTRM input'!$O$161+'PTRM input'!$O$127)*$O$7)-SUM($O724:Y724),(('PTRM input'!$O$161+'PTRM input'!$O$127)*$O$7)/A19taxstdlife))</f>
        <v>0</v>
      </c>
      <c r="AA724" s="590">
        <f>IF(A19taxstdlife="n/a","n/a",IF(AA$3&gt;(A19taxstdlife+$E724),(('PTRM input'!$O$161+'PTRM input'!$O$127)*$O$7)-SUM($O724:Z724),(('PTRM input'!$O$161+'PTRM input'!$O$127)*$O$7)/A19taxstdlife))</f>
        <v>0</v>
      </c>
      <c r="AB724" s="590">
        <f>IF(A19taxstdlife="n/a","n/a",IF(AB$3&gt;(A19taxstdlife+$E724),(('PTRM input'!$O$161+'PTRM input'!$O$127)*$O$7)-SUM($O724:AA724),(('PTRM input'!$O$161+'PTRM input'!$O$127)*$O$7)/A19taxstdlife))</f>
        <v>0</v>
      </c>
      <c r="AC724" s="590">
        <f>IF(A19taxstdlife="n/a","n/a",IF(AC$3&gt;(A19taxstdlife+$E724),(('PTRM input'!$O$161+'PTRM input'!$O$127)*$O$7)-SUM($O724:AB724),(('PTRM input'!$O$161+'PTRM input'!$O$127)*$O$7)/A19taxstdlife))</f>
        <v>0</v>
      </c>
      <c r="AD724" s="590">
        <f>IF(A19taxstdlife="n/a","n/a",IF(AD$3&gt;(A19taxstdlife+$E724),(('PTRM input'!$O$161+'PTRM input'!$O$127)*$O$7)-SUM($O724:AC724),(('PTRM input'!$O$161+'PTRM input'!$O$127)*$O$7)/A19taxstdlife))</f>
        <v>0</v>
      </c>
      <c r="AE724" s="590">
        <f>IF(A19taxstdlife="n/a","n/a",IF(AE$3&gt;(A19taxstdlife+$E724),(('PTRM input'!$O$161+'PTRM input'!$O$127)*$O$7)-SUM($O724:AD724),(('PTRM input'!$O$161+'PTRM input'!$O$127)*$O$7)/A19taxstdlife))</f>
        <v>0</v>
      </c>
      <c r="AF724" s="590">
        <f>IF(A19taxstdlife="n/a","n/a",IF(AF$3&gt;(A19taxstdlife+$E724),(('PTRM input'!$O$161+'PTRM input'!$O$127)*$O$7)-SUM($O724:AE724),(('PTRM input'!$O$161+'PTRM input'!$O$127)*$O$7)/A19taxstdlife))</f>
        <v>0</v>
      </c>
      <c r="AG724" s="590">
        <f>IF(A19taxstdlife="n/a","n/a",IF(AG$3&gt;(A19taxstdlife+$E724),(('PTRM input'!$O$161+'PTRM input'!$O$127)*$O$7)-SUM($O724:AF724),(('PTRM input'!$O$161+'PTRM input'!$O$127)*$O$7)/A19taxstdlife))</f>
        <v>0</v>
      </c>
      <c r="AH724" s="590">
        <f>IF(A19taxstdlife="n/a","n/a",IF(AH$3&gt;(A19taxstdlife+$E724),(('PTRM input'!$O$161+'PTRM input'!$O$127)*$O$7)-SUM($O724:AG724),(('PTRM input'!$O$161+'PTRM input'!$O$127)*$O$7)/A19taxstdlife))</f>
        <v>0</v>
      </c>
      <c r="AI724" s="590">
        <f>IF(A19taxstdlife="n/a","n/a",IF(AI$3&gt;(A19taxstdlife+$E724),(('PTRM input'!$O$161+'PTRM input'!$O$127)*$O$7)-SUM($O724:AH724),(('PTRM input'!$O$161+'PTRM input'!$O$127)*$O$7)/A19taxstdlife))</f>
        <v>0</v>
      </c>
      <c r="AJ724" s="590">
        <f>IF(A19taxstdlife="n/a","n/a",IF(AJ$3&gt;(A19taxstdlife+$E724),(('PTRM input'!$O$161+'PTRM input'!$O$127)*$O$7)-SUM($O724:AI724),(('PTRM input'!$O$161+'PTRM input'!$O$127)*$O$7)/A19taxstdlife))</f>
        <v>0</v>
      </c>
      <c r="AK724" s="590">
        <f>IF(A19taxstdlife="n/a","n/a",IF(AK$3&gt;(A19taxstdlife+$E724),(('PTRM input'!$O$161+'PTRM input'!$O$127)*$O$7)-SUM($O724:AJ724),(('PTRM input'!$O$161+'PTRM input'!$O$127)*$O$7)/A19taxstdlife))</f>
        <v>0</v>
      </c>
      <c r="AL724" s="590">
        <f>IF(A19taxstdlife="n/a","n/a",IF(AL$3&gt;(A19taxstdlife+$E724),(('PTRM input'!$O$161+'PTRM input'!$O$127)*$O$7)-SUM($O724:AK724),(('PTRM input'!$O$161+'PTRM input'!$O$127)*$O$7)/A19taxstdlife))</f>
        <v>0</v>
      </c>
      <c r="AM724" s="590">
        <f>IF(A19taxstdlife="n/a","n/a",IF(AM$3&gt;(A19taxstdlife+$E724),(('PTRM input'!$O$161+'PTRM input'!$O$127)*$O$7)-SUM($O724:AL724),(('PTRM input'!$O$161+'PTRM input'!$O$127)*$O$7)/A19taxstdlife))</f>
        <v>0</v>
      </c>
      <c r="AN724" s="590">
        <f>IF(A19taxstdlife="n/a","n/a",IF(AN$3&gt;(A19taxstdlife+$E724),(('PTRM input'!$O$161+'PTRM input'!$O$127)*$O$7)-SUM($O724:AM724),(('PTRM input'!$O$161+'PTRM input'!$O$127)*$O$7)/A19taxstdlife))</f>
        <v>0</v>
      </c>
      <c r="AO724" s="590">
        <f>IF(A19taxstdlife="n/a","n/a",IF(AO$3&gt;(A19taxstdlife+$E724),(('PTRM input'!$O$161+'PTRM input'!$O$127)*$O$7)-SUM($O724:AN724),(('PTRM input'!$O$161+'PTRM input'!$O$127)*$O$7)/A19taxstdlife))</f>
        <v>0</v>
      </c>
      <c r="AP724" s="590">
        <f>IF(A19taxstdlife="n/a","n/a",IF(AP$3&gt;(A19taxstdlife+$E724),(('PTRM input'!$O$161+'PTRM input'!$O$127)*$O$7)-SUM($O724:AO724),(('PTRM input'!$O$161+'PTRM input'!$O$127)*$O$7)/A19taxstdlife))</f>
        <v>0</v>
      </c>
      <c r="AQ724" s="590">
        <f>IF(A19taxstdlife="n/a","n/a",IF(AQ$3&gt;(A19taxstdlife+$E724),(('PTRM input'!$O$161+'PTRM input'!$O$127)*$O$7)-SUM($O724:AP724),(('PTRM input'!$O$161+'PTRM input'!$O$127)*$O$7)/A19taxstdlife))</f>
        <v>0</v>
      </c>
      <c r="AR724" s="590">
        <f>IF(A19taxstdlife="n/a","n/a",IF(AR$3&gt;(A19taxstdlife+$E724),(('PTRM input'!$O$161+'PTRM input'!$O$127)*$O$7)-SUM($O724:AQ724),(('PTRM input'!$O$161+'PTRM input'!$O$127)*$O$7)/A19taxstdlife))</f>
        <v>0</v>
      </c>
      <c r="AS724" s="590">
        <f>IF(A19taxstdlife="n/a","n/a",IF(AS$3&gt;(A19taxstdlife+$E724),(('PTRM input'!$O$161+'PTRM input'!$O$127)*$O$7)-SUM($O724:AR724),(('PTRM input'!$O$161+'PTRM input'!$O$127)*$O$7)/A19taxstdlife))</f>
        <v>0</v>
      </c>
      <c r="AT724" s="590">
        <f>IF(A19taxstdlife="n/a","n/a",IF(AT$3&gt;(A19taxstdlife+$E724),(('PTRM input'!$O$161+'PTRM input'!$O$127)*$O$7)-SUM($O724:AS724),(('PTRM input'!$O$161+'PTRM input'!$O$127)*$O$7)/A19taxstdlife))</f>
        <v>0</v>
      </c>
      <c r="AU724" s="590">
        <f>IF(A19taxstdlife="n/a","n/a",IF(AU$3&gt;(A19taxstdlife+$E724),(('PTRM input'!$O$161+'PTRM input'!$O$127)*$O$7)-SUM($O724:AT724),(('PTRM input'!$O$161+'PTRM input'!$O$127)*$O$7)/A19taxstdlife))</f>
        <v>0</v>
      </c>
      <c r="AV724" s="590">
        <f>IF(A19taxstdlife="n/a","n/a",IF(AV$3&gt;(A19taxstdlife+$E724),(('PTRM input'!$O$161+'PTRM input'!$O$127)*$O$7)-SUM($O724:AU724),(('PTRM input'!$O$161+'PTRM input'!$O$127)*$O$7)/A19taxstdlife))</f>
        <v>0</v>
      </c>
      <c r="AW724" s="590">
        <f>IF(A19taxstdlife="n/a","n/a",IF(AW$3&gt;(A19taxstdlife+$E724),(('PTRM input'!$O$161+'PTRM input'!$O$127)*$O$7)-SUM($O724:AV724),(('PTRM input'!$O$161+'PTRM input'!$O$127)*$O$7)/A19taxstdlife))</f>
        <v>0</v>
      </c>
      <c r="AX724" s="590">
        <f>IF(A19taxstdlife="n/a","n/a",IF(AX$3&gt;(A19taxstdlife+$E724),(('PTRM input'!$O$161+'PTRM input'!$O$127)*$O$7)-SUM($O724:AW724),(('PTRM input'!$O$161+'PTRM input'!$O$127)*$O$7)/A19taxstdlife))</f>
        <v>0</v>
      </c>
      <c r="AY724" s="590">
        <f>IF(A19taxstdlife="n/a","n/a",IF(AY$3&gt;(A19taxstdlife+$E724),(('PTRM input'!$O$161+'PTRM input'!$O$127)*$O$7)-SUM($O724:AX724),(('PTRM input'!$O$161+'PTRM input'!$O$127)*$O$7)/A19taxstdlife))</f>
        <v>0</v>
      </c>
      <c r="AZ724" s="590">
        <f>IF(A19taxstdlife="n/a","n/a",IF(AZ$3&gt;(A19taxstdlife+$E724),(('PTRM input'!$O$161+'PTRM input'!$O$127)*$O$7)-SUM($O724:AY724),(('PTRM input'!$O$161+'PTRM input'!$O$127)*$O$7)/A19taxstdlife))</f>
        <v>0</v>
      </c>
      <c r="BA724" s="590">
        <f>IF(A19taxstdlife="n/a","n/a",IF(BA$3&gt;(A19taxstdlife+$E724),(('PTRM input'!$O$161+'PTRM input'!$O$127)*$O$7)-SUM($O724:AZ724),(('PTRM input'!$O$161+'PTRM input'!$O$127)*$O$7)/A19taxstdlife))</f>
        <v>0</v>
      </c>
      <c r="BB724" s="590">
        <f>IF(A19taxstdlife="n/a","n/a",IF(BB$3&gt;(A19taxstdlife+$E724),(('PTRM input'!$O$161+'PTRM input'!$O$127)*$O$7)-SUM($O724:BA724),(('PTRM input'!$O$161+'PTRM input'!$O$127)*$O$7)/A19taxstdlife))</f>
        <v>0</v>
      </c>
      <c r="BC724" s="590">
        <f>IF(A19taxstdlife="n/a","n/a",IF(BC$3&gt;(A19taxstdlife+$E724),(('PTRM input'!$O$161+'PTRM input'!$O$127)*$O$7)-SUM($O724:BB724),(('PTRM input'!$O$161+'PTRM input'!$O$127)*$O$7)/A19taxstdlife))</f>
        <v>0</v>
      </c>
      <c r="BD724" s="590">
        <f>IF(A19taxstdlife="n/a","n/a",IF(BD$3&gt;(A19taxstdlife+$E724),(('PTRM input'!$O$161+'PTRM input'!$O$127)*$O$7)-SUM($O724:BC724),(('PTRM input'!$O$161+'PTRM input'!$O$127)*$O$7)/A19taxstdlife))</f>
        <v>0</v>
      </c>
      <c r="BE724" s="590">
        <f>IF(A19taxstdlife="n/a","n/a",IF(BE$3&gt;(A19taxstdlife+$E724),(('PTRM input'!$O$161+'PTRM input'!$O$127)*$O$7)-SUM($O724:BD724),(('PTRM input'!$O$161+'PTRM input'!$O$127)*$O$7)/A19taxstdlife))</f>
        <v>0</v>
      </c>
      <c r="BF724" s="590">
        <f>IF(A19taxstdlife="n/a","n/a",IF(BF$3&gt;(A19taxstdlife+$E724),(('PTRM input'!$O$161+'PTRM input'!$O$127)*$O$7)-SUM($O724:BE724),(('PTRM input'!$O$161+'PTRM input'!$O$127)*$O$7)/A19taxstdlife))</f>
        <v>0</v>
      </c>
      <c r="BG724" s="590">
        <f>IF(A19taxstdlife="n/a","n/a",IF(BG$3&gt;(A19taxstdlife+$E724),(('PTRM input'!$O$161+'PTRM input'!$O$127)*$O$7)-SUM($O724:BF724),(('PTRM input'!$O$161+'PTRM input'!$O$127)*$O$7)/A19taxstdlife))</f>
        <v>0</v>
      </c>
      <c r="BH724" s="590">
        <f>IF(A19taxstdlife="n/a","n/a",IF(BH$3&gt;(A19taxstdlife+$E724),(('PTRM input'!$O$161+'PTRM input'!$O$127)*$O$7)-SUM($O724:BG724),(('PTRM input'!$O$161+'PTRM input'!$O$127)*$O$7)/A19taxstdlife))</f>
        <v>0</v>
      </c>
      <c r="BI724" s="590">
        <f>IF(A19taxstdlife="n/a","n/a",IF(BI$3&gt;(A19taxstdlife+$E724),(('PTRM input'!$O$161+'PTRM input'!$O$127)*$O$7)-SUM($O724:BH724),(('PTRM input'!$O$161+'PTRM input'!$O$127)*$O$7)/A19taxstdlife))</f>
        <v>0</v>
      </c>
      <c r="BJ724" s="240"/>
      <c r="BK724" s="240"/>
      <c r="BL724" s="240"/>
      <c r="BM724" s="240"/>
    </row>
    <row r="725" spans="1:65" s="4" customFormat="1" hidden="1" outlineLevel="2">
      <c r="A725" s="240"/>
      <c r="B725" s="240"/>
      <c r="C725" s="595"/>
      <c r="D725" s="1618"/>
      <c r="E725" s="170">
        <v>10</v>
      </c>
      <c r="F725" s="35"/>
      <c r="G725" s="184"/>
      <c r="H725" s="186"/>
      <c r="I725" s="186"/>
      <c r="J725" s="186"/>
      <c r="K725" s="186"/>
      <c r="L725" s="186"/>
      <c r="M725" s="186"/>
      <c r="N725" s="186"/>
      <c r="O725" s="186"/>
      <c r="P725" s="185"/>
      <c r="Q725" s="590">
        <f>IF(A19taxstdlife="n/a","n/a",IF(Q$3&gt;(A19taxstdlife+$E725),(('PTRM input'!$P$161+'PTRM input'!$P$127)*$P$7)-SUM($P725:P725),(('PTRM input'!$P$161+'PTRM input'!$P$127)*$P$7)/A19taxstdlife))</f>
        <v>0</v>
      </c>
      <c r="R725" s="590">
        <f>IF(A19taxstdlife="n/a","n/a",IF(R$3&gt;(A19taxstdlife+$E725),(('PTRM input'!$P$161+'PTRM input'!$P$127)*$P$7)-SUM($P725:Q725),(('PTRM input'!$P$161+'PTRM input'!$P$127)*$P$7)/A19taxstdlife))</f>
        <v>0</v>
      </c>
      <c r="S725" s="590">
        <f>IF(A19taxstdlife="n/a","n/a",IF(S$3&gt;(A19taxstdlife+$E725),(('PTRM input'!$P$161+'PTRM input'!$P$127)*$P$7)-SUM($P725:R725),(('PTRM input'!$P$161+'PTRM input'!$P$127)*$P$7)/A19taxstdlife))</f>
        <v>0</v>
      </c>
      <c r="T725" s="590">
        <f>IF(A19taxstdlife="n/a","n/a",IF(T$3&gt;(A19taxstdlife+$E725),(('PTRM input'!$P$161+'PTRM input'!$P$127)*$P$7)-SUM($P725:S725),(('PTRM input'!$P$161+'PTRM input'!$P$127)*$P$7)/A19taxstdlife))</f>
        <v>0</v>
      </c>
      <c r="U725" s="590">
        <f>IF(A19taxstdlife="n/a","n/a",IF(U$3&gt;(A19taxstdlife+$E725),(('PTRM input'!$P$161+'PTRM input'!$P$127)*$P$7)-SUM($P725:T725),(('PTRM input'!$P$161+'PTRM input'!$P$127)*$P$7)/A19taxstdlife))</f>
        <v>0</v>
      </c>
      <c r="V725" s="590">
        <f>IF(A19taxstdlife="n/a","n/a",IF(V$3&gt;(A19taxstdlife+$E725),(('PTRM input'!$P$161+'PTRM input'!$P$127)*$P$7)-SUM($P725:U725),(('PTRM input'!$P$161+'PTRM input'!$P$127)*$P$7)/A19taxstdlife))</f>
        <v>0</v>
      </c>
      <c r="W725" s="590">
        <f>IF(A19taxstdlife="n/a","n/a",IF(W$3&gt;(A19taxstdlife+$E725),(('PTRM input'!$P$161+'PTRM input'!$P$127)*$P$7)-SUM($P725:V725),(('PTRM input'!$P$161+'PTRM input'!$P$127)*$P$7)/A19taxstdlife))</f>
        <v>0</v>
      </c>
      <c r="X725" s="590">
        <f>IF(A19taxstdlife="n/a","n/a",IF(X$3&gt;(A19taxstdlife+$E725),(('PTRM input'!$P$161+'PTRM input'!$P$127)*$P$7)-SUM($P725:W725),(('PTRM input'!$P$161+'PTRM input'!$P$127)*$P$7)/A19taxstdlife))</f>
        <v>0</v>
      </c>
      <c r="Y725" s="590">
        <f>IF(A19taxstdlife="n/a","n/a",IF(Y$3&gt;(A19taxstdlife+$E725),(('PTRM input'!$P$161+'PTRM input'!$P$127)*$P$7)-SUM($P725:X725),(('PTRM input'!$P$161+'PTRM input'!$P$127)*$P$7)/A19taxstdlife))</f>
        <v>0</v>
      </c>
      <c r="Z725" s="590">
        <f>IF(A19taxstdlife="n/a","n/a",IF(Z$3&gt;(A19taxstdlife+$E725),(('PTRM input'!$P$161+'PTRM input'!$P$127)*$P$7)-SUM($P725:Y725),(('PTRM input'!$P$161+'PTRM input'!$P$127)*$P$7)/A19taxstdlife))</f>
        <v>0</v>
      </c>
      <c r="AA725" s="590">
        <f>IF(A19taxstdlife="n/a","n/a",IF(AA$3&gt;(A19taxstdlife+$E725),(('PTRM input'!$P$161+'PTRM input'!$P$127)*$P$7)-SUM($P725:Z725),(('PTRM input'!$P$161+'PTRM input'!$P$127)*$P$7)/A19taxstdlife))</f>
        <v>0</v>
      </c>
      <c r="AB725" s="590">
        <f>IF(A19taxstdlife="n/a","n/a",IF(AB$3&gt;(A19taxstdlife+$E725),(('PTRM input'!$P$161+'PTRM input'!$P$127)*$P$7)-SUM($P725:AA725),(('PTRM input'!$P$161+'PTRM input'!$P$127)*$P$7)/A19taxstdlife))</f>
        <v>0</v>
      </c>
      <c r="AC725" s="590">
        <f>IF(A19taxstdlife="n/a","n/a",IF(AC$3&gt;(A19taxstdlife+$E725),(('PTRM input'!$P$161+'PTRM input'!$P$127)*$P$7)-SUM($P725:AB725),(('PTRM input'!$P$161+'PTRM input'!$P$127)*$P$7)/A19taxstdlife))</f>
        <v>0</v>
      </c>
      <c r="AD725" s="590">
        <f>IF(A19taxstdlife="n/a","n/a",IF(AD$3&gt;(A19taxstdlife+$E725),(('PTRM input'!$P$161+'PTRM input'!$P$127)*$P$7)-SUM($P725:AC725),(('PTRM input'!$P$161+'PTRM input'!$P$127)*$P$7)/A19taxstdlife))</f>
        <v>0</v>
      </c>
      <c r="AE725" s="590">
        <f>IF(A19taxstdlife="n/a","n/a",IF(AE$3&gt;(A19taxstdlife+$E725),(('PTRM input'!$P$161+'PTRM input'!$P$127)*$P$7)-SUM($P725:AD725),(('PTRM input'!$P$161+'PTRM input'!$P$127)*$P$7)/A19taxstdlife))</f>
        <v>0</v>
      </c>
      <c r="AF725" s="590">
        <f>IF(A19taxstdlife="n/a","n/a",IF(AF$3&gt;(A19taxstdlife+$E725),(('PTRM input'!$P$161+'PTRM input'!$P$127)*$P$7)-SUM($P725:AE725),(('PTRM input'!$P$161+'PTRM input'!$P$127)*$P$7)/A19taxstdlife))</f>
        <v>0</v>
      </c>
      <c r="AG725" s="590">
        <f>IF(A19taxstdlife="n/a","n/a",IF(AG$3&gt;(A19taxstdlife+$E725),(('PTRM input'!$P$161+'PTRM input'!$P$127)*$P$7)-SUM($P725:AF725),(('PTRM input'!$P$161+'PTRM input'!$P$127)*$P$7)/A19taxstdlife))</f>
        <v>0</v>
      </c>
      <c r="AH725" s="590">
        <f>IF(A19taxstdlife="n/a","n/a",IF(AH$3&gt;(A19taxstdlife+$E725),(('PTRM input'!$P$161+'PTRM input'!$P$127)*$P$7)-SUM($P725:AG725),(('PTRM input'!$P$161+'PTRM input'!$P$127)*$P$7)/A19taxstdlife))</f>
        <v>0</v>
      </c>
      <c r="AI725" s="590">
        <f>IF(A19taxstdlife="n/a","n/a",IF(AI$3&gt;(A19taxstdlife+$E725),(('PTRM input'!$P$161+'PTRM input'!$P$127)*$P$7)-SUM($P725:AH725),(('PTRM input'!$P$161+'PTRM input'!$P$127)*$P$7)/A19taxstdlife))</f>
        <v>0</v>
      </c>
      <c r="AJ725" s="590">
        <f>IF(A19taxstdlife="n/a","n/a",IF(AJ$3&gt;(A19taxstdlife+$E725),(('PTRM input'!$P$161+'PTRM input'!$P$127)*$P$7)-SUM($P725:AI725),(('PTRM input'!$P$161+'PTRM input'!$P$127)*$P$7)/A19taxstdlife))</f>
        <v>0</v>
      </c>
      <c r="AK725" s="590">
        <f>IF(A19taxstdlife="n/a","n/a",IF(AK$3&gt;(A19taxstdlife+$E725),(('PTRM input'!$P$161+'PTRM input'!$P$127)*$P$7)-SUM($P725:AJ725),(('PTRM input'!$P$161+'PTRM input'!$P$127)*$P$7)/A19taxstdlife))</f>
        <v>0</v>
      </c>
      <c r="AL725" s="590">
        <f>IF(A19taxstdlife="n/a","n/a",IF(AL$3&gt;(A19taxstdlife+$E725),(('PTRM input'!$P$161+'PTRM input'!$P$127)*$P$7)-SUM($P725:AK725),(('PTRM input'!$P$161+'PTRM input'!$P$127)*$P$7)/A19taxstdlife))</f>
        <v>0</v>
      </c>
      <c r="AM725" s="590">
        <f>IF(A19taxstdlife="n/a","n/a",IF(AM$3&gt;(A19taxstdlife+$E725),(('PTRM input'!$P$161+'PTRM input'!$P$127)*$P$7)-SUM($P725:AL725),(('PTRM input'!$P$161+'PTRM input'!$P$127)*$P$7)/A19taxstdlife))</f>
        <v>0</v>
      </c>
      <c r="AN725" s="590">
        <f>IF(A19taxstdlife="n/a","n/a",IF(AN$3&gt;(A19taxstdlife+$E725),(('PTRM input'!$P$161+'PTRM input'!$P$127)*$P$7)-SUM($P725:AM725),(('PTRM input'!$P$161+'PTRM input'!$P$127)*$P$7)/A19taxstdlife))</f>
        <v>0</v>
      </c>
      <c r="AO725" s="590">
        <f>IF(A19taxstdlife="n/a","n/a",IF(AO$3&gt;(A19taxstdlife+$E725),(('PTRM input'!$P$161+'PTRM input'!$P$127)*$P$7)-SUM($P725:AN725),(('PTRM input'!$P$161+'PTRM input'!$P$127)*$P$7)/A19taxstdlife))</f>
        <v>0</v>
      </c>
      <c r="AP725" s="590">
        <f>IF(A19taxstdlife="n/a","n/a",IF(AP$3&gt;(A19taxstdlife+$E725),(('PTRM input'!$P$161+'PTRM input'!$P$127)*$P$7)-SUM($P725:AO725),(('PTRM input'!$P$161+'PTRM input'!$P$127)*$P$7)/A19taxstdlife))</f>
        <v>0</v>
      </c>
      <c r="AQ725" s="590">
        <f>IF(A19taxstdlife="n/a","n/a",IF(AQ$3&gt;(A19taxstdlife+$E725),(('PTRM input'!$P$161+'PTRM input'!$P$127)*$P$7)-SUM($P725:AP725),(('PTRM input'!$P$161+'PTRM input'!$P$127)*$P$7)/A19taxstdlife))</f>
        <v>0</v>
      </c>
      <c r="AR725" s="590">
        <f>IF(A19taxstdlife="n/a","n/a",IF(AR$3&gt;(A19taxstdlife+$E725),(('PTRM input'!$P$161+'PTRM input'!$P$127)*$P$7)-SUM($P725:AQ725),(('PTRM input'!$P$161+'PTRM input'!$P$127)*$P$7)/A19taxstdlife))</f>
        <v>0</v>
      </c>
      <c r="AS725" s="590">
        <f>IF(A19taxstdlife="n/a","n/a",IF(AS$3&gt;(A19taxstdlife+$E725),(('PTRM input'!$P$161+'PTRM input'!$P$127)*$P$7)-SUM($P725:AR725),(('PTRM input'!$P$161+'PTRM input'!$P$127)*$P$7)/A19taxstdlife))</f>
        <v>0</v>
      </c>
      <c r="AT725" s="590">
        <f>IF(A19taxstdlife="n/a","n/a",IF(AT$3&gt;(A19taxstdlife+$E725),(('PTRM input'!$P$161+'PTRM input'!$P$127)*$P$7)-SUM($P725:AS725),(('PTRM input'!$P$161+'PTRM input'!$P$127)*$P$7)/A19taxstdlife))</f>
        <v>0</v>
      </c>
      <c r="AU725" s="590">
        <f>IF(A19taxstdlife="n/a","n/a",IF(AU$3&gt;(A19taxstdlife+$E725),(('PTRM input'!$P$161+'PTRM input'!$P$127)*$P$7)-SUM($P725:AT725),(('PTRM input'!$P$161+'PTRM input'!$P$127)*$P$7)/A19taxstdlife))</f>
        <v>0</v>
      </c>
      <c r="AV725" s="590">
        <f>IF(A19taxstdlife="n/a","n/a",IF(AV$3&gt;(A19taxstdlife+$E725),(('PTRM input'!$P$161+'PTRM input'!$P$127)*$P$7)-SUM($P725:AU725),(('PTRM input'!$P$161+'PTRM input'!$P$127)*$P$7)/A19taxstdlife))</f>
        <v>0</v>
      </c>
      <c r="AW725" s="590">
        <f>IF(A19taxstdlife="n/a","n/a",IF(AW$3&gt;(A19taxstdlife+$E725),(('PTRM input'!$P$161+'PTRM input'!$P$127)*$P$7)-SUM($P725:AV725),(('PTRM input'!$P$161+'PTRM input'!$P$127)*$P$7)/A19taxstdlife))</f>
        <v>0</v>
      </c>
      <c r="AX725" s="590">
        <f>IF(A19taxstdlife="n/a","n/a",IF(AX$3&gt;(A19taxstdlife+$E725),(('PTRM input'!$P$161+'PTRM input'!$P$127)*$P$7)-SUM($P725:AW725),(('PTRM input'!$P$161+'PTRM input'!$P$127)*$P$7)/A19taxstdlife))</f>
        <v>0</v>
      </c>
      <c r="AY725" s="590">
        <f>IF(A19taxstdlife="n/a","n/a",IF(AY$3&gt;(A19taxstdlife+$E725),(('PTRM input'!$P$161+'PTRM input'!$P$127)*$P$7)-SUM($P725:AX725),(('PTRM input'!$P$161+'PTRM input'!$P$127)*$P$7)/A19taxstdlife))</f>
        <v>0</v>
      </c>
      <c r="AZ725" s="590">
        <f>IF(A19taxstdlife="n/a","n/a",IF(AZ$3&gt;(A19taxstdlife+$E725),(('PTRM input'!$P$161+'PTRM input'!$P$127)*$P$7)-SUM($P725:AY725),(('PTRM input'!$P$161+'PTRM input'!$P$127)*$P$7)/A19taxstdlife))</f>
        <v>0</v>
      </c>
      <c r="BA725" s="590">
        <f>IF(A19taxstdlife="n/a","n/a",IF(BA$3&gt;(A19taxstdlife+$E725),(('PTRM input'!$P$161+'PTRM input'!$P$127)*$P$7)-SUM($P725:AZ725),(('PTRM input'!$P$161+'PTRM input'!$P$127)*$P$7)/A19taxstdlife))</f>
        <v>0</v>
      </c>
      <c r="BB725" s="590">
        <f>IF(A19taxstdlife="n/a","n/a",IF(BB$3&gt;(A19taxstdlife+$E725),(('PTRM input'!$P$161+'PTRM input'!$P$127)*$P$7)-SUM($P725:BA725),(('PTRM input'!$P$161+'PTRM input'!$P$127)*$P$7)/A19taxstdlife))</f>
        <v>0</v>
      </c>
      <c r="BC725" s="590">
        <f>IF(A19taxstdlife="n/a","n/a",IF(BC$3&gt;(A19taxstdlife+$E725),(('PTRM input'!$P$161+'PTRM input'!$P$127)*$P$7)-SUM($P725:BB725),(('PTRM input'!$P$161+'PTRM input'!$P$127)*$P$7)/A19taxstdlife))</f>
        <v>0</v>
      </c>
      <c r="BD725" s="590">
        <f>IF(A19taxstdlife="n/a","n/a",IF(BD$3&gt;(A19taxstdlife+$E725),(('PTRM input'!$P$161+'PTRM input'!$P$127)*$P$7)-SUM($P725:BC725),(('PTRM input'!$P$161+'PTRM input'!$P$127)*$P$7)/A19taxstdlife))</f>
        <v>0</v>
      </c>
      <c r="BE725" s="590">
        <f>IF(A19taxstdlife="n/a","n/a",IF(BE$3&gt;(A19taxstdlife+$E725),(('PTRM input'!$P$161+'PTRM input'!$P$127)*$P$7)-SUM($P725:BD725),(('PTRM input'!$P$161+'PTRM input'!$P$127)*$P$7)/A19taxstdlife))</f>
        <v>0</v>
      </c>
      <c r="BF725" s="590">
        <f>IF(A19taxstdlife="n/a","n/a",IF(BF$3&gt;(A19taxstdlife+$E725),(('PTRM input'!$P$161+'PTRM input'!$P$127)*$P$7)-SUM($P725:BE725),(('PTRM input'!$P$161+'PTRM input'!$P$127)*$P$7)/A19taxstdlife))</f>
        <v>0</v>
      </c>
      <c r="BG725" s="590">
        <f>IF(A19taxstdlife="n/a","n/a",IF(BG$3&gt;(A19taxstdlife+$E725),(('PTRM input'!$P$161+'PTRM input'!$P$127)*$P$7)-SUM($P725:BF725),(('PTRM input'!$P$161+'PTRM input'!$P$127)*$P$7)/A19taxstdlife))</f>
        <v>0</v>
      </c>
      <c r="BH725" s="590">
        <f>IF(A19taxstdlife="n/a","n/a",IF(BH$3&gt;(A19taxstdlife+$E725),(('PTRM input'!$P$161+'PTRM input'!$P$127)*$P$7)-SUM($P725:BG725),(('PTRM input'!$P$161+'PTRM input'!$P$127)*$P$7)/A19taxstdlife))</f>
        <v>0</v>
      </c>
      <c r="BI725" s="590">
        <f>IF(A19taxstdlife="n/a","n/a",IF(BI$3&gt;(A19taxstdlife+$E725),(('PTRM input'!$P$161+'PTRM input'!$P$127)*$P$7)-SUM($P725:BH725),(('PTRM input'!$P$161+'PTRM input'!$P$127)*$P$7)/A19taxstdlife))</f>
        <v>0</v>
      </c>
      <c r="BJ725" s="240"/>
      <c r="BK725" s="240"/>
      <c r="BL725" s="240"/>
      <c r="BM725" s="240"/>
    </row>
    <row r="726" spans="1:65" s="4" customFormat="1" hidden="1" outlineLevel="1">
      <c r="A726" s="240"/>
      <c r="B726" s="240"/>
      <c r="C726" s="595">
        <f>Asset19</f>
        <v>0</v>
      </c>
      <c r="D726" s="240"/>
      <c r="E726" s="240"/>
      <c r="F726" s="596"/>
      <c r="G726" s="591">
        <f t="shared" ref="G726:AL726" si="142">SUM(G714:G725)</f>
        <v>0</v>
      </c>
      <c r="H726" s="591">
        <f t="shared" si="142"/>
        <v>0</v>
      </c>
      <c r="I726" s="591">
        <f t="shared" si="142"/>
        <v>0</v>
      </c>
      <c r="J726" s="591">
        <f t="shared" si="142"/>
        <v>0</v>
      </c>
      <c r="K726" s="591">
        <f t="shared" si="142"/>
        <v>0</v>
      </c>
      <c r="L726" s="591">
        <f t="shared" si="142"/>
        <v>0</v>
      </c>
      <c r="M726" s="591">
        <f t="shared" si="142"/>
        <v>0</v>
      </c>
      <c r="N726" s="591">
        <f t="shared" si="142"/>
        <v>0</v>
      </c>
      <c r="O726" s="591">
        <f t="shared" si="142"/>
        <v>0</v>
      </c>
      <c r="P726" s="591">
        <f t="shared" si="142"/>
        <v>0</v>
      </c>
      <c r="Q726" s="591">
        <f t="shared" si="142"/>
        <v>0</v>
      </c>
      <c r="R726" s="591">
        <f t="shared" si="142"/>
        <v>0</v>
      </c>
      <c r="S726" s="591">
        <f t="shared" si="142"/>
        <v>0</v>
      </c>
      <c r="T726" s="591">
        <f t="shared" si="142"/>
        <v>0</v>
      </c>
      <c r="U726" s="591">
        <f t="shared" si="142"/>
        <v>0</v>
      </c>
      <c r="V726" s="591">
        <f t="shared" si="142"/>
        <v>0</v>
      </c>
      <c r="W726" s="591">
        <f t="shared" si="142"/>
        <v>0</v>
      </c>
      <c r="X726" s="591">
        <f t="shared" si="142"/>
        <v>0</v>
      </c>
      <c r="Y726" s="591">
        <f t="shared" si="142"/>
        <v>0</v>
      </c>
      <c r="Z726" s="591">
        <f t="shared" si="142"/>
        <v>0</v>
      </c>
      <c r="AA726" s="591">
        <f t="shared" si="142"/>
        <v>0</v>
      </c>
      <c r="AB726" s="591">
        <f t="shared" si="142"/>
        <v>0</v>
      </c>
      <c r="AC726" s="591">
        <f t="shared" si="142"/>
        <v>0</v>
      </c>
      <c r="AD726" s="591">
        <f t="shared" si="142"/>
        <v>0</v>
      </c>
      <c r="AE726" s="591">
        <f t="shared" si="142"/>
        <v>0</v>
      </c>
      <c r="AF726" s="591">
        <f t="shared" si="142"/>
        <v>0</v>
      </c>
      <c r="AG726" s="591">
        <f t="shared" si="142"/>
        <v>0</v>
      </c>
      <c r="AH726" s="591">
        <f t="shared" si="142"/>
        <v>0</v>
      </c>
      <c r="AI726" s="591">
        <f t="shared" si="142"/>
        <v>0</v>
      </c>
      <c r="AJ726" s="591">
        <f t="shared" si="142"/>
        <v>0</v>
      </c>
      <c r="AK726" s="591">
        <f t="shared" si="142"/>
        <v>0</v>
      </c>
      <c r="AL726" s="591">
        <f t="shared" si="142"/>
        <v>0</v>
      </c>
      <c r="AM726" s="591">
        <f t="shared" ref="AM726:BI726" si="143">SUM(AM714:AM725)</f>
        <v>0</v>
      </c>
      <c r="AN726" s="591">
        <f t="shared" si="143"/>
        <v>0</v>
      </c>
      <c r="AO726" s="591">
        <f t="shared" si="143"/>
        <v>0</v>
      </c>
      <c r="AP726" s="591">
        <f t="shared" si="143"/>
        <v>0</v>
      </c>
      <c r="AQ726" s="591">
        <f t="shared" si="143"/>
        <v>0</v>
      </c>
      <c r="AR726" s="591">
        <f t="shared" si="143"/>
        <v>0</v>
      </c>
      <c r="AS726" s="591">
        <f t="shared" si="143"/>
        <v>0</v>
      </c>
      <c r="AT726" s="591">
        <f t="shared" si="143"/>
        <v>0</v>
      </c>
      <c r="AU726" s="591">
        <f t="shared" si="143"/>
        <v>0</v>
      </c>
      <c r="AV726" s="591">
        <f t="shared" si="143"/>
        <v>0</v>
      </c>
      <c r="AW726" s="591">
        <f t="shared" si="143"/>
        <v>0</v>
      </c>
      <c r="AX726" s="591">
        <f t="shared" si="143"/>
        <v>0</v>
      </c>
      <c r="AY726" s="591">
        <f t="shared" si="143"/>
        <v>0</v>
      </c>
      <c r="AZ726" s="591">
        <f t="shared" si="143"/>
        <v>0</v>
      </c>
      <c r="BA726" s="591">
        <f t="shared" si="143"/>
        <v>0</v>
      </c>
      <c r="BB726" s="591">
        <f t="shared" si="143"/>
        <v>0</v>
      </c>
      <c r="BC726" s="591">
        <f t="shared" si="143"/>
        <v>0</v>
      </c>
      <c r="BD726" s="591">
        <f t="shared" si="143"/>
        <v>0</v>
      </c>
      <c r="BE726" s="591">
        <f t="shared" si="143"/>
        <v>0</v>
      </c>
      <c r="BF726" s="591">
        <f t="shared" si="143"/>
        <v>0</v>
      </c>
      <c r="BG726" s="591">
        <f t="shared" si="143"/>
        <v>0</v>
      </c>
      <c r="BH726" s="591">
        <f t="shared" si="143"/>
        <v>0</v>
      </c>
      <c r="BI726" s="591">
        <f t="shared" si="143"/>
        <v>0</v>
      </c>
      <c r="BJ726" s="240"/>
      <c r="BK726" s="240"/>
      <c r="BL726" s="240"/>
      <c r="BM726" s="240"/>
    </row>
    <row r="727" spans="1:65" s="4" customFormat="1" hidden="1" outlineLevel="2">
      <c r="A727" s="240"/>
      <c r="B727" s="597">
        <f>C739</f>
        <v>0</v>
      </c>
      <c r="C727" s="488"/>
      <c r="D727" s="598" t="s">
        <v>58</v>
      </c>
      <c r="E727" s="488"/>
      <c r="F727" s="599"/>
      <c r="G727" s="592">
        <f>IF(G$3&gt;A20taxremlife,A20taxvalue-SUM($F727:F727),IF(A20taxremlife="N/A","n/a",A20taxvalue/A20taxremlife))</f>
        <v>0</v>
      </c>
      <c r="H727" s="592">
        <f>IF(H$3&gt;A20taxremlife,A20taxvalue-SUM($F727:G727),IF(A20taxremlife="N/A","n/a",A20taxvalue/A20taxremlife))</f>
        <v>0</v>
      </c>
      <c r="I727" s="592">
        <f>IF(I$3&gt;A20taxremlife,A20taxvalue-SUM($F727:H727),IF(A20taxremlife="N/A","n/a",A20taxvalue/A20taxremlife))</f>
        <v>0</v>
      </c>
      <c r="J727" s="592">
        <f>IF(J$3&gt;A20taxremlife,A20taxvalue-SUM($F727:I727),IF(A20taxremlife="N/A","n/a",A20taxvalue/A20taxremlife))</f>
        <v>0</v>
      </c>
      <c r="K727" s="592">
        <f>IF(K$3&gt;A20taxremlife,A20taxvalue-SUM($F727:J727),IF(A20taxremlife="N/A","n/a",A20taxvalue/A20taxremlife))</f>
        <v>0</v>
      </c>
      <c r="L727" s="592">
        <f>IF(L$3&gt;A20taxremlife,A20taxvalue-SUM($F727:K727),IF(A20taxremlife="N/A","n/a",A20taxvalue/A20taxremlife))</f>
        <v>0</v>
      </c>
      <c r="M727" s="592">
        <f>IF(M$3&gt;A20taxremlife,A20taxvalue-SUM($F727:L727),IF(A20taxremlife="N/A","n/a",A20taxvalue/A20taxremlife))</f>
        <v>0</v>
      </c>
      <c r="N727" s="592">
        <f>IF(N$3&gt;A20taxremlife,A20taxvalue-SUM($F727:M727),IF(A20taxremlife="N/A","n/a",A20taxvalue/A20taxremlife))</f>
        <v>0</v>
      </c>
      <c r="O727" s="592">
        <f>IF(O$3&gt;A20taxremlife,A20taxvalue-SUM($F727:N727),IF(A20taxremlife="N/A","n/a",A20taxvalue/A20taxremlife))</f>
        <v>0</v>
      </c>
      <c r="P727" s="592">
        <f>IF(P$3&gt;A20taxremlife,A20taxvalue-SUM($F727:O727),IF(A20taxremlife="N/A","n/a",A20taxvalue/A20taxremlife))</f>
        <v>0</v>
      </c>
      <c r="Q727" s="592">
        <f>IF(Q$3&gt;A20taxremlife,A20taxvalue-SUM($F727:P727),IF(A20taxremlife="N/A","n/a",A20taxvalue/A20taxremlife))</f>
        <v>0</v>
      </c>
      <c r="R727" s="592">
        <f>IF(R$3&gt;A20taxremlife,A20taxvalue-SUM($F727:Q727),IF(A20taxremlife="N/A","n/a",A20taxvalue/A20taxremlife))</f>
        <v>0</v>
      </c>
      <c r="S727" s="592">
        <f>IF(S$3&gt;A20taxremlife,A20taxvalue-SUM($F727:R727),IF(A20taxremlife="N/A","n/a",A20taxvalue/A20taxremlife))</f>
        <v>0</v>
      </c>
      <c r="T727" s="592">
        <f>IF(T$3&gt;A20taxremlife,A20taxvalue-SUM($F727:S727),IF(A20taxremlife="N/A","n/a",A20taxvalue/A20taxremlife))</f>
        <v>0</v>
      </c>
      <c r="U727" s="592">
        <f>IF(U$3&gt;A20taxremlife,A20taxvalue-SUM($F727:T727),IF(A20taxremlife="N/A","n/a",A20taxvalue/A20taxremlife))</f>
        <v>0</v>
      </c>
      <c r="V727" s="592">
        <f>IF(V$3&gt;A20taxremlife,A20taxvalue-SUM($F727:U727),IF(A20taxremlife="N/A","n/a",A20taxvalue/A20taxremlife))</f>
        <v>0</v>
      </c>
      <c r="W727" s="592">
        <f>IF(W$3&gt;A20taxremlife,A20taxvalue-SUM($F727:V727),IF(A20taxremlife="N/A","n/a",A20taxvalue/A20taxremlife))</f>
        <v>0</v>
      </c>
      <c r="X727" s="592">
        <f>IF(X$3&gt;A20taxremlife,A20taxvalue-SUM($F727:W727),IF(A20taxremlife="N/A","n/a",A20taxvalue/A20taxremlife))</f>
        <v>0</v>
      </c>
      <c r="Y727" s="592">
        <f>IF(Y$3&gt;A20taxremlife,A20taxvalue-SUM($F727:X727),IF(A20taxremlife="N/A","n/a",A20taxvalue/A20taxremlife))</f>
        <v>0</v>
      </c>
      <c r="Z727" s="592">
        <f>IF(Z$3&gt;A20taxremlife,A20taxvalue-SUM($F727:Y727),IF(A20taxremlife="N/A","n/a",A20taxvalue/A20taxremlife))</f>
        <v>0</v>
      </c>
      <c r="AA727" s="592">
        <f>IF(AA$3&gt;A20taxremlife,A20taxvalue-SUM($F727:Z727),IF(A20taxremlife="N/A","n/a",A20taxvalue/A20taxremlife))</f>
        <v>0</v>
      </c>
      <c r="AB727" s="592">
        <f>IF(AB$3&gt;A20taxremlife,A20taxvalue-SUM($F727:AA727),IF(A20taxremlife="N/A","n/a",A20taxvalue/A20taxremlife))</f>
        <v>0</v>
      </c>
      <c r="AC727" s="592">
        <f>IF(AC$3&gt;A20taxremlife,A20taxvalue-SUM($F727:AB727),IF(A20taxremlife="N/A","n/a",A20taxvalue/A20taxremlife))</f>
        <v>0</v>
      </c>
      <c r="AD727" s="592">
        <f>IF(AD$3&gt;A20taxremlife,A20taxvalue-SUM($F727:AC727),IF(A20taxremlife="N/A","n/a",A20taxvalue/A20taxremlife))</f>
        <v>0</v>
      </c>
      <c r="AE727" s="592">
        <f>IF(AE$3&gt;A20taxremlife,A20taxvalue-SUM($F727:AD727),IF(A20taxremlife="N/A","n/a",A20taxvalue/A20taxremlife))</f>
        <v>0</v>
      </c>
      <c r="AF727" s="592">
        <f>IF(AF$3&gt;A20taxremlife,A20taxvalue-SUM($F727:AE727),IF(A20taxremlife="N/A","n/a",A20taxvalue/A20taxremlife))</f>
        <v>0</v>
      </c>
      <c r="AG727" s="592">
        <f>IF(AG$3&gt;A20taxremlife,A20taxvalue-SUM($F727:AF727),IF(A20taxremlife="N/A","n/a",A20taxvalue/A20taxremlife))</f>
        <v>0</v>
      </c>
      <c r="AH727" s="592">
        <f>IF(AH$3&gt;A20taxremlife,A20taxvalue-SUM($F727:AG727),IF(A20taxremlife="N/A","n/a",A20taxvalue/A20taxremlife))</f>
        <v>0</v>
      </c>
      <c r="AI727" s="592">
        <f>IF(AI$3&gt;A20taxremlife,A20taxvalue-SUM($F727:AH727),IF(A20taxremlife="N/A","n/a",A20taxvalue/A20taxremlife))</f>
        <v>0</v>
      </c>
      <c r="AJ727" s="592">
        <f>IF(AJ$3&gt;A20taxremlife,A20taxvalue-SUM($F727:AI727),IF(A20taxremlife="N/A","n/a",A20taxvalue/A20taxremlife))</f>
        <v>0</v>
      </c>
      <c r="AK727" s="592">
        <f>IF(AK$3&gt;A20taxremlife,A20taxvalue-SUM($F727:AJ727),IF(A20taxremlife="N/A","n/a",A20taxvalue/A20taxremlife))</f>
        <v>0</v>
      </c>
      <c r="AL727" s="592">
        <f>IF(AL$3&gt;A20taxremlife,A20taxvalue-SUM($F727:AK727),IF(A20taxremlife="N/A","n/a",A20taxvalue/A20taxremlife))</f>
        <v>0</v>
      </c>
      <c r="AM727" s="592">
        <f>IF(AM$3&gt;A20taxremlife,A20taxvalue-SUM($F727:AL727),IF(A20taxremlife="N/A","n/a",A20taxvalue/A20taxremlife))</f>
        <v>0</v>
      </c>
      <c r="AN727" s="592">
        <f>IF(AN$3&gt;A20taxremlife,A20taxvalue-SUM($F727:AM727),IF(A20taxremlife="N/A","n/a",A20taxvalue/A20taxremlife))</f>
        <v>0</v>
      </c>
      <c r="AO727" s="592">
        <f>IF(AO$3&gt;A20taxremlife,A20taxvalue-SUM($F727:AN727),IF(A20taxremlife="N/A","n/a",A20taxvalue/A20taxremlife))</f>
        <v>0</v>
      </c>
      <c r="AP727" s="592">
        <f>IF(AP$3&gt;A20taxremlife,A20taxvalue-SUM($F727:AO727),IF(A20taxremlife="N/A","n/a",A20taxvalue/A20taxremlife))</f>
        <v>0</v>
      </c>
      <c r="AQ727" s="592">
        <f>IF(AQ$3&gt;A20taxremlife,A20taxvalue-SUM($F727:AP727),IF(A20taxremlife="N/A","n/a",A20taxvalue/A20taxremlife))</f>
        <v>0</v>
      </c>
      <c r="AR727" s="592">
        <f>IF(AR$3&gt;A20taxremlife,A20taxvalue-SUM($F727:AQ727),IF(A20taxremlife="N/A","n/a",A20taxvalue/A20taxremlife))</f>
        <v>0</v>
      </c>
      <c r="AS727" s="592">
        <f>IF(AS$3&gt;A20taxremlife,A20taxvalue-SUM($F727:AR727),IF(A20taxremlife="N/A","n/a",A20taxvalue/A20taxremlife))</f>
        <v>0</v>
      </c>
      <c r="AT727" s="592">
        <f>IF(AT$3&gt;A20taxremlife,A20taxvalue-SUM($F727:AS727),IF(A20taxremlife="N/A","n/a",A20taxvalue/A20taxremlife))</f>
        <v>0</v>
      </c>
      <c r="AU727" s="592">
        <f>IF(AU$3&gt;A20taxremlife,A20taxvalue-SUM($F727:AT727),IF(A20taxremlife="N/A","n/a",A20taxvalue/A20taxremlife))</f>
        <v>0</v>
      </c>
      <c r="AV727" s="592">
        <f>IF(AV$3&gt;A20taxremlife,A20taxvalue-SUM($F727:AU727),IF(A20taxremlife="N/A","n/a",A20taxvalue/A20taxremlife))</f>
        <v>0</v>
      </c>
      <c r="AW727" s="592">
        <f>IF(AW$3&gt;A20taxremlife,A20taxvalue-SUM($F727:AV727),IF(A20taxremlife="N/A","n/a",A20taxvalue/A20taxremlife))</f>
        <v>0</v>
      </c>
      <c r="AX727" s="592">
        <f>IF(AX$3&gt;A20taxremlife,A20taxvalue-SUM($F727:AW727),IF(A20taxremlife="N/A","n/a",A20taxvalue/A20taxremlife))</f>
        <v>0</v>
      </c>
      <c r="AY727" s="592">
        <f>IF(AY$3&gt;A20taxremlife,A20taxvalue-SUM($F727:AX727),IF(A20taxremlife="N/A","n/a",A20taxvalue/A20taxremlife))</f>
        <v>0</v>
      </c>
      <c r="AZ727" s="592">
        <f>IF(AZ$3&gt;A20taxremlife,A20taxvalue-SUM($F727:AY727),IF(A20taxremlife="N/A","n/a",A20taxvalue/A20taxremlife))</f>
        <v>0</v>
      </c>
      <c r="BA727" s="592">
        <f>IF(BA$3&gt;A20taxremlife,A20taxvalue-SUM($F727:AZ727),IF(A20taxremlife="N/A","n/a",A20taxvalue/A20taxremlife))</f>
        <v>0</v>
      </c>
      <c r="BB727" s="592">
        <f>IF(BB$3&gt;A20taxremlife,A20taxvalue-SUM($F727:BA727),IF(A20taxremlife="N/A","n/a",A20taxvalue/A20taxremlife))</f>
        <v>0</v>
      </c>
      <c r="BC727" s="592">
        <f>IF(BC$3&gt;A20taxremlife,A20taxvalue-SUM($F727:BB727),IF(A20taxremlife="N/A","n/a",A20taxvalue/A20taxremlife))</f>
        <v>0</v>
      </c>
      <c r="BD727" s="592">
        <f>IF(BD$3&gt;A20taxremlife,A20taxvalue-SUM($F727:BC727),IF(A20taxremlife="N/A","n/a",A20taxvalue/A20taxremlife))</f>
        <v>0</v>
      </c>
      <c r="BE727" s="592">
        <f>IF(BE$3&gt;A20taxremlife,A20taxvalue-SUM($F727:BD727),IF(A20taxremlife="N/A","n/a",A20taxvalue/A20taxremlife))</f>
        <v>0</v>
      </c>
      <c r="BF727" s="592">
        <f>IF(BF$3&gt;A20taxremlife,A20taxvalue-SUM($F727:BE727),IF(A20taxremlife="N/A","n/a",A20taxvalue/A20taxremlife))</f>
        <v>0</v>
      </c>
      <c r="BG727" s="592">
        <f>IF(BG$3&gt;A20taxremlife,A20taxvalue-SUM($F727:BF727),IF(A20taxremlife="N/A","n/a",A20taxvalue/A20taxremlife))</f>
        <v>0</v>
      </c>
      <c r="BH727" s="592">
        <f>IF(BH$3&gt;A20taxremlife,A20taxvalue-SUM($F727:BG727),IF(A20taxremlife="N/A","n/a",A20taxvalue/A20taxremlife))</f>
        <v>0</v>
      </c>
      <c r="BI727" s="592">
        <f>IF(BI$3&gt;A20taxremlife,A20taxvalue-SUM($F727:BH727),IF(A20taxremlife="N/A","n/a",A20taxvalue/A20taxremlife))</f>
        <v>0</v>
      </c>
      <c r="BJ727" s="240"/>
      <c r="BK727" s="240"/>
      <c r="BL727" s="240"/>
      <c r="BM727" s="240"/>
    </row>
    <row r="728" spans="1:65" s="4" customFormat="1" ht="12.75" hidden="1" customHeight="1" outlineLevel="2">
      <c r="A728" s="240"/>
      <c r="B728" s="240"/>
      <c r="C728" s="595"/>
      <c r="D728" s="1618" t="s">
        <v>357</v>
      </c>
      <c r="E728" s="169">
        <v>0</v>
      </c>
      <c r="F728" s="35"/>
      <c r="G728" s="107"/>
      <c r="H728" s="107"/>
      <c r="I728" s="107"/>
      <c r="J728" s="107"/>
      <c r="K728" s="107"/>
      <c r="L728" s="107"/>
      <c r="M728" s="107"/>
      <c r="N728" s="107"/>
      <c r="O728" s="107"/>
      <c r="P728" s="107"/>
      <c r="Q728" s="590"/>
      <c r="R728" s="590"/>
      <c r="S728" s="590"/>
      <c r="T728" s="590"/>
      <c r="U728" s="590"/>
      <c r="V728" s="590"/>
      <c r="W728" s="590"/>
      <c r="X728" s="590"/>
      <c r="Y728" s="590"/>
      <c r="Z728" s="590"/>
      <c r="AA728" s="590"/>
      <c r="AB728" s="590"/>
      <c r="AC728" s="590"/>
      <c r="AD728" s="590"/>
      <c r="AE728" s="590"/>
      <c r="AF728" s="590"/>
      <c r="AG728" s="590"/>
      <c r="AH728" s="590"/>
      <c r="AI728" s="590"/>
      <c r="AJ728" s="590"/>
      <c r="AK728" s="590"/>
      <c r="AL728" s="590"/>
      <c r="AM728" s="590"/>
      <c r="AN728" s="590"/>
      <c r="AO728" s="590"/>
      <c r="AP728" s="590"/>
      <c r="AQ728" s="590"/>
      <c r="AR728" s="590"/>
      <c r="AS728" s="590"/>
      <c r="AT728" s="590"/>
      <c r="AU728" s="590"/>
      <c r="AV728" s="590"/>
      <c r="AW728" s="590"/>
      <c r="AX728" s="590"/>
      <c r="AY728" s="590"/>
      <c r="AZ728" s="590"/>
      <c r="BA728" s="590"/>
      <c r="BB728" s="590"/>
      <c r="BC728" s="590"/>
      <c r="BD728" s="590"/>
      <c r="BE728" s="590"/>
      <c r="BF728" s="590"/>
      <c r="BG728" s="590"/>
      <c r="BH728" s="590"/>
      <c r="BI728" s="590"/>
      <c r="BJ728" s="240"/>
      <c r="BK728" s="240"/>
      <c r="BL728" s="240"/>
      <c r="BM728" s="240"/>
    </row>
    <row r="729" spans="1:65" s="4" customFormat="1" hidden="1" outlineLevel="2">
      <c r="A729" s="240"/>
      <c r="B729" s="240"/>
      <c r="C729" s="595"/>
      <c r="D729" s="1618"/>
      <c r="E729" s="169">
        <v>1</v>
      </c>
      <c r="F729" s="35"/>
      <c r="G729" s="183"/>
      <c r="H729" s="107">
        <f>IF(A20taxstdlife="n/a","n/a",IF(H$3&gt;(A20taxstdlife+$E729),(('PTRM input'!$G$162+'PTRM input'!$G$128)*$G$7)-SUM($G729:G729),(('PTRM input'!$G$162+'PTRM input'!$G$128)*$G$7)/A20taxstdlife))</f>
        <v>0</v>
      </c>
      <c r="I729" s="107">
        <f>IF(A20taxstdlife="n/a","n/a",IF(I$3&gt;(A20taxstdlife+$E729),(('PTRM input'!$G$162+'PTRM input'!$G$128)*$G$7)-SUM($G729:H729),(('PTRM input'!$G$162+'PTRM input'!$G$128)*$G$7)/A20taxstdlife))</f>
        <v>0</v>
      </c>
      <c r="J729" s="107">
        <f>IF(A20taxstdlife="n/a","n/a",IF(J$3&gt;(A20taxstdlife+$E729),(('PTRM input'!$G$162+'PTRM input'!$G$128)*$G$7)-SUM($G729:I729),(('PTRM input'!$G$162+'PTRM input'!$G$128)*$G$7)/A20taxstdlife))</f>
        <v>0</v>
      </c>
      <c r="K729" s="107">
        <f>IF(A20taxstdlife="n/a","n/a",IF(K$3&gt;(A20taxstdlife+$E729),(('PTRM input'!$G$162+'PTRM input'!$G$128)*$G$7)-SUM($G729:J729),(('PTRM input'!$G$162+'PTRM input'!$G$128)*$G$7)/A20taxstdlife))</f>
        <v>0</v>
      </c>
      <c r="L729" s="107">
        <f>IF(A20taxstdlife="n/a","n/a",IF(L$3&gt;(A20taxstdlife+$E729),(('PTRM input'!$G$162+'PTRM input'!$G$128)*$G$7)-SUM($G729:K729),(('PTRM input'!$G$162+'PTRM input'!$G$128)*$G$7)/A20taxstdlife))</f>
        <v>0</v>
      </c>
      <c r="M729" s="107">
        <f>IF(A20taxstdlife="n/a","n/a",IF(M$3&gt;(A20taxstdlife+$E729),(('PTRM input'!$G$162+'PTRM input'!$G$128)*$G$7)-SUM($G729:L729),(('PTRM input'!$G$162+'PTRM input'!$G$128)*$G$7)/A20taxstdlife))</f>
        <v>0</v>
      </c>
      <c r="N729" s="107">
        <f>IF(A20taxstdlife="n/a","n/a",IF(N$3&gt;(A20taxstdlife+$E729),(('PTRM input'!$G$162+'PTRM input'!$G$128)*$G$7)-SUM($G729:M729),(('PTRM input'!$G$162+'PTRM input'!$G$128)*$G$7)/A20taxstdlife))</f>
        <v>0</v>
      </c>
      <c r="O729" s="107">
        <f>IF(A20taxstdlife="n/a","n/a",IF(O$3&gt;(A20taxstdlife+$E729),(('PTRM input'!$G$162+'PTRM input'!$G$128)*$G$7)-SUM($G729:N729),(('PTRM input'!$G$162+'PTRM input'!$G$128)*$G$7)/A20taxstdlife))</f>
        <v>0</v>
      </c>
      <c r="P729" s="107">
        <f>IF(A20taxstdlife="n/a","n/a",IF(P$3&gt;(A20taxstdlife+$E729),(('PTRM input'!$G$162+'PTRM input'!$G$128)*$G$7)-SUM($G729:O729),(('PTRM input'!$G$162+'PTRM input'!$G$128)*$G$7)/A20taxstdlife))</f>
        <v>0</v>
      </c>
      <c r="Q729" s="590">
        <f>IF(A20taxstdlife="n/a","n/a",IF(Q$3&gt;(A20taxstdlife+$E729),(('PTRM input'!$G$162+'PTRM input'!$G$128)*$G$7)-SUM($G729:P729),(('PTRM input'!$G$162+'PTRM input'!$G$128)*$G$7)/A20taxstdlife))</f>
        <v>0</v>
      </c>
      <c r="R729" s="590">
        <f>IF(A20taxstdlife="n/a","n/a",IF(R$3&gt;(A20taxstdlife+$E729),(('PTRM input'!$G$162+'PTRM input'!$G$128)*$G$7)-SUM($G729:Q729),(('PTRM input'!$G$162+'PTRM input'!$G$128)*$G$7)/A20taxstdlife))</f>
        <v>0</v>
      </c>
      <c r="S729" s="590">
        <f>IF(A20taxstdlife="n/a","n/a",IF(S$3&gt;(A20taxstdlife+$E729),(('PTRM input'!$G$162+'PTRM input'!$G$128)*$G$7)-SUM($G729:R729),(('PTRM input'!$G$162+'PTRM input'!$G$128)*$G$7)/A20taxstdlife))</f>
        <v>0</v>
      </c>
      <c r="T729" s="590">
        <f>IF(A20taxstdlife="n/a","n/a",IF(T$3&gt;(A20taxstdlife+$E729),(('PTRM input'!$G$162+'PTRM input'!$G$128)*$G$7)-SUM($G729:S729),(('PTRM input'!$G$162+'PTRM input'!$G$128)*$G$7)/A20taxstdlife))</f>
        <v>0</v>
      </c>
      <c r="U729" s="590">
        <f>IF(A20taxstdlife="n/a","n/a",IF(U$3&gt;(A20taxstdlife+$E729),(('PTRM input'!$G$162+'PTRM input'!$G$128)*$G$7)-SUM($G729:T729),(('PTRM input'!$G$162+'PTRM input'!$G$128)*$G$7)/A20taxstdlife))</f>
        <v>0</v>
      </c>
      <c r="V729" s="590">
        <f>IF(A20taxstdlife="n/a","n/a",IF(V$3&gt;(A20taxstdlife+$E729),(('PTRM input'!$G$162+'PTRM input'!$G$128)*$G$7)-SUM($G729:U729),(('PTRM input'!$G$162+'PTRM input'!$G$128)*$G$7)/A20taxstdlife))</f>
        <v>0</v>
      </c>
      <c r="W729" s="590">
        <f>IF(A20taxstdlife="n/a","n/a",IF(W$3&gt;(A20taxstdlife+$E729),(('PTRM input'!$G$162+'PTRM input'!$G$128)*$G$7)-SUM($G729:V729),(('PTRM input'!$G$162+'PTRM input'!$G$128)*$G$7)/A20taxstdlife))</f>
        <v>0</v>
      </c>
      <c r="X729" s="590">
        <f>IF(A20taxstdlife="n/a","n/a",IF(X$3&gt;(A20taxstdlife+$E729),(('PTRM input'!$G$162+'PTRM input'!$G$128)*$G$7)-SUM($G729:W729),(('PTRM input'!$G$162+'PTRM input'!$G$128)*$G$7)/A20taxstdlife))</f>
        <v>0</v>
      </c>
      <c r="Y729" s="590">
        <f>IF(A20taxstdlife="n/a","n/a",IF(Y$3&gt;(A20taxstdlife+$E729),(('PTRM input'!$G$162+'PTRM input'!$G$128)*$G$7)-SUM($G729:X729),(('PTRM input'!$G$162+'PTRM input'!$G$128)*$G$7)/A20taxstdlife))</f>
        <v>0</v>
      </c>
      <c r="Z729" s="590">
        <f>IF(A20taxstdlife="n/a","n/a",IF(Z$3&gt;(A20taxstdlife+$E729),(('PTRM input'!$G$162+'PTRM input'!$G$128)*$G$7)-SUM($G729:Y729),(('PTRM input'!$G$162+'PTRM input'!$G$128)*$G$7)/A20taxstdlife))</f>
        <v>0</v>
      </c>
      <c r="AA729" s="590">
        <f>IF(A20taxstdlife="n/a","n/a",IF(AA$3&gt;(A20taxstdlife+$E729),(('PTRM input'!$G$162+'PTRM input'!$G$128)*$G$7)-SUM($G729:Z729),(('PTRM input'!$G$162+'PTRM input'!$G$128)*$G$7)/A20taxstdlife))</f>
        <v>0</v>
      </c>
      <c r="AB729" s="590">
        <f>IF(A20taxstdlife="n/a","n/a",IF(AB$3&gt;(A20taxstdlife+$E729),(('PTRM input'!$G$162+'PTRM input'!$G$128)*$G$7)-SUM($G729:AA729),(('PTRM input'!$G$162+'PTRM input'!$G$128)*$G$7)/A20taxstdlife))</f>
        <v>0</v>
      </c>
      <c r="AC729" s="590">
        <f>IF(A20taxstdlife="n/a","n/a",IF(AC$3&gt;(A20taxstdlife+$E729),(('PTRM input'!$G$162+'PTRM input'!$G$128)*$G$7)-SUM($G729:AB729),(('PTRM input'!$G$162+'PTRM input'!$G$128)*$G$7)/A20taxstdlife))</f>
        <v>0</v>
      </c>
      <c r="AD729" s="590">
        <f>IF(A20taxstdlife="n/a","n/a",IF(AD$3&gt;(A20taxstdlife+$E729),(('PTRM input'!$G$162+'PTRM input'!$G$128)*$G$7)-SUM($G729:AC729),(('PTRM input'!$G$162+'PTRM input'!$G$128)*$G$7)/A20taxstdlife))</f>
        <v>0</v>
      </c>
      <c r="AE729" s="590">
        <f>IF(A20taxstdlife="n/a","n/a",IF(AE$3&gt;(A20taxstdlife+$E729),(('PTRM input'!$G$162+'PTRM input'!$G$128)*$G$7)-SUM($G729:AD729),(('PTRM input'!$G$162+'PTRM input'!$G$128)*$G$7)/A20taxstdlife))</f>
        <v>0</v>
      </c>
      <c r="AF729" s="590">
        <f>IF(A20taxstdlife="n/a","n/a",IF(AF$3&gt;(A20taxstdlife+$E729),(('PTRM input'!$G$162+'PTRM input'!$G$128)*$G$7)-SUM($G729:AE729),(('PTRM input'!$G$162+'PTRM input'!$G$128)*$G$7)/A20taxstdlife))</f>
        <v>0</v>
      </c>
      <c r="AG729" s="590">
        <f>IF(A20taxstdlife="n/a","n/a",IF(AG$3&gt;(A20taxstdlife+$E729),(('PTRM input'!$G$162+'PTRM input'!$G$128)*$G$7)-SUM($G729:AF729),(('PTRM input'!$G$162+'PTRM input'!$G$128)*$G$7)/A20taxstdlife))</f>
        <v>0</v>
      </c>
      <c r="AH729" s="590">
        <f>IF(A20taxstdlife="n/a","n/a",IF(AH$3&gt;(A20taxstdlife+$E729),(('PTRM input'!$G$162+'PTRM input'!$G$128)*$G$7)-SUM($G729:AG729),(('PTRM input'!$G$162+'PTRM input'!$G$128)*$G$7)/A20taxstdlife))</f>
        <v>0</v>
      </c>
      <c r="AI729" s="590">
        <f>IF(A20taxstdlife="n/a","n/a",IF(AI$3&gt;(A20taxstdlife+$E729),(('PTRM input'!$G$162+'PTRM input'!$G$128)*$G$7)-SUM($G729:AH729),(('PTRM input'!$G$162+'PTRM input'!$G$128)*$G$7)/A20taxstdlife))</f>
        <v>0</v>
      </c>
      <c r="AJ729" s="590">
        <f>IF(A20taxstdlife="n/a","n/a",IF(AJ$3&gt;(A20taxstdlife+$E729),(('PTRM input'!$G$162+'PTRM input'!$G$128)*$G$7)-SUM($G729:AI729),(('PTRM input'!$G$162+'PTRM input'!$G$128)*$G$7)/A20taxstdlife))</f>
        <v>0</v>
      </c>
      <c r="AK729" s="590">
        <f>IF(A20taxstdlife="n/a","n/a",IF(AK$3&gt;(A20taxstdlife+$E729),(('PTRM input'!$G$162+'PTRM input'!$G$128)*$G$7)-SUM($G729:AJ729),(('PTRM input'!$G$162+'PTRM input'!$G$128)*$G$7)/A20taxstdlife))</f>
        <v>0</v>
      </c>
      <c r="AL729" s="590">
        <f>IF(A20taxstdlife="n/a","n/a",IF(AL$3&gt;(A20taxstdlife+$E729),(('PTRM input'!$G$162+'PTRM input'!$G$128)*$G$7)-SUM($G729:AK729),(('PTRM input'!$G$162+'PTRM input'!$G$128)*$G$7)/A20taxstdlife))</f>
        <v>0</v>
      </c>
      <c r="AM729" s="590">
        <f>IF(A20taxstdlife="n/a","n/a",IF(AM$3&gt;(A20taxstdlife+$E729),(('PTRM input'!$G$162+'PTRM input'!$G$128)*$G$7)-SUM($G729:AL729),(('PTRM input'!$G$162+'PTRM input'!$G$128)*$G$7)/A20taxstdlife))</f>
        <v>0</v>
      </c>
      <c r="AN729" s="590">
        <f>IF(A20taxstdlife="n/a","n/a",IF(AN$3&gt;(A20taxstdlife+$E729),(('PTRM input'!$G$162+'PTRM input'!$G$128)*$G$7)-SUM($G729:AM729),(('PTRM input'!$G$162+'PTRM input'!$G$128)*$G$7)/A20taxstdlife))</f>
        <v>0</v>
      </c>
      <c r="AO729" s="590">
        <f>IF(A20taxstdlife="n/a","n/a",IF(AO$3&gt;(A20taxstdlife+$E729),(('PTRM input'!$G$162+'PTRM input'!$G$128)*$G$7)-SUM($G729:AN729),(('PTRM input'!$G$162+'PTRM input'!$G$128)*$G$7)/A20taxstdlife))</f>
        <v>0</v>
      </c>
      <c r="AP729" s="590">
        <f>IF(A20taxstdlife="n/a","n/a",IF(AP$3&gt;(A20taxstdlife+$E729),(('PTRM input'!$G$162+'PTRM input'!$G$128)*$G$7)-SUM($G729:AO729),(('PTRM input'!$G$162+'PTRM input'!$G$128)*$G$7)/A20taxstdlife))</f>
        <v>0</v>
      </c>
      <c r="AQ729" s="590">
        <f>IF(A20taxstdlife="n/a","n/a",IF(AQ$3&gt;(A20taxstdlife+$E729),(('PTRM input'!$G$162+'PTRM input'!$G$128)*$G$7)-SUM($G729:AP729),(('PTRM input'!$G$162+'PTRM input'!$G$128)*$G$7)/A20taxstdlife))</f>
        <v>0</v>
      </c>
      <c r="AR729" s="590">
        <f>IF(A20taxstdlife="n/a","n/a",IF(AR$3&gt;(A20taxstdlife+$E729),(('PTRM input'!$G$162+'PTRM input'!$G$128)*$G$7)-SUM($G729:AQ729),(('PTRM input'!$G$162+'PTRM input'!$G$128)*$G$7)/A20taxstdlife))</f>
        <v>0</v>
      </c>
      <c r="AS729" s="590">
        <f>IF(A20taxstdlife="n/a","n/a",IF(AS$3&gt;(A20taxstdlife+$E729),(('PTRM input'!$G$162+'PTRM input'!$G$128)*$G$7)-SUM($G729:AR729),(('PTRM input'!$G$162+'PTRM input'!$G$128)*$G$7)/A20taxstdlife))</f>
        <v>0</v>
      </c>
      <c r="AT729" s="590">
        <f>IF(A20taxstdlife="n/a","n/a",IF(AT$3&gt;(A20taxstdlife+$E729),(('PTRM input'!$G$162+'PTRM input'!$G$128)*$G$7)-SUM($G729:AS729),(('PTRM input'!$G$162+'PTRM input'!$G$128)*$G$7)/A20taxstdlife))</f>
        <v>0</v>
      </c>
      <c r="AU729" s="590">
        <f>IF(A20taxstdlife="n/a","n/a",IF(AU$3&gt;(A20taxstdlife+$E729),(('PTRM input'!$G$162+'PTRM input'!$G$128)*$G$7)-SUM($G729:AT729),(('PTRM input'!$G$162+'PTRM input'!$G$128)*$G$7)/A20taxstdlife))</f>
        <v>0</v>
      </c>
      <c r="AV729" s="590">
        <f>IF(A20taxstdlife="n/a","n/a",IF(AV$3&gt;(A20taxstdlife+$E729),(('PTRM input'!$G$162+'PTRM input'!$G$128)*$G$7)-SUM($G729:AU729),(('PTRM input'!$G$162+'PTRM input'!$G$128)*$G$7)/A20taxstdlife))</f>
        <v>0</v>
      </c>
      <c r="AW729" s="590">
        <f>IF(A20taxstdlife="n/a","n/a",IF(AW$3&gt;(A20taxstdlife+$E729),(('PTRM input'!$G$162+'PTRM input'!$G$128)*$G$7)-SUM($G729:AV729),(('PTRM input'!$G$162+'PTRM input'!$G$128)*$G$7)/A20taxstdlife))</f>
        <v>0</v>
      </c>
      <c r="AX729" s="590">
        <f>IF(A20taxstdlife="n/a","n/a",IF(AX$3&gt;(A20taxstdlife+$E729),(('PTRM input'!$G$162+'PTRM input'!$G$128)*$G$7)-SUM($G729:AW729),(('PTRM input'!$G$162+'PTRM input'!$G$128)*$G$7)/A20taxstdlife))</f>
        <v>0</v>
      </c>
      <c r="AY729" s="590">
        <f>IF(A20taxstdlife="n/a","n/a",IF(AY$3&gt;(A20taxstdlife+$E729),(('PTRM input'!$G$162+'PTRM input'!$G$128)*$G$7)-SUM($G729:AX729),(('PTRM input'!$G$162+'PTRM input'!$G$128)*$G$7)/A20taxstdlife))</f>
        <v>0</v>
      </c>
      <c r="AZ729" s="590">
        <f>IF(A20taxstdlife="n/a","n/a",IF(AZ$3&gt;(A20taxstdlife+$E729),(('PTRM input'!$G$162+'PTRM input'!$G$128)*$G$7)-SUM($G729:AY729),(('PTRM input'!$G$162+'PTRM input'!$G$128)*$G$7)/A20taxstdlife))</f>
        <v>0</v>
      </c>
      <c r="BA729" s="590">
        <f>IF(A20taxstdlife="n/a","n/a",IF(BA$3&gt;(A20taxstdlife+$E729),(('PTRM input'!$G$162+'PTRM input'!$G$128)*$G$7)-SUM($G729:AZ729),(('PTRM input'!$G$162+'PTRM input'!$G$128)*$G$7)/A20taxstdlife))</f>
        <v>0</v>
      </c>
      <c r="BB729" s="590">
        <f>IF(A20taxstdlife="n/a","n/a",IF(BB$3&gt;(A20taxstdlife+$E729),(('PTRM input'!$G$162+'PTRM input'!$G$128)*$G$7)-SUM($G729:BA729),(('PTRM input'!$G$162+'PTRM input'!$G$128)*$G$7)/A20taxstdlife))</f>
        <v>0</v>
      </c>
      <c r="BC729" s="590">
        <f>IF(A20taxstdlife="n/a","n/a",IF(BC$3&gt;(A20taxstdlife+$E729),(('PTRM input'!$G$162+'PTRM input'!$G$128)*$G$7)-SUM($G729:BB729),(('PTRM input'!$G$162+'PTRM input'!$G$128)*$G$7)/A20taxstdlife))</f>
        <v>0</v>
      </c>
      <c r="BD729" s="590">
        <f>IF(A20taxstdlife="n/a","n/a",IF(BD$3&gt;(A20taxstdlife+$E729),(('PTRM input'!$G$162+'PTRM input'!$G$128)*$G$7)-SUM($G729:BC729),(('PTRM input'!$G$162+'PTRM input'!$G$128)*$G$7)/A20taxstdlife))</f>
        <v>0</v>
      </c>
      <c r="BE729" s="590">
        <f>IF(A20taxstdlife="n/a","n/a",IF(BE$3&gt;(A20taxstdlife+$E729),(('PTRM input'!$G$162+'PTRM input'!$G$128)*$G$7)-SUM($G729:BD729),(('PTRM input'!$G$162+'PTRM input'!$G$128)*$G$7)/A20taxstdlife))</f>
        <v>0</v>
      </c>
      <c r="BF729" s="590">
        <f>IF(A20taxstdlife="n/a","n/a",IF(BF$3&gt;(A20taxstdlife+$E729),(('PTRM input'!$G$162+'PTRM input'!$G$128)*$G$7)-SUM($G729:BE729),(('PTRM input'!$G$162+'PTRM input'!$G$128)*$G$7)/A20taxstdlife))</f>
        <v>0</v>
      </c>
      <c r="BG729" s="590">
        <f>IF(A20taxstdlife="n/a","n/a",IF(BG$3&gt;(A20taxstdlife+$E729),(('PTRM input'!$G$162+'PTRM input'!$G$128)*$G$7)-SUM($G729:BF729),(('PTRM input'!$G$162+'PTRM input'!$G$128)*$G$7)/A20taxstdlife))</f>
        <v>0</v>
      </c>
      <c r="BH729" s="590">
        <f>IF(A20taxstdlife="n/a","n/a",IF(BH$3&gt;(A20taxstdlife+$E729),(('PTRM input'!$G$162+'PTRM input'!$G$128)*$G$7)-SUM($G729:BG729),(('PTRM input'!$G$162+'PTRM input'!$G$128)*$G$7)/A20taxstdlife))</f>
        <v>0</v>
      </c>
      <c r="BI729" s="590">
        <f>IF(A20taxstdlife="n/a","n/a",IF(BI$3&gt;(A20taxstdlife+$E729),(('PTRM input'!$G$162+'PTRM input'!$G$128)*$G$7)-SUM($G729:BH729),(('PTRM input'!$G$162+'PTRM input'!$G$128)*$G$7)/A20taxstdlife))</f>
        <v>0</v>
      </c>
      <c r="BJ729" s="240"/>
      <c r="BK729" s="240"/>
      <c r="BL729" s="240"/>
      <c r="BM729" s="240"/>
    </row>
    <row r="730" spans="1:65" s="4" customFormat="1" hidden="1" outlineLevel="2">
      <c r="A730" s="240"/>
      <c r="B730" s="240"/>
      <c r="C730" s="595"/>
      <c r="D730" s="1618"/>
      <c r="E730" s="169">
        <v>2</v>
      </c>
      <c r="F730" s="35"/>
      <c r="G730" s="184"/>
      <c r="H730" s="185"/>
      <c r="I730" s="107">
        <f>IF(A20taxstdlife="n/a","n/a",IF(I$3&gt;(A20taxstdlife+$E730),(('PTRM input'!$H$162+'PTRM input'!$H$128)*$H$7)-SUM($H730:H730),(('PTRM input'!$H$162+'PTRM input'!$H$128)*$H$7)/A20taxstdlife))</f>
        <v>0</v>
      </c>
      <c r="J730" s="107">
        <f>IF(A20taxstdlife="n/a","n/a",IF(J$3&gt;(A20taxstdlife+$E730),(('PTRM input'!$H$162+'PTRM input'!$H$128)*$H$7)-SUM($H730:I730),(('PTRM input'!$H$162+'PTRM input'!$H$128)*$H$7)/A20taxstdlife))</f>
        <v>0</v>
      </c>
      <c r="K730" s="107">
        <f>IF(A20taxstdlife="n/a","n/a",IF(K$3&gt;(A20taxstdlife+$E730),(('PTRM input'!$H$162+'PTRM input'!$H$128)*$H$7)-SUM($H730:J730),(('PTRM input'!$H$162+'PTRM input'!$H$128)*$H$7)/A20taxstdlife))</f>
        <v>0</v>
      </c>
      <c r="L730" s="107">
        <f>IF(A20taxstdlife="n/a","n/a",IF(L$3&gt;(A20taxstdlife+$E730),(('PTRM input'!$H$162+'PTRM input'!$H$128)*$H$7)-SUM($H730:K730),(('PTRM input'!$H$162+'PTRM input'!$H$128)*$H$7)/A20taxstdlife))</f>
        <v>0</v>
      </c>
      <c r="M730" s="107">
        <f>IF(A20taxstdlife="n/a","n/a",IF(M$3&gt;(A20taxstdlife+$E730),(('PTRM input'!$H$162+'PTRM input'!$H$128)*$H$7)-SUM($H730:L730),(('PTRM input'!$H$162+'PTRM input'!$H$128)*$H$7)/A20taxstdlife))</f>
        <v>0</v>
      </c>
      <c r="N730" s="107">
        <f>IF(A20taxstdlife="n/a","n/a",IF(N$3&gt;(A20taxstdlife+$E730),(('PTRM input'!$H$162+'PTRM input'!$H$128)*$H$7)-SUM($H730:M730),(('PTRM input'!$H$162+'PTRM input'!$H$128)*$H$7)/A20taxstdlife))</f>
        <v>0</v>
      </c>
      <c r="O730" s="107">
        <f>IF(A20taxstdlife="n/a","n/a",IF(O$3&gt;(A20taxstdlife+$E730),(('PTRM input'!$H$162+'PTRM input'!$H$128)*$H$7)-SUM($H730:N730),(('PTRM input'!$H$162+'PTRM input'!$H$128)*$H$7)/A20taxstdlife))</f>
        <v>0</v>
      </c>
      <c r="P730" s="107">
        <f>IF(A20taxstdlife="n/a","n/a",IF(P$3&gt;(A20taxstdlife+$E730),(('PTRM input'!$H$162+'PTRM input'!$H$128)*$H$7)-SUM($H730:O730),(('PTRM input'!$H$162+'PTRM input'!$H$128)*$H$7)/A20taxstdlife))</f>
        <v>0</v>
      </c>
      <c r="Q730" s="590">
        <f>IF(A20taxstdlife="n/a","n/a",IF(Q$3&gt;(A20taxstdlife+$E730),(('PTRM input'!$H$162+'PTRM input'!$H$128)*$H$7)-SUM($H730:P730),(('PTRM input'!$H$162+'PTRM input'!$H$128)*$H$7)/A20taxstdlife))</f>
        <v>0</v>
      </c>
      <c r="R730" s="590">
        <f>IF(A20taxstdlife="n/a","n/a",IF(R$3&gt;(A20taxstdlife+$E730),(('PTRM input'!$H$162+'PTRM input'!$H$128)*$H$7)-SUM($H730:Q730),(('PTRM input'!$H$162+'PTRM input'!$H$128)*$H$7)/A20taxstdlife))</f>
        <v>0</v>
      </c>
      <c r="S730" s="590">
        <f>IF(A20taxstdlife="n/a","n/a",IF(S$3&gt;(A20taxstdlife+$E730),(('PTRM input'!$H$162+'PTRM input'!$H$128)*$H$7)-SUM($H730:R730),(('PTRM input'!$H$162+'PTRM input'!$H$128)*$H$7)/A20taxstdlife))</f>
        <v>0</v>
      </c>
      <c r="T730" s="590">
        <f>IF(A20taxstdlife="n/a","n/a",IF(T$3&gt;(A20taxstdlife+$E730),(('PTRM input'!$H$162+'PTRM input'!$H$128)*$H$7)-SUM($H730:S730),(('PTRM input'!$H$162+'PTRM input'!$H$128)*$H$7)/A20taxstdlife))</f>
        <v>0</v>
      </c>
      <c r="U730" s="590">
        <f>IF(A20taxstdlife="n/a","n/a",IF(U$3&gt;(A20taxstdlife+$E730),(('PTRM input'!$H$162+'PTRM input'!$H$128)*$H$7)-SUM($H730:T730),(('PTRM input'!$H$162+'PTRM input'!$H$128)*$H$7)/A20taxstdlife))</f>
        <v>0</v>
      </c>
      <c r="V730" s="590">
        <f>IF(A20taxstdlife="n/a","n/a",IF(V$3&gt;(A20taxstdlife+$E730),(('PTRM input'!$H$162+'PTRM input'!$H$128)*$H$7)-SUM($H730:U730),(('PTRM input'!$H$162+'PTRM input'!$H$128)*$H$7)/A20taxstdlife))</f>
        <v>0</v>
      </c>
      <c r="W730" s="590">
        <f>IF(A20taxstdlife="n/a","n/a",IF(W$3&gt;(A20taxstdlife+$E730),(('PTRM input'!$H$162+'PTRM input'!$H$128)*$H$7)-SUM($H730:V730),(('PTRM input'!$H$162+'PTRM input'!$H$128)*$H$7)/A20taxstdlife))</f>
        <v>0</v>
      </c>
      <c r="X730" s="590">
        <f>IF(A20taxstdlife="n/a","n/a",IF(X$3&gt;(A20taxstdlife+$E730),(('PTRM input'!$H$162+'PTRM input'!$H$128)*$H$7)-SUM($H730:W730),(('PTRM input'!$H$162+'PTRM input'!$H$128)*$H$7)/A20taxstdlife))</f>
        <v>0</v>
      </c>
      <c r="Y730" s="590">
        <f>IF(A20taxstdlife="n/a","n/a",IF(Y$3&gt;(A20taxstdlife+$E730),(('PTRM input'!$H$162+'PTRM input'!$H$128)*$H$7)-SUM($H730:X730),(('PTRM input'!$H$162+'PTRM input'!$H$128)*$H$7)/A20taxstdlife))</f>
        <v>0</v>
      </c>
      <c r="Z730" s="590">
        <f>IF(A20taxstdlife="n/a","n/a",IF(Z$3&gt;(A20taxstdlife+$E730),(('PTRM input'!$H$162+'PTRM input'!$H$128)*$H$7)-SUM($H730:Y730),(('PTRM input'!$H$162+'PTRM input'!$H$128)*$H$7)/A20taxstdlife))</f>
        <v>0</v>
      </c>
      <c r="AA730" s="590">
        <f>IF(A20taxstdlife="n/a","n/a",IF(AA$3&gt;(A20taxstdlife+$E730),(('PTRM input'!$H$162+'PTRM input'!$H$128)*$H$7)-SUM($H730:Z730),(('PTRM input'!$H$162+'PTRM input'!$H$128)*$H$7)/A20taxstdlife))</f>
        <v>0</v>
      </c>
      <c r="AB730" s="590">
        <f>IF(A20taxstdlife="n/a","n/a",IF(AB$3&gt;(A20taxstdlife+$E730),(('PTRM input'!$H$162+'PTRM input'!$H$128)*$H$7)-SUM($H730:AA730),(('PTRM input'!$H$162+'PTRM input'!$H$128)*$H$7)/A20taxstdlife))</f>
        <v>0</v>
      </c>
      <c r="AC730" s="590">
        <f>IF(A20taxstdlife="n/a","n/a",IF(AC$3&gt;(A20taxstdlife+$E730),(('PTRM input'!$H$162+'PTRM input'!$H$128)*$H$7)-SUM($H730:AB730),(('PTRM input'!$H$162+'PTRM input'!$H$128)*$H$7)/A20taxstdlife))</f>
        <v>0</v>
      </c>
      <c r="AD730" s="590">
        <f>IF(A20taxstdlife="n/a","n/a",IF(AD$3&gt;(A20taxstdlife+$E730),(('PTRM input'!$H$162+'PTRM input'!$H$128)*$H$7)-SUM($H730:AC730),(('PTRM input'!$H$162+'PTRM input'!$H$128)*$H$7)/A20taxstdlife))</f>
        <v>0</v>
      </c>
      <c r="AE730" s="590">
        <f>IF(A20taxstdlife="n/a","n/a",IF(AE$3&gt;(A20taxstdlife+$E730),(('PTRM input'!$H$162+'PTRM input'!$H$128)*$H$7)-SUM($H730:AD730),(('PTRM input'!$H$162+'PTRM input'!$H$128)*$H$7)/A20taxstdlife))</f>
        <v>0</v>
      </c>
      <c r="AF730" s="590">
        <f>IF(A20taxstdlife="n/a","n/a",IF(AF$3&gt;(A20taxstdlife+$E730),(('PTRM input'!$H$162+'PTRM input'!$H$128)*$H$7)-SUM($H730:AE730),(('PTRM input'!$H$162+'PTRM input'!$H$128)*$H$7)/A20taxstdlife))</f>
        <v>0</v>
      </c>
      <c r="AG730" s="590">
        <f>IF(A20taxstdlife="n/a","n/a",IF(AG$3&gt;(A20taxstdlife+$E730),(('PTRM input'!$H$162+'PTRM input'!$H$128)*$H$7)-SUM($H730:AF730),(('PTRM input'!$H$162+'PTRM input'!$H$128)*$H$7)/A20taxstdlife))</f>
        <v>0</v>
      </c>
      <c r="AH730" s="590">
        <f>IF(A20taxstdlife="n/a","n/a",IF(AH$3&gt;(A20taxstdlife+$E730),(('PTRM input'!$H$162+'PTRM input'!$H$128)*$H$7)-SUM($H730:AG730),(('PTRM input'!$H$162+'PTRM input'!$H$128)*$H$7)/A20taxstdlife))</f>
        <v>0</v>
      </c>
      <c r="AI730" s="590">
        <f>IF(A20taxstdlife="n/a","n/a",IF(AI$3&gt;(A20taxstdlife+$E730),(('PTRM input'!$H$162+'PTRM input'!$H$128)*$H$7)-SUM($H730:AH730),(('PTRM input'!$H$162+'PTRM input'!$H$128)*$H$7)/A20taxstdlife))</f>
        <v>0</v>
      </c>
      <c r="AJ730" s="590">
        <f>IF(A20taxstdlife="n/a","n/a",IF(AJ$3&gt;(A20taxstdlife+$E730),(('PTRM input'!$H$162+'PTRM input'!$H$128)*$H$7)-SUM($H730:AI730),(('PTRM input'!$H$162+'PTRM input'!$H$128)*$H$7)/A20taxstdlife))</f>
        <v>0</v>
      </c>
      <c r="AK730" s="590">
        <f>IF(A20taxstdlife="n/a","n/a",IF(AK$3&gt;(A20taxstdlife+$E730),(('PTRM input'!$H$162+'PTRM input'!$H$128)*$H$7)-SUM($H730:AJ730),(('PTRM input'!$H$162+'PTRM input'!$H$128)*$H$7)/A20taxstdlife))</f>
        <v>0</v>
      </c>
      <c r="AL730" s="590">
        <f>IF(A20taxstdlife="n/a","n/a",IF(AL$3&gt;(A20taxstdlife+$E730),(('PTRM input'!$H$162+'PTRM input'!$H$128)*$H$7)-SUM($H730:AK730),(('PTRM input'!$H$162+'PTRM input'!$H$128)*$H$7)/A20taxstdlife))</f>
        <v>0</v>
      </c>
      <c r="AM730" s="590">
        <f>IF(A20taxstdlife="n/a","n/a",IF(AM$3&gt;(A20taxstdlife+$E730),(('PTRM input'!$H$162+'PTRM input'!$H$128)*$H$7)-SUM($H730:AL730),(('PTRM input'!$H$162+'PTRM input'!$H$128)*$H$7)/A20taxstdlife))</f>
        <v>0</v>
      </c>
      <c r="AN730" s="590">
        <f>IF(A20taxstdlife="n/a","n/a",IF(AN$3&gt;(A20taxstdlife+$E730),(('PTRM input'!$H$162+'PTRM input'!$H$128)*$H$7)-SUM($H730:AM730),(('PTRM input'!$H$162+'PTRM input'!$H$128)*$H$7)/A20taxstdlife))</f>
        <v>0</v>
      </c>
      <c r="AO730" s="590">
        <f>IF(A20taxstdlife="n/a","n/a",IF(AO$3&gt;(A20taxstdlife+$E730),(('PTRM input'!$H$162+'PTRM input'!$H$128)*$H$7)-SUM($H730:AN730),(('PTRM input'!$H$162+'PTRM input'!$H$128)*$H$7)/A20taxstdlife))</f>
        <v>0</v>
      </c>
      <c r="AP730" s="590">
        <f>IF(A20taxstdlife="n/a","n/a",IF(AP$3&gt;(A20taxstdlife+$E730),(('PTRM input'!$H$162+'PTRM input'!$H$128)*$H$7)-SUM($H730:AO730),(('PTRM input'!$H$162+'PTRM input'!$H$128)*$H$7)/A20taxstdlife))</f>
        <v>0</v>
      </c>
      <c r="AQ730" s="590">
        <f>IF(A20taxstdlife="n/a","n/a",IF(AQ$3&gt;(A20taxstdlife+$E730),(('PTRM input'!$H$162+'PTRM input'!$H$128)*$H$7)-SUM($H730:AP730),(('PTRM input'!$H$162+'PTRM input'!$H$128)*$H$7)/A20taxstdlife))</f>
        <v>0</v>
      </c>
      <c r="AR730" s="590">
        <f>IF(A20taxstdlife="n/a","n/a",IF(AR$3&gt;(A20taxstdlife+$E730),(('PTRM input'!$H$162+'PTRM input'!$H$128)*$H$7)-SUM($H730:AQ730),(('PTRM input'!$H$162+'PTRM input'!$H$128)*$H$7)/A20taxstdlife))</f>
        <v>0</v>
      </c>
      <c r="AS730" s="590">
        <f>IF(A20taxstdlife="n/a","n/a",IF(AS$3&gt;(A20taxstdlife+$E730),(('PTRM input'!$H$162+'PTRM input'!$H$128)*$H$7)-SUM($H730:AR730),(('PTRM input'!$H$162+'PTRM input'!$H$128)*$H$7)/A20taxstdlife))</f>
        <v>0</v>
      </c>
      <c r="AT730" s="590">
        <f>IF(A20taxstdlife="n/a","n/a",IF(AT$3&gt;(A20taxstdlife+$E730),(('PTRM input'!$H$162+'PTRM input'!$H$128)*$H$7)-SUM($H730:AS730),(('PTRM input'!$H$162+'PTRM input'!$H$128)*$H$7)/A20taxstdlife))</f>
        <v>0</v>
      </c>
      <c r="AU730" s="590">
        <f>IF(A20taxstdlife="n/a","n/a",IF(AU$3&gt;(A20taxstdlife+$E730),(('PTRM input'!$H$162+'PTRM input'!$H$128)*$H$7)-SUM($H730:AT730),(('PTRM input'!$H$162+'PTRM input'!$H$128)*$H$7)/A20taxstdlife))</f>
        <v>0</v>
      </c>
      <c r="AV730" s="590">
        <f>IF(A20taxstdlife="n/a","n/a",IF(AV$3&gt;(A20taxstdlife+$E730),(('PTRM input'!$H$162+'PTRM input'!$H$128)*$H$7)-SUM($H730:AU730),(('PTRM input'!$H$162+'PTRM input'!$H$128)*$H$7)/A20taxstdlife))</f>
        <v>0</v>
      </c>
      <c r="AW730" s="590">
        <f>IF(A20taxstdlife="n/a","n/a",IF(AW$3&gt;(A20taxstdlife+$E730),(('PTRM input'!$H$162+'PTRM input'!$H$128)*$H$7)-SUM($H730:AV730),(('PTRM input'!$H$162+'PTRM input'!$H$128)*$H$7)/A20taxstdlife))</f>
        <v>0</v>
      </c>
      <c r="AX730" s="590">
        <f>IF(A20taxstdlife="n/a","n/a",IF(AX$3&gt;(A20taxstdlife+$E730),(('PTRM input'!$H$162+'PTRM input'!$H$128)*$H$7)-SUM($H730:AW730),(('PTRM input'!$H$162+'PTRM input'!$H$128)*$H$7)/A20taxstdlife))</f>
        <v>0</v>
      </c>
      <c r="AY730" s="590">
        <f>IF(A20taxstdlife="n/a","n/a",IF(AY$3&gt;(A20taxstdlife+$E730),(('PTRM input'!$H$162+'PTRM input'!$H$128)*$H$7)-SUM($H730:AX730),(('PTRM input'!$H$162+'PTRM input'!$H$128)*$H$7)/A20taxstdlife))</f>
        <v>0</v>
      </c>
      <c r="AZ730" s="590">
        <f>IF(A20taxstdlife="n/a","n/a",IF(AZ$3&gt;(A20taxstdlife+$E730),(('PTRM input'!$H$162+'PTRM input'!$H$128)*$H$7)-SUM($H730:AY730),(('PTRM input'!$H$162+'PTRM input'!$H$128)*$H$7)/A20taxstdlife))</f>
        <v>0</v>
      </c>
      <c r="BA730" s="590">
        <f>IF(A20taxstdlife="n/a","n/a",IF(BA$3&gt;(A20taxstdlife+$E730),(('PTRM input'!$H$162+'PTRM input'!$H$128)*$H$7)-SUM($H730:AZ730),(('PTRM input'!$H$162+'PTRM input'!$H$128)*$H$7)/A20taxstdlife))</f>
        <v>0</v>
      </c>
      <c r="BB730" s="590">
        <f>IF(A20taxstdlife="n/a","n/a",IF(BB$3&gt;(A20taxstdlife+$E730),(('PTRM input'!$H$162+'PTRM input'!$H$128)*$H$7)-SUM($H730:BA730),(('PTRM input'!$H$162+'PTRM input'!$H$128)*$H$7)/A20taxstdlife))</f>
        <v>0</v>
      </c>
      <c r="BC730" s="590">
        <f>IF(A20taxstdlife="n/a","n/a",IF(BC$3&gt;(A20taxstdlife+$E730),(('PTRM input'!$H$162+'PTRM input'!$H$128)*$H$7)-SUM($H730:BB730),(('PTRM input'!$H$162+'PTRM input'!$H$128)*$H$7)/A20taxstdlife))</f>
        <v>0</v>
      </c>
      <c r="BD730" s="590">
        <f>IF(A20taxstdlife="n/a","n/a",IF(BD$3&gt;(A20taxstdlife+$E730),(('PTRM input'!$H$162+'PTRM input'!$H$128)*$H$7)-SUM($H730:BC730),(('PTRM input'!$H$162+'PTRM input'!$H$128)*$H$7)/A20taxstdlife))</f>
        <v>0</v>
      </c>
      <c r="BE730" s="590">
        <f>IF(A20taxstdlife="n/a","n/a",IF(BE$3&gt;(A20taxstdlife+$E730),(('PTRM input'!$H$162+'PTRM input'!$H$128)*$H$7)-SUM($H730:BD730),(('PTRM input'!$H$162+'PTRM input'!$H$128)*$H$7)/A20taxstdlife))</f>
        <v>0</v>
      </c>
      <c r="BF730" s="590">
        <f>IF(A20taxstdlife="n/a","n/a",IF(BF$3&gt;(A20taxstdlife+$E730),(('PTRM input'!$H$162+'PTRM input'!$H$128)*$H$7)-SUM($H730:BE730),(('PTRM input'!$H$162+'PTRM input'!$H$128)*$H$7)/A20taxstdlife))</f>
        <v>0</v>
      </c>
      <c r="BG730" s="590">
        <f>IF(A20taxstdlife="n/a","n/a",IF(BG$3&gt;(A20taxstdlife+$E730),(('PTRM input'!$H$162+'PTRM input'!$H$128)*$H$7)-SUM($H730:BF730),(('PTRM input'!$H$162+'PTRM input'!$H$128)*$H$7)/A20taxstdlife))</f>
        <v>0</v>
      </c>
      <c r="BH730" s="590">
        <f>IF(A20taxstdlife="n/a","n/a",IF(BH$3&gt;(A20taxstdlife+$E730),(('PTRM input'!$H$162+'PTRM input'!$H$128)*$H$7)-SUM($H730:BG730),(('PTRM input'!$H$162+'PTRM input'!$H$128)*$H$7)/A20taxstdlife))</f>
        <v>0</v>
      </c>
      <c r="BI730" s="590">
        <f>IF(A20taxstdlife="n/a","n/a",IF(BI$3&gt;(A20taxstdlife+$E730),(('PTRM input'!$H$162+'PTRM input'!$H$128)*$H$7)-SUM($H730:BH730),(('PTRM input'!$H$162+'PTRM input'!$H$128)*$H$7)/A20taxstdlife))</f>
        <v>0</v>
      </c>
      <c r="BJ730" s="240"/>
      <c r="BK730" s="240"/>
      <c r="BL730" s="240"/>
      <c r="BM730" s="240"/>
    </row>
    <row r="731" spans="1:65" s="4" customFormat="1" hidden="1" outlineLevel="2">
      <c r="A731" s="240"/>
      <c r="B731" s="240"/>
      <c r="C731" s="595"/>
      <c r="D731" s="1618"/>
      <c r="E731" s="169">
        <v>3</v>
      </c>
      <c r="F731" s="35"/>
      <c r="G731" s="184"/>
      <c r="H731" s="186"/>
      <c r="I731" s="185"/>
      <c r="J731" s="107">
        <f>IF(A20taxstdlife="n/a","n/a",IF(J$3&gt;(A20taxstdlife+$E731),(('PTRM input'!$I$162+'PTRM input'!$I$128)*$I$7)-SUM($I731:I731),(('PTRM input'!$I$162+'PTRM input'!$I$128)*$I$7)/A20taxstdlife))</f>
        <v>0</v>
      </c>
      <c r="K731" s="107">
        <f>IF(A20taxstdlife="n/a","n/a",IF(K$3&gt;(A20taxstdlife+$E731),(('PTRM input'!$I$162+'PTRM input'!$I$128)*$I$7)-SUM($I731:J731),(('PTRM input'!$I$162+'PTRM input'!$I$128)*$I$7)/A20taxstdlife))</f>
        <v>0</v>
      </c>
      <c r="L731" s="107">
        <f>IF(A20taxstdlife="n/a","n/a",IF(L$3&gt;(A20taxstdlife+$E731),(('PTRM input'!$I$162+'PTRM input'!$I$128)*$I$7)-SUM($I731:K731),(('PTRM input'!$I$162+'PTRM input'!$I$128)*$I$7)/A20taxstdlife))</f>
        <v>0</v>
      </c>
      <c r="M731" s="107">
        <f>IF(A20taxstdlife="n/a","n/a",IF(M$3&gt;(A20taxstdlife+$E731),(('PTRM input'!$I$162+'PTRM input'!$I$128)*$I$7)-SUM($I731:L731),(('PTRM input'!$I$162+'PTRM input'!$I$128)*$I$7)/A20taxstdlife))</f>
        <v>0</v>
      </c>
      <c r="N731" s="107">
        <f>IF(A20taxstdlife="n/a","n/a",IF(N$3&gt;(A20taxstdlife+$E731),(('PTRM input'!$I$162+'PTRM input'!$I$128)*$I$7)-SUM($I731:M731),(('PTRM input'!$I$162+'PTRM input'!$I$128)*$I$7)/A20taxstdlife))</f>
        <v>0</v>
      </c>
      <c r="O731" s="107">
        <f>IF(A20taxstdlife="n/a","n/a",IF(O$3&gt;(A20taxstdlife+$E731),(('PTRM input'!$I$162+'PTRM input'!$I$128)*$I$7)-SUM($I731:N731),(('PTRM input'!$I$162+'PTRM input'!$I$128)*$I$7)/A20taxstdlife))</f>
        <v>0</v>
      </c>
      <c r="P731" s="107">
        <f>IF(A20taxstdlife="n/a","n/a",IF(P$3&gt;(A20taxstdlife+$E731),(('PTRM input'!$I$162+'PTRM input'!$I$128)*$I$7)-SUM($I731:O731),(('PTRM input'!$I$162+'PTRM input'!$I$128)*$I$7)/A20taxstdlife))</f>
        <v>0</v>
      </c>
      <c r="Q731" s="590">
        <f>IF(A20taxstdlife="n/a","n/a",IF(Q$3&gt;(A20taxstdlife+$E731),(('PTRM input'!$I$162+'PTRM input'!$I$128)*$I$7)-SUM($I731:P731),(('PTRM input'!$I$162+'PTRM input'!$I$128)*$I$7)/A20taxstdlife))</f>
        <v>0</v>
      </c>
      <c r="R731" s="590">
        <f>IF(A20taxstdlife="n/a","n/a",IF(R$3&gt;(A20taxstdlife+$E731),(('PTRM input'!$I$162+'PTRM input'!$I$128)*$I$7)-SUM($I731:Q731),(('PTRM input'!$I$162+'PTRM input'!$I$128)*$I$7)/A20taxstdlife))</f>
        <v>0</v>
      </c>
      <c r="S731" s="590">
        <f>IF(A20taxstdlife="n/a","n/a",IF(S$3&gt;(A20taxstdlife+$E731),(('PTRM input'!$I$162+'PTRM input'!$I$128)*$I$7)-SUM($I731:R731),(('PTRM input'!$I$162+'PTRM input'!$I$128)*$I$7)/A20taxstdlife))</f>
        <v>0</v>
      </c>
      <c r="T731" s="590">
        <f>IF(A20taxstdlife="n/a","n/a",IF(T$3&gt;(A20taxstdlife+$E731),(('PTRM input'!$I$162+'PTRM input'!$I$128)*$I$7)-SUM($I731:S731),(('PTRM input'!$I$162+'PTRM input'!$I$128)*$I$7)/A20taxstdlife))</f>
        <v>0</v>
      </c>
      <c r="U731" s="590">
        <f>IF(A20taxstdlife="n/a","n/a",IF(U$3&gt;(A20taxstdlife+$E731),(('PTRM input'!$I$162+'PTRM input'!$I$128)*$I$7)-SUM($I731:T731),(('PTRM input'!$I$162+'PTRM input'!$I$128)*$I$7)/A20taxstdlife))</f>
        <v>0</v>
      </c>
      <c r="V731" s="590">
        <f>IF(A20taxstdlife="n/a","n/a",IF(V$3&gt;(A20taxstdlife+$E731),(('PTRM input'!$I$162+'PTRM input'!$I$128)*$I$7)-SUM($I731:U731),(('PTRM input'!$I$162+'PTRM input'!$I$128)*$I$7)/A20taxstdlife))</f>
        <v>0</v>
      </c>
      <c r="W731" s="590">
        <f>IF(A20taxstdlife="n/a","n/a",IF(W$3&gt;(A20taxstdlife+$E731),(('PTRM input'!$I$162+'PTRM input'!$I$128)*$I$7)-SUM($I731:V731),(('PTRM input'!$I$162+'PTRM input'!$I$128)*$I$7)/A20taxstdlife))</f>
        <v>0</v>
      </c>
      <c r="X731" s="590">
        <f>IF(A20taxstdlife="n/a","n/a",IF(X$3&gt;(A20taxstdlife+$E731),(('PTRM input'!$I$162+'PTRM input'!$I$128)*$I$7)-SUM($I731:W731),(('PTRM input'!$I$162+'PTRM input'!$I$128)*$I$7)/A20taxstdlife))</f>
        <v>0</v>
      </c>
      <c r="Y731" s="590">
        <f>IF(A20taxstdlife="n/a","n/a",IF(Y$3&gt;(A20taxstdlife+$E731),(('PTRM input'!$I$162+'PTRM input'!$I$128)*$I$7)-SUM($I731:X731),(('PTRM input'!$I$162+'PTRM input'!$I$128)*$I$7)/A20taxstdlife))</f>
        <v>0</v>
      </c>
      <c r="Z731" s="590">
        <f>IF(A20taxstdlife="n/a","n/a",IF(Z$3&gt;(A20taxstdlife+$E731),(('PTRM input'!$I$162+'PTRM input'!$I$128)*$I$7)-SUM($I731:Y731),(('PTRM input'!$I$162+'PTRM input'!$I$128)*$I$7)/A20taxstdlife))</f>
        <v>0</v>
      </c>
      <c r="AA731" s="590">
        <f>IF(A20taxstdlife="n/a","n/a",IF(AA$3&gt;(A20taxstdlife+$E731),(('PTRM input'!$I$162+'PTRM input'!$I$128)*$I$7)-SUM($I731:Z731),(('PTRM input'!$I$162+'PTRM input'!$I$128)*$I$7)/A20taxstdlife))</f>
        <v>0</v>
      </c>
      <c r="AB731" s="590">
        <f>IF(A20taxstdlife="n/a","n/a",IF(AB$3&gt;(A20taxstdlife+$E731),(('PTRM input'!$I$162+'PTRM input'!$I$128)*$I$7)-SUM($I731:AA731),(('PTRM input'!$I$162+'PTRM input'!$I$128)*$I$7)/A20taxstdlife))</f>
        <v>0</v>
      </c>
      <c r="AC731" s="590">
        <f>IF(A20taxstdlife="n/a","n/a",IF(AC$3&gt;(A20taxstdlife+$E731),(('PTRM input'!$I$162+'PTRM input'!$I$128)*$I$7)-SUM($I731:AB731),(('PTRM input'!$I$162+'PTRM input'!$I$128)*$I$7)/A20taxstdlife))</f>
        <v>0</v>
      </c>
      <c r="AD731" s="590">
        <f>IF(A20taxstdlife="n/a","n/a",IF(AD$3&gt;(A20taxstdlife+$E731),(('PTRM input'!$I$162+'PTRM input'!$I$128)*$I$7)-SUM($I731:AC731),(('PTRM input'!$I$162+'PTRM input'!$I$128)*$I$7)/A20taxstdlife))</f>
        <v>0</v>
      </c>
      <c r="AE731" s="590">
        <f>IF(A20taxstdlife="n/a","n/a",IF(AE$3&gt;(A20taxstdlife+$E731),(('PTRM input'!$I$162+'PTRM input'!$I$128)*$I$7)-SUM($I731:AD731),(('PTRM input'!$I$162+'PTRM input'!$I$128)*$I$7)/A20taxstdlife))</f>
        <v>0</v>
      </c>
      <c r="AF731" s="590">
        <f>IF(A20taxstdlife="n/a","n/a",IF(AF$3&gt;(A20taxstdlife+$E731),(('PTRM input'!$I$162+'PTRM input'!$I$128)*$I$7)-SUM($I731:AE731),(('PTRM input'!$I$162+'PTRM input'!$I$128)*$I$7)/A20taxstdlife))</f>
        <v>0</v>
      </c>
      <c r="AG731" s="590">
        <f>IF(A20taxstdlife="n/a","n/a",IF(AG$3&gt;(A20taxstdlife+$E731),(('PTRM input'!$I$162+'PTRM input'!$I$128)*$I$7)-SUM($I731:AF731),(('PTRM input'!$I$162+'PTRM input'!$I$128)*$I$7)/A20taxstdlife))</f>
        <v>0</v>
      </c>
      <c r="AH731" s="590">
        <f>IF(A20taxstdlife="n/a","n/a",IF(AH$3&gt;(A20taxstdlife+$E731),(('PTRM input'!$I$162+'PTRM input'!$I$128)*$I$7)-SUM($I731:AG731),(('PTRM input'!$I$162+'PTRM input'!$I$128)*$I$7)/A20taxstdlife))</f>
        <v>0</v>
      </c>
      <c r="AI731" s="590">
        <f>IF(A20taxstdlife="n/a","n/a",IF(AI$3&gt;(A20taxstdlife+$E731),(('PTRM input'!$I$162+'PTRM input'!$I$128)*$I$7)-SUM($I731:AH731),(('PTRM input'!$I$162+'PTRM input'!$I$128)*$I$7)/A20taxstdlife))</f>
        <v>0</v>
      </c>
      <c r="AJ731" s="590">
        <f>IF(A20taxstdlife="n/a","n/a",IF(AJ$3&gt;(A20taxstdlife+$E731),(('PTRM input'!$I$162+'PTRM input'!$I$128)*$I$7)-SUM($I731:AI731),(('PTRM input'!$I$162+'PTRM input'!$I$128)*$I$7)/A20taxstdlife))</f>
        <v>0</v>
      </c>
      <c r="AK731" s="590">
        <f>IF(A20taxstdlife="n/a","n/a",IF(AK$3&gt;(A20taxstdlife+$E731),(('PTRM input'!$I$162+'PTRM input'!$I$128)*$I$7)-SUM($I731:AJ731),(('PTRM input'!$I$162+'PTRM input'!$I$128)*$I$7)/A20taxstdlife))</f>
        <v>0</v>
      </c>
      <c r="AL731" s="590">
        <f>IF(A20taxstdlife="n/a","n/a",IF(AL$3&gt;(A20taxstdlife+$E731),(('PTRM input'!$I$162+'PTRM input'!$I$128)*$I$7)-SUM($I731:AK731),(('PTRM input'!$I$162+'PTRM input'!$I$128)*$I$7)/A20taxstdlife))</f>
        <v>0</v>
      </c>
      <c r="AM731" s="590">
        <f>IF(A20taxstdlife="n/a","n/a",IF(AM$3&gt;(A20taxstdlife+$E731),(('PTRM input'!$I$162+'PTRM input'!$I$128)*$I$7)-SUM($I731:AL731),(('PTRM input'!$I$162+'PTRM input'!$I$128)*$I$7)/A20taxstdlife))</f>
        <v>0</v>
      </c>
      <c r="AN731" s="590">
        <f>IF(A20taxstdlife="n/a","n/a",IF(AN$3&gt;(A20taxstdlife+$E731),(('PTRM input'!$I$162+'PTRM input'!$I$128)*$I$7)-SUM($I731:AM731),(('PTRM input'!$I$162+'PTRM input'!$I$128)*$I$7)/A20taxstdlife))</f>
        <v>0</v>
      </c>
      <c r="AO731" s="590">
        <f>IF(A20taxstdlife="n/a","n/a",IF(AO$3&gt;(A20taxstdlife+$E731),(('PTRM input'!$I$162+'PTRM input'!$I$128)*$I$7)-SUM($I731:AN731),(('PTRM input'!$I$162+'PTRM input'!$I$128)*$I$7)/A20taxstdlife))</f>
        <v>0</v>
      </c>
      <c r="AP731" s="590">
        <f>IF(A20taxstdlife="n/a","n/a",IF(AP$3&gt;(A20taxstdlife+$E731),(('PTRM input'!$I$162+'PTRM input'!$I$128)*$I$7)-SUM($I731:AO731),(('PTRM input'!$I$162+'PTRM input'!$I$128)*$I$7)/A20taxstdlife))</f>
        <v>0</v>
      </c>
      <c r="AQ731" s="590">
        <f>IF(A20taxstdlife="n/a","n/a",IF(AQ$3&gt;(A20taxstdlife+$E731),(('PTRM input'!$I$162+'PTRM input'!$I$128)*$I$7)-SUM($I731:AP731),(('PTRM input'!$I$162+'PTRM input'!$I$128)*$I$7)/A20taxstdlife))</f>
        <v>0</v>
      </c>
      <c r="AR731" s="590">
        <f>IF(A20taxstdlife="n/a","n/a",IF(AR$3&gt;(A20taxstdlife+$E731),(('PTRM input'!$I$162+'PTRM input'!$I$128)*$I$7)-SUM($I731:AQ731),(('PTRM input'!$I$162+'PTRM input'!$I$128)*$I$7)/A20taxstdlife))</f>
        <v>0</v>
      </c>
      <c r="AS731" s="590">
        <f>IF(A20taxstdlife="n/a","n/a",IF(AS$3&gt;(A20taxstdlife+$E731),(('PTRM input'!$I$162+'PTRM input'!$I$128)*$I$7)-SUM($I731:AR731),(('PTRM input'!$I$162+'PTRM input'!$I$128)*$I$7)/A20taxstdlife))</f>
        <v>0</v>
      </c>
      <c r="AT731" s="590">
        <f>IF(A20taxstdlife="n/a","n/a",IF(AT$3&gt;(A20taxstdlife+$E731),(('PTRM input'!$I$162+'PTRM input'!$I$128)*$I$7)-SUM($I731:AS731),(('PTRM input'!$I$162+'PTRM input'!$I$128)*$I$7)/A20taxstdlife))</f>
        <v>0</v>
      </c>
      <c r="AU731" s="590">
        <f>IF(A20taxstdlife="n/a","n/a",IF(AU$3&gt;(A20taxstdlife+$E731),(('PTRM input'!$I$162+'PTRM input'!$I$128)*$I$7)-SUM($I731:AT731),(('PTRM input'!$I$162+'PTRM input'!$I$128)*$I$7)/A20taxstdlife))</f>
        <v>0</v>
      </c>
      <c r="AV731" s="590">
        <f>IF(A20taxstdlife="n/a","n/a",IF(AV$3&gt;(A20taxstdlife+$E731),(('PTRM input'!$I$162+'PTRM input'!$I$128)*$I$7)-SUM($I731:AU731),(('PTRM input'!$I$162+'PTRM input'!$I$128)*$I$7)/A20taxstdlife))</f>
        <v>0</v>
      </c>
      <c r="AW731" s="590">
        <f>IF(A20taxstdlife="n/a","n/a",IF(AW$3&gt;(A20taxstdlife+$E731),(('PTRM input'!$I$162+'PTRM input'!$I$128)*$I$7)-SUM($I731:AV731),(('PTRM input'!$I$162+'PTRM input'!$I$128)*$I$7)/A20taxstdlife))</f>
        <v>0</v>
      </c>
      <c r="AX731" s="590">
        <f>IF(A20taxstdlife="n/a","n/a",IF(AX$3&gt;(A20taxstdlife+$E731),(('PTRM input'!$I$162+'PTRM input'!$I$128)*$I$7)-SUM($I731:AW731),(('PTRM input'!$I$162+'PTRM input'!$I$128)*$I$7)/A20taxstdlife))</f>
        <v>0</v>
      </c>
      <c r="AY731" s="590">
        <f>IF(A20taxstdlife="n/a","n/a",IF(AY$3&gt;(A20taxstdlife+$E731),(('PTRM input'!$I$162+'PTRM input'!$I$128)*$I$7)-SUM($I731:AX731),(('PTRM input'!$I$162+'PTRM input'!$I$128)*$I$7)/A20taxstdlife))</f>
        <v>0</v>
      </c>
      <c r="AZ731" s="590">
        <f>IF(A20taxstdlife="n/a","n/a",IF(AZ$3&gt;(A20taxstdlife+$E731),(('PTRM input'!$I$162+'PTRM input'!$I$128)*$I$7)-SUM($I731:AY731),(('PTRM input'!$I$162+'PTRM input'!$I$128)*$I$7)/A20taxstdlife))</f>
        <v>0</v>
      </c>
      <c r="BA731" s="590">
        <f>IF(A20taxstdlife="n/a","n/a",IF(BA$3&gt;(A20taxstdlife+$E731),(('PTRM input'!$I$162+'PTRM input'!$I$128)*$I$7)-SUM($I731:AZ731),(('PTRM input'!$I$162+'PTRM input'!$I$128)*$I$7)/A20taxstdlife))</f>
        <v>0</v>
      </c>
      <c r="BB731" s="590">
        <f>IF(A20taxstdlife="n/a","n/a",IF(BB$3&gt;(A20taxstdlife+$E731),(('PTRM input'!$I$162+'PTRM input'!$I$128)*$I$7)-SUM($I731:BA731),(('PTRM input'!$I$162+'PTRM input'!$I$128)*$I$7)/A20taxstdlife))</f>
        <v>0</v>
      </c>
      <c r="BC731" s="590">
        <f>IF(A20taxstdlife="n/a","n/a",IF(BC$3&gt;(A20taxstdlife+$E731),(('PTRM input'!$I$162+'PTRM input'!$I$128)*$I$7)-SUM($I731:BB731),(('PTRM input'!$I$162+'PTRM input'!$I$128)*$I$7)/A20taxstdlife))</f>
        <v>0</v>
      </c>
      <c r="BD731" s="590">
        <f>IF(A20taxstdlife="n/a","n/a",IF(BD$3&gt;(A20taxstdlife+$E731),(('PTRM input'!$I$162+'PTRM input'!$I$128)*$I$7)-SUM($I731:BC731),(('PTRM input'!$I$162+'PTRM input'!$I$128)*$I$7)/A20taxstdlife))</f>
        <v>0</v>
      </c>
      <c r="BE731" s="590">
        <f>IF(A20taxstdlife="n/a","n/a",IF(BE$3&gt;(A20taxstdlife+$E731),(('PTRM input'!$I$162+'PTRM input'!$I$128)*$I$7)-SUM($I731:BD731),(('PTRM input'!$I$162+'PTRM input'!$I$128)*$I$7)/A20taxstdlife))</f>
        <v>0</v>
      </c>
      <c r="BF731" s="590">
        <f>IF(A20taxstdlife="n/a","n/a",IF(BF$3&gt;(A20taxstdlife+$E731),(('PTRM input'!$I$162+'PTRM input'!$I$128)*$I$7)-SUM($I731:BE731),(('PTRM input'!$I$162+'PTRM input'!$I$128)*$I$7)/A20taxstdlife))</f>
        <v>0</v>
      </c>
      <c r="BG731" s="590">
        <f>IF(A20taxstdlife="n/a","n/a",IF(BG$3&gt;(A20taxstdlife+$E731),(('PTRM input'!$I$162+'PTRM input'!$I$128)*$I$7)-SUM($I731:BF731),(('PTRM input'!$I$162+'PTRM input'!$I$128)*$I$7)/A20taxstdlife))</f>
        <v>0</v>
      </c>
      <c r="BH731" s="590">
        <f>IF(A20taxstdlife="n/a","n/a",IF(BH$3&gt;(A20taxstdlife+$E731),(('PTRM input'!$I$162+'PTRM input'!$I$128)*$I$7)-SUM($I731:BG731),(('PTRM input'!$I$162+'PTRM input'!$I$128)*$I$7)/A20taxstdlife))</f>
        <v>0</v>
      </c>
      <c r="BI731" s="590">
        <f>IF(A20taxstdlife="n/a","n/a",IF(BI$3&gt;(A20taxstdlife+$E731),(('PTRM input'!$I$162+'PTRM input'!$I$128)*$I$7)-SUM($I731:BH731),(('PTRM input'!$I$162+'PTRM input'!$I$128)*$I$7)/A20taxstdlife))</f>
        <v>0</v>
      </c>
      <c r="BJ731" s="590"/>
      <c r="BK731" s="240"/>
      <c r="BL731" s="240"/>
      <c r="BM731" s="240"/>
    </row>
    <row r="732" spans="1:65" s="4" customFormat="1" hidden="1" outlineLevel="2">
      <c r="A732" s="240"/>
      <c r="B732" s="240"/>
      <c r="C732" s="595"/>
      <c r="D732" s="1618"/>
      <c r="E732" s="169">
        <v>4</v>
      </c>
      <c r="F732" s="35"/>
      <c r="G732" s="184"/>
      <c r="H732" s="186"/>
      <c r="I732" s="186"/>
      <c r="J732" s="185"/>
      <c r="K732" s="107">
        <f>IF(A20taxstdlife="n/a","n/a",IF(K$3&gt;(A20taxstdlife+$E732),(('PTRM input'!$J$162+'PTRM input'!$J$128)*$J$7)-SUM($J732:J732),(('PTRM input'!$J$162+'PTRM input'!$J$128)*$J$7)/A20taxstdlife))</f>
        <v>0</v>
      </c>
      <c r="L732" s="107">
        <f>IF(A20taxstdlife="n/a","n/a",IF(L$3&gt;(A20taxstdlife+$E732),(('PTRM input'!$J$162+'PTRM input'!$J$128)*$J$7)-SUM($J732:K732),(('PTRM input'!$J$162+'PTRM input'!$J$128)*$J$7)/A20taxstdlife))</f>
        <v>0</v>
      </c>
      <c r="M732" s="107">
        <f>IF(A20taxstdlife="n/a","n/a",IF(M$3&gt;(A20taxstdlife+$E732),(('PTRM input'!$J$162+'PTRM input'!$J$128)*$J$7)-SUM($J732:L732),(('PTRM input'!$J$162+'PTRM input'!$J$128)*$J$7)/A20taxstdlife))</f>
        <v>0</v>
      </c>
      <c r="N732" s="107">
        <f>IF(A20taxstdlife="n/a","n/a",IF(N$3&gt;(A20taxstdlife+$E732),(('PTRM input'!$J$162+'PTRM input'!$J$128)*$J$7)-SUM($J732:M732),(('PTRM input'!$J$162+'PTRM input'!$J$128)*$J$7)/A20taxstdlife))</f>
        <v>0</v>
      </c>
      <c r="O732" s="107">
        <f>IF(A20taxstdlife="n/a","n/a",IF(O$3&gt;(A20taxstdlife+$E732),(('PTRM input'!$J$162+'PTRM input'!$J$128)*$J$7)-SUM($J732:N732),(('PTRM input'!$J$162+'PTRM input'!$J$128)*$J$7)/A20taxstdlife))</f>
        <v>0</v>
      </c>
      <c r="P732" s="107">
        <f>IF(A20taxstdlife="n/a","n/a",IF(P$3&gt;(A20taxstdlife+$E732),(('PTRM input'!$J$162+'PTRM input'!$J$128)*$J$7)-SUM($J732:O732),(('PTRM input'!$J$162+'PTRM input'!$J$128)*$J$7)/A20taxstdlife))</f>
        <v>0</v>
      </c>
      <c r="Q732" s="590">
        <f>IF(A20taxstdlife="n/a","n/a",IF(Q$3&gt;(A20taxstdlife+$E732),(('PTRM input'!$J$162+'PTRM input'!$J$128)*$J$7)-SUM($J732:P732),(('PTRM input'!$J$162+'PTRM input'!$J$128)*$J$7)/A20taxstdlife))</f>
        <v>0</v>
      </c>
      <c r="R732" s="590">
        <f>IF(A20taxstdlife="n/a","n/a",IF(R$3&gt;(A20taxstdlife+$E732),(('PTRM input'!$J$162+'PTRM input'!$J$128)*$J$7)-SUM($J732:Q732),(('PTRM input'!$J$162+'PTRM input'!$J$128)*$J$7)/A20taxstdlife))</f>
        <v>0</v>
      </c>
      <c r="S732" s="590">
        <f>IF(A20taxstdlife="n/a","n/a",IF(S$3&gt;(A20taxstdlife+$E732),(('PTRM input'!$J$162+'PTRM input'!$J$128)*$J$7)-SUM($J732:R732),(('PTRM input'!$J$162+'PTRM input'!$J$128)*$J$7)/A20taxstdlife))</f>
        <v>0</v>
      </c>
      <c r="T732" s="590">
        <f>IF(A20taxstdlife="n/a","n/a",IF(T$3&gt;(A20taxstdlife+$E732),(('PTRM input'!$J$162+'PTRM input'!$J$128)*$J$7)-SUM($J732:S732),(('PTRM input'!$J$162+'PTRM input'!$J$128)*$J$7)/A20taxstdlife))</f>
        <v>0</v>
      </c>
      <c r="U732" s="590">
        <f>IF(A20taxstdlife="n/a","n/a",IF(U$3&gt;(A20taxstdlife+$E732),(('PTRM input'!$J$162+'PTRM input'!$J$128)*$J$7)-SUM($J732:T732),(('PTRM input'!$J$162+'PTRM input'!$J$128)*$J$7)/A20taxstdlife))</f>
        <v>0</v>
      </c>
      <c r="V732" s="590">
        <f>IF(A20taxstdlife="n/a","n/a",IF(V$3&gt;(A20taxstdlife+$E732),(('PTRM input'!$J$162+'PTRM input'!$J$128)*$J$7)-SUM($J732:U732),(('PTRM input'!$J$162+'PTRM input'!$J$128)*$J$7)/A20taxstdlife))</f>
        <v>0</v>
      </c>
      <c r="W732" s="590">
        <f>IF(A20taxstdlife="n/a","n/a",IF(W$3&gt;(A20taxstdlife+$E732),(('PTRM input'!$J$162+'PTRM input'!$J$128)*$J$7)-SUM($J732:V732),(('PTRM input'!$J$162+'PTRM input'!$J$128)*$J$7)/A20taxstdlife))</f>
        <v>0</v>
      </c>
      <c r="X732" s="590">
        <f>IF(A20taxstdlife="n/a","n/a",IF(X$3&gt;(A20taxstdlife+$E732),(('PTRM input'!$J$162+'PTRM input'!$J$128)*$J$7)-SUM($J732:W732),(('PTRM input'!$J$162+'PTRM input'!$J$128)*$J$7)/A20taxstdlife))</f>
        <v>0</v>
      </c>
      <c r="Y732" s="590">
        <f>IF(A20taxstdlife="n/a","n/a",IF(Y$3&gt;(A20taxstdlife+$E732),(('PTRM input'!$J$162+'PTRM input'!$J$128)*$J$7)-SUM($J732:X732),(('PTRM input'!$J$162+'PTRM input'!$J$128)*$J$7)/A20taxstdlife))</f>
        <v>0</v>
      </c>
      <c r="Z732" s="590">
        <f>IF(A20taxstdlife="n/a","n/a",IF(Z$3&gt;(A20taxstdlife+$E732),(('PTRM input'!$J$162+'PTRM input'!$J$128)*$J$7)-SUM($J732:Y732),(('PTRM input'!$J$162+'PTRM input'!$J$128)*$J$7)/A20taxstdlife))</f>
        <v>0</v>
      </c>
      <c r="AA732" s="590">
        <f>IF(A20taxstdlife="n/a","n/a",IF(AA$3&gt;(A20taxstdlife+$E732),(('PTRM input'!$J$162+'PTRM input'!$J$128)*$J$7)-SUM($J732:Z732),(('PTRM input'!$J$162+'PTRM input'!$J$128)*$J$7)/A20taxstdlife))</f>
        <v>0</v>
      </c>
      <c r="AB732" s="590">
        <f>IF(A20taxstdlife="n/a","n/a",IF(AB$3&gt;(A20taxstdlife+$E732),(('PTRM input'!$J$162+'PTRM input'!$J$128)*$J$7)-SUM($J732:AA732),(('PTRM input'!$J$162+'PTRM input'!$J$128)*$J$7)/A20taxstdlife))</f>
        <v>0</v>
      </c>
      <c r="AC732" s="590">
        <f>IF(A20taxstdlife="n/a","n/a",IF(AC$3&gt;(A20taxstdlife+$E732),(('PTRM input'!$J$162+'PTRM input'!$J$128)*$J$7)-SUM($J732:AB732),(('PTRM input'!$J$162+'PTRM input'!$J$128)*$J$7)/A20taxstdlife))</f>
        <v>0</v>
      </c>
      <c r="AD732" s="590">
        <f>IF(A20taxstdlife="n/a","n/a",IF(AD$3&gt;(A20taxstdlife+$E732),(('PTRM input'!$J$162+'PTRM input'!$J$128)*$J$7)-SUM($J732:AC732),(('PTRM input'!$J$162+'PTRM input'!$J$128)*$J$7)/A20taxstdlife))</f>
        <v>0</v>
      </c>
      <c r="AE732" s="590">
        <f>IF(A20taxstdlife="n/a","n/a",IF(AE$3&gt;(A20taxstdlife+$E732),(('PTRM input'!$J$162+'PTRM input'!$J$128)*$J$7)-SUM($J732:AD732),(('PTRM input'!$J$162+'PTRM input'!$J$128)*$J$7)/A20taxstdlife))</f>
        <v>0</v>
      </c>
      <c r="AF732" s="590">
        <f>IF(A20taxstdlife="n/a","n/a",IF(AF$3&gt;(A20taxstdlife+$E732),(('PTRM input'!$J$162+'PTRM input'!$J$128)*$J$7)-SUM($J732:AE732),(('PTRM input'!$J$162+'PTRM input'!$J$128)*$J$7)/A20taxstdlife))</f>
        <v>0</v>
      </c>
      <c r="AG732" s="590">
        <f>IF(A20taxstdlife="n/a","n/a",IF(AG$3&gt;(A20taxstdlife+$E732),(('PTRM input'!$J$162+'PTRM input'!$J$128)*$J$7)-SUM($J732:AF732),(('PTRM input'!$J$162+'PTRM input'!$J$128)*$J$7)/A20taxstdlife))</f>
        <v>0</v>
      </c>
      <c r="AH732" s="590">
        <f>IF(A20taxstdlife="n/a","n/a",IF(AH$3&gt;(A20taxstdlife+$E732),(('PTRM input'!$J$162+'PTRM input'!$J$128)*$J$7)-SUM($J732:AG732),(('PTRM input'!$J$162+'PTRM input'!$J$128)*$J$7)/A20taxstdlife))</f>
        <v>0</v>
      </c>
      <c r="AI732" s="590">
        <f>IF(A20taxstdlife="n/a","n/a",IF(AI$3&gt;(A20taxstdlife+$E732),(('PTRM input'!$J$162+'PTRM input'!$J$128)*$J$7)-SUM($J732:AH732),(('PTRM input'!$J$162+'PTRM input'!$J$128)*$J$7)/A20taxstdlife))</f>
        <v>0</v>
      </c>
      <c r="AJ732" s="590">
        <f>IF(A20taxstdlife="n/a","n/a",IF(AJ$3&gt;(A20taxstdlife+$E732),(('PTRM input'!$J$162+'PTRM input'!$J$128)*$J$7)-SUM($J732:AI732),(('PTRM input'!$J$162+'PTRM input'!$J$128)*$J$7)/A20taxstdlife))</f>
        <v>0</v>
      </c>
      <c r="AK732" s="590">
        <f>IF(A20taxstdlife="n/a","n/a",IF(AK$3&gt;(A20taxstdlife+$E732),(('PTRM input'!$J$162+'PTRM input'!$J$128)*$J$7)-SUM($J732:AJ732),(('PTRM input'!$J$162+'PTRM input'!$J$128)*$J$7)/A20taxstdlife))</f>
        <v>0</v>
      </c>
      <c r="AL732" s="590">
        <f>IF(A20taxstdlife="n/a","n/a",IF(AL$3&gt;(A20taxstdlife+$E732),(('PTRM input'!$J$162+'PTRM input'!$J$128)*$J$7)-SUM($J732:AK732),(('PTRM input'!$J$162+'PTRM input'!$J$128)*$J$7)/A20taxstdlife))</f>
        <v>0</v>
      </c>
      <c r="AM732" s="590">
        <f>IF(A20taxstdlife="n/a","n/a",IF(AM$3&gt;(A20taxstdlife+$E732),(('PTRM input'!$J$162+'PTRM input'!$J$128)*$J$7)-SUM($J732:AL732),(('PTRM input'!$J$162+'PTRM input'!$J$128)*$J$7)/A20taxstdlife))</f>
        <v>0</v>
      </c>
      <c r="AN732" s="590">
        <f>IF(A20taxstdlife="n/a","n/a",IF(AN$3&gt;(A20taxstdlife+$E732),(('PTRM input'!$J$162+'PTRM input'!$J$128)*$J$7)-SUM($J732:AM732),(('PTRM input'!$J$162+'PTRM input'!$J$128)*$J$7)/A20taxstdlife))</f>
        <v>0</v>
      </c>
      <c r="AO732" s="590">
        <f>IF(A20taxstdlife="n/a","n/a",IF(AO$3&gt;(A20taxstdlife+$E732),(('PTRM input'!$J$162+'PTRM input'!$J$128)*$J$7)-SUM($J732:AN732),(('PTRM input'!$J$162+'PTRM input'!$J$128)*$J$7)/A20taxstdlife))</f>
        <v>0</v>
      </c>
      <c r="AP732" s="590">
        <f>IF(A20taxstdlife="n/a","n/a",IF(AP$3&gt;(A20taxstdlife+$E732),(('PTRM input'!$J$162+'PTRM input'!$J$128)*$J$7)-SUM($J732:AO732),(('PTRM input'!$J$162+'PTRM input'!$J$128)*$J$7)/A20taxstdlife))</f>
        <v>0</v>
      </c>
      <c r="AQ732" s="590">
        <f>IF(A20taxstdlife="n/a","n/a",IF(AQ$3&gt;(A20taxstdlife+$E732),(('PTRM input'!$J$162+'PTRM input'!$J$128)*$J$7)-SUM($J732:AP732),(('PTRM input'!$J$162+'PTRM input'!$J$128)*$J$7)/A20taxstdlife))</f>
        <v>0</v>
      </c>
      <c r="AR732" s="590">
        <f>IF(A20taxstdlife="n/a","n/a",IF(AR$3&gt;(A20taxstdlife+$E732),(('PTRM input'!$J$162+'PTRM input'!$J$128)*$J$7)-SUM($J732:AQ732),(('PTRM input'!$J$162+'PTRM input'!$J$128)*$J$7)/A20taxstdlife))</f>
        <v>0</v>
      </c>
      <c r="AS732" s="590">
        <f>IF(A20taxstdlife="n/a","n/a",IF(AS$3&gt;(A20taxstdlife+$E732),(('PTRM input'!$J$162+'PTRM input'!$J$128)*$J$7)-SUM($J732:AR732),(('PTRM input'!$J$162+'PTRM input'!$J$128)*$J$7)/A20taxstdlife))</f>
        <v>0</v>
      </c>
      <c r="AT732" s="590">
        <f>IF(A20taxstdlife="n/a","n/a",IF(AT$3&gt;(A20taxstdlife+$E732),(('PTRM input'!$J$162+'PTRM input'!$J$128)*$J$7)-SUM($J732:AS732),(('PTRM input'!$J$162+'PTRM input'!$J$128)*$J$7)/A20taxstdlife))</f>
        <v>0</v>
      </c>
      <c r="AU732" s="590">
        <f>IF(A20taxstdlife="n/a","n/a",IF(AU$3&gt;(A20taxstdlife+$E732),(('PTRM input'!$J$162+'PTRM input'!$J$128)*$J$7)-SUM($J732:AT732),(('PTRM input'!$J$162+'PTRM input'!$J$128)*$J$7)/A20taxstdlife))</f>
        <v>0</v>
      </c>
      <c r="AV732" s="590">
        <f>IF(A20taxstdlife="n/a","n/a",IF(AV$3&gt;(A20taxstdlife+$E732),(('PTRM input'!$J$162+'PTRM input'!$J$128)*$J$7)-SUM($J732:AU732),(('PTRM input'!$J$162+'PTRM input'!$J$128)*$J$7)/A20taxstdlife))</f>
        <v>0</v>
      </c>
      <c r="AW732" s="590">
        <f>IF(A20taxstdlife="n/a","n/a",IF(AW$3&gt;(A20taxstdlife+$E732),(('PTRM input'!$J$162+'PTRM input'!$J$128)*$J$7)-SUM($J732:AV732),(('PTRM input'!$J$162+'PTRM input'!$J$128)*$J$7)/A20taxstdlife))</f>
        <v>0</v>
      </c>
      <c r="AX732" s="590">
        <f>IF(A20taxstdlife="n/a","n/a",IF(AX$3&gt;(A20taxstdlife+$E732),(('PTRM input'!$J$162+'PTRM input'!$J$128)*$J$7)-SUM($J732:AW732),(('PTRM input'!$J$162+'PTRM input'!$J$128)*$J$7)/A20taxstdlife))</f>
        <v>0</v>
      </c>
      <c r="AY732" s="590">
        <f>IF(A20taxstdlife="n/a","n/a",IF(AY$3&gt;(A20taxstdlife+$E732),(('PTRM input'!$J$162+'PTRM input'!$J$128)*$J$7)-SUM($J732:AX732),(('PTRM input'!$J$162+'PTRM input'!$J$128)*$J$7)/A20taxstdlife))</f>
        <v>0</v>
      </c>
      <c r="AZ732" s="590">
        <f>IF(A20taxstdlife="n/a","n/a",IF(AZ$3&gt;(A20taxstdlife+$E732),(('PTRM input'!$J$162+'PTRM input'!$J$128)*$J$7)-SUM($J732:AY732),(('PTRM input'!$J$162+'PTRM input'!$J$128)*$J$7)/A20taxstdlife))</f>
        <v>0</v>
      </c>
      <c r="BA732" s="590">
        <f>IF(A20taxstdlife="n/a","n/a",IF(BA$3&gt;(A20taxstdlife+$E732),(('PTRM input'!$J$162+'PTRM input'!$J$128)*$J$7)-SUM($J732:AZ732),(('PTRM input'!$J$162+'PTRM input'!$J$128)*$J$7)/A20taxstdlife))</f>
        <v>0</v>
      </c>
      <c r="BB732" s="590">
        <f>IF(A20taxstdlife="n/a","n/a",IF(BB$3&gt;(A20taxstdlife+$E732),(('PTRM input'!$J$162+'PTRM input'!$J$128)*$J$7)-SUM($J732:BA732),(('PTRM input'!$J$162+'PTRM input'!$J$128)*$J$7)/A20taxstdlife))</f>
        <v>0</v>
      </c>
      <c r="BC732" s="590">
        <f>IF(A20taxstdlife="n/a","n/a",IF(BC$3&gt;(A20taxstdlife+$E732),(('PTRM input'!$J$162+'PTRM input'!$J$128)*$J$7)-SUM($J732:BB732),(('PTRM input'!$J$162+'PTRM input'!$J$128)*$J$7)/A20taxstdlife))</f>
        <v>0</v>
      </c>
      <c r="BD732" s="590">
        <f>IF(A20taxstdlife="n/a","n/a",IF(BD$3&gt;(A20taxstdlife+$E732),(('PTRM input'!$J$162+'PTRM input'!$J$128)*$J$7)-SUM($J732:BC732),(('PTRM input'!$J$162+'PTRM input'!$J$128)*$J$7)/A20taxstdlife))</f>
        <v>0</v>
      </c>
      <c r="BE732" s="590">
        <f>IF(A20taxstdlife="n/a","n/a",IF(BE$3&gt;(A20taxstdlife+$E732),(('PTRM input'!$J$162+'PTRM input'!$J$128)*$J$7)-SUM($J732:BD732),(('PTRM input'!$J$162+'PTRM input'!$J$128)*$J$7)/A20taxstdlife))</f>
        <v>0</v>
      </c>
      <c r="BF732" s="590">
        <f>IF(A20taxstdlife="n/a","n/a",IF(BF$3&gt;(A20taxstdlife+$E732),(('PTRM input'!$J$162+'PTRM input'!$J$128)*$J$7)-SUM($J732:BE732),(('PTRM input'!$J$162+'PTRM input'!$J$128)*$J$7)/A20taxstdlife))</f>
        <v>0</v>
      </c>
      <c r="BG732" s="590">
        <f>IF(A20taxstdlife="n/a","n/a",IF(BG$3&gt;(A20taxstdlife+$E732),(('PTRM input'!$J$162+'PTRM input'!$J$128)*$J$7)-SUM($J732:BF732),(('PTRM input'!$J$162+'PTRM input'!$J$128)*$J$7)/A20taxstdlife))</f>
        <v>0</v>
      </c>
      <c r="BH732" s="590">
        <f>IF(A20taxstdlife="n/a","n/a",IF(BH$3&gt;(A20taxstdlife+$E732),(('PTRM input'!$J$162+'PTRM input'!$J$128)*$J$7)-SUM($J732:BG732),(('PTRM input'!$J$162+'PTRM input'!$J$128)*$J$7)/A20taxstdlife))</f>
        <v>0</v>
      </c>
      <c r="BI732" s="590">
        <f>IF(A20taxstdlife="n/a","n/a",IF(BI$3&gt;(A20taxstdlife+$E732),(('PTRM input'!$J$162+'PTRM input'!$J$128)*$J$7)-SUM($J732:BH732),(('PTRM input'!$J$162+'PTRM input'!$J$128)*$J$7)/A20taxstdlife))</f>
        <v>0</v>
      </c>
      <c r="BJ732" s="240"/>
      <c r="BK732" s="240"/>
      <c r="BL732" s="240"/>
      <c r="BM732" s="240"/>
    </row>
    <row r="733" spans="1:65" s="4" customFormat="1" hidden="1" outlineLevel="2">
      <c r="A733" s="240"/>
      <c r="B733" s="240"/>
      <c r="C733" s="595"/>
      <c r="D733" s="1618"/>
      <c r="E733" s="169">
        <v>5</v>
      </c>
      <c r="F733" s="35"/>
      <c r="G733" s="184"/>
      <c r="H733" s="186"/>
      <c r="I733" s="186"/>
      <c r="J733" s="186"/>
      <c r="K733" s="185"/>
      <c r="L733" s="107">
        <f>IF(A20taxstdlife="n/a","n/a",IF(L$3&gt;(A20taxstdlife+$E733),(('PTRM input'!$K$162+'PTRM input'!$K$128)*$K$7)-SUM($K733:K733),(('PTRM input'!$K$162+'PTRM input'!$K$128)*$K$7)/A20taxstdlife))</f>
        <v>0</v>
      </c>
      <c r="M733" s="107">
        <f>IF(A20taxstdlife="n/a","n/a",IF(M$3&gt;(A20taxstdlife+$E733),(('PTRM input'!$K$162+'PTRM input'!$K$128)*$K$7)-SUM($K733:L733),(('PTRM input'!$K$162+'PTRM input'!$K$128)*$K$7)/A20taxstdlife))</f>
        <v>0</v>
      </c>
      <c r="N733" s="107">
        <f>IF(A20taxstdlife="n/a","n/a",IF(N$3&gt;(A20taxstdlife+$E733),(('PTRM input'!$K$162+'PTRM input'!$K$128)*$K$7)-SUM($K733:M733),(('PTRM input'!$K$162+'PTRM input'!$K$128)*$K$7)/A20taxstdlife))</f>
        <v>0</v>
      </c>
      <c r="O733" s="107">
        <f>IF(A20taxstdlife="n/a","n/a",IF(O$3&gt;(A20taxstdlife+$E733),(('PTRM input'!$K$162+'PTRM input'!$K$128)*$K$7)-SUM($K733:N733),(('PTRM input'!$K$162+'PTRM input'!$K$128)*$K$7)/A20taxstdlife))</f>
        <v>0</v>
      </c>
      <c r="P733" s="107">
        <f>IF(A20taxstdlife="n/a","n/a",IF(P$3&gt;(A20taxstdlife+$E733),(('PTRM input'!$K$162+'PTRM input'!$K$128)*$K$7)-SUM($K733:O733),(('PTRM input'!$K$162+'PTRM input'!$K$128)*$K$7)/A20taxstdlife))</f>
        <v>0</v>
      </c>
      <c r="Q733" s="590">
        <f>IF(A20taxstdlife="n/a","n/a",IF(Q$3&gt;(A20taxstdlife+$E733),(('PTRM input'!$K$162+'PTRM input'!$K$128)*$K$7)-SUM($K733:P733),(('PTRM input'!$K$162+'PTRM input'!$K$128)*$K$7)/A20taxstdlife))</f>
        <v>0</v>
      </c>
      <c r="R733" s="590">
        <f>IF(A20taxstdlife="n/a","n/a",IF(R$3&gt;(A20taxstdlife+$E733),(('PTRM input'!$K$162+'PTRM input'!$K$128)*$K$7)-SUM($K733:Q733),(('PTRM input'!$K$162+'PTRM input'!$K$128)*$K$7)/A20taxstdlife))</f>
        <v>0</v>
      </c>
      <c r="S733" s="590">
        <f>IF(A20taxstdlife="n/a","n/a",IF(S$3&gt;(A20taxstdlife+$E733),(('PTRM input'!$K$162+'PTRM input'!$K$128)*$K$7)-SUM($K733:R733),(('PTRM input'!$K$162+'PTRM input'!$K$128)*$K$7)/A20taxstdlife))</f>
        <v>0</v>
      </c>
      <c r="T733" s="590">
        <f>IF(A20taxstdlife="n/a","n/a",IF(T$3&gt;(A20taxstdlife+$E733),(('PTRM input'!$K$162+'PTRM input'!$K$128)*$K$7)-SUM($K733:S733),(('PTRM input'!$K$162+'PTRM input'!$K$128)*$K$7)/A20taxstdlife))</f>
        <v>0</v>
      </c>
      <c r="U733" s="590">
        <f>IF(A20taxstdlife="n/a","n/a",IF(U$3&gt;(A20taxstdlife+$E733),(('PTRM input'!$K$162+'PTRM input'!$K$128)*$K$7)-SUM($K733:T733),(('PTRM input'!$K$162+'PTRM input'!$K$128)*$K$7)/A20taxstdlife))</f>
        <v>0</v>
      </c>
      <c r="V733" s="590">
        <f>IF(A20taxstdlife="n/a","n/a",IF(V$3&gt;(A20taxstdlife+$E733),(('PTRM input'!$K$162+'PTRM input'!$K$128)*$K$7)-SUM($K733:U733),(('PTRM input'!$K$162+'PTRM input'!$K$128)*$K$7)/A20taxstdlife))</f>
        <v>0</v>
      </c>
      <c r="W733" s="590">
        <f>IF(A20taxstdlife="n/a","n/a",IF(W$3&gt;(A20taxstdlife+$E733),(('PTRM input'!$K$162+'PTRM input'!$K$128)*$K$7)-SUM($K733:V733),(('PTRM input'!$K$162+'PTRM input'!$K$128)*$K$7)/A20taxstdlife))</f>
        <v>0</v>
      </c>
      <c r="X733" s="590">
        <f>IF(A20taxstdlife="n/a","n/a",IF(X$3&gt;(A20taxstdlife+$E733),(('PTRM input'!$K$162+'PTRM input'!$K$128)*$K$7)-SUM($K733:W733),(('PTRM input'!$K$162+'PTRM input'!$K$128)*$K$7)/A20taxstdlife))</f>
        <v>0</v>
      </c>
      <c r="Y733" s="590">
        <f>IF(A20taxstdlife="n/a","n/a",IF(Y$3&gt;(A20taxstdlife+$E733),(('PTRM input'!$K$162+'PTRM input'!$K$128)*$K$7)-SUM($K733:X733),(('PTRM input'!$K$162+'PTRM input'!$K$128)*$K$7)/A20taxstdlife))</f>
        <v>0</v>
      </c>
      <c r="Z733" s="590">
        <f>IF(A20taxstdlife="n/a","n/a",IF(Z$3&gt;(A20taxstdlife+$E733),(('PTRM input'!$K$162+'PTRM input'!$K$128)*$K$7)-SUM($K733:Y733),(('PTRM input'!$K$162+'PTRM input'!$K$128)*$K$7)/A20taxstdlife))</f>
        <v>0</v>
      </c>
      <c r="AA733" s="590">
        <f>IF(A20taxstdlife="n/a","n/a",IF(AA$3&gt;(A20taxstdlife+$E733),(('PTRM input'!$K$162+'PTRM input'!$K$128)*$K$7)-SUM($K733:Z733),(('PTRM input'!$K$162+'PTRM input'!$K$128)*$K$7)/A20taxstdlife))</f>
        <v>0</v>
      </c>
      <c r="AB733" s="590">
        <f>IF(A20taxstdlife="n/a","n/a",IF(AB$3&gt;(A20taxstdlife+$E733),(('PTRM input'!$K$162+'PTRM input'!$K$128)*$K$7)-SUM($K733:AA733),(('PTRM input'!$K$162+'PTRM input'!$K$128)*$K$7)/A20taxstdlife))</f>
        <v>0</v>
      </c>
      <c r="AC733" s="590">
        <f>IF(A20taxstdlife="n/a","n/a",IF(AC$3&gt;(A20taxstdlife+$E733),(('PTRM input'!$K$162+'PTRM input'!$K$128)*$K$7)-SUM($K733:AB733),(('PTRM input'!$K$162+'PTRM input'!$K$128)*$K$7)/A20taxstdlife))</f>
        <v>0</v>
      </c>
      <c r="AD733" s="590">
        <f>IF(A20taxstdlife="n/a","n/a",IF(AD$3&gt;(A20taxstdlife+$E733),(('PTRM input'!$K$162+'PTRM input'!$K$128)*$K$7)-SUM($K733:AC733),(('PTRM input'!$K$162+'PTRM input'!$K$128)*$K$7)/A20taxstdlife))</f>
        <v>0</v>
      </c>
      <c r="AE733" s="590">
        <f>IF(A20taxstdlife="n/a","n/a",IF(AE$3&gt;(A20taxstdlife+$E733),(('PTRM input'!$K$162+'PTRM input'!$K$128)*$K$7)-SUM($K733:AD733),(('PTRM input'!$K$162+'PTRM input'!$K$128)*$K$7)/A20taxstdlife))</f>
        <v>0</v>
      </c>
      <c r="AF733" s="590">
        <f>IF(A20taxstdlife="n/a","n/a",IF(AF$3&gt;(A20taxstdlife+$E733),(('PTRM input'!$K$162+'PTRM input'!$K$128)*$K$7)-SUM($K733:AE733),(('PTRM input'!$K$162+'PTRM input'!$K$128)*$K$7)/A20taxstdlife))</f>
        <v>0</v>
      </c>
      <c r="AG733" s="590">
        <f>IF(A20taxstdlife="n/a","n/a",IF(AG$3&gt;(A20taxstdlife+$E733),(('PTRM input'!$K$162+'PTRM input'!$K$128)*$K$7)-SUM($K733:AF733),(('PTRM input'!$K$162+'PTRM input'!$K$128)*$K$7)/A20taxstdlife))</f>
        <v>0</v>
      </c>
      <c r="AH733" s="590">
        <f>IF(A20taxstdlife="n/a","n/a",IF(AH$3&gt;(A20taxstdlife+$E733),(('PTRM input'!$K$162+'PTRM input'!$K$128)*$K$7)-SUM($K733:AG733),(('PTRM input'!$K$162+'PTRM input'!$K$128)*$K$7)/A20taxstdlife))</f>
        <v>0</v>
      </c>
      <c r="AI733" s="590">
        <f>IF(A20taxstdlife="n/a","n/a",IF(AI$3&gt;(A20taxstdlife+$E733),(('PTRM input'!$K$162+'PTRM input'!$K$128)*$K$7)-SUM($K733:AH733),(('PTRM input'!$K$162+'PTRM input'!$K$128)*$K$7)/A20taxstdlife))</f>
        <v>0</v>
      </c>
      <c r="AJ733" s="590">
        <f>IF(A20taxstdlife="n/a","n/a",IF(AJ$3&gt;(A20taxstdlife+$E733),(('PTRM input'!$K$162+'PTRM input'!$K$128)*$K$7)-SUM($K733:AI733),(('PTRM input'!$K$162+'PTRM input'!$K$128)*$K$7)/A20taxstdlife))</f>
        <v>0</v>
      </c>
      <c r="AK733" s="590">
        <f>IF(A20taxstdlife="n/a","n/a",IF(AK$3&gt;(A20taxstdlife+$E733),(('PTRM input'!$K$162+'PTRM input'!$K$128)*$K$7)-SUM($K733:AJ733),(('PTRM input'!$K$162+'PTRM input'!$K$128)*$K$7)/A20taxstdlife))</f>
        <v>0</v>
      </c>
      <c r="AL733" s="590">
        <f>IF(A20taxstdlife="n/a","n/a",IF(AL$3&gt;(A20taxstdlife+$E733),(('PTRM input'!$K$162+'PTRM input'!$K$128)*$K$7)-SUM($K733:AK733),(('PTRM input'!$K$162+'PTRM input'!$K$128)*$K$7)/A20taxstdlife))</f>
        <v>0</v>
      </c>
      <c r="AM733" s="590">
        <f>IF(A20taxstdlife="n/a","n/a",IF(AM$3&gt;(A20taxstdlife+$E733),(('PTRM input'!$K$162+'PTRM input'!$K$128)*$K$7)-SUM($K733:AL733),(('PTRM input'!$K$162+'PTRM input'!$K$128)*$K$7)/A20taxstdlife))</f>
        <v>0</v>
      </c>
      <c r="AN733" s="590">
        <f>IF(A20taxstdlife="n/a","n/a",IF(AN$3&gt;(A20taxstdlife+$E733),(('PTRM input'!$K$162+'PTRM input'!$K$128)*$K$7)-SUM($K733:AM733),(('PTRM input'!$K$162+'PTRM input'!$K$128)*$K$7)/A20taxstdlife))</f>
        <v>0</v>
      </c>
      <c r="AO733" s="590">
        <f>IF(A20taxstdlife="n/a","n/a",IF(AO$3&gt;(A20taxstdlife+$E733),(('PTRM input'!$K$162+'PTRM input'!$K$128)*$K$7)-SUM($K733:AN733),(('PTRM input'!$K$162+'PTRM input'!$K$128)*$K$7)/A20taxstdlife))</f>
        <v>0</v>
      </c>
      <c r="AP733" s="590">
        <f>IF(A20taxstdlife="n/a","n/a",IF(AP$3&gt;(A20taxstdlife+$E733),(('PTRM input'!$K$162+'PTRM input'!$K$128)*$K$7)-SUM($K733:AO733),(('PTRM input'!$K$162+'PTRM input'!$K$128)*$K$7)/A20taxstdlife))</f>
        <v>0</v>
      </c>
      <c r="AQ733" s="590">
        <f>IF(A20taxstdlife="n/a","n/a",IF(AQ$3&gt;(A20taxstdlife+$E733),(('PTRM input'!$K$162+'PTRM input'!$K$128)*$K$7)-SUM($K733:AP733),(('PTRM input'!$K$162+'PTRM input'!$K$128)*$K$7)/A20taxstdlife))</f>
        <v>0</v>
      </c>
      <c r="AR733" s="590">
        <f>IF(A20taxstdlife="n/a","n/a",IF(AR$3&gt;(A20taxstdlife+$E733),(('PTRM input'!$K$162+'PTRM input'!$K$128)*$K$7)-SUM($K733:AQ733),(('PTRM input'!$K$162+'PTRM input'!$K$128)*$K$7)/A20taxstdlife))</f>
        <v>0</v>
      </c>
      <c r="AS733" s="590">
        <f>IF(A20taxstdlife="n/a","n/a",IF(AS$3&gt;(A20taxstdlife+$E733),(('PTRM input'!$K$162+'PTRM input'!$K$128)*$K$7)-SUM($K733:AR733),(('PTRM input'!$K$162+'PTRM input'!$K$128)*$K$7)/A20taxstdlife))</f>
        <v>0</v>
      </c>
      <c r="AT733" s="590">
        <f>IF(A20taxstdlife="n/a","n/a",IF(AT$3&gt;(A20taxstdlife+$E733),(('PTRM input'!$K$162+'PTRM input'!$K$128)*$K$7)-SUM($K733:AS733),(('PTRM input'!$K$162+'PTRM input'!$K$128)*$K$7)/A20taxstdlife))</f>
        <v>0</v>
      </c>
      <c r="AU733" s="590">
        <f>IF(A20taxstdlife="n/a","n/a",IF(AU$3&gt;(A20taxstdlife+$E733),(('PTRM input'!$K$162+'PTRM input'!$K$128)*$K$7)-SUM($K733:AT733),(('PTRM input'!$K$162+'PTRM input'!$K$128)*$K$7)/A20taxstdlife))</f>
        <v>0</v>
      </c>
      <c r="AV733" s="590">
        <f>IF(A20taxstdlife="n/a","n/a",IF(AV$3&gt;(A20taxstdlife+$E733),(('PTRM input'!$K$162+'PTRM input'!$K$128)*$K$7)-SUM($K733:AU733),(('PTRM input'!$K$162+'PTRM input'!$K$128)*$K$7)/A20taxstdlife))</f>
        <v>0</v>
      </c>
      <c r="AW733" s="590">
        <f>IF(A20taxstdlife="n/a","n/a",IF(AW$3&gt;(A20taxstdlife+$E733),(('PTRM input'!$K$162+'PTRM input'!$K$128)*$K$7)-SUM($K733:AV733),(('PTRM input'!$K$162+'PTRM input'!$K$128)*$K$7)/A20taxstdlife))</f>
        <v>0</v>
      </c>
      <c r="AX733" s="590">
        <f>IF(A20taxstdlife="n/a","n/a",IF(AX$3&gt;(A20taxstdlife+$E733),(('PTRM input'!$K$162+'PTRM input'!$K$128)*$K$7)-SUM($K733:AW733),(('PTRM input'!$K$162+'PTRM input'!$K$128)*$K$7)/A20taxstdlife))</f>
        <v>0</v>
      </c>
      <c r="AY733" s="590">
        <f>IF(A20taxstdlife="n/a","n/a",IF(AY$3&gt;(A20taxstdlife+$E733),(('PTRM input'!$K$162+'PTRM input'!$K$128)*$K$7)-SUM($K733:AX733),(('PTRM input'!$K$162+'PTRM input'!$K$128)*$K$7)/A20taxstdlife))</f>
        <v>0</v>
      </c>
      <c r="AZ733" s="590">
        <f>IF(A20taxstdlife="n/a","n/a",IF(AZ$3&gt;(A20taxstdlife+$E733),(('PTRM input'!$K$162+'PTRM input'!$K$128)*$K$7)-SUM($K733:AY733),(('PTRM input'!$K$162+'PTRM input'!$K$128)*$K$7)/A20taxstdlife))</f>
        <v>0</v>
      </c>
      <c r="BA733" s="590">
        <f>IF(A20taxstdlife="n/a","n/a",IF(BA$3&gt;(A20taxstdlife+$E733),(('PTRM input'!$K$162+'PTRM input'!$K$128)*$K$7)-SUM($K733:AZ733),(('PTRM input'!$K$162+'PTRM input'!$K$128)*$K$7)/A20taxstdlife))</f>
        <v>0</v>
      </c>
      <c r="BB733" s="590">
        <f>IF(A20taxstdlife="n/a","n/a",IF(BB$3&gt;(A20taxstdlife+$E733),(('PTRM input'!$K$162+'PTRM input'!$K$128)*$K$7)-SUM($K733:BA733),(('PTRM input'!$K$162+'PTRM input'!$K$128)*$K$7)/A20taxstdlife))</f>
        <v>0</v>
      </c>
      <c r="BC733" s="590">
        <f>IF(A20taxstdlife="n/a","n/a",IF(BC$3&gt;(A20taxstdlife+$E733),(('PTRM input'!$K$162+'PTRM input'!$K$128)*$K$7)-SUM($K733:BB733),(('PTRM input'!$K$162+'PTRM input'!$K$128)*$K$7)/A20taxstdlife))</f>
        <v>0</v>
      </c>
      <c r="BD733" s="590">
        <f>IF(A20taxstdlife="n/a","n/a",IF(BD$3&gt;(A20taxstdlife+$E733),(('PTRM input'!$K$162+'PTRM input'!$K$128)*$K$7)-SUM($K733:BC733),(('PTRM input'!$K$162+'PTRM input'!$K$128)*$K$7)/A20taxstdlife))</f>
        <v>0</v>
      </c>
      <c r="BE733" s="590">
        <f>IF(A20taxstdlife="n/a","n/a",IF(BE$3&gt;(A20taxstdlife+$E733),(('PTRM input'!$K$162+'PTRM input'!$K$128)*$K$7)-SUM($K733:BD733),(('PTRM input'!$K$162+'PTRM input'!$K$128)*$K$7)/A20taxstdlife))</f>
        <v>0</v>
      </c>
      <c r="BF733" s="590">
        <f>IF(A20taxstdlife="n/a","n/a",IF(BF$3&gt;(A20taxstdlife+$E733),(('PTRM input'!$K$162+'PTRM input'!$K$128)*$K$7)-SUM($K733:BE733),(('PTRM input'!$K$162+'PTRM input'!$K$128)*$K$7)/A20taxstdlife))</f>
        <v>0</v>
      </c>
      <c r="BG733" s="590">
        <f>IF(A20taxstdlife="n/a","n/a",IF(BG$3&gt;(A20taxstdlife+$E733),(('PTRM input'!$K$162+'PTRM input'!$K$128)*$K$7)-SUM($K733:BF733),(('PTRM input'!$K$162+'PTRM input'!$K$128)*$K$7)/A20taxstdlife))</f>
        <v>0</v>
      </c>
      <c r="BH733" s="590">
        <f>IF(A20taxstdlife="n/a","n/a",IF(BH$3&gt;(A20taxstdlife+$E733),(('PTRM input'!$K$162+'PTRM input'!$K$128)*$K$7)-SUM($K733:BG733),(('PTRM input'!$K$162+'PTRM input'!$K$128)*$K$7)/A20taxstdlife))</f>
        <v>0</v>
      </c>
      <c r="BI733" s="590">
        <f>IF(A20taxstdlife="n/a","n/a",IF(BI$3&gt;(A20taxstdlife+$E733),(('PTRM input'!$K$162+'PTRM input'!$K$128)*$K$7)-SUM($K733:BH733),(('PTRM input'!$K$162+'PTRM input'!$K$128)*$K$7)/A20taxstdlife))</f>
        <v>0</v>
      </c>
      <c r="BJ733" s="240"/>
      <c r="BK733" s="240"/>
      <c r="BL733" s="240"/>
      <c r="BM733" s="240"/>
    </row>
    <row r="734" spans="1:65" s="4" customFormat="1" hidden="1" outlineLevel="2">
      <c r="A734" s="240"/>
      <c r="B734" s="240"/>
      <c r="C734" s="595"/>
      <c r="D734" s="1618"/>
      <c r="E734" s="169">
        <v>6</v>
      </c>
      <c r="F734" s="35"/>
      <c r="G734" s="184"/>
      <c r="H734" s="186"/>
      <c r="I734" s="186"/>
      <c r="J734" s="186"/>
      <c r="K734" s="186"/>
      <c r="L734" s="185"/>
      <c r="M734" s="107">
        <f>IF(A20taxstdlife="n/a","n/a",IF(M$3&gt;(A20taxstdlife+$E734),(('PTRM input'!$L$162+'PTRM input'!$L$128)*$L$7)-SUM($L734:L734),(('PTRM input'!$L$162+'PTRM input'!$L$128)*$L$7)/A20taxstdlife))</f>
        <v>0</v>
      </c>
      <c r="N734" s="107">
        <f>IF(A20taxstdlife="n/a","n/a",IF(N$3&gt;(A20taxstdlife+$E734),(('PTRM input'!$L$162+'PTRM input'!$L$128)*$L$7)-SUM($L734:M734),(('PTRM input'!$L$162+'PTRM input'!$L$128)*$L$7)/A20taxstdlife))</f>
        <v>0</v>
      </c>
      <c r="O734" s="107">
        <f>IF(A20taxstdlife="n/a","n/a",IF(O$3&gt;(A20taxstdlife+$E734),(('PTRM input'!$L$162+'PTRM input'!$L$128)*$L$7)-SUM($L734:N734),(('PTRM input'!$L$162+'PTRM input'!$L$128)*$L$7)/A20taxstdlife))</f>
        <v>0</v>
      </c>
      <c r="P734" s="107">
        <f>IF(A20taxstdlife="n/a","n/a",IF(P$3&gt;(A20taxstdlife+$E734),(('PTRM input'!$L$162+'PTRM input'!$L$128)*$L$7)-SUM($L734:O734),(('PTRM input'!$L$162+'PTRM input'!$L$128)*$L$7)/A20taxstdlife))</f>
        <v>0</v>
      </c>
      <c r="Q734" s="590">
        <f>IF(A20taxstdlife="n/a","n/a",IF(Q$3&gt;(A20taxstdlife+$E734),(('PTRM input'!$L$162+'PTRM input'!$L$128)*$L$7)-SUM($L734:P734),(('PTRM input'!$L$162+'PTRM input'!$L$128)*$L$7)/A20taxstdlife))</f>
        <v>0</v>
      </c>
      <c r="R734" s="590">
        <f>IF(A20taxstdlife="n/a","n/a",IF(R$3&gt;(A20taxstdlife+$E734),(('PTRM input'!$L$162+'PTRM input'!$L$128)*$L$7)-SUM($L734:Q734),(('PTRM input'!$L$162+'PTRM input'!$L$128)*$L$7)/A20taxstdlife))</f>
        <v>0</v>
      </c>
      <c r="S734" s="590">
        <f>IF(A20taxstdlife="n/a","n/a",IF(S$3&gt;(A20taxstdlife+$E734),(('PTRM input'!$L$162+'PTRM input'!$L$128)*$L$7)-SUM($L734:R734),(('PTRM input'!$L$162+'PTRM input'!$L$128)*$L$7)/A20taxstdlife))</f>
        <v>0</v>
      </c>
      <c r="T734" s="590">
        <f>IF(A20taxstdlife="n/a","n/a",IF(T$3&gt;(A20taxstdlife+$E734),(('PTRM input'!$L$162+'PTRM input'!$L$128)*$L$7)-SUM($L734:S734),(('PTRM input'!$L$162+'PTRM input'!$L$128)*$L$7)/A20taxstdlife))</f>
        <v>0</v>
      </c>
      <c r="U734" s="590">
        <f>IF(A20taxstdlife="n/a","n/a",IF(U$3&gt;(A20taxstdlife+$E734),(('PTRM input'!$L$162+'PTRM input'!$L$128)*$L$7)-SUM($L734:T734),(('PTRM input'!$L$162+'PTRM input'!$L$128)*$L$7)/A20taxstdlife))</f>
        <v>0</v>
      </c>
      <c r="V734" s="590">
        <f>IF(A20taxstdlife="n/a","n/a",IF(V$3&gt;(A20taxstdlife+$E734),(('PTRM input'!$L$162+'PTRM input'!$L$128)*$L$7)-SUM($L734:U734),(('PTRM input'!$L$162+'PTRM input'!$L$128)*$L$7)/A20taxstdlife))</f>
        <v>0</v>
      </c>
      <c r="W734" s="590">
        <f>IF(A20taxstdlife="n/a","n/a",IF(W$3&gt;(A20taxstdlife+$E734),(('PTRM input'!$L$162+'PTRM input'!$L$128)*$L$7)-SUM($L734:V734),(('PTRM input'!$L$162+'PTRM input'!$L$128)*$L$7)/A20taxstdlife))</f>
        <v>0</v>
      </c>
      <c r="X734" s="590">
        <f>IF(A20taxstdlife="n/a","n/a",IF(X$3&gt;(A20taxstdlife+$E734),(('PTRM input'!$L$162+'PTRM input'!$L$128)*$L$7)-SUM($L734:W734),(('PTRM input'!$L$162+'PTRM input'!$L$128)*$L$7)/A20taxstdlife))</f>
        <v>0</v>
      </c>
      <c r="Y734" s="590">
        <f>IF(A20taxstdlife="n/a","n/a",IF(Y$3&gt;(A20taxstdlife+$E734),(('PTRM input'!$L$162+'PTRM input'!$L$128)*$L$7)-SUM($L734:X734),(('PTRM input'!$L$162+'PTRM input'!$L$128)*$L$7)/A20taxstdlife))</f>
        <v>0</v>
      </c>
      <c r="Z734" s="590">
        <f>IF(A20taxstdlife="n/a","n/a",IF(Z$3&gt;(A20taxstdlife+$E734),(('PTRM input'!$L$162+'PTRM input'!$L$128)*$L$7)-SUM($L734:Y734),(('PTRM input'!$L$162+'PTRM input'!$L$128)*$L$7)/A20taxstdlife))</f>
        <v>0</v>
      </c>
      <c r="AA734" s="590">
        <f>IF(A20taxstdlife="n/a","n/a",IF(AA$3&gt;(A20taxstdlife+$E734),(('PTRM input'!$L$162+'PTRM input'!$L$128)*$L$7)-SUM($L734:Z734),(('PTRM input'!$L$162+'PTRM input'!$L$128)*$L$7)/A20taxstdlife))</f>
        <v>0</v>
      </c>
      <c r="AB734" s="590">
        <f>IF(A20taxstdlife="n/a","n/a",IF(AB$3&gt;(A20taxstdlife+$E734),(('PTRM input'!$L$162+'PTRM input'!$L$128)*$L$7)-SUM($L734:AA734),(('PTRM input'!$L$162+'PTRM input'!$L$128)*$L$7)/A20taxstdlife))</f>
        <v>0</v>
      </c>
      <c r="AC734" s="590">
        <f>IF(A20taxstdlife="n/a","n/a",IF(AC$3&gt;(A20taxstdlife+$E734),(('PTRM input'!$L$162+'PTRM input'!$L$128)*$L$7)-SUM($L734:AB734),(('PTRM input'!$L$162+'PTRM input'!$L$128)*$L$7)/A20taxstdlife))</f>
        <v>0</v>
      </c>
      <c r="AD734" s="590">
        <f>IF(A20taxstdlife="n/a","n/a",IF(AD$3&gt;(A20taxstdlife+$E734),(('PTRM input'!$L$162+'PTRM input'!$L$128)*$L$7)-SUM($L734:AC734),(('PTRM input'!$L$162+'PTRM input'!$L$128)*$L$7)/A20taxstdlife))</f>
        <v>0</v>
      </c>
      <c r="AE734" s="590">
        <f>IF(A20taxstdlife="n/a","n/a",IF(AE$3&gt;(A20taxstdlife+$E734),(('PTRM input'!$L$162+'PTRM input'!$L$128)*$L$7)-SUM($L734:AD734),(('PTRM input'!$L$162+'PTRM input'!$L$128)*$L$7)/A20taxstdlife))</f>
        <v>0</v>
      </c>
      <c r="AF734" s="590">
        <f>IF(A20taxstdlife="n/a","n/a",IF(AF$3&gt;(A20taxstdlife+$E734),(('PTRM input'!$L$162+'PTRM input'!$L$128)*$L$7)-SUM($L734:AE734),(('PTRM input'!$L$162+'PTRM input'!$L$128)*$L$7)/A20taxstdlife))</f>
        <v>0</v>
      </c>
      <c r="AG734" s="590">
        <f>IF(A20taxstdlife="n/a","n/a",IF(AG$3&gt;(A20taxstdlife+$E734),(('PTRM input'!$L$162+'PTRM input'!$L$128)*$L$7)-SUM($L734:AF734),(('PTRM input'!$L$162+'PTRM input'!$L$128)*$L$7)/A20taxstdlife))</f>
        <v>0</v>
      </c>
      <c r="AH734" s="590">
        <f>IF(A20taxstdlife="n/a","n/a",IF(AH$3&gt;(A20taxstdlife+$E734),(('PTRM input'!$L$162+'PTRM input'!$L$128)*$L$7)-SUM($L734:AG734),(('PTRM input'!$L$162+'PTRM input'!$L$128)*$L$7)/A20taxstdlife))</f>
        <v>0</v>
      </c>
      <c r="AI734" s="590">
        <f>IF(A20taxstdlife="n/a","n/a",IF(AI$3&gt;(A20taxstdlife+$E734),(('PTRM input'!$L$162+'PTRM input'!$L$128)*$L$7)-SUM($L734:AH734),(('PTRM input'!$L$162+'PTRM input'!$L$128)*$L$7)/A20taxstdlife))</f>
        <v>0</v>
      </c>
      <c r="AJ734" s="590">
        <f>IF(A20taxstdlife="n/a","n/a",IF(AJ$3&gt;(A20taxstdlife+$E734),(('PTRM input'!$L$162+'PTRM input'!$L$128)*$L$7)-SUM($L734:AI734),(('PTRM input'!$L$162+'PTRM input'!$L$128)*$L$7)/A20taxstdlife))</f>
        <v>0</v>
      </c>
      <c r="AK734" s="590">
        <f>IF(A20taxstdlife="n/a","n/a",IF(AK$3&gt;(A20taxstdlife+$E734),(('PTRM input'!$L$162+'PTRM input'!$L$128)*$L$7)-SUM($L734:AJ734),(('PTRM input'!$L$162+'PTRM input'!$L$128)*$L$7)/A20taxstdlife))</f>
        <v>0</v>
      </c>
      <c r="AL734" s="590">
        <f>IF(A20taxstdlife="n/a","n/a",IF(AL$3&gt;(A20taxstdlife+$E734),(('PTRM input'!$L$162+'PTRM input'!$L$128)*$L$7)-SUM($L734:AK734),(('PTRM input'!$L$162+'PTRM input'!$L$128)*$L$7)/A20taxstdlife))</f>
        <v>0</v>
      </c>
      <c r="AM734" s="590">
        <f>IF(A20taxstdlife="n/a","n/a",IF(AM$3&gt;(A20taxstdlife+$E734),(('PTRM input'!$L$162+'PTRM input'!$L$128)*$L$7)-SUM($L734:AL734),(('PTRM input'!$L$162+'PTRM input'!$L$128)*$L$7)/A20taxstdlife))</f>
        <v>0</v>
      </c>
      <c r="AN734" s="590">
        <f>IF(A20taxstdlife="n/a","n/a",IF(AN$3&gt;(A20taxstdlife+$E734),(('PTRM input'!$L$162+'PTRM input'!$L$128)*$L$7)-SUM($L734:AM734),(('PTRM input'!$L$162+'PTRM input'!$L$128)*$L$7)/A20taxstdlife))</f>
        <v>0</v>
      </c>
      <c r="AO734" s="590">
        <f>IF(A20taxstdlife="n/a","n/a",IF(AO$3&gt;(A20taxstdlife+$E734),(('PTRM input'!$L$162+'PTRM input'!$L$128)*$L$7)-SUM($L734:AN734),(('PTRM input'!$L$162+'PTRM input'!$L$128)*$L$7)/A20taxstdlife))</f>
        <v>0</v>
      </c>
      <c r="AP734" s="590">
        <f>IF(A20taxstdlife="n/a","n/a",IF(AP$3&gt;(A20taxstdlife+$E734),(('PTRM input'!$L$162+'PTRM input'!$L$128)*$L$7)-SUM($L734:AO734),(('PTRM input'!$L$162+'PTRM input'!$L$128)*$L$7)/A20taxstdlife))</f>
        <v>0</v>
      </c>
      <c r="AQ734" s="590">
        <f>IF(A20taxstdlife="n/a","n/a",IF(AQ$3&gt;(A20taxstdlife+$E734),(('PTRM input'!$L$162+'PTRM input'!$L$128)*$L$7)-SUM($L734:AP734),(('PTRM input'!$L$162+'PTRM input'!$L$128)*$L$7)/A20taxstdlife))</f>
        <v>0</v>
      </c>
      <c r="AR734" s="590">
        <f>IF(A20taxstdlife="n/a","n/a",IF(AR$3&gt;(A20taxstdlife+$E734),(('PTRM input'!$L$162+'PTRM input'!$L$128)*$L$7)-SUM($L734:AQ734),(('PTRM input'!$L$162+'PTRM input'!$L$128)*$L$7)/A20taxstdlife))</f>
        <v>0</v>
      </c>
      <c r="AS734" s="590">
        <f>IF(A20taxstdlife="n/a","n/a",IF(AS$3&gt;(A20taxstdlife+$E734),(('PTRM input'!$L$162+'PTRM input'!$L$128)*$L$7)-SUM($L734:AR734),(('PTRM input'!$L$162+'PTRM input'!$L$128)*$L$7)/A20taxstdlife))</f>
        <v>0</v>
      </c>
      <c r="AT734" s="590">
        <f>IF(A20taxstdlife="n/a","n/a",IF(AT$3&gt;(A20taxstdlife+$E734),(('PTRM input'!$L$162+'PTRM input'!$L$128)*$L$7)-SUM($L734:AS734),(('PTRM input'!$L$162+'PTRM input'!$L$128)*$L$7)/A20taxstdlife))</f>
        <v>0</v>
      </c>
      <c r="AU734" s="590">
        <f>IF(A20taxstdlife="n/a","n/a",IF(AU$3&gt;(A20taxstdlife+$E734),(('PTRM input'!$L$162+'PTRM input'!$L$128)*$L$7)-SUM($L734:AT734),(('PTRM input'!$L$162+'PTRM input'!$L$128)*$L$7)/A20taxstdlife))</f>
        <v>0</v>
      </c>
      <c r="AV734" s="590">
        <f>IF(A20taxstdlife="n/a","n/a",IF(AV$3&gt;(A20taxstdlife+$E734),(('PTRM input'!$L$162+'PTRM input'!$L$128)*$L$7)-SUM($L734:AU734),(('PTRM input'!$L$162+'PTRM input'!$L$128)*$L$7)/A20taxstdlife))</f>
        <v>0</v>
      </c>
      <c r="AW734" s="590">
        <f>IF(A20taxstdlife="n/a","n/a",IF(AW$3&gt;(A20taxstdlife+$E734),(('PTRM input'!$L$162+'PTRM input'!$L$128)*$L$7)-SUM($L734:AV734),(('PTRM input'!$L$162+'PTRM input'!$L$128)*$L$7)/A20taxstdlife))</f>
        <v>0</v>
      </c>
      <c r="AX734" s="590">
        <f>IF(A20taxstdlife="n/a","n/a",IF(AX$3&gt;(A20taxstdlife+$E734),(('PTRM input'!$L$162+'PTRM input'!$L$128)*$L$7)-SUM($L734:AW734),(('PTRM input'!$L$162+'PTRM input'!$L$128)*$L$7)/A20taxstdlife))</f>
        <v>0</v>
      </c>
      <c r="AY734" s="590">
        <f>IF(A20taxstdlife="n/a","n/a",IF(AY$3&gt;(A20taxstdlife+$E734),(('PTRM input'!$L$162+'PTRM input'!$L$128)*$L$7)-SUM($L734:AX734),(('PTRM input'!$L$162+'PTRM input'!$L$128)*$L$7)/A20taxstdlife))</f>
        <v>0</v>
      </c>
      <c r="AZ734" s="590">
        <f>IF(A20taxstdlife="n/a","n/a",IF(AZ$3&gt;(A20taxstdlife+$E734),(('PTRM input'!$L$162+'PTRM input'!$L$128)*$L$7)-SUM($L734:AY734),(('PTRM input'!$L$162+'PTRM input'!$L$128)*$L$7)/A20taxstdlife))</f>
        <v>0</v>
      </c>
      <c r="BA734" s="590">
        <f>IF(A20taxstdlife="n/a","n/a",IF(BA$3&gt;(A20taxstdlife+$E734),(('PTRM input'!$L$162+'PTRM input'!$L$128)*$L$7)-SUM($L734:AZ734),(('PTRM input'!$L$162+'PTRM input'!$L$128)*$L$7)/A20taxstdlife))</f>
        <v>0</v>
      </c>
      <c r="BB734" s="590">
        <f>IF(A20taxstdlife="n/a","n/a",IF(BB$3&gt;(A20taxstdlife+$E734),(('PTRM input'!$L$162+'PTRM input'!$L$128)*$L$7)-SUM($L734:BA734),(('PTRM input'!$L$162+'PTRM input'!$L$128)*$L$7)/A20taxstdlife))</f>
        <v>0</v>
      </c>
      <c r="BC734" s="590">
        <f>IF(A20taxstdlife="n/a","n/a",IF(BC$3&gt;(A20taxstdlife+$E734),(('PTRM input'!$L$162+'PTRM input'!$L$128)*$L$7)-SUM($L734:BB734),(('PTRM input'!$L$162+'PTRM input'!$L$128)*$L$7)/A20taxstdlife))</f>
        <v>0</v>
      </c>
      <c r="BD734" s="590">
        <f>IF(A20taxstdlife="n/a","n/a",IF(BD$3&gt;(A20taxstdlife+$E734),(('PTRM input'!$L$162+'PTRM input'!$L$128)*$L$7)-SUM($L734:BC734),(('PTRM input'!$L$162+'PTRM input'!$L$128)*$L$7)/A20taxstdlife))</f>
        <v>0</v>
      </c>
      <c r="BE734" s="590">
        <f>IF(A20taxstdlife="n/a","n/a",IF(BE$3&gt;(A20taxstdlife+$E734),(('PTRM input'!$L$162+'PTRM input'!$L$128)*$L$7)-SUM($L734:BD734),(('PTRM input'!$L$162+'PTRM input'!$L$128)*$L$7)/A20taxstdlife))</f>
        <v>0</v>
      </c>
      <c r="BF734" s="590">
        <f>IF(A20taxstdlife="n/a","n/a",IF(BF$3&gt;(A20taxstdlife+$E734),(('PTRM input'!$L$162+'PTRM input'!$L$128)*$L$7)-SUM($L734:BE734),(('PTRM input'!$L$162+'PTRM input'!$L$128)*$L$7)/A20taxstdlife))</f>
        <v>0</v>
      </c>
      <c r="BG734" s="590">
        <f>IF(A20taxstdlife="n/a","n/a",IF(BG$3&gt;(A20taxstdlife+$E734),(('PTRM input'!$L$162+'PTRM input'!$L$128)*$L$7)-SUM($L734:BF734),(('PTRM input'!$L$162+'PTRM input'!$L$128)*$L$7)/A20taxstdlife))</f>
        <v>0</v>
      </c>
      <c r="BH734" s="590">
        <f>IF(A20taxstdlife="n/a","n/a",IF(BH$3&gt;(A20taxstdlife+$E734),(('PTRM input'!$L$162+'PTRM input'!$L$128)*$L$7)-SUM($L734:BG734),(('PTRM input'!$L$162+'PTRM input'!$L$128)*$L$7)/A20taxstdlife))</f>
        <v>0</v>
      </c>
      <c r="BI734" s="590">
        <f>IF(A20taxstdlife="n/a","n/a",IF(BI$3&gt;(A20taxstdlife+$E734),(('PTRM input'!$L$162+'PTRM input'!$L$128)*$L$7)-SUM($L734:BH734),(('PTRM input'!$L$162+'PTRM input'!$L$128)*$L$7)/A20taxstdlife))</f>
        <v>0</v>
      </c>
      <c r="BJ734" s="240"/>
      <c r="BK734" s="240"/>
      <c r="BL734" s="240"/>
      <c r="BM734" s="240"/>
    </row>
    <row r="735" spans="1:65" s="4" customFormat="1" hidden="1" outlineLevel="2">
      <c r="A735" s="240"/>
      <c r="B735" s="240"/>
      <c r="C735" s="595"/>
      <c r="D735" s="1618"/>
      <c r="E735" s="169">
        <v>7</v>
      </c>
      <c r="F735" s="35"/>
      <c r="G735" s="184"/>
      <c r="H735" s="186"/>
      <c r="I735" s="186"/>
      <c r="J735" s="186"/>
      <c r="K735" s="186"/>
      <c r="L735" s="186"/>
      <c r="M735" s="185"/>
      <c r="N735" s="107">
        <f>IF(A20taxstdlife="n/a","n/a",IF(N$3&gt;(A20taxstdlife+$E735),(('PTRM input'!$M$162+'PTRM input'!$M$128)*$M$7)-SUM($M735:M735),(('PTRM input'!$M$162+'PTRM input'!$M$128)*$M$7)/A20taxstdlife))</f>
        <v>0</v>
      </c>
      <c r="O735" s="107">
        <f>IF(A20taxstdlife="n/a","n/a",IF(O$3&gt;(A20taxstdlife+$E735),(('PTRM input'!$M$162+'PTRM input'!$M$128)*$M$7)-SUM($M735:N735),(('PTRM input'!$M$162+'PTRM input'!$M$128)*$M$7)/A20taxstdlife))</f>
        <v>0</v>
      </c>
      <c r="P735" s="107">
        <f>IF(A20taxstdlife="n/a","n/a",IF(P$3&gt;(A20taxstdlife+$E735),(('PTRM input'!$M$162+'PTRM input'!$M$128)*$M$7)-SUM($M735:O735),(('PTRM input'!$M$162+'PTRM input'!$M$128)*$M$7)/A20taxstdlife))</f>
        <v>0</v>
      </c>
      <c r="Q735" s="590">
        <f>IF(A20taxstdlife="n/a","n/a",IF(Q$3&gt;(A20taxstdlife+$E735),(('PTRM input'!$M$162+'PTRM input'!$M$128)*$M$7)-SUM($M735:P735),(('PTRM input'!$M$162+'PTRM input'!$M$128)*$M$7)/A20taxstdlife))</f>
        <v>0</v>
      </c>
      <c r="R735" s="590">
        <f>IF(A20taxstdlife="n/a","n/a",IF(R$3&gt;(A20taxstdlife+$E735),(('PTRM input'!$M$162+'PTRM input'!$M$128)*$M$7)-SUM($M735:Q735),(('PTRM input'!$M$162+'PTRM input'!$M$128)*$M$7)/A20taxstdlife))</f>
        <v>0</v>
      </c>
      <c r="S735" s="590">
        <f>IF(A20taxstdlife="n/a","n/a",IF(S$3&gt;(A20taxstdlife+$E735),(('PTRM input'!$M$162+'PTRM input'!$M$128)*$M$7)-SUM($M735:R735),(('PTRM input'!$M$162+'PTRM input'!$M$128)*$M$7)/A20taxstdlife))</f>
        <v>0</v>
      </c>
      <c r="T735" s="590">
        <f>IF(A20taxstdlife="n/a","n/a",IF(T$3&gt;(A20taxstdlife+$E735),(('PTRM input'!$M$162+'PTRM input'!$M$128)*$M$7)-SUM($M735:S735),(('PTRM input'!$M$162+'PTRM input'!$M$128)*$M$7)/A20taxstdlife))</f>
        <v>0</v>
      </c>
      <c r="U735" s="590">
        <f>IF(A20taxstdlife="n/a","n/a",IF(U$3&gt;(A20taxstdlife+$E735),(('PTRM input'!$M$162+'PTRM input'!$M$128)*$M$7)-SUM($M735:T735),(('PTRM input'!$M$162+'PTRM input'!$M$128)*$M$7)/A20taxstdlife))</f>
        <v>0</v>
      </c>
      <c r="V735" s="590">
        <f>IF(A20taxstdlife="n/a","n/a",IF(V$3&gt;(A20taxstdlife+$E735),(('PTRM input'!$M$162+'PTRM input'!$M$128)*$M$7)-SUM($M735:U735),(('PTRM input'!$M$162+'PTRM input'!$M$128)*$M$7)/A20taxstdlife))</f>
        <v>0</v>
      </c>
      <c r="W735" s="590">
        <f>IF(A20taxstdlife="n/a","n/a",IF(W$3&gt;(A20taxstdlife+$E735),(('PTRM input'!$M$162+'PTRM input'!$M$128)*$M$7)-SUM($M735:V735),(('PTRM input'!$M$162+'PTRM input'!$M$128)*$M$7)/A20taxstdlife))</f>
        <v>0</v>
      </c>
      <c r="X735" s="590">
        <f>IF(A20taxstdlife="n/a","n/a",IF(X$3&gt;(A20taxstdlife+$E735),(('PTRM input'!$M$162+'PTRM input'!$M$128)*$M$7)-SUM($M735:W735),(('PTRM input'!$M$162+'PTRM input'!$M$128)*$M$7)/A20taxstdlife))</f>
        <v>0</v>
      </c>
      <c r="Y735" s="590">
        <f>IF(A20taxstdlife="n/a","n/a",IF(Y$3&gt;(A20taxstdlife+$E735),(('PTRM input'!$M$162+'PTRM input'!$M$128)*$M$7)-SUM($M735:X735),(('PTRM input'!$M$162+'PTRM input'!$M$128)*$M$7)/A20taxstdlife))</f>
        <v>0</v>
      </c>
      <c r="Z735" s="590">
        <f>IF(A20taxstdlife="n/a","n/a",IF(Z$3&gt;(A20taxstdlife+$E735),(('PTRM input'!$M$162+'PTRM input'!$M$128)*$M$7)-SUM($M735:Y735),(('PTRM input'!$M$162+'PTRM input'!$M$128)*$M$7)/A20taxstdlife))</f>
        <v>0</v>
      </c>
      <c r="AA735" s="590">
        <f>IF(A20taxstdlife="n/a","n/a",IF(AA$3&gt;(A20taxstdlife+$E735),(('PTRM input'!$M$162+'PTRM input'!$M$128)*$M$7)-SUM($M735:Z735),(('PTRM input'!$M$162+'PTRM input'!$M$128)*$M$7)/A20taxstdlife))</f>
        <v>0</v>
      </c>
      <c r="AB735" s="590">
        <f>IF(A20taxstdlife="n/a","n/a",IF(AB$3&gt;(A20taxstdlife+$E735),(('PTRM input'!$M$162+'PTRM input'!$M$128)*$M$7)-SUM($M735:AA735),(('PTRM input'!$M$162+'PTRM input'!$M$128)*$M$7)/A20taxstdlife))</f>
        <v>0</v>
      </c>
      <c r="AC735" s="590">
        <f>IF(A20taxstdlife="n/a","n/a",IF(AC$3&gt;(A20taxstdlife+$E735),(('PTRM input'!$M$162+'PTRM input'!$M$128)*$M$7)-SUM($M735:AB735),(('PTRM input'!$M$162+'PTRM input'!$M$128)*$M$7)/A20taxstdlife))</f>
        <v>0</v>
      </c>
      <c r="AD735" s="590">
        <f>IF(A20taxstdlife="n/a","n/a",IF(AD$3&gt;(A20taxstdlife+$E735),(('PTRM input'!$M$162+'PTRM input'!$M$128)*$M$7)-SUM($M735:AC735),(('PTRM input'!$M$162+'PTRM input'!$M$128)*$M$7)/A20taxstdlife))</f>
        <v>0</v>
      </c>
      <c r="AE735" s="590">
        <f>IF(A20taxstdlife="n/a","n/a",IF(AE$3&gt;(A20taxstdlife+$E735),(('PTRM input'!$M$162+'PTRM input'!$M$128)*$M$7)-SUM($M735:AD735),(('PTRM input'!$M$162+'PTRM input'!$M$128)*$M$7)/A20taxstdlife))</f>
        <v>0</v>
      </c>
      <c r="AF735" s="590">
        <f>IF(A20taxstdlife="n/a","n/a",IF(AF$3&gt;(A20taxstdlife+$E735),(('PTRM input'!$M$162+'PTRM input'!$M$128)*$M$7)-SUM($M735:AE735),(('PTRM input'!$M$162+'PTRM input'!$M$128)*$M$7)/A20taxstdlife))</f>
        <v>0</v>
      </c>
      <c r="AG735" s="590">
        <f>IF(A20taxstdlife="n/a","n/a",IF(AG$3&gt;(A20taxstdlife+$E735),(('PTRM input'!$M$162+'PTRM input'!$M$128)*$M$7)-SUM($M735:AF735),(('PTRM input'!$M$162+'PTRM input'!$M$128)*$M$7)/A20taxstdlife))</f>
        <v>0</v>
      </c>
      <c r="AH735" s="590">
        <f>IF(A20taxstdlife="n/a","n/a",IF(AH$3&gt;(A20taxstdlife+$E735),(('PTRM input'!$M$162+'PTRM input'!$M$128)*$M$7)-SUM($M735:AG735),(('PTRM input'!$M$162+'PTRM input'!$M$128)*$M$7)/A20taxstdlife))</f>
        <v>0</v>
      </c>
      <c r="AI735" s="590">
        <f>IF(A20taxstdlife="n/a","n/a",IF(AI$3&gt;(A20taxstdlife+$E735),(('PTRM input'!$M$162+'PTRM input'!$M$128)*$M$7)-SUM($M735:AH735),(('PTRM input'!$M$162+'PTRM input'!$M$128)*$M$7)/A20taxstdlife))</f>
        <v>0</v>
      </c>
      <c r="AJ735" s="590">
        <f>IF(A20taxstdlife="n/a","n/a",IF(AJ$3&gt;(A20taxstdlife+$E735),(('PTRM input'!$M$162+'PTRM input'!$M$128)*$M$7)-SUM($M735:AI735),(('PTRM input'!$M$162+'PTRM input'!$M$128)*$M$7)/A20taxstdlife))</f>
        <v>0</v>
      </c>
      <c r="AK735" s="590">
        <f>IF(A20taxstdlife="n/a","n/a",IF(AK$3&gt;(A20taxstdlife+$E735),(('PTRM input'!$M$162+'PTRM input'!$M$128)*$M$7)-SUM($M735:AJ735),(('PTRM input'!$M$162+'PTRM input'!$M$128)*$M$7)/A20taxstdlife))</f>
        <v>0</v>
      </c>
      <c r="AL735" s="590">
        <f>IF(A20taxstdlife="n/a","n/a",IF(AL$3&gt;(A20taxstdlife+$E735),(('PTRM input'!$M$162+'PTRM input'!$M$128)*$M$7)-SUM($M735:AK735),(('PTRM input'!$M$162+'PTRM input'!$M$128)*$M$7)/A20taxstdlife))</f>
        <v>0</v>
      </c>
      <c r="AM735" s="590">
        <f>IF(A20taxstdlife="n/a","n/a",IF(AM$3&gt;(A20taxstdlife+$E735),(('PTRM input'!$M$162+'PTRM input'!$M$128)*$M$7)-SUM($M735:AL735),(('PTRM input'!$M$162+'PTRM input'!$M$128)*$M$7)/A20taxstdlife))</f>
        <v>0</v>
      </c>
      <c r="AN735" s="590">
        <f>IF(A20taxstdlife="n/a","n/a",IF(AN$3&gt;(A20taxstdlife+$E735),(('PTRM input'!$M$162+'PTRM input'!$M$128)*$M$7)-SUM($M735:AM735),(('PTRM input'!$M$162+'PTRM input'!$M$128)*$M$7)/A20taxstdlife))</f>
        <v>0</v>
      </c>
      <c r="AO735" s="590">
        <f>IF(A20taxstdlife="n/a","n/a",IF(AO$3&gt;(A20taxstdlife+$E735),(('PTRM input'!$M$162+'PTRM input'!$M$128)*$M$7)-SUM($M735:AN735),(('PTRM input'!$M$162+'PTRM input'!$M$128)*$M$7)/A20taxstdlife))</f>
        <v>0</v>
      </c>
      <c r="AP735" s="590">
        <f>IF(A20taxstdlife="n/a","n/a",IF(AP$3&gt;(A20taxstdlife+$E735),(('PTRM input'!$M$162+'PTRM input'!$M$128)*$M$7)-SUM($M735:AO735),(('PTRM input'!$M$162+'PTRM input'!$M$128)*$M$7)/A20taxstdlife))</f>
        <v>0</v>
      </c>
      <c r="AQ735" s="590">
        <f>IF(A20taxstdlife="n/a","n/a",IF(AQ$3&gt;(A20taxstdlife+$E735),(('PTRM input'!$M$162+'PTRM input'!$M$128)*$M$7)-SUM($M735:AP735),(('PTRM input'!$M$162+'PTRM input'!$M$128)*$M$7)/A20taxstdlife))</f>
        <v>0</v>
      </c>
      <c r="AR735" s="590">
        <f>IF(A20taxstdlife="n/a","n/a",IF(AR$3&gt;(A20taxstdlife+$E735),(('PTRM input'!$M$162+'PTRM input'!$M$128)*$M$7)-SUM($M735:AQ735),(('PTRM input'!$M$162+'PTRM input'!$M$128)*$M$7)/A20taxstdlife))</f>
        <v>0</v>
      </c>
      <c r="AS735" s="590">
        <f>IF(A20taxstdlife="n/a","n/a",IF(AS$3&gt;(A20taxstdlife+$E735),(('PTRM input'!$M$162+'PTRM input'!$M$128)*$M$7)-SUM($M735:AR735),(('PTRM input'!$M$162+'PTRM input'!$M$128)*$M$7)/A20taxstdlife))</f>
        <v>0</v>
      </c>
      <c r="AT735" s="590">
        <f>IF(A20taxstdlife="n/a","n/a",IF(AT$3&gt;(A20taxstdlife+$E735),(('PTRM input'!$M$162+'PTRM input'!$M$128)*$M$7)-SUM($M735:AS735),(('PTRM input'!$M$162+'PTRM input'!$M$128)*$M$7)/A20taxstdlife))</f>
        <v>0</v>
      </c>
      <c r="AU735" s="590">
        <f>IF(A20taxstdlife="n/a","n/a",IF(AU$3&gt;(A20taxstdlife+$E735),(('PTRM input'!$M$162+'PTRM input'!$M$128)*$M$7)-SUM($M735:AT735),(('PTRM input'!$M$162+'PTRM input'!$M$128)*$M$7)/A20taxstdlife))</f>
        <v>0</v>
      </c>
      <c r="AV735" s="590">
        <f>IF(A20taxstdlife="n/a","n/a",IF(AV$3&gt;(A20taxstdlife+$E735),(('PTRM input'!$M$162+'PTRM input'!$M$128)*$M$7)-SUM($M735:AU735),(('PTRM input'!$M$162+'PTRM input'!$M$128)*$M$7)/A20taxstdlife))</f>
        <v>0</v>
      </c>
      <c r="AW735" s="590">
        <f>IF(A20taxstdlife="n/a","n/a",IF(AW$3&gt;(A20taxstdlife+$E735),(('PTRM input'!$M$162+'PTRM input'!$M$128)*$M$7)-SUM($M735:AV735),(('PTRM input'!$M$162+'PTRM input'!$M$128)*$M$7)/A20taxstdlife))</f>
        <v>0</v>
      </c>
      <c r="AX735" s="590">
        <f>IF(A20taxstdlife="n/a","n/a",IF(AX$3&gt;(A20taxstdlife+$E735),(('PTRM input'!$M$162+'PTRM input'!$M$128)*$M$7)-SUM($M735:AW735),(('PTRM input'!$M$162+'PTRM input'!$M$128)*$M$7)/A20taxstdlife))</f>
        <v>0</v>
      </c>
      <c r="AY735" s="590">
        <f>IF(A20taxstdlife="n/a","n/a",IF(AY$3&gt;(A20taxstdlife+$E735),(('PTRM input'!$M$162+'PTRM input'!$M$128)*$M$7)-SUM($M735:AX735),(('PTRM input'!$M$162+'PTRM input'!$M$128)*$M$7)/A20taxstdlife))</f>
        <v>0</v>
      </c>
      <c r="AZ735" s="590">
        <f>IF(A20taxstdlife="n/a","n/a",IF(AZ$3&gt;(A20taxstdlife+$E735),(('PTRM input'!$M$162+'PTRM input'!$M$128)*$M$7)-SUM($M735:AY735),(('PTRM input'!$M$162+'PTRM input'!$M$128)*$M$7)/A20taxstdlife))</f>
        <v>0</v>
      </c>
      <c r="BA735" s="590">
        <f>IF(A20taxstdlife="n/a","n/a",IF(BA$3&gt;(A20taxstdlife+$E735),(('PTRM input'!$M$162+'PTRM input'!$M$128)*$M$7)-SUM($M735:AZ735),(('PTRM input'!$M$162+'PTRM input'!$M$128)*$M$7)/A20taxstdlife))</f>
        <v>0</v>
      </c>
      <c r="BB735" s="590">
        <f>IF(A20taxstdlife="n/a","n/a",IF(BB$3&gt;(A20taxstdlife+$E735),(('PTRM input'!$M$162+'PTRM input'!$M$128)*$M$7)-SUM($M735:BA735),(('PTRM input'!$M$162+'PTRM input'!$M$128)*$M$7)/A20taxstdlife))</f>
        <v>0</v>
      </c>
      <c r="BC735" s="590">
        <f>IF(A20taxstdlife="n/a","n/a",IF(BC$3&gt;(A20taxstdlife+$E735),(('PTRM input'!$M$162+'PTRM input'!$M$128)*$M$7)-SUM($M735:BB735),(('PTRM input'!$M$162+'PTRM input'!$M$128)*$M$7)/A20taxstdlife))</f>
        <v>0</v>
      </c>
      <c r="BD735" s="590">
        <f>IF(A20taxstdlife="n/a","n/a",IF(BD$3&gt;(A20taxstdlife+$E735),(('PTRM input'!$M$162+'PTRM input'!$M$128)*$M$7)-SUM($M735:BC735),(('PTRM input'!$M$162+'PTRM input'!$M$128)*$M$7)/A20taxstdlife))</f>
        <v>0</v>
      </c>
      <c r="BE735" s="590">
        <f>IF(A20taxstdlife="n/a","n/a",IF(BE$3&gt;(A20taxstdlife+$E735),(('PTRM input'!$M$162+'PTRM input'!$M$128)*$M$7)-SUM($M735:BD735),(('PTRM input'!$M$162+'PTRM input'!$M$128)*$M$7)/A20taxstdlife))</f>
        <v>0</v>
      </c>
      <c r="BF735" s="590">
        <f>IF(A20taxstdlife="n/a","n/a",IF(BF$3&gt;(A20taxstdlife+$E735),(('PTRM input'!$M$162+'PTRM input'!$M$128)*$M$7)-SUM($M735:BE735),(('PTRM input'!$M$162+'PTRM input'!$M$128)*$M$7)/A20taxstdlife))</f>
        <v>0</v>
      </c>
      <c r="BG735" s="590">
        <f>IF(A20taxstdlife="n/a","n/a",IF(BG$3&gt;(A20taxstdlife+$E735),(('PTRM input'!$M$162+'PTRM input'!$M$128)*$M$7)-SUM($M735:BF735),(('PTRM input'!$M$162+'PTRM input'!$M$128)*$M$7)/A20taxstdlife))</f>
        <v>0</v>
      </c>
      <c r="BH735" s="590">
        <f>IF(A20taxstdlife="n/a","n/a",IF(BH$3&gt;(A20taxstdlife+$E735),(('PTRM input'!$M$162+'PTRM input'!$M$128)*$M$7)-SUM($M735:BG735),(('PTRM input'!$M$162+'PTRM input'!$M$128)*$M$7)/A20taxstdlife))</f>
        <v>0</v>
      </c>
      <c r="BI735" s="590">
        <f>IF(A20taxstdlife="n/a","n/a",IF(BI$3&gt;(A20taxstdlife+$E735),(('PTRM input'!$M$162+'PTRM input'!$M$128)*$M$7)-SUM($M735:BH735),(('PTRM input'!$M$162+'PTRM input'!$M$128)*$M$7)/A20taxstdlife))</f>
        <v>0</v>
      </c>
      <c r="BJ735" s="240"/>
      <c r="BK735" s="240"/>
      <c r="BL735" s="240"/>
      <c r="BM735" s="240"/>
    </row>
    <row r="736" spans="1:65" s="4" customFormat="1" hidden="1" outlineLevel="2">
      <c r="A736" s="240"/>
      <c r="B736" s="240"/>
      <c r="C736" s="595"/>
      <c r="D736" s="1618"/>
      <c r="E736" s="169">
        <v>8</v>
      </c>
      <c r="F736" s="35"/>
      <c r="G736" s="184"/>
      <c r="H736" s="186"/>
      <c r="I736" s="186"/>
      <c r="J736" s="186"/>
      <c r="K736" s="186"/>
      <c r="L736" s="186"/>
      <c r="M736" s="186"/>
      <c r="N736" s="185"/>
      <c r="O736" s="107">
        <f>IF(A20taxstdlife="n/a","n/a",IF(O$3&gt;(A20taxstdlife+$E736),(('PTRM input'!$N$162+'PTRM input'!$N$128)*$N$7)-SUM($N736:N736),(('PTRM input'!$N$162+'PTRM input'!$N$128)*$N$7)/A20taxstdlife))</f>
        <v>0</v>
      </c>
      <c r="P736" s="107">
        <f>IF(A20taxstdlife="n/a","n/a",IF(P$3&gt;(A20taxstdlife+$E736),(('PTRM input'!$N$162+'PTRM input'!$N$128)*$N$7)-SUM($N736:O736),(('PTRM input'!$N$162+'PTRM input'!$N$128)*$N$7)/A20taxstdlife))</f>
        <v>0</v>
      </c>
      <c r="Q736" s="590">
        <f>IF(A20taxstdlife="n/a","n/a",IF(Q$3&gt;(A20taxstdlife+$E736),(('PTRM input'!$N$162+'PTRM input'!$N$128)*$N$7)-SUM($N736:P736),(('PTRM input'!$N$162+'PTRM input'!$N$128)*$N$7)/A20taxstdlife))</f>
        <v>0</v>
      </c>
      <c r="R736" s="590">
        <f>IF(A20taxstdlife="n/a","n/a",IF(R$3&gt;(A20taxstdlife+$E736),(('PTRM input'!$N$162+'PTRM input'!$N$128)*$N$7)-SUM($N736:Q736),(('PTRM input'!$N$162+'PTRM input'!$N$128)*$N$7)/A20taxstdlife))</f>
        <v>0</v>
      </c>
      <c r="S736" s="590">
        <f>IF(A20taxstdlife="n/a","n/a",IF(S$3&gt;(A20taxstdlife+$E736),(('PTRM input'!$N$162+'PTRM input'!$N$128)*$N$7)-SUM($N736:R736),(('PTRM input'!$N$162+'PTRM input'!$N$128)*$N$7)/A20taxstdlife))</f>
        <v>0</v>
      </c>
      <c r="T736" s="590">
        <f>IF(A20taxstdlife="n/a","n/a",IF(T$3&gt;(A20taxstdlife+$E736),(('PTRM input'!$N$162+'PTRM input'!$N$128)*$N$7)-SUM($N736:S736),(('PTRM input'!$N$162+'PTRM input'!$N$128)*$N$7)/A20taxstdlife))</f>
        <v>0</v>
      </c>
      <c r="U736" s="590">
        <f>IF(A20taxstdlife="n/a","n/a",IF(U$3&gt;(A20taxstdlife+$E736),(('PTRM input'!$N$162+'PTRM input'!$N$128)*$N$7)-SUM($N736:T736),(('PTRM input'!$N$162+'PTRM input'!$N$128)*$N$7)/A20taxstdlife))</f>
        <v>0</v>
      </c>
      <c r="V736" s="590">
        <f>IF(A20taxstdlife="n/a","n/a",IF(V$3&gt;(A20taxstdlife+$E736),(('PTRM input'!$N$162+'PTRM input'!$N$128)*$N$7)-SUM($N736:U736),(('PTRM input'!$N$162+'PTRM input'!$N$128)*$N$7)/A20taxstdlife))</f>
        <v>0</v>
      </c>
      <c r="W736" s="590">
        <f>IF(A20taxstdlife="n/a","n/a",IF(W$3&gt;(A20taxstdlife+$E736),(('PTRM input'!$N$162+'PTRM input'!$N$128)*$N$7)-SUM($N736:V736),(('PTRM input'!$N$162+'PTRM input'!$N$128)*$N$7)/A20taxstdlife))</f>
        <v>0</v>
      </c>
      <c r="X736" s="590">
        <f>IF(A20taxstdlife="n/a","n/a",IF(X$3&gt;(A20taxstdlife+$E736),(('PTRM input'!$N$162+'PTRM input'!$N$128)*$N$7)-SUM($N736:W736),(('PTRM input'!$N$162+'PTRM input'!$N$128)*$N$7)/A20taxstdlife))</f>
        <v>0</v>
      </c>
      <c r="Y736" s="590">
        <f>IF(A20taxstdlife="n/a","n/a",IF(Y$3&gt;(A20taxstdlife+$E736),(('PTRM input'!$N$162+'PTRM input'!$N$128)*$N$7)-SUM($N736:X736),(('PTRM input'!$N$162+'PTRM input'!$N$128)*$N$7)/A20taxstdlife))</f>
        <v>0</v>
      </c>
      <c r="Z736" s="590">
        <f>IF(A20taxstdlife="n/a","n/a",IF(Z$3&gt;(A20taxstdlife+$E736),(('PTRM input'!$N$162+'PTRM input'!$N$128)*$N$7)-SUM($N736:Y736),(('PTRM input'!$N$162+'PTRM input'!$N$128)*$N$7)/A20taxstdlife))</f>
        <v>0</v>
      </c>
      <c r="AA736" s="590">
        <f>IF(A20taxstdlife="n/a","n/a",IF(AA$3&gt;(A20taxstdlife+$E736),(('PTRM input'!$N$162+'PTRM input'!$N$128)*$N$7)-SUM($N736:Z736),(('PTRM input'!$N$162+'PTRM input'!$N$128)*$N$7)/A20taxstdlife))</f>
        <v>0</v>
      </c>
      <c r="AB736" s="590">
        <f>IF(A20taxstdlife="n/a","n/a",IF(AB$3&gt;(A20taxstdlife+$E736),(('PTRM input'!$N$162+'PTRM input'!$N$128)*$N$7)-SUM($N736:AA736),(('PTRM input'!$N$162+'PTRM input'!$N$128)*$N$7)/A20taxstdlife))</f>
        <v>0</v>
      </c>
      <c r="AC736" s="590">
        <f>IF(A20taxstdlife="n/a","n/a",IF(AC$3&gt;(A20taxstdlife+$E736),(('PTRM input'!$N$162+'PTRM input'!$N$128)*$N$7)-SUM($N736:AB736),(('PTRM input'!$N$162+'PTRM input'!$N$128)*$N$7)/A20taxstdlife))</f>
        <v>0</v>
      </c>
      <c r="AD736" s="590">
        <f>IF(A20taxstdlife="n/a","n/a",IF(AD$3&gt;(A20taxstdlife+$E736),(('PTRM input'!$N$162+'PTRM input'!$N$128)*$N$7)-SUM($N736:AC736),(('PTRM input'!$N$162+'PTRM input'!$N$128)*$N$7)/A20taxstdlife))</f>
        <v>0</v>
      </c>
      <c r="AE736" s="590">
        <f>IF(A20taxstdlife="n/a","n/a",IF(AE$3&gt;(A20taxstdlife+$E736),(('PTRM input'!$N$162+'PTRM input'!$N$128)*$N$7)-SUM($N736:AD736),(('PTRM input'!$N$162+'PTRM input'!$N$128)*$N$7)/A20taxstdlife))</f>
        <v>0</v>
      </c>
      <c r="AF736" s="590">
        <f>IF(A20taxstdlife="n/a","n/a",IF(AF$3&gt;(A20taxstdlife+$E736),(('PTRM input'!$N$162+'PTRM input'!$N$128)*$N$7)-SUM($N736:AE736),(('PTRM input'!$N$162+'PTRM input'!$N$128)*$N$7)/A20taxstdlife))</f>
        <v>0</v>
      </c>
      <c r="AG736" s="590">
        <f>IF(A20taxstdlife="n/a","n/a",IF(AG$3&gt;(A20taxstdlife+$E736),(('PTRM input'!$N$162+'PTRM input'!$N$128)*$N$7)-SUM($N736:AF736),(('PTRM input'!$N$162+'PTRM input'!$N$128)*$N$7)/A20taxstdlife))</f>
        <v>0</v>
      </c>
      <c r="AH736" s="590">
        <f>IF(A20taxstdlife="n/a","n/a",IF(AH$3&gt;(A20taxstdlife+$E736),(('PTRM input'!$N$162+'PTRM input'!$N$128)*$N$7)-SUM($N736:AG736),(('PTRM input'!$N$162+'PTRM input'!$N$128)*$N$7)/A20taxstdlife))</f>
        <v>0</v>
      </c>
      <c r="AI736" s="590">
        <f>IF(A20taxstdlife="n/a","n/a",IF(AI$3&gt;(A20taxstdlife+$E736),(('PTRM input'!$N$162+'PTRM input'!$N$128)*$N$7)-SUM($N736:AH736),(('PTRM input'!$N$162+'PTRM input'!$N$128)*$N$7)/A20taxstdlife))</f>
        <v>0</v>
      </c>
      <c r="AJ736" s="590">
        <f>IF(A20taxstdlife="n/a","n/a",IF(AJ$3&gt;(A20taxstdlife+$E736),(('PTRM input'!$N$162+'PTRM input'!$N$128)*$N$7)-SUM($N736:AI736),(('PTRM input'!$N$162+'PTRM input'!$N$128)*$N$7)/A20taxstdlife))</f>
        <v>0</v>
      </c>
      <c r="AK736" s="590">
        <f>IF(A20taxstdlife="n/a","n/a",IF(AK$3&gt;(A20taxstdlife+$E736),(('PTRM input'!$N$162+'PTRM input'!$N$128)*$N$7)-SUM($N736:AJ736),(('PTRM input'!$N$162+'PTRM input'!$N$128)*$N$7)/A20taxstdlife))</f>
        <v>0</v>
      </c>
      <c r="AL736" s="590">
        <f>IF(A20taxstdlife="n/a","n/a",IF(AL$3&gt;(A20taxstdlife+$E736),(('PTRM input'!$N$162+'PTRM input'!$N$128)*$N$7)-SUM($N736:AK736),(('PTRM input'!$N$162+'PTRM input'!$N$128)*$N$7)/A20taxstdlife))</f>
        <v>0</v>
      </c>
      <c r="AM736" s="590">
        <f>IF(A20taxstdlife="n/a","n/a",IF(AM$3&gt;(A20taxstdlife+$E736),(('PTRM input'!$N$162+'PTRM input'!$N$128)*$N$7)-SUM($N736:AL736),(('PTRM input'!$N$162+'PTRM input'!$N$128)*$N$7)/A20taxstdlife))</f>
        <v>0</v>
      </c>
      <c r="AN736" s="590">
        <f>IF(A20taxstdlife="n/a","n/a",IF(AN$3&gt;(A20taxstdlife+$E736),(('PTRM input'!$N$162+'PTRM input'!$N$128)*$N$7)-SUM($N736:AM736),(('PTRM input'!$N$162+'PTRM input'!$N$128)*$N$7)/A20taxstdlife))</f>
        <v>0</v>
      </c>
      <c r="AO736" s="590">
        <f>IF(A20taxstdlife="n/a","n/a",IF(AO$3&gt;(A20taxstdlife+$E736),(('PTRM input'!$N$162+'PTRM input'!$N$128)*$N$7)-SUM($N736:AN736),(('PTRM input'!$N$162+'PTRM input'!$N$128)*$N$7)/A20taxstdlife))</f>
        <v>0</v>
      </c>
      <c r="AP736" s="590">
        <f>IF(A20taxstdlife="n/a","n/a",IF(AP$3&gt;(A20taxstdlife+$E736),(('PTRM input'!$N$162+'PTRM input'!$N$128)*$N$7)-SUM($N736:AO736),(('PTRM input'!$N$162+'PTRM input'!$N$128)*$N$7)/A20taxstdlife))</f>
        <v>0</v>
      </c>
      <c r="AQ736" s="590">
        <f>IF(A20taxstdlife="n/a","n/a",IF(AQ$3&gt;(A20taxstdlife+$E736),(('PTRM input'!$N$162+'PTRM input'!$N$128)*$N$7)-SUM($N736:AP736),(('PTRM input'!$N$162+'PTRM input'!$N$128)*$N$7)/A20taxstdlife))</f>
        <v>0</v>
      </c>
      <c r="AR736" s="590">
        <f>IF(A20taxstdlife="n/a","n/a",IF(AR$3&gt;(A20taxstdlife+$E736),(('PTRM input'!$N$162+'PTRM input'!$N$128)*$N$7)-SUM($N736:AQ736),(('PTRM input'!$N$162+'PTRM input'!$N$128)*$N$7)/A20taxstdlife))</f>
        <v>0</v>
      </c>
      <c r="AS736" s="590">
        <f>IF(A20taxstdlife="n/a","n/a",IF(AS$3&gt;(A20taxstdlife+$E736),(('PTRM input'!$N$162+'PTRM input'!$N$128)*$N$7)-SUM($N736:AR736),(('PTRM input'!$N$162+'PTRM input'!$N$128)*$N$7)/A20taxstdlife))</f>
        <v>0</v>
      </c>
      <c r="AT736" s="590">
        <f>IF(A20taxstdlife="n/a","n/a",IF(AT$3&gt;(A20taxstdlife+$E736),(('PTRM input'!$N$162+'PTRM input'!$N$128)*$N$7)-SUM($N736:AS736),(('PTRM input'!$N$162+'PTRM input'!$N$128)*$N$7)/A20taxstdlife))</f>
        <v>0</v>
      </c>
      <c r="AU736" s="590">
        <f>IF(A20taxstdlife="n/a","n/a",IF(AU$3&gt;(A20taxstdlife+$E736),(('PTRM input'!$N$162+'PTRM input'!$N$128)*$N$7)-SUM($N736:AT736),(('PTRM input'!$N$162+'PTRM input'!$N$128)*$N$7)/A20taxstdlife))</f>
        <v>0</v>
      </c>
      <c r="AV736" s="590">
        <f>IF(A20taxstdlife="n/a","n/a",IF(AV$3&gt;(A20taxstdlife+$E736),(('PTRM input'!$N$162+'PTRM input'!$N$128)*$N$7)-SUM($N736:AU736),(('PTRM input'!$N$162+'PTRM input'!$N$128)*$N$7)/A20taxstdlife))</f>
        <v>0</v>
      </c>
      <c r="AW736" s="590">
        <f>IF(A20taxstdlife="n/a","n/a",IF(AW$3&gt;(A20taxstdlife+$E736),(('PTRM input'!$N$162+'PTRM input'!$N$128)*$N$7)-SUM($N736:AV736),(('PTRM input'!$N$162+'PTRM input'!$N$128)*$N$7)/A20taxstdlife))</f>
        <v>0</v>
      </c>
      <c r="AX736" s="590">
        <f>IF(A20taxstdlife="n/a","n/a",IF(AX$3&gt;(A20taxstdlife+$E736),(('PTRM input'!$N$162+'PTRM input'!$N$128)*$N$7)-SUM($N736:AW736),(('PTRM input'!$N$162+'PTRM input'!$N$128)*$N$7)/A20taxstdlife))</f>
        <v>0</v>
      </c>
      <c r="AY736" s="590">
        <f>IF(A20taxstdlife="n/a","n/a",IF(AY$3&gt;(A20taxstdlife+$E736),(('PTRM input'!$N$162+'PTRM input'!$N$128)*$N$7)-SUM($N736:AX736),(('PTRM input'!$N$162+'PTRM input'!$N$128)*$N$7)/A20taxstdlife))</f>
        <v>0</v>
      </c>
      <c r="AZ736" s="590">
        <f>IF(A20taxstdlife="n/a","n/a",IF(AZ$3&gt;(A20taxstdlife+$E736),(('PTRM input'!$N$162+'PTRM input'!$N$128)*$N$7)-SUM($N736:AY736),(('PTRM input'!$N$162+'PTRM input'!$N$128)*$N$7)/A20taxstdlife))</f>
        <v>0</v>
      </c>
      <c r="BA736" s="590">
        <f>IF(A20taxstdlife="n/a","n/a",IF(BA$3&gt;(A20taxstdlife+$E736),(('PTRM input'!$N$162+'PTRM input'!$N$128)*$N$7)-SUM($N736:AZ736),(('PTRM input'!$N$162+'PTRM input'!$N$128)*$N$7)/A20taxstdlife))</f>
        <v>0</v>
      </c>
      <c r="BB736" s="590">
        <f>IF(A20taxstdlife="n/a","n/a",IF(BB$3&gt;(A20taxstdlife+$E736),(('PTRM input'!$N$162+'PTRM input'!$N$128)*$N$7)-SUM($N736:BA736),(('PTRM input'!$N$162+'PTRM input'!$N$128)*$N$7)/A20taxstdlife))</f>
        <v>0</v>
      </c>
      <c r="BC736" s="590">
        <f>IF(A20taxstdlife="n/a","n/a",IF(BC$3&gt;(A20taxstdlife+$E736),(('PTRM input'!$N$162+'PTRM input'!$N$128)*$N$7)-SUM($N736:BB736),(('PTRM input'!$N$162+'PTRM input'!$N$128)*$N$7)/A20taxstdlife))</f>
        <v>0</v>
      </c>
      <c r="BD736" s="590">
        <f>IF(A20taxstdlife="n/a","n/a",IF(BD$3&gt;(A20taxstdlife+$E736),(('PTRM input'!$N$162+'PTRM input'!$N$128)*$N$7)-SUM($N736:BC736),(('PTRM input'!$N$162+'PTRM input'!$N$128)*$N$7)/A20taxstdlife))</f>
        <v>0</v>
      </c>
      <c r="BE736" s="590">
        <f>IF(A20taxstdlife="n/a","n/a",IF(BE$3&gt;(A20taxstdlife+$E736),(('PTRM input'!$N$162+'PTRM input'!$N$128)*$N$7)-SUM($N736:BD736),(('PTRM input'!$N$162+'PTRM input'!$N$128)*$N$7)/A20taxstdlife))</f>
        <v>0</v>
      </c>
      <c r="BF736" s="590">
        <f>IF(A20taxstdlife="n/a","n/a",IF(BF$3&gt;(A20taxstdlife+$E736),(('PTRM input'!$N$162+'PTRM input'!$N$128)*$N$7)-SUM($N736:BE736),(('PTRM input'!$N$162+'PTRM input'!$N$128)*$N$7)/A20taxstdlife))</f>
        <v>0</v>
      </c>
      <c r="BG736" s="590">
        <f>IF(A20taxstdlife="n/a","n/a",IF(BG$3&gt;(A20taxstdlife+$E736),(('PTRM input'!$N$162+'PTRM input'!$N$128)*$N$7)-SUM($N736:BF736),(('PTRM input'!$N$162+'PTRM input'!$N$128)*$N$7)/A20taxstdlife))</f>
        <v>0</v>
      </c>
      <c r="BH736" s="590">
        <f>IF(A20taxstdlife="n/a","n/a",IF(BH$3&gt;(A20taxstdlife+$E736),(('PTRM input'!$N$162+'PTRM input'!$N$128)*$N$7)-SUM($N736:BG736),(('PTRM input'!$N$162+'PTRM input'!$N$128)*$N$7)/A20taxstdlife))</f>
        <v>0</v>
      </c>
      <c r="BI736" s="590">
        <f>IF(A20taxstdlife="n/a","n/a",IF(BI$3&gt;(A20taxstdlife+$E736),(('PTRM input'!$N$162+'PTRM input'!$N$128)*$N$7)-SUM($N736:BH736),(('PTRM input'!$N$162+'PTRM input'!$N$128)*$N$7)/A20taxstdlife))</f>
        <v>0</v>
      </c>
      <c r="BJ736" s="240"/>
      <c r="BK736" s="240"/>
      <c r="BL736" s="240"/>
      <c r="BM736" s="240"/>
    </row>
    <row r="737" spans="1:65" s="4" customFormat="1" hidden="1" outlineLevel="2">
      <c r="A737" s="240"/>
      <c r="B737" s="240"/>
      <c r="C737" s="595"/>
      <c r="D737" s="1618"/>
      <c r="E737" s="169">
        <v>9</v>
      </c>
      <c r="F737" s="35"/>
      <c r="G737" s="184"/>
      <c r="H737" s="186"/>
      <c r="I737" s="186"/>
      <c r="J737" s="186"/>
      <c r="K737" s="186"/>
      <c r="L737" s="186"/>
      <c r="M737" s="186"/>
      <c r="N737" s="186"/>
      <c r="O737" s="185"/>
      <c r="P737" s="107">
        <f>IF(A20taxstdlife="n/a","n/a",IF(P$3&gt;(A20taxstdlife+$E737),(('PTRM input'!$O$162+'PTRM input'!$O$128)*$O$7)-SUM($O737:O737),(('PTRM input'!$O$162+'PTRM input'!$O$128)*$O$7)/A20taxstdlife))</f>
        <v>0</v>
      </c>
      <c r="Q737" s="590">
        <f>IF(A20taxstdlife="n/a","n/a",IF(Q$3&gt;(A20taxstdlife+$E737),(('PTRM input'!$O$162+'PTRM input'!$O$128)*$O$7)-SUM($O737:P737),(('PTRM input'!$O$162+'PTRM input'!$O$128)*$O$7)/A20taxstdlife))</f>
        <v>0</v>
      </c>
      <c r="R737" s="590">
        <f>IF(A20taxstdlife="n/a","n/a",IF(R$3&gt;(A20taxstdlife+$E737),(('PTRM input'!$O$162+'PTRM input'!$O$128)*$O$7)-SUM($O737:Q737),(('PTRM input'!$O$162+'PTRM input'!$O$128)*$O$7)/A20taxstdlife))</f>
        <v>0</v>
      </c>
      <c r="S737" s="590">
        <f>IF(A20taxstdlife="n/a","n/a",IF(S$3&gt;(A20taxstdlife+$E737),(('PTRM input'!$O$162+'PTRM input'!$O$128)*$O$7)-SUM($O737:R737),(('PTRM input'!$O$162+'PTRM input'!$O$128)*$O$7)/A20taxstdlife))</f>
        <v>0</v>
      </c>
      <c r="T737" s="590">
        <f>IF(A20taxstdlife="n/a","n/a",IF(T$3&gt;(A20taxstdlife+$E737),(('PTRM input'!$O$162+'PTRM input'!$O$128)*$O$7)-SUM($O737:S737),(('PTRM input'!$O$162+'PTRM input'!$O$128)*$O$7)/A20taxstdlife))</f>
        <v>0</v>
      </c>
      <c r="U737" s="590">
        <f>IF(A20taxstdlife="n/a","n/a",IF(U$3&gt;(A20taxstdlife+$E737),(('PTRM input'!$O$162+'PTRM input'!$O$128)*$O$7)-SUM($O737:T737),(('PTRM input'!$O$162+'PTRM input'!$O$128)*$O$7)/A20taxstdlife))</f>
        <v>0</v>
      </c>
      <c r="V737" s="590">
        <f>IF(A20taxstdlife="n/a","n/a",IF(V$3&gt;(A20taxstdlife+$E737),(('PTRM input'!$O$162+'PTRM input'!$O$128)*$O$7)-SUM($O737:U737),(('PTRM input'!$O$162+'PTRM input'!$O$128)*$O$7)/A20taxstdlife))</f>
        <v>0</v>
      </c>
      <c r="W737" s="590">
        <f>IF(A20taxstdlife="n/a","n/a",IF(W$3&gt;(A20taxstdlife+$E737),(('PTRM input'!$O$162+'PTRM input'!$O$128)*$O$7)-SUM($O737:V737),(('PTRM input'!$O$162+'PTRM input'!$O$128)*$O$7)/A20taxstdlife))</f>
        <v>0</v>
      </c>
      <c r="X737" s="590">
        <f>IF(A20taxstdlife="n/a","n/a",IF(X$3&gt;(A20taxstdlife+$E737),(('PTRM input'!$O$162+'PTRM input'!$O$128)*$O$7)-SUM($O737:W737),(('PTRM input'!$O$162+'PTRM input'!$O$128)*$O$7)/A20taxstdlife))</f>
        <v>0</v>
      </c>
      <c r="Y737" s="590">
        <f>IF(A20taxstdlife="n/a","n/a",IF(Y$3&gt;(A20taxstdlife+$E737),(('PTRM input'!$O$162+'PTRM input'!$O$128)*$O$7)-SUM($O737:X737),(('PTRM input'!$O$162+'PTRM input'!$O$128)*$O$7)/A20taxstdlife))</f>
        <v>0</v>
      </c>
      <c r="Z737" s="590">
        <f>IF(A20taxstdlife="n/a","n/a",IF(Z$3&gt;(A20taxstdlife+$E737),(('PTRM input'!$O$162+'PTRM input'!$O$128)*$O$7)-SUM($O737:Y737),(('PTRM input'!$O$162+'PTRM input'!$O$128)*$O$7)/A20taxstdlife))</f>
        <v>0</v>
      </c>
      <c r="AA737" s="590">
        <f>IF(A20taxstdlife="n/a","n/a",IF(AA$3&gt;(A20taxstdlife+$E737),(('PTRM input'!$O$162+'PTRM input'!$O$128)*$O$7)-SUM($O737:Z737),(('PTRM input'!$O$162+'PTRM input'!$O$128)*$O$7)/A20taxstdlife))</f>
        <v>0</v>
      </c>
      <c r="AB737" s="590">
        <f>IF(A20taxstdlife="n/a","n/a",IF(AB$3&gt;(A20taxstdlife+$E737),(('PTRM input'!$O$162+'PTRM input'!$O$128)*$O$7)-SUM($O737:AA737),(('PTRM input'!$O$162+'PTRM input'!$O$128)*$O$7)/A20taxstdlife))</f>
        <v>0</v>
      </c>
      <c r="AC737" s="590">
        <f>IF(A20taxstdlife="n/a","n/a",IF(AC$3&gt;(A20taxstdlife+$E737),(('PTRM input'!$O$162+'PTRM input'!$O$128)*$O$7)-SUM($O737:AB737),(('PTRM input'!$O$162+'PTRM input'!$O$128)*$O$7)/A20taxstdlife))</f>
        <v>0</v>
      </c>
      <c r="AD737" s="590">
        <f>IF(A20taxstdlife="n/a","n/a",IF(AD$3&gt;(A20taxstdlife+$E737),(('PTRM input'!$O$162+'PTRM input'!$O$128)*$O$7)-SUM($O737:AC737),(('PTRM input'!$O$162+'PTRM input'!$O$128)*$O$7)/A20taxstdlife))</f>
        <v>0</v>
      </c>
      <c r="AE737" s="590">
        <f>IF(A20taxstdlife="n/a","n/a",IF(AE$3&gt;(A20taxstdlife+$E737),(('PTRM input'!$O$162+'PTRM input'!$O$128)*$O$7)-SUM($O737:AD737),(('PTRM input'!$O$162+'PTRM input'!$O$128)*$O$7)/A20taxstdlife))</f>
        <v>0</v>
      </c>
      <c r="AF737" s="590">
        <f>IF(A20taxstdlife="n/a","n/a",IF(AF$3&gt;(A20taxstdlife+$E737),(('PTRM input'!$O$162+'PTRM input'!$O$128)*$O$7)-SUM($O737:AE737),(('PTRM input'!$O$162+'PTRM input'!$O$128)*$O$7)/A20taxstdlife))</f>
        <v>0</v>
      </c>
      <c r="AG737" s="590">
        <f>IF(A20taxstdlife="n/a","n/a",IF(AG$3&gt;(A20taxstdlife+$E737),(('PTRM input'!$O$162+'PTRM input'!$O$128)*$O$7)-SUM($O737:AF737),(('PTRM input'!$O$162+'PTRM input'!$O$128)*$O$7)/A20taxstdlife))</f>
        <v>0</v>
      </c>
      <c r="AH737" s="590">
        <f>IF(A20taxstdlife="n/a","n/a",IF(AH$3&gt;(A20taxstdlife+$E737),(('PTRM input'!$O$162+'PTRM input'!$O$128)*$O$7)-SUM($O737:AG737),(('PTRM input'!$O$162+'PTRM input'!$O$128)*$O$7)/A20taxstdlife))</f>
        <v>0</v>
      </c>
      <c r="AI737" s="590">
        <f>IF(A20taxstdlife="n/a","n/a",IF(AI$3&gt;(A20taxstdlife+$E737),(('PTRM input'!$O$162+'PTRM input'!$O$128)*$O$7)-SUM($O737:AH737),(('PTRM input'!$O$162+'PTRM input'!$O$128)*$O$7)/A20taxstdlife))</f>
        <v>0</v>
      </c>
      <c r="AJ737" s="590">
        <f>IF(A20taxstdlife="n/a","n/a",IF(AJ$3&gt;(A20taxstdlife+$E737),(('PTRM input'!$O$162+'PTRM input'!$O$128)*$O$7)-SUM($O737:AI737),(('PTRM input'!$O$162+'PTRM input'!$O$128)*$O$7)/A20taxstdlife))</f>
        <v>0</v>
      </c>
      <c r="AK737" s="590">
        <f>IF(A20taxstdlife="n/a","n/a",IF(AK$3&gt;(A20taxstdlife+$E737),(('PTRM input'!$O$162+'PTRM input'!$O$128)*$O$7)-SUM($O737:AJ737),(('PTRM input'!$O$162+'PTRM input'!$O$128)*$O$7)/A20taxstdlife))</f>
        <v>0</v>
      </c>
      <c r="AL737" s="590">
        <f>IF(A20taxstdlife="n/a","n/a",IF(AL$3&gt;(A20taxstdlife+$E737),(('PTRM input'!$O$162+'PTRM input'!$O$128)*$O$7)-SUM($O737:AK737),(('PTRM input'!$O$162+'PTRM input'!$O$128)*$O$7)/A20taxstdlife))</f>
        <v>0</v>
      </c>
      <c r="AM737" s="590">
        <f>IF(A20taxstdlife="n/a","n/a",IF(AM$3&gt;(A20taxstdlife+$E737),(('PTRM input'!$O$162+'PTRM input'!$O$128)*$O$7)-SUM($O737:AL737),(('PTRM input'!$O$162+'PTRM input'!$O$128)*$O$7)/A20taxstdlife))</f>
        <v>0</v>
      </c>
      <c r="AN737" s="590">
        <f>IF(A20taxstdlife="n/a","n/a",IF(AN$3&gt;(A20taxstdlife+$E737),(('PTRM input'!$O$162+'PTRM input'!$O$128)*$O$7)-SUM($O737:AM737),(('PTRM input'!$O$162+'PTRM input'!$O$128)*$O$7)/A20taxstdlife))</f>
        <v>0</v>
      </c>
      <c r="AO737" s="590">
        <f>IF(A20taxstdlife="n/a","n/a",IF(AO$3&gt;(A20taxstdlife+$E737),(('PTRM input'!$O$162+'PTRM input'!$O$128)*$O$7)-SUM($O737:AN737),(('PTRM input'!$O$162+'PTRM input'!$O$128)*$O$7)/A20taxstdlife))</f>
        <v>0</v>
      </c>
      <c r="AP737" s="590">
        <f>IF(A20taxstdlife="n/a","n/a",IF(AP$3&gt;(A20taxstdlife+$E737),(('PTRM input'!$O$162+'PTRM input'!$O$128)*$O$7)-SUM($O737:AO737),(('PTRM input'!$O$162+'PTRM input'!$O$128)*$O$7)/A20taxstdlife))</f>
        <v>0</v>
      </c>
      <c r="AQ737" s="590">
        <f>IF(A20taxstdlife="n/a","n/a",IF(AQ$3&gt;(A20taxstdlife+$E737),(('PTRM input'!$O$162+'PTRM input'!$O$128)*$O$7)-SUM($O737:AP737),(('PTRM input'!$O$162+'PTRM input'!$O$128)*$O$7)/A20taxstdlife))</f>
        <v>0</v>
      </c>
      <c r="AR737" s="590">
        <f>IF(A20taxstdlife="n/a","n/a",IF(AR$3&gt;(A20taxstdlife+$E737),(('PTRM input'!$O$162+'PTRM input'!$O$128)*$O$7)-SUM($O737:AQ737),(('PTRM input'!$O$162+'PTRM input'!$O$128)*$O$7)/A20taxstdlife))</f>
        <v>0</v>
      </c>
      <c r="AS737" s="590">
        <f>IF(A20taxstdlife="n/a","n/a",IF(AS$3&gt;(A20taxstdlife+$E737),(('PTRM input'!$O$162+'PTRM input'!$O$128)*$O$7)-SUM($O737:AR737),(('PTRM input'!$O$162+'PTRM input'!$O$128)*$O$7)/A20taxstdlife))</f>
        <v>0</v>
      </c>
      <c r="AT737" s="590">
        <f>IF(A20taxstdlife="n/a","n/a",IF(AT$3&gt;(A20taxstdlife+$E737),(('PTRM input'!$O$162+'PTRM input'!$O$128)*$O$7)-SUM($O737:AS737),(('PTRM input'!$O$162+'PTRM input'!$O$128)*$O$7)/A20taxstdlife))</f>
        <v>0</v>
      </c>
      <c r="AU737" s="590">
        <f>IF(A20taxstdlife="n/a","n/a",IF(AU$3&gt;(A20taxstdlife+$E737),(('PTRM input'!$O$162+'PTRM input'!$O$128)*$O$7)-SUM($O737:AT737),(('PTRM input'!$O$162+'PTRM input'!$O$128)*$O$7)/A20taxstdlife))</f>
        <v>0</v>
      </c>
      <c r="AV737" s="590">
        <f>IF(A20taxstdlife="n/a","n/a",IF(AV$3&gt;(A20taxstdlife+$E737),(('PTRM input'!$O$162+'PTRM input'!$O$128)*$O$7)-SUM($O737:AU737),(('PTRM input'!$O$162+'PTRM input'!$O$128)*$O$7)/A20taxstdlife))</f>
        <v>0</v>
      </c>
      <c r="AW737" s="590">
        <f>IF(A20taxstdlife="n/a","n/a",IF(AW$3&gt;(A20taxstdlife+$E737),(('PTRM input'!$O$162+'PTRM input'!$O$128)*$O$7)-SUM($O737:AV737),(('PTRM input'!$O$162+'PTRM input'!$O$128)*$O$7)/A20taxstdlife))</f>
        <v>0</v>
      </c>
      <c r="AX737" s="590">
        <f>IF(A20taxstdlife="n/a","n/a",IF(AX$3&gt;(A20taxstdlife+$E737),(('PTRM input'!$O$162+'PTRM input'!$O$128)*$O$7)-SUM($O737:AW737),(('PTRM input'!$O$162+'PTRM input'!$O$128)*$O$7)/A20taxstdlife))</f>
        <v>0</v>
      </c>
      <c r="AY737" s="590">
        <f>IF(A20taxstdlife="n/a","n/a",IF(AY$3&gt;(A20taxstdlife+$E737),(('PTRM input'!$O$162+'PTRM input'!$O$128)*$O$7)-SUM($O737:AX737),(('PTRM input'!$O$162+'PTRM input'!$O$128)*$O$7)/A20taxstdlife))</f>
        <v>0</v>
      </c>
      <c r="AZ737" s="590">
        <f>IF(A20taxstdlife="n/a","n/a",IF(AZ$3&gt;(A20taxstdlife+$E737),(('PTRM input'!$O$162+'PTRM input'!$O$128)*$O$7)-SUM($O737:AY737),(('PTRM input'!$O$162+'PTRM input'!$O$128)*$O$7)/A20taxstdlife))</f>
        <v>0</v>
      </c>
      <c r="BA737" s="590">
        <f>IF(A20taxstdlife="n/a","n/a",IF(BA$3&gt;(A20taxstdlife+$E737),(('PTRM input'!$O$162+'PTRM input'!$O$128)*$O$7)-SUM($O737:AZ737),(('PTRM input'!$O$162+'PTRM input'!$O$128)*$O$7)/A20taxstdlife))</f>
        <v>0</v>
      </c>
      <c r="BB737" s="590">
        <f>IF(A20taxstdlife="n/a","n/a",IF(BB$3&gt;(A20taxstdlife+$E737),(('PTRM input'!$O$162+'PTRM input'!$O$128)*$O$7)-SUM($O737:BA737),(('PTRM input'!$O$162+'PTRM input'!$O$128)*$O$7)/A20taxstdlife))</f>
        <v>0</v>
      </c>
      <c r="BC737" s="590">
        <f>IF(A20taxstdlife="n/a","n/a",IF(BC$3&gt;(A20taxstdlife+$E737),(('PTRM input'!$O$162+'PTRM input'!$O$128)*$O$7)-SUM($O737:BB737),(('PTRM input'!$O$162+'PTRM input'!$O$128)*$O$7)/A20taxstdlife))</f>
        <v>0</v>
      </c>
      <c r="BD737" s="590">
        <f>IF(A20taxstdlife="n/a","n/a",IF(BD$3&gt;(A20taxstdlife+$E737),(('PTRM input'!$O$162+'PTRM input'!$O$128)*$O$7)-SUM($O737:BC737),(('PTRM input'!$O$162+'PTRM input'!$O$128)*$O$7)/A20taxstdlife))</f>
        <v>0</v>
      </c>
      <c r="BE737" s="590">
        <f>IF(A20taxstdlife="n/a","n/a",IF(BE$3&gt;(A20taxstdlife+$E737),(('PTRM input'!$O$162+'PTRM input'!$O$128)*$O$7)-SUM($O737:BD737),(('PTRM input'!$O$162+'PTRM input'!$O$128)*$O$7)/A20taxstdlife))</f>
        <v>0</v>
      </c>
      <c r="BF737" s="590">
        <f>IF(A20taxstdlife="n/a","n/a",IF(BF$3&gt;(A20taxstdlife+$E737),(('PTRM input'!$O$162+'PTRM input'!$O$128)*$O$7)-SUM($O737:BE737),(('PTRM input'!$O$162+'PTRM input'!$O$128)*$O$7)/A20taxstdlife))</f>
        <v>0</v>
      </c>
      <c r="BG737" s="590">
        <f>IF(A20taxstdlife="n/a","n/a",IF(BG$3&gt;(A20taxstdlife+$E737),(('PTRM input'!$O$162+'PTRM input'!$O$128)*$O$7)-SUM($O737:BF737),(('PTRM input'!$O$162+'PTRM input'!$O$128)*$O$7)/A20taxstdlife))</f>
        <v>0</v>
      </c>
      <c r="BH737" s="590">
        <f>IF(A20taxstdlife="n/a","n/a",IF(BH$3&gt;(A20taxstdlife+$E737),(('PTRM input'!$O$162+'PTRM input'!$O$128)*$O$7)-SUM($O737:BG737),(('PTRM input'!$O$162+'PTRM input'!$O$128)*$O$7)/A20taxstdlife))</f>
        <v>0</v>
      </c>
      <c r="BI737" s="590">
        <f>IF(A20taxstdlife="n/a","n/a",IF(BI$3&gt;(A20taxstdlife+$E737),(('PTRM input'!$O$162+'PTRM input'!$O$128)*$O$7)-SUM($O737:BH737),(('PTRM input'!$O$162+'PTRM input'!$O$128)*$O$7)/A20taxstdlife))</f>
        <v>0</v>
      </c>
      <c r="BJ737" s="240"/>
      <c r="BK737" s="240"/>
      <c r="BL737" s="240"/>
      <c r="BM737" s="240"/>
    </row>
    <row r="738" spans="1:65" s="4" customFormat="1" hidden="1" outlineLevel="2">
      <c r="A738" s="240"/>
      <c r="B738" s="240"/>
      <c r="C738" s="595"/>
      <c r="D738" s="1618"/>
      <c r="E738" s="170">
        <v>10</v>
      </c>
      <c r="F738" s="35"/>
      <c r="G738" s="184"/>
      <c r="H738" s="186"/>
      <c r="I738" s="186"/>
      <c r="J738" s="186"/>
      <c r="K738" s="186"/>
      <c r="L738" s="186"/>
      <c r="M738" s="186"/>
      <c r="N738" s="186"/>
      <c r="O738" s="186"/>
      <c r="P738" s="185"/>
      <c r="Q738" s="590">
        <f>IF(A20taxstdlife="n/a","n/a",IF(Q$3&gt;(A20taxstdlife+$E738),(('PTRM input'!$P$162+'PTRM input'!$P$128)*$P$7)-SUM($P738:P738),(('PTRM input'!$P$162+'PTRM input'!$P$128)*$P$7)/A20taxstdlife))</f>
        <v>0</v>
      </c>
      <c r="R738" s="590">
        <f>IF(A20taxstdlife="n/a","n/a",IF(R$3&gt;(A20taxstdlife+$E738),(('PTRM input'!$P$162+'PTRM input'!$P$128)*$P$7)-SUM($P738:Q738),(('PTRM input'!$P$162+'PTRM input'!$P$128)*$P$7)/A20taxstdlife))</f>
        <v>0</v>
      </c>
      <c r="S738" s="590">
        <f>IF(A20taxstdlife="n/a","n/a",IF(S$3&gt;(A20taxstdlife+$E738),(('PTRM input'!$P$162+'PTRM input'!$P$128)*$P$7)-SUM($P738:R738),(('PTRM input'!$P$162+'PTRM input'!$P$128)*$P$7)/A20taxstdlife))</f>
        <v>0</v>
      </c>
      <c r="T738" s="590">
        <f>IF(A20taxstdlife="n/a","n/a",IF(T$3&gt;(A20taxstdlife+$E738),(('PTRM input'!$P$162+'PTRM input'!$P$128)*$P$7)-SUM($P738:S738),(('PTRM input'!$P$162+'PTRM input'!$P$128)*$P$7)/A20taxstdlife))</f>
        <v>0</v>
      </c>
      <c r="U738" s="590">
        <f>IF(A20taxstdlife="n/a","n/a",IF(U$3&gt;(A20taxstdlife+$E738),(('PTRM input'!$P$162+'PTRM input'!$P$128)*$P$7)-SUM($P738:T738),(('PTRM input'!$P$162+'PTRM input'!$P$128)*$P$7)/A20taxstdlife))</f>
        <v>0</v>
      </c>
      <c r="V738" s="590">
        <f>IF(A20taxstdlife="n/a","n/a",IF(V$3&gt;(A20taxstdlife+$E738),(('PTRM input'!$P$162+'PTRM input'!$P$128)*$P$7)-SUM($P738:U738),(('PTRM input'!$P$162+'PTRM input'!$P$128)*$P$7)/A20taxstdlife))</f>
        <v>0</v>
      </c>
      <c r="W738" s="590">
        <f>IF(A20taxstdlife="n/a","n/a",IF(W$3&gt;(A20taxstdlife+$E738),(('PTRM input'!$P$162+'PTRM input'!$P$128)*$P$7)-SUM($P738:V738),(('PTRM input'!$P$162+'PTRM input'!$P$128)*$P$7)/A20taxstdlife))</f>
        <v>0</v>
      </c>
      <c r="X738" s="590">
        <f>IF(A20taxstdlife="n/a","n/a",IF(X$3&gt;(A20taxstdlife+$E738),(('PTRM input'!$P$162+'PTRM input'!$P$128)*$P$7)-SUM($P738:W738),(('PTRM input'!$P$162+'PTRM input'!$P$128)*$P$7)/A20taxstdlife))</f>
        <v>0</v>
      </c>
      <c r="Y738" s="590">
        <f>IF(A20taxstdlife="n/a","n/a",IF(Y$3&gt;(A20taxstdlife+$E738),(('PTRM input'!$P$162+'PTRM input'!$P$128)*$P$7)-SUM($P738:X738),(('PTRM input'!$P$162+'PTRM input'!$P$128)*$P$7)/A20taxstdlife))</f>
        <v>0</v>
      </c>
      <c r="Z738" s="590">
        <f>IF(A20taxstdlife="n/a","n/a",IF(Z$3&gt;(A20taxstdlife+$E738),(('PTRM input'!$P$162+'PTRM input'!$P$128)*$P$7)-SUM($P738:Y738),(('PTRM input'!$P$162+'PTRM input'!$P$128)*$P$7)/A20taxstdlife))</f>
        <v>0</v>
      </c>
      <c r="AA738" s="590">
        <f>IF(A20taxstdlife="n/a","n/a",IF(AA$3&gt;(A20taxstdlife+$E738),(('PTRM input'!$P$162+'PTRM input'!$P$128)*$P$7)-SUM($P738:Z738),(('PTRM input'!$P$162+'PTRM input'!$P$128)*$P$7)/A20taxstdlife))</f>
        <v>0</v>
      </c>
      <c r="AB738" s="590">
        <f>IF(A20taxstdlife="n/a","n/a",IF(AB$3&gt;(A20taxstdlife+$E738),(('PTRM input'!$P$162+'PTRM input'!$P$128)*$P$7)-SUM($P738:AA738),(('PTRM input'!$P$162+'PTRM input'!$P$128)*$P$7)/A20taxstdlife))</f>
        <v>0</v>
      </c>
      <c r="AC738" s="590">
        <f>IF(A20taxstdlife="n/a","n/a",IF(AC$3&gt;(A20taxstdlife+$E738),(('PTRM input'!$P$162+'PTRM input'!$P$128)*$P$7)-SUM($P738:AB738),(('PTRM input'!$P$162+'PTRM input'!$P$128)*$P$7)/A20taxstdlife))</f>
        <v>0</v>
      </c>
      <c r="AD738" s="590">
        <f>IF(A20taxstdlife="n/a","n/a",IF(AD$3&gt;(A20taxstdlife+$E738),(('PTRM input'!$P$162+'PTRM input'!$P$128)*$P$7)-SUM($P738:AC738),(('PTRM input'!$P$162+'PTRM input'!$P$128)*$P$7)/A20taxstdlife))</f>
        <v>0</v>
      </c>
      <c r="AE738" s="590">
        <f>IF(A20taxstdlife="n/a","n/a",IF(AE$3&gt;(A20taxstdlife+$E738),(('PTRM input'!$P$162+'PTRM input'!$P$128)*$P$7)-SUM($P738:AD738),(('PTRM input'!$P$162+'PTRM input'!$P$128)*$P$7)/A20taxstdlife))</f>
        <v>0</v>
      </c>
      <c r="AF738" s="590">
        <f>IF(A20taxstdlife="n/a","n/a",IF(AF$3&gt;(A20taxstdlife+$E738),(('PTRM input'!$P$162+'PTRM input'!$P$128)*$P$7)-SUM($P738:AE738),(('PTRM input'!$P$162+'PTRM input'!$P$128)*$P$7)/A20taxstdlife))</f>
        <v>0</v>
      </c>
      <c r="AG738" s="590">
        <f>IF(A20taxstdlife="n/a","n/a",IF(AG$3&gt;(A20taxstdlife+$E738),(('PTRM input'!$P$162+'PTRM input'!$P$128)*$P$7)-SUM($P738:AF738),(('PTRM input'!$P$162+'PTRM input'!$P$128)*$P$7)/A20taxstdlife))</f>
        <v>0</v>
      </c>
      <c r="AH738" s="590">
        <f>IF(A20taxstdlife="n/a","n/a",IF(AH$3&gt;(A20taxstdlife+$E738),(('PTRM input'!$P$162+'PTRM input'!$P$128)*$P$7)-SUM($P738:AG738),(('PTRM input'!$P$162+'PTRM input'!$P$128)*$P$7)/A20taxstdlife))</f>
        <v>0</v>
      </c>
      <c r="AI738" s="590">
        <f>IF(A20taxstdlife="n/a","n/a",IF(AI$3&gt;(A20taxstdlife+$E738),(('PTRM input'!$P$162+'PTRM input'!$P$128)*$P$7)-SUM($P738:AH738),(('PTRM input'!$P$162+'PTRM input'!$P$128)*$P$7)/A20taxstdlife))</f>
        <v>0</v>
      </c>
      <c r="AJ738" s="590">
        <f>IF(A20taxstdlife="n/a","n/a",IF(AJ$3&gt;(A20taxstdlife+$E738),(('PTRM input'!$P$162+'PTRM input'!$P$128)*$P$7)-SUM($P738:AI738),(('PTRM input'!$P$162+'PTRM input'!$P$128)*$P$7)/A20taxstdlife))</f>
        <v>0</v>
      </c>
      <c r="AK738" s="590">
        <f>IF(A20taxstdlife="n/a","n/a",IF(AK$3&gt;(A20taxstdlife+$E738),(('PTRM input'!$P$162+'PTRM input'!$P$128)*$P$7)-SUM($P738:AJ738),(('PTRM input'!$P$162+'PTRM input'!$P$128)*$P$7)/A20taxstdlife))</f>
        <v>0</v>
      </c>
      <c r="AL738" s="590">
        <f>IF(A20taxstdlife="n/a","n/a",IF(AL$3&gt;(A20taxstdlife+$E738),(('PTRM input'!$P$162+'PTRM input'!$P$128)*$P$7)-SUM($P738:AK738),(('PTRM input'!$P$162+'PTRM input'!$P$128)*$P$7)/A20taxstdlife))</f>
        <v>0</v>
      </c>
      <c r="AM738" s="590">
        <f>IF(A20taxstdlife="n/a","n/a",IF(AM$3&gt;(A20taxstdlife+$E738),(('PTRM input'!$P$162+'PTRM input'!$P$128)*$P$7)-SUM($P738:AL738),(('PTRM input'!$P$162+'PTRM input'!$P$128)*$P$7)/A20taxstdlife))</f>
        <v>0</v>
      </c>
      <c r="AN738" s="590">
        <f>IF(A20taxstdlife="n/a","n/a",IF(AN$3&gt;(A20taxstdlife+$E738),(('PTRM input'!$P$162+'PTRM input'!$P$128)*$P$7)-SUM($P738:AM738),(('PTRM input'!$P$162+'PTRM input'!$P$128)*$P$7)/A20taxstdlife))</f>
        <v>0</v>
      </c>
      <c r="AO738" s="590">
        <f>IF(A20taxstdlife="n/a","n/a",IF(AO$3&gt;(A20taxstdlife+$E738),(('PTRM input'!$P$162+'PTRM input'!$P$128)*$P$7)-SUM($P738:AN738),(('PTRM input'!$P$162+'PTRM input'!$P$128)*$P$7)/A20taxstdlife))</f>
        <v>0</v>
      </c>
      <c r="AP738" s="590">
        <f>IF(A20taxstdlife="n/a","n/a",IF(AP$3&gt;(A20taxstdlife+$E738),(('PTRM input'!$P$162+'PTRM input'!$P$128)*$P$7)-SUM($P738:AO738),(('PTRM input'!$P$162+'PTRM input'!$P$128)*$P$7)/A20taxstdlife))</f>
        <v>0</v>
      </c>
      <c r="AQ738" s="590">
        <f>IF(A20taxstdlife="n/a","n/a",IF(AQ$3&gt;(A20taxstdlife+$E738),(('PTRM input'!$P$162+'PTRM input'!$P$128)*$P$7)-SUM($P738:AP738),(('PTRM input'!$P$162+'PTRM input'!$P$128)*$P$7)/A20taxstdlife))</f>
        <v>0</v>
      </c>
      <c r="AR738" s="590">
        <f>IF(A20taxstdlife="n/a","n/a",IF(AR$3&gt;(A20taxstdlife+$E738),(('PTRM input'!$P$162+'PTRM input'!$P$128)*$P$7)-SUM($P738:AQ738),(('PTRM input'!$P$162+'PTRM input'!$P$128)*$P$7)/A20taxstdlife))</f>
        <v>0</v>
      </c>
      <c r="AS738" s="590">
        <f>IF(A20taxstdlife="n/a","n/a",IF(AS$3&gt;(A20taxstdlife+$E738),(('PTRM input'!$P$162+'PTRM input'!$P$128)*$P$7)-SUM($P738:AR738),(('PTRM input'!$P$162+'PTRM input'!$P$128)*$P$7)/A20taxstdlife))</f>
        <v>0</v>
      </c>
      <c r="AT738" s="590">
        <f>IF(A20taxstdlife="n/a","n/a",IF(AT$3&gt;(A20taxstdlife+$E738),(('PTRM input'!$P$162+'PTRM input'!$P$128)*$P$7)-SUM($P738:AS738),(('PTRM input'!$P$162+'PTRM input'!$P$128)*$P$7)/A20taxstdlife))</f>
        <v>0</v>
      </c>
      <c r="AU738" s="590">
        <f>IF(A20taxstdlife="n/a","n/a",IF(AU$3&gt;(A20taxstdlife+$E738),(('PTRM input'!$P$162+'PTRM input'!$P$128)*$P$7)-SUM($P738:AT738),(('PTRM input'!$P$162+'PTRM input'!$P$128)*$P$7)/A20taxstdlife))</f>
        <v>0</v>
      </c>
      <c r="AV738" s="590">
        <f>IF(A20taxstdlife="n/a","n/a",IF(AV$3&gt;(A20taxstdlife+$E738),(('PTRM input'!$P$162+'PTRM input'!$P$128)*$P$7)-SUM($P738:AU738),(('PTRM input'!$P$162+'PTRM input'!$P$128)*$P$7)/A20taxstdlife))</f>
        <v>0</v>
      </c>
      <c r="AW738" s="590">
        <f>IF(A20taxstdlife="n/a","n/a",IF(AW$3&gt;(A20taxstdlife+$E738),(('PTRM input'!$P$162+'PTRM input'!$P$128)*$P$7)-SUM($P738:AV738),(('PTRM input'!$P$162+'PTRM input'!$P$128)*$P$7)/A20taxstdlife))</f>
        <v>0</v>
      </c>
      <c r="AX738" s="590">
        <f>IF(A20taxstdlife="n/a","n/a",IF(AX$3&gt;(A20taxstdlife+$E738),(('PTRM input'!$P$162+'PTRM input'!$P$128)*$P$7)-SUM($P738:AW738),(('PTRM input'!$P$162+'PTRM input'!$P$128)*$P$7)/A20taxstdlife))</f>
        <v>0</v>
      </c>
      <c r="AY738" s="590">
        <f>IF(A20taxstdlife="n/a","n/a",IF(AY$3&gt;(A20taxstdlife+$E738),(('PTRM input'!$P$162+'PTRM input'!$P$128)*$P$7)-SUM($P738:AX738),(('PTRM input'!$P$162+'PTRM input'!$P$128)*$P$7)/A20taxstdlife))</f>
        <v>0</v>
      </c>
      <c r="AZ738" s="590">
        <f>IF(A20taxstdlife="n/a","n/a",IF(AZ$3&gt;(A20taxstdlife+$E738),(('PTRM input'!$P$162+'PTRM input'!$P$128)*$P$7)-SUM($P738:AY738),(('PTRM input'!$P$162+'PTRM input'!$P$128)*$P$7)/A20taxstdlife))</f>
        <v>0</v>
      </c>
      <c r="BA738" s="590">
        <f>IF(A20taxstdlife="n/a","n/a",IF(BA$3&gt;(A20taxstdlife+$E738),(('PTRM input'!$P$162+'PTRM input'!$P$128)*$P$7)-SUM($P738:AZ738),(('PTRM input'!$P$162+'PTRM input'!$P$128)*$P$7)/A20taxstdlife))</f>
        <v>0</v>
      </c>
      <c r="BB738" s="590">
        <f>IF(A20taxstdlife="n/a","n/a",IF(BB$3&gt;(A20taxstdlife+$E738),(('PTRM input'!$P$162+'PTRM input'!$P$128)*$P$7)-SUM($P738:BA738),(('PTRM input'!$P$162+'PTRM input'!$P$128)*$P$7)/A20taxstdlife))</f>
        <v>0</v>
      </c>
      <c r="BC738" s="590">
        <f>IF(A20taxstdlife="n/a","n/a",IF(BC$3&gt;(A20taxstdlife+$E738),(('PTRM input'!$P$162+'PTRM input'!$P$128)*$P$7)-SUM($P738:BB738),(('PTRM input'!$P$162+'PTRM input'!$P$128)*$P$7)/A20taxstdlife))</f>
        <v>0</v>
      </c>
      <c r="BD738" s="590">
        <f>IF(A20taxstdlife="n/a","n/a",IF(BD$3&gt;(A20taxstdlife+$E738),(('PTRM input'!$P$162+'PTRM input'!$P$128)*$P$7)-SUM($P738:BC738),(('PTRM input'!$P$162+'PTRM input'!$P$128)*$P$7)/A20taxstdlife))</f>
        <v>0</v>
      </c>
      <c r="BE738" s="590">
        <f>IF(A20taxstdlife="n/a","n/a",IF(BE$3&gt;(A20taxstdlife+$E738),(('PTRM input'!$P$162+'PTRM input'!$P$128)*$P$7)-SUM($P738:BD738),(('PTRM input'!$P$162+'PTRM input'!$P$128)*$P$7)/A20taxstdlife))</f>
        <v>0</v>
      </c>
      <c r="BF738" s="590">
        <f>IF(A20taxstdlife="n/a","n/a",IF(BF$3&gt;(A20taxstdlife+$E738),(('PTRM input'!$P$162+'PTRM input'!$P$128)*$P$7)-SUM($P738:BE738),(('PTRM input'!$P$162+'PTRM input'!$P$128)*$P$7)/A20taxstdlife))</f>
        <v>0</v>
      </c>
      <c r="BG738" s="590">
        <f>IF(A20taxstdlife="n/a","n/a",IF(BG$3&gt;(A20taxstdlife+$E738),(('PTRM input'!$P$162+'PTRM input'!$P$128)*$P$7)-SUM($P738:BF738),(('PTRM input'!$P$162+'PTRM input'!$P$128)*$P$7)/A20taxstdlife))</f>
        <v>0</v>
      </c>
      <c r="BH738" s="590">
        <f>IF(A20taxstdlife="n/a","n/a",IF(BH$3&gt;(A20taxstdlife+$E738),(('PTRM input'!$P$162+'PTRM input'!$P$128)*$P$7)-SUM($P738:BG738),(('PTRM input'!$P$162+'PTRM input'!$P$128)*$P$7)/A20taxstdlife))</f>
        <v>0</v>
      </c>
      <c r="BI738" s="590">
        <f>IF(A20taxstdlife="n/a","n/a",IF(BI$3&gt;(A20taxstdlife+$E738),(('PTRM input'!$P$162+'PTRM input'!$P$128)*$P$7)-SUM($P738:BH738),(('PTRM input'!$P$162+'PTRM input'!$P$128)*$P$7)/A20taxstdlife))</f>
        <v>0</v>
      </c>
      <c r="BJ738" s="240"/>
      <c r="BK738" s="240"/>
      <c r="BL738" s="240"/>
      <c r="BM738" s="240"/>
    </row>
    <row r="739" spans="1:65" s="4" customFormat="1" hidden="1" outlineLevel="1">
      <c r="A739" s="240"/>
      <c r="B739" s="240"/>
      <c r="C739" s="595">
        <f>Asset20</f>
        <v>0</v>
      </c>
      <c r="D739" s="240"/>
      <c r="E739" s="240"/>
      <c r="F739" s="596"/>
      <c r="G739" s="591">
        <f t="shared" ref="G739:AL739" si="144">SUM(G727:G738)</f>
        <v>0</v>
      </c>
      <c r="H739" s="591">
        <f t="shared" si="144"/>
        <v>0</v>
      </c>
      <c r="I739" s="591">
        <f t="shared" si="144"/>
        <v>0</v>
      </c>
      <c r="J739" s="591">
        <f t="shared" si="144"/>
        <v>0</v>
      </c>
      <c r="K739" s="591">
        <f t="shared" si="144"/>
        <v>0</v>
      </c>
      <c r="L739" s="591">
        <f t="shared" si="144"/>
        <v>0</v>
      </c>
      <c r="M739" s="591">
        <f t="shared" si="144"/>
        <v>0</v>
      </c>
      <c r="N739" s="591">
        <f t="shared" si="144"/>
        <v>0</v>
      </c>
      <c r="O739" s="591">
        <f t="shared" si="144"/>
        <v>0</v>
      </c>
      <c r="P739" s="591">
        <f t="shared" si="144"/>
        <v>0</v>
      </c>
      <c r="Q739" s="591">
        <f t="shared" si="144"/>
        <v>0</v>
      </c>
      <c r="R739" s="591">
        <f t="shared" si="144"/>
        <v>0</v>
      </c>
      <c r="S739" s="591">
        <f t="shared" si="144"/>
        <v>0</v>
      </c>
      <c r="T739" s="591">
        <f t="shared" si="144"/>
        <v>0</v>
      </c>
      <c r="U739" s="591">
        <f t="shared" si="144"/>
        <v>0</v>
      </c>
      <c r="V739" s="591">
        <f t="shared" si="144"/>
        <v>0</v>
      </c>
      <c r="W739" s="591">
        <f t="shared" si="144"/>
        <v>0</v>
      </c>
      <c r="X739" s="591">
        <f t="shared" si="144"/>
        <v>0</v>
      </c>
      <c r="Y739" s="591">
        <f t="shared" si="144"/>
        <v>0</v>
      </c>
      <c r="Z739" s="591">
        <f t="shared" si="144"/>
        <v>0</v>
      </c>
      <c r="AA739" s="591">
        <f t="shared" si="144"/>
        <v>0</v>
      </c>
      <c r="AB739" s="591">
        <f t="shared" si="144"/>
        <v>0</v>
      </c>
      <c r="AC739" s="591">
        <f t="shared" si="144"/>
        <v>0</v>
      </c>
      <c r="AD739" s="591">
        <f t="shared" si="144"/>
        <v>0</v>
      </c>
      <c r="AE739" s="591">
        <f t="shared" si="144"/>
        <v>0</v>
      </c>
      <c r="AF739" s="591">
        <f t="shared" si="144"/>
        <v>0</v>
      </c>
      <c r="AG739" s="591">
        <f t="shared" si="144"/>
        <v>0</v>
      </c>
      <c r="AH739" s="591">
        <f t="shared" si="144"/>
        <v>0</v>
      </c>
      <c r="AI739" s="591">
        <f t="shared" si="144"/>
        <v>0</v>
      </c>
      <c r="AJ739" s="591">
        <f t="shared" si="144"/>
        <v>0</v>
      </c>
      <c r="AK739" s="591">
        <f t="shared" si="144"/>
        <v>0</v>
      </c>
      <c r="AL739" s="591">
        <f t="shared" si="144"/>
        <v>0</v>
      </c>
      <c r="AM739" s="591">
        <f t="shared" ref="AM739:BI739" si="145">SUM(AM727:AM738)</f>
        <v>0</v>
      </c>
      <c r="AN739" s="591">
        <f t="shared" si="145"/>
        <v>0</v>
      </c>
      <c r="AO739" s="591">
        <f t="shared" si="145"/>
        <v>0</v>
      </c>
      <c r="AP739" s="591">
        <f t="shared" si="145"/>
        <v>0</v>
      </c>
      <c r="AQ739" s="591">
        <f t="shared" si="145"/>
        <v>0</v>
      </c>
      <c r="AR739" s="591">
        <f t="shared" si="145"/>
        <v>0</v>
      </c>
      <c r="AS739" s="591">
        <f t="shared" si="145"/>
        <v>0</v>
      </c>
      <c r="AT739" s="591">
        <f t="shared" si="145"/>
        <v>0</v>
      </c>
      <c r="AU739" s="591">
        <f t="shared" si="145"/>
        <v>0</v>
      </c>
      <c r="AV739" s="591">
        <f t="shared" si="145"/>
        <v>0</v>
      </c>
      <c r="AW739" s="591">
        <f t="shared" si="145"/>
        <v>0</v>
      </c>
      <c r="AX739" s="591">
        <f t="shared" si="145"/>
        <v>0</v>
      </c>
      <c r="AY739" s="591">
        <f t="shared" si="145"/>
        <v>0</v>
      </c>
      <c r="AZ739" s="591">
        <f t="shared" si="145"/>
        <v>0</v>
      </c>
      <c r="BA739" s="591">
        <f t="shared" si="145"/>
        <v>0</v>
      </c>
      <c r="BB739" s="591">
        <f t="shared" si="145"/>
        <v>0</v>
      </c>
      <c r="BC739" s="591">
        <f t="shared" si="145"/>
        <v>0</v>
      </c>
      <c r="BD739" s="591">
        <f t="shared" si="145"/>
        <v>0</v>
      </c>
      <c r="BE739" s="591">
        <f t="shared" si="145"/>
        <v>0</v>
      </c>
      <c r="BF739" s="591">
        <f t="shared" si="145"/>
        <v>0</v>
      </c>
      <c r="BG739" s="591">
        <f t="shared" si="145"/>
        <v>0</v>
      </c>
      <c r="BH739" s="591">
        <f t="shared" si="145"/>
        <v>0</v>
      </c>
      <c r="BI739" s="591">
        <f t="shared" si="145"/>
        <v>0</v>
      </c>
      <c r="BJ739" s="240"/>
      <c r="BK739" s="240"/>
      <c r="BL739" s="240"/>
      <c r="BM739" s="240"/>
    </row>
    <row r="740" spans="1:65" s="4" customFormat="1" hidden="1" outlineLevel="2">
      <c r="A740" s="240"/>
      <c r="B740" s="597">
        <f>C752</f>
        <v>0</v>
      </c>
      <c r="C740" s="488"/>
      <c r="D740" s="598" t="s">
        <v>58</v>
      </c>
      <c r="E740" s="488"/>
      <c r="F740" s="599"/>
      <c r="G740" s="592">
        <f>IF(G$3&gt;A21taxremlife,A21taxvalue-SUM($F740:F740),IF(A21taxremlife="N/A","n/a",A21taxvalue/A21taxremlife))</f>
        <v>0</v>
      </c>
      <c r="H740" s="592">
        <f>IF(H$3&gt;A21taxremlife,A21taxvalue-SUM($F740:G740),IF(A21taxremlife="N/A","n/a",A21taxvalue/A21taxremlife))</f>
        <v>0</v>
      </c>
      <c r="I740" s="592">
        <f>IF(I$3&gt;A21taxremlife,A21taxvalue-SUM($F740:H740),IF(A21taxremlife="N/A","n/a",A21taxvalue/A21taxremlife))</f>
        <v>0</v>
      </c>
      <c r="J740" s="592">
        <f>IF(J$3&gt;A21taxremlife,A21taxvalue-SUM($F740:I740),IF(A21taxremlife="N/A","n/a",A21taxvalue/A21taxremlife))</f>
        <v>0</v>
      </c>
      <c r="K740" s="592">
        <f>IF(K$3&gt;A21taxremlife,A21taxvalue-SUM($F740:J740),IF(A21taxremlife="N/A","n/a",A21taxvalue/A21taxremlife))</f>
        <v>0</v>
      </c>
      <c r="L740" s="592">
        <f>IF(L$3&gt;A21taxremlife,A21taxvalue-SUM($F740:K740),IF(A21taxremlife="N/A","n/a",A21taxvalue/A21taxremlife))</f>
        <v>0</v>
      </c>
      <c r="M740" s="592">
        <f>IF(M$3&gt;A21taxremlife,A21taxvalue-SUM($F740:L740),IF(A21taxremlife="N/A","n/a",A21taxvalue/A21taxremlife))</f>
        <v>0</v>
      </c>
      <c r="N740" s="592">
        <f>IF(N$3&gt;A21taxremlife,A21taxvalue-SUM($F740:M740),IF(A21taxremlife="N/A","n/a",A21taxvalue/A21taxremlife))</f>
        <v>0</v>
      </c>
      <c r="O740" s="592">
        <f>IF(O$3&gt;A21taxremlife,A21taxvalue-SUM($F740:N740),IF(A21taxremlife="N/A","n/a",A21taxvalue/A21taxremlife))</f>
        <v>0</v>
      </c>
      <c r="P740" s="592">
        <f>IF(P$3&gt;A21taxremlife,A21taxvalue-SUM($F740:O740),IF(A21taxremlife="N/A","n/a",A21taxvalue/A21taxremlife))</f>
        <v>0</v>
      </c>
      <c r="Q740" s="592">
        <f>IF(Q$3&gt;A21taxremlife,A21taxvalue-SUM($F740:P740),IF(A21taxremlife="N/A","n/a",A21taxvalue/A21taxremlife))</f>
        <v>0</v>
      </c>
      <c r="R740" s="592">
        <f>IF(R$3&gt;A21taxremlife,A21taxvalue-SUM($F740:Q740),IF(A21taxremlife="N/A","n/a",A21taxvalue/A21taxremlife))</f>
        <v>0</v>
      </c>
      <c r="S740" s="592">
        <f>IF(S$3&gt;A21taxremlife,A21taxvalue-SUM($F740:R740),IF(A21taxremlife="N/A","n/a",A21taxvalue/A21taxremlife))</f>
        <v>0</v>
      </c>
      <c r="T740" s="592">
        <f>IF(T$3&gt;A21taxremlife,A21taxvalue-SUM($F740:S740),IF(A21taxremlife="N/A","n/a",A21taxvalue/A21taxremlife))</f>
        <v>0</v>
      </c>
      <c r="U740" s="592">
        <f>IF(U$3&gt;A21taxremlife,A21taxvalue-SUM($F740:T740),IF(A21taxremlife="N/A","n/a",A21taxvalue/A21taxremlife))</f>
        <v>0</v>
      </c>
      <c r="V740" s="592">
        <f>IF(V$3&gt;A21taxremlife,A21taxvalue-SUM($F740:U740),IF(A21taxremlife="N/A","n/a",A21taxvalue/A21taxremlife))</f>
        <v>0</v>
      </c>
      <c r="W740" s="592">
        <f>IF(W$3&gt;A21taxremlife,A21taxvalue-SUM($F740:V740),IF(A21taxremlife="N/A","n/a",A21taxvalue/A21taxremlife))</f>
        <v>0</v>
      </c>
      <c r="X740" s="592">
        <f>IF(X$3&gt;A21taxremlife,A21taxvalue-SUM($F740:W740),IF(A21taxremlife="N/A","n/a",A21taxvalue/A21taxremlife))</f>
        <v>0</v>
      </c>
      <c r="Y740" s="592">
        <f>IF(Y$3&gt;A21taxremlife,A21taxvalue-SUM($F740:X740),IF(A21taxremlife="N/A","n/a",A21taxvalue/A21taxremlife))</f>
        <v>0</v>
      </c>
      <c r="Z740" s="592">
        <f>IF(Z$3&gt;A21taxremlife,A21taxvalue-SUM($F740:Y740),IF(A21taxremlife="N/A","n/a",A21taxvalue/A21taxremlife))</f>
        <v>0</v>
      </c>
      <c r="AA740" s="592">
        <f>IF(AA$3&gt;A21taxremlife,A21taxvalue-SUM($F740:Z740),IF(A21taxremlife="N/A","n/a",A21taxvalue/A21taxremlife))</f>
        <v>0</v>
      </c>
      <c r="AB740" s="592">
        <f>IF(AB$3&gt;A21taxremlife,A21taxvalue-SUM($F740:AA740),IF(A21taxremlife="N/A","n/a",A21taxvalue/A21taxremlife))</f>
        <v>0</v>
      </c>
      <c r="AC740" s="592">
        <f>IF(AC$3&gt;A21taxremlife,A21taxvalue-SUM($F740:AB740),IF(A21taxremlife="N/A","n/a",A21taxvalue/A21taxremlife))</f>
        <v>0</v>
      </c>
      <c r="AD740" s="592">
        <f>IF(AD$3&gt;A21taxremlife,A21taxvalue-SUM($F740:AC740),IF(A21taxremlife="N/A","n/a",A21taxvalue/A21taxremlife))</f>
        <v>0</v>
      </c>
      <c r="AE740" s="592">
        <f>IF(AE$3&gt;A21taxremlife,A21taxvalue-SUM($F740:AD740),IF(A21taxremlife="N/A","n/a",A21taxvalue/A21taxremlife))</f>
        <v>0</v>
      </c>
      <c r="AF740" s="592">
        <f>IF(AF$3&gt;A21taxremlife,A21taxvalue-SUM($F740:AE740),IF(A21taxremlife="N/A","n/a",A21taxvalue/A21taxremlife))</f>
        <v>0</v>
      </c>
      <c r="AG740" s="592">
        <f>IF(AG$3&gt;A21taxremlife,A21taxvalue-SUM($F740:AF740),IF(A21taxremlife="N/A","n/a",A21taxvalue/A21taxremlife))</f>
        <v>0</v>
      </c>
      <c r="AH740" s="592">
        <f>IF(AH$3&gt;A21taxremlife,A21taxvalue-SUM($F740:AG740),IF(A21taxremlife="N/A","n/a",A21taxvalue/A21taxremlife))</f>
        <v>0</v>
      </c>
      <c r="AI740" s="592">
        <f>IF(AI$3&gt;A21taxremlife,A21taxvalue-SUM($F740:AH740),IF(A21taxremlife="N/A","n/a",A21taxvalue/A21taxremlife))</f>
        <v>0</v>
      </c>
      <c r="AJ740" s="592">
        <f>IF(AJ$3&gt;A21taxremlife,A21taxvalue-SUM($F740:AI740),IF(A21taxremlife="N/A","n/a",A21taxvalue/A21taxremlife))</f>
        <v>0</v>
      </c>
      <c r="AK740" s="592">
        <f>IF(AK$3&gt;A21taxremlife,A21taxvalue-SUM($F740:AJ740),IF(A21taxremlife="N/A","n/a",A21taxvalue/A21taxremlife))</f>
        <v>0</v>
      </c>
      <c r="AL740" s="592">
        <f>IF(AL$3&gt;A21taxremlife,A21taxvalue-SUM($F740:AK740),IF(A21taxremlife="N/A","n/a",A21taxvalue/A21taxremlife))</f>
        <v>0</v>
      </c>
      <c r="AM740" s="592">
        <f>IF(AM$3&gt;A21taxremlife,A21taxvalue-SUM($F740:AL740),IF(A21taxremlife="N/A","n/a",A21taxvalue/A21taxremlife))</f>
        <v>0</v>
      </c>
      <c r="AN740" s="592">
        <f>IF(AN$3&gt;A21taxremlife,A21taxvalue-SUM($F740:AM740),IF(A21taxremlife="N/A","n/a",A21taxvalue/A21taxremlife))</f>
        <v>0</v>
      </c>
      <c r="AO740" s="592">
        <f>IF(AO$3&gt;A21taxremlife,A21taxvalue-SUM($F740:AN740),IF(A21taxremlife="N/A","n/a",A21taxvalue/A21taxremlife))</f>
        <v>0</v>
      </c>
      <c r="AP740" s="592">
        <f>IF(AP$3&gt;A21taxremlife,A21taxvalue-SUM($F740:AO740),IF(A21taxremlife="N/A","n/a",A21taxvalue/A21taxremlife))</f>
        <v>0</v>
      </c>
      <c r="AQ740" s="592">
        <f>IF(AQ$3&gt;A21taxremlife,A21taxvalue-SUM($F740:AP740),IF(A21taxremlife="N/A","n/a",A21taxvalue/A21taxremlife))</f>
        <v>0</v>
      </c>
      <c r="AR740" s="592">
        <f>IF(AR$3&gt;A21taxremlife,A21taxvalue-SUM($F740:AQ740),IF(A21taxremlife="N/A","n/a",A21taxvalue/A21taxremlife))</f>
        <v>0</v>
      </c>
      <c r="AS740" s="592">
        <f>IF(AS$3&gt;A21taxremlife,A21taxvalue-SUM($F740:AR740),IF(A21taxremlife="N/A","n/a",A21taxvalue/A21taxremlife))</f>
        <v>0</v>
      </c>
      <c r="AT740" s="592">
        <f>IF(AT$3&gt;A21taxremlife,A21taxvalue-SUM($F740:AS740),IF(A21taxremlife="N/A","n/a",A21taxvalue/A21taxremlife))</f>
        <v>0</v>
      </c>
      <c r="AU740" s="592">
        <f>IF(AU$3&gt;A21taxremlife,A21taxvalue-SUM($F740:AT740),IF(A21taxremlife="N/A","n/a",A21taxvalue/A21taxremlife))</f>
        <v>0</v>
      </c>
      <c r="AV740" s="592">
        <f>IF(AV$3&gt;A21taxremlife,A21taxvalue-SUM($F740:AU740),IF(A21taxremlife="N/A","n/a",A21taxvalue/A21taxremlife))</f>
        <v>0</v>
      </c>
      <c r="AW740" s="592">
        <f>IF(AW$3&gt;A21taxremlife,A21taxvalue-SUM($F740:AV740),IF(A21taxremlife="N/A","n/a",A21taxvalue/A21taxremlife))</f>
        <v>0</v>
      </c>
      <c r="AX740" s="592">
        <f>IF(AX$3&gt;A21taxremlife,A21taxvalue-SUM($F740:AW740),IF(A21taxremlife="N/A","n/a",A21taxvalue/A21taxremlife))</f>
        <v>0</v>
      </c>
      <c r="AY740" s="592">
        <f>IF(AY$3&gt;A21taxremlife,A21taxvalue-SUM($F740:AX740),IF(A21taxremlife="N/A","n/a",A21taxvalue/A21taxremlife))</f>
        <v>0</v>
      </c>
      <c r="AZ740" s="592">
        <f>IF(AZ$3&gt;A21taxremlife,A21taxvalue-SUM($F740:AY740),IF(A21taxremlife="N/A","n/a",A21taxvalue/A21taxremlife))</f>
        <v>0</v>
      </c>
      <c r="BA740" s="592">
        <f>IF(BA$3&gt;A21taxremlife,A21taxvalue-SUM($F740:AZ740),IF(A21taxremlife="N/A","n/a",A21taxvalue/A21taxremlife))</f>
        <v>0</v>
      </c>
      <c r="BB740" s="592">
        <f>IF(BB$3&gt;A21taxremlife,A21taxvalue-SUM($F740:BA740),IF(A21taxremlife="N/A","n/a",A21taxvalue/A21taxremlife))</f>
        <v>0</v>
      </c>
      <c r="BC740" s="592">
        <f>IF(BC$3&gt;A21taxremlife,A21taxvalue-SUM($F740:BB740),IF(A21taxremlife="N/A","n/a",A21taxvalue/A21taxremlife))</f>
        <v>0</v>
      </c>
      <c r="BD740" s="592">
        <f>IF(BD$3&gt;A21taxremlife,A21taxvalue-SUM($F740:BC740),IF(A21taxremlife="N/A","n/a",A21taxvalue/A21taxremlife))</f>
        <v>0</v>
      </c>
      <c r="BE740" s="592">
        <f>IF(BE$3&gt;A21taxremlife,A21taxvalue-SUM($F740:BD740),IF(A21taxremlife="N/A","n/a",A21taxvalue/A21taxremlife))</f>
        <v>0</v>
      </c>
      <c r="BF740" s="592">
        <f>IF(BF$3&gt;A21taxremlife,A21taxvalue-SUM($F740:BE740),IF(A21taxremlife="N/A","n/a",A21taxvalue/A21taxremlife))</f>
        <v>0</v>
      </c>
      <c r="BG740" s="592">
        <f>IF(BG$3&gt;A21taxremlife,A21taxvalue-SUM($F740:BF740),IF(A21taxremlife="N/A","n/a",A21taxvalue/A21taxremlife))</f>
        <v>0</v>
      </c>
      <c r="BH740" s="592">
        <f>IF(BH$3&gt;A21taxremlife,A21taxvalue-SUM($F740:BG740),IF(A21taxremlife="N/A","n/a",A21taxvalue/A21taxremlife))</f>
        <v>0</v>
      </c>
      <c r="BI740" s="592">
        <f>IF(BI$3&gt;A21taxremlife,A21taxvalue-SUM($F740:BH740),IF(A21taxremlife="N/A","n/a",A21taxvalue/A21taxremlife))</f>
        <v>0</v>
      </c>
      <c r="BJ740" s="240"/>
      <c r="BK740" s="240"/>
      <c r="BL740" s="240"/>
      <c r="BM740" s="240"/>
    </row>
    <row r="741" spans="1:65" s="4" customFormat="1" ht="12.75" hidden="1" customHeight="1" outlineLevel="2">
      <c r="A741" s="240"/>
      <c r="B741" s="240"/>
      <c r="C741" s="595"/>
      <c r="D741" s="1618" t="s">
        <v>357</v>
      </c>
      <c r="E741" s="169">
        <v>0</v>
      </c>
      <c r="F741" s="35"/>
      <c r="G741" s="107"/>
      <c r="H741" s="107"/>
      <c r="I741" s="107"/>
      <c r="J741" s="107"/>
      <c r="K741" s="107"/>
      <c r="L741" s="107"/>
      <c r="M741" s="107"/>
      <c r="N741" s="107"/>
      <c r="O741" s="107"/>
      <c r="P741" s="107"/>
      <c r="Q741" s="590"/>
      <c r="R741" s="590"/>
      <c r="S741" s="590"/>
      <c r="T741" s="590"/>
      <c r="U741" s="590"/>
      <c r="V741" s="590"/>
      <c r="W741" s="590"/>
      <c r="X741" s="590"/>
      <c r="Y741" s="590"/>
      <c r="Z741" s="590"/>
      <c r="AA741" s="590"/>
      <c r="AB741" s="590"/>
      <c r="AC741" s="590"/>
      <c r="AD741" s="590"/>
      <c r="AE741" s="590"/>
      <c r="AF741" s="590"/>
      <c r="AG741" s="590"/>
      <c r="AH741" s="590"/>
      <c r="AI741" s="590"/>
      <c r="AJ741" s="590"/>
      <c r="AK741" s="590"/>
      <c r="AL741" s="590"/>
      <c r="AM741" s="590"/>
      <c r="AN741" s="590"/>
      <c r="AO741" s="590"/>
      <c r="AP741" s="590"/>
      <c r="AQ741" s="590"/>
      <c r="AR741" s="590"/>
      <c r="AS741" s="590"/>
      <c r="AT741" s="590"/>
      <c r="AU741" s="590"/>
      <c r="AV741" s="590"/>
      <c r="AW741" s="590"/>
      <c r="AX741" s="590"/>
      <c r="AY741" s="590"/>
      <c r="AZ741" s="590"/>
      <c r="BA741" s="590"/>
      <c r="BB741" s="590"/>
      <c r="BC741" s="590"/>
      <c r="BD741" s="590"/>
      <c r="BE741" s="590"/>
      <c r="BF741" s="590"/>
      <c r="BG741" s="590"/>
      <c r="BH741" s="590"/>
      <c r="BI741" s="590"/>
      <c r="BJ741" s="240"/>
      <c r="BK741" s="240"/>
      <c r="BL741" s="240"/>
      <c r="BM741" s="240"/>
    </row>
    <row r="742" spans="1:65" s="4" customFormat="1" hidden="1" outlineLevel="2">
      <c r="A742" s="240"/>
      <c r="B742" s="240"/>
      <c r="C742" s="595"/>
      <c r="D742" s="1618"/>
      <c r="E742" s="169">
        <v>1</v>
      </c>
      <c r="F742" s="35"/>
      <c r="G742" s="183"/>
      <c r="H742" s="107">
        <f>IF(A21taxstdlife="n/a","n/a",IF(H$3&gt;(A21taxstdlife+$E742),(('PTRM input'!$G$163+'PTRM input'!$G$129)*$G$7)-SUM($G742:G742),(('PTRM input'!$G$163+'PTRM input'!$G$129)*$G$7)/A21taxstdlife))</f>
        <v>0</v>
      </c>
      <c r="I742" s="107">
        <f>IF(A21taxstdlife="n/a","n/a",IF(I$3&gt;(A21taxstdlife+$E742),(('PTRM input'!$G$163+'PTRM input'!$G$129)*$G$7)-SUM($G742:H742),(('PTRM input'!$G$163+'PTRM input'!$G$129)*$G$7)/A21taxstdlife))</f>
        <v>0</v>
      </c>
      <c r="J742" s="107">
        <f>IF(A21taxstdlife="n/a","n/a",IF(J$3&gt;(A21taxstdlife+$E742),(('PTRM input'!$G$163+'PTRM input'!$G$129)*$G$7)-SUM($G742:I742),(('PTRM input'!$G$163+'PTRM input'!$G$129)*$G$7)/A21taxstdlife))</f>
        <v>0</v>
      </c>
      <c r="K742" s="107">
        <f>IF(A21taxstdlife="n/a","n/a",IF(K$3&gt;(A21taxstdlife+$E742),(('PTRM input'!$G$163+'PTRM input'!$G$129)*$G$7)-SUM($G742:J742),(('PTRM input'!$G$163+'PTRM input'!$G$129)*$G$7)/A21taxstdlife))</f>
        <v>0</v>
      </c>
      <c r="L742" s="107">
        <f>IF(A21taxstdlife="n/a","n/a",IF(L$3&gt;(A21taxstdlife+$E742),(('PTRM input'!$G$163+'PTRM input'!$G$129)*$G$7)-SUM($G742:K742),(('PTRM input'!$G$163+'PTRM input'!$G$129)*$G$7)/A21taxstdlife))</f>
        <v>0</v>
      </c>
      <c r="M742" s="107">
        <f>IF(A21taxstdlife="n/a","n/a",IF(M$3&gt;(A21taxstdlife+$E742),(('PTRM input'!$G$163+'PTRM input'!$G$129)*$G$7)-SUM($G742:L742),(('PTRM input'!$G$163+'PTRM input'!$G$129)*$G$7)/A21taxstdlife))</f>
        <v>0</v>
      </c>
      <c r="N742" s="107">
        <f>IF(A21taxstdlife="n/a","n/a",IF(N$3&gt;(A21taxstdlife+$E742),(('PTRM input'!$G$163+'PTRM input'!$G$129)*$G$7)-SUM($G742:M742),(('PTRM input'!$G$163+'PTRM input'!$G$129)*$G$7)/A21taxstdlife))</f>
        <v>0</v>
      </c>
      <c r="O742" s="107">
        <f>IF(A21taxstdlife="n/a","n/a",IF(O$3&gt;(A21taxstdlife+$E742),(('PTRM input'!$G$163+'PTRM input'!$G$129)*$G$7)-SUM($G742:N742),(('PTRM input'!$G$163+'PTRM input'!$G$129)*$G$7)/A21taxstdlife))</f>
        <v>0</v>
      </c>
      <c r="P742" s="107">
        <f>IF(A21taxstdlife="n/a","n/a",IF(P$3&gt;(A21taxstdlife+$E742),(('PTRM input'!$G$163+'PTRM input'!$G$129)*$G$7)-SUM($G742:O742),(('PTRM input'!$G$163+'PTRM input'!$G$129)*$G$7)/A21taxstdlife))</f>
        <v>0</v>
      </c>
      <c r="Q742" s="590">
        <f>IF(A21taxstdlife="n/a","n/a",IF(Q$3&gt;(A21taxstdlife+$E742),(('PTRM input'!$G$163+'PTRM input'!$G$129)*$G$7)-SUM($G742:P742),(('PTRM input'!$G$163+'PTRM input'!$G$129)*$G$7)/A21taxstdlife))</f>
        <v>0</v>
      </c>
      <c r="R742" s="590">
        <f>IF(A21taxstdlife="n/a","n/a",IF(R$3&gt;(A21taxstdlife+$E742),(('PTRM input'!$G$163+'PTRM input'!$G$129)*$G$7)-SUM($G742:Q742),(('PTRM input'!$G$163+'PTRM input'!$G$129)*$G$7)/A21taxstdlife))</f>
        <v>0</v>
      </c>
      <c r="S742" s="590">
        <f>IF(A21taxstdlife="n/a","n/a",IF(S$3&gt;(A21taxstdlife+$E742),(('PTRM input'!$G$163+'PTRM input'!$G$129)*$G$7)-SUM($G742:R742),(('PTRM input'!$G$163+'PTRM input'!$G$129)*$G$7)/A21taxstdlife))</f>
        <v>0</v>
      </c>
      <c r="T742" s="590">
        <f>IF(A21taxstdlife="n/a","n/a",IF(T$3&gt;(A21taxstdlife+$E742),(('PTRM input'!$G$163+'PTRM input'!$G$129)*$G$7)-SUM($G742:S742),(('PTRM input'!$G$163+'PTRM input'!$G$129)*$G$7)/A21taxstdlife))</f>
        <v>0</v>
      </c>
      <c r="U742" s="590">
        <f>IF(A21taxstdlife="n/a","n/a",IF(U$3&gt;(A21taxstdlife+$E742),(('PTRM input'!$G$163+'PTRM input'!$G$129)*$G$7)-SUM($G742:T742),(('PTRM input'!$G$163+'PTRM input'!$G$129)*$G$7)/A21taxstdlife))</f>
        <v>0</v>
      </c>
      <c r="V742" s="590">
        <f>IF(A21taxstdlife="n/a","n/a",IF(V$3&gt;(A21taxstdlife+$E742),(('PTRM input'!$G$163+'PTRM input'!$G$129)*$G$7)-SUM($G742:U742),(('PTRM input'!$G$163+'PTRM input'!$G$129)*$G$7)/A21taxstdlife))</f>
        <v>0</v>
      </c>
      <c r="W742" s="590">
        <f>IF(A21taxstdlife="n/a","n/a",IF(W$3&gt;(A21taxstdlife+$E742),(('PTRM input'!$G$163+'PTRM input'!$G$129)*$G$7)-SUM($G742:V742),(('PTRM input'!$G$163+'PTRM input'!$G$129)*$G$7)/A21taxstdlife))</f>
        <v>0</v>
      </c>
      <c r="X742" s="590">
        <f>IF(A21taxstdlife="n/a","n/a",IF(X$3&gt;(A21taxstdlife+$E742),(('PTRM input'!$G$163+'PTRM input'!$G$129)*$G$7)-SUM($G742:W742),(('PTRM input'!$G$163+'PTRM input'!$G$129)*$G$7)/A21taxstdlife))</f>
        <v>0</v>
      </c>
      <c r="Y742" s="590">
        <f>IF(A21taxstdlife="n/a","n/a",IF(Y$3&gt;(A21taxstdlife+$E742),(('PTRM input'!$G$163+'PTRM input'!$G$129)*$G$7)-SUM($G742:X742),(('PTRM input'!$G$163+'PTRM input'!$G$129)*$G$7)/A21taxstdlife))</f>
        <v>0</v>
      </c>
      <c r="Z742" s="590">
        <f>IF(A21taxstdlife="n/a","n/a",IF(Z$3&gt;(A21taxstdlife+$E742),(('PTRM input'!$G$163+'PTRM input'!$G$129)*$G$7)-SUM($G742:Y742),(('PTRM input'!$G$163+'PTRM input'!$G$129)*$G$7)/A21taxstdlife))</f>
        <v>0</v>
      </c>
      <c r="AA742" s="590">
        <f>IF(A21taxstdlife="n/a","n/a",IF(AA$3&gt;(A21taxstdlife+$E742),(('PTRM input'!$G$163+'PTRM input'!$G$129)*$G$7)-SUM($G742:Z742),(('PTRM input'!$G$163+'PTRM input'!$G$129)*$G$7)/A21taxstdlife))</f>
        <v>0</v>
      </c>
      <c r="AB742" s="590">
        <f>IF(A21taxstdlife="n/a","n/a",IF(AB$3&gt;(A21taxstdlife+$E742),(('PTRM input'!$G$163+'PTRM input'!$G$129)*$G$7)-SUM($G742:AA742),(('PTRM input'!$G$163+'PTRM input'!$G$129)*$G$7)/A21taxstdlife))</f>
        <v>0</v>
      </c>
      <c r="AC742" s="590">
        <f>IF(A21taxstdlife="n/a","n/a",IF(AC$3&gt;(A21taxstdlife+$E742),(('PTRM input'!$G$163+'PTRM input'!$G$129)*$G$7)-SUM($G742:AB742),(('PTRM input'!$G$163+'PTRM input'!$G$129)*$G$7)/A21taxstdlife))</f>
        <v>0</v>
      </c>
      <c r="AD742" s="590">
        <f>IF(A21taxstdlife="n/a","n/a",IF(AD$3&gt;(A21taxstdlife+$E742),(('PTRM input'!$G$163+'PTRM input'!$G$129)*$G$7)-SUM($G742:AC742),(('PTRM input'!$G$163+'PTRM input'!$G$129)*$G$7)/A21taxstdlife))</f>
        <v>0</v>
      </c>
      <c r="AE742" s="590">
        <f>IF(A21taxstdlife="n/a","n/a",IF(AE$3&gt;(A21taxstdlife+$E742),(('PTRM input'!$G$163+'PTRM input'!$G$129)*$G$7)-SUM($G742:AD742),(('PTRM input'!$G$163+'PTRM input'!$G$129)*$G$7)/A21taxstdlife))</f>
        <v>0</v>
      </c>
      <c r="AF742" s="590">
        <f>IF(A21taxstdlife="n/a","n/a",IF(AF$3&gt;(A21taxstdlife+$E742),(('PTRM input'!$G$163+'PTRM input'!$G$129)*$G$7)-SUM($G742:AE742),(('PTRM input'!$G$163+'PTRM input'!$G$129)*$G$7)/A21taxstdlife))</f>
        <v>0</v>
      </c>
      <c r="AG742" s="590">
        <f>IF(A21taxstdlife="n/a","n/a",IF(AG$3&gt;(A21taxstdlife+$E742),(('PTRM input'!$G$163+'PTRM input'!$G$129)*$G$7)-SUM($G742:AF742),(('PTRM input'!$G$163+'PTRM input'!$G$129)*$G$7)/A21taxstdlife))</f>
        <v>0</v>
      </c>
      <c r="AH742" s="590">
        <f>IF(A21taxstdlife="n/a","n/a",IF(AH$3&gt;(A21taxstdlife+$E742),(('PTRM input'!$G$163+'PTRM input'!$G$129)*$G$7)-SUM($G742:AG742),(('PTRM input'!$G$163+'PTRM input'!$G$129)*$G$7)/A21taxstdlife))</f>
        <v>0</v>
      </c>
      <c r="AI742" s="590">
        <f>IF(A21taxstdlife="n/a","n/a",IF(AI$3&gt;(A21taxstdlife+$E742),(('PTRM input'!$G$163+'PTRM input'!$G$129)*$G$7)-SUM($G742:AH742),(('PTRM input'!$G$163+'PTRM input'!$G$129)*$G$7)/A21taxstdlife))</f>
        <v>0</v>
      </c>
      <c r="AJ742" s="590">
        <f>IF(A21taxstdlife="n/a","n/a",IF(AJ$3&gt;(A21taxstdlife+$E742),(('PTRM input'!$G$163+'PTRM input'!$G$129)*$G$7)-SUM($G742:AI742),(('PTRM input'!$G$163+'PTRM input'!$G$129)*$G$7)/A21taxstdlife))</f>
        <v>0</v>
      </c>
      <c r="AK742" s="590">
        <f>IF(A21taxstdlife="n/a","n/a",IF(AK$3&gt;(A21taxstdlife+$E742),(('PTRM input'!$G$163+'PTRM input'!$G$129)*$G$7)-SUM($G742:AJ742),(('PTRM input'!$G$163+'PTRM input'!$G$129)*$G$7)/A21taxstdlife))</f>
        <v>0</v>
      </c>
      <c r="AL742" s="590">
        <f>IF(A21taxstdlife="n/a","n/a",IF(AL$3&gt;(A21taxstdlife+$E742),(('PTRM input'!$G$163+'PTRM input'!$G$129)*$G$7)-SUM($G742:AK742),(('PTRM input'!$G$163+'PTRM input'!$G$129)*$G$7)/A21taxstdlife))</f>
        <v>0</v>
      </c>
      <c r="AM742" s="590">
        <f>IF(A21taxstdlife="n/a","n/a",IF(AM$3&gt;(A21taxstdlife+$E742),(('PTRM input'!$G$163+'PTRM input'!$G$129)*$G$7)-SUM($G742:AL742),(('PTRM input'!$G$163+'PTRM input'!$G$129)*$G$7)/A21taxstdlife))</f>
        <v>0</v>
      </c>
      <c r="AN742" s="590">
        <f>IF(A21taxstdlife="n/a","n/a",IF(AN$3&gt;(A21taxstdlife+$E742),(('PTRM input'!$G$163+'PTRM input'!$G$129)*$G$7)-SUM($G742:AM742),(('PTRM input'!$G$163+'PTRM input'!$G$129)*$G$7)/A21taxstdlife))</f>
        <v>0</v>
      </c>
      <c r="AO742" s="590">
        <f>IF(A21taxstdlife="n/a","n/a",IF(AO$3&gt;(A21taxstdlife+$E742),(('PTRM input'!$G$163+'PTRM input'!$G$129)*$G$7)-SUM($G742:AN742),(('PTRM input'!$G$163+'PTRM input'!$G$129)*$G$7)/A21taxstdlife))</f>
        <v>0</v>
      </c>
      <c r="AP742" s="590">
        <f>IF(A21taxstdlife="n/a","n/a",IF(AP$3&gt;(A21taxstdlife+$E742),(('PTRM input'!$G$163+'PTRM input'!$G$129)*$G$7)-SUM($G742:AO742),(('PTRM input'!$G$163+'PTRM input'!$G$129)*$G$7)/A21taxstdlife))</f>
        <v>0</v>
      </c>
      <c r="AQ742" s="590">
        <f>IF(A21taxstdlife="n/a","n/a",IF(AQ$3&gt;(A21taxstdlife+$E742),(('PTRM input'!$G$163+'PTRM input'!$G$129)*$G$7)-SUM($G742:AP742),(('PTRM input'!$G$163+'PTRM input'!$G$129)*$G$7)/A21taxstdlife))</f>
        <v>0</v>
      </c>
      <c r="AR742" s="590">
        <f>IF(A21taxstdlife="n/a","n/a",IF(AR$3&gt;(A21taxstdlife+$E742),(('PTRM input'!$G$163+'PTRM input'!$G$129)*$G$7)-SUM($G742:AQ742),(('PTRM input'!$G$163+'PTRM input'!$G$129)*$G$7)/A21taxstdlife))</f>
        <v>0</v>
      </c>
      <c r="AS742" s="590">
        <f>IF(A21taxstdlife="n/a","n/a",IF(AS$3&gt;(A21taxstdlife+$E742),(('PTRM input'!$G$163+'PTRM input'!$G$129)*$G$7)-SUM($G742:AR742),(('PTRM input'!$G$163+'PTRM input'!$G$129)*$G$7)/A21taxstdlife))</f>
        <v>0</v>
      </c>
      <c r="AT742" s="590">
        <f>IF(A21taxstdlife="n/a","n/a",IF(AT$3&gt;(A21taxstdlife+$E742),(('PTRM input'!$G$163+'PTRM input'!$G$129)*$G$7)-SUM($G742:AS742),(('PTRM input'!$G$163+'PTRM input'!$G$129)*$G$7)/A21taxstdlife))</f>
        <v>0</v>
      </c>
      <c r="AU742" s="590">
        <f>IF(A21taxstdlife="n/a","n/a",IF(AU$3&gt;(A21taxstdlife+$E742),(('PTRM input'!$G$163+'PTRM input'!$G$129)*$G$7)-SUM($G742:AT742),(('PTRM input'!$G$163+'PTRM input'!$G$129)*$G$7)/A21taxstdlife))</f>
        <v>0</v>
      </c>
      <c r="AV742" s="590">
        <f>IF(A21taxstdlife="n/a","n/a",IF(AV$3&gt;(A21taxstdlife+$E742),(('PTRM input'!$G$163+'PTRM input'!$G$129)*$G$7)-SUM($G742:AU742),(('PTRM input'!$G$163+'PTRM input'!$G$129)*$G$7)/A21taxstdlife))</f>
        <v>0</v>
      </c>
      <c r="AW742" s="590">
        <f>IF(A21taxstdlife="n/a","n/a",IF(AW$3&gt;(A21taxstdlife+$E742),(('PTRM input'!$G$163+'PTRM input'!$G$129)*$G$7)-SUM($G742:AV742),(('PTRM input'!$G$163+'PTRM input'!$G$129)*$G$7)/A21taxstdlife))</f>
        <v>0</v>
      </c>
      <c r="AX742" s="590">
        <f>IF(A21taxstdlife="n/a","n/a",IF(AX$3&gt;(A21taxstdlife+$E742),(('PTRM input'!$G$163+'PTRM input'!$G$129)*$G$7)-SUM($G742:AW742),(('PTRM input'!$G$163+'PTRM input'!$G$129)*$G$7)/A21taxstdlife))</f>
        <v>0</v>
      </c>
      <c r="AY742" s="590">
        <f>IF(A21taxstdlife="n/a","n/a",IF(AY$3&gt;(A21taxstdlife+$E742),(('PTRM input'!$G$163+'PTRM input'!$G$129)*$G$7)-SUM($G742:AX742),(('PTRM input'!$G$163+'PTRM input'!$G$129)*$G$7)/A21taxstdlife))</f>
        <v>0</v>
      </c>
      <c r="AZ742" s="590">
        <f>IF(A21taxstdlife="n/a","n/a",IF(AZ$3&gt;(A21taxstdlife+$E742),(('PTRM input'!$G$163+'PTRM input'!$G$129)*$G$7)-SUM($G742:AY742),(('PTRM input'!$G$163+'PTRM input'!$G$129)*$G$7)/A21taxstdlife))</f>
        <v>0</v>
      </c>
      <c r="BA742" s="590">
        <f>IF(A21taxstdlife="n/a","n/a",IF(BA$3&gt;(A21taxstdlife+$E742),(('PTRM input'!$G$163+'PTRM input'!$G$129)*$G$7)-SUM($G742:AZ742),(('PTRM input'!$G$163+'PTRM input'!$G$129)*$G$7)/A21taxstdlife))</f>
        <v>0</v>
      </c>
      <c r="BB742" s="590">
        <f>IF(A21taxstdlife="n/a","n/a",IF(BB$3&gt;(A21taxstdlife+$E742),(('PTRM input'!$G$163+'PTRM input'!$G$129)*$G$7)-SUM($G742:BA742),(('PTRM input'!$G$163+'PTRM input'!$G$129)*$G$7)/A21taxstdlife))</f>
        <v>0</v>
      </c>
      <c r="BC742" s="590">
        <f>IF(A21taxstdlife="n/a","n/a",IF(BC$3&gt;(A21taxstdlife+$E742),(('PTRM input'!$G$163+'PTRM input'!$G$129)*$G$7)-SUM($G742:BB742),(('PTRM input'!$G$163+'PTRM input'!$G$129)*$G$7)/A21taxstdlife))</f>
        <v>0</v>
      </c>
      <c r="BD742" s="590">
        <f>IF(A21taxstdlife="n/a","n/a",IF(BD$3&gt;(A21taxstdlife+$E742),(('PTRM input'!$G$163+'PTRM input'!$G$129)*$G$7)-SUM($G742:BC742),(('PTRM input'!$G$163+'PTRM input'!$G$129)*$G$7)/A21taxstdlife))</f>
        <v>0</v>
      </c>
      <c r="BE742" s="590">
        <f>IF(A21taxstdlife="n/a","n/a",IF(BE$3&gt;(A21taxstdlife+$E742),(('PTRM input'!$G$163+'PTRM input'!$G$129)*$G$7)-SUM($G742:BD742),(('PTRM input'!$G$163+'PTRM input'!$G$129)*$G$7)/A21taxstdlife))</f>
        <v>0</v>
      </c>
      <c r="BF742" s="590">
        <f>IF(A21taxstdlife="n/a","n/a",IF(BF$3&gt;(A21taxstdlife+$E742),(('PTRM input'!$G$163+'PTRM input'!$G$129)*$G$7)-SUM($G742:BE742),(('PTRM input'!$G$163+'PTRM input'!$G$129)*$G$7)/A21taxstdlife))</f>
        <v>0</v>
      </c>
      <c r="BG742" s="590">
        <f>IF(A21taxstdlife="n/a","n/a",IF(BG$3&gt;(A21taxstdlife+$E742),(('PTRM input'!$G$163+'PTRM input'!$G$129)*$G$7)-SUM($G742:BF742),(('PTRM input'!$G$163+'PTRM input'!$G$129)*$G$7)/A21taxstdlife))</f>
        <v>0</v>
      </c>
      <c r="BH742" s="590">
        <f>IF(A21taxstdlife="n/a","n/a",IF(BH$3&gt;(A21taxstdlife+$E742),(('PTRM input'!$G$163+'PTRM input'!$G$129)*$G$7)-SUM($G742:BG742),(('PTRM input'!$G$163+'PTRM input'!$G$129)*$G$7)/A21taxstdlife))</f>
        <v>0</v>
      </c>
      <c r="BI742" s="590">
        <f>IF(A21taxstdlife="n/a","n/a",IF(BI$3&gt;(A21taxstdlife+$E742),(('PTRM input'!$G$163+'PTRM input'!$G$129)*$G$7)-SUM($G742:BH742),(('PTRM input'!$G$163+'PTRM input'!$G$129)*$G$7)/A21taxstdlife))</f>
        <v>0</v>
      </c>
      <c r="BJ742" s="240"/>
      <c r="BK742" s="240"/>
      <c r="BL742" s="240"/>
      <c r="BM742" s="240"/>
    </row>
    <row r="743" spans="1:65" s="4" customFormat="1" hidden="1" outlineLevel="2">
      <c r="A743" s="240"/>
      <c r="B743" s="240"/>
      <c r="C743" s="595"/>
      <c r="D743" s="1618"/>
      <c r="E743" s="169">
        <v>2</v>
      </c>
      <c r="F743" s="35"/>
      <c r="G743" s="184"/>
      <c r="H743" s="185"/>
      <c r="I743" s="107">
        <f>IF(A21taxstdlife="n/a","n/a",IF(I$3&gt;(A21taxstdlife+$E743),(('PTRM input'!$H$163+'PTRM input'!$H$129)*$H$7)-SUM($H743:H743),(('PTRM input'!$H$163+'PTRM input'!$H$129)*$H$7)/A21taxstdlife))</f>
        <v>0</v>
      </c>
      <c r="J743" s="107">
        <f>IF(A21taxstdlife="n/a","n/a",IF(J$3&gt;(A21taxstdlife+$E743),(('PTRM input'!$H$163+'PTRM input'!$H$129)*$H$7)-SUM($H743:I743),(('PTRM input'!$H$163+'PTRM input'!$H$129)*$H$7)/A21taxstdlife))</f>
        <v>0</v>
      </c>
      <c r="K743" s="107">
        <f>IF(A21taxstdlife="n/a","n/a",IF(K$3&gt;(A21taxstdlife+$E743),(('PTRM input'!$H$163+'PTRM input'!$H$129)*$H$7)-SUM($H743:J743),(('PTRM input'!$H$163+'PTRM input'!$H$129)*$H$7)/A21taxstdlife))</f>
        <v>0</v>
      </c>
      <c r="L743" s="107">
        <f>IF(A21taxstdlife="n/a","n/a",IF(L$3&gt;(A21taxstdlife+$E743),(('PTRM input'!$H$163+'PTRM input'!$H$129)*$H$7)-SUM($H743:K743),(('PTRM input'!$H$163+'PTRM input'!$H$129)*$H$7)/A21taxstdlife))</f>
        <v>0</v>
      </c>
      <c r="M743" s="107">
        <f>IF(A21taxstdlife="n/a","n/a",IF(M$3&gt;(A21taxstdlife+$E743),(('PTRM input'!$H$163+'PTRM input'!$H$129)*$H$7)-SUM($H743:L743),(('PTRM input'!$H$163+'PTRM input'!$H$129)*$H$7)/A21taxstdlife))</f>
        <v>0</v>
      </c>
      <c r="N743" s="107">
        <f>IF(A21taxstdlife="n/a","n/a",IF(N$3&gt;(A21taxstdlife+$E743),(('PTRM input'!$H$163+'PTRM input'!$H$129)*$H$7)-SUM($H743:M743),(('PTRM input'!$H$163+'PTRM input'!$H$129)*$H$7)/A21taxstdlife))</f>
        <v>0</v>
      </c>
      <c r="O743" s="107">
        <f>IF(A21taxstdlife="n/a","n/a",IF(O$3&gt;(A21taxstdlife+$E743),(('PTRM input'!$H$163+'PTRM input'!$H$129)*$H$7)-SUM($H743:N743),(('PTRM input'!$H$163+'PTRM input'!$H$129)*$H$7)/A21taxstdlife))</f>
        <v>0</v>
      </c>
      <c r="P743" s="107">
        <f>IF(A21taxstdlife="n/a","n/a",IF(P$3&gt;(A21taxstdlife+$E743),(('PTRM input'!$H$163+'PTRM input'!$H$129)*$H$7)-SUM($H743:O743),(('PTRM input'!$H$163+'PTRM input'!$H$129)*$H$7)/A21taxstdlife))</f>
        <v>0</v>
      </c>
      <c r="Q743" s="590">
        <f>IF(A21taxstdlife="n/a","n/a",IF(Q$3&gt;(A21taxstdlife+$E743),(('PTRM input'!$H$163+'PTRM input'!$H$129)*$H$7)-SUM($H743:P743),(('PTRM input'!$H$163+'PTRM input'!$H$129)*$H$7)/A21taxstdlife))</f>
        <v>0</v>
      </c>
      <c r="R743" s="590">
        <f>IF(A21taxstdlife="n/a","n/a",IF(R$3&gt;(A21taxstdlife+$E743),(('PTRM input'!$H$163+'PTRM input'!$H$129)*$H$7)-SUM($H743:Q743),(('PTRM input'!$H$163+'PTRM input'!$H$129)*$H$7)/A21taxstdlife))</f>
        <v>0</v>
      </c>
      <c r="S743" s="590">
        <f>IF(A21taxstdlife="n/a","n/a",IF(S$3&gt;(A21taxstdlife+$E743),(('PTRM input'!$H$163+'PTRM input'!$H$129)*$H$7)-SUM($H743:R743),(('PTRM input'!$H$163+'PTRM input'!$H$129)*$H$7)/A21taxstdlife))</f>
        <v>0</v>
      </c>
      <c r="T743" s="590">
        <f>IF(A21taxstdlife="n/a","n/a",IF(T$3&gt;(A21taxstdlife+$E743),(('PTRM input'!$H$163+'PTRM input'!$H$129)*$H$7)-SUM($H743:S743),(('PTRM input'!$H$163+'PTRM input'!$H$129)*$H$7)/A21taxstdlife))</f>
        <v>0</v>
      </c>
      <c r="U743" s="590">
        <f>IF(A21taxstdlife="n/a","n/a",IF(U$3&gt;(A21taxstdlife+$E743),(('PTRM input'!$H$163+'PTRM input'!$H$129)*$H$7)-SUM($H743:T743),(('PTRM input'!$H$163+'PTRM input'!$H$129)*$H$7)/A21taxstdlife))</f>
        <v>0</v>
      </c>
      <c r="V743" s="590">
        <f>IF(A21taxstdlife="n/a","n/a",IF(V$3&gt;(A21taxstdlife+$E743),(('PTRM input'!$H$163+'PTRM input'!$H$129)*$H$7)-SUM($H743:U743),(('PTRM input'!$H$163+'PTRM input'!$H$129)*$H$7)/A21taxstdlife))</f>
        <v>0</v>
      </c>
      <c r="W743" s="590">
        <f>IF(A21taxstdlife="n/a","n/a",IF(W$3&gt;(A21taxstdlife+$E743),(('PTRM input'!$H$163+'PTRM input'!$H$129)*$H$7)-SUM($H743:V743),(('PTRM input'!$H$163+'PTRM input'!$H$129)*$H$7)/A21taxstdlife))</f>
        <v>0</v>
      </c>
      <c r="X743" s="590">
        <f>IF(A21taxstdlife="n/a","n/a",IF(X$3&gt;(A21taxstdlife+$E743),(('PTRM input'!$H$163+'PTRM input'!$H$129)*$H$7)-SUM($H743:W743),(('PTRM input'!$H$163+'PTRM input'!$H$129)*$H$7)/A21taxstdlife))</f>
        <v>0</v>
      </c>
      <c r="Y743" s="590">
        <f>IF(A21taxstdlife="n/a","n/a",IF(Y$3&gt;(A21taxstdlife+$E743),(('PTRM input'!$H$163+'PTRM input'!$H$129)*$H$7)-SUM($H743:X743),(('PTRM input'!$H$163+'PTRM input'!$H$129)*$H$7)/A21taxstdlife))</f>
        <v>0</v>
      </c>
      <c r="Z743" s="590">
        <f>IF(A21taxstdlife="n/a","n/a",IF(Z$3&gt;(A21taxstdlife+$E743),(('PTRM input'!$H$163+'PTRM input'!$H$129)*$H$7)-SUM($H743:Y743),(('PTRM input'!$H$163+'PTRM input'!$H$129)*$H$7)/A21taxstdlife))</f>
        <v>0</v>
      </c>
      <c r="AA743" s="590">
        <f>IF(A21taxstdlife="n/a","n/a",IF(AA$3&gt;(A21taxstdlife+$E743),(('PTRM input'!$H$163+'PTRM input'!$H$129)*$H$7)-SUM($H743:Z743),(('PTRM input'!$H$163+'PTRM input'!$H$129)*$H$7)/A21taxstdlife))</f>
        <v>0</v>
      </c>
      <c r="AB743" s="590">
        <f>IF(A21taxstdlife="n/a","n/a",IF(AB$3&gt;(A21taxstdlife+$E743),(('PTRM input'!$H$163+'PTRM input'!$H$129)*$H$7)-SUM($H743:AA743),(('PTRM input'!$H$163+'PTRM input'!$H$129)*$H$7)/A21taxstdlife))</f>
        <v>0</v>
      </c>
      <c r="AC743" s="590">
        <f>IF(A21taxstdlife="n/a","n/a",IF(AC$3&gt;(A21taxstdlife+$E743),(('PTRM input'!$H$163+'PTRM input'!$H$129)*$H$7)-SUM($H743:AB743),(('PTRM input'!$H$163+'PTRM input'!$H$129)*$H$7)/A21taxstdlife))</f>
        <v>0</v>
      </c>
      <c r="AD743" s="590">
        <f>IF(A21taxstdlife="n/a","n/a",IF(AD$3&gt;(A21taxstdlife+$E743),(('PTRM input'!$H$163+'PTRM input'!$H$129)*$H$7)-SUM($H743:AC743),(('PTRM input'!$H$163+'PTRM input'!$H$129)*$H$7)/A21taxstdlife))</f>
        <v>0</v>
      </c>
      <c r="AE743" s="590">
        <f>IF(A21taxstdlife="n/a","n/a",IF(AE$3&gt;(A21taxstdlife+$E743),(('PTRM input'!$H$163+'PTRM input'!$H$129)*$H$7)-SUM($H743:AD743),(('PTRM input'!$H$163+'PTRM input'!$H$129)*$H$7)/A21taxstdlife))</f>
        <v>0</v>
      </c>
      <c r="AF743" s="590">
        <f>IF(A21taxstdlife="n/a","n/a",IF(AF$3&gt;(A21taxstdlife+$E743),(('PTRM input'!$H$163+'PTRM input'!$H$129)*$H$7)-SUM($H743:AE743),(('PTRM input'!$H$163+'PTRM input'!$H$129)*$H$7)/A21taxstdlife))</f>
        <v>0</v>
      </c>
      <c r="AG743" s="590">
        <f>IF(A21taxstdlife="n/a","n/a",IF(AG$3&gt;(A21taxstdlife+$E743),(('PTRM input'!$H$163+'PTRM input'!$H$129)*$H$7)-SUM($H743:AF743),(('PTRM input'!$H$163+'PTRM input'!$H$129)*$H$7)/A21taxstdlife))</f>
        <v>0</v>
      </c>
      <c r="AH743" s="590">
        <f>IF(A21taxstdlife="n/a","n/a",IF(AH$3&gt;(A21taxstdlife+$E743),(('PTRM input'!$H$163+'PTRM input'!$H$129)*$H$7)-SUM($H743:AG743),(('PTRM input'!$H$163+'PTRM input'!$H$129)*$H$7)/A21taxstdlife))</f>
        <v>0</v>
      </c>
      <c r="AI743" s="590">
        <f>IF(A21taxstdlife="n/a","n/a",IF(AI$3&gt;(A21taxstdlife+$E743),(('PTRM input'!$H$163+'PTRM input'!$H$129)*$H$7)-SUM($H743:AH743),(('PTRM input'!$H$163+'PTRM input'!$H$129)*$H$7)/A21taxstdlife))</f>
        <v>0</v>
      </c>
      <c r="AJ743" s="590">
        <f>IF(A21taxstdlife="n/a","n/a",IF(AJ$3&gt;(A21taxstdlife+$E743),(('PTRM input'!$H$163+'PTRM input'!$H$129)*$H$7)-SUM($H743:AI743),(('PTRM input'!$H$163+'PTRM input'!$H$129)*$H$7)/A21taxstdlife))</f>
        <v>0</v>
      </c>
      <c r="AK743" s="590">
        <f>IF(A21taxstdlife="n/a","n/a",IF(AK$3&gt;(A21taxstdlife+$E743),(('PTRM input'!$H$163+'PTRM input'!$H$129)*$H$7)-SUM($H743:AJ743),(('PTRM input'!$H$163+'PTRM input'!$H$129)*$H$7)/A21taxstdlife))</f>
        <v>0</v>
      </c>
      <c r="AL743" s="590">
        <f>IF(A21taxstdlife="n/a","n/a",IF(AL$3&gt;(A21taxstdlife+$E743),(('PTRM input'!$H$163+'PTRM input'!$H$129)*$H$7)-SUM($H743:AK743),(('PTRM input'!$H$163+'PTRM input'!$H$129)*$H$7)/A21taxstdlife))</f>
        <v>0</v>
      </c>
      <c r="AM743" s="590">
        <f>IF(A21taxstdlife="n/a","n/a",IF(AM$3&gt;(A21taxstdlife+$E743),(('PTRM input'!$H$163+'PTRM input'!$H$129)*$H$7)-SUM($H743:AL743),(('PTRM input'!$H$163+'PTRM input'!$H$129)*$H$7)/A21taxstdlife))</f>
        <v>0</v>
      </c>
      <c r="AN743" s="590">
        <f>IF(A21taxstdlife="n/a","n/a",IF(AN$3&gt;(A21taxstdlife+$E743),(('PTRM input'!$H$163+'PTRM input'!$H$129)*$H$7)-SUM($H743:AM743),(('PTRM input'!$H$163+'PTRM input'!$H$129)*$H$7)/A21taxstdlife))</f>
        <v>0</v>
      </c>
      <c r="AO743" s="590">
        <f>IF(A21taxstdlife="n/a","n/a",IF(AO$3&gt;(A21taxstdlife+$E743),(('PTRM input'!$H$163+'PTRM input'!$H$129)*$H$7)-SUM($H743:AN743),(('PTRM input'!$H$163+'PTRM input'!$H$129)*$H$7)/A21taxstdlife))</f>
        <v>0</v>
      </c>
      <c r="AP743" s="590">
        <f>IF(A21taxstdlife="n/a","n/a",IF(AP$3&gt;(A21taxstdlife+$E743),(('PTRM input'!$H$163+'PTRM input'!$H$129)*$H$7)-SUM($H743:AO743),(('PTRM input'!$H$163+'PTRM input'!$H$129)*$H$7)/A21taxstdlife))</f>
        <v>0</v>
      </c>
      <c r="AQ743" s="590">
        <f>IF(A21taxstdlife="n/a","n/a",IF(AQ$3&gt;(A21taxstdlife+$E743),(('PTRM input'!$H$163+'PTRM input'!$H$129)*$H$7)-SUM($H743:AP743),(('PTRM input'!$H$163+'PTRM input'!$H$129)*$H$7)/A21taxstdlife))</f>
        <v>0</v>
      </c>
      <c r="AR743" s="590">
        <f>IF(A21taxstdlife="n/a","n/a",IF(AR$3&gt;(A21taxstdlife+$E743),(('PTRM input'!$H$163+'PTRM input'!$H$129)*$H$7)-SUM($H743:AQ743),(('PTRM input'!$H$163+'PTRM input'!$H$129)*$H$7)/A21taxstdlife))</f>
        <v>0</v>
      </c>
      <c r="AS743" s="590">
        <f>IF(A21taxstdlife="n/a","n/a",IF(AS$3&gt;(A21taxstdlife+$E743),(('PTRM input'!$H$163+'PTRM input'!$H$129)*$H$7)-SUM($H743:AR743),(('PTRM input'!$H$163+'PTRM input'!$H$129)*$H$7)/A21taxstdlife))</f>
        <v>0</v>
      </c>
      <c r="AT743" s="590">
        <f>IF(A21taxstdlife="n/a","n/a",IF(AT$3&gt;(A21taxstdlife+$E743),(('PTRM input'!$H$163+'PTRM input'!$H$129)*$H$7)-SUM($H743:AS743),(('PTRM input'!$H$163+'PTRM input'!$H$129)*$H$7)/A21taxstdlife))</f>
        <v>0</v>
      </c>
      <c r="AU743" s="590">
        <f>IF(A21taxstdlife="n/a","n/a",IF(AU$3&gt;(A21taxstdlife+$E743),(('PTRM input'!$H$163+'PTRM input'!$H$129)*$H$7)-SUM($H743:AT743),(('PTRM input'!$H$163+'PTRM input'!$H$129)*$H$7)/A21taxstdlife))</f>
        <v>0</v>
      </c>
      <c r="AV743" s="590">
        <f>IF(A21taxstdlife="n/a","n/a",IF(AV$3&gt;(A21taxstdlife+$E743),(('PTRM input'!$H$163+'PTRM input'!$H$129)*$H$7)-SUM($H743:AU743),(('PTRM input'!$H$163+'PTRM input'!$H$129)*$H$7)/A21taxstdlife))</f>
        <v>0</v>
      </c>
      <c r="AW743" s="590">
        <f>IF(A21taxstdlife="n/a","n/a",IF(AW$3&gt;(A21taxstdlife+$E743),(('PTRM input'!$H$163+'PTRM input'!$H$129)*$H$7)-SUM($H743:AV743),(('PTRM input'!$H$163+'PTRM input'!$H$129)*$H$7)/A21taxstdlife))</f>
        <v>0</v>
      </c>
      <c r="AX743" s="590">
        <f>IF(A21taxstdlife="n/a","n/a",IF(AX$3&gt;(A21taxstdlife+$E743),(('PTRM input'!$H$163+'PTRM input'!$H$129)*$H$7)-SUM($H743:AW743),(('PTRM input'!$H$163+'PTRM input'!$H$129)*$H$7)/A21taxstdlife))</f>
        <v>0</v>
      </c>
      <c r="AY743" s="590">
        <f>IF(A21taxstdlife="n/a","n/a",IF(AY$3&gt;(A21taxstdlife+$E743),(('PTRM input'!$H$163+'PTRM input'!$H$129)*$H$7)-SUM($H743:AX743),(('PTRM input'!$H$163+'PTRM input'!$H$129)*$H$7)/A21taxstdlife))</f>
        <v>0</v>
      </c>
      <c r="AZ743" s="590">
        <f>IF(A21taxstdlife="n/a","n/a",IF(AZ$3&gt;(A21taxstdlife+$E743),(('PTRM input'!$H$163+'PTRM input'!$H$129)*$H$7)-SUM($H743:AY743),(('PTRM input'!$H$163+'PTRM input'!$H$129)*$H$7)/A21taxstdlife))</f>
        <v>0</v>
      </c>
      <c r="BA743" s="590">
        <f>IF(A21taxstdlife="n/a","n/a",IF(BA$3&gt;(A21taxstdlife+$E743),(('PTRM input'!$H$163+'PTRM input'!$H$129)*$H$7)-SUM($H743:AZ743),(('PTRM input'!$H$163+'PTRM input'!$H$129)*$H$7)/A21taxstdlife))</f>
        <v>0</v>
      </c>
      <c r="BB743" s="590">
        <f>IF(A21taxstdlife="n/a","n/a",IF(BB$3&gt;(A21taxstdlife+$E743),(('PTRM input'!$H$163+'PTRM input'!$H$129)*$H$7)-SUM($H743:BA743),(('PTRM input'!$H$163+'PTRM input'!$H$129)*$H$7)/A21taxstdlife))</f>
        <v>0</v>
      </c>
      <c r="BC743" s="590">
        <f>IF(A21taxstdlife="n/a","n/a",IF(BC$3&gt;(A21taxstdlife+$E743),(('PTRM input'!$H$163+'PTRM input'!$H$129)*$H$7)-SUM($H743:BB743),(('PTRM input'!$H$163+'PTRM input'!$H$129)*$H$7)/A21taxstdlife))</f>
        <v>0</v>
      </c>
      <c r="BD743" s="590">
        <f>IF(A21taxstdlife="n/a","n/a",IF(BD$3&gt;(A21taxstdlife+$E743),(('PTRM input'!$H$163+'PTRM input'!$H$129)*$H$7)-SUM($H743:BC743),(('PTRM input'!$H$163+'PTRM input'!$H$129)*$H$7)/A21taxstdlife))</f>
        <v>0</v>
      </c>
      <c r="BE743" s="590">
        <f>IF(A21taxstdlife="n/a","n/a",IF(BE$3&gt;(A21taxstdlife+$E743),(('PTRM input'!$H$163+'PTRM input'!$H$129)*$H$7)-SUM($H743:BD743),(('PTRM input'!$H$163+'PTRM input'!$H$129)*$H$7)/A21taxstdlife))</f>
        <v>0</v>
      </c>
      <c r="BF743" s="590">
        <f>IF(A21taxstdlife="n/a","n/a",IF(BF$3&gt;(A21taxstdlife+$E743),(('PTRM input'!$H$163+'PTRM input'!$H$129)*$H$7)-SUM($H743:BE743),(('PTRM input'!$H$163+'PTRM input'!$H$129)*$H$7)/A21taxstdlife))</f>
        <v>0</v>
      </c>
      <c r="BG743" s="590">
        <f>IF(A21taxstdlife="n/a","n/a",IF(BG$3&gt;(A21taxstdlife+$E743),(('PTRM input'!$H$163+'PTRM input'!$H$129)*$H$7)-SUM($H743:BF743),(('PTRM input'!$H$163+'PTRM input'!$H$129)*$H$7)/A21taxstdlife))</f>
        <v>0</v>
      </c>
      <c r="BH743" s="590">
        <f>IF(A21taxstdlife="n/a","n/a",IF(BH$3&gt;(A21taxstdlife+$E743),(('PTRM input'!$H$163+'PTRM input'!$H$129)*$H$7)-SUM($H743:BG743),(('PTRM input'!$H$163+'PTRM input'!$H$129)*$H$7)/A21taxstdlife))</f>
        <v>0</v>
      </c>
      <c r="BI743" s="590">
        <f>IF(A21taxstdlife="n/a","n/a",IF(BI$3&gt;(A21taxstdlife+$E743),(('PTRM input'!$H$163+'PTRM input'!$H$129)*$H$7)-SUM($H743:BH743),(('PTRM input'!$H$163+'PTRM input'!$H$129)*$H$7)/A21taxstdlife))</f>
        <v>0</v>
      </c>
      <c r="BJ743" s="240"/>
      <c r="BK743" s="240"/>
      <c r="BL743" s="240"/>
      <c r="BM743" s="240"/>
    </row>
    <row r="744" spans="1:65" s="4" customFormat="1" hidden="1" outlineLevel="2">
      <c r="A744" s="240"/>
      <c r="B744" s="240"/>
      <c r="C744" s="595"/>
      <c r="D744" s="1618"/>
      <c r="E744" s="169">
        <v>3</v>
      </c>
      <c r="F744" s="35"/>
      <c r="G744" s="184"/>
      <c r="H744" s="186"/>
      <c r="I744" s="185"/>
      <c r="J744" s="107">
        <f>IF(A21taxstdlife="n/a","n/a",IF(J$3&gt;(A21taxstdlife+$E744),(('PTRM input'!$I$163+'PTRM input'!$I$129)*$I$7)-SUM($I744:I744),(('PTRM input'!$I$163+'PTRM input'!$I$129)*$I$7)/A21taxstdlife))</f>
        <v>0</v>
      </c>
      <c r="K744" s="107">
        <f>IF(A21taxstdlife="n/a","n/a",IF(K$3&gt;(A21taxstdlife+$E744),(('PTRM input'!$I$163+'PTRM input'!$I$129)*$I$7)-SUM($I744:J744),(('PTRM input'!$I$163+'PTRM input'!$I$129)*$I$7)/A21taxstdlife))</f>
        <v>0</v>
      </c>
      <c r="L744" s="107">
        <f>IF(A21taxstdlife="n/a","n/a",IF(L$3&gt;(A21taxstdlife+$E744),(('PTRM input'!$I$163+'PTRM input'!$I$129)*$I$7)-SUM($I744:K744),(('PTRM input'!$I$163+'PTRM input'!$I$129)*$I$7)/A21taxstdlife))</f>
        <v>0</v>
      </c>
      <c r="M744" s="107">
        <f>IF(A21taxstdlife="n/a","n/a",IF(M$3&gt;(A21taxstdlife+$E744),(('PTRM input'!$I$163+'PTRM input'!$I$129)*$I$7)-SUM($I744:L744),(('PTRM input'!$I$163+'PTRM input'!$I$129)*$I$7)/A21taxstdlife))</f>
        <v>0</v>
      </c>
      <c r="N744" s="107">
        <f>IF(A21taxstdlife="n/a","n/a",IF(N$3&gt;(A21taxstdlife+$E744),(('PTRM input'!$I$163+'PTRM input'!$I$129)*$I$7)-SUM($I744:M744),(('PTRM input'!$I$163+'PTRM input'!$I$129)*$I$7)/A21taxstdlife))</f>
        <v>0</v>
      </c>
      <c r="O744" s="107">
        <f>IF(A21taxstdlife="n/a","n/a",IF(O$3&gt;(A21taxstdlife+$E744),(('PTRM input'!$I$163+'PTRM input'!$I$129)*$I$7)-SUM($I744:N744),(('PTRM input'!$I$163+'PTRM input'!$I$129)*$I$7)/A21taxstdlife))</f>
        <v>0</v>
      </c>
      <c r="P744" s="107">
        <f>IF(A21taxstdlife="n/a","n/a",IF(P$3&gt;(A21taxstdlife+$E744),(('PTRM input'!$I$163+'PTRM input'!$I$129)*$I$7)-SUM($I744:O744),(('PTRM input'!$I$163+'PTRM input'!$I$129)*$I$7)/A21taxstdlife))</f>
        <v>0</v>
      </c>
      <c r="Q744" s="590">
        <f>IF(A21taxstdlife="n/a","n/a",IF(Q$3&gt;(A21taxstdlife+$E744),(('PTRM input'!$I$163+'PTRM input'!$I$129)*$I$7)-SUM($I744:P744),(('PTRM input'!$I$163+'PTRM input'!$I$129)*$I$7)/A21taxstdlife))</f>
        <v>0</v>
      </c>
      <c r="R744" s="590">
        <f>IF(A21taxstdlife="n/a","n/a",IF(R$3&gt;(A21taxstdlife+$E744),(('PTRM input'!$I$163+'PTRM input'!$I$129)*$I$7)-SUM($I744:Q744),(('PTRM input'!$I$163+'PTRM input'!$I$129)*$I$7)/A21taxstdlife))</f>
        <v>0</v>
      </c>
      <c r="S744" s="590">
        <f>IF(A21taxstdlife="n/a","n/a",IF(S$3&gt;(A21taxstdlife+$E744),(('PTRM input'!$I$163+'PTRM input'!$I$129)*$I$7)-SUM($I744:R744),(('PTRM input'!$I$163+'PTRM input'!$I$129)*$I$7)/A21taxstdlife))</f>
        <v>0</v>
      </c>
      <c r="T744" s="590">
        <f>IF(A21taxstdlife="n/a","n/a",IF(T$3&gt;(A21taxstdlife+$E744),(('PTRM input'!$I$163+'PTRM input'!$I$129)*$I$7)-SUM($I744:S744),(('PTRM input'!$I$163+'PTRM input'!$I$129)*$I$7)/A21taxstdlife))</f>
        <v>0</v>
      </c>
      <c r="U744" s="590">
        <f>IF(A21taxstdlife="n/a","n/a",IF(U$3&gt;(A21taxstdlife+$E744),(('PTRM input'!$I$163+'PTRM input'!$I$129)*$I$7)-SUM($I744:T744),(('PTRM input'!$I$163+'PTRM input'!$I$129)*$I$7)/A21taxstdlife))</f>
        <v>0</v>
      </c>
      <c r="V744" s="590">
        <f>IF(A21taxstdlife="n/a","n/a",IF(V$3&gt;(A21taxstdlife+$E744),(('PTRM input'!$I$163+'PTRM input'!$I$129)*$I$7)-SUM($I744:U744),(('PTRM input'!$I$163+'PTRM input'!$I$129)*$I$7)/A21taxstdlife))</f>
        <v>0</v>
      </c>
      <c r="W744" s="590">
        <f>IF(A21taxstdlife="n/a","n/a",IF(W$3&gt;(A21taxstdlife+$E744),(('PTRM input'!$I$163+'PTRM input'!$I$129)*$I$7)-SUM($I744:V744),(('PTRM input'!$I$163+'PTRM input'!$I$129)*$I$7)/A21taxstdlife))</f>
        <v>0</v>
      </c>
      <c r="X744" s="590">
        <f>IF(A21taxstdlife="n/a","n/a",IF(X$3&gt;(A21taxstdlife+$E744),(('PTRM input'!$I$163+'PTRM input'!$I$129)*$I$7)-SUM($I744:W744),(('PTRM input'!$I$163+'PTRM input'!$I$129)*$I$7)/A21taxstdlife))</f>
        <v>0</v>
      </c>
      <c r="Y744" s="590">
        <f>IF(A21taxstdlife="n/a","n/a",IF(Y$3&gt;(A21taxstdlife+$E744),(('PTRM input'!$I$163+'PTRM input'!$I$129)*$I$7)-SUM($I744:X744),(('PTRM input'!$I$163+'PTRM input'!$I$129)*$I$7)/A21taxstdlife))</f>
        <v>0</v>
      </c>
      <c r="Z744" s="590">
        <f>IF(A21taxstdlife="n/a","n/a",IF(Z$3&gt;(A21taxstdlife+$E744),(('PTRM input'!$I$163+'PTRM input'!$I$129)*$I$7)-SUM($I744:Y744),(('PTRM input'!$I$163+'PTRM input'!$I$129)*$I$7)/A21taxstdlife))</f>
        <v>0</v>
      </c>
      <c r="AA744" s="590">
        <f>IF(A21taxstdlife="n/a","n/a",IF(AA$3&gt;(A21taxstdlife+$E744),(('PTRM input'!$I$163+'PTRM input'!$I$129)*$I$7)-SUM($I744:Z744),(('PTRM input'!$I$163+'PTRM input'!$I$129)*$I$7)/A21taxstdlife))</f>
        <v>0</v>
      </c>
      <c r="AB744" s="590">
        <f>IF(A21taxstdlife="n/a","n/a",IF(AB$3&gt;(A21taxstdlife+$E744),(('PTRM input'!$I$163+'PTRM input'!$I$129)*$I$7)-SUM($I744:AA744),(('PTRM input'!$I$163+'PTRM input'!$I$129)*$I$7)/A21taxstdlife))</f>
        <v>0</v>
      </c>
      <c r="AC744" s="590">
        <f>IF(A21taxstdlife="n/a","n/a",IF(AC$3&gt;(A21taxstdlife+$E744),(('PTRM input'!$I$163+'PTRM input'!$I$129)*$I$7)-SUM($I744:AB744),(('PTRM input'!$I$163+'PTRM input'!$I$129)*$I$7)/A21taxstdlife))</f>
        <v>0</v>
      </c>
      <c r="AD744" s="590">
        <f>IF(A21taxstdlife="n/a","n/a",IF(AD$3&gt;(A21taxstdlife+$E744),(('PTRM input'!$I$163+'PTRM input'!$I$129)*$I$7)-SUM($I744:AC744),(('PTRM input'!$I$163+'PTRM input'!$I$129)*$I$7)/A21taxstdlife))</f>
        <v>0</v>
      </c>
      <c r="AE744" s="590">
        <f>IF(A21taxstdlife="n/a","n/a",IF(AE$3&gt;(A21taxstdlife+$E744),(('PTRM input'!$I$163+'PTRM input'!$I$129)*$I$7)-SUM($I744:AD744),(('PTRM input'!$I$163+'PTRM input'!$I$129)*$I$7)/A21taxstdlife))</f>
        <v>0</v>
      </c>
      <c r="AF744" s="590">
        <f>IF(A21taxstdlife="n/a","n/a",IF(AF$3&gt;(A21taxstdlife+$E744),(('PTRM input'!$I$163+'PTRM input'!$I$129)*$I$7)-SUM($I744:AE744),(('PTRM input'!$I$163+'PTRM input'!$I$129)*$I$7)/A21taxstdlife))</f>
        <v>0</v>
      </c>
      <c r="AG744" s="590">
        <f>IF(A21taxstdlife="n/a","n/a",IF(AG$3&gt;(A21taxstdlife+$E744),(('PTRM input'!$I$163+'PTRM input'!$I$129)*$I$7)-SUM($I744:AF744),(('PTRM input'!$I$163+'PTRM input'!$I$129)*$I$7)/A21taxstdlife))</f>
        <v>0</v>
      </c>
      <c r="AH744" s="590">
        <f>IF(A21taxstdlife="n/a","n/a",IF(AH$3&gt;(A21taxstdlife+$E744),(('PTRM input'!$I$163+'PTRM input'!$I$129)*$I$7)-SUM($I744:AG744),(('PTRM input'!$I$163+'PTRM input'!$I$129)*$I$7)/A21taxstdlife))</f>
        <v>0</v>
      </c>
      <c r="AI744" s="590">
        <f>IF(A21taxstdlife="n/a","n/a",IF(AI$3&gt;(A21taxstdlife+$E744),(('PTRM input'!$I$163+'PTRM input'!$I$129)*$I$7)-SUM($I744:AH744),(('PTRM input'!$I$163+'PTRM input'!$I$129)*$I$7)/A21taxstdlife))</f>
        <v>0</v>
      </c>
      <c r="AJ744" s="590">
        <f>IF(A21taxstdlife="n/a","n/a",IF(AJ$3&gt;(A21taxstdlife+$E744),(('PTRM input'!$I$163+'PTRM input'!$I$129)*$I$7)-SUM($I744:AI744),(('PTRM input'!$I$163+'PTRM input'!$I$129)*$I$7)/A21taxstdlife))</f>
        <v>0</v>
      </c>
      <c r="AK744" s="590">
        <f>IF(A21taxstdlife="n/a","n/a",IF(AK$3&gt;(A21taxstdlife+$E744),(('PTRM input'!$I$163+'PTRM input'!$I$129)*$I$7)-SUM($I744:AJ744),(('PTRM input'!$I$163+'PTRM input'!$I$129)*$I$7)/A21taxstdlife))</f>
        <v>0</v>
      </c>
      <c r="AL744" s="590">
        <f>IF(A21taxstdlife="n/a","n/a",IF(AL$3&gt;(A21taxstdlife+$E744),(('PTRM input'!$I$163+'PTRM input'!$I$129)*$I$7)-SUM($I744:AK744),(('PTRM input'!$I$163+'PTRM input'!$I$129)*$I$7)/A21taxstdlife))</f>
        <v>0</v>
      </c>
      <c r="AM744" s="590">
        <f>IF(A21taxstdlife="n/a","n/a",IF(AM$3&gt;(A21taxstdlife+$E744),(('PTRM input'!$I$163+'PTRM input'!$I$129)*$I$7)-SUM($I744:AL744),(('PTRM input'!$I$163+'PTRM input'!$I$129)*$I$7)/A21taxstdlife))</f>
        <v>0</v>
      </c>
      <c r="AN744" s="590">
        <f>IF(A21taxstdlife="n/a","n/a",IF(AN$3&gt;(A21taxstdlife+$E744),(('PTRM input'!$I$163+'PTRM input'!$I$129)*$I$7)-SUM($I744:AM744),(('PTRM input'!$I$163+'PTRM input'!$I$129)*$I$7)/A21taxstdlife))</f>
        <v>0</v>
      </c>
      <c r="AO744" s="590">
        <f>IF(A21taxstdlife="n/a","n/a",IF(AO$3&gt;(A21taxstdlife+$E744),(('PTRM input'!$I$163+'PTRM input'!$I$129)*$I$7)-SUM($I744:AN744),(('PTRM input'!$I$163+'PTRM input'!$I$129)*$I$7)/A21taxstdlife))</f>
        <v>0</v>
      </c>
      <c r="AP744" s="590">
        <f>IF(A21taxstdlife="n/a","n/a",IF(AP$3&gt;(A21taxstdlife+$E744),(('PTRM input'!$I$163+'PTRM input'!$I$129)*$I$7)-SUM($I744:AO744),(('PTRM input'!$I$163+'PTRM input'!$I$129)*$I$7)/A21taxstdlife))</f>
        <v>0</v>
      </c>
      <c r="AQ744" s="590">
        <f>IF(A21taxstdlife="n/a","n/a",IF(AQ$3&gt;(A21taxstdlife+$E744),(('PTRM input'!$I$163+'PTRM input'!$I$129)*$I$7)-SUM($I744:AP744),(('PTRM input'!$I$163+'PTRM input'!$I$129)*$I$7)/A21taxstdlife))</f>
        <v>0</v>
      </c>
      <c r="AR744" s="590">
        <f>IF(A21taxstdlife="n/a","n/a",IF(AR$3&gt;(A21taxstdlife+$E744),(('PTRM input'!$I$163+'PTRM input'!$I$129)*$I$7)-SUM($I744:AQ744),(('PTRM input'!$I$163+'PTRM input'!$I$129)*$I$7)/A21taxstdlife))</f>
        <v>0</v>
      </c>
      <c r="AS744" s="590">
        <f>IF(A21taxstdlife="n/a","n/a",IF(AS$3&gt;(A21taxstdlife+$E744),(('PTRM input'!$I$163+'PTRM input'!$I$129)*$I$7)-SUM($I744:AR744),(('PTRM input'!$I$163+'PTRM input'!$I$129)*$I$7)/A21taxstdlife))</f>
        <v>0</v>
      </c>
      <c r="AT744" s="590">
        <f>IF(A21taxstdlife="n/a","n/a",IF(AT$3&gt;(A21taxstdlife+$E744),(('PTRM input'!$I$163+'PTRM input'!$I$129)*$I$7)-SUM($I744:AS744),(('PTRM input'!$I$163+'PTRM input'!$I$129)*$I$7)/A21taxstdlife))</f>
        <v>0</v>
      </c>
      <c r="AU744" s="590">
        <f>IF(A21taxstdlife="n/a","n/a",IF(AU$3&gt;(A21taxstdlife+$E744),(('PTRM input'!$I$163+'PTRM input'!$I$129)*$I$7)-SUM($I744:AT744),(('PTRM input'!$I$163+'PTRM input'!$I$129)*$I$7)/A21taxstdlife))</f>
        <v>0</v>
      </c>
      <c r="AV744" s="590">
        <f>IF(A21taxstdlife="n/a","n/a",IF(AV$3&gt;(A21taxstdlife+$E744),(('PTRM input'!$I$163+'PTRM input'!$I$129)*$I$7)-SUM($I744:AU744),(('PTRM input'!$I$163+'PTRM input'!$I$129)*$I$7)/A21taxstdlife))</f>
        <v>0</v>
      </c>
      <c r="AW744" s="590">
        <f>IF(A21taxstdlife="n/a","n/a",IF(AW$3&gt;(A21taxstdlife+$E744),(('PTRM input'!$I$163+'PTRM input'!$I$129)*$I$7)-SUM($I744:AV744),(('PTRM input'!$I$163+'PTRM input'!$I$129)*$I$7)/A21taxstdlife))</f>
        <v>0</v>
      </c>
      <c r="AX744" s="590">
        <f>IF(A21taxstdlife="n/a","n/a",IF(AX$3&gt;(A21taxstdlife+$E744),(('PTRM input'!$I$163+'PTRM input'!$I$129)*$I$7)-SUM($I744:AW744),(('PTRM input'!$I$163+'PTRM input'!$I$129)*$I$7)/A21taxstdlife))</f>
        <v>0</v>
      </c>
      <c r="AY744" s="590">
        <f>IF(A21taxstdlife="n/a","n/a",IF(AY$3&gt;(A21taxstdlife+$E744),(('PTRM input'!$I$163+'PTRM input'!$I$129)*$I$7)-SUM($I744:AX744),(('PTRM input'!$I$163+'PTRM input'!$I$129)*$I$7)/A21taxstdlife))</f>
        <v>0</v>
      </c>
      <c r="AZ744" s="590">
        <f>IF(A21taxstdlife="n/a","n/a",IF(AZ$3&gt;(A21taxstdlife+$E744),(('PTRM input'!$I$163+'PTRM input'!$I$129)*$I$7)-SUM($I744:AY744),(('PTRM input'!$I$163+'PTRM input'!$I$129)*$I$7)/A21taxstdlife))</f>
        <v>0</v>
      </c>
      <c r="BA744" s="590">
        <f>IF(A21taxstdlife="n/a","n/a",IF(BA$3&gt;(A21taxstdlife+$E744),(('PTRM input'!$I$163+'PTRM input'!$I$129)*$I$7)-SUM($I744:AZ744),(('PTRM input'!$I$163+'PTRM input'!$I$129)*$I$7)/A21taxstdlife))</f>
        <v>0</v>
      </c>
      <c r="BB744" s="590">
        <f>IF(A21taxstdlife="n/a","n/a",IF(BB$3&gt;(A21taxstdlife+$E744),(('PTRM input'!$I$163+'PTRM input'!$I$129)*$I$7)-SUM($I744:BA744),(('PTRM input'!$I$163+'PTRM input'!$I$129)*$I$7)/A21taxstdlife))</f>
        <v>0</v>
      </c>
      <c r="BC744" s="590">
        <f>IF(A21taxstdlife="n/a","n/a",IF(BC$3&gt;(A21taxstdlife+$E744),(('PTRM input'!$I$163+'PTRM input'!$I$129)*$I$7)-SUM($I744:BB744),(('PTRM input'!$I$163+'PTRM input'!$I$129)*$I$7)/A21taxstdlife))</f>
        <v>0</v>
      </c>
      <c r="BD744" s="590">
        <f>IF(A21taxstdlife="n/a","n/a",IF(BD$3&gt;(A21taxstdlife+$E744),(('PTRM input'!$I$163+'PTRM input'!$I$129)*$I$7)-SUM($I744:BC744),(('PTRM input'!$I$163+'PTRM input'!$I$129)*$I$7)/A21taxstdlife))</f>
        <v>0</v>
      </c>
      <c r="BE744" s="590">
        <f>IF(A21taxstdlife="n/a","n/a",IF(BE$3&gt;(A21taxstdlife+$E744),(('PTRM input'!$I$163+'PTRM input'!$I$129)*$I$7)-SUM($I744:BD744),(('PTRM input'!$I$163+'PTRM input'!$I$129)*$I$7)/A21taxstdlife))</f>
        <v>0</v>
      </c>
      <c r="BF744" s="590">
        <f>IF(A21taxstdlife="n/a","n/a",IF(BF$3&gt;(A21taxstdlife+$E744),(('PTRM input'!$I$163+'PTRM input'!$I$129)*$I$7)-SUM($I744:BE744),(('PTRM input'!$I$163+'PTRM input'!$I$129)*$I$7)/A21taxstdlife))</f>
        <v>0</v>
      </c>
      <c r="BG744" s="590">
        <f>IF(A21taxstdlife="n/a","n/a",IF(BG$3&gt;(A21taxstdlife+$E744),(('PTRM input'!$I$163+'PTRM input'!$I$129)*$I$7)-SUM($I744:BF744),(('PTRM input'!$I$163+'PTRM input'!$I$129)*$I$7)/A21taxstdlife))</f>
        <v>0</v>
      </c>
      <c r="BH744" s="590">
        <f>IF(A21taxstdlife="n/a","n/a",IF(BH$3&gt;(A21taxstdlife+$E744),(('PTRM input'!$I$163+'PTRM input'!$I$129)*$I$7)-SUM($I744:BG744),(('PTRM input'!$I$163+'PTRM input'!$I$129)*$I$7)/A21taxstdlife))</f>
        <v>0</v>
      </c>
      <c r="BI744" s="590">
        <f>IF(A21taxstdlife="n/a","n/a",IF(BI$3&gt;(A21taxstdlife+$E744),(('PTRM input'!$I$163+'PTRM input'!$I$129)*$I$7)-SUM($I744:BH744),(('PTRM input'!$I$163+'PTRM input'!$I$129)*$I$7)/A21taxstdlife))</f>
        <v>0</v>
      </c>
      <c r="BJ744" s="590"/>
      <c r="BK744" s="240"/>
      <c r="BL744" s="240"/>
      <c r="BM744" s="240"/>
    </row>
    <row r="745" spans="1:65" s="4" customFormat="1" hidden="1" outlineLevel="2">
      <c r="A745" s="240"/>
      <c r="B745" s="240"/>
      <c r="C745" s="595"/>
      <c r="D745" s="1618"/>
      <c r="E745" s="169">
        <v>4</v>
      </c>
      <c r="F745" s="35"/>
      <c r="G745" s="184"/>
      <c r="H745" s="186"/>
      <c r="I745" s="186"/>
      <c r="J745" s="185"/>
      <c r="K745" s="107">
        <f>IF(A21taxstdlife="n/a","n/a",IF(K$3&gt;(A21taxstdlife+$E745),(('PTRM input'!$J$163+'PTRM input'!$J$129)*$J$7)-SUM($J745:J745),(('PTRM input'!$J$163+'PTRM input'!$J$129)*$J$7)/A21taxstdlife))</f>
        <v>0</v>
      </c>
      <c r="L745" s="107">
        <f>IF(A21taxstdlife="n/a","n/a",IF(L$3&gt;(A21taxstdlife+$E745),(('PTRM input'!$J$163+'PTRM input'!$J$129)*$J$7)-SUM($J745:K745),(('PTRM input'!$J$163+'PTRM input'!$J$129)*$J$7)/A21taxstdlife))</f>
        <v>0</v>
      </c>
      <c r="M745" s="107">
        <f>IF(A21taxstdlife="n/a","n/a",IF(M$3&gt;(A21taxstdlife+$E745),(('PTRM input'!$J$163+'PTRM input'!$J$129)*$J$7)-SUM($J745:L745),(('PTRM input'!$J$163+'PTRM input'!$J$129)*$J$7)/A21taxstdlife))</f>
        <v>0</v>
      </c>
      <c r="N745" s="107">
        <f>IF(A21taxstdlife="n/a","n/a",IF(N$3&gt;(A21taxstdlife+$E745),(('PTRM input'!$J$163+'PTRM input'!$J$129)*$J$7)-SUM($J745:M745),(('PTRM input'!$J$163+'PTRM input'!$J$129)*$J$7)/A21taxstdlife))</f>
        <v>0</v>
      </c>
      <c r="O745" s="107">
        <f>IF(A21taxstdlife="n/a","n/a",IF(O$3&gt;(A21taxstdlife+$E745),(('PTRM input'!$J$163+'PTRM input'!$J$129)*$J$7)-SUM($J745:N745),(('PTRM input'!$J$163+'PTRM input'!$J$129)*$J$7)/A21taxstdlife))</f>
        <v>0</v>
      </c>
      <c r="P745" s="107">
        <f>IF(A21taxstdlife="n/a","n/a",IF(P$3&gt;(A21taxstdlife+$E745),(('PTRM input'!$J$163+'PTRM input'!$J$129)*$J$7)-SUM($J745:O745),(('PTRM input'!$J$163+'PTRM input'!$J$129)*$J$7)/A21taxstdlife))</f>
        <v>0</v>
      </c>
      <c r="Q745" s="590">
        <f>IF(A21taxstdlife="n/a","n/a",IF(Q$3&gt;(A21taxstdlife+$E745),(('PTRM input'!$J$163+'PTRM input'!$J$129)*$J$7)-SUM($J745:P745),(('PTRM input'!$J$163+'PTRM input'!$J$129)*$J$7)/A21taxstdlife))</f>
        <v>0</v>
      </c>
      <c r="R745" s="590">
        <f>IF(A21taxstdlife="n/a","n/a",IF(R$3&gt;(A21taxstdlife+$E745),(('PTRM input'!$J$163+'PTRM input'!$J$129)*$J$7)-SUM($J745:Q745),(('PTRM input'!$J$163+'PTRM input'!$J$129)*$J$7)/A21taxstdlife))</f>
        <v>0</v>
      </c>
      <c r="S745" s="590">
        <f>IF(A21taxstdlife="n/a","n/a",IF(S$3&gt;(A21taxstdlife+$E745),(('PTRM input'!$J$163+'PTRM input'!$J$129)*$J$7)-SUM($J745:R745),(('PTRM input'!$J$163+'PTRM input'!$J$129)*$J$7)/A21taxstdlife))</f>
        <v>0</v>
      </c>
      <c r="T745" s="590">
        <f>IF(A21taxstdlife="n/a","n/a",IF(T$3&gt;(A21taxstdlife+$E745),(('PTRM input'!$J$163+'PTRM input'!$J$129)*$J$7)-SUM($J745:S745),(('PTRM input'!$J$163+'PTRM input'!$J$129)*$J$7)/A21taxstdlife))</f>
        <v>0</v>
      </c>
      <c r="U745" s="590">
        <f>IF(A21taxstdlife="n/a","n/a",IF(U$3&gt;(A21taxstdlife+$E745),(('PTRM input'!$J$163+'PTRM input'!$J$129)*$J$7)-SUM($J745:T745),(('PTRM input'!$J$163+'PTRM input'!$J$129)*$J$7)/A21taxstdlife))</f>
        <v>0</v>
      </c>
      <c r="V745" s="590">
        <f>IF(A21taxstdlife="n/a","n/a",IF(V$3&gt;(A21taxstdlife+$E745),(('PTRM input'!$J$163+'PTRM input'!$J$129)*$J$7)-SUM($J745:U745),(('PTRM input'!$J$163+'PTRM input'!$J$129)*$J$7)/A21taxstdlife))</f>
        <v>0</v>
      </c>
      <c r="W745" s="590">
        <f>IF(A21taxstdlife="n/a","n/a",IF(W$3&gt;(A21taxstdlife+$E745),(('PTRM input'!$J$163+'PTRM input'!$J$129)*$J$7)-SUM($J745:V745),(('PTRM input'!$J$163+'PTRM input'!$J$129)*$J$7)/A21taxstdlife))</f>
        <v>0</v>
      </c>
      <c r="X745" s="590">
        <f>IF(A21taxstdlife="n/a","n/a",IF(X$3&gt;(A21taxstdlife+$E745),(('PTRM input'!$J$163+'PTRM input'!$J$129)*$J$7)-SUM($J745:W745),(('PTRM input'!$J$163+'PTRM input'!$J$129)*$J$7)/A21taxstdlife))</f>
        <v>0</v>
      </c>
      <c r="Y745" s="590">
        <f>IF(A21taxstdlife="n/a","n/a",IF(Y$3&gt;(A21taxstdlife+$E745),(('PTRM input'!$J$163+'PTRM input'!$J$129)*$J$7)-SUM($J745:X745),(('PTRM input'!$J$163+'PTRM input'!$J$129)*$J$7)/A21taxstdlife))</f>
        <v>0</v>
      </c>
      <c r="Z745" s="590">
        <f>IF(A21taxstdlife="n/a","n/a",IF(Z$3&gt;(A21taxstdlife+$E745),(('PTRM input'!$J$163+'PTRM input'!$J$129)*$J$7)-SUM($J745:Y745),(('PTRM input'!$J$163+'PTRM input'!$J$129)*$J$7)/A21taxstdlife))</f>
        <v>0</v>
      </c>
      <c r="AA745" s="590">
        <f>IF(A21taxstdlife="n/a","n/a",IF(AA$3&gt;(A21taxstdlife+$E745),(('PTRM input'!$J$163+'PTRM input'!$J$129)*$J$7)-SUM($J745:Z745),(('PTRM input'!$J$163+'PTRM input'!$J$129)*$J$7)/A21taxstdlife))</f>
        <v>0</v>
      </c>
      <c r="AB745" s="590">
        <f>IF(A21taxstdlife="n/a","n/a",IF(AB$3&gt;(A21taxstdlife+$E745),(('PTRM input'!$J$163+'PTRM input'!$J$129)*$J$7)-SUM($J745:AA745),(('PTRM input'!$J$163+'PTRM input'!$J$129)*$J$7)/A21taxstdlife))</f>
        <v>0</v>
      </c>
      <c r="AC745" s="590">
        <f>IF(A21taxstdlife="n/a","n/a",IF(AC$3&gt;(A21taxstdlife+$E745),(('PTRM input'!$J$163+'PTRM input'!$J$129)*$J$7)-SUM($J745:AB745),(('PTRM input'!$J$163+'PTRM input'!$J$129)*$J$7)/A21taxstdlife))</f>
        <v>0</v>
      </c>
      <c r="AD745" s="590">
        <f>IF(A21taxstdlife="n/a","n/a",IF(AD$3&gt;(A21taxstdlife+$E745),(('PTRM input'!$J$163+'PTRM input'!$J$129)*$J$7)-SUM($J745:AC745),(('PTRM input'!$J$163+'PTRM input'!$J$129)*$J$7)/A21taxstdlife))</f>
        <v>0</v>
      </c>
      <c r="AE745" s="590">
        <f>IF(A21taxstdlife="n/a","n/a",IF(AE$3&gt;(A21taxstdlife+$E745),(('PTRM input'!$J$163+'PTRM input'!$J$129)*$J$7)-SUM($J745:AD745),(('PTRM input'!$J$163+'PTRM input'!$J$129)*$J$7)/A21taxstdlife))</f>
        <v>0</v>
      </c>
      <c r="AF745" s="590">
        <f>IF(A21taxstdlife="n/a","n/a",IF(AF$3&gt;(A21taxstdlife+$E745),(('PTRM input'!$J$163+'PTRM input'!$J$129)*$J$7)-SUM($J745:AE745),(('PTRM input'!$J$163+'PTRM input'!$J$129)*$J$7)/A21taxstdlife))</f>
        <v>0</v>
      </c>
      <c r="AG745" s="590">
        <f>IF(A21taxstdlife="n/a","n/a",IF(AG$3&gt;(A21taxstdlife+$E745),(('PTRM input'!$J$163+'PTRM input'!$J$129)*$J$7)-SUM($J745:AF745),(('PTRM input'!$J$163+'PTRM input'!$J$129)*$J$7)/A21taxstdlife))</f>
        <v>0</v>
      </c>
      <c r="AH745" s="590">
        <f>IF(A21taxstdlife="n/a","n/a",IF(AH$3&gt;(A21taxstdlife+$E745),(('PTRM input'!$J$163+'PTRM input'!$J$129)*$J$7)-SUM($J745:AG745),(('PTRM input'!$J$163+'PTRM input'!$J$129)*$J$7)/A21taxstdlife))</f>
        <v>0</v>
      </c>
      <c r="AI745" s="590">
        <f>IF(A21taxstdlife="n/a","n/a",IF(AI$3&gt;(A21taxstdlife+$E745),(('PTRM input'!$J$163+'PTRM input'!$J$129)*$J$7)-SUM($J745:AH745),(('PTRM input'!$J$163+'PTRM input'!$J$129)*$J$7)/A21taxstdlife))</f>
        <v>0</v>
      </c>
      <c r="AJ745" s="590">
        <f>IF(A21taxstdlife="n/a","n/a",IF(AJ$3&gt;(A21taxstdlife+$E745),(('PTRM input'!$J$163+'PTRM input'!$J$129)*$J$7)-SUM($J745:AI745),(('PTRM input'!$J$163+'PTRM input'!$J$129)*$J$7)/A21taxstdlife))</f>
        <v>0</v>
      </c>
      <c r="AK745" s="590">
        <f>IF(A21taxstdlife="n/a","n/a",IF(AK$3&gt;(A21taxstdlife+$E745),(('PTRM input'!$J$163+'PTRM input'!$J$129)*$J$7)-SUM($J745:AJ745),(('PTRM input'!$J$163+'PTRM input'!$J$129)*$J$7)/A21taxstdlife))</f>
        <v>0</v>
      </c>
      <c r="AL745" s="590">
        <f>IF(A21taxstdlife="n/a","n/a",IF(AL$3&gt;(A21taxstdlife+$E745),(('PTRM input'!$J$163+'PTRM input'!$J$129)*$J$7)-SUM($J745:AK745),(('PTRM input'!$J$163+'PTRM input'!$J$129)*$J$7)/A21taxstdlife))</f>
        <v>0</v>
      </c>
      <c r="AM745" s="590">
        <f>IF(A21taxstdlife="n/a","n/a",IF(AM$3&gt;(A21taxstdlife+$E745),(('PTRM input'!$J$163+'PTRM input'!$J$129)*$J$7)-SUM($J745:AL745),(('PTRM input'!$J$163+'PTRM input'!$J$129)*$J$7)/A21taxstdlife))</f>
        <v>0</v>
      </c>
      <c r="AN745" s="590">
        <f>IF(A21taxstdlife="n/a","n/a",IF(AN$3&gt;(A21taxstdlife+$E745),(('PTRM input'!$J$163+'PTRM input'!$J$129)*$J$7)-SUM($J745:AM745),(('PTRM input'!$J$163+'PTRM input'!$J$129)*$J$7)/A21taxstdlife))</f>
        <v>0</v>
      </c>
      <c r="AO745" s="590">
        <f>IF(A21taxstdlife="n/a","n/a",IF(AO$3&gt;(A21taxstdlife+$E745),(('PTRM input'!$J$163+'PTRM input'!$J$129)*$J$7)-SUM($J745:AN745),(('PTRM input'!$J$163+'PTRM input'!$J$129)*$J$7)/A21taxstdlife))</f>
        <v>0</v>
      </c>
      <c r="AP745" s="590">
        <f>IF(A21taxstdlife="n/a","n/a",IF(AP$3&gt;(A21taxstdlife+$E745),(('PTRM input'!$J$163+'PTRM input'!$J$129)*$J$7)-SUM($J745:AO745),(('PTRM input'!$J$163+'PTRM input'!$J$129)*$J$7)/A21taxstdlife))</f>
        <v>0</v>
      </c>
      <c r="AQ745" s="590">
        <f>IF(A21taxstdlife="n/a","n/a",IF(AQ$3&gt;(A21taxstdlife+$E745),(('PTRM input'!$J$163+'PTRM input'!$J$129)*$J$7)-SUM($J745:AP745),(('PTRM input'!$J$163+'PTRM input'!$J$129)*$J$7)/A21taxstdlife))</f>
        <v>0</v>
      </c>
      <c r="AR745" s="590">
        <f>IF(A21taxstdlife="n/a","n/a",IF(AR$3&gt;(A21taxstdlife+$E745),(('PTRM input'!$J$163+'PTRM input'!$J$129)*$J$7)-SUM($J745:AQ745),(('PTRM input'!$J$163+'PTRM input'!$J$129)*$J$7)/A21taxstdlife))</f>
        <v>0</v>
      </c>
      <c r="AS745" s="590">
        <f>IF(A21taxstdlife="n/a","n/a",IF(AS$3&gt;(A21taxstdlife+$E745),(('PTRM input'!$J$163+'PTRM input'!$J$129)*$J$7)-SUM($J745:AR745),(('PTRM input'!$J$163+'PTRM input'!$J$129)*$J$7)/A21taxstdlife))</f>
        <v>0</v>
      </c>
      <c r="AT745" s="590">
        <f>IF(A21taxstdlife="n/a","n/a",IF(AT$3&gt;(A21taxstdlife+$E745),(('PTRM input'!$J$163+'PTRM input'!$J$129)*$J$7)-SUM($J745:AS745),(('PTRM input'!$J$163+'PTRM input'!$J$129)*$J$7)/A21taxstdlife))</f>
        <v>0</v>
      </c>
      <c r="AU745" s="590">
        <f>IF(A21taxstdlife="n/a","n/a",IF(AU$3&gt;(A21taxstdlife+$E745),(('PTRM input'!$J$163+'PTRM input'!$J$129)*$J$7)-SUM($J745:AT745),(('PTRM input'!$J$163+'PTRM input'!$J$129)*$J$7)/A21taxstdlife))</f>
        <v>0</v>
      </c>
      <c r="AV745" s="590">
        <f>IF(A21taxstdlife="n/a","n/a",IF(AV$3&gt;(A21taxstdlife+$E745),(('PTRM input'!$J$163+'PTRM input'!$J$129)*$J$7)-SUM($J745:AU745),(('PTRM input'!$J$163+'PTRM input'!$J$129)*$J$7)/A21taxstdlife))</f>
        <v>0</v>
      </c>
      <c r="AW745" s="590">
        <f>IF(A21taxstdlife="n/a","n/a",IF(AW$3&gt;(A21taxstdlife+$E745),(('PTRM input'!$J$163+'PTRM input'!$J$129)*$J$7)-SUM($J745:AV745),(('PTRM input'!$J$163+'PTRM input'!$J$129)*$J$7)/A21taxstdlife))</f>
        <v>0</v>
      </c>
      <c r="AX745" s="590">
        <f>IF(A21taxstdlife="n/a","n/a",IF(AX$3&gt;(A21taxstdlife+$E745),(('PTRM input'!$J$163+'PTRM input'!$J$129)*$J$7)-SUM($J745:AW745),(('PTRM input'!$J$163+'PTRM input'!$J$129)*$J$7)/A21taxstdlife))</f>
        <v>0</v>
      </c>
      <c r="AY745" s="590">
        <f>IF(A21taxstdlife="n/a","n/a",IF(AY$3&gt;(A21taxstdlife+$E745),(('PTRM input'!$J$163+'PTRM input'!$J$129)*$J$7)-SUM($J745:AX745),(('PTRM input'!$J$163+'PTRM input'!$J$129)*$J$7)/A21taxstdlife))</f>
        <v>0</v>
      </c>
      <c r="AZ745" s="590">
        <f>IF(A21taxstdlife="n/a","n/a",IF(AZ$3&gt;(A21taxstdlife+$E745),(('PTRM input'!$J$163+'PTRM input'!$J$129)*$J$7)-SUM($J745:AY745),(('PTRM input'!$J$163+'PTRM input'!$J$129)*$J$7)/A21taxstdlife))</f>
        <v>0</v>
      </c>
      <c r="BA745" s="590">
        <f>IF(A21taxstdlife="n/a","n/a",IF(BA$3&gt;(A21taxstdlife+$E745),(('PTRM input'!$J$163+'PTRM input'!$J$129)*$J$7)-SUM($J745:AZ745),(('PTRM input'!$J$163+'PTRM input'!$J$129)*$J$7)/A21taxstdlife))</f>
        <v>0</v>
      </c>
      <c r="BB745" s="590">
        <f>IF(A21taxstdlife="n/a","n/a",IF(BB$3&gt;(A21taxstdlife+$E745),(('PTRM input'!$J$163+'PTRM input'!$J$129)*$J$7)-SUM($J745:BA745),(('PTRM input'!$J$163+'PTRM input'!$J$129)*$J$7)/A21taxstdlife))</f>
        <v>0</v>
      </c>
      <c r="BC745" s="590">
        <f>IF(A21taxstdlife="n/a","n/a",IF(BC$3&gt;(A21taxstdlife+$E745),(('PTRM input'!$J$163+'PTRM input'!$J$129)*$J$7)-SUM($J745:BB745),(('PTRM input'!$J$163+'PTRM input'!$J$129)*$J$7)/A21taxstdlife))</f>
        <v>0</v>
      </c>
      <c r="BD745" s="590">
        <f>IF(A21taxstdlife="n/a","n/a",IF(BD$3&gt;(A21taxstdlife+$E745),(('PTRM input'!$J$163+'PTRM input'!$J$129)*$J$7)-SUM($J745:BC745),(('PTRM input'!$J$163+'PTRM input'!$J$129)*$J$7)/A21taxstdlife))</f>
        <v>0</v>
      </c>
      <c r="BE745" s="590">
        <f>IF(A21taxstdlife="n/a","n/a",IF(BE$3&gt;(A21taxstdlife+$E745),(('PTRM input'!$J$163+'PTRM input'!$J$129)*$J$7)-SUM($J745:BD745),(('PTRM input'!$J$163+'PTRM input'!$J$129)*$J$7)/A21taxstdlife))</f>
        <v>0</v>
      </c>
      <c r="BF745" s="590">
        <f>IF(A21taxstdlife="n/a","n/a",IF(BF$3&gt;(A21taxstdlife+$E745),(('PTRM input'!$J$163+'PTRM input'!$J$129)*$J$7)-SUM($J745:BE745),(('PTRM input'!$J$163+'PTRM input'!$J$129)*$J$7)/A21taxstdlife))</f>
        <v>0</v>
      </c>
      <c r="BG745" s="590">
        <f>IF(A21taxstdlife="n/a","n/a",IF(BG$3&gt;(A21taxstdlife+$E745),(('PTRM input'!$J$163+'PTRM input'!$J$129)*$J$7)-SUM($J745:BF745),(('PTRM input'!$J$163+'PTRM input'!$J$129)*$J$7)/A21taxstdlife))</f>
        <v>0</v>
      </c>
      <c r="BH745" s="590">
        <f>IF(A21taxstdlife="n/a","n/a",IF(BH$3&gt;(A21taxstdlife+$E745),(('PTRM input'!$J$163+'PTRM input'!$J$129)*$J$7)-SUM($J745:BG745),(('PTRM input'!$J$163+'PTRM input'!$J$129)*$J$7)/A21taxstdlife))</f>
        <v>0</v>
      </c>
      <c r="BI745" s="590">
        <f>IF(A21taxstdlife="n/a","n/a",IF(BI$3&gt;(A21taxstdlife+$E745),(('PTRM input'!$J$163+'PTRM input'!$J$129)*$J$7)-SUM($J745:BH745),(('PTRM input'!$J$163+'PTRM input'!$J$129)*$J$7)/A21taxstdlife))</f>
        <v>0</v>
      </c>
      <c r="BJ745" s="240"/>
      <c r="BK745" s="240"/>
      <c r="BL745" s="240"/>
      <c r="BM745" s="240"/>
    </row>
    <row r="746" spans="1:65" s="4" customFormat="1" hidden="1" outlineLevel="2">
      <c r="A746" s="240"/>
      <c r="B746" s="240"/>
      <c r="C746" s="595"/>
      <c r="D746" s="1618"/>
      <c r="E746" s="169">
        <v>5</v>
      </c>
      <c r="F746" s="35"/>
      <c r="G746" s="184"/>
      <c r="H746" s="186"/>
      <c r="I746" s="186"/>
      <c r="J746" s="186"/>
      <c r="K746" s="185"/>
      <c r="L746" s="107">
        <f>IF(A21taxstdlife="n/a","n/a",IF(L$3&gt;(A21taxstdlife+$E746),(('PTRM input'!$K$163+'PTRM input'!$K$129)*$K$7)-SUM($K746:K746),(('PTRM input'!$K$163+'PTRM input'!$K$129)*$K$7)/A21taxstdlife))</f>
        <v>0</v>
      </c>
      <c r="M746" s="107">
        <f>IF(A21taxstdlife="n/a","n/a",IF(M$3&gt;(A21taxstdlife+$E746),(('PTRM input'!$K$163+'PTRM input'!$K$129)*$K$7)-SUM($K746:L746),(('PTRM input'!$K$163+'PTRM input'!$K$129)*$K$7)/A21taxstdlife))</f>
        <v>0</v>
      </c>
      <c r="N746" s="107">
        <f>IF(A21taxstdlife="n/a","n/a",IF(N$3&gt;(A21taxstdlife+$E746),(('PTRM input'!$K$163+'PTRM input'!$K$129)*$K$7)-SUM($K746:M746),(('PTRM input'!$K$163+'PTRM input'!$K$129)*$K$7)/A21taxstdlife))</f>
        <v>0</v>
      </c>
      <c r="O746" s="107">
        <f>IF(A21taxstdlife="n/a","n/a",IF(O$3&gt;(A21taxstdlife+$E746),(('PTRM input'!$K$163+'PTRM input'!$K$129)*$K$7)-SUM($K746:N746),(('PTRM input'!$K$163+'PTRM input'!$K$129)*$K$7)/A21taxstdlife))</f>
        <v>0</v>
      </c>
      <c r="P746" s="107">
        <f>IF(A21taxstdlife="n/a","n/a",IF(P$3&gt;(A21taxstdlife+$E746),(('PTRM input'!$K$163+'PTRM input'!$K$129)*$K$7)-SUM($K746:O746),(('PTRM input'!$K$163+'PTRM input'!$K$129)*$K$7)/A21taxstdlife))</f>
        <v>0</v>
      </c>
      <c r="Q746" s="590">
        <f>IF(A21taxstdlife="n/a","n/a",IF(Q$3&gt;(A21taxstdlife+$E746),(('PTRM input'!$K$163+'PTRM input'!$K$129)*$K$7)-SUM($K746:P746),(('PTRM input'!$K$163+'PTRM input'!$K$129)*$K$7)/A21taxstdlife))</f>
        <v>0</v>
      </c>
      <c r="R746" s="590">
        <f>IF(A21taxstdlife="n/a","n/a",IF(R$3&gt;(A21taxstdlife+$E746),(('PTRM input'!$K$163+'PTRM input'!$K$129)*$K$7)-SUM($K746:Q746),(('PTRM input'!$K$163+'PTRM input'!$K$129)*$K$7)/A21taxstdlife))</f>
        <v>0</v>
      </c>
      <c r="S746" s="590">
        <f>IF(A21taxstdlife="n/a","n/a",IF(S$3&gt;(A21taxstdlife+$E746),(('PTRM input'!$K$163+'PTRM input'!$K$129)*$K$7)-SUM($K746:R746),(('PTRM input'!$K$163+'PTRM input'!$K$129)*$K$7)/A21taxstdlife))</f>
        <v>0</v>
      </c>
      <c r="T746" s="590">
        <f>IF(A21taxstdlife="n/a","n/a",IF(T$3&gt;(A21taxstdlife+$E746),(('PTRM input'!$K$163+'PTRM input'!$K$129)*$K$7)-SUM($K746:S746),(('PTRM input'!$K$163+'PTRM input'!$K$129)*$K$7)/A21taxstdlife))</f>
        <v>0</v>
      </c>
      <c r="U746" s="590">
        <f>IF(A21taxstdlife="n/a","n/a",IF(U$3&gt;(A21taxstdlife+$E746),(('PTRM input'!$K$163+'PTRM input'!$K$129)*$K$7)-SUM($K746:T746),(('PTRM input'!$K$163+'PTRM input'!$K$129)*$K$7)/A21taxstdlife))</f>
        <v>0</v>
      </c>
      <c r="V746" s="590">
        <f>IF(A21taxstdlife="n/a","n/a",IF(V$3&gt;(A21taxstdlife+$E746),(('PTRM input'!$K$163+'PTRM input'!$K$129)*$K$7)-SUM($K746:U746),(('PTRM input'!$K$163+'PTRM input'!$K$129)*$K$7)/A21taxstdlife))</f>
        <v>0</v>
      </c>
      <c r="W746" s="590">
        <f>IF(A21taxstdlife="n/a","n/a",IF(W$3&gt;(A21taxstdlife+$E746),(('PTRM input'!$K$163+'PTRM input'!$K$129)*$K$7)-SUM($K746:V746),(('PTRM input'!$K$163+'PTRM input'!$K$129)*$K$7)/A21taxstdlife))</f>
        <v>0</v>
      </c>
      <c r="X746" s="590">
        <f>IF(A21taxstdlife="n/a","n/a",IF(X$3&gt;(A21taxstdlife+$E746),(('PTRM input'!$K$163+'PTRM input'!$K$129)*$K$7)-SUM($K746:W746),(('PTRM input'!$K$163+'PTRM input'!$K$129)*$K$7)/A21taxstdlife))</f>
        <v>0</v>
      </c>
      <c r="Y746" s="590">
        <f>IF(A21taxstdlife="n/a","n/a",IF(Y$3&gt;(A21taxstdlife+$E746),(('PTRM input'!$K$163+'PTRM input'!$K$129)*$K$7)-SUM($K746:X746),(('PTRM input'!$K$163+'PTRM input'!$K$129)*$K$7)/A21taxstdlife))</f>
        <v>0</v>
      </c>
      <c r="Z746" s="590">
        <f>IF(A21taxstdlife="n/a","n/a",IF(Z$3&gt;(A21taxstdlife+$E746),(('PTRM input'!$K$163+'PTRM input'!$K$129)*$K$7)-SUM($K746:Y746),(('PTRM input'!$K$163+'PTRM input'!$K$129)*$K$7)/A21taxstdlife))</f>
        <v>0</v>
      </c>
      <c r="AA746" s="590">
        <f>IF(A21taxstdlife="n/a","n/a",IF(AA$3&gt;(A21taxstdlife+$E746),(('PTRM input'!$K$163+'PTRM input'!$K$129)*$K$7)-SUM($K746:Z746),(('PTRM input'!$K$163+'PTRM input'!$K$129)*$K$7)/A21taxstdlife))</f>
        <v>0</v>
      </c>
      <c r="AB746" s="590">
        <f>IF(A21taxstdlife="n/a","n/a",IF(AB$3&gt;(A21taxstdlife+$E746),(('PTRM input'!$K$163+'PTRM input'!$K$129)*$K$7)-SUM($K746:AA746),(('PTRM input'!$K$163+'PTRM input'!$K$129)*$K$7)/A21taxstdlife))</f>
        <v>0</v>
      </c>
      <c r="AC746" s="590">
        <f>IF(A21taxstdlife="n/a","n/a",IF(AC$3&gt;(A21taxstdlife+$E746),(('PTRM input'!$K$163+'PTRM input'!$K$129)*$K$7)-SUM($K746:AB746),(('PTRM input'!$K$163+'PTRM input'!$K$129)*$K$7)/A21taxstdlife))</f>
        <v>0</v>
      </c>
      <c r="AD746" s="590">
        <f>IF(A21taxstdlife="n/a","n/a",IF(AD$3&gt;(A21taxstdlife+$E746),(('PTRM input'!$K$163+'PTRM input'!$K$129)*$K$7)-SUM($K746:AC746),(('PTRM input'!$K$163+'PTRM input'!$K$129)*$K$7)/A21taxstdlife))</f>
        <v>0</v>
      </c>
      <c r="AE746" s="590">
        <f>IF(A21taxstdlife="n/a","n/a",IF(AE$3&gt;(A21taxstdlife+$E746),(('PTRM input'!$K$163+'PTRM input'!$K$129)*$K$7)-SUM($K746:AD746),(('PTRM input'!$K$163+'PTRM input'!$K$129)*$K$7)/A21taxstdlife))</f>
        <v>0</v>
      </c>
      <c r="AF746" s="590">
        <f>IF(A21taxstdlife="n/a","n/a",IF(AF$3&gt;(A21taxstdlife+$E746),(('PTRM input'!$K$163+'PTRM input'!$K$129)*$K$7)-SUM($K746:AE746),(('PTRM input'!$K$163+'PTRM input'!$K$129)*$K$7)/A21taxstdlife))</f>
        <v>0</v>
      </c>
      <c r="AG746" s="590">
        <f>IF(A21taxstdlife="n/a","n/a",IF(AG$3&gt;(A21taxstdlife+$E746),(('PTRM input'!$K$163+'PTRM input'!$K$129)*$K$7)-SUM($K746:AF746),(('PTRM input'!$K$163+'PTRM input'!$K$129)*$K$7)/A21taxstdlife))</f>
        <v>0</v>
      </c>
      <c r="AH746" s="590">
        <f>IF(A21taxstdlife="n/a","n/a",IF(AH$3&gt;(A21taxstdlife+$E746),(('PTRM input'!$K$163+'PTRM input'!$K$129)*$K$7)-SUM($K746:AG746),(('PTRM input'!$K$163+'PTRM input'!$K$129)*$K$7)/A21taxstdlife))</f>
        <v>0</v>
      </c>
      <c r="AI746" s="590">
        <f>IF(A21taxstdlife="n/a","n/a",IF(AI$3&gt;(A21taxstdlife+$E746),(('PTRM input'!$K$163+'PTRM input'!$K$129)*$K$7)-SUM($K746:AH746),(('PTRM input'!$K$163+'PTRM input'!$K$129)*$K$7)/A21taxstdlife))</f>
        <v>0</v>
      </c>
      <c r="AJ746" s="590">
        <f>IF(A21taxstdlife="n/a","n/a",IF(AJ$3&gt;(A21taxstdlife+$E746),(('PTRM input'!$K$163+'PTRM input'!$K$129)*$K$7)-SUM($K746:AI746),(('PTRM input'!$K$163+'PTRM input'!$K$129)*$K$7)/A21taxstdlife))</f>
        <v>0</v>
      </c>
      <c r="AK746" s="590">
        <f>IF(A21taxstdlife="n/a","n/a",IF(AK$3&gt;(A21taxstdlife+$E746),(('PTRM input'!$K$163+'PTRM input'!$K$129)*$K$7)-SUM($K746:AJ746),(('PTRM input'!$K$163+'PTRM input'!$K$129)*$K$7)/A21taxstdlife))</f>
        <v>0</v>
      </c>
      <c r="AL746" s="590">
        <f>IF(A21taxstdlife="n/a","n/a",IF(AL$3&gt;(A21taxstdlife+$E746),(('PTRM input'!$K$163+'PTRM input'!$K$129)*$K$7)-SUM($K746:AK746),(('PTRM input'!$K$163+'PTRM input'!$K$129)*$K$7)/A21taxstdlife))</f>
        <v>0</v>
      </c>
      <c r="AM746" s="590">
        <f>IF(A21taxstdlife="n/a","n/a",IF(AM$3&gt;(A21taxstdlife+$E746),(('PTRM input'!$K$163+'PTRM input'!$K$129)*$K$7)-SUM($K746:AL746),(('PTRM input'!$K$163+'PTRM input'!$K$129)*$K$7)/A21taxstdlife))</f>
        <v>0</v>
      </c>
      <c r="AN746" s="590">
        <f>IF(A21taxstdlife="n/a","n/a",IF(AN$3&gt;(A21taxstdlife+$E746),(('PTRM input'!$K$163+'PTRM input'!$K$129)*$K$7)-SUM($K746:AM746),(('PTRM input'!$K$163+'PTRM input'!$K$129)*$K$7)/A21taxstdlife))</f>
        <v>0</v>
      </c>
      <c r="AO746" s="590">
        <f>IF(A21taxstdlife="n/a","n/a",IF(AO$3&gt;(A21taxstdlife+$E746),(('PTRM input'!$K$163+'PTRM input'!$K$129)*$K$7)-SUM($K746:AN746),(('PTRM input'!$K$163+'PTRM input'!$K$129)*$K$7)/A21taxstdlife))</f>
        <v>0</v>
      </c>
      <c r="AP746" s="590">
        <f>IF(A21taxstdlife="n/a","n/a",IF(AP$3&gt;(A21taxstdlife+$E746),(('PTRM input'!$K$163+'PTRM input'!$K$129)*$K$7)-SUM($K746:AO746),(('PTRM input'!$K$163+'PTRM input'!$K$129)*$K$7)/A21taxstdlife))</f>
        <v>0</v>
      </c>
      <c r="AQ746" s="590">
        <f>IF(A21taxstdlife="n/a","n/a",IF(AQ$3&gt;(A21taxstdlife+$E746),(('PTRM input'!$K$163+'PTRM input'!$K$129)*$K$7)-SUM($K746:AP746),(('PTRM input'!$K$163+'PTRM input'!$K$129)*$K$7)/A21taxstdlife))</f>
        <v>0</v>
      </c>
      <c r="AR746" s="590">
        <f>IF(A21taxstdlife="n/a","n/a",IF(AR$3&gt;(A21taxstdlife+$E746),(('PTRM input'!$K$163+'PTRM input'!$K$129)*$K$7)-SUM($K746:AQ746),(('PTRM input'!$K$163+'PTRM input'!$K$129)*$K$7)/A21taxstdlife))</f>
        <v>0</v>
      </c>
      <c r="AS746" s="590">
        <f>IF(A21taxstdlife="n/a","n/a",IF(AS$3&gt;(A21taxstdlife+$E746),(('PTRM input'!$K$163+'PTRM input'!$K$129)*$K$7)-SUM($K746:AR746),(('PTRM input'!$K$163+'PTRM input'!$K$129)*$K$7)/A21taxstdlife))</f>
        <v>0</v>
      </c>
      <c r="AT746" s="590">
        <f>IF(A21taxstdlife="n/a","n/a",IF(AT$3&gt;(A21taxstdlife+$E746),(('PTRM input'!$K$163+'PTRM input'!$K$129)*$K$7)-SUM($K746:AS746),(('PTRM input'!$K$163+'PTRM input'!$K$129)*$K$7)/A21taxstdlife))</f>
        <v>0</v>
      </c>
      <c r="AU746" s="590">
        <f>IF(A21taxstdlife="n/a","n/a",IF(AU$3&gt;(A21taxstdlife+$E746),(('PTRM input'!$K$163+'PTRM input'!$K$129)*$K$7)-SUM($K746:AT746),(('PTRM input'!$K$163+'PTRM input'!$K$129)*$K$7)/A21taxstdlife))</f>
        <v>0</v>
      </c>
      <c r="AV746" s="590">
        <f>IF(A21taxstdlife="n/a","n/a",IF(AV$3&gt;(A21taxstdlife+$E746),(('PTRM input'!$K$163+'PTRM input'!$K$129)*$K$7)-SUM($K746:AU746),(('PTRM input'!$K$163+'PTRM input'!$K$129)*$K$7)/A21taxstdlife))</f>
        <v>0</v>
      </c>
      <c r="AW746" s="590">
        <f>IF(A21taxstdlife="n/a","n/a",IF(AW$3&gt;(A21taxstdlife+$E746),(('PTRM input'!$K$163+'PTRM input'!$K$129)*$K$7)-SUM($K746:AV746),(('PTRM input'!$K$163+'PTRM input'!$K$129)*$K$7)/A21taxstdlife))</f>
        <v>0</v>
      </c>
      <c r="AX746" s="590">
        <f>IF(A21taxstdlife="n/a","n/a",IF(AX$3&gt;(A21taxstdlife+$E746),(('PTRM input'!$K$163+'PTRM input'!$K$129)*$K$7)-SUM($K746:AW746),(('PTRM input'!$K$163+'PTRM input'!$K$129)*$K$7)/A21taxstdlife))</f>
        <v>0</v>
      </c>
      <c r="AY746" s="590">
        <f>IF(A21taxstdlife="n/a","n/a",IF(AY$3&gt;(A21taxstdlife+$E746),(('PTRM input'!$K$163+'PTRM input'!$K$129)*$K$7)-SUM($K746:AX746),(('PTRM input'!$K$163+'PTRM input'!$K$129)*$K$7)/A21taxstdlife))</f>
        <v>0</v>
      </c>
      <c r="AZ746" s="590">
        <f>IF(A21taxstdlife="n/a","n/a",IF(AZ$3&gt;(A21taxstdlife+$E746),(('PTRM input'!$K$163+'PTRM input'!$K$129)*$K$7)-SUM($K746:AY746),(('PTRM input'!$K$163+'PTRM input'!$K$129)*$K$7)/A21taxstdlife))</f>
        <v>0</v>
      </c>
      <c r="BA746" s="590">
        <f>IF(A21taxstdlife="n/a","n/a",IF(BA$3&gt;(A21taxstdlife+$E746),(('PTRM input'!$K$163+'PTRM input'!$K$129)*$K$7)-SUM($K746:AZ746),(('PTRM input'!$K$163+'PTRM input'!$K$129)*$K$7)/A21taxstdlife))</f>
        <v>0</v>
      </c>
      <c r="BB746" s="590">
        <f>IF(A21taxstdlife="n/a","n/a",IF(BB$3&gt;(A21taxstdlife+$E746),(('PTRM input'!$K$163+'PTRM input'!$K$129)*$K$7)-SUM($K746:BA746),(('PTRM input'!$K$163+'PTRM input'!$K$129)*$K$7)/A21taxstdlife))</f>
        <v>0</v>
      </c>
      <c r="BC746" s="590">
        <f>IF(A21taxstdlife="n/a","n/a",IF(BC$3&gt;(A21taxstdlife+$E746),(('PTRM input'!$K$163+'PTRM input'!$K$129)*$K$7)-SUM($K746:BB746),(('PTRM input'!$K$163+'PTRM input'!$K$129)*$K$7)/A21taxstdlife))</f>
        <v>0</v>
      </c>
      <c r="BD746" s="590">
        <f>IF(A21taxstdlife="n/a","n/a",IF(BD$3&gt;(A21taxstdlife+$E746),(('PTRM input'!$K$163+'PTRM input'!$K$129)*$K$7)-SUM($K746:BC746),(('PTRM input'!$K$163+'PTRM input'!$K$129)*$K$7)/A21taxstdlife))</f>
        <v>0</v>
      </c>
      <c r="BE746" s="590">
        <f>IF(A21taxstdlife="n/a","n/a",IF(BE$3&gt;(A21taxstdlife+$E746),(('PTRM input'!$K$163+'PTRM input'!$K$129)*$K$7)-SUM($K746:BD746),(('PTRM input'!$K$163+'PTRM input'!$K$129)*$K$7)/A21taxstdlife))</f>
        <v>0</v>
      </c>
      <c r="BF746" s="590">
        <f>IF(A21taxstdlife="n/a","n/a",IF(BF$3&gt;(A21taxstdlife+$E746),(('PTRM input'!$K$163+'PTRM input'!$K$129)*$K$7)-SUM($K746:BE746),(('PTRM input'!$K$163+'PTRM input'!$K$129)*$K$7)/A21taxstdlife))</f>
        <v>0</v>
      </c>
      <c r="BG746" s="590">
        <f>IF(A21taxstdlife="n/a","n/a",IF(BG$3&gt;(A21taxstdlife+$E746),(('PTRM input'!$K$163+'PTRM input'!$K$129)*$K$7)-SUM($K746:BF746),(('PTRM input'!$K$163+'PTRM input'!$K$129)*$K$7)/A21taxstdlife))</f>
        <v>0</v>
      </c>
      <c r="BH746" s="590">
        <f>IF(A21taxstdlife="n/a","n/a",IF(BH$3&gt;(A21taxstdlife+$E746),(('PTRM input'!$K$163+'PTRM input'!$K$129)*$K$7)-SUM($K746:BG746),(('PTRM input'!$K$163+'PTRM input'!$K$129)*$K$7)/A21taxstdlife))</f>
        <v>0</v>
      </c>
      <c r="BI746" s="590">
        <f>IF(A21taxstdlife="n/a","n/a",IF(BI$3&gt;(A21taxstdlife+$E746),(('PTRM input'!$K$163+'PTRM input'!$K$129)*$K$7)-SUM($K746:BH746),(('PTRM input'!$K$163+'PTRM input'!$K$129)*$K$7)/A21taxstdlife))</f>
        <v>0</v>
      </c>
      <c r="BJ746" s="240"/>
      <c r="BK746" s="240"/>
      <c r="BL746" s="240"/>
      <c r="BM746" s="240"/>
    </row>
    <row r="747" spans="1:65" s="4" customFormat="1" hidden="1" outlineLevel="2">
      <c r="A747" s="240"/>
      <c r="B747" s="240"/>
      <c r="C747" s="595"/>
      <c r="D747" s="1618"/>
      <c r="E747" s="169">
        <v>6</v>
      </c>
      <c r="F747" s="35"/>
      <c r="G747" s="184"/>
      <c r="H747" s="186"/>
      <c r="I747" s="186"/>
      <c r="J747" s="186"/>
      <c r="K747" s="186"/>
      <c r="L747" s="185"/>
      <c r="M747" s="107">
        <f>IF(A21taxstdlife="n/a","n/a",IF(M$3&gt;(A21taxstdlife+$E747),(('PTRM input'!$L$163+'PTRM input'!$L$129)*$L$7)-SUM($L747:L747),(('PTRM input'!$L$163+'PTRM input'!$L$129)*$L$7)/A21taxstdlife))</f>
        <v>0</v>
      </c>
      <c r="N747" s="107">
        <f>IF(A21taxstdlife="n/a","n/a",IF(N$3&gt;(A21taxstdlife+$E747),(('PTRM input'!$L$163+'PTRM input'!$L$129)*$L$7)-SUM($L747:M747),(('PTRM input'!$L$163+'PTRM input'!$L$129)*$L$7)/A21taxstdlife))</f>
        <v>0</v>
      </c>
      <c r="O747" s="107">
        <f>IF(A21taxstdlife="n/a","n/a",IF(O$3&gt;(A21taxstdlife+$E747),(('PTRM input'!$L$163+'PTRM input'!$L$129)*$L$7)-SUM($L747:N747),(('PTRM input'!$L$163+'PTRM input'!$L$129)*$L$7)/A21taxstdlife))</f>
        <v>0</v>
      </c>
      <c r="P747" s="107">
        <f>IF(A21taxstdlife="n/a","n/a",IF(P$3&gt;(A21taxstdlife+$E747),(('PTRM input'!$L$163+'PTRM input'!$L$129)*$L$7)-SUM($L747:O747),(('PTRM input'!$L$163+'PTRM input'!$L$129)*$L$7)/A21taxstdlife))</f>
        <v>0</v>
      </c>
      <c r="Q747" s="590">
        <f>IF(A21taxstdlife="n/a","n/a",IF(Q$3&gt;(A21taxstdlife+$E747),(('PTRM input'!$L$163+'PTRM input'!$L$129)*$L$7)-SUM($L747:P747),(('PTRM input'!$L$163+'PTRM input'!$L$129)*$L$7)/A21taxstdlife))</f>
        <v>0</v>
      </c>
      <c r="R747" s="590">
        <f>IF(A21taxstdlife="n/a","n/a",IF(R$3&gt;(A21taxstdlife+$E747),(('PTRM input'!$L$163+'PTRM input'!$L$129)*$L$7)-SUM($L747:Q747),(('PTRM input'!$L$163+'PTRM input'!$L$129)*$L$7)/A21taxstdlife))</f>
        <v>0</v>
      </c>
      <c r="S747" s="590">
        <f>IF(A21taxstdlife="n/a","n/a",IF(S$3&gt;(A21taxstdlife+$E747),(('PTRM input'!$L$163+'PTRM input'!$L$129)*$L$7)-SUM($L747:R747),(('PTRM input'!$L$163+'PTRM input'!$L$129)*$L$7)/A21taxstdlife))</f>
        <v>0</v>
      </c>
      <c r="T747" s="590">
        <f>IF(A21taxstdlife="n/a","n/a",IF(T$3&gt;(A21taxstdlife+$E747),(('PTRM input'!$L$163+'PTRM input'!$L$129)*$L$7)-SUM($L747:S747),(('PTRM input'!$L$163+'PTRM input'!$L$129)*$L$7)/A21taxstdlife))</f>
        <v>0</v>
      </c>
      <c r="U747" s="590">
        <f>IF(A21taxstdlife="n/a","n/a",IF(U$3&gt;(A21taxstdlife+$E747),(('PTRM input'!$L$163+'PTRM input'!$L$129)*$L$7)-SUM($L747:T747),(('PTRM input'!$L$163+'PTRM input'!$L$129)*$L$7)/A21taxstdlife))</f>
        <v>0</v>
      </c>
      <c r="V747" s="590">
        <f>IF(A21taxstdlife="n/a","n/a",IF(V$3&gt;(A21taxstdlife+$E747),(('PTRM input'!$L$163+'PTRM input'!$L$129)*$L$7)-SUM($L747:U747),(('PTRM input'!$L$163+'PTRM input'!$L$129)*$L$7)/A21taxstdlife))</f>
        <v>0</v>
      </c>
      <c r="W747" s="590">
        <f>IF(A21taxstdlife="n/a","n/a",IF(W$3&gt;(A21taxstdlife+$E747),(('PTRM input'!$L$163+'PTRM input'!$L$129)*$L$7)-SUM($L747:V747),(('PTRM input'!$L$163+'PTRM input'!$L$129)*$L$7)/A21taxstdlife))</f>
        <v>0</v>
      </c>
      <c r="X747" s="590">
        <f>IF(A21taxstdlife="n/a","n/a",IF(X$3&gt;(A21taxstdlife+$E747),(('PTRM input'!$L$163+'PTRM input'!$L$129)*$L$7)-SUM($L747:W747),(('PTRM input'!$L$163+'PTRM input'!$L$129)*$L$7)/A21taxstdlife))</f>
        <v>0</v>
      </c>
      <c r="Y747" s="590">
        <f>IF(A21taxstdlife="n/a","n/a",IF(Y$3&gt;(A21taxstdlife+$E747),(('PTRM input'!$L$163+'PTRM input'!$L$129)*$L$7)-SUM($L747:X747),(('PTRM input'!$L$163+'PTRM input'!$L$129)*$L$7)/A21taxstdlife))</f>
        <v>0</v>
      </c>
      <c r="Z747" s="590">
        <f>IF(A21taxstdlife="n/a","n/a",IF(Z$3&gt;(A21taxstdlife+$E747),(('PTRM input'!$L$163+'PTRM input'!$L$129)*$L$7)-SUM($L747:Y747),(('PTRM input'!$L$163+'PTRM input'!$L$129)*$L$7)/A21taxstdlife))</f>
        <v>0</v>
      </c>
      <c r="AA747" s="590">
        <f>IF(A21taxstdlife="n/a","n/a",IF(AA$3&gt;(A21taxstdlife+$E747),(('PTRM input'!$L$163+'PTRM input'!$L$129)*$L$7)-SUM($L747:Z747),(('PTRM input'!$L$163+'PTRM input'!$L$129)*$L$7)/A21taxstdlife))</f>
        <v>0</v>
      </c>
      <c r="AB747" s="590">
        <f>IF(A21taxstdlife="n/a","n/a",IF(AB$3&gt;(A21taxstdlife+$E747),(('PTRM input'!$L$163+'PTRM input'!$L$129)*$L$7)-SUM($L747:AA747),(('PTRM input'!$L$163+'PTRM input'!$L$129)*$L$7)/A21taxstdlife))</f>
        <v>0</v>
      </c>
      <c r="AC747" s="590">
        <f>IF(A21taxstdlife="n/a","n/a",IF(AC$3&gt;(A21taxstdlife+$E747),(('PTRM input'!$L$163+'PTRM input'!$L$129)*$L$7)-SUM($L747:AB747),(('PTRM input'!$L$163+'PTRM input'!$L$129)*$L$7)/A21taxstdlife))</f>
        <v>0</v>
      </c>
      <c r="AD747" s="590">
        <f>IF(A21taxstdlife="n/a","n/a",IF(AD$3&gt;(A21taxstdlife+$E747),(('PTRM input'!$L$163+'PTRM input'!$L$129)*$L$7)-SUM($L747:AC747),(('PTRM input'!$L$163+'PTRM input'!$L$129)*$L$7)/A21taxstdlife))</f>
        <v>0</v>
      </c>
      <c r="AE747" s="590">
        <f>IF(A21taxstdlife="n/a","n/a",IF(AE$3&gt;(A21taxstdlife+$E747),(('PTRM input'!$L$163+'PTRM input'!$L$129)*$L$7)-SUM($L747:AD747),(('PTRM input'!$L$163+'PTRM input'!$L$129)*$L$7)/A21taxstdlife))</f>
        <v>0</v>
      </c>
      <c r="AF747" s="590">
        <f>IF(A21taxstdlife="n/a","n/a",IF(AF$3&gt;(A21taxstdlife+$E747),(('PTRM input'!$L$163+'PTRM input'!$L$129)*$L$7)-SUM($L747:AE747),(('PTRM input'!$L$163+'PTRM input'!$L$129)*$L$7)/A21taxstdlife))</f>
        <v>0</v>
      </c>
      <c r="AG747" s="590">
        <f>IF(A21taxstdlife="n/a","n/a",IF(AG$3&gt;(A21taxstdlife+$E747),(('PTRM input'!$L$163+'PTRM input'!$L$129)*$L$7)-SUM($L747:AF747),(('PTRM input'!$L$163+'PTRM input'!$L$129)*$L$7)/A21taxstdlife))</f>
        <v>0</v>
      </c>
      <c r="AH747" s="590">
        <f>IF(A21taxstdlife="n/a","n/a",IF(AH$3&gt;(A21taxstdlife+$E747),(('PTRM input'!$L$163+'PTRM input'!$L$129)*$L$7)-SUM($L747:AG747),(('PTRM input'!$L$163+'PTRM input'!$L$129)*$L$7)/A21taxstdlife))</f>
        <v>0</v>
      </c>
      <c r="AI747" s="590">
        <f>IF(A21taxstdlife="n/a","n/a",IF(AI$3&gt;(A21taxstdlife+$E747),(('PTRM input'!$L$163+'PTRM input'!$L$129)*$L$7)-SUM($L747:AH747),(('PTRM input'!$L$163+'PTRM input'!$L$129)*$L$7)/A21taxstdlife))</f>
        <v>0</v>
      </c>
      <c r="AJ747" s="590">
        <f>IF(A21taxstdlife="n/a","n/a",IF(AJ$3&gt;(A21taxstdlife+$E747),(('PTRM input'!$L$163+'PTRM input'!$L$129)*$L$7)-SUM($L747:AI747),(('PTRM input'!$L$163+'PTRM input'!$L$129)*$L$7)/A21taxstdlife))</f>
        <v>0</v>
      </c>
      <c r="AK747" s="590">
        <f>IF(A21taxstdlife="n/a","n/a",IF(AK$3&gt;(A21taxstdlife+$E747),(('PTRM input'!$L$163+'PTRM input'!$L$129)*$L$7)-SUM($L747:AJ747),(('PTRM input'!$L$163+'PTRM input'!$L$129)*$L$7)/A21taxstdlife))</f>
        <v>0</v>
      </c>
      <c r="AL747" s="590">
        <f>IF(A21taxstdlife="n/a","n/a",IF(AL$3&gt;(A21taxstdlife+$E747),(('PTRM input'!$L$163+'PTRM input'!$L$129)*$L$7)-SUM($L747:AK747),(('PTRM input'!$L$163+'PTRM input'!$L$129)*$L$7)/A21taxstdlife))</f>
        <v>0</v>
      </c>
      <c r="AM747" s="590">
        <f>IF(A21taxstdlife="n/a","n/a",IF(AM$3&gt;(A21taxstdlife+$E747),(('PTRM input'!$L$163+'PTRM input'!$L$129)*$L$7)-SUM($L747:AL747),(('PTRM input'!$L$163+'PTRM input'!$L$129)*$L$7)/A21taxstdlife))</f>
        <v>0</v>
      </c>
      <c r="AN747" s="590">
        <f>IF(A21taxstdlife="n/a","n/a",IF(AN$3&gt;(A21taxstdlife+$E747),(('PTRM input'!$L$163+'PTRM input'!$L$129)*$L$7)-SUM($L747:AM747),(('PTRM input'!$L$163+'PTRM input'!$L$129)*$L$7)/A21taxstdlife))</f>
        <v>0</v>
      </c>
      <c r="AO747" s="590">
        <f>IF(A21taxstdlife="n/a","n/a",IF(AO$3&gt;(A21taxstdlife+$E747),(('PTRM input'!$L$163+'PTRM input'!$L$129)*$L$7)-SUM($L747:AN747),(('PTRM input'!$L$163+'PTRM input'!$L$129)*$L$7)/A21taxstdlife))</f>
        <v>0</v>
      </c>
      <c r="AP747" s="590">
        <f>IF(A21taxstdlife="n/a","n/a",IF(AP$3&gt;(A21taxstdlife+$E747),(('PTRM input'!$L$163+'PTRM input'!$L$129)*$L$7)-SUM($L747:AO747),(('PTRM input'!$L$163+'PTRM input'!$L$129)*$L$7)/A21taxstdlife))</f>
        <v>0</v>
      </c>
      <c r="AQ747" s="590">
        <f>IF(A21taxstdlife="n/a","n/a",IF(AQ$3&gt;(A21taxstdlife+$E747),(('PTRM input'!$L$163+'PTRM input'!$L$129)*$L$7)-SUM($L747:AP747),(('PTRM input'!$L$163+'PTRM input'!$L$129)*$L$7)/A21taxstdlife))</f>
        <v>0</v>
      </c>
      <c r="AR747" s="590">
        <f>IF(A21taxstdlife="n/a","n/a",IF(AR$3&gt;(A21taxstdlife+$E747),(('PTRM input'!$L$163+'PTRM input'!$L$129)*$L$7)-SUM($L747:AQ747),(('PTRM input'!$L$163+'PTRM input'!$L$129)*$L$7)/A21taxstdlife))</f>
        <v>0</v>
      </c>
      <c r="AS747" s="590">
        <f>IF(A21taxstdlife="n/a","n/a",IF(AS$3&gt;(A21taxstdlife+$E747),(('PTRM input'!$L$163+'PTRM input'!$L$129)*$L$7)-SUM($L747:AR747),(('PTRM input'!$L$163+'PTRM input'!$L$129)*$L$7)/A21taxstdlife))</f>
        <v>0</v>
      </c>
      <c r="AT747" s="590">
        <f>IF(A21taxstdlife="n/a","n/a",IF(AT$3&gt;(A21taxstdlife+$E747),(('PTRM input'!$L$163+'PTRM input'!$L$129)*$L$7)-SUM($L747:AS747),(('PTRM input'!$L$163+'PTRM input'!$L$129)*$L$7)/A21taxstdlife))</f>
        <v>0</v>
      </c>
      <c r="AU747" s="590">
        <f>IF(A21taxstdlife="n/a","n/a",IF(AU$3&gt;(A21taxstdlife+$E747),(('PTRM input'!$L$163+'PTRM input'!$L$129)*$L$7)-SUM($L747:AT747),(('PTRM input'!$L$163+'PTRM input'!$L$129)*$L$7)/A21taxstdlife))</f>
        <v>0</v>
      </c>
      <c r="AV747" s="590">
        <f>IF(A21taxstdlife="n/a","n/a",IF(AV$3&gt;(A21taxstdlife+$E747),(('PTRM input'!$L$163+'PTRM input'!$L$129)*$L$7)-SUM($L747:AU747),(('PTRM input'!$L$163+'PTRM input'!$L$129)*$L$7)/A21taxstdlife))</f>
        <v>0</v>
      </c>
      <c r="AW747" s="590">
        <f>IF(A21taxstdlife="n/a","n/a",IF(AW$3&gt;(A21taxstdlife+$E747),(('PTRM input'!$L$163+'PTRM input'!$L$129)*$L$7)-SUM($L747:AV747),(('PTRM input'!$L$163+'PTRM input'!$L$129)*$L$7)/A21taxstdlife))</f>
        <v>0</v>
      </c>
      <c r="AX747" s="590">
        <f>IF(A21taxstdlife="n/a","n/a",IF(AX$3&gt;(A21taxstdlife+$E747),(('PTRM input'!$L$163+'PTRM input'!$L$129)*$L$7)-SUM($L747:AW747),(('PTRM input'!$L$163+'PTRM input'!$L$129)*$L$7)/A21taxstdlife))</f>
        <v>0</v>
      </c>
      <c r="AY747" s="590">
        <f>IF(A21taxstdlife="n/a","n/a",IF(AY$3&gt;(A21taxstdlife+$E747),(('PTRM input'!$L$163+'PTRM input'!$L$129)*$L$7)-SUM($L747:AX747),(('PTRM input'!$L$163+'PTRM input'!$L$129)*$L$7)/A21taxstdlife))</f>
        <v>0</v>
      </c>
      <c r="AZ747" s="590">
        <f>IF(A21taxstdlife="n/a","n/a",IF(AZ$3&gt;(A21taxstdlife+$E747),(('PTRM input'!$L$163+'PTRM input'!$L$129)*$L$7)-SUM($L747:AY747),(('PTRM input'!$L$163+'PTRM input'!$L$129)*$L$7)/A21taxstdlife))</f>
        <v>0</v>
      </c>
      <c r="BA747" s="590">
        <f>IF(A21taxstdlife="n/a","n/a",IF(BA$3&gt;(A21taxstdlife+$E747),(('PTRM input'!$L$163+'PTRM input'!$L$129)*$L$7)-SUM($L747:AZ747),(('PTRM input'!$L$163+'PTRM input'!$L$129)*$L$7)/A21taxstdlife))</f>
        <v>0</v>
      </c>
      <c r="BB747" s="590">
        <f>IF(A21taxstdlife="n/a","n/a",IF(BB$3&gt;(A21taxstdlife+$E747),(('PTRM input'!$L$163+'PTRM input'!$L$129)*$L$7)-SUM($L747:BA747),(('PTRM input'!$L$163+'PTRM input'!$L$129)*$L$7)/A21taxstdlife))</f>
        <v>0</v>
      </c>
      <c r="BC747" s="590">
        <f>IF(A21taxstdlife="n/a","n/a",IF(BC$3&gt;(A21taxstdlife+$E747),(('PTRM input'!$L$163+'PTRM input'!$L$129)*$L$7)-SUM($L747:BB747),(('PTRM input'!$L$163+'PTRM input'!$L$129)*$L$7)/A21taxstdlife))</f>
        <v>0</v>
      </c>
      <c r="BD747" s="590">
        <f>IF(A21taxstdlife="n/a","n/a",IF(BD$3&gt;(A21taxstdlife+$E747),(('PTRM input'!$L$163+'PTRM input'!$L$129)*$L$7)-SUM($L747:BC747),(('PTRM input'!$L$163+'PTRM input'!$L$129)*$L$7)/A21taxstdlife))</f>
        <v>0</v>
      </c>
      <c r="BE747" s="590">
        <f>IF(A21taxstdlife="n/a","n/a",IF(BE$3&gt;(A21taxstdlife+$E747),(('PTRM input'!$L$163+'PTRM input'!$L$129)*$L$7)-SUM($L747:BD747),(('PTRM input'!$L$163+'PTRM input'!$L$129)*$L$7)/A21taxstdlife))</f>
        <v>0</v>
      </c>
      <c r="BF747" s="590">
        <f>IF(A21taxstdlife="n/a","n/a",IF(BF$3&gt;(A21taxstdlife+$E747),(('PTRM input'!$L$163+'PTRM input'!$L$129)*$L$7)-SUM($L747:BE747),(('PTRM input'!$L$163+'PTRM input'!$L$129)*$L$7)/A21taxstdlife))</f>
        <v>0</v>
      </c>
      <c r="BG747" s="590">
        <f>IF(A21taxstdlife="n/a","n/a",IF(BG$3&gt;(A21taxstdlife+$E747),(('PTRM input'!$L$163+'PTRM input'!$L$129)*$L$7)-SUM($L747:BF747),(('PTRM input'!$L$163+'PTRM input'!$L$129)*$L$7)/A21taxstdlife))</f>
        <v>0</v>
      </c>
      <c r="BH747" s="590">
        <f>IF(A21taxstdlife="n/a","n/a",IF(BH$3&gt;(A21taxstdlife+$E747),(('PTRM input'!$L$163+'PTRM input'!$L$129)*$L$7)-SUM($L747:BG747),(('PTRM input'!$L$163+'PTRM input'!$L$129)*$L$7)/A21taxstdlife))</f>
        <v>0</v>
      </c>
      <c r="BI747" s="590">
        <f>IF(A21taxstdlife="n/a","n/a",IF(BI$3&gt;(A21taxstdlife+$E747),(('PTRM input'!$L$163+'PTRM input'!$L$129)*$L$7)-SUM($L747:BH747),(('PTRM input'!$L$163+'PTRM input'!$L$129)*$L$7)/A21taxstdlife))</f>
        <v>0</v>
      </c>
      <c r="BJ747" s="240"/>
      <c r="BK747" s="240"/>
      <c r="BL747" s="240"/>
      <c r="BM747" s="240"/>
    </row>
    <row r="748" spans="1:65" s="4" customFormat="1" hidden="1" outlineLevel="2">
      <c r="A748" s="240"/>
      <c r="B748" s="240"/>
      <c r="C748" s="595"/>
      <c r="D748" s="1618"/>
      <c r="E748" s="169">
        <v>7</v>
      </c>
      <c r="F748" s="35"/>
      <c r="G748" s="184"/>
      <c r="H748" s="186"/>
      <c r="I748" s="186"/>
      <c r="J748" s="186"/>
      <c r="K748" s="186"/>
      <c r="L748" s="186"/>
      <c r="M748" s="185"/>
      <c r="N748" s="107">
        <f>IF(A21taxstdlife="n/a","n/a",IF(N$3&gt;(A21taxstdlife+$E748),(('PTRM input'!$M$163+'PTRM input'!$M$129)*$M$7)-SUM($M748:M748),(('PTRM input'!$M$163+'PTRM input'!$M$129)*$M$7)/A21taxstdlife))</f>
        <v>0</v>
      </c>
      <c r="O748" s="107">
        <f>IF(A21taxstdlife="n/a","n/a",IF(O$3&gt;(A21taxstdlife+$E748),(('PTRM input'!$M$163+'PTRM input'!$M$129)*$M$7)-SUM($M748:N748),(('PTRM input'!$M$163+'PTRM input'!$M$129)*$M$7)/A21taxstdlife))</f>
        <v>0</v>
      </c>
      <c r="P748" s="107">
        <f>IF(A21taxstdlife="n/a","n/a",IF(P$3&gt;(A21taxstdlife+$E748),(('PTRM input'!$M$163+'PTRM input'!$M$129)*$M$7)-SUM($M748:O748),(('PTRM input'!$M$163+'PTRM input'!$M$129)*$M$7)/A21taxstdlife))</f>
        <v>0</v>
      </c>
      <c r="Q748" s="590">
        <f>IF(A21taxstdlife="n/a","n/a",IF(Q$3&gt;(A21taxstdlife+$E748),(('PTRM input'!$M$163+'PTRM input'!$M$129)*$M$7)-SUM($M748:P748),(('PTRM input'!$M$163+'PTRM input'!$M$129)*$M$7)/A21taxstdlife))</f>
        <v>0</v>
      </c>
      <c r="R748" s="590">
        <f>IF(A21taxstdlife="n/a","n/a",IF(R$3&gt;(A21taxstdlife+$E748),(('PTRM input'!$M$163+'PTRM input'!$M$129)*$M$7)-SUM($M748:Q748),(('PTRM input'!$M$163+'PTRM input'!$M$129)*$M$7)/A21taxstdlife))</f>
        <v>0</v>
      </c>
      <c r="S748" s="590">
        <f>IF(A21taxstdlife="n/a","n/a",IF(S$3&gt;(A21taxstdlife+$E748),(('PTRM input'!$M$163+'PTRM input'!$M$129)*$M$7)-SUM($M748:R748),(('PTRM input'!$M$163+'PTRM input'!$M$129)*$M$7)/A21taxstdlife))</f>
        <v>0</v>
      </c>
      <c r="T748" s="590">
        <f>IF(A21taxstdlife="n/a","n/a",IF(T$3&gt;(A21taxstdlife+$E748),(('PTRM input'!$M$163+'PTRM input'!$M$129)*$M$7)-SUM($M748:S748),(('PTRM input'!$M$163+'PTRM input'!$M$129)*$M$7)/A21taxstdlife))</f>
        <v>0</v>
      </c>
      <c r="U748" s="590">
        <f>IF(A21taxstdlife="n/a","n/a",IF(U$3&gt;(A21taxstdlife+$E748),(('PTRM input'!$M$163+'PTRM input'!$M$129)*$M$7)-SUM($M748:T748),(('PTRM input'!$M$163+'PTRM input'!$M$129)*$M$7)/A21taxstdlife))</f>
        <v>0</v>
      </c>
      <c r="V748" s="590">
        <f>IF(A21taxstdlife="n/a","n/a",IF(V$3&gt;(A21taxstdlife+$E748),(('PTRM input'!$M$163+'PTRM input'!$M$129)*$M$7)-SUM($M748:U748),(('PTRM input'!$M$163+'PTRM input'!$M$129)*$M$7)/A21taxstdlife))</f>
        <v>0</v>
      </c>
      <c r="W748" s="590">
        <f>IF(A21taxstdlife="n/a","n/a",IF(W$3&gt;(A21taxstdlife+$E748),(('PTRM input'!$M$163+'PTRM input'!$M$129)*$M$7)-SUM($M748:V748),(('PTRM input'!$M$163+'PTRM input'!$M$129)*$M$7)/A21taxstdlife))</f>
        <v>0</v>
      </c>
      <c r="X748" s="590">
        <f>IF(A21taxstdlife="n/a","n/a",IF(X$3&gt;(A21taxstdlife+$E748),(('PTRM input'!$M$163+'PTRM input'!$M$129)*$M$7)-SUM($M748:W748),(('PTRM input'!$M$163+'PTRM input'!$M$129)*$M$7)/A21taxstdlife))</f>
        <v>0</v>
      </c>
      <c r="Y748" s="590">
        <f>IF(A21taxstdlife="n/a","n/a",IF(Y$3&gt;(A21taxstdlife+$E748),(('PTRM input'!$M$163+'PTRM input'!$M$129)*$M$7)-SUM($M748:X748),(('PTRM input'!$M$163+'PTRM input'!$M$129)*$M$7)/A21taxstdlife))</f>
        <v>0</v>
      </c>
      <c r="Z748" s="590">
        <f>IF(A21taxstdlife="n/a","n/a",IF(Z$3&gt;(A21taxstdlife+$E748),(('PTRM input'!$M$163+'PTRM input'!$M$129)*$M$7)-SUM($M748:Y748),(('PTRM input'!$M$163+'PTRM input'!$M$129)*$M$7)/A21taxstdlife))</f>
        <v>0</v>
      </c>
      <c r="AA748" s="590">
        <f>IF(A21taxstdlife="n/a","n/a",IF(AA$3&gt;(A21taxstdlife+$E748),(('PTRM input'!$M$163+'PTRM input'!$M$129)*$M$7)-SUM($M748:Z748),(('PTRM input'!$M$163+'PTRM input'!$M$129)*$M$7)/A21taxstdlife))</f>
        <v>0</v>
      </c>
      <c r="AB748" s="590">
        <f>IF(A21taxstdlife="n/a","n/a",IF(AB$3&gt;(A21taxstdlife+$E748),(('PTRM input'!$M$163+'PTRM input'!$M$129)*$M$7)-SUM($M748:AA748),(('PTRM input'!$M$163+'PTRM input'!$M$129)*$M$7)/A21taxstdlife))</f>
        <v>0</v>
      </c>
      <c r="AC748" s="590">
        <f>IF(A21taxstdlife="n/a","n/a",IF(AC$3&gt;(A21taxstdlife+$E748),(('PTRM input'!$M$163+'PTRM input'!$M$129)*$M$7)-SUM($M748:AB748),(('PTRM input'!$M$163+'PTRM input'!$M$129)*$M$7)/A21taxstdlife))</f>
        <v>0</v>
      </c>
      <c r="AD748" s="590">
        <f>IF(A21taxstdlife="n/a","n/a",IF(AD$3&gt;(A21taxstdlife+$E748),(('PTRM input'!$M$163+'PTRM input'!$M$129)*$M$7)-SUM($M748:AC748),(('PTRM input'!$M$163+'PTRM input'!$M$129)*$M$7)/A21taxstdlife))</f>
        <v>0</v>
      </c>
      <c r="AE748" s="590">
        <f>IF(A21taxstdlife="n/a","n/a",IF(AE$3&gt;(A21taxstdlife+$E748),(('PTRM input'!$M$163+'PTRM input'!$M$129)*$M$7)-SUM($M748:AD748),(('PTRM input'!$M$163+'PTRM input'!$M$129)*$M$7)/A21taxstdlife))</f>
        <v>0</v>
      </c>
      <c r="AF748" s="590">
        <f>IF(A21taxstdlife="n/a","n/a",IF(AF$3&gt;(A21taxstdlife+$E748),(('PTRM input'!$M$163+'PTRM input'!$M$129)*$M$7)-SUM($M748:AE748),(('PTRM input'!$M$163+'PTRM input'!$M$129)*$M$7)/A21taxstdlife))</f>
        <v>0</v>
      </c>
      <c r="AG748" s="590">
        <f>IF(A21taxstdlife="n/a","n/a",IF(AG$3&gt;(A21taxstdlife+$E748),(('PTRM input'!$M$163+'PTRM input'!$M$129)*$M$7)-SUM($M748:AF748),(('PTRM input'!$M$163+'PTRM input'!$M$129)*$M$7)/A21taxstdlife))</f>
        <v>0</v>
      </c>
      <c r="AH748" s="590">
        <f>IF(A21taxstdlife="n/a","n/a",IF(AH$3&gt;(A21taxstdlife+$E748),(('PTRM input'!$M$163+'PTRM input'!$M$129)*$M$7)-SUM($M748:AG748),(('PTRM input'!$M$163+'PTRM input'!$M$129)*$M$7)/A21taxstdlife))</f>
        <v>0</v>
      </c>
      <c r="AI748" s="590">
        <f>IF(A21taxstdlife="n/a","n/a",IF(AI$3&gt;(A21taxstdlife+$E748),(('PTRM input'!$M$163+'PTRM input'!$M$129)*$M$7)-SUM($M748:AH748),(('PTRM input'!$M$163+'PTRM input'!$M$129)*$M$7)/A21taxstdlife))</f>
        <v>0</v>
      </c>
      <c r="AJ748" s="590">
        <f>IF(A21taxstdlife="n/a","n/a",IF(AJ$3&gt;(A21taxstdlife+$E748),(('PTRM input'!$M$163+'PTRM input'!$M$129)*$M$7)-SUM($M748:AI748),(('PTRM input'!$M$163+'PTRM input'!$M$129)*$M$7)/A21taxstdlife))</f>
        <v>0</v>
      </c>
      <c r="AK748" s="590">
        <f>IF(A21taxstdlife="n/a","n/a",IF(AK$3&gt;(A21taxstdlife+$E748),(('PTRM input'!$M$163+'PTRM input'!$M$129)*$M$7)-SUM($M748:AJ748),(('PTRM input'!$M$163+'PTRM input'!$M$129)*$M$7)/A21taxstdlife))</f>
        <v>0</v>
      </c>
      <c r="AL748" s="590">
        <f>IF(A21taxstdlife="n/a","n/a",IF(AL$3&gt;(A21taxstdlife+$E748),(('PTRM input'!$M$163+'PTRM input'!$M$129)*$M$7)-SUM($M748:AK748),(('PTRM input'!$M$163+'PTRM input'!$M$129)*$M$7)/A21taxstdlife))</f>
        <v>0</v>
      </c>
      <c r="AM748" s="590">
        <f>IF(A21taxstdlife="n/a","n/a",IF(AM$3&gt;(A21taxstdlife+$E748),(('PTRM input'!$M$163+'PTRM input'!$M$129)*$M$7)-SUM($M748:AL748),(('PTRM input'!$M$163+'PTRM input'!$M$129)*$M$7)/A21taxstdlife))</f>
        <v>0</v>
      </c>
      <c r="AN748" s="590">
        <f>IF(A21taxstdlife="n/a","n/a",IF(AN$3&gt;(A21taxstdlife+$E748),(('PTRM input'!$M$163+'PTRM input'!$M$129)*$M$7)-SUM($M748:AM748),(('PTRM input'!$M$163+'PTRM input'!$M$129)*$M$7)/A21taxstdlife))</f>
        <v>0</v>
      </c>
      <c r="AO748" s="590">
        <f>IF(A21taxstdlife="n/a","n/a",IF(AO$3&gt;(A21taxstdlife+$E748),(('PTRM input'!$M$163+'PTRM input'!$M$129)*$M$7)-SUM($M748:AN748),(('PTRM input'!$M$163+'PTRM input'!$M$129)*$M$7)/A21taxstdlife))</f>
        <v>0</v>
      </c>
      <c r="AP748" s="590">
        <f>IF(A21taxstdlife="n/a","n/a",IF(AP$3&gt;(A21taxstdlife+$E748),(('PTRM input'!$M$163+'PTRM input'!$M$129)*$M$7)-SUM($M748:AO748),(('PTRM input'!$M$163+'PTRM input'!$M$129)*$M$7)/A21taxstdlife))</f>
        <v>0</v>
      </c>
      <c r="AQ748" s="590">
        <f>IF(A21taxstdlife="n/a","n/a",IF(AQ$3&gt;(A21taxstdlife+$E748),(('PTRM input'!$M$163+'PTRM input'!$M$129)*$M$7)-SUM($M748:AP748),(('PTRM input'!$M$163+'PTRM input'!$M$129)*$M$7)/A21taxstdlife))</f>
        <v>0</v>
      </c>
      <c r="AR748" s="590">
        <f>IF(A21taxstdlife="n/a","n/a",IF(AR$3&gt;(A21taxstdlife+$E748),(('PTRM input'!$M$163+'PTRM input'!$M$129)*$M$7)-SUM($M748:AQ748),(('PTRM input'!$M$163+'PTRM input'!$M$129)*$M$7)/A21taxstdlife))</f>
        <v>0</v>
      </c>
      <c r="AS748" s="590">
        <f>IF(A21taxstdlife="n/a","n/a",IF(AS$3&gt;(A21taxstdlife+$E748),(('PTRM input'!$M$163+'PTRM input'!$M$129)*$M$7)-SUM($M748:AR748),(('PTRM input'!$M$163+'PTRM input'!$M$129)*$M$7)/A21taxstdlife))</f>
        <v>0</v>
      </c>
      <c r="AT748" s="590">
        <f>IF(A21taxstdlife="n/a","n/a",IF(AT$3&gt;(A21taxstdlife+$E748),(('PTRM input'!$M$163+'PTRM input'!$M$129)*$M$7)-SUM($M748:AS748),(('PTRM input'!$M$163+'PTRM input'!$M$129)*$M$7)/A21taxstdlife))</f>
        <v>0</v>
      </c>
      <c r="AU748" s="590">
        <f>IF(A21taxstdlife="n/a","n/a",IF(AU$3&gt;(A21taxstdlife+$E748),(('PTRM input'!$M$163+'PTRM input'!$M$129)*$M$7)-SUM($M748:AT748),(('PTRM input'!$M$163+'PTRM input'!$M$129)*$M$7)/A21taxstdlife))</f>
        <v>0</v>
      </c>
      <c r="AV748" s="590">
        <f>IF(A21taxstdlife="n/a","n/a",IF(AV$3&gt;(A21taxstdlife+$E748),(('PTRM input'!$M$163+'PTRM input'!$M$129)*$M$7)-SUM($M748:AU748),(('PTRM input'!$M$163+'PTRM input'!$M$129)*$M$7)/A21taxstdlife))</f>
        <v>0</v>
      </c>
      <c r="AW748" s="590">
        <f>IF(A21taxstdlife="n/a","n/a",IF(AW$3&gt;(A21taxstdlife+$E748),(('PTRM input'!$M$163+'PTRM input'!$M$129)*$M$7)-SUM($M748:AV748),(('PTRM input'!$M$163+'PTRM input'!$M$129)*$M$7)/A21taxstdlife))</f>
        <v>0</v>
      </c>
      <c r="AX748" s="590">
        <f>IF(A21taxstdlife="n/a","n/a",IF(AX$3&gt;(A21taxstdlife+$E748),(('PTRM input'!$M$163+'PTRM input'!$M$129)*$M$7)-SUM($M748:AW748),(('PTRM input'!$M$163+'PTRM input'!$M$129)*$M$7)/A21taxstdlife))</f>
        <v>0</v>
      </c>
      <c r="AY748" s="590">
        <f>IF(A21taxstdlife="n/a","n/a",IF(AY$3&gt;(A21taxstdlife+$E748),(('PTRM input'!$M$163+'PTRM input'!$M$129)*$M$7)-SUM($M748:AX748),(('PTRM input'!$M$163+'PTRM input'!$M$129)*$M$7)/A21taxstdlife))</f>
        <v>0</v>
      </c>
      <c r="AZ748" s="590">
        <f>IF(A21taxstdlife="n/a","n/a",IF(AZ$3&gt;(A21taxstdlife+$E748),(('PTRM input'!$M$163+'PTRM input'!$M$129)*$M$7)-SUM($M748:AY748),(('PTRM input'!$M$163+'PTRM input'!$M$129)*$M$7)/A21taxstdlife))</f>
        <v>0</v>
      </c>
      <c r="BA748" s="590">
        <f>IF(A21taxstdlife="n/a","n/a",IF(BA$3&gt;(A21taxstdlife+$E748),(('PTRM input'!$M$163+'PTRM input'!$M$129)*$M$7)-SUM($M748:AZ748),(('PTRM input'!$M$163+'PTRM input'!$M$129)*$M$7)/A21taxstdlife))</f>
        <v>0</v>
      </c>
      <c r="BB748" s="590">
        <f>IF(A21taxstdlife="n/a","n/a",IF(BB$3&gt;(A21taxstdlife+$E748),(('PTRM input'!$M$163+'PTRM input'!$M$129)*$M$7)-SUM($M748:BA748),(('PTRM input'!$M$163+'PTRM input'!$M$129)*$M$7)/A21taxstdlife))</f>
        <v>0</v>
      </c>
      <c r="BC748" s="590">
        <f>IF(A21taxstdlife="n/a","n/a",IF(BC$3&gt;(A21taxstdlife+$E748),(('PTRM input'!$M$163+'PTRM input'!$M$129)*$M$7)-SUM($M748:BB748),(('PTRM input'!$M$163+'PTRM input'!$M$129)*$M$7)/A21taxstdlife))</f>
        <v>0</v>
      </c>
      <c r="BD748" s="590">
        <f>IF(A21taxstdlife="n/a","n/a",IF(BD$3&gt;(A21taxstdlife+$E748),(('PTRM input'!$M$163+'PTRM input'!$M$129)*$M$7)-SUM($M748:BC748),(('PTRM input'!$M$163+'PTRM input'!$M$129)*$M$7)/A21taxstdlife))</f>
        <v>0</v>
      </c>
      <c r="BE748" s="590">
        <f>IF(A21taxstdlife="n/a","n/a",IF(BE$3&gt;(A21taxstdlife+$E748),(('PTRM input'!$M$163+'PTRM input'!$M$129)*$M$7)-SUM($M748:BD748),(('PTRM input'!$M$163+'PTRM input'!$M$129)*$M$7)/A21taxstdlife))</f>
        <v>0</v>
      </c>
      <c r="BF748" s="590">
        <f>IF(A21taxstdlife="n/a","n/a",IF(BF$3&gt;(A21taxstdlife+$E748),(('PTRM input'!$M$163+'PTRM input'!$M$129)*$M$7)-SUM($M748:BE748),(('PTRM input'!$M$163+'PTRM input'!$M$129)*$M$7)/A21taxstdlife))</f>
        <v>0</v>
      </c>
      <c r="BG748" s="590">
        <f>IF(A21taxstdlife="n/a","n/a",IF(BG$3&gt;(A21taxstdlife+$E748),(('PTRM input'!$M$163+'PTRM input'!$M$129)*$M$7)-SUM($M748:BF748),(('PTRM input'!$M$163+'PTRM input'!$M$129)*$M$7)/A21taxstdlife))</f>
        <v>0</v>
      </c>
      <c r="BH748" s="590">
        <f>IF(A21taxstdlife="n/a","n/a",IF(BH$3&gt;(A21taxstdlife+$E748),(('PTRM input'!$M$163+'PTRM input'!$M$129)*$M$7)-SUM($M748:BG748),(('PTRM input'!$M$163+'PTRM input'!$M$129)*$M$7)/A21taxstdlife))</f>
        <v>0</v>
      </c>
      <c r="BI748" s="590">
        <f>IF(A21taxstdlife="n/a","n/a",IF(BI$3&gt;(A21taxstdlife+$E748),(('PTRM input'!$M$163+'PTRM input'!$M$129)*$M$7)-SUM($M748:BH748),(('PTRM input'!$M$163+'PTRM input'!$M$129)*$M$7)/A21taxstdlife))</f>
        <v>0</v>
      </c>
      <c r="BJ748" s="240"/>
      <c r="BK748" s="240"/>
      <c r="BL748" s="240"/>
      <c r="BM748" s="240"/>
    </row>
    <row r="749" spans="1:65" s="4" customFormat="1" hidden="1" outlineLevel="2">
      <c r="A749" s="240"/>
      <c r="B749" s="240"/>
      <c r="C749" s="595"/>
      <c r="D749" s="1618"/>
      <c r="E749" s="169">
        <v>8</v>
      </c>
      <c r="F749" s="35"/>
      <c r="G749" s="184"/>
      <c r="H749" s="186"/>
      <c r="I749" s="186"/>
      <c r="J749" s="186"/>
      <c r="K749" s="186"/>
      <c r="L749" s="186"/>
      <c r="M749" s="186"/>
      <c r="N749" s="185"/>
      <c r="O749" s="107">
        <f>IF(A21taxstdlife="n/a","n/a",IF(O$3&gt;(A21taxstdlife+$E749),(('PTRM input'!$N$163+'PTRM input'!$N$129)*$N$7)-SUM($N749:N749),(('PTRM input'!$N$163+'PTRM input'!$N$129)*$N$7)/A21taxstdlife))</f>
        <v>0</v>
      </c>
      <c r="P749" s="107">
        <f>IF(A21taxstdlife="n/a","n/a",IF(P$3&gt;(A21taxstdlife+$E749),(('PTRM input'!$N$163+'PTRM input'!$N$129)*$N$7)-SUM($N749:O749),(('PTRM input'!$N$163+'PTRM input'!$N$129)*$N$7)/A21taxstdlife))</f>
        <v>0</v>
      </c>
      <c r="Q749" s="590">
        <f>IF(A21taxstdlife="n/a","n/a",IF(Q$3&gt;(A21taxstdlife+$E749),(('PTRM input'!$N$163+'PTRM input'!$N$129)*$N$7)-SUM($N749:P749),(('PTRM input'!$N$163+'PTRM input'!$N$129)*$N$7)/A21taxstdlife))</f>
        <v>0</v>
      </c>
      <c r="R749" s="590">
        <f>IF(A21taxstdlife="n/a","n/a",IF(R$3&gt;(A21taxstdlife+$E749),(('PTRM input'!$N$163+'PTRM input'!$N$129)*$N$7)-SUM($N749:Q749),(('PTRM input'!$N$163+'PTRM input'!$N$129)*$N$7)/A21taxstdlife))</f>
        <v>0</v>
      </c>
      <c r="S749" s="590">
        <f>IF(A21taxstdlife="n/a","n/a",IF(S$3&gt;(A21taxstdlife+$E749),(('PTRM input'!$N$163+'PTRM input'!$N$129)*$N$7)-SUM($N749:R749),(('PTRM input'!$N$163+'PTRM input'!$N$129)*$N$7)/A21taxstdlife))</f>
        <v>0</v>
      </c>
      <c r="T749" s="590">
        <f>IF(A21taxstdlife="n/a","n/a",IF(T$3&gt;(A21taxstdlife+$E749),(('PTRM input'!$N$163+'PTRM input'!$N$129)*$N$7)-SUM($N749:S749),(('PTRM input'!$N$163+'PTRM input'!$N$129)*$N$7)/A21taxstdlife))</f>
        <v>0</v>
      </c>
      <c r="U749" s="590">
        <f>IF(A21taxstdlife="n/a","n/a",IF(U$3&gt;(A21taxstdlife+$E749),(('PTRM input'!$N$163+'PTRM input'!$N$129)*$N$7)-SUM($N749:T749),(('PTRM input'!$N$163+'PTRM input'!$N$129)*$N$7)/A21taxstdlife))</f>
        <v>0</v>
      </c>
      <c r="V749" s="590">
        <f>IF(A21taxstdlife="n/a","n/a",IF(V$3&gt;(A21taxstdlife+$E749),(('PTRM input'!$N$163+'PTRM input'!$N$129)*$N$7)-SUM($N749:U749),(('PTRM input'!$N$163+'PTRM input'!$N$129)*$N$7)/A21taxstdlife))</f>
        <v>0</v>
      </c>
      <c r="W749" s="590">
        <f>IF(A21taxstdlife="n/a","n/a",IF(W$3&gt;(A21taxstdlife+$E749),(('PTRM input'!$N$163+'PTRM input'!$N$129)*$N$7)-SUM($N749:V749),(('PTRM input'!$N$163+'PTRM input'!$N$129)*$N$7)/A21taxstdlife))</f>
        <v>0</v>
      </c>
      <c r="X749" s="590">
        <f>IF(A21taxstdlife="n/a","n/a",IF(X$3&gt;(A21taxstdlife+$E749),(('PTRM input'!$N$163+'PTRM input'!$N$129)*$N$7)-SUM($N749:W749),(('PTRM input'!$N$163+'PTRM input'!$N$129)*$N$7)/A21taxstdlife))</f>
        <v>0</v>
      </c>
      <c r="Y749" s="590">
        <f>IF(A21taxstdlife="n/a","n/a",IF(Y$3&gt;(A21taxstdlife+$E749),(('PTRM input'!$N$163+'PTRM input'!$N$129)*$N$7)-SUM($N749:X749),(('PTRM input'!$N$163+'PTRM input'!$N$129)*$N$7)/A21taxstdlife))</f>
        <v>0</v>
      </c>
      <c r="Z749" s="590">
        <f>IF(A21taxstdlife="n/a","n/a",IF(Z$3&gt;(A21taxstdlife+$E749),(('PTRM input'!$N$163+'PTRM input'!$N$129)*$N$7)-SUM($N749:Y749),(('PTRM input'!$N$163+'PTRM input'!$N$129)*$N$7)/A21taxstdlife))</f>
        <v>0</v>
      </c>
      <c r="AA749" s="590">
        <f>IF(A21taxstdlife="n/a","n/a",IF(AA$3&gt;(A21taxstdlife+$E749),(('PTRM input'!$N$163+'PTRM input'!$N$129)*$N$7)-SUM($N749:Z749),(('PTRM input'!$N$163+'PTRM input'!$N$129)*$N$7)/A21taxstdlife))</f>
        <v>0</v>
      </c>
      <c r="AB749" s="590">
        <f>IF(A21taxstdlife="n/a","n/a",IF(AB$3&gt;(A21taxstdlife+$E749),(('PTRM input'!$N$163+'PTRM input'!$N$129)*$N$7)-SUM($N749:AA749),(('PTRM input'!$N$163+'PTRM input'!$N$129)*$N$7)/A21taxstdlife))</f>
        <v>0</v>
      </c>
      <c r="AC749" s="590">
        <f>IF(A21taxstdlife="n/a","n/a",IF(AC$3&gt;(A21taxstdlife+$E749),(('PTRM input'!$N$163+'PTRM input'!$N$129)*$N$7)-SUM($N749:AB749),(('PTRM input'!$N$163+'PTRM input'!$N$129)*$N$7)/A21taxstdlife))</f>
        <v>0</v>
      </c>
      <c r="AD749" s="590">
        <f>IF(A21taxstdlife="n/a","n/a",IF(AD$3&gt;(A21taxstdlife+$E749),(('PTRM input'!$N$163+'PTRM input'!$N$129)*$N$7)-SUM($N749:AC749),(('PTRM input'!$N$163+'PTRM input'!$N$129)*$N$7)/A21taxstdlife))</f>
        <v>0</v>
      </c>
      <c r="AE749" s="590">
        <f>IF(A21taxstdlife="n/a","n/a",IF(AE$3&gt;(A21taxstdlife+$E749),(('PTRM input'!$N$163+'PTRM input'!$N$129)*$N$7)-SUM($N749:AD749),(('PTRM input'!$N$163+'PTRM input'!$N$129)*$N$7)/A21taxstdlife))</f>
        <v>0</v>
      </c>
      <c r="AF749" s="590">
        <f>IF(A21taxstdlife="n/a","n/a",IF(AF$3&gt;(A21taxstdlife+$E749),(('PTRM input'!$N$163+'PTRM input'!$N$129)*$N$7)-SUM($N749:AE749),(('PTRM input'!$N$163+'PTRM input'!$N$129)*$N$7)/A21taxstdlife))</f>
        <v>0</v>
      </c>
      <c r="AG749" s="590">
        <f>IF(A21taxstdlife="n/a","n/a",IF(AG$3&gt;(A21taxstdlife+$E749),(('PTRM input'!$N$163+'PTRM input'!$N$129)*$N$7)-SUM($N749:AF749),(('PTRM input'!$N$163+'PTRM input'!$N$129)*$N$7)/A21taxstdlife))</f>
        <v>0</v>
      </c>
      <c r="AH749" s="590">
        <f>IF(A21taxstdlife="n/a","n/a",IF(AH$3&gt;(A21taxstdlife+$E749),(('PTRM input'!$N$163+'PTRM input'!$N$129)*$N$7)-SUM($N749:AG749),(('PTRM input'!$N$163+'PTRM input'!$N$129)*$N$7)/A21taxstdlife))</f>
        <v>0</v>
      </c>
      <c r="AI749" s="590">
        <f>IF(A21taxstdlife="n/a","n/a",IF(AI$3&gt;(A21taxstdlife+$E749),(('PTRM input'!$N$163+'PTRM input'!$N$129)*$N$7)-SUM($N749:AH749),(('PTRM input'!$N$163+'PTRM input'!$N$129)*$N$7)/A21taxstdlife))</f>
        <v>0</v>
      </c>
      <c r="AJ749" s="590">
        <f>IF(A21taxstdlife="n/a","n/a",IF(AJ$3&gt;(A21taxstdlife+$E749),(('PTRM input'!$N$163+'PTRM input'!$N$129)*$N$7)-SUM($N749:AI749),(('PTRM input'!$N$163+'PTRM input'!$N$129)*$N$7)/A21taxstdlife))</f>
        <v>0</v>
      </c>
      <c r="AK749" s="590">
        <f>IF(A21taxstdlife="n/a","n/a",IF(AK$3&gt;(A21taxstdlife+$E749),(('PTRM input'!$N$163+'PTRM input'!$N$129)*$N$7)-SUM($N749:AJ749),(('PTRM input'!$N$163+'PTRM input'!$N$129)*$N$7)/A21taxstdlife))</f>
        <v>0</v>
      </c>
      <c r="AL749" s="590">
        <f>IF(A21taxstdlife="n/a","n/a",IF(AL$3&gt;(A21taxstdlife+$E749),(('PTRM input'!$N$163+'PTRM input'!$N$129)*$N$7)-SUM($N749:AK749),(('PTRM input'!$N$163+'PTRM input'!$N$129)*$N$7)/A21taxstdlife))</f>
        <v>0</v>
      </c>
      <c r="AM749" s="590">
        <f>IF(A21taxstdlife="n/a","n/a",IF(AM$3&gt;(A21taxstdlife+$E749),(('PTRM input'!$N$163+'PTRM input'!$N$129)*$N$7)-SUM($N749:AL749),(('PTRM input'!$N$163+'PTRM input'!$N$129)*$N$7)/A21taxstdlife))</f>
        <v>0</v>
      </c>
      <c r="AN749" s="590">
        <f>IF(A21taxstdlife="n/a","n/a",IF(AN$3&gt;(A21taxstdlife+$E749),(('PTRM input'!$N$163+'PTRM input'!$N$129)*$N$7)-SUM($N749:AM749),(('PTRM input'!$N$163+'PTRM input'!$N$129)*$N$7)/A21taxstdlife))</f>
        <v>0</v>
      </c>
      <c r="AO749" s="590">
        <f>IF(A21taxstdlife="n/a","n/a",IF(AO$3&gt;(A21taxstdlife+$E749),(('PTRM input'!$N$163+'PTRM input'!$N$129)*$N$7)-SUM($N749:AN749),(('PTRM input'!$N$163+'PTRM input'!$N$129)*$N$7)/A21taxstdlife))</f>
        <v>0</v>
      </c>
      <c r="AP749" s="590">
        <f>IF(A21taxstdlife="n/a","n/a",IF(AP$3&gt;(A21taxstdlife+$E749),(('PTRM input'!$N$163+'PTRM input'!$N$129)*$N$7)-SUM($N749:AO749),(('PTRM input'!$N$163+'PTRM input'!$N$129)*$N$7)/A21taxstdlife))</f>
        <v>0</v>
      </c>
      <c r="AQ749" s="590">
        <f>IF(A21taxstdlife="n/a","n/a",IF(AQ$3&gt;(A21taxstdlife+$E749),(('PTRM input'!$N$163+'PTRM input'!$N$129)*$N$7)-SUM($N749:AP749),(('PTRM input'!$N$163+'PTRM input'!$N$129)*$N$7)/A21taxstdlife))</f>
        <v>0</v>
      </c>
      <c r="AR749" s="590">
        <f>IF(A21taxstdlife="n/a","n/a",IF(AR$3&gt;(A21taxstdlife+$E749),(('PTRM input'!$N$163+'PTRM input'!$N$129)*$N$7)-SUM($N749:AQ749),(('PTRM input'!$N$163+'PTRM input'!$N$129)*$N$7)/A21taxstdlife))</f>
        <v>0</v>
      </c>
      <c r="AS749" s="590">
        <f>IF(A21taxstdlife="n/a","n/a",IF(AS$3&gt;(A21taxstdlife+$E749),(('PTRM input'!$N$163+'PTRM input'!$N$129)*$N$7)-SUM($N749:AR749),(('PTRM input'!$N$163+'PTRM input'!$N$129)*$N$7)/A21taxstdlife))</f>
        <v>0</v>
      </c>
      <c r="AT749" s="590">
        <f>IF(A21taxstdlife="n/a","n/a",IF(AT$3&gt;(A21taxstdlife+$E749),(('PTRM input'!$N$163+'PTRM input'!$N$129)*$N$7)-SUM($N749:AS749),(('PTRM input'!$N$163+'PTRM input'!$N$129)*$N$7)/A21taxstdlife))</f>
        <v>0</v>
      </c>
      <c r="AU749" s="590">
        <f>IF(A21taxstdlife="n/a","n/a",IF(AU$3&gt;(A21taxstdlife+$E749),(('PTRM input'!$N$163+'PTRM input'!$N$129)*$N$7)-SUM($N749:AT749),(('PTRM input'!$N$163+'PTRM input'!$N$129)*$N$7)/A21taxstdlife))</f>
        <v>0</v>
      </c>
      <c r="AV749" s="590">
        <f>IF(A21taxstdlife="n/a","n/a",IF(AV$3&gt;(A21taxstdlife+$E749),(('PTRM input'!$N$163+'PTRM input'!$N$129)*$N$7)-SUM($N749:AU749),(('PTRM input'!$N$163+'PTRM input'!$N$129)*$N$7)/A21taxstdlife))</f>
        <v>0</v>
      </c>
      <c r="AW749" s="590">
        <f>IF(A21taxstdlife="n/a","n/a",IF(AW$3&gt;(A21taxstdlife+$E749),(('PTRM input'!$N$163+'PTRM input'!$N$129)*$N$7)-SUM($N749:AV749),(('PTRM input'!$N$163+'PTRM input'!$N$129)*$N$7)/A21taxstdlife))</f>
        <v>0</v>
      </c>
      <c r="AX749" s="590">
        <f>IF(A21taxstdlife="n/a","n/a",IF(AX$3&gt;(A21taxstdlife+$E749),(('PTRM input'!$N$163+'PTRM input'!$N$129)*$N$7)-SUM($N749:AW749),(('PTRM input'!$N$163+'PTRM input'!$N$129)*$N$7)/A21taxstdlife))</f>
        <v>0</v>
      </c>
      <c r="AY749" s="590">
        <f>IF(A21taxstdlife="n/a","n/a",IF(AY$3&gt;(A21taxstdlife+$E749),(('PTRM input'!$N$163+'PTRM input'!$N$129)*$N$7)-SUM($N749:AX749),(('PTRM input'!$N$163+'PTRM input'!$N$129)*$N$7)/A21taxstdlife))</f>
        <v>0</v>
      </c>
      <c r="AZ749" s="590">
        <f>IF(A21taxstdlife="n/a","n/a",IF(AZ$3&gt;(A21taxstdlife+$E749),(('PTRM input'!$N$163+'PTRM input'!$N$129)*$N$7)-SUM($N749:AY749),(('PTRM input'!$N$163+'PTRM input'!$N$129)*$N$7)/A21taxstdlife))</f>
        <v>0</v>
      </c>
      <c r="BA749" s="590">
        <f>IF(A21taxstdlife="n/a","n/a",IF(BA$3&gt;(A21taxstdlife+$E749),(('PTRM input'!$N$163+'PTRM input'!$N$129)*$N$7)-SUM($N749:AZ749),(('PTRM input'!$N$163+'PTRM input'!$N$129)*$N$7)/A21taxstdlife))</f>
        <v>0</v>
      </c>
      <c r="BB749" s="590">
        <f>IF(A21taxstdlife="n/a","n/a",IF(BB$3&gt;(A21taxstdlife+$E749),(('PTRM input'!$N$163+'PTRM input'!$N$129)*$N$7)-SUM($N749:BA749),(('PTRM input'!$N$163+'PTRM input'!$N$129)*$N$7)/A21taxstdlife))</f>
        <v>0</v>
      </c>
      <c r="BC749" s="590">
        <f>IF(A21taxstdlife="n/a","n/a",IF(BC$3&gt;(A21taxstdlife+$E749),(('PTRM input'!$N$163+'PTRM input'!$N$129)*$N$7)-SUM($N749:BB749),(('PTRM input'!$N$163+'PTRM input'!$N$129)*$N$7)/A21taxstdlife))</f>
        <v>0</v>
      </c>
      <c r="BD749" s="590">
        <f>IF(A21taxstdlife="n/a","n/a",IF(BD$3&gt;(A21taxstdlife+$E749),(('PTRM input'!$N$163+'PTRM input'!$N$129)*$N$7)-SUM($N749:BC749),(('PTRM input'!$N$163+'PTRM input'!$N$129)*$N$7)/A21taxstdlife))</f>
        <v>0</v>
      </c>
      <c r="BE749" s="590">
        <f>IF(A21taxstdlife="n/a","n/a",IF(BE$3&gt;(A21taxstdlife+$E749),(('PTRM input'!$N$163+'PTRM input'!$N$129)*$N$7)-SUM($N749:BD749),(('PTRM input'!$N$163+'PTRM input'!$N$129)*$N$7)/A21taxstdlife))</f>
        <v>0</v>
      </c>
      <c r="BF749" s="590">
        <f>IF(A21taxstdlife="n/a","n/a",IF(BF$3&gt;(A21taxstdlife+$E749),(('PTRM input'!$N$163+'PTRM input'!$N$129)*$N$7)-SUM($N749:BE749),(('PTRM input'!$N$163+'PTRM input'!$N$129)*$N$7)/A21taxstdlife))</f>
        <v>0</v>
      </c>
      <c r="BG749" s="590">
        <f>IF(A21taxstdlife="n/a","n/a",IF(BG$3&gt;(A21taxstdlife+$E749),(('PTRM input'!$N$163+'PTRM input'!$N$129)*$N$7)-SUM($N749:BF749),(('PTRM input'!$N$163+'PTRM input'!$N$129)*$N$7)/A21taxstdlife))</f>
        <v>0</v>
      </c>
      <c r="BH749" s="590">
        <f>IF(A21taxstdlife="n/a","n/a",IF(BH$3&gt;(A21taxstdlife+$E749),(('PTRM input'!$N$163+'PTRM input'!$N$129)*$N$7)-SUM($N749:BG749),(('PTRM input'!$N$163+'PTRM input'!$N$129)*$N$7)/A21taxstdlife))</f>
        <v>0</v>
      </c>
      <c r="BI749" s="590">
        <f>IF(A21taxstdlife="n/a","n/a",IF(BI$3&gt;(A21taxstdlife+$E749),(('PTRM input'!$N$163+'PTRM input'!$N$129)*$N$7)-SUM($N749:BH749),(('PTRM input'!$N$163+'PTRM input'!$N$129)*$N$7)/A21taxstdlife))</f>
        <v>0</v>
      </c>
      <c r="BJ749" s="240"/>
      <c r="BK749" s="240"/>
      <c r="BL749" s="240"/>
      <c r="BM749" s="240"/>
    </row>
    <row r="750" spans="1:65" s="4" customFormat="1" hidden="1" outlineLevel="2">
      <c r="A750" s="240"/>
      <c r="B750" s="240"/>
      <c r="C750" s="595"/>
      <c r="D750" s="1618"/>
      <c r="E750" s="169">
        <v>9</v>
      </c>
      <c r="F750" s="35"/>
      <c r="G750" s="184"/>
      <c r="H750" s="186"/>
      <c r="I750" s="186"/>
      <c r="J750" s="186"/>
      <c r="K750" s="186"/>
      <c r="L750" s="186"/>
      <c r="M750" s="186"/>
      <c r="N750" s="186"/>
      <c r="O750" s="185"/>
      <c r="P750" s="107">
        <f>IF(A21taxstdlife="n/a","n/a",IF(P$3&gt;(A21taxstdlife+$E750),(('PTRM input'!$O$163+'PTRM input'!$O$129)*$O$7)-SUM($O750:O750),(('PTRM input'!$O$163+'PTRM input'!$O$129)*$O$7)/A21taxstdlife))</f>
        <v>0</v>
      </c>
      <c r="Q750" s="590">
        <f>IF(A21taxstdlife="n/a","n/a",IF(Q$3&gt;(A21taxstdlife+$E750),(('PTRM input'!$O$163+'PTRM input'!$O$129)*$O$7)-SUM($O750:P750),(('PTRM input'!$O$163+'PTRM input'!$O$129)*$O$7)/A21taxstdlife))</f>
        <v>0</v>
      </c>
      <c r="R750" s="590">
        <f>IF(A21taxstdlife="n/a","n/a",IF(R$3&gt;(A21taxstdlife+$E750),(('PTRM input'!$O$163+'PTRM input'!$O$129)*$O$7)-SUM($O750:Q750),(('PTRM input'!$O$163+'PTRM input'!$O$129)*$O$7)/A21taxstdlife))</f>
        <v>0</v>
      </c>
      <c r="S750" s="590">
        <f>IF(A21taxstdlife="n/a","n/a",IF(S$3&gt;(A21taxstdlife+$E750),(('PTRM input'!$O$163+'PTRM input'!$O$129)*$O$7)-SUM($O750:R750),(('PTRM input'!$O$163+'PTRM input'!$O$129)*$O$7)/A21taxstdlife))</f>
        <v>0</v>
      </c>
      <c r="T750" s="590">
        <f>IF(A21taxstdlife="n/a","n/a",IF(T$3&gt;(A21taxstdlife+$E750),(('PTRM input'!$O$163+'PTRM input'!$O$129)*$O$7)-SUM($O750:S750),(('PTRM input'!$O$163+'PTRM input'!$O$129)*$O$7)/A21taxstdlife))</f>
        <v>0</v>
      </c>
      <c r="U750" s="590">
        <f>IF(A21taxstdlife="n/a","n/a",IF(U$3&gt;(A21taxstdlife+$E750),(('PTRM input'!$O$163+'PTRM input'!$O$129)*$O$7)-SUM($O750:T750),(('PTRM input'!$O$163+'PTRM input'!$O$129)*$O$7)/A21taxstdlife))</f>
        <v>0</v>
      </c>
      <c r="V750" s="590">
        <f>IF(A21taxstdlife="n/a","n/a",IF(V$3&gt;(A21taxstdlife+$E750),(('PTRM input'!$O$163+'PTRM input'!$O$129)*$O$7)-SUM($O750:U750),(('PTRM input'!$O$163+'PTRM input'!$O$129)*$O$7)/A21taxstdlife))</f>
        <v>0</v>
      </c>
      <c r="W750" s="590">
        <f>IF(A21taxstdlife="n/a","n/a",IF(W$3&gt;(A21taxstdlife+$E750),(('PTRM input'!$O$163+'PTRM input'!$O$129)*$O$7)-SUM($O750:V750),(('PTRM input'!$O$163+'PTRM input'!$O$129)*$O$7)/A21taxstdlife))</f>
        <v>0</v>
      </c>
      <c r="X750" s="590">
        <f>IF(A21taxstdlife="n/a","n/a",IF(X$3&gt;(A21taxstdlife+$E750),(('PTRM input'!$O$163+'PTRM input'!$O$129)*$O$7)-SUM($O750:W750),(('PTRM input'!$O$163+'PTRM input'!$O$129)*$O$7)/A21taxstdlife))</f>
        <v>0</v>
      </c>
      <c r="Y750" s="590">
        <f>IF(A21taxstdlife="n/a","n/a",IF(Y$3&gt;(A21taxstdlife+$E750),(('PTRM input'!$O$163+'PTRM input'!$O$129)*$O$7)-SUM($O750:X750),(('PTRM input'!$O$163+'PTRM input'!$O$129)*$O$7)/A21taxstdlife))</f>
        <v>0</v>
      </c>
      <c r="Z750" s="590">
        <f>IF(A21taxstdlife="n/a","n/a",IF(Z$3&gt;(A21taxstdlife+$E750),(('PTRM input'!$O$163+'PTRM input'!$O$129)*$O$7)-SUM($O750:Y750),(('PTRM input'!$O$163+'PTRM input'!$O$129)*$O$7)/A21taxstdlife))</f>
        <v>0</v>
      </c>
      <c r="AA750" s="590">
        <f>IF(A21taxstdlife="n/a","n/a",IF(AA$3&gt;(A21taxstdlife+$E750),(('PTRM input'!$O$163+'PTRM input'!$O$129)*$O$7)-SUM($O750:Z750),(('PTRM input'!$O$163+'PTRM input'!$O$129)*$O$7)/A21taxstdlife))</f>
        <v>0</v>
      </c>
      <c r="AB750" s="590">
        <f>IF(A21taxstdlife="n/a","n/a",IF(AB$3&gt;(A21taxstdlife+$E750),(('PTRM input'!$O$163+'PTRM input'!$O$129)*$O$7)-SUM($O750:AA750),(('PTRM input'!$O$163+'PTRM input'!$O$129)*$O$7)/A21taxstdlife))</f>
        <v>0</v>
      </c>
      <c r="AC750" s="590">
        <f>IF(A21taxstdlife="n/a","n/a",IF(AC$3&gt;(A21taxstdlife+$E750),(('PTRM input'!$O$163+'PTRM input'!$O$129)*$O$7)-SUM($O750:AB750),(('PTRM input'!$O$163+'PTRM input'!$O$129)*$O$7)/A21taxstdlife))</f>
        <v>0</v>
      </c>
      <c r="AD750" s="590">
        <f>IF(A21taxstdlife="n/a","n/a",IF(AD$3&gt;(A21taxstdlife+$E750),(('PTRM input'!$O$163+'PTRM input'!$O$129)*$O$7)-SUM($O750:AC750),(('PTRM input'!$O$163+'PTRM input'!$O$129)*$O$7)/A21taxstdlife))</f>
        <v>0</v>
      </c>
      <c r="AE750" s="590">
        <f>IF(A21taxstdlife="n/a","n/a",IF(AE$3&gt;(A21taxstdlife+$E750),(('PTRM input'!$O$163+'PTRM input'!$O$129)*$O$7)-SUM($O750:AD750),(('PTRM input'!$O$163+'PTRM input'!$O$129)*$O$7)/A21taxstdlife))</f>
        <v>0</v>
      </c>
      <c r="AF750" s="590">
        <f>IF(A21taxstdlife="n/a","n/a",IF(AF$3&gt;(A21taxstdlife+$E750),(('PTRM input'!$O$163+'PTRM input'!$O$129)*$O$7)-SUM($O750:AE750),(('PTRM input'!$O$163+'PTRM input'!$O$129)*$O$7)/A21taxstdlife))</f>
        <v>0</v>
      </c>
      <c r="AG750" s="590">
        <f>IF(A21taxstdlife="n/a","n/a",IF(AG$3&gt;(A21taxstdlife+$E750),(('PTRM input'!$O$163+'PTRM input'!$O$129)*$O$7)-SUM($O750:AF750),(('PTRM input'!$O$163+'PTRM input'!$O$129)*$O$7)/A21taxstdlife))</f>
        <v>0</v>
      </c>
      <c r="AH750" s="590">
        <f>IF(A21taxstdlife="n/a","n/a",IF(AH$3&gt;(A21taxstdlife+$E750),(('PTRM input'!$O$163+'PTRM input'!$O$129)*$O$7)-SUM($O750:AG750),(('PTRM input'!$O$163+'PTRM input'!$O$129)*$O$7)/A21taxstdlife))</f>
        <v>0</v>
      </c>
      <c r="AI750" s="590">
        <f>IF(A21taxstdlife="n/a","n/a",IF(AI$3&gt;(A21taxstdlife+$E750),(('PTRM input'!$O$163+'PTRM input'!$O$129)*$O$7)-SUM($O750:AH750),(('PTRM input'!$O$163+'PTRM input'!$O$129)*$O$7)/A21taxstdlife))</f>
        <v>0</v>
      </c>
      <c r="AJ750" s="590">
        <f>IF(A21taxstdlife="n/a","n/a",IF(AJ$3&gt;(A21taxstdlife+$E750),(('PTRM input'!$O$163+'PTRM input'!$O$129)*$O$7)-SUM($O750:AI750),(('PTRM input'!$O$163+'PTRM input'!$O$129)*$O$7)/A21taxstdlife))</f>
        <v>0</v>
      </c>
      <c r="AK750" s="590">
        <f>IF(A21taxstdlife="n/a","n/a",IF(AK$3&gt;(A21taxstdlife+$E750),(('PTRM input'!$O$163+'PTRM input'!$O$129)*$O$7)-SUM($O750:AJ750),(('PTRM input'!$O$163+'PTRM input'!$O$129)*$O$7)/A21taxstdlife))</f>
        <v>0</v>
      </c>
      <c r="AL750" s="590">
        <f>IF(A21taxstdlife="n/a","n/a",IF(AL$3&gt;(A21taxstdlife+$E750),(('PTRM input'!$O$163+'PTRM input'!$O$129)*$O$7)-SUM($O750:AK750),(('PTRM input'!$O$163+'PTRM input'!$O$129)*$O$7)/A21taxstdlife))</f>
        <v>0</v>
      </c>
      <c r="AM750" s="590">
        <f>IF(A21taxstdlife="n/a","n/a",IF(AM$3&gt;(A21taxstdlife+$E750),(('PTRM input'!$O$163+'PTRM input'!$O$129)*$O$7)-SUM($O750:AL750),(('PTRM input'!$O$163+'PTRM input'!$O$129)*$O$7)/A21taxstdlife))</f>
        <v>0</v>
      </c>
      <c r="AN750" s="590">
        <f>IF(A21taxstdlife="n/a","n/a",IF(AN$3&gt;(A21taxstdlife+$E750),(('PTRM input'!$O$163+'PTRM input'!$O$129)*$O$7)-SUM($O750:AM750),(('PTRM input'!$O$163+'PTRM input'!$O$129)*$O$7)/A21taxstdlife))</f>
        <v>0</v>
      </c>
      <c r="AO750" s="590">
        <f>IF(A21taxstdlife="n/a","n/a",IF(AO$3&gt;(A21taxstdlife+$E750),(('PTRM input'!$O$163+'PTRM input'!$O$129)*$O$7)-SUM($O750:AN750),(('PTRM input'!$O$163+'PTRM input'!$O$129)*$O$7)/A21taxstdlife))</f>
        <v>0</v>
      </c>
      <c r="AP750" s="590">
        <f>IF(A21taxstdlife="n/a","n/a",IF(AP$3&gt;(A21taxstdlife+$E750),(('PTRM input'!$O$163+'PTRM input'!$O$129)*$O$7)-SUM($O750:AO750),(('PTRM input'!$O$163+'PTRM input'!$O$129)*$O$7)/A21taxstdlife))</f>
        <v>0</v>
      </c>
      <c r="AQ750" s="590">
        <f>IF(A21taxstdlife="n/a","n/a",IF(AQ$3&gt;(A21taxstdlife+$E750),(('PTRM input'!$O$163+'PTRM input'!$O$129)*$O$7)-SUM($O750:AP750),(('PTRM input'!$O$163+'PTRM input'!$O$129)*$O$7)/A21taxstdlife))</f>
        <v>0</v>
      </c>
      <c r="AR750" s="590">
        <f>IF(A21taxstdlife="n/a","n/a",IF(AR$3&gt;(A21taxstdlife+$E750),(('PTRM input'!$O$163+'PTRM input'!$O$129)*$O$7)-SUM($O750:AQ750),(('PTRM input'!$O$163+'PTRM input'!$O$129)*$O$7)/A21taxstdlife))</f>
        <v>0</v>
      </c>
      <c r="AS750" s="590">
        <f>IF(A21taxstdlife="n/a","n/a",IF(AS$3&gt;(A21taxstdlife+$E750),(('PTRM input'!$O$163+'PTRM input'!$O$129)*$O$7)-SUM($O750:AR750),(('PTRM input'!$O$163+'PTRM input'!$O$129)*$O$7)/A21taxstdlife))</f>
        <v>0</v>
      </c>
      <c r="AT750" s="590">
        <f>IF(A21taxstdlife="n/a","n/a",IF(AT$3&gt;(A21taxstdlife+$E750),(('PTRM input'!$O$163+'PTRM input'!$O$129)*$O$7)-SUM($O750:AS750),(('PTRM input'!$O$163+'PTRM input'!$O$129)*$O$7)/A21taxstdlife))</f>
        <v>0</v>
      </c>
      <c r="AU750" s="590">
        <f>IF(A21taxstdlife="n/a","n/a",IF(AU$3&gt;(A21taxstdlife+$E750),(('PTRM input'!$O$163+'PTRM input'!$O$129)*$O$7)-SUM($O750:AT750),(('PTRM input'!$O$163+'PTRM input'!$O$129)*$O$7)/A21taxstdlife))</f>
        <v>0</v>
      </c>
      <c r="AV750" s="590">
        <f>IF(A21taxstdlife="n/a","n/a",IF(AV$3&gt;(A21taxstdlife+$E750),(('PTRM input'!$O$163+'PTRM input'!$O$129)*$O$7)-SUM($O750:AU750),(('PTRM input'!$O$163+'PTRM input'!$O$129)*$O$7)/A21taxstdlife))</f>
        <v>0</v>
      </c>
      <c r="AW750" s="590">
        <f>IF(A21taxstdlife="n/a","n/a",IF(AW$3&gt;(A21taxstdlife+$E750),(('PTRM input'!$O$163+'PTRM input'!$O$129)*$O$7)-SUM($O750:AV750),(('PTRM input'!$O$163+'PTRM input'!$O$129)*$O$7)/A21taxstdlife))</f>
        <v>0</v>
      </c>
      <c r="AX750" s="590">
        <f>IF(A21taxstdlife="n/a","n/a",IF(AX$3&gt;(A21taxstdlife+$E750),(('PTRM input'!$O$163+'PTRM input'!$O$129)*$O$7)-SUM($O750:AW750),(('PTRM input'!$O$163+'PTRM input'!$O$129)*$O$7)/A21taxstdlife))</f>
        <v>0</v>
      </c>
      <c r="AY750" s="590">
        <f>IF(A21taxstdlife="n/a","n/a",IF(AY$3&gt;(A21taxstdlife+$E750),(('PTRM input'!$O$163+'PTRM input'!$O$129)*$O$7)-SUM($O750:AX750),(('PTRM input'!$O$163+'PTRM input'!$O$129)*$O$7)/A21taxstdlife))</f>
        <v>0</v>
      </c>
      <c r="AZ750" s="590">
        <f>IF(A21taxstdlife="n/a","n/a",IF(AZ$3&gt;(A21taxstdlife+$E750),(('PTRM input'!$O$163+'PTRM input'!$O$129)*$O$7)-SUM($O750:AY750),(('PTRM input'!$O$163+'PTRM input'!$O$129)*$O$7)/A21taxstdlife))</f>
        <v>0</v>
      </c>
      <c r="BA750" s="590">
        <f>IF(A21taxstdlife="n/a","n/a",IF(BA$3&gt;(A21taxstdlife+$E750),(('PTRM input'!$O$163+'PTRM input'!$O$129)*$O$7)-SUM($O750:AZ750),(('PTRM input'!$O$163+'PTRM input'!$O$129)*$O$7)/A21taxstdlife))</f>
        <v>0</v>
      </c>
      <c r="BB750" s="590">
        <f>IF(A21taxstdlife="n/a","n/a",IF(BB$3&gt;(A21taxstdlife+$E750),(('PTRM input'!$O$163+'PTRM input'!$O$129)*$O$7)-SUM($O750:BA750),(('PTRM input'!$O$163+'PTRM input'!$O$129)*$O$7)/A21taxstdlife))</f>
        <v>0</v>
      </c>
      <c r="BC750" s="590">
        <f>IF(A21taxstdlife="n/a","n/a",IF(BC$3&gt;(A21taxstdlife+$E750),(('PTRM input'!$O$163+'PTRM input'!$O$129)*$O$7)-SUM($O750:BB750),(('PTRM input'!$O$163+'PTRM input'!$O$129)*$O$7)/A21taxstdlife))</f>
        <v>0</v>
      </c>
      <c r="BD750" s="590">
        <f>IF(A21taxstdlife="n/a","n/a",IF(BD$3&gt;(A21taxstdlife+$E750),(('PTRM input'!$O$163+'PTRM input'!$O$129)*$O$7)-SUM($O750:BC750),(('PTRM input'!$O$163+'PTRM input'!$O$129)*$O$7)/A21taxstdlife))</f>
        <v>0</v>
      </c>
      <c r="BE750" s="590">
        <f>IF(A21taxstdlife="n/a","n/a",IF(BE$3&gt;(A21taxstdlife+$E750),(('PTRM input'!$O$163+'PTRM input'!$O$129)*$O$7)-SUM($O750:BD750),(('PTRM input'!$O$163+'PTRM input'!$O$129)*$O$7)/A21taxstdlife))</f>
        <v>0</v>
      </c>
      <c r="BF750" s="590">
        <f>IF(A21taxstdlife="n/a","n/a",IF(BF$3&gt;(A21taxstdlife+$E750),(('PTRM input'!$O$163+'PTRM input'!$O$129)*$O$7)-SUM($O750:BE750),(('PTRM input'!$O$163+'PTRM input'!$O$129)*$O$7)/A21taxstdlife))</f>
        <v>0</v>
      </c>
      <c r="BG750" s="590">
        <f>IF(A21taxstdlife="n/a","n/a",IF(BG$3&gt;(A21taxstdlife+$E750),(('PTRM input'!$O$163+'PTRM input'!$O$129)*$O$7)-SUM($O750:BF750),(('PTRM input'!$O$163+'PTRM input'!$O$129)*$O$7)/A21taxstdlife))</f>
        <v>0</v>
      </c>
      <c r="BH750" s="590">
        <f>IF(A21taxstdlife="n/a","n/a",IF(BH$3&gt;(A21taxstdlife+$E750),(('PTRM input'!$O$163+'PTRM input'!$O$129)*$O$7)-SUM($O750:BG750),(('PTRM input'!$O$163+'PTRM input'!$O$129)*$O$7)/A21taxstdlife))</f>
        <v>0</v>
      </c>
      <c r="BI750" s="590">
        <f>IF(A21taxstdlife="n/a","n/a",IF(BI$3&gt;(A21taxstdlife+$E750),(('PTRM input'!$O$163+'PTRM input'!$O$129)*$O$7)-SUM($O750:BH750),(('PTRM input'!$O$163+'PTRM input'!$O$129)*$O$7)/A21taxstdlife))</f>
        <v>0</v>
      </c>
      <c r="BJ750" s="240"/>
      <c r="BK750" s="240"/>
      <c r="BL750" s="240"/>
      <c r="BM750" s="240"/>
    </row>
    <row r="751" spans="1:65" s="4" customFormat="1" hidden="1" outlineLevel="2">
      <c r="A751" s="240"/>
      <c r="B751" s="240"/>
      <c r="C751" s="595"/>
      <c r="D751" s="1618"/>
      <c r="E751" s="170">
        <v>10</v>
      </c>
      <c r="F751" s="35"/>
      <c r="G751" s="184"/>
      <c r="H751" s="186"/>
      <c r="I751" s="186"/>
      <c r="J751" s="186"/>
      <c r="K751" s="186"/>
      <c r="L751" s="186"/>
      <c r="M751" s="186"/>
      <c r="N751" s="186"/>
      <c r="O751" s="186"/>
      <c r="P751" s="185"/>
      <c r="Q751" s="590">
        <f>IF(A21taxstdlife="n/a","n/a",IF(Q$3&gt;(A21taxstdlife+$E751),(('PTRM input'!$P$163+'PTRM input'!$P$129)*$P$7)-SUM($P751:P751),(('PTRM input'!$P$163+'PTRM input'!$P$129)*$P$7)/A21taxstdlife))</f>
        <v>0</v>
      </c>
      <c r="R751" s="590">
        <f>IF(A21taxstdlife="n/a","n/a",IF(R$3&gt;(A21taxstdlife+$E751),(('PTRM input'!$P$163+'PTRM input'!$P$129)*$P$7)-SUM($P751:Q751),(('PTRM input'!$P$163+'PTRM input'!$P$129)*$P$7)/A21taxstdlife))</f>
        <v>0</v>
      </c>
      <c r="S751" s="590">
        <f>IF(A21taxstdlife="n/a","n/a",IF(S$3&gt;(A21taxstdlife+$E751),(('PTRM input'!$P$163+'PTRM input'!$P$129)*$P$7)-SUM($P751:R751),(('PTRM input'!$P$163+'PTRM input'!$P$129)*$P$7)/A21taxstdlife))</f>
        <v>0</v>
      </c>
      <c r="T751" s="590">
        <f>IF(A21taxstdlife="n/a","n/a",IF(T$3&gt;(A21taxstdlife+$E751),(('PTRM input'!$P$163+'PTRM input'!$P$129)*$P$7)-SUM($P751:S751),(('PTRM input'!$P$163+'PTRM input'!$P$129)*$P$7)/A21taxstdlife))</f>
        <v>0</v>
      </c>
      <c r="U751" s="590">
        <f>IF(A21taxstdlife="n/a","n/a",IF(U$3&gt;(A21taxstdlife+$E751),(('PTRM input'!$P$163+'PTRM input'!$P$129)*$P$7)-SUM($P751:T751),(('PTRM input'!$P$163+'PTRM input'!$P$129)*$P$7)/A21taxstdlife))</f>
        <v>0</v>
      </c>
      <c r="V751" s="590">
        <f>IF(A21taxstdlife="n/a","n/a",IF(V$3&gt;(A21taxstdlife+$E751),(('PTRM input'!$P$163+'PTRM input'!$P$129)*$P$7)-SUM($P751:U751),(('PTRM input'!$P$163+'PTRM input'!$P$129)*$P$7)/A21taxstdlife))</f>
        <v>0</v>
      </c>
      <c r="W751" s="590">
        <f>IF(A21taxstdlife="n/a","n/a",IF(W$3&gt;(A21taxstdlife+$E751),(('PTRM input'!$P$163+'PTRM input'!$P$129)*$P$7)-SUM($P751:V751),(('PTRM input'!$P$163+'PTRM input'!$P$129)*$P$7)/A21taxstdlife))</f>
        <v>0</v>
      </c>
      <c r="X751" s="590">
        <f>IF(A21taxstdlife="n/a","n/a",IF(X$3&gt;(A21taxstdlife+$E751),(('PTRM input'!$P$163+'PTRM input'!$P$129)*$P$7)-SUM($P751:W751),(('PTRM input'!$P$163+'PTRM input'!$P$129)*$P$7)/A21taxstdlife))</f>
        <v>0</v>
      </c>
      <c r="Y751" s="590">
        <f>IF(A21taxstdlife="n/a","n/a",IF(Y$3&gt;(A21taxstdlife+$E751),(('PTRM input'!$P$163+'PTRM input'!$P$129)*$P$7)-SUM($P751:X751),(('PTRM input'!$P$163+'PTRM input'!$P$129)*$P$7)/A21taxstdlife))</f>
        <v>0</v>
      </c>
      <c r="Z751" s="590">
        <f>IF(A21taxstdlife="n/a","n/a",IF(Z$3&gt;(A21taxstdlife+$E751),(('PTRM input'!$P$163+'PTRM input'!$P$129)*$P$7)-SUM($P751:Y751),(('PTRM input'!$P$163+'PTRM input'!$P$129)*$P$7)/A21taxstdlife))</f>
        <v>0</v>
      </c>
      <c r="AA751" s="590">
        <f>IF(A21taxstdlife="n/a","n/a",IF(AA$3&gt;(A21taxstdlife+$E751),(('PTRM input'!$P$163+'PTRM input'!$P$129)*$P$7)-SUM($P751:Z751),(('PTRM input'!$P$163+'PTRM input'!$P$129)*$P$7)/A21taxstdlife))</f>
        <v>0</v>
      </c>
      <c r="AB751" s="590">
        <f>IF(A21taxstdlife="n/a","n/a",IF(AB$3&gt;(A21taxstdlife+$E751),(('PTRM input'!$P$163+'PTRM input'!$P$129)*$P$7)-SUM($P751:AA751),(('PTRM input'!$P$163+'PTRM input'!$P$129)*$P$7)/A21taxstdlife))</f>
        <v>0</v>
      </c>
      <c r="AC751" s="590">
        <f>IF(A21taxstdlife="n/a","n/a",IF(AC$3&gt;(A21taxstdlife+$E751),(('PTRM input'!$P$163+'PTRM input'!$P$129)*$P$7)-SUM($P751:AB751),(('PTRM input'!$P$163+'PTRM input'!$P$129)*$P$7)/A21taxstdlife))</f>
        <v>0</v>
      </c>
      <c r="AD751" s="590">
        <f>IF(A21taxstdlife="n/a","n/a",IF(AD$3&gt;(A21taxstdlife+$E751),(('PTRM input'!$P$163+'PTRM input'!$P$129)*$P$7)-SUM($P751:AC751),(('PTRM input'!$P$163+'PTRM input'!$P$129)*$P$7)/A21taxstdlife))</f>
        <v>0</v>
      </c>
      <c r="AE751" s="590">
        <f>IF(A21taxstdlife="n/a","n/a",IF(AE$3&gt;(A21taxstdlife+$E751),(('PTRM input'!$P$163+'PTRM input'!$P$129)*$P$7)-SUM($P751:AD751),(('PTRM input'!$P$163+'PTRM input'!$P$129)*$P$7)/A21taxstdlife))</f>
        <v>0</v>
      </c>
      <c r="AF751" s="590">
        <f>IF(A21taxstdlife="n/a","n/a",IF(AF$3&gt;(A21taxstdlife+$E751),(('PTRM input'!$P$163+'PTRM input'!$P$129)*$P$7)-SUM($P751:AE751),(('PTRM input'!$P$163+'PTRM input'!$P$129)*$P$7)/A21taxstdlife))</f>
        <v>0</v>
      </c>
      <c r="AG751" s="590">
        <f>IF(A21taxstdlife="n/a","n/a",IF(AG$3&gt;(A21taxstdlife+$E751),(('PTRM input'!$P$163+'PTRM input'!$P$129)*$P$7)-SUM($P751:AF751),(('PTRM input'!$P$163+'PTRM input'!$P$129)*$P$7)/A21taxstdlife))</f>
        <v>0</v>
      </c>
      <c r="AH751" s="590">
        <f>IF(A21taxstdlife="n/a","n/a",IF(AH$3&gt;(A21taxstdlife+$E751),(('PTRM input'!$P$163+'PTRM input'!$P$129)*$P$7)-SUM($P751:AG751),(('PTRM input'!$P$163+'PTRM input'!$P$129)*$P$7)/A21taxstdlife))</f>
        <v>0</v>
      </c>
      <c r="AI751" s="590">
        <f>IF(A21taxstdlife="n/a","n/a",IF(AI$3&gt;(A21taxstdlife+$E751),(('PTRM input'!$P$163+'PTRM input'!$P$129)*$P$7)-SUM($P751:AH751),(('PTRM input'!$P$163+'PTRM input'!$P$129)*$P$7)/A21taxstdlife))</f>
        <v>0</v>
      </c>
      <c r="AJ751" s="590">
        <f>IF(A21taxstdlife="n/a","n/a",IF(AJ$3&gt;(A21taxstdlife+$E751),(('PTRM input'!$P$163+'PTRM input'!$P$129)*$P$7)-SUM($P751:AI751),(('PTRM input'!$P$163+'PTRM input'!$P$129)*$P$7)/A21taxstdlife))</f>
        <v>0</v>
      </c>
      <c r="AK751" s="590">
        <f>IF(A21taxstdlife="n/a","n/a",IF(AK$3&gt;(A21taxstdlife+$E751),(('PTRM input'!$P$163+'PTRM input'!$P$129)*$P$7)-SUM($P751:AJ751),(('PTRM input'!$P$163+'PTRM input'!$P$129)*$P$7)/A21taxstdlife))</f>
        <v>0</v>
      </c>
      <c r="AL751" s="590">
        <f>IF(A21taxstdlife="n/a","n/a",IF(AL$3&gt;(A21taxstdlife+$E751),(('PTRM input'!$P$163+'PTRM input'!$P$129)*$P$7)-SUM($P751:AK751),(('PTRM input'!$P$163+'PTRM input'!$P$129)*$P$7)/A21taxstdlife))</f>
        <v>0</v>
      </c>
      <c r="AM751" s="590">
        <f>IF(A21taxstdlife="n/a","n/a",IF(AM$3&gt;(A21taxstdlife+$E751),(('PTRM input'!$P$163+'PTRM input'!$P$129)*$P$7)-SUM($P751:AL751),(('PTRM input'!$P$163+'PTRM input'!$P$129)*$P$7)/A21taxstdlife))</f>
        <v>0</v>
      </c>
      <c r="AN751" s="590">
        <f>IF(A21taxstdlife="n/a","n/a",IF(AN$3&gt;(A21taxstdlife+$E751),(('PTRM input'!$P$163+'PTRM input'!$P$129)*$P$7)-SUM($P751:AM751),(('PTRM input'!$P$163+'PTRM input'!$P$129)*$P$7)/A21taxstdlife))</f>
        <v>0</v>
      </c>
      <c r="AO751" s="590">
        <f>IF(A21taxstdlife="n/a","n/a",IF(AO$3&gt;(A21taxstdlife+$E751),(('PTRM input'!$P$163+'PTRM input'!$P$129)*$P$7)-SUM($P751:AN751),(('PTRM input'!$P$163+'PTRM input'!$P$129)*$P$7)/A21taxstdlife))</f>
        <v>0</v>
      </c>
      <c r="AP751" s="590">
        <f>IF(A21taxstdlife="n/a","n/a",IF(AP$3&gt;(A21taxstdlife+$E751),(('PTRM input'!$P$163+'PTRM input'!$P$129)*$P$7)-SUM($P751:AO751),(('PTRM input'!$P$163+'PTRM input'!$P$129)*$P$7)/A21taxstdlife))</f>
        <v>0</v>
      </c>
      <c r="AQ751" s="590">
        <f>IF(A21taxstdlife="n/a","n/a",IF(AQ$3&gt;(A21taxstdlife+$E751),(('PTRM input'!$P$163+'PTRM input'!$P$129)*$P$7)-SUM($P751:AP751),(('PTRM input'!$P$163+'PTRM input'!$P$129)*$P$7)/A21taxstdlife))</f>
        <v>0</v>
      </c>
      <c r="AR751" s="590">
        <f>IF(A21taxstdlife="n/a","n/a",IF(AR$3&gt;(A21taxstdlife+$E751),(('PTRM input'!$P$163+'PTRM input'!$P$129)*$P$7)-SUM($P751:AQ751),(('PTRM input'!$P$163+'PTRM input'!$P$129)*$P$7)/A21taxstdlife))</f>
        <v>0</v>
      </c>
      <c r="AS751" s="590">
        <f>IF(A21taxstdlife="n/a","n/a",IF(AS$3&gt;(A21taxstdlife+$E751),(('PTRM input'!$P$163+'PTRM input'!$P$129)*$P$7)-SUM($P751:AR751),(('PTRM input'!$P$163+'PTRM input'!$P$129)*$P$7)/A21taxstdlife))</f>
        <v>0</v>
      </c>
      <c r="AT751" s="590">
        <f>IF(A21taxstdlife="n/a","n/a",IF(AT$3&gt;(A21taxstdlife+$E751),(('PTRM input'!$P$163+'PTRM input'!$P$129)*$P$7)-SUM($P751:AS751),(('PTRM input'!$P$163+'PTRM input'!$P$129)*$P$7)/A21taxstdlife))</f>
        <v>0</v>
      </c>
      <c r="AU751" s="590">
        <f>IF(A21taxstdlife="n/a","n/a",IF(AU$3&gt;(A21taxstdlife+$E751),(('PTRM input'!$P$163+'PTRM input'!$P$129)*$P$7)-SUM($P751:AT751),(('PTRM input'!$P$163+'PTRM input'!$P$129)*$P$7)/A21taxstdlife))</f>
        <v>0</v>
      </c>
      <c r="AV751" s="590">
        <f>IF(A21taxstdlife="n/a","n/a",IF(AV$3&gt;(A21taxstdlife+$E751),(('PTRM input'!$P$163+'PTRM input'!$P$129)*$P$7)-SUM($P751:AU751),(('PTRM input'!$P$163+'PTRM input'!$P$129)*$P$7)/A21taxstdlife))</f>
        <v>0</v>
      </c>
      <c r="AW751" s="590">
        <f>IF(A21taxstdlife="n/a","n/a",IF(AW$3&gt;(A21taxstdlife+$E751),(('PTRM input'!$P$163+'PTRM input'!$P$129)*$P$7)-SUM($P751:AV751),(('PTRM input'!$P$163+'PTRM input'!$P$129)*$P$7)/A21taxstdlife))</f>
        <v>0</v>
      </c>
      <c r="AX751" s="590">
        <f>IF(A21taxstdlife="n/a","n/a",IF(AX$3&gt;(A21taxstdlife+$E751),(('PTRM input'!$P$163+'PTRM input'!$P$129)*$P$7)-SUM($P751:AW751),(('PTRM input'!$P$163+'PTRM input'!$P$129)*$P$7)/A21taxstdlife))</f>
        <v>0</v>
      </c>
      <c r="AY751" s="590">
        <f>IF(A21taxstdlife="n/a","n/a",IF(AY$3&gt;(A21taxstdlife+$E751),(('PTRM input'!$P$163+'PTRM input'!$P$129)*$P$7)-SUM($P751:AX751),(('PTRM input'!$P$163+'PTRM input'!$P$129)*$P$7)/A21taxstdlife))</f>
        <v>0</v>
      </c>
      <c r="AZ751" s="590">
        <f>IF(A21taxstdlife="n/a","n/a",IF(AZ$3&gt;(A21taxstdlife+$E751),(('PTRM input'!$P$163+'PTRM input'!$P$129)*$P$7)-SUM($P751:AY751),(('PTRM input'!$P$163+'PTRM input'!$P$129)*$P$7)/A21taxstdlife))</f>
        <v>0</v>
      </c>
      <c r="BA751" s="590">
        <f>IF(A21taxstdlife="n/a","n/a",IF(BA$3&gt;(A21taxstdlife+$E751),(('PTRM input'!$P$163+'PTRM input'!$P$129)*$P$7)-SUM($P751:AZ751),(('PTRM input'!$P$163+'PTRM input'!$P$129)*$P$7)/A21taxstdlife))</f>
        <v>0</v>
      </c>
      <c r="BB751" s="590">
        <f>IF(A21taxstdlife="n/a","n/a",IF(BB$3&gt;(A21taxstdlife+$E751),(('PTRM input'!$P$163+'PTRM input'!$P$129)*$P$7)-SUM($P751:BA751),(('PTRM input'!$P$163+'PTRM input'!$P$129)*$P$7)/A21taxstdlife))</f>
        <v>0</v>
      </c>
      <c r="BC751" s="590">
        <f>IF(A21taxstdlife="n/a","n/a",IF(BC$3&gt;(A21taxstdlife+$E751),(('PTRM input'!$P$163+'PTRM input'!$P$129)*$P$7)-SUM($P751:BB751),(('PTRM input'!$P$163+'PTRM input'!$P$129)*$P$7)/A21taxstdlife))</f>
        <v>0</v>
      </c>
      <c r="BD751" s="590">
        <f>IF(A21taxstdlife="n/a","n/a",IF(BD$3&gt;(A21taxstdlife+$E751),(('PTRM input'!$P$163+'PTRM input'!$P$129)*$P$7)-SUM($P751:BC751),(('PTRM input'!$P$163+'PTRM input'!$P$129)*$P$7)/A21taxstdlife))</f>
        <v>0</v>
      </c>
      <c r="BE751" s="590">
        <f>IF(A21taxstdlife="n/a","n/a",IF(BE$3&gt;(A21taxstdlife+$E751),(('PTRM input'!$P$163+'PTRM input'!$P$129)*$P$7)-SUM($P751:BD751),(('PTRM input'!$P$163+'PTRM input'!$P$129)*$P$7)/A21taxstdlife))</f>
        <v>0</v>
      </c>
      <c r="BF751" s="590">
        <f>IF(A21taxstdlife="n/a","n/a",IF(BF$3&gt;(A21taxstdlife+$E751),(('PTRM input'!$P$163+'PTRM input'!$P$129)*$P$7)-SUM($P751:BE751),(('PTRM input'!$P$163+'PTRM input'!$P$129)*$P$7)/A21taxstdlife))</f>
        <v>0</v>
      </c>
      <c r="BG751" s="590">
        <f>IF(A21taxstdlife="n/a","n/a",IF(BG$3&gt;(A21taxstdlife+$E751),(('PTRM input'!$P$163+'PTRM input'!$P$129)*$P$7)-SUM($P751:BF751),(('PTRM input'!$P$163+'PTRM input'!$P$129)*$P$7)/A21taxstdlife))</f>
        <v>0</v>
      </c>
      <c r="BH751" s="590">
        <f>IF(A21taxstdlife="n/a","n/a",IF(BH$3&gt;(A21taxstdlife+$E751),(('PTRM input'!$P$163+'PTRM input'!$P$129)*$P$7)-SUM($P751:BG751),(('PTRM input'!$P$163+'PTRM input'!$P$129)*$P$7)/A21taxstdlife))</f>
        <v>0</v>
      </c>
      <c r="BI751" s="590">
        <f>IF(A21taxstdlife="n/a","n/a",IF(BI$3&gt;(A21taxstdlife+$E751),(('PTRM input'!$P$163+'PTRM input'!$P$129)*$P$7)-SUM($P751:BH751),(('PTRM input'!$P$163+'PTRM input'!$P$129)*$P$7)/A21taxstdlife))</f>
        <v>0</v>
      </c>
      <c r="BJ751" s="240"/>
      <c r="BK751" s="240"/>
      <c r="BL751" s="240"/>
      <c r="BM751" s="240"/>
    </row>
    <row r="752" spans="1:65" s="4" customFormat="1" hidden="1" outlineLevel="1">
      <c r="A752" s="240"/>
      <c r="B752" s="240"/>
      <c r="C752" s="595">
        <f>Asset21</f>
        <v>0</v>
      </c>
      <c r="D752" s="240"/>
      <c r="E752" s="240"/>
      <c r="F752" s="596"/>
      <c r="G752" s="591">
        <f t="shared" ref="G752:AL752" si="146">SUM(G740:G751)</f>
        <v>0</v>
      </c>
      <c r="H752" s="591">
        <f t="shared" si="146"/>
        <v>0</v>
      </c>
      <c r="I752" s="591">
        <f t="shared" si="146"/>
        <v>0</v>
      </c>
      <c r="J752" s="591">
        <f t="shared" si="146"/>
        <v>0</v>
      </c>
      <c r="K752" s="591">
        <f t="shared" si="146"/>
        <v>0</v>
      </c>
      <c r="L752" s="591">
        <f t="shared" si="146"/>
        <v>0</v>
      </c>
      <c r="M752" s="591">
        <f t="shared" si="146"/>
        <v>0</v>
      </c>
      <c r="N752" s="591">
        <f t="shared" si="146"/>
        <v>0</v>
      </c>
      <c r="O752" s="591">
        <f t="shared" si="146"/>
        <v>0</v>
      </c>
      <c r="P752" s="591">
        <f t="shared" si="146"/>
        <v>0</v>
      </c>
      <c r="Q752" s="591">
        <f t="shared" si="146"/>
        <v>0</v>
      </c>
      <c r="R752" s="591">
        <f t="shared" si="146"/>
        <v>0</v>
      </c>
      <c r="S752" s="591">
        <f t="shared" si="146"/>
        <v>0</v>
      </c>
      <c r="T752" s="591">
        <f t="shared" si="146"/>
        <v>0</v>
      </c>
      <c r="U752" s="591">
        <f t="shared" si="146"/>
        <v>0</v>
      </c>
      <c r="V752" s="591">
        <f t="shared" si="146"/>
        <v>0</v>
      </c>
      <c r="W752" s="591">
        <f t="shared" si="146"/>
        <v>0</v>
      </c>
      <c r="X752" s="591">
        <f t="shared" si="146"/>
        <v>0</v>
      </c>
      <c r="Y752" s="591">
        <f t="shared" si="146"/>
        <v>0</v>
      </c>
      <c r="Z752" s="591">
        <f t="shared" si="146"/>
        <v>0</v>
      </c>
      <c r="AA752" s="591">
        <f t="shared" si="146"/>
        <v>0</v>
      </c>
      <c r="AB752" s="591">
        <f t="shared" si="146"/>
        <v>0</v>
      </c>
      <c r="AC752" s="591">
        <f t="shared" si="146"/>
        <v>0</v>
      </c>
      <c r="AD752" s="591">
        <f t="shared" si="146"/>
        <v>0</v>
      </c>
      <c r="AE752" s="591">
        <f t="shared" si="146"/>
        <v>0</v>
      </c>
      <c r="AF752" s="591">
        <f t="shared" si="146"/>
        <v>0</v>
      </c>
      <c r="AG752" s="591">
        <f t="shared" si="146"/>
        <v>0</v>
      </c>
      <c r="AH752" s="591">
        <f t="shared" si="146"/>
        <v>0</v>
      </c>
      <c r="AI752" s="591">
        <f t="shared" si="146"/>
        <v>0</v>
      </c>
      <c r="AJ752" s="591">
        <f t="shared" si="146"/>
        <v>0</v>
      </c>
      <c r="AK752" s="591">
        <f t="shared" si="146"/>
        <v>0</v>
      </c>
      <c r="AL752" s="591">
        <f t="shared" si="146"/>
        <v>0</v>
      </c>
      <c r="AM752" s="591">
        <f t="shared" ref="AM752:BI752" si="147">SUM(AM740:AM751)</f>
        <v>0</v>
      </c>
      <c r="AN752" s="591">
        <f t="shared" si="147"/>
        <v>0</v>
      </c>
      <c r="AO752" s="591">
        <f t="shared" si="147"/>
        <v>0</v>
      </c>
      <c r="AP752" s="591">
        <f t="shared" si="147"/>
        <v>0</v>
      </c>
      <c r="AQ752" s="591">
        <f t="shared" si="147"/>
        <v>0</v>
      </c>
      <c r="AR752" s="591">
        <f t="shared" si="147"/>
        <v>0</v>
      </c>
      <c r="AS752" s="591">
        <f t="shared" si="147"/>
        <v>0</v>
      </c>
      <c r="AT752" s="591">
        <f t="shared" si="147"/>
        <v>0</v>
      </c>
      <c r="AU752" s="591">
        <f t="shared" si="147"/>
        <v>0</v>
      </c>
      <c r="AV752" s="591">
        <f t="shared" si="147"/>
        <v>0</v>
      </c>
      <c r="AW752" s="591">
        <f t="shared" si="147"/>
        <v>0</v>
      </c>
      <c r="AX752" s="591">
        <f t="shared" si="147"/>
        <v>0</v>
      </c>
      <c r="AY752" s="591">
        <f t="shared" si="147"/>
        <v>0</v>
      </c>
      <c r="AZ752" s="591">
        <f t="shared" si="147"/>
        <v>0</v>
      </c>
      <c r="BA752" s="591">
        <f t="shared" si="147"/>
        <v>0</v>
      </c>
      <c r="BB752" s="591">
        <f t="shared" si="147"/>
        <v>0</v>
      </c>
      <c r="BC752" s="591">
        <f t="shared" si="147"/>
        <v>0</v>
      </c>
      <c r="BD752" s="591">
        <f t="shared" si="147"/>
        <v>0</v>
      </c>
      <c r="BE752" s="591">
        <f t="shared" si="147"/>
        <v>0</v>
      </c>
      <c r="BF752" s="591">
        <f t="shared" si="147"/>
        <v>0</v>
      </c>
      <c r="BG752" s="591">
        <f t="shared" si="147"/>
        <v>0</v>
      </c>
      <c r="BH752" s="591">
        <f t="shared" si="147"/>
        <v>0</v>
      </c>
      <c r="BI752" s="591">
        <f t="shared" si="147"/>
        <v>0</v>
      </c>
      <c r="BJ752" s="240"/>
      <c r="BK752" s="240"/>
      <c r="BL752" s="240"/>
      <c r="BM752" s="240"/>
    </row>
    <row r="753" spans="1:65" s="4" customFormat="1" hidden="1" outlineLevel="2">
      <c r="A753" s="240"/>
      <c r="B753" s="597">
        <f>C765</f>
        <v>0</v>
      </c>
      <c r="C753" s="488"/>
      <c r="D753" s="598" t="s">
        <v>58</v>
      </c>
      <c r="E753" s="488"/>
      <c r="F753" s="599"/>
      <c r="G753" s="592">
        <f>IF(G$3&gt;A22taxremlife,A22taxvalue-SUM($F753:F753),IF(A22taxremlife="N/A","n/a",A22taxvalue/A22taxremlife))</f>
        <v>0</v>
      </c>
      <c r="H753" s="592">
        <f>IF(H$3&gt;A22taxremlife,A22taxvalue-SUM($F753:G753),IF(A22taxremlife="N/A","n/a",A22taxvalue/A22taxremlife))</f>
        <v>0</v>
      </c>
      <c r="I753" s="592">
        <f>IF(I$3&gt;A22taxremlife,A22taxvalue-SUM($F753:H753),IF(A22taxremlife="N/A","n/a",A22taxvalue/A22taxremlife))</f>
        <v>0</v>
      </c>
      <c r="J753" s="592">
        <f>IF(J$3&gt;A22taxremlife,A22taxvalue-SUM($F753:I753),IF(A22taxremlife="N/A","n/a",A22taxvalue/A22taxremlife))</f>
        <v>0</v>
      </c>
      <c r="K753" s="592">
        <f>IF(K$3&gt;A22taxremlife,A22taxvalue-SUM($F753:J753),IF(A22taxremlife="N/A","n/a",A22taxvalue/A22taxremlife))</f>
        <v>0</v>
      </c>
      <c r="L753" s="592">
        <f>IF(L$3&gt;A22taxremlife,A22taxvalue-SUM($F753:K753),IF(A22taxremlife="N/A","n/a",A22taxvalue/A22taxremlife))</f>
        <v>0</v>
      </c>
      <c r="M753" s="592">
        <f>IF(M$3&gt;A22taxremlife,A22taxvalue-SUM($F753:L753),IF(A22taxremlife="N/A","n/a",A22taxvalue/A22taxremlife))</f>
        <v>0</v>
      </c>
      <c r="N753" s="592">
        <f>IF(N$3&gt;A22taxremlife,A22taxvalue-SUM($F753:M753),IF(A22taxremlife="N/A","n/a",A22taxvalue/A22taxremlife))</f>
        <v>0</v>
      </c>
      <c r="O753" s="592">
        <f>IF(O$3&gt;A22taxremlife,A22taxvalue-SUM($F753:N753),IF(A22taxremlife="N/A","n/a",A22taxvalue/A22taxremlife))</f>
        <v>0</v>
      </c>
      <c r="P753" s="592">
        <f>IF(P$3&gt;A22taxremlife,A22taxvalue-SUM($F753:O753),IF(A22taxremlife="N/A","n/a",A22taxvalue/A22taxremlife))</f>
        <v>0</v>
      </c>
      <c r="Q753" s="592">
        <f>IF(Q$3&gt;A22taxremlife,A22taxvalue-SUM($F753:P753),IF(A22taxremlife="N/A","n/a",A22taxvalue/A22taxremlife))</f>
        <v>0</v>
      </c>
      <c r="R753" s="592">
        <f>IF(R$3&gt;A22taxremlife,A22taxvalue-SUM($F753:Q753),IF(A22taxremlife="N/A","n/a",A22taxvalue/A22taxremlife))</f>
        <v>0</v>
      </c>
      <c r="S753" s="592">
        <f>IF(S$3&gt;A22taxremlife,A22taxvalue-SUM($F753:R753),IF(A22taxremlife="N/A","n/a",A22taxvalue/A22taxremlife))</f>
        <v>0</v>
      </c>
      <c r="T753" s="592">
        <f>IF(T$3&gt;A22taxremlife,A22taxvalue-SUM($F753:S753),IF(A22taxremlife="N/A","n/a",A22taxvalue/A22taxremlife))</f>
        <v>0</v>
      </c>
      <c r="U753" s="592">
        <f>IF(U$3&gt;A22taxremlife,A22taxvalue-SUM($F753:T753),IF(A22taxremlife="N/A","n/a",A22taxvalue/A22taxremlife))</f>
        <v>0</v>
      </c>
      <c r="V753" s="592">
        <f>IF(V$3&gt;A22taxremlife,A22taxvalue-SUM($F753:U753),IF(A22taxremlife="N/A","n/a",A22taxvalue/A22taxremlife))</f>
        <v>0</v>
      </c>
      <c r="W753" s="592">
        <f>IF(W$3&gt;A22taxremlife,A22taxvalue-SUM($F753:V753),IF(A22taxremlife="N/A","n/a",A22taxvalue/A22taxremlife))</f>
        <v>0</v>
      </c>
      <c r="X753" s="592">
        <f>IF(X$3&gt;A22taxremlife,A22taxvalue-SUM($F753:W753),IF(A22taxremlife="N/A","n/a",A22taxvalue/A22taxremlife))</f>
        <v>0</v>
      </c>
      <c r="Y753" s="592">
        <f>IF(Y$3&gt;A22taxremlife,A22taxvalue-SUM($F753:X753),IF(A22taxremlife="N/A","n/a",A22taxvalue/A22taxremlife))</f>
        <v>0</v>
      </c>
      <c r="Z753" s="592">
        <f>IF(Z$3&gt;A22taxremlife,A22taxvalue-SUM($F753:Y753),IF(A22taxremlife="N/A","n/a",A22taxvalue/A22taxremlife))</f>
        <v>0</v>
      </c>
      <c r="AA753" s="592">
        <f>IF(AA$3&gt;A22taxremlife,A22taxvalue-SUM($F753:Z753),IF(A22taxremlife="N/A","n/a",A22taxvalue/A22taxremlife))</f>
        <v>0</v>
      </c>
      <c r="AB753" s="592">
        <f>IF(AB$3&gt;A22taxremlife,A22taxvalue-SUM($F753:AA753),IF(A22taxremlife="N/A","n/a",A22taxvalue/A22taxremlife))</f>
        <v>0</v>
      </c>
      <c r="AC753" s="592">
        <f>IF(AC$3&gt;A22taxremlife,A22taxvalue-SUM($F753:AB753),IF(A22taxremlife="N/A","n/a",A22taxvalue/A22taxremlife))</f>
        <v>0</v>
      </c>
      <c r="AD753" s="592">
        <f>IF(AD$3&gt;A22taxremlife,A22taxvalue-SUM($F753:AC753),IF(A22taxremlife="N/A","n/a",A22taxvalue/A22taxremlife))</f>
        <v>0</v>
      </c>
      <c r="AE753" s="592">
        <f>IF(AE$3&gt;A22taxremlife,A22taxvalue-SUM($F753:AD753),IF(A22taxremlife="N/A","n/a",A22taxvalue/A22taxremlife))</f>
        <v>0</v>
      </c>
      <c r="AF753" s="592">
        <f>IF(AF$3&gt;A22taxremlife,A22taxvalue-SUM($F753:AE753),IF(A22taxremlife="N/A","n/a",A22taxvalue/A22taxremlife))</f>
        <v>0</v>
      </c>
      <c r="AG753" s="592">
        <f>IF(AG$3&gt;A22taxremlife,A22taxvalue-SUM($F753:AF753),IF(A22taxremlife="N/A","n/a",A22taxvalue/A22taxremlife))</f>
        <v>0</v>
      </c>
      <c r="AH753" s="592">
        <f>IF(AH$3&gt;A22taxremlife,A22taxvalue-SUM($F753:AG753),IF(A22taxremlife="N/A","n/a",A22taxvalue/A22taxremlife))</f>
        <v>0</v>
      </c>
      <c r="AI753" s="592">
        <f>IF(AI$3&gt;A22taxremlife,A22taxvalue-SUM($F753:AH753),IF(A22taxremlife="N/A","n/a",A22taxvalue/A22taxremlife))</f>
        <v>0</v>
      </c>
      <c r="AJ753" s="592">
        <f>IF(AJ$3&gt;A22taxremlife,A22taxvalue-SUM($F753:AI753),IF(A22taxremlife="N/A","n/a",A22taxvalue/A22taxremlife))</f>
        <v>0</v>
      </c>
      <c r="AK753" s="592">
        <f>IF(AK$3&gt;A22taxremlife,A22taxvalue-SUM($F753:AJ753),IF(A22taxremlife="N/A","n/a",A22taxvalue/A22taxremlife))</f>
        <v>0</v>
      </c>
      <c r="AL753" s="592">
        <f>IF(AL$3&gt;A22taxremlife,A22taxvalue-SUM($F753:AK753),IF(A22taxremlife="N/A","n/a",A22taxvalue/A22taxremlife))</f>
        <v>0</v>
      </c>
      <c r="AM753" s="592">
        <f>IF(AM$3&gt;A22taxremlife,A22taxvalue-SUM($F753:AL753),IF(A22taxremlife="N/A","n/a",A22taxvalue/A22taxremlife))</f>
        <v>0</v>
      </c>
      <c r="AN753" s="592">
        <f>IF(AN$3&gt;A22taxremlife,A22taxvalue-SUM($F753:AM753),IF(A22taxremlife="N/A","n/a",A22taxvalue/A22taxremlife))</f>
        <v>0</v>
      </c>
      <c r="AO753" s="592">
        <f>IF(AO$3&gt;A22taxremlife,A22taxvalue-SUM($F753:AN753),IF(A22taxremlife="N/A","n/a",A22taxvalue/A22taxremlife))</f>
        <v>0</v>
      </c>
      <c r="AP753" s="592">
        <f>IF(AP$3&gt;A22taxremlife,A22taxvalue-SUM($F753:AO753),IF(A22taxremlife="N/A","n/a",A22taxvalue/A22taxremlife))</f>
        <v>0</v>
      </c>
      <c r="AQ753" s="592">
        <f>IF(AQ$3&gt;A22taxremlife,A22taxvalue-SUM($F753:AP753),IF(A22taxremlife="N/A","n/a",A22taxvalue/A22taxremlife))</f>
        <v>0</v>
      </c>
      <c r="AR753" s="592">
        <f>IF(AR$3&gt;A22taxremlife,A22taxvalue-SUM($F753:AQ753),IF(A22taxremlife="N/A","n/a",A22taxvalue/A22taxremlife))</f>
        <v>0</v>
      </c>
      <c r="AS753" s="592">
        <f>IF(AS$3&gt;A22taxremlife,A22taxvalue-SUM($F753:AR753),IF(A22taxremlife="N/A","n/a",A22taxvalue/A22taxremlife))</f>
        <v>0</v>
      </c>
      <c r="AT753" s="592">
        <f>IF(AT$3&gt;A22taxremlife,A22taxvalue-SUM($F753:AS753),IF(A22taxremlife="N/A","n/a",A22taxvalue/A22taxremlife))</f>
        <v>0</v>
      </c>
      <c r="AU753" s="592">
        <f>IF(AU$3&gt;A22taxremlife,A22taxvalue-SUM($F753:AT753),IF(A22taxremlife="N/A","n/a",A22taxvalue/A22taxremlife))</f>
        <v>0</v>
      </c>
      <c r="AV753" s="592">
        <f>IF(AV$3&gt;A22taxremlife,A22taxvalue-SUM($F753:AU753),IF(A22taxremlife="N/A","n/a",A22taxvalue/A22taxremlife))</f>
        <v>0</v>
      </c>
      <c r="AW753" s="592">
        <f>IF(AW$3&gt;A22taxremlife,A22taxvalue-SUM($F753:AV753),IF(A22taxremlife="N/A","n/a",A22taxvalue/A22taxremlife))</f>
        <v>0</v>
      </c>
      <c r="AX753" s="592">
        <f>IF(AX$3&gt;A22taxremlife,A22taxvalue-SUM($F753:AW753),IF(A22taxremlife="N/A","n/a",A22taxvalue/A22taxremlife))</f>
        <v>0</v>
      </c>
      <c r="AY753" s="592">
        <f>IF(AY$3&gt;A22taxremlife,A22taxvalue-SUM($F753:AX753),IF(A22taxremlife="N/A","n/a",A22taxvalue/A22taxremlife))</f>
        <v>0</v>
      </c>
      <c r="AZ753" s="592">
        <f>IF(AZ$3&gt;A22taxremlife,A22taxvalue-SUM($F753:AY753),IF(A22taxremlife="N/A","n/a",A22taxvalue/A22taxremlife))</f>
        <v>0</v>
      </c>
      <c r="BA753" s="592">
        <f>IF(BA$3&gt;A22taxremlife,A22taxvalue-SUM($F753:AZ753),IF(A22taxremlife="N/A","n/a",A22taxvalue/A22taxremlife))</f>
        <v>0</v>
      </c>
      <c r="BB753" s="592">
        <f>IF(BB$3&gt;A22taxremlife,A22taxvalue-SUM($F753:BA753),IF(A22taxremlife="N/A","n/a",A22taxvalue/A22taxremlife))</f>
        <v>0</v>
      </c>
      <c r="BC753" s="592">
        <f>IF(BC$3&gt;A22taxremlife,A22taxvalue-SUM($F753:BB753),IF(A22taxremlife="N/A","n/a",A22taxvalue/A22taxremlife))</f>
        <v>0</v>
      </c>
      <c r="BD753" s="592">
        <f>IF(BD$3&gt;A22taxremlife,A22taxvalue-SUM($F753:BC753),IF(A22taxremlife="N/A","n/a",A22taxvalue/A22taxremlife))</f>
        <v>0</v>
      </c>
      <c r="BE753" s="592">
        <f>IF(BE$3&gt;A22taxremlife,A22taxvalue-SUM($F753:BD753),IF(A22taxremlife="N/A","n/a",A22taxvalue/A22taxremlife))</f>
        <v>0</v>
      </c>
      <c r="BF753" s="592">
        <f>IF(BF$3&gt;A22taxremlife,A22taxvalue-SUM($F753:BE753),IF(A22taxremlife="N/A","n/a",A22taxvalue/A22taxremlife))</f>
        <v>0</v>
      </c>
      <c r="BG753" s="592">
        <f>IF(BG$3&gt;A22taxremlife,A22taxvalue-SUM($F753:BF753),IF(A22taxremlife="N/A","n/a",A22taxvalue/A22taxremlife))</f>
        <v>0</v>
      </c>
      <c r="BH753" s="592">
        <f>IF(BH$3&gt;A22taxremlife,A22taxvalue-SUM($F753:BG753),IF(A22taxremlife="N/A","n/a",A22taxvalue/A22taxremlife))</f>
        <v>0</v>
      </c>
      <c r="BI753" s="592">
        <f>IF(BI$3&gt;A22taxremlife,A22taxvalue-SUM($F753:BH753),IF(A22taxremlife="N/A","n/a",A22taxvalue/A22taxremlife))</f>
        <v>0</v>
      </c>
      <c r="BJ753" s="240"/>
      <c r="BK753" s="240"/>
      <c r="BL753" s="240"/>
      <c r="BM753" s="240"/>
    </row>
    <row r="754" spans="1:65" s="4" customFormat="1" ht="12.75" hidden="1" customHeight="1" outlineLevel="2">
      <c r="A754" s="240"/>
      <c r="B754" s="240"/>
      <c r="C754" s="595"/>
      <c r="D754" s="1618" t="s">
        <v>357</v>
      </c>
      <c r="E754" s="169">
        <v>0</v>
      </c>
      <c r="F754" s="35"/>
      <c r="G754" s="107"/>
      <c r="H754" s="107"/>
      <c r="I754" s="107"/>
      <c r="J754" s="107"/>
      <c r="K754" s="107"/>
      <c r="L754" s="107"/>
      <c r="M754" s="107"/>
      <c r="N754" s="107"/>
      <c r="O754" s="107"/>
      <c r="P754" s="107"/>
      <c r="Q754" s="590"/>
      <c r="R754" s="590"/>
      <c r="S754" s="590"/>
      <c r="T754" s="590"/>
      <c r="U754" s="590"/>
      <c r="V754" s="590"/>
      <c r="W754" s="590"/>
      <c r="X754" s="590"/>
      <c r="Y754" s="590"/>
      <c r="Z754" s="590"/>
      <c r="AA754" s="590"/>
      <c r="AB754" s="590"/>
      <c r="AC754" s="590"/>
      <c r="AD754" s="590"/>
      <c r="AE754" s="590"/>
      <c r="AF754" s="590"/>
      <c r="AG754" s="590"/>
      <c r="AH754" s="590"/>
      <c r="AI754" s="590"/>
      <c r="AJ754" s="590"/>
      <c r="AK754" s="590"/>
      <c r="AL754" s="590"/>
      <c r="AM754" s="590"/>
      <c r="AN754" s="590"/>
      <c r="AO754" s="590"/>
      <c r="AP754" s="590"/>
      <c r="AQ754" s="590"/>
      <c r="AR754" s="590"/>
      <c r="AS754" s="590"/>
      <c r="AT754" s="590"/>
      <c r="AU754" s="590"/>
      <c r="AV754" s="590"/>
      <c r="AW754" s="590"/>
      <c r="AX754" s="590"/>
      <c r="AY754" s="590"/>
      <c r="AZ754" s="590"/>
      <c r="BA754" s="590"/>
      <c r="BB754" s="590"/>
      <c r="BC754" s="590"/>
      <c r="BD754" s="590"/>
      <c r="BE754" s="590"/>
      <c r="BF754" s="590"/>
      <c r="BG754" s="590"/>
      <c r="BH754" s="590"/>
      <c r="BI754" s="590"/>
      <c r="BJ754" s="240"/>
      <c r="BK754" s="240"/>
      <c r="BL754" s="240"/>
      <c r="BM754" s="240"/>
    </row>
    <row r="755" spans="1:65" s="4" customFormat="1" hidden="1" outlineLevel="2">
      <c r="A755" s="240"/>
      <c r="B755" s="240"/>
      <c r="C755" s="595"/>
      <c r="D755" s="1618"/>
      <c r="E755" s="169">
        <v>1</v>
      </c>
      <c r="F755" s="35"/>
      <c r="G755" s="183"/>
      <c r="H755" s="107">
        <f>IF(A22taxstdlife="n/a","n/a",IF(H$3&gt;(A22taxstdlife+$E755),(('PTRM input'!$G$164+'PTRM input'!$G$130)*$G$7)-SUM($G755:G755),(('PTRM input'!$G$164+'PTRM input'!$G$130)*$G$7)/A22taxstdlife))</f>
        <v>0</v>
      </c>
      <c r="I755" s="107">
        <f>IF(A22taxstdlife="n/a","n/a",IF(I$3&gt;(A22taxstdlife+$E755),(('PTRM input'!$G$164+'PTRM input'!$G$130)*$G$7)-SUM($G755:H755),(('PTRM input'!$G$164+'PTRM input'!$G$130)*$G$7)/A22taxstdlife))</f>
        <v>0</v>
      </c>
      <c r="J755" s="107">
        <f>IF(A22taxstdlife="n/a","n/a",IF(J$3&gt;(A22taxstdlife+$E755),(('PTRM input'!$G$164+'PTRM input'!$G$130)*$G$7)-SUM($G755:I755),(('PTRM input'!$G$164+'PTRM input'!$G$130)*$G$7)/A22taxstdlife))</f>
        <v>0</v>
      </c>
      <c r="K755" s="107">
        <f>IF(A22taxstdlife="n/a","n/a",IF(K$3&gt;(A22taxstdlife+$E755),(('PTRM input'!$G$164+'PTRM input'!$G$130)*$G$7)-SUM($G755:J755),(('PTRM input'!$G$164+'PTRM input'!$G$130)*$G$7)/A22taxstdlife))</f>
        <v>0</v>
      </c>
      <c r="L755" s="107">
        <f>IF(A22taxstdlife="n/a","n/a",IF(L$3&gt;(A22taxstdlife+$E755),(('PTRM input'!$G$164+'PTRM input'!$G$130)*$G$7)-SUM($G755:K755),(('PTRM input'!$G$164+'PTRM input'!$G$130)*$G$7)/A22taxstdlife))</f>
        <v>0</v>
      </c>
      <c r="M755" s="107">
        <f>IF(A22taxstdlife="n/a","n/a",IF(M$3&gt;(A22taxstdlife+$E755),(('PTRM input'!$G$164+'PTRM input'!$G$130)*$G$7)-SUM($G755:L755),(('PTRM input'!$G$164+'PTRM input'!$G$130)*$G$7)/A22taxstdlife))</f>
        <v>0</v>
      </c>
      <c r="N755" s="107">
        <f>IF(A22taxstdlife="n/a","n/a",IF(N$3&gt;(A22taxstdlife+$E755),(('PTRM input'!$G$164+'PTRM input'!$G$130)*$G$7)-SUM($G755:M755),(('PTRM input'!$G$164+'PTRM input'!$G$130)*$G$7)/A22taxstdlife))</f>
        <v>0</v>
      </c>
      <c r="O755" s="107">
        <f>IF(A22taxstdlife="n/a","n/a",IF(O$3&gt;(A22taxstdlife+$E755),(('PTRM input'!$G$164+'PTRM input'!$G$130)*$G$7)-SUM($G755:N755),(('PTRM input'!$G$164+'PTRM input'!$G$130)*$G$7)/A22taxstdlife))</f>
        <v>0</v>
      </c>
      <c r="P755" s="107">
        <f>IF(A22taxstdlife="n/a","n/a",IF(P$3&gt;(A22taxstdlife+$E755),(('PTRM input'!$G$164+'PTRM input'!$G$130)*$G$7)-SUM($G755:O755),(('PTRM input'!$G$164+'PTRM input'!$G$130)*$G$7)/A22taxstdlife))</f>
        <v>0</v>
      </c>
      <c r="Q755" s="590">
        <f>IF(A22taxstdlife="n/a","n/a",IF(Q$3&gt;(A22taxstdlife+$E755),(('PTRM input'!$G$164+'PTRM input'!$G$130)*$G$7)-SUM($G755:P755),(('PTRM input'!$G$164+'PTRM input'!$G$130)*$G$7)/A22taxstdlife))</f>
        <v>0</v>
      </c>
      <c r="R755" s="590">
        <f>IF(A22taxstdlife="n/a","n/a",IF(R$3&gt;(A22taxstdlife+$E755),(('PTRM input'!$G$164+'PTRM input'!$G$130)*$G$7)-SUM($G755:Q755),(('PTRM input'!$G$164+'PTRM input'!$G$130)*$G$7)/A22taxstdlife))</f>
        <v>0</v>
      </c>
      <c r="S755" s="590">
        <f>IF(A22taxstdlife="n/a","n/a",IF(S$3&gt;(A22taxstdlife+$E755),(('PTRM input'!$G$164+'PTRM input'!$G$130)*$G$7)-SUM($G755:R755),(('PTRM input'!$G$164+'PTRM input'!$G$130)*$G$7)/A22taxstdlife))</f>
        <v>0</v>
      </c>
      <c r="T755" s="590">
        <f>IF(A22taxstdlife="n/a","n/a",IF(T$3&gt;(A22taxstdlife+$E755),(('PTRM input'!$G$164+'PTRM input'!$G$130)*$G$7)-SUM($G755:S755),(('PTRM input'!$G$164+'PTRM input'!$G$130)*$G$7)/A22taxstdlife))</f>
        <v>0</v>
      </c>
      <c r="U755" s="590">
        <f>IF(A22taxstdlife="n/a","n/a",IF(U$3&gt;(A22taxstdlife+$E755),(('PTRM input'!$G$164+'PTRM input'!$G$130)*$G$7)-SUM($G755:T755),(('PTRM input'!$G$164+'PTRM input'!$G$130)*$G$7)/A22taxstdlife))</f>
        <v>0</v>
      </c>
      <c r="V755" s="590">
        <f>IF(A22taxstdlife="n/a","n/a",IF(V$3&gt;(A22taxstdlife+$E755),(('PTRM input'!$G$164+'PTRM input'!$G$130)*$G$7)-SUM($G755:U755),(('PTRM input'!$G$164+'PTRM input'!$G$130)*$G$7)/A22taxstdlife))</f>
        <v>0</v>
      </c>
      <c r="W755" s="590">
        <f>IF(A22taxstdlife="n/a","n/a",IF(W$3&gt;(A22taxstdlife+$E755),(('PTRM input'!$G$164+'PTRM input'!$G$130)*$G$7)-SUM($G755:V755),(('PTRM input'!$G$164+'PTRM input'!$G$130)*$G$7)/A22taxstdlife))</f>
        <v>0</v>
      </c>
      <c r="X755" s="590">
        <f>IF(A22taxstdlife="n/a","n/a",IF(X$3&gt;(A22taxstdlife+$E755),(('PTRM input'!$G$164+'PTRM input'!$G$130)*$G$7)-SUM($G755:W755),(('PTRM input'!$G$164+'PTRM input'!$G$130)*$G$7)/A22taxstdlife))</f>
        <v>0</v>
      </c>
      <c r="Y755" s="590">
        <f>IF(A22taxstdlife="n/a","n/a",IF(Y$3&gt;(A22taxstdlife+$E755),(('PTRM input'!$G$164+'PTRM input'!$G$130)*$G$7)-SUM($G755:X755),(('PTRM input'!$G$164+'PTRM input'!$G$130)*$G$7)/A22taxstdlife))</f>
        <v>0</v>
      </c>
      <c r="Z755" s="590">
        <f>IF(A22taxstdlife="n/a","n/a",IF(Z$3&gt;(A22taxstdlife+$E755),(('PTRM input'!$G$164+'PTRM input'!$G$130)*$G$7)-SUM($G755:Y755),(('PTRM input'!$G$164+'PTRM input'!$G$130)*$G$7)/A22taxstdlife))</f>
        <v>0</v>
      </c>
      <c r="AA755" s="590">
        <f>IF(A22taxstdlife="n/a","n/a",IF(AA$3&gt;(A22taxstdlife+$E755),(('PTRM input'!$G$164+'PTRM input'!$G$130)*$G$7)-SUM($G755:Z755),(('PTRM input'!$G$164+'PTRM input'!$G$130)*$G$7)/A22taxstdlife))</f>
        <v>0</v>
      </c>
      <c r="AB755" s="590">
        <f>IF(A22taxstdlife="n/a","n/a",IF(AB$3&gt;(A22taxstdlife+$E755),(('PTRM input'!$G$164+'PTRM input'!$G$130)*$G$7)-SUM($G755:AA755),(('PTRM input'!$G$164+'PTRM input'!$G$130)*$G$7)/A22taxstdlife))</f>
        <v>0</v>
      </c>
      <c r="AC755" s="590">
        <f>IF(A22taxstdlife="n/a","n/a",IF(AC$3&gt;(A22taxstdlife+$E755),(('PTRM input'!$G$164+'PTRM input'!$G$130)*$G$7)-SUM($G755:AB755),(('PTRM input'!$G$164+'PTRM input'!$G$130)*$G$7)/A22taxstdlife))</f>
        <v>0</v>
      </c>
      <c r="AD755" s="590">
        <f>IF(A22taxstdlife="n/a","n/a",IF(AD$3&gt;(A22taxstdlife+$E755),(('PTRM input'!$G$164+'PTRM input'!$G$130)*$G$7)-SUM($G755:AC755),(('PTRM input'!$G$164+'PTRM input'!$G$130)*$G$7)/A22taxstdlife))</f>
        <v>0</v>
      </c>
      <c r="AE755" s="590">
        <f>IF(A22taxstdlife="n/a","n/a",IF(AE$3&gt;(A22taxstdlife+$E755),(('PTRM input'!$G$164+'PTRM input'!$G$130)*$G$7)-SUM($G755:AD755),(('PTRM input'!$G$164+'PTRM input'!$G$130)*$G$7)/A22taxstdlife))</f>
        <v>0</v>
      </c>
      <c r="AF755" s="590">
        <f>IF(A22taxstdlife="n/a","n/a",IF(AF$3&gt;(A22taxstdlife+$E755),(('PTRM input'!$G$164+'PTRM input'!$G$130)*$G$7)-SUM($G755:AE755),(('PTRM input'!$G$164+'PTRM input'!$G$130)*$G$7)/A22taxstdlife))</f>
        <v>0</v>
      </c>
      <c r="AG755" s="590">
        <f>IF(A22taxstdlife="n/a","n/a",IF(AG$3&gt;(A22taxstdlife+$E755),(('PTRM input'!$G$164+'PTRM input'!$G$130)*$G$7)-SUM($G755:AF755),(('PTRM input'!$G$164+'PTRM input'!$G$130)*$G$7)/A22taxstdlife))</f>
        <v>0</v>
      </c>
      <c r="AH755" s="590">
        <f>IF(A22taxstdlife="n/a","n/a",IF(AH$3&gt;(A22taxstdlife+$E755),(('PTRM input'!$G$164+'PTRM input'!$G$130)*$G$7)-SUM($G755:AG755),(('PTRM input'!$G$164+'PTRM input'!$G$130)*$G$7)/A22taxstdlife))</f>
        <v>0</v>
      </c>
      <c r="AI755" s="590">
        <f>IF(A22taxstdlife="n/a","n/a",IF(AI$3&gt;(A22taxstdlife+$E755),(('PTRM input'!$G$164+'PTRM input'!$G$130)*$G$7)-SUM($G755:AH755),(('PTRM input'!$G$164+'PTRM input'!$G$130)*$G$7)/A22taxstdlife))</f>
        <v>0</v>
      </c>
      <c r="AJ755" s="590">
        <f>IF(A22taxstdlife="n/a","n/a",IF(AJ$3&gt;(A22taxstdlife+$E755),(('PTRM input'!$G$164+'PTRM input'!$G$130)*$G$7)-SUM($G755:AI755),(('PTRM input'!$G$164+'PTRM input'!$G$130)*$G$7)/A22taxstdlife))</f>
        <v>0</v>
      </c>
      <c r="AK755" s="590">
        <f>IF(A22taxstdlife="n/a","n/a",IF(AK$3&gt;(A22taxstdlife+$E755),(('PTRM input'!$G$164+'PTRM input'!$G$130)*$G$7)-SUM($G755:AJ755),(('PTRM input'!$G$164+'PTRM input'!$G$130)*$G$7)/A22taxstdlife))</f>
        <v>0</v>
      </c>
      <c r="AL755" s="590">
        <f>IF(A22taxstdlife="n/a","n/a",IF(AL$3&gt;(A22taxstdlife+$E755),(('PTRM input'!$G$164+'PTRM input'!$G$130)*$G$7)-SUM($G755:AK755),(('PTRM input'!$G$164+'PTRM input'!$G$130)*$G$7)/A22taxstdlife))</f>
        <v>0</v>
      </c>
      <c r="AM755" s="590">
        <f>IF(A22taxstdlife="n/a","n/a",IF(AM$3&gt;(A22taxstdlife+$E755),(('PTRM input'!$G$164+'PTRM input'!$G$130)*$G$7)-SUM($G755:AL755),(('PTRM input'!$G$164+'PTRM input'!$G$130)*$G$7)/A22taxstdlife))</f>
        <v>0</v>
      </c>
      <c r="AN755" s="590">
        <f>IF(A22taxstdlife="n/a","n/a",IF(AN$3&gt;(A22taxstdlife+$E755),(('PTRM input'!$G$164+'PTRM input'!$G$130)*$G$7)-SUM($G755:AM755),(('PTRM input'!$G$164+'PTRM input'!$G$130)*$G$7)/A22taxstdlife))</f>
        <v>0</v>
      </c>
      <c r="AO755" s="590">
        <f>IF(A22taxstdlife="n/a","n/a",IF(AO$3&gt;(A22taxstdlife+$E755),(('PTRM input'!$G$164+'PTRM input'!$G$130)*$G$7)-SUM($G755:AN755),(('PTRM input'!$G$164+'PTRM input'!$G$130)*$G$7)/A22taxstdlife))</f>
        <v>0</v>
      </c>
      <c r="AP755" s="590">
        <f>IF(A22taxstdlife="n/a","n/a",IF(AP$3&gt;(A22taxstdlife+$E755),(('PTRM input'!$G$164+'PTRM input'!$G$130)*$G$7)-SUM($G755:AO755),(('PTRM input'!$G$164+'PTRM input'!$G$130)*$G$7)/A22taxstdlife))</f>
        <v>0</v>
      </c>
      <c r="AQ755" s="590">
        <f>IF(A22taxstdlife="n/a","n/a",IF(AQ$3&gt;(A22taxstdlife+$E755),(('PTRM input'!$G$164+'PTRM input'!$G$130)*$G$7)-SUM($G755:AP755),(('PTRM input'!$G$164+'PTRM input'!$G$130)*$G$7)/A22taxstdlife))</f>
        <v>0</v>
      </c>
      <c r="AR755" s="590">
        <f>IF(A22taxstdlife="n/a","n/a",IF(AR$3&gt;(A22taxstdlife+$E755),(('PTRM input'!$G$164+'PTRM input'!$G$130)*$G$7)-SUM($G755:AQ755),(('PTRM input'!$G$164+'PTRM input'!$G$130)*$G$7)/A22taxstdlife))</f>
        <v>0</v>
      </c>
      <c r="AS755" s="590">
        <f>IF(A22taxstdlife="n/a","n/a",IF(AS$3&gt;(A22taxstdlife+$E755),(('PTRM input'!$G$164+'PTRM input'!$G$130)*$G$7)-SUM($G755:AR755),(('PTRM input'!$G$164+'PTRM input'!$G$130)*$G$7)/A22taxstdlife))</f>
        <v>0</v>
      </c>
      <c r="AT755" s="590">
        <f>IF(A22taxstdlife="n/a","n/a",IF(AT$3&gt;(A22taxstdlife+$E755),(('PTRM input'!$G$164+'PTRM input'!$G$130)*$G$7)-SUM($G755:AS755),(('PTRM input'!$G$164+'PTRM input'!$G$130)*$G$7)/A22taxstdlife))</f>
        <v>0</v>
      </c>
      <c r="AU755" s="590">
        <f>IF(A22taxstdlife="n/a","n/a",IF(AU$3&gt;(A22taxstdlife+$E755),(('PTRM input'!$G$164+'PTRM input'!$G$130)*$G$7)-SUM($G755:AT755),(('PTRM input'!$G$164+'PTRM input'!$G$130)*$G$7)/A22taxstdlife))</f>
        <v>0</v>
      </c>
      <c r="AV755" s="590">
        <f>IF(A22taxstdlife="n/a","n/a",IF(AV$3&gt;(A22taxstdlife+$E755),(('PTRM input'!$G$164+'PTRM input'!$G$130)*$G$7)-SUM($G755:AU755),(('PTRM input'!$G$164+'PTRM input'!$G$130)*$G$7)/A22taxstdlife))</f>
        <v>0</v>
      </c>
      <c r="AW755" s="590">
        <f>IF(A22taxstdlife="n/a","n/a",IF(AW$3&gt;(A22taxstdlife+$E755),(('PTRM input'!$G$164+'PTRM input'!$G$130)*$G$7)-SUM($G755:AV755),(('PTRM input'!$G$164+'PTRM input'!$G$130)*$G$7)/A22taxstdlife))</f>
        <v>0</v>
      </c>
      <c r="AX755" s="590">
        <f>IF(A22taxstdlife="n/a","n/a",IF(AX$3&gt;(A22taxstdlife+$E755),(('PTRM input'!$G$164+'PTRM input'!$G$130)*$G$7)-SUM($G755:AW755),(('PTRM input'!$G$164+'PTRM input'!$G$130)*$G$7)/A22taxstdlife))</f>
        <v>0</v>
      </c>
      <c r="AY755" s="590">
        <f>IF(A22taxstdlife="n/a","n/a",IF(AY$3&gt;(A22taxstdlife+$E755),(('PTRM input'!$G$164+'PTRM input'!$G$130)*$G$7)-SUM($G755:AX755),(('PTRM input'!$G$164+'PTRM input'!$G$130)*$G$7)/A22taxstdlife))</f>
        <v>0</v>
      </c>
      <c r="AZ755" s="590">
        <f>IF(A22taxstdlife="n/a","n/a",IF(AZ$3&gt;(A22taxstdlife+$E755),(('PTRM input'!$G$164+'PTRM input'!$G$130)*$G$7)-SUM($G755:AY755),(('PTRM input'!$G$164+'PTRM input'!$G$130)*$G$7)/A22taxstdlife))</f>
        <v>0</v>
      </c>
      <c r="BA755" s="590">
        <f>IF(A22taxstdlife="n/a","n/a",IF(BA$3&gt;(A22taxstdlife+$E755),(('PTRM input'!$G$164+'PTRM input'!$G$130)*$G$7)-SUM($G755:AZ755),(('PTRM input'!$G$164+'PTRM input'!$G$130)*$G$7)/A22taxstdlife))</f>
        <v>0</v>
      </c>
      <c r="BB755" s="590">
        <f>IF(A22taxstdlife="n/a","n/a",IF(BB$3&gt;(A22taxstdlife+$E755),(('PTRM input'!$G$164+'PTRM input'!$G$130)*$G$7)-SUM($G755:BA755),(('PTRM input'!$G$164+'PTRM input'!$G$130)*$G$7)/A22taxstdlife))</f>
        <v>0</v>
      </c>
      <c r="BC755" s="590">
        <f>IF(A22taxstdlife="n/a","n/a",IF(BC$3&gt;(A22taxstdlife+$E755),(('PTRM input'!$G$164+'PTRM input'!$G$130)*$G$7)-SUM($G755:BB755),(('PTRM input'!$G$164+'PTRM input'!$G$130)*$G$7)/A22taxstdlife))</f>
        <v>0</v>
      </c>
      <c r="BD755" s="590">
        <f>IF(A22taxstdlife="n/a","n/a",IF(BD$3&gt;(A22taxstdlife+$E755),(('PTRM input'!$G$164+'PTRM input'!$G$130)*$G$7)-SUM($G755:BC755),(('PTRM input'!$G$164+'PTRM input'!$G$130)*$G$7)/A22taxstdlife))</f>
        <v>0</v>
      </c>
      <c r="BE755" s="590">
        <f>IF(A22taxstdlife="n/a","n/a",IF(BE$3&gt;(A22taxstdlife+$E755),(('PTRM input'!$G$164+'PTRM input'!$G$130)*$G$7)-SUM($G755:BD755),(('PTRM input'!$G$164+'PTRM input'!$G$130)*$G$7)/A22taxstdlife))</f>
        <v>0</v>
      </c>
      <c r="BF755" s="590">
        <f>IF(A22taxstdlife="n/a","n/a",IF(BF$3&gt;(A22taxstdlife+$E755),(('PTRM input'!$G$164+'PTRM input'!$G$130)*$G$7)-SUM($G755:BE755),(('PTRM input'!$G$164+'PTRM input'!$G$130)*$G$7)/A22taxstdlife))</f>
        <v>0</v>
      </c>
      <c r="BG755" s="590">
        <f>IF(A22taxstdlife="n/a","n/a",IF(BG$3&gt;(A22taxstdlife+$E755),(('PTRM input'!$G$164+'PTRM input'!$G$130)*$G$7)-SUM($G755:BF755),(('PTRM input'!$G$164+'PTRM input'!$G$130)*$G$7)/A22taxstdlife))</f>
        <v>0</v>
      </c>
      <c r="BH755" s="590">
        <f>IF(A22taxstdlife="n/a","n/a",IF(BH$3&gt;(A22taxstdlife+$E755),(('PTRM input'!$G$164+'PTRM input'!$G$130)*$G$7)-SUM($G755:BG755),(('PTRM input'!$G$164+'PTRM input'!$G$130)*$G$7)/A22taxstdlife))</f>
        <v>0</v>
      </c>
      <c r="BI755" s="590">
        <f>IF(A22taxstdlife="n/a","n/a",IF(BI$3&gt;(A22taxstdlife+$E755),(('PTRM input'!$G$164+'PTRM input'!$G$130)*$G$7)-SUM($G755:BH755),(('PTRM input'!$G$164+'PTRM input'!$G$130)*$G$7)/A22taxstdlife))</f>
        <v>0</v>
      </c>
      <c r="BJ755" s="240"/>
      <c r="BK755" s="240"/>
      <c r="BL755" s="240"/>
      <c r="BM755" s="240"/>
    </row>
    <row r="756" spans="1:65" s="4" customFormat="1" hidden="1" outlineLevel="2">
      <c r="A756" s="240"/>
      <c r="B756" s="240"/>
      <c r="C756" s="595"/>
      <c r="D756" s="1618"/>
      <c r="E756" s="169">
        <v>2</v>
      </c>
      <c r="F756" s="35"/>
      <c r="G756" s="184"/>
      <c r="H756" s="185"/>
      <c r="I756" s="107">
        <f>IF(A22taxstdlife="n/a","n/a",IF(I$3&gt;(A22taxstdlife+$E756),(('PTRM input'!$H$164+'PTRM input'!$H$130)*$H$7)-SUM($H756:H756),(('PTRM input'!$H$164+'PTRM input'!$H$130)*$H$7)/A22taxstdlife))</f>
        <v>0</v>
      </c>
      <c r="J756" s="107">
        <f>IF(A22taxstdlife="n/a","n/a",IF(J$3&gt;(A22taxstdlife+$E756),(('PTRM input'!$H$164+'PTRM input'!$H$130)*$H$7)-SUM($H756:I756),(('PTRM input'!$H$164+'PTRM input'!$H$130)*$H$7)/A22taxstdlife))</f>
        <v>0</v>
      </c>
      <c r="K756" s="107">
        <f>IF(A22taxstdlife="n/a","n/a",IF(K$3&gt;(A22taxstdlife+$E756),(('PTRM input'!$H$164+'PTRM input'!$H$130)*$H$7)-SUM($H756:J756),(('PTRM input'!$H$164+'PTRM input'!$H$130)*$H$7)/A22taxstdlife))</f>
        <v>0</v>
      </c>
      <c r="L756" s="107">
        <f>IF(A22taxstdlife="n/a","n/a",IF(L$3&gt;(A22taxstdlife+$E756),(('PTRM input'!$H$164+'PTRM input'!$H$130)*$H$7)-SUM($H756:K756),(('PTRM input'!$H$164+'PTRM input'!$H$130)*$H$7)/A22taxstdlife))</f>
        <v>0</v>
      </c>
      <c r="M756" s="107">
        <f>IF(A22taxstdlife="n/a","n/a",IF(M$3&gt;(A22taxstdlife+$E756),(('PTRM input'!$H$164+'PTRM input'!$H$130)*$H$7)-SUM($H756:L756),(('PTRM input'!$H$164+'PTRM input'!$H$130)*$H$7)/A22taxstdlife))</f>
        <v>0</v>
      </c>
      <c r="N756" s="107">
        <f>IF(A22taxstdlife="n/a","n/a",IF(N$3&gt;(A22taxstdlife+$E756),(('PTRM input'!$H$164+'PTRM input'!$H$130)*$H$7)-SUM($H756:M756),(('PTRM input'!$H$164+'PTRM input'!$H$130)*$H$7)/A22taxstdlife))</f>
        <v>0</v>
      </c>
      <c r="O756" s="107">
        <f>IF(A22taxstdlife="n/a","n/a",IF(O$3&gt;(A22taxstdlife+$E756),(('PTRM input'!$H$164+'PTRM input'!$H$130)*$H$7)-SUM($H756:N756),(('PTRM input'!$H$164+'PTRM input'!$H$130)*$H$7)/A22taxstdlife))</f>
        <v>0</v>
      </c>
      <c r="P756" s="107">
        <f>IF(A22taxstdlife="n/a","n/a",IF(P$3&gt;(A22taxstdlife+$E756),(('PTRM input'!$H$164+'PTRM input'!$H$130)*$H$7)-SUM($H756:O756),(('PTRM input'!$H$164+'PTRM input'!$H$130)*$H$7)/A22taxstdlife))</f>
        <v>0</v>
      </c>
      <c r="Q756" s="590">
        <f>IF(A22taxstdlife="n/a","n/a",IF(Q$3&gt;(A22taxstdlife+$E756),(('PTRM input'!$H$164+'PTRM input'!$H$130)*$H$7)-SUM($H756:P756),(('PTRM input'!$H$164+'PTRM input'!$H$130)*$H$7)/A22taxstdlife))</f>
        <v>0</v>
      </c>
      <c r="R756" s="590">
        <f>IF(A22taxstdlife="n/a","n/a",IF(R$3&gt;(A22taxstdlife+$E756),(('PTRM input'!$H$164+'PTRM input'!$H$130)*$H$7)-SUM($H756:Q756),(('PTRM input'!$H$164+'PTRM input'!$H$130)*$H$7)/A22taxstdlife))</f>
        <v>0</v>
      </c>
      <c r="S756" s="590">
        <f>IF(A22taxstdlife="n/a","n/a",IF(S$3&gt;(A22taxstdlife+$E756),(('PTRM input'!$H$164+'PTRM input'!$H$130)*$H$7)-SUM($H756:R756),(('PTRM input'!$H$164+'PTRM input'!$H$130)*$H$7)/A22taxstdlife))</f>
        <v>0</v>
      </c>
      <c r="T756" s="590">
        <f>IF(A22taxstdlife="n/a","n/a",IF(T$3&gt;(A22taxstdlife+$E756),(('PTRM input'!$H$164+'PTRM input'!$H$130)*$H$7)-SUM($H756:S756),(('PTRM input'!$H$164+'PTRM input'!$H$130)*$H$7)/A22taxstdlife))</f>
        <v>0</v>
      </c>
      <c r="U756" s="590">
        <f>IF(A22taxstdlife="n/a","n/a",IF(U$3&gt;(A22taxstdlife+$E756),(('PTRM input'!$H$164+'PTRM input'!$H$130)*$H$7)-SUM($H756:T756),(('PTRM input'!$H$164+'PTRM input'!$H$130)*$H$7)/A22taxstdlife))</f>
        <v>0</v>
      </c>
      <c r="V756" s="590">
        <f>IF(A22taxstdlife="n/a","n/a",IF(V$3&gt;(A22taxstdlife+$E756),(('PTRM input'!$H$164+'PTRM input'!$H$130)*$H$7)-SUM($H756:U756),(('PTRM input'!$H$164+'PTRM input'!$H$130)*$H$7)/A22taxstdlife))</f>
        <v>0</v>
      </c>
      <c r="W756" s="590">
        <f>IF(A22taxstdlife="n/a","n/a",IF(W$3&gt;(A22taxstdlife+$E756),(('PTRM input'!$H$164+'PTRM input'!$H$130)*$H$7)-SUM($H756:V756),(('PTRM input'!$H$164+'PTRM input'!$H$130)*$H$7)/A22taxstdlife))</f>
        <v>0</v>
      </c>
      <c r="X756" s="590">
        <f>IF(A22taxstdlife="n/a","n/a",IF(X$3&gt;(A22taxstdlife+$E756),(('PTRM input'!$H$164+'PTRM input'!$H$130)*$H$7)-SUM($H756:W756),(('PTRM input'!$H$164+'PTRM input'!$H$130)*$H$7)/A22taxstdlife))</f>
        <v>0</v>
      </c>
      <c r="Y756" s="590">
        <f>IF(A22taxstdlife="n/a","n/a",IF(Y$3&gt;(A22taxstdlife+$E756),(('PTRM input'!$H$164+'PTRM input'!$H$130)*$H$7)-SUM($H756:X756),(('PTRM input'!$H$164+'PTRM input'!$H$130)*$H$7)/A22taxstdlife))</f>
        <v>0</v>
      </c>
      <c r="Z756" s="590">
        <f>IF(A22taxstdlife="n/a","n/a",IF(Z$3&gt;(A22taxstdlife+$E756),(('PTRM input'!$H$164+'PTRM input'!$H$130)*$H$7)-SUM($H756:Y756),(('PTRM input'!$H$164+'PTRM input'!$H$130)*$H$7)/A22taxstdlife))</f>
        <v>0</v>
      </c>
      <c r="AA756" s="590">
        <f>IF(A22taxstdlife="n/a","n/a",IF(AA$3&gt;(A22taxstdlife+$E756),(('PTRM input'!$H$164+'PTRM input'!$H$130)*$H$7)-SUM($H756:Z756),(('PTRM input'!$H$164+'PTRM input'!$H$130)*$H$7)/A22taxstdlife))</f>
        <v>0</v>
      </c>
      <c r="AB756" s="590">
        <f>IF(A22taxstdlife="n/a","n/a",IF(AB$3&gt;(A22taxstdlife+$E756),(('PTRM input'!$H$164+'PTRM input'!$H$130)*$H$7)-SUM($H756:AA756),(('PTRM input'!$H$164+'PTRM input'!$H$130)*$H$7)/A22taxstdlife))</f>
        <v>0</v>
      </c>
      <c r="AC756" s="590">
        <f>IF(A22taxstdlife="n/a","n/a",IF(AC$3&gt;(A22taxstdlife+$E756),(('PTRM input'!$H$164+'PTRM input'!$H$130)*$H$7)-SUM($H756:AB756),(('PTRM input'!$H$164+'PTRM input'!$H$130)*$H$7)/A22taxstdlife))</f>
        <v>0</v>
      </c>
      <c r="AD756" s="590">
        <f>IF(A22taxstdlife="n/a","n/a",IF(AD$3&gt;(A22taxstdlife+$E756),(('PTRM input'!$H$164+'PTRM input'!$H$130)*$H$7)-SUM($H756:AC756),(('PTRM input'!$H$164+'PTRM input'!$H$130)*$H$7)/A22taxstdlife))</f>
        <v>0</v>
      </c>
      <c r="AE756" s="590">
        <f>IF(A22taxstdlife="n/a","n/a",IF(AE$3&gt;(A22taxstdlife+$E756),(('PTRM input'!$H$164+'PTRM input'!$H$130)*$H$7)-SUM($H756:AD756),(('PTRM input'!$H$164+'PTRM input'!$H$130)*$H$7)/A22taxstdlife))</f>
        <v>0</v>
      </c>
      <c r="AF756" s="590">
        <f>IF(A22taxstdlife="n/a","n/a",IF(AF$3&gt;(A22taxstdlife+$E756),(('PTRM input'!$H$164+'PTRM input'!$H$130)*$H$7)-SUM($H756:AE756),(('PTRM input'!$H$164+'PTRM input'!$H$130)*$H$7)/A22taxstdlife))</f>
        <v>0</v>
      </c>
      <c r="AG756" s="590">
        <f>IF(A22taxstdlife="n/a","n/a",IF(AG$3&gt;(A22taxstdlife+$E756),(('PTRM input'!$H$164+'PTRM input'!$H$130)*$H$7)-SUM($H756:AF756),(('PTRM input'!$H$164+'PTRM input'!$H$130)*$H$7)/A22taxstdlife))</f>
        <v>0</v>
      </c>
      <c r="AH756" s="590">
        <f>IF(A22taxstdlife="n/a","n/a",IF(AH$3&gt;(A22taxstdlife+$E756),(('PTRM input'!$H$164+'PTRM input'!$H$130)*$H$7)-SUM($H756:AG756),(('PTRM input'!$H$164+'PTRM input'!$H$130)*$H$7)/A22taxstdlife))</f>
        <v>0</v>
      </c>
      <c r="AI756" s="590">
        <f>IF(A22taxstdlife="n/a","n/a",IF(AI$3&gt;(A22taxstdlife+$E756),(('PTRM input'!$H$164+'PTRM input'!$H$130)*$H$7)-SUM($H756:AH756),(('PTRM input'!$H$164+'PTRM input'!$H$130)*$H$7)/A22taxstdlife))</f>
        <v>0</v>
      </c>
      <c r="AJ756" s="590">
        <f>IF(A22taxstdlife="n/a","n/a",IF(AJ$3&gt;(A22taxstdlife+$E756),(('PTRM input'!$H$164+'PTRM input'!$H$130)*$H$7)-SUM($H756:AI756),(('PTRM input'!$H$164+'PTRM input'!$H$130)*$H$7)/A22taxstdlife))</f>
        <v>0</v>
      </c>
      <c r="AK756" s="590">
        <f>IF(A22taxstdlife="n/a","n/a",IF(AK$3&gt;(A22taxstdlife+$E756),(('PTRM input'!$H$164+'PTRM input'!$H$130)*$H$7)-SUM($H756:AJ756),(('PTRM input'!$H$164+'PTRM input'!$H$130)*$H$7)/A22taxstdlife))</f>
        <v>0</v>
      </c>
      <c r="AL756" s="590">
        <f>IF(A22taxstdlife="n/a","n/a",IF(AL$3&gt;(A22taxstdlife+$E756),(('PTRM input'!$H$164+'PTRM input'!$H$130)*$H$7)-SUM($H756:AK756),(('PTRM input'!$H$164+'PTRM input'!$H$130)*$H$7)/A22taxstdlife))</f>
        <v>0</v>
      </c>
      <c r="AM756" s="590">
        <f>IF(A22taxstdlife="n/a","n/a",IF(AM$3&gt;(A22taxstdlife+$E756),(('PTRM input'!$H$164+'PTRM input'!$H$130)*$H$7)-SUM($H756:AL756),(('PTRM input'!$H$164+'PTRM input'!$H$130)*$H$7)/A22taxstdlife))</f>
        <v>0</v>
      </c>
      <c r="AN756" s="590">
        <f>IF(A22taxstdlife="n/a","n/a",IF(AN$3&gt;(A22taxstdlife+$E756),(('PTRM input'!$H$164+'PTRM input'!$H$130)*$H$7)-SUM($H756:AM756),(('PTRM input'!$H$164+'PTRM input'!$H$130)*$H$7)/A22taxstdlife))</f>
        <v>0</v>
      </c>
      <c r="AO756" s="590">
        <f>IF(A22taxstdlife="n/a","n/a",IF(AO$3&gt;(A22taxstdlife+$E756),(('PTRM input'!$H$164+'PTRM input'!$H$130)*$H$7)-SUM($H756:AN756),(('PTRM input'!$H$164+'PTRM input'!$H$130)*$H$7)/A22taxstdlife))</f>
        <v>0</v>
      </c>
      <c r="AP756" s="590">
        <f>IF(A22taxstdlife="n/a","n/a",IF(AP$3&gt;(A22taxstdlife+$E756),(('PTRM input'!$H$164+'PTRM input'!$H$130)*$H$7)-SUM($H756:AO756),(('PTRM input'!$H$164+'PTRM input'!$H$130)*$H$7)/A22taxstdlife))</f>
        <v>0</v>
      </c>
      <c r="AQ756" s="590">
        <f>IF(A22taxstdlife="n/a","n/a",IF(AQ$3&gt;(A22taxstdlife+$E756),(('PTRM input'!$H$164+'PTRM input'!$H$130)*$H$7)-SUM($H756:AP756),(('PTRM input'!$H$164+'PTRM input'!$H$130)*$H$7)/A22taxstdlife))</f>
        <v>0</v>
      </c>
      <c r="AR756" s="590">
        <f>IF(A22taxstdlife="n/a","n/a",IF(AR$3&gt;(A22taxstdlife+$E756),(('PTRM input'!$H$164+'PTRM input'!$H$130)*$H$7)-SUM($H756:AQ756),(('PTRM input'!$H$164+'PTRM input'!$H$130)*$H$7)/A22taxstdlife))</f>
        <v>0</v>
      </c>
      <c r="AS756" s="590">
        <f>IF(A22taxstdlife="n/a","n/a",IF(AS$3&gt;(A22taxstdlife+$E756),(('PTRM input'!$H$164+'PTRM input'!$H$130)*$H$7)-SUM($H756:AR756),(('PTRM input'!$H$164+'PTRM input'!$H$130)*$H$7)/A22taxstdlife))</f>
        <v>0</v>
      </c>
      <c r="AT756" s="590">
        <f>IF(A22taxstdlife="n/a","n/a",IF(AT$3&gt;(A22taxstdlife+$E756),(('PTRM input'!$H$164+'PTRM input'!$H$130)*$H$7)-SUM($H756:AS756),(('PTRM input'!$H$164+'PTRM input'!$H$130)*$H$7)/A22taxstdlife))</f>
        <v>0</v>
      </c>
      <c r="AU756" s="590">
        <f>IF(A22taxstdlife="n/a","n/a",IF(AU$3&gt;(A22taxstdlife+$E756),(('PTRM input'!$H$164+'PTRM input'!$H$130)*$H$7)-SUM($H756:AT756),(('PTRM input'!$H$164+'PTRM input'!$H$130)*$H$7)/A22taxstdlife))</f>
        <v>0</v>
      </c>
      <c r="AV756" s="590">
        <f>IF(A22taxstdlife="n/a","n/a",IF(AV$3&gt;(A22taxstdlife+$E756),(('PTRM input'!$H$164+'PTRM input'!$H$130)*$H$7)-SUM($H756:AU756),(('PTRM input'!$H$164+'PTRM input'!$H$130)*$H$7)/A22taxstdlife))</f>
        <v>0</v>
      </c>
      <c r="AW756" s="590">
        <f>IF(A22taxstdlife="n/a","n/a",IF(AW$3&gt;(A22taxstdlife+$E756),(('PTRM input'!$H$164+'PTRM input'!$H$130)*$H$7)-SUM($H756:AV756),(('PTRM input'!$H$164+'PTRM input'!$H$130)*$H$7)/A22taxstdlife))</f>
        <v>0</v>
      </c>
      <c r="AX756" s="590">
        <f>IF(A22taxstdlife="n/a","n/a",IF(AX$3&gt;(A22taxstdlife+$E756),(('PTRM input'!$H$164+'PTRM input'!$H$130)*$H$7)-SUM($H756:AW756),(('PTRM input'!$H$164+'PTRM input'!$H$130)*$H$7)/A22taxstdlife))</f>
        <v>0</v>
      </c>
      <c r="AY756" s="590">
        <f>IF(A22taxstdlife="n/a","n/a",IF(AY$3&gt;(A22taxstdlife+$E756),(('PTRM input'!$H$164+'PTRM input'!$H$130)*$H$7)-SUM($H756:AX756),(('PTRM input'!$H$164+'PTRM input'!$H$130)*$H$7)/A22taxstdlife))</f>
        <v>0</v>
      </c>
      <c r="AZ756" s="590">
        <f>IF(A22taxstdlife="n/a","n/a",IF(AZ$3&gt;(A22taxstdlife+$E756),(('PTRM input'!$H$164+'PTRM input'!$H$130)*$H$7)-SUM($H756:AY756),(('PTRM input'!$H$164+'PTRM input'!$H$130)*$H$7)/A22taxstdlife))</f>
        <v>0</v>
      </c>
      <c r="BA756" s="590">
        <f>IF(A22taxstdlife="n/a","n/a",IF(BA$3&gt;(A22taxstdlife+$E756),(('PTRM input'!$H$164+'PTRM input'!$H$130)*$H$7)-SUM($H756:AZ756),(('PTRM input'!$H$164+'PTRM input'!$H$130)*$H$7)/A22taxstdlife))</f>
        <v>0</v>
      </c>
      <c r="BB756" s="590">
        <f>IF(A22taxstdlife="n/a","n/a",IF(BB$3&gt;(A22taxstdlife+$E756),(('PTRM input'!$H$164+'PTRM input'!$H$130)*$H$7)-SUM($H756:BA756),(('PTRM input'!$H$164+'PTRM input'!$H$130)*$H$7)/A22taxstdlife))</f>
        <v>0</v>
      </c>
      <c r="BC756" s="590">
        <f>IF(A22taxstdlife="n/a","n/a",IF(BC$3&gt;(A22taxstdlife+$E756),(('PTRM input'!$H$164+'PTRM input'!$H$130)*$H$7)-SUM($H756:BB756),(('PTRM input'!$H$164+'PTRM input'!$H$130)*$H$7)/A22taxstdlife))</f>
        <v>0</v>
      </c>
      <c r="BD756" s="590">
        <f>IF(A22taxstdlife="n/a","n/a",IF(BD$3&gt;(A22taxstdlife+$E756),(('PTRM input'!$H$164+'PTRM input'!$H$130)*$H$7)-SUM($H756:BC756),(('PTRM input'!$H$164+'PTRM input'!$H$130)*$H$7)/A22taxstdlife))</f>
        <v>0</v>
      </c>
      <c r="BE756" s="590">
        <f>IF(A22taxstdlife="n/a","n/a",IF(BE$3&gt;(A22taxstdlife+$E756),(('PTRM input'!$H$164+'PTRM input'!$H$130)*$H$7)-SUM($H756:BD756),(('PTRM input'!$H$164+'PTRM input'!$H$130)*$H$7)/A22taxstdlife))</f>
        <v>0</v>
      </c>
      <c r="BF756" s="590">
        <f>IF(A22taxstdlife="n/a","n/a",IF(BF$3&gt;(A22taxstdlife+$E756),(('PTRM input'!$H$164+'PTRM input'!$H$130)*$H$7)-SUM($H756:BE756),(('PTRM input'!$H$164+'PTRM input'!$H$130)*$H$7)/A22taxstdlife))</f>
        <v>0</v>
      </c>
      <c r="BG756" s="590">
        <f>IF(A22taxstdlife="n/a","n/a",IF(BG$3&gt;(A22taxstdlife+$E756),(('PTRM input'!$H$164+'PTRM input'!$H$130)*$H$7)-SUM($H756:BF756),(('PTRM input'!$H$164+'PTRM input'!$H$130)*$H$7)/A22taxstdlife))</f>
        <v>0</v>
      </c>
      <c r="BH756" s="590">
        <f>IF(A22taxstdlife="n/a","n/a",IF(BH$3&gt;(A22taxstdlife+$E756),(('PTRM input'!$H$164+'PTRM input'!$H$130)*$H$7)-SUM($H756:BG756),(('PTRM input'!$H$164+'PTRM input'!$H$130)*$H$7)/A22taxstdlife))</f>
        <v>0</v>
      </c>
      <c r="BI756" s="590">
        <f>IF(A22taxstdlife="n/a","n/a",IF(BI$3&gt;(A22taxstdlife+$E756),(('PTRM input'!$H$164+'PTRM input'!$H$130)*$H$7)-SUM($H756:BH756),(('PTRM input'!$H$164+'PTRM input'!$H$130)*$H$7)/A22taxstdlife))</f>
        <v>0</v>
      </c>
      <c r="BJ756" s="240"/>
      <c r="BK756" s="240"/>
      <c r="BL756" s="240"/>
      <c r="BM756" s="240"/>
    </row>
    <row r="757" spans="1:65" s="4" customFormat="1" hidden="1" outlineLevel="2">
      <c r="A757" s="240"/>
      <c r="B757" s="240"/>
      <c r="C757" s="595"/>
      <c r="D757" s="1618"/>
      <c r="E757" s="169">
        <v>3</v>
      </c>
      <c r="F757" s="35"/>
      <c r="G757" s="184"/>
      <c r="H757" s="186"/>
      <c r="I757" s="185"/>
      <c r="J757" s="107">
        <f>IF(A22taxstdlife="n/a","n/a",IF(J$3&gt;(A22taxstdlife+$E757),(('PTRM input'!$I$164+'PTRM input'!$I$130)*$I$7)-SUM($I757:I757),(('PTRM input'!$I$164+'PTRM input'!$I$130)*$I$7)/A22taxstdlife))</f>
        <v>0</v>
      </c>
      <c r="K757" s="107">
        <f>IF(A22taxstdlife="n/a","n/a",IF(K$3&gt;(A22taxstdlife+$E757),(('PTRM input'!$I$164+'PTRM input'!$I$130)*$I$7)-SUM($I757:J757),(('PTRM input'!$I$164+'PTRM input'!$I$130)*$I$7)/A22taxstdlife))</f>
        <v>0</v>
      </c>
      <c r="L757" s="107">
        <f>IF(A22taxstdlife="n/a","n/a",IF(L$3&gt;(A22taxstdlife+$E757),(('PTRM input'!$I$164+'PTRM input'!$I$130)*$I$7)-SUM($I757:K757),(('PTRM input'!$I$164+'PTRM input'!$I$130)*$I$7)/A22taxstdlife))</f>
        <v>0</v>
      </c>
      <c r="M757" s="107">
        <f>IF(A22taxstdlife="n/a","n/a",IF(M$3&gt;(A22taxstdlife+$E757),(('PTRM input'!$I$164+'PTRM input'!$I$130)*$I$7)-SUM($I757:L757),(('PTRM input'!$I$164+'PTRM input'!$I$130)*$I$7)/A22taxstdlife))</f>
        <v>0</v>
      </c>
      <c r="N757" s="107">
        <f>IF(A22taxstdlife="n/a","n/a",IF(N$3&gt;(A22taxstdlife+$E757),(('PTRM input'!$I$164+'PTRM input'!$I$130)*$I$7)-SUM($I757:M757),(('PTRM input'!$I$164+'PTRM input'!$I$130)*$I$7)/A22taxstdlife))</f>
        <v>0</v>
      </c>
      <c r="O757" s="107">
        <f>IF(A22taxstdlife="n/a","n/a",IF(O$3&gt;(A22taxstdlife+$E757),(('PTRM input'!$I$164+'PTRM input'!$I$130)*$I$7)-SUM($I757:N757),(('PTRM input'!$I$164+'PTRM input'!$I$130)*$I$7)/A22taxstdlife))</f>
        <v>0</v>
      </c>
      <c r="P757" s="107">
        <f>IF(A22taxstdlife="n/a","n/a",IF(P$3&gt;(A22taxstdlife+$E757),(('PTRM input'!$I$164+'PTRM input'!$I$130)*$I$7)-SUM($I757:O757),(('PTRM input'!$I$164+'PTRM input'!$I$130)*$I$7)/A22taxstdlife))</f>
        <v>0</v>
      </c>
      <c r="Q757" s="590">
        <f>IF(A22taxstdlife="n/a","n/a",IF(Q$3&gt;(A22taxstdlife+$E757),(('PTRM input'!$I$164+'PTRM input'!$I$130)*$I$7)-SUM($I757:P757),(('PTRM input'!$I$164+'PTRM input'!$I$130)*$I$7)/A22taxstdlife))</f>
        <v>0</v>
      </c>
      <c r="R757" s="590">
        <f>IF(A22taxstdlife="n/a","n/a",IF(R$3&gt;(A22taxstdlife+$E757),(('PTRM input'!$I$164+'PTRM input'!$I$130)*$I$7)-SUM($I757:Q757),(('PTRM input'!$I$164+'PTRM input'!$I$130)*$I$7)/A22taxstdlife))</f>
        <v>0</v>
      </c>
      <c r="S757" s="590">
        <f>IF(A22taxstdlife="n/a","n/a",IF(S$3&gt;(A22taxstdlife+$E757),(('PTRM input'!$I$164+'PTRM input'!$I$130)*$I$7)-SUM($I757:R757),(('PTRM input'!$I$164+'PTRM input'!$I$130)*$I$7)/A22taxstdlife))</f>
        <v>0</v>
      </c>
      <c r="T757" s="590">
        <f>IF(A22taxstdlife="n/a","n/a",IF(T$3&gt;(A22taxstdlife+$E757),(('PTRM input'!$I$164+'PTRM input'!$I$130)*$I$7)-SUM($I757:S757),(('PTRM input'!$I$164+'PTRM input'!$I$130)*$I$7)/A22taxstdlife))</f>
        <v>0</v>
      </c>
      <c r="U757" s="590">
        <f>IF(A22taxstdlife="n/a","n/a",IF(U$3&gt;(A22taxstdlife+$E757),(('PTRM input'!$I$164+'PTRM input'!$I$130)*$I$7)-SUM($I757:T757),(('PTRM input'!$I$164+'PTRM input'!$I$130)*$I$7)/A22taxstdlife))</f>
        <v>0</v>
      </c>
      <c r="V757" s="590">
        <f>IF(A22taxstdlife="n/a","n/a",IF(V$3&gt;(A22taxstdlife+$E757),(('PTRM input'!$I$164+'PTRM input'!$I$130)*$I$7)-SUM($I757:U757),(('PTRM input'!$I$164+'PTRM input'!$I$130)*$I$7)/A22taxstdlife))</f>
        <v>0</v>
      </c>
      <c r="W757" s="590">
        <f>IF(A22taxstdlife="n/a","n/a",IF(W$3&gt;(A22taxstdlife+$E757),(('PTRM input'!$I$164+'PTRM input'!$I$130)*$I$7)-SUM($I757:V757),(('PTRM input'!$I$164+'PTRM input'!$I$130)*$I$7)/A22taxstdlife))</f>
        <v>0</v>
      </c>
      <c r="X757" s="590">
        <f>IF(A22taxstdlife="n/a","n/a",IF(X$3&gt;(A22taxstdlife+$E757),(('PTRM input'!$I$164+'PTRM input'!$I$130)*$I$7)-SUM($I757:W757),(('PTRM input'!$I$164+'PTRM input'!$I$130)*$I$7)/A22taxstdlife))</f>
        <v>0</v>
      </c>
      <c r="Y757" s="590">
        <f>IF(A22taxstdlife="n/a","n/a",IF(Y$3&gt;(A22taxstdlife+$E757),(('PTRM input'!$I$164+'PTRM input'!$I$130)*$I$7)-SUM($I757:X757),(('PTRM input'!$I$164+'PTRM input'!$I$130)*$I$7)/A22taxstdlife))</f>
        <v>0</v>
      </c>
      <c r="Z757" s="590">
        <f>IF(A22taxstdlife="n/a","n/a",IF(Z$3&gt;(A22taxstdlife+$E757),(('PTRM input'!$I$164+'PTRM input'!$I$130)*$I$7)-SUM($I757:Y757),(('PTRM input'!$I$164+'PTRM input'!$I$130)*$I$7)/A22taxstdlife))</f>
        <v>0</v>
      </c>
      <c r="AA757" s="590">
        <f>IF(A22taxstdlife="n/a","n/a",IF(AA$3&gt;(A22taxstdlife+$E757),(('PTRM input'!$I$164+'PTRM input'!$I$130)*$I$7)-SUM($I757:Z757),(('PTRM input'!$I$164+'PTRM input'!$I$130)*$I$7)/A22taxstdlife))</f>
        <v>0</v>
      </c>
      <c r="AB757" s="590">
        <f>IF(A22taxstdlife="n/a","n/a",IF(AB$3&gt;(A22taxstdlife+$E757),(('PTRM input'!$I$164+'PTRM input'!$I$130)*$I$7)-SUM($I757:AA757),(('PTRM input'!$I$164+'PTRM input'!$I$130)*$I$7)/A22taxstdlife))</f>
        <v>0</v>
      </c>
      <c r="AC757" s="590">
        <f>IF(A22taxstdlife="n/a","n/a",IF(AC$3&gt;(A22taxstdlife+$E757),(('PTRM input'!$I$164+'PTRM input'!$I$130)*$I$7)-SUM($I757:AB757),(('PTRM input'!$I$164+'PTRM input'!$I$130)*$I$7)/A22taxstdlife))</f>
        <v>0</v>
      </c>
      <c r="AD757" s="590">
        <f>IF(A22taxstdlife="n/a","n/a",IF(AD$3&gt;(A22taxstdlife+$E757),(('PTRM input'!$I$164+'PTRM input'!$I$130)*$I$7)-SUM($I757:AC757),(('PTRM input'!$I$164+'PTRM input'!$I$130)*$I$7)/A22taxstdlife))</f>
        <v>0</v>
      </c>
      <c r="AE757" s="590">
        <f>IF(A22taxstdlife="n/a","n/a",IF(AE$3&gt;(A22taxstdlife+$E757),(('PTRM input'!$I$164+'PTRM input'!$I$130)*$I$7)-SUM($I757:AD757),(('PTRM input'!$I$164+'PTRM input'!$I$130)*$I$7)/A22taxstdlife))</f>
        <v>0</v>
      </c>
      <c r="AF757" s="590">
        <f>IF(A22taxstdlife="n/a","n/a",IF(AF$3&gt;(A22taxstdlife+$E757),(('PTRM input'!$I$164+'PTRM input'!$I$130)*$I$7)-SUM($I757:AE757),(('PTRM input'!$I$164+'PTRM input'!$I$130)*$I$7)/A22taxstdlife))</f>
        <v>0</v>
      </c>
      <c r="AG757" s="590">
        <f>IF(A22taxstdlife="n/a","n/a",IF(AG$3&gt;(A22taxstdlife+$E757),(('PTRM input'!$I$164+'PTRM input'!$I$130)*$I$7)-SUM($I757:AF757),(('PTRM input'!$I$164+'PTRM input'!$I$130)*$I$7)/A22taxstdlife))</f>
        <v>0</v>
      </c>
      <c r="AH757" s="590">
        <f>IF(A22taxstdlife="n/a","n/a",IF(AH$3&gt;(A22taxstdlife+$E757),(('PTRM input'!$I$164+'PTRM input'!$I$130)*$I$7)-SUM($I757:AG757),(('PTRM input'!$I$164+'PTRM input'!$I$130)*$I$7)/A22taxstdlife))</f>
        <v>0</v>
      </c>
      <c r="AI757" s="590">
        <f>IF(A22taxstdlife="n/a","n/a",IF(AI$3&gt;(A22taxstdlife+$E757),(('PTRM input'!$I$164+'PTRM input'!$I$130)*$I$7)-SUM($I757:AH757),(('PTRM input'!$I$164+'PTRM input'!$I$130)*$I$7)/A22taxstdlife))</f>
        <v>0</v>
      </c>
      <c r="AJ757" s="590">
        <f>IF(A22taxstdlife="n/a","n/a",IF(AJ$3&gt;(A22taxstdlife+$E757),(('PTRM input'!$I$164+'PTRM input'!$I$130)*$I$7)-SUM($I757:AI757),(('PTRM input'!$I$164+'PTRM input'!$I$130)*$I$7)/A22taxstdlife))</f>
        <v>0</v>
      </c>
      <c r="AK757" s="590">
        <f>IF(A22taxstdlife="n/a","n/a",IF(AK$3&gt;(A22taxstdlife+$E757),(('PTRM input'!$I$164+'PTRM input'!$I$130)*$I$7)-SUM($I757:AJ757),(('PTRM input'!$I$164+'PTRM input'!$I$130)*$I$7)/A22taxstdlife))</f>
        <v>0</v>
      </c>
      <c r="AL757" s="590">
        <f>IF(A22taxstdlife="n/a","n/a",IF(AL$3&gt;(A22taxstdlife+$E757),(('PTRM input'!$I$164+'PTRM input'!$I$130)*$I$7)-SUM($I757:AK757),(('PTRM input'!$I$164+'PTRM input'!$I$130)*$I$7)/A22taxstdlife))</f>
        <v>0</v>
      </c>
      <c r="AM757" s="590">
        <f>IF(A22taxstdlife="n/a","n/a",IF(AM$3&gt;(A22taxstdlife+$E757),(('PTRM input'!$I$164+'PTRM input'!$I$130)*$I$7)-SUM($I757:AL757),(('PTRM input'!$I$164+'PTRM input'!$I$130)*$I$7)/A22taxstdlife))</f>
        <v>0</v>
      </c>
      <c r="AN757" s="590">
        <f>IF(A22taxstdlife="n/a","n/a",IF(AN$3&gt;(A22taxstdlife+$E757),(('PTRM input'!$I$164+'PTRM input'!$I$130)*$I$7)-SUM($I757:AM757),(('PTRM input'!$I$164+'PTRM input'!$I$130)*$I$7)/A22taxstdlife))</f>
        <v>0</v>
      </c>
      <c r="AO757" s="590">
        <f>IF(A22taxstdlife="n/a","n/a",IF(AO$3&gt;(A22taxstdlife+$E757),(('PTRM input'!$I$164+'PTRM input'!$I$130)*$I$7)-SUM($I757:AN757),(('PTRM input'!$I$164+'PTRM input'!$I$130)*$I$7)/A22taxstdlife))</f>
        <v>0</v>
      </c>
      <c r="AP757" s="590">
        <f>IF(A22taxstdlife="n/a","n/a",IF(AP$3&gt;(A22taxstdlife+$E757),(('PTRM input'!$I$164+'PTRM input'!$I$130)*$I$7)-SUM($I757:AO757),(('PTRM input'!$I$164+'PTRM input'!$I$130)*$I$7)/A22taxstdlife))</f>
        <v>0</v>
      </c>
      <c r="AQ757" s="590">
        <f>IF(A22taxstdlife="n/a","n/a",IF(AQ$3&gt;(A22taxstdlife+$E757),(('PTRM input'!$I$164+'PTRM input'!$I$130)*$I$7)-SUM($I757:AP757),(('PTRM input'!$I$164+'PTRM input'!$I$130)*$I$7)/A22taxstdlife))</f>
        <v>0</v>
      </c>
      <c r="AR757" s="590">
        <f>IF(A22taxstdlife="n/a","n/a",IF(AR$3&gt;(A22taxstdlife+$E757),(('PTRM input'!$I$164+'PTRM input'!$I$130)*$I$7)-SUM($I757:AQ757),(('PTRM input'!$I$164+'PTRM input'!$I$130)*$I$7)/A22taxstdlife))</f>
        <v>0</v>
      </c>
      <c r="AS757" s="590">
        <f>IF(A22taxstdlife="n/a","n/a",IF(AS$3&gt;(A22taxstdlife+$E757),(('PTRM input'!$I$164+'PTRM input'!$I$130)*$I$7)-SUM($I757:AR757),(('PTRM input'!$I$164+'PTRM input'!$I$130)*$I$7)/A22taxstdlife))</f>
        <v>0</v>
      </c>
      <c r="AT757" s="590">
        <f>IF(A22taxstdlife="n/a","n/a",IF(AT$3&gt;(A22taxstdlife+$E757),(('PTRM input'!$I$164+'PTRM input'!$I$130)*$I$7)-SUM($I757:AS757),(('PTRM input'!$I$164+'PTRM input'!$I$130)*$I$7)/A22taxstdlife))</f>
        <v>0</v>
      </c>
      <c r="AU757" s="590">
        <f>IF(A22taxstdlife="n/a","n/a",IF(AU$3&gt;(A22taxstdlife+$E757),(('PTRM input'!$I$164+'PTRM input'!$I$130)*$I$7)-SUM($I757:AT757),(('PTRM input'!$I$164+'PTRM input'!$I$130)*$I$7)/A22taxstdlife))</f>
        <v>0</v>
      </c>
      <c r="AV757" s="590">
        <f>IF(A22taxstdlife="n/a","n/a",IF(AV$3&gt;(A22taxstdlife+$E757),(('PTRM input'!$I$164+'PTRM input'!$I$130)*$I$7)-SUM($I757:AU757),(('PTRM input'!$I$164+'PTRM input'!$I$130)*$I$7)/A22taxstdlife))</f>
        <v>0</v>
      </c>
      <c r="AW757" s="590">
        <f>IF(A22taxstdlife="n/a","n/a",IF(AW$3&gt;(A22taxstdlife+$E757),(('PTRM input'!$I$164+'PTRM input'!$I$130)*$I$7)-SUM($I757:AV757),(('PTRM input'!$I$164+'PTRM input'!$I$130)*$I$7)/A22taxstdlife))</f>
        <v>0</v>
      </c>
      <c r="AX757" s="590">
        <f>IF(A22taxstdlife="n/a","n/a",IF(AX$3&gt;(A22taxstdlife+$E757),(('PTRM input'!$I$164+'PTRM input'!$I$130)*$I$7)-SUM($I757:AW757),(('PTRM input'!$I$164+'PTRM input'!$I$130)*$I$7)/A22taxstdlife))</f>
        <v>0</v>
      </c>
      <c r="AY757" s="590">
        <f>IF(A22taxstdlife="n/a","n/a",IF(AY$3&gt;(A22taxstdlife+$E757),(('PTRM input'!$I$164+'PTRM input'!$I$130)*$I$7)-SUM($I757:AX757),(('PTRM input'!$I$164+'PTRM input'!$I$130)*$I$7)/A22taxstdlife))</f>
        <v>0</v>
      </c>
      <c r="AZ757" s="590">
        <f>IF(A22taxstdlife="n/a","n/a",IF(AZ$3&gt;(A22taxstdlife+$E757),(('PTRM input'!$I$164+'PTRM input'!$I$130)*$I$7)-SUM($I757:AY757),(('PTRM input'!$I$164+'PTRM input'!$I$130)*$I$7)/A22taxstdlife))</f>
        <v>0</v>
      </c>
      <c r="BA757" s="590">
        <f>IF(A22taxstdlife="n/a","n/a",IF(BA$3&gt;(A22taxstdlife+$E757),(('PTRM input'!$I$164+'PTRM input'!$I$130)*$I$7)-SUM($I757:AZ757),(('PTRM input'!$I$164+'PTRM input'!$I$130)*$I$7)/A22taxstdlife))</f>
        <v>0</v>
      </c>
      <c r="BB757" s="590">
        <f>IF(A22taxstdlife="n/a","n/a",IF(BB$3&gt;(A22taxstdlife+$E757),(('PTRM input'!$I$164+'PTRM input'!$I$130)*$I$7)-SUM($I757:BA757),(('PTRM input'!$I$164+'PTRM input'!$I$130)*$I$7)/A22taxstdlife))</f>
        <v>0</v>
      </c>
      <c r="BC757" s="590">
        <f>IF(A22taxstdlife="n/a","n/a",IF(BC$3&gt;(A22taxstdlife+$E757),(('PTRM input'!$I$164+'PTRM input'!$I$130)*$I$7)-SUM($I757:BB757),(('PTRM input'!$I$164+'PTRM input'!$I$130)*$I$7)/A22taxstdlife))</f>
        <v>0</v>
      </c>
      <c r="BD757" s="590">
        <f>IF(A22taxstdlife="n/a","n/a",IF(BD$3&gt;(A22taxstdlife+$E757),(('PTRM input'!$I$164+'PTRM input'!$I$130)*$I$7)-SUM($I757:BC757),(('PTRM input'!$I$164+'PTRM input'!$I$130)*$I$7)/A22taxstdlife))</f>
        <v>0</v>
      </c>
      <c r="BE757" s="590">
        <f>IF(A22taxstdlife="n/a","n/a",IF(BE$3&gt;(A22taxstdlife+$E757),(('PTRM input'!$I$164+'PTRM input'!$I$130)*$I$7)-SUM($I757:BD757),(('PTRM input'!$I$164+'PTRM input'!$I$130)*$I$7)/A22taxstdlife))</f>
        <v>0</v>
      </c>
      <c r="BF757" s="590">
        <f>IF(A22taxstdlife="n/a","n/a",IF(BF$3&gt;(A22taxstdlife+$E757),(('PTRM input'!$I$164+'PTRM input'!$I$130)*$I$7)-SUM($I757:BE757),(('PTRM input'!$I$164+'PTRM input'!$I$130)*$I$7)/A22taxstdlife))</f>
        <v>0</v>
      </c>
      <c r="BG757" s="590">
        <f>IF(A22taxstdlife="n/a","n/a",IF(BG$3&gt;(A22taxstdlife+$E757),(('PTRM input'!$I$164+'PTRM input'!$I$130)*$I$7)-SUM($I757:BF757),(('PTRM input'!$I$164+'PTRM input'!$I$130)*$I$7)/A22taxstdlife))</f>
        <v>0</v>
      </c>
      <c r="BH757" s="590">
        <f>IF(A22taxstdlife="n/a","n/a",IF(BH$3&gt;(A22taxstdlife+$E757),(('PTRM input'!$I$164+'PTRM input'!$I$130)*$I$7)-SUM($I757:BG757),(('PTRM input'!$I$164+'PTRM input'!$I$130)*$I$7)/A22taxstdlife))</f>
        <v>0</v>
      </c>
      <c r="BI757" s="590">
        <f>IF(A22taxstdlife="n/a","n/a",IF(BI$3&gt;(A22taxstdlife+$E757),(('PTRM input'!$I$164+'PTRM input'!$I$130)*$I$7)-SUM($I757:BH757),(('PTRM input'!$I$164+'PTRM input'!$I$130)*$I$7)/A22taxstdlife))</f>
        <v>0</v>
      </c>
      <c r="BJ757" s="590"/>
      <c r="BK757" s="240"/>
      <c r="BL757" s="240"/>
      <c r="BM757" s="240"/>
    </row>
    <row r="758" spans="1:65" s="4" customFormat="1" hidden="1" outlineLevel="2">
      <c r="A758" s="240"/>
      <c r="B758" s="240"/>
      <c r="C758" s="595"/>
      <c r="D758" s="1618"/>
      <c r="E758" s="169">
        <v>4</v>
      </c>
      <c r="F758" s="35"/>
      <c r="G758" s="184"/>
      <c r="H758" s="186"/>
      <c r="I758" s="186"/>
      <c r="J758" s="185"/>
      <c r="K758" s="107">
        <f>IF(A22taxstdlife="n/a","n/a",IF(K$3&gt;(A22taxstdlife+$E758),(('PTRM input'!$J$164+'PTRM input'!$J$130)*$J$7)-SUM($J758:J758),(('PTRM input'!$J$164+'PTRM input'!$J$130)*$J$7)/A22taxstdlife))</f>
        <v>0</v>
      </c>
      <c r="L758" s="107">
        <f>IF(A22taxstdlife="n/a","n/a",IF(L$3&gt;(A22taxstdlife+$E758),(('PTRM input'!$J$164+'PTRM input'!$J$130)*$J$7)-SUM($J758:K758),(('PTRM input'!$J$164+'PTRM input'!$J$130)*$J$7)/A22taxstdlife))</f>
        <v>0</v>
      </c>
      <c r="M758" s="107">
        <f>IF(A22taxstdlife="n/a","n/a",IF(M$3&gt;(A22taxstdlife+$E758),(('PTRM input'!$J$164+'PTRM input'!$J$130)*$J$7)-SUM($J758:L758),(('PTRM input'!$J$164+'PTRM input'!$J$130)*$J$7)/A22taxstdlife))</f>
        <v>0</v>
      </c>
      <c r="N758" s="107">
        <f>IF(A22taxstdlife="n/a","n/a",IF(N$3&gt;(A22taxstdlife+$E758),(('PTRM input'!$J$164+'PTRM input'!$J$130)*$J$7)-SUM($J758:M758),(('PTRM input'!$J$164+'PTRM input'!$J$130)*$J$7)/A22taxstdlife))</f>
        <v>0</v>
      </c>
      <c r="O758" s="107">
        <f>IF(A22taxstdlife="n/a","n/a",IF(O$3&gt;(A22taxstdlife+$E758),(('PTRM input'!$J$164+'PTRM input'!$J$130)*$J$7)-SUM($J758:N758),(('PTRM input'!$J$164+'PTRM input'!$J$130)*$J$7)/A22taxstdlife))</f>
        <v>0</v>
      </c>
      <c r="P758" s="107">
        <f>IF(A22taxstdlife="n/a","n/a",IF(P$3&gt;(A22taxstdlife+$E758),(('PTRM input'!$J$164+'PTRM input'!$J$130)*$J$7)-SUM($J758:O758),(('PTRM input'!$J$164+'PTRM input'!$J$130)*$J$7)/A22taxstdlife))</f>
        <v>0</v>
      </c>
      <c r="Q758" s="590">
        <f>IF(A22taxstdlife="n/a","n/a",IF(Q$3&gt;(A22taxstdlife+$E758),(('PTRM input'!$J$164+'PTRM input'!$J$130)*$J$7)-SUM($J758:P758),(('PTRM input'!$J$164+'PTRM input'!$J$130)*$J$7)/A22taxstdlife))</f>
        <v>0</v>
      </c>
      <c r="R758" s="590">
        <f>IF(A22taxstdlife="n/a","n/a",IF(R$3&gt;(A22taxstdlife+$E758),(('PTRM input'!$J$164+'PTRM input'!$J$130)*$J$7)-SUM($J758:Q758),(('PTRM input'!$J$164+'PTRM input'!$J$130)*$J$7)/A22taxstdlife))</f>
        <v>0</v>
      </c>
      <c r="S758" s="590">
        <f>IF(A22taxstdlife="n/a","n/a",IF(S$3&gt;(A22taxstdlife+$E758),(('PTRM input'!$J$164+'PTRM input'!$J$130)*$J$7)-SUM($J758:R758),(('PTRM input'!$J$164+'PTRM input'!$J$130)*$J$7)/A22taxstdlife))</f>
        <v>0</v>
      </c>
      <c r="T758" s="590">
        <f>IF(A22taxstdlife="n/a","n/a",IF(T$3&gt;(A22taxstdlife+$E758),(('PTRM input'!$J$164+'PTRM input'!$J$130)*$J$7)-SUM($J758:S758),(('PTRM input'!$J$164+'PTRM input'!$J$130)*$J$7)/A22taxstdlife))</f>
        <v>0</v>
      </c>
      <c r="U758" s="590">
        <f>IF(A22taxstdlife="n/a","n/a",IF(U$3&gt;(A22taxstdlife+$E758),(('PTRM input'!$J$164+'PTRM input'!$J$130)*$J$7)-SUM($J758:T758),(('PTRM input'!$J$164+'PTRM input'!$J$130)*$J$7)/A22taxstdlife))</f>
        <v>0</v>
      </c>
      <c r="V758" s="590">
        <f>IF(A22taxstdlife="n/a","n/a",IF(V$3&gt;(A22taxstdlife+$E758),(('PTRM input'!$J$164+'PTRM input'!$J$130)*$J$7)-SUM($J758:U758),(('PTRM input'!$J$164+'PTRM input'!$J$130)*$J$7)/A22taxstdlife))</f>
        <v>0</v>
      </c>
      <c r="W758" s="590">
        <f>IF(A22taxstdlife="n/a","n/a",IF(W$3&gt;(A22taxstdlife+$E758),(('PTRM input'!$J$164+'PTRM input'!$J$130)*$J$7)-SUM($J758:V758),(('PTRM input'!$J$164+'PTRM input'!$J$130)*$J$7)/A22taxstdlife))</f>
        <v>0</v>
      </c>
      <c r="X758" s="590">
        <f>IF(A22taxstdlife="n/a","n/a",IF(X$3&gt;(A22taxstdlife+$E758),(('PTRM input'!$J$164+'PTRM input'!$J$130)*$J$7)-SUM($J758:W758),(('PTRM input'!$J$164+'PTRM input'!$J$130)*$J$7)/A22taxstdlife))</f>
        <v>0</v>
      </c>
      <c r="Y758" s="590">
        <f>IF(A22taxstdlife="n/a","n/a",IF(Y$3&gt;(A22taxstdlife+$E758),(('PTRM input'!$J$164+'PTRM input'!$J$130)*$J$7)-SUM($J758:X758),(('PTRM input'!$J$164+'PTRM input'!$J$130)*$J$7)/A22taxstdlife))</f>
        <v>0</v>
      </c>
      <c r="Z758" s="590">
        <f>IF(A22taxstdlife="n/a","n/a",IF(Z$3&gt;(A22taxstdlife+$E758),(('PTRM input'!$J$164+'PTRM input'!$J$130)*$J$7)-SUM($J758:Y758),(('PTRM input'!$J$164+'PTRM input'!$J$130)*$J$7)/A22taxstdlife))</f>
        <v>0</v>
      </c>
      <c r="AA758" s="590">
        <f>IF(A22taxstdlife="n/a","n/a",IF(AA$3&gt;(A22taxstdlife+$E758),(('PTRM input'!$J$164+'PTRM input'!$J$130)*$J$7)-SUM($J758:Z758),(('PTRM input'!$J$164+'PTRM input'!$J$130)*$J$7)/A22taxstdlife))</f>
        <v>0</v>
      </c>
      <c r="AB758" s="590">
        <f>IF(A22taxstdlife="n/a","n/a",IF(AB$3&gt;(A22taxstdlife+$E758),(('PTRM input'!$J$164+'PTRM input'!$J$130)*$J$7)-SUM($J758:AA758),(('PTRM input'!$J$164+'PTRM input'!$J$130)*$J$7)/A22taxstdlife))</f>
        <v>0</v>
      </c>
      <c r="AC758" s="590">
        <f>IF(A22taxstdlife="n/a","n/a",IF(AC$3&gt;(A22taxstdlife+$E758),(('PTRM input'!$J$164+'PTRM input'!$J$130)*$J$7)-SUM($J758:AB758),(('PTRM input'!$J$164+'PTRM input'!$J$130)*$J$7)/A22taxstdlife))</f>
        <v>0</v>
      </c>
      <c r="AD758" s="590">
        <f>IF(A22taxstdlife="n/a","n/a",IF(AD$3&gt;(A22taxstdlife+$E758),(('PTRM input'!$J$164+'PTRM input'!$J$130)*$J$7)-SUM($J758:AC758),(('PTRM input'!$J$164+'PTRM input'!$J$130)*$J$7)/A22taxstdlife))</f>
        <v>0</v>
      </c>
      <c r="AE758" s="590">
        <f>IF(A22taxstdlife="n/a","n/a",IF(AE$3&gt;(A22taxstdlife+$E758),(('PTRM input'!$J$164+'PTRM input'!$J$130)*$J$7)-SUM($J758:AD758),(('PTRM input'!$J$164+'PTRM input'!$J$130)*$J$7)/A22taxstdlife))</f>
        <v>0</v>
      </c>
      <c r="AF758" s="590">
        <f>IF(A22taxstdlife="n/a","n/a",IF(AF$3&gt;(A22taxstdlife+$E758),(('PTRM input'!$J$164+'PTRM input'!$J$130)*$J$7)-SUM($J758:AE758),(('PTRM input'!$J$164+'PTRM input'!$J$130)*$J$7)/A22taxstdlife))</f>
        <v>0</v>
      </c>
      <c r="AG758" s="590">
        <f>IF(A22taxstdlife="n/a","n/a",IF(AG$3&gt;(A22taxstdlife+$E758),(('PTRM input'!$J$164+'PTRM input'!$J$130)*$J$7)-SUM($J758:AF758),(('PTRM input'!$J$164+'PTRM input'!$J$130)*$J$7)/A22taxstdlife))</f>
        <v>0</v>
      </c>
      <c r="AH758" s="590">
        <f>IF(A22taxstdlife="n/a","n/a",IF(AH$3&gt;(A22taxstdlife+$E758),(('PTRM input'!$J$164+'PTRM input'!$J$130)*$J$7)-SUM($J758:AG758),(('PTRM input'!$J$164+'PTRM input'!$J$130)*$J$7)/A22taxstdlife))</f>
        <v>0</v>
      </c>
      <c r="AI758" s="590">
        <f>IF(A22taxstdlife="n/a","n/a",IF(AI$3&gt;(A22taxstdlife+$E758),(('PTRM input'!$J$164+'PTRM input'!$J$130)*$J$7)-SUM($J758:AH758),(('PTRM input'!$J$164+'PTRM input'!$J$130)*$J$7)/A22taxstdlife))</f>
        <v>0</v>
      </c>
      <c r="AJ758" s="590">
        <f>IF(A22taxstdlife="n/a","n/a",IF(AJ$3&gt;(A22taxstdlife+$E758),(('PTRM input'!$J$164+'PTRM input'!$J$130)*$J$7)-SUM($J758:AI758),(('PTRM input'!$J$164+'PTRM input'!$J$130)*$J$7)/A22taxstdlife))</f>
        <v>0</v>
      </c>
      <c r="AK758" s="590">
        <f>IF(A22taxstdlife="n/a","n/a",IF(AK$3&gt;(A22taxstdlife+$E758),(('PTRM input'!$J$164+'PTRM input'!$J$130)*$J$7)-SUM($J758:AJ758),(('PTRM input'!$J$164+'PTRM input'!$J$130)*$J$7)/A22taxstdlife))</f>
        <v>0</v>
      </c>
      <c r="AL758" s="590">
        <f>IF(A22taxstdlife="n/a","n/a",IF(AL$3&gt;(A22taxstdlife+$E758),(('PTRM input'!$J$164+'PTRM input'!$J$130)*$J$7)-SUM($J758:AK758),(('PTRM input'!$J$164+'PTRM input'!$J$130)*$J$7)/A22taxstdlife))</f>
        <v>0</v>
      </c>
      <c r="AM758" s="590">
        <f>IF(A22taxstdlife="n/a","n/a",IF(AM$3&gt;(A22taxstdlife+$E758),(('PTRM input'!$J$164+'PTRM input'!$J$130)*$J$7)-SUM($J758:AL758),(('PTRM input'!$J$164+'PTRM input'!$J$130)*$J$7)/A22taxstdlife))</f>
        <v>0</v>
      </c>
      <c r="AN758" s="590">
        <f>IF(A22taxstdlife="n/a","n/a",IF(AN$3&gt;(A22taxstdlife+$E758),(('PTRM input'!$J$164+'PTRM input'!$J$130)*$J$7)-SUM($J758:AM758),(('PTRM input'!$J$164+'PTRM input'!$J$130)*$J$7)/A22taxstdlife))</f>
        <v>0</v>
      </c>
      <c r="AO758" s="590">
        <f>IF(A22taxstdlife="n/a","n/a",IF(AO$3&gt;(A22taxstdlife+$E758),(('PTRM input'!$J$164+'PTRM input'!$J$130)*$J$7)-SUM($J758:AN758),(('PTRM input'!$J$164+'PTRM input'!$J$130)*$J$7)/A22taxstdlife))</f>
        <v>0</v>
      </c>
      <c r="AP758" s="590">
        <f>IF(A22taxstdlife="n/a","n/a",IF(AP$3&gt;(A22taxstdlife+$E758),(('PTRM input'!$J$164+'PTRM input'!$J$130)*$J$7)-SUM($J758:AO758),(('PTRM input'!$J$164+'PTRM input'!$J$130)*$J$7)/A22taxstdlife))</f>
        <v>0</v>
      </c>
      <c r="AQ758" s="590">
        <f>IF(A22taxstdlife="n/a","n/a",IF(AQ$3&gt;(A22taxstdlife+$E758),(('PTRM input'!$J$164+'PTRM input'!$J$130)*$J$7)-SUM($J758:AP758),(('PTRM input'!$J$164+'PTRM input'!$J$130)*$J$7)/A22taxstdlife))</f>
        <v>0</v>
      </c>
      <c r="AR758" s="590">
        <f>IF(A22taxstdlife="n/a","n/a",IF(AR$3&gt;(A22taxstdlife+$E758),(('PTRM input'!$J$164+'PTRM input'!$J$130)*$J$7)-SUM($J758:AQ758),(('PTRM input'!$J$164+'PTRM input'!$J$130)*$J$7)/A22taxstdlife))</f>
        <v>0</v>
      </c>
      <c r="AS758" s="590">
        <f>IF(A22taxstdlife="n/a","n/a",IF(AS$3&gt;(A22taxstdlife+$E758),(('PTRM input'!$J$164+'PTRM input'!$J$130)*$J$7)-SUM($J758:AR758),(('PTRM input'!$J$164+'PTRM input'!$J$130)*$J$7)/A22taxstdlife))</f>
        <v>0</v>
      </c>
      <c r="AT758" s="590">
        <f>IF(A22taxstdlife="n/a","n/a",IF(AT$3&gt;(A22taxstdlife+$E758),(('PTRM input'!$J$164+'PTRM input'!$J$130)*$J$7)-SUM($J758:AS758),(('PTRM input'!$J$164+'PTRM input'!$J$130)*$J$7)/A22taxstdlife))</f>
        <v>0</v>
      </c>
      <c r="AU758" s="590">
        <f>IF(A22taxstdlife="n/a","n/a",IF(AU$3&gt;(A22taxstdlife+$E758),(('PTRM input'!$J$164+'PTRM input'!$J$130)*$J$7)-SUM($J758:AT758),(('PTRM input'!$J$164+'PTRM input'!$J$130)*$J$7)/A22taxstdlife))</f>
        <v>0</v>
      </c>
      <c r="AV758" s="590">
        <f>IF(A22taxstdlife="n/a","n/a",IF(AV$3&gt;(A22taxstdlife+$E758),(('PTRM input'!$J$164+'PTRM input'!$J$130)*$J$7)-SUM($J758:AU758),(('PTRM input'!$J$164+'PTRM input'!$J$130)*$J$7)/A22taxstdlife))</f>
        <v>0</v>
      </c>
      <c r="AW758" s="590">
        <f>IF(A22taxstdlife="n/a","n/a",IF(AW$3&gt;(A22taxstdlife+$E758),(('PTRM input'!$J$164+'PTRM input'!$J$130)*$J$7)-SUM($J758:AV758),(('PTRM input'!$J$164+'PTRM input'!$J$130)*$J$7)/A22taxstdlife))</f>
        <v>0</v>
      </c>
      <c r="AX758" s="590">
        <f>IF(A22taxstdlife="n/a","n/a",IF(AX$3&gt;(A22taxstdlife+$E758),(('PTRM input'!$J$164+'PTRM input'!$J$130)*$J$7)-SUM($J758:AW758),(('PTRM input'!$J$164+'PTRM input'!$J$130)*$J$7)/A22taxstdlife))</f>
        <v>0</v>
      </c>
      <c r="AY758" s="590">
        <f>IF(A22taxstdlife="n/a","n/a",IF(AY$3&gt;(A22taxstdlife+$E758),(('PTRM input'!$J$164+'PTRM input'!$J$130)*$J$7)-SUM($J758:AX758),(('PTRM input'!$J$164+'PTRM input'!$J$130)*$J$7)/A22taxstdlife))</f>
        <v>0</v>
      </c>
      <c r="AZ758" s="590">
        <f>IF(A22taxstdlife="n/a","n/a",IF(AZ$3&gt;(A22taxstdlife+$E758),(('PTRM input'!$J$164+'PTRM input'!$J$130)*$J$7)-SUM($J758:AY758),(('PTRM input'!$J$164+'PTRM input'!$J$130)*$J$7)/A22taxstdlife))</f>
        <v>0</v>
      </c>
      <c r="BA758" s="590">
        <f>IF(A22taxstdlife="n/a","n/a",IF(BA$3&gt;(A22taxstdlife+$E758),(('PTRM input'!$J$164+'PTRM input'!$J$130)*$J$7)-SUM($J758:AZ758),(('PTRM input'!$J$164+'PTRM input'!$J$130)*$J$7)/A22taxstdlife))</f>
        <v>0</v>
      </c>
      <c r="BB758" s="590">
        <f>IF(A22taxstdlife="n/a","n/a",IF(BB$3&gt;(A22taxstdlife+$E758),(('PTRM input'!$J$164+'PTRM input'!$J$130)*$J$7)-SUM($J758:BA758),(('PTRM input'!$J$164+'PTRM input'!$J$130)*$J$7)/A22taxstdlife))</f>
        <v>0</v>
      </c>
      <c r="BC758" s="590">
        <f>IF(A22taxstdlife="n/a","n/a",IF(BC$3&gt;(A22taxstdlife+$E758),(('PTRM input'!$J$164+'PTRM input'!$J$130)*$J$7)-SUM($J758:BB758),(('PTRM input'!$J$164+'PTRM input'!$J$130)*$J$7)/A22taxstdlife))</f>
        <v>0</v>
      </c>
      <c r="BD758" s="590">
        <f>IF(A22taxstdlife="n/a","n/a",IF(BD$3&gt;(A22taxstdlife+$E758),(('PTRM input'!$J$164+'PTRM input'!$J$130)*$J$7)-SUM($J758:BC758),(('PTRM input'!$J$164+'PTRM input'!$J$130)*$J$7)/A22taxstdlife))</f>
        <v>0</v>
      </c>
      <c r="BE758" s="590">
        <f>IF(A22taxstdlife="n/a","n/a",IF(BE$3&gt;(A22taxstdlife+$E758),(('PTRM input'!$J$164+'PTRM input'!$J$130)*$J$7)-SUM($J758:BD758),(('PTRM input'!$J$164+'PTRM input'!$J$130)*$J$7)/A22taxstdlife))</f>
        <v>0</v>
      </c>
      <c r="BF758" s="590">
        <f>IF(A22taxstdlife="n/a","n/a",IF(BF$3&gt;(A22taxstdlife+$E758),(('PTRM input'!$J$164+'PTRM input'!$J$130)*$J$7)-SUM($J758:BE758),(('PTRM input'!$J$164+'PTRM input'!$J$130)*$J$7)/A22taxstdlife))</f>
        <v>0</v>
      </c>
      <c r="BG758" s="590">
        <f>IF(A22taxstdlife="n/a","n/a",IF(BG$3&gt;(A22taxstdlife+$E758),(('PTRM input'!$J$164+'PTRM input'!$J$130)*$J$7)-SUM($J758:BF758),(('PTRM input'!$J$164+'PTRM input'!$J$130)*$J$7)/A22taxstdlife))</f>
        <v>0</v>
      </c>
      <c r="BH758" s="590">
        <f>IF(A22taxstdlife="n/a","n/a",IF(BH$3&gt;(A22taxstdlife+$E758),(('PTRM input'!$J$164+'PTRM input'!$J$130)*$J$7)-SUM($J758:BG758),(('PTRM input'!$J$164+'PTRM input'!$J$130)*$J$7)/A22taxstdlife))</f>
        <v>0</v>
      </c>
      <c r="BI758" s="590">
        <f>IF(A22taxstdlife="n/a","n/a",IF(BI$3&gt;(A22taxstdlife+$E758),(('PTRM input'!$J$164+'PTRM input'!$J$130)*$J$7)-SUM($J758:BH758),(('PTRM input'!$J$164+'PTRM input'!$J$130)*$J$7)/A22taxstdlife))</f>
        <v>0</v>
      </c>
      <c r="BJ758" s="240"/>
      <c r="BK758" s="240"/>
      <c r="BL758" s="240"/>
      <c r="BM758" s="240"/>
    </row>
    <row r="759" spans="1:65" s="4" customFormat="1" hidden="1" outlineLevel="2">
      <c r="A759" s="240"/>
      <c r="B759" s="240"/>
      <c r="C759" s="595"/>
      <c r="D759" s="1618"/>
      <c r="E759" s="169">
        <v>5</v>
      </c>
      <c r="F759" s="35"/>
      <c r="G759" s="184"/>
      <c r="H759" s="186"/>
      <c r="I759" s="186"/>
      <c r="J759" s="186"/>
      <c r="K759" s="185"/>
      <c r="L759" s="107">
        <f>IF(A22taxstdlife="n/a","n/a",IF(L$3&gt;(A22taxstdlife+$E759),(('PTRM input'!$K$164+'PTRM input'!$K$130)*$K$7)-SUM($K759:K759),(('PTRM input'!$K$164+'PTRM input'!$K$130)*$K$7)/A22taxstdlife))</f>
        <v>0</v>
      </c>
      <c r="M759" s="107">
        <f>IF(A22taxstdlife="n/a","n/a",IF(M$3&gt;(A22taxstdlife+$E759),(('PTRM input'!$K$164+'PTRM input'!$K$130)*$K$7)-SUM($K759:L759),(('PTRM input'!$K$164+'PTRM input'!$K$130)*$K$7)/A22taxstdlife))</f>
        <v>0</v>
      </c>
      <c r="N759" s="107">
        <f>IF(A22taxstdlife="n/a","n/a",IF(N$3&gt;(A22taxstdlife+$E759),(('PTRM input'!$K$164+'PTRM input'!$K$130)*$K$7)-SUM($K759:M759),(('PTRM input'!$K$164+'PTRM input'!$K$130)*$K$7)/A22taxstdlife))</f>
        <v>0</v>
      </c>
      <c r="O759" s="107">
        <f>IF(A22taxstdlife="n/a","n/a",IF(O$3&gt;(A22taxstdlife+$E759),(('PTRM input'!$K$164+'PTRM input'!$K$130)*$K$7)-SUM($K759:N759),(('PTRM input'!$K$164+'PTRM input'!$K$130)*$K$7)/A22taxstdlife))</f>
        <v>0</v>
      </c>
      <c r="P759" s="107">
        <f>IF(A22taxstdlife="n/a","n/a",IF(P$3&gt;(A22taxstdlife+$E759),(('PTRM input'!$K$164+'PTRM input'!$K$130)*$K$7)-SUM($K759:O759),(('PTRM input'!$K$164+'PTRM input'!$K$130)*$K$7)/A22taxstdlife))</f>
        <v>0</v>
      </c>
      <c r="Q759" s="590">
        <f>IF(A22taxstdlife="n/a","n/a",IF(Q$3&gt;(A22taxstdlife+$E759),(('PTRM input'!$K$164+'PTRM input'!$K$130)*$K$7)-SUM($K759:P759),(('PTRM input'!$K$164+'PTRM input'!$K$130)*$K$7)/A22taxstdlife))</f>
        <v>0</v>
      </c>
      <c r="R759" s="590">
        <f>IF(A22taxstdlife="n/a","n/a",IF(R$3&gt;(A22taxstdlife+$E759),(('PTRM input'!$K$164+'PTRM input'!$K$130)*$K$7)-SUM($K759:Q759),(('PTRM input'!$K$164+'PTRM input'!$K$130)*$K$7)/A22taxstdlife))</f>
        <v>0</v>
      </c>
      <c r="S759" s="590">
        <f>IF(A22taxstdlife="n/a","n/a",IF(S$3&gt;(A22taxstdlife+$E759),(('PTRM input'!$K$164+'PTRM input'!$K$130)*$K$7)-SUM($K759:R759),(('PTRM input'!$K$164+'PTRM input'!$K$130)*$K$7)/A22taxstdlife))</f>
        <v>0</v>
      </c>
      <c r="T759" s="590">
        <f>IF(A22taxstdlife="n/a","n/a",IF(T$3&gt;(A22taxstdlife+$E759),(('PTRM input'!$K$164+'PTRM input'!$K$130)*$K$7)-SUM($K759:S759),(('PTRM input'!$K$164+'PTRM input'!$K$130)*$K$7)/A22taxstdlife))</f>
        <v>0</v>
      </c>
      <c r="U759" s="590">
        <f>IF(A22taxstdlife="n/a","n/a",IF(U$3&gt;(A22taxstdlife+$E759),(('PTRM input'!$K$164+'PTRM input'!$K$130)*$K$7)-SUM($K759:T759),(('PTRM input'!$K$164+'PTRM input'!$K$130)*$K$7)/A22taxstdlife))</f>
        <v>0</v>
      </c>
      <c r="V759" s="590">
        <f>IF(A22taxstdlife="n/a","n/a",IF(V$3&gt;(A22taxstdlife+$E759),(('PTRM input'!$K$164+'PTRM input'!$K$130)*$K$7)-SUM($K759:U759),(('PTRM input'!$K$164+'PTRM input'!$K$130)*$K$7)/A22taxstdlife))</f>
        <v>0</v>
      </c>
      <c r="W759" s="590">
        <f>IF(A22taxstdlife="n/a","n/a",IF(W$3&gt;(A22taxstdlife+$E759),(('PTRM input'!$K$164+'PTRM input'!$K$130)*$K$7)-SUM($K759:V759),(('PTRM input'!$K$164+'PTRM input'!$K$130)*$K$7)/A22taxstdlife))</f>
        <v>0</v>
      </c>
      <c r="X759" s="590">
        <f>IF(A22taxstdlife="n/a","n/a",IF(X$3&gt;(A22taxstdlife+$E759),(('PTRM input'!$K$164+'PTRM input'!$K$130)*$K$7)-SUM($K759:W759),(('PTRM input'!$K$164+'PTRM input'!$K$130)*$K$7)/A22taxstdlife))</f>
        <v>0</v>
      </c>
      <c r="Y759" s="590">
        <f>IF(A22taxstdlife="n/a","n/a",IF(Y$3&gt;(A22taxstdlife+$E759),(('PTRM input'!$K$164+'PTRM input'!$K$130)*$K$7)-SUM($K759:X759),(('PTRM input'!$K$164+'PTRM input'!$K$130)*$K$7)/A22taxstdlife))</f>
        <v>0</v>
      </c>
      <c r="Z759" s="590">
        <f>IF(A22taxstdlife="n/a","n/a",IF(Z$3&gt;(A22taxstdlife+$E759),(('PTRM input'!$K$164+'PTRM input'!$K$130)*$K$7)-SUM($K759:Y759),(('PTRM input'!$K$164+'PTRM input'!$K$130)*$K$7)/A22taxstdlife))</f>
        <v>0</v>
      </c>
      <c r="AA759" s="590">
        <f>IF(A22taxstdlife="n/a","n/a",IF(AA$3&gt;(A22taxstdlife+$E759),(('PTRM input'!$K$164+'PTRM input'!$K$130)*$K$7)-SUM($K759:Z759),(('PTRM input'!$K$164+'PTRM input'!$K$130)*$K$7)/A22taxstdlife))</f>
        <v>0</v>
      </c>
      <c r="AB759" s="590">
        <f>IF(A22taxstdlife="n/a","n/a",IF(AB$3&gt;(A22taxstdlife+$E759),(('PTRM input'!$K$164+'PTRM input'!$K$130)*$K$7)-SUM($K759:AA759),(('PTRM input'!$K$164+'PTRM input'!$K$130)*$K$7)/A22taxstdlife))</f>
        <v>0</v>
      </c>
      <c r="AC759" s="590">
        <f>IF(A22taxstdlife="n/a","n/a",IF(AC$3&gt;(A22taxstdlife+$E759),(('PTRM input'!$K$164+'PTRM input'!$K$130)*$K$7)-SUM($K759:AB759),(('PTRM input'!$K$164+'PTRM input'!$K$130)*$K$7)/A22taxstdlife))</f>
        <v>0</v>
      </c>
      <c r="AD759" s="590">
        <f>IF(A22taxstdlife="n/a","n/a",IF(AD$3&gt;(A22taxstdlife+$E759),(('PTRM input'!$K$164+'PTRM input'!$K$130)*$K$7)-SUM($K759:AC759),(('PTRM input'!$K$164+'PTRM input'!$K$130)*$K$7)/A22taxstdlife))</f>
        <v>0</v>
      </c>
      <c r="AE759" s="590">
        <f>IF(A22taxstdlife="n/a","n/a",IF(AE$3&gt;(A22taxstdlife+$E759),(('PTRM input'!$K$164+'PTRM input'!$K$130)*$K$7)-SUM($K759:AD759),(('PTRM input'!$K$164+'PTRM input'!$K$130)*$K$7)/A22taxstdlife))</f>
        <v>0</v>
      </c>
      <c r="AF759" s="590">
        <f>IF(A22taxstdlife="n/a","n/a",IF(AF$3&gt;(A22taxstdlife+$E759),(('PTRM input'!$K$164+'PTRM input'!$K$130)*$K$7)-SUM($K759:AE759),(('PTRM input'!$K$164+'PTRM input'!$K$130)*$K$7)/A22taxstdlife))</f>
        <v>0</v>
      </c>
      <c r="AG759" s="590">
        <f>IF(A22taxstdlife="n/a","n/a",IF(AG$3&gt;(A22taxstdlife+$E759),(('PTRM input'!$K$164+'PTRM input'!$K$130)*$K$7)-SUM($K759:AF759),(('PTRM input'!$K$164+'PTRM input'!$K$130)*$K$7)/A22taxstdlife))</f>
        <v>0</v>
      </c>
      <c r="AH759" s="590">
        <f>IF(A22taxstdlife="n/a","n/a",IF(AH$3&gt;(A22taxstdlife+$E759),(('PTRM input'!$K$164+'PTRM input'!$K$130)*$K$7)-SUM($K759:AG759),(('PTRM input'!$K$164+'PTRM input'!$K$130)*$K$7)/A22taxstdlife))</f>
        <v>0</v>
      </c>
      <c r="AI759" s="590">
        <f>IF(A22taxstdlife="n/a","n/a",IF(AI$3&gt;(A22taxstdlife+$E759),(('PTRM input'!$K$164+'PTRM input'!$K$130)*$K$7)-SUM($K759:AH759),(('PTRM input'!$K$164+'PTRM input'!$K$130)*$K$7)/A22taxstdlife))</f>
        <v>0</v>
      </c>
      <c r="AJ759" s="590">
        <f>IF(A22taxstdlife="n/a","n/a",IF(AJ$3&gt;(A22taxstdlife+$E759),(('PTRM input'!$K$164+'PTRM input'!$K$130)*$K$7)-SUM($K759:AI759),(('PTRM input'!$K$164+'PTRM input'!$K$130)*$K$7)/A22taxstdlife))</f>
        <v>0</v>
      </c>
      <c r="AK759" s="590">
        <f>IF(A22taxstdlife="n/a","n/a",IF(AK$3&gt;(A22taxstdlife+$E759),(('PTRM input'!$K$164+'PTRM input'!$K$130)*$K$7)-SUM($K759:AJ759),(('PTRM input'!$K$164+'PTRM input'!$K$130)*$K$7)/A22taxstdlife))</f>
        <v>0</v>
      </c>
      <c r="AL759" s="590">
        <f>IF(A22taxstdlife="n/a","n/a",IF(AL$3&gt;(A22taxstdlife+$E759),(('PTRM input'!$K$164+'PTRM input'!$K$130)*$K$7)-SUM($K759:AK759),(('PTRM input'!$K$164+'PTRM input'!$K$130)*$K$7)/A22taxstdlife))</f>
        <v>0</v>
      </c>
      <c r="AM759" s="590">
        <f>IF(A22taxstdlife="n/a","n/a",IF(AM$3&gt;(A22taxstdlife+$E759),(('PTRM input'!$K$164+'PTRM input'!$K$130)*$K$7)-SUM($K759:AL759),(('PTRM input'!$K$164+'PTRM input'!$K$130)*$K$7)/A22taxstdlife))</f>
        <v>0</v>
      </c>
      <c r="AN759" s="590">
        <f>IF(A22taxstdlife="n/a","n/a",IF(AN$3&gt;(A22taxstdlife+$E759),(('PTRM input'!$K$164+'PTRM input'!$K$130)*$K$7)-SUM($K759:AM759),(('PTRM input'!$K$164+'PTRM input'!$K$130)*$K$7)/A22taxstdlife))</f>
        <v>0</v>
      </c>
      <c r="AO759" s="590">
        <f>IF(A22taxstdlife="n/a","n/a",IF(AO$3&gt;(A22taxstdlife+$E759),(('PTRM input'!$K$164+'PTRM input'!$K$130)*$K$7)-SUM($K759:AN759),(('PTRM input'!$K$164+'PTRM input'!$K$130)*$K$7)/A22taxstdlife))</f>
        <v>0</v>
      </c>
      <c r="AP759" s="590">
        <f>IF(A22taxstdlife="n/a","n/a",IF(AP$3&gt;(A22taxstdlife+$E759),(('PTRM input'!$K$164+'PTRM input'!$K$130)*$K$7)-SUM($K759:AO759),(('PTRM input'!$K$164+'PTRM input'!$K$130)*$K$7)/A22taxstdlife))</f>
        <v>0</v>
      </c>
      <c r="AQ759" s="590">
        <f>IF(A22taxstdlife="n/a","n/a",IF(AQ$3&gt;(A22taxstdlife+$E759),(('PTRM input'!$K$164+'PTRM input'!$K$130)*$K$7)-SUM($K759:AP759),(('PTRM input'!$K$164+'PTRM input'!$K$130)*$K$7)/A22taxstdlife))</f>
        <v>0</v>
      </c>
      <c r="AR759" s="590">
        <f>IF(A22taxstdlife="n/a","n/a",IF(AR$3&gt;(A22taxstdlife+$E759),(('PTRM input'!$K$164+'PTRM input'!$K$130)*$K$7)-SUM($K759:AQ759),(('PTRM input'!$K$164+'PTRM input'!$K$130)*$K$7)/A22taxstdlife))</f>
        <v>0</v>
      </c>
      <c r="AS759" s="590">
        <f>IF(A22taxstdlife="n/a","n/a",IF(AS$3&gt;(A22taxstdlife+$E759),(('PTRM input'!$K$164+'PTRM input'!$K$130)*$K$7)-SUM($K759:AR759),(('PTRM input'!$K$164+'PTRM input'!$K$130)*$K$7)/A22taxstdlife))</f>
        <v>0</v>
      </c>
      <c r="AT759" s="590">
        <f>IF(A22taxstdlife="n/a","n/a",IF(AT$3&gt;(A22taxstdlife+$E759),(('PTRM input'!$K$164+'PTRM input'!$K$130)*$K$7)-SUM($K759:AS759),(('PTRM input'!$K$164+'PTRM input'!$K$130)*$K$7)/A22taxstdlife))</f>
        <v>0</v>
      </c>
      <c r="AU759" s="590">
        <f>IF(A22taxstdlife="n/a","n/a",IF(AU$3&gt;(A22taxstdlife+$E759),(('PTRM input'!$K$164+'PTRM input'!$K$130)*$K$7)-SUM($K759:AT759),(('PTRM input'!$K$164+'PTRM input'!$K$130)*$K$7)/A22taxstdlife))</f>
        <v>0</v>
      </c>
      <c r="AV759" s="590">
        <f>IF(A22taxstdlife="n/a","n/a",IF(AV$3&gt;(A22taxstdlife+$E759),(('PTRM input'!$K$164+'PTRM input'!$K$130)*$K$7)-SUM($K759:AU759),(('PTRM input'!$K$164+'PTRM input'!$K$130)*$K$7)/A22taxstdlife))</f>
        <v>0</v>
      </c>
      <c r="AW759" s="590">
        <f>IF(A22taxstdlife="n/a","n/a",IF(AW$3&gt;(A22taxstdlife+$E759),(('PTRM input'!$K$164+'PTRM input'!$K$130)*$K$7)-SUM($K759:AV759),(('PTRM input'!$K$164+'PTRM input'!$K$130)*$K$7)/A22taxstdlife))</f>
        <v>0</v>
      </c>
      <c r="AX759" s="590">
        <f>IF(A22taxstdlife="n/a","n/a",IF(AX$3&gt;(A22taxstdlife+$E759),(('PTRM input'!$K$164+'PTRM input'!$K$130)*$K$7)-SUM($K759:AW759),(('PTRM input'!$K$164+'PTRM input'!$K$130)*$K$7)/A22taxstdlife))</f>
        <v>0</v>
      </c>
      <c r="AY759" s="590">
        <f>IF(A22taxstdlife="n/a","n/a",IF(AY$3&gt;(A22taxstdlife+$E759),(('PTRM input'!$K$164+'PTRM input'!$K$130)*$K$7)-SUM($K759:AX759),(('PTRM input'!$K$164+'PTRM input'!$K$130)*$K$7)/A22taxstdlife))</f>
        <v>0</v>
      </c>
      <c r="AZ759" s="590">
        <f>IF(A22taxstdlife="n/a","n/a",IF(AZ$3&gt;(A22taxstdlife+$E759),(('PTRM input'!$K$164+'PTRM input'!$K$130)*$K$7)-SUM($K759:AY759),(('PTRM input'!$K$164+'PTRM input'!$K$130)*$K$7)/A22taxstdlife))</f>
        <v>0</v>
      </c>
      <c r="BA759" s="590">
        <f>IF(A22taxstdlife="n/a","n/a",IF(BA$3&gt;(A22taxstdlife+$E759),(('PTRM input'!$K$164+'PTRM input'!$K$130)*$K$7)-SUM($K759:AZ759),(('PTRM input'!$K$164+'PTRM input'!$K$130)*$K$7)/A22taxstdlife))</f>
        <v>0</v>
      </c>
      <c r="BB759" s="590">
        <f>IF(A22taxstdlife="n/a","n/a",IF(BB$3&gt;(A22taxstdlife+$E759),(('PTRM input'!$K$164+'PTRM input'!$K$130)*$K$7)-SUM($K759:BA759),(('PTRM input'!$K$164+'PTRM input'!$K$130)*$K$7)/A22taxstdlife))</f>
        <v>0</v>
      </c>
      <c r="BC759" s="590">
        <f>IF(A22taxstdlife="n/a","n/a",IF(BC$3&gt;(A22taxstdlife+$E759),(('PTRM input'!$K$164+'PTRM input'!$K$130)*$K$7)-SUM($K759:BB759),(('PTRM input'!$K$164+'PTRM input'!$K$130)*$K$7)/A22taxstdlife))</f>
        <v>0</v>
      </c>
      <c r="BD759" s="590">
        <f>IF(A22taxstdlife="n/a","n/a",IF(BD$3&gt;(A22taxstdlife+$E759),(('PTRM input'!$K$164+'PTRM input'!$K$130)*$K$7)-SUM($K759:BC759),(('PTRM input'!$K$164+'PTRM input'!$K$130)*$K$7)/A22taxstdlife))</f>
        <v>0</v>
      </c>
      <c r="BE759" s="590">
        <f>IF(A22taxstdlife="n/a","n/a",IF(BE$3&gt;(A22taxstdlife+$E759),(('PTRM input'!$K$164+'PTRM input'!$K$130)*$K$7)-SUM($K759:BD759),(('PTRM input'!$K$164+'PTRM input'!$K$130)*$K$7)/A22taxstdlife))</f>
        <v>0</v>
      </c>
      <c r="BF759" s="590">
        <f>IF(A22taxstdlife="n/a","n/a",IF(BF$3&gt;(A22taxstdlife+$E759),(('PTRM input'!$K$164+'PTRM input'!$K$130)*$K$7)-SUM($K759:BE759),(('PTRM input'!$K$164+'PTRM input'!$K$130)*$K$7)/A22taxstdlife))</f>
        <v>0</v>
      </c>
      <c r="BG759" s="590">
        <f>IF(A22taxstdlife="n/a","n/a",IF(BG$3&gt;(A22taxstdlife+$E759),(('PTRM input'!$K$164+'PTRM input'!$K$130)*$K$7)-SUM($K759:BF759),(('PTRM input'!$K$164+'PTRM input'!$K$130)*$K$7)/A22taxstdlife))</f>
        <v>0</v>
      </c>
      <c r="BH759" s="590">
        <f>IF(A22taxstdlife="n/a","n/a",IF(BH$3&gt;(A22taxstdlife+$E759),(('PTRM input'!$K$164+'PTRM input'!$K$130)*$K$7)-SUM($K759:BG759),(('PTRM input'!$K$164+'PTRM input'!$K$130)*$K$7)/A22taxstdlife))</f>
        <v>0</v>
      </c>
      <c r="BI759" s="590">
        <f>IF(A22taxstdlife="n/a","n/a",IF(BI$3&gt;(A22taxstdlife+$E759),(('PTRM input'!$K$164+'PTRM input'!$K$130)*$K$7)-SUM($K759:BH759),(('PTRM input'!$K$164+'PTRM input'!$K$130)*$K$7)/A22taxstdlife))</f>
        <v>0</v>
      </c>
      <c r="BJ759" s="240"/>
      <c r="BK759" s="240"/>
      <c r="BL759" s="240"/>
      <c r="BM759" s="240"/>
    </row>
    <row r="760" spans="1:65" s="4" customFormat="1" hidden="1" outlineLevel="2">
      <c r="A760" s="240"/>
      <c r="B760" s="240"/>
      <c r="C760" s="595"/>
      <c r="D760" s="1618"/>
      <c r="E760" s="169">
        <v>6</v>
      </c>
      <c r="F760" s="35"/>
      <c r="G760" s="184"/>
      <c r="H760" s="186"/>
      <c r="I760" s="186"/>
      <c r="J760" s="186"/>
      <c r="K760" s="186"/>
      <c r="L760" s="185"/>
      <c r="M760" s="107">
        <f>IF(A22taxstdlife="n/a","n/a",IF(M$3&gt;(A22taxstdlife+$E760),(('PTRM input'!$L$164+'PTRM input'!$L$130)*$L$7)-SUM($L760:L760),(('PTRM input'!$L$164+'PTRM input'!$L$130)*$L$7)/A22taxstdlife))</f>
        <v>0</v>
      </c>
      <c r="N760" s="107">
        <f>IF(A22taxstdlife="n/a","n/a",IF(N$3&gt;(A22taxstdlife+$E760),(('PTRM input'!$L$164+'PTRM input'!$L$130)*$L$7)-SUM($L760:M760),(('PTRM input'!$L$164+'PTRM input'!$L$130)*$L$7)/A22taxstdlife))</f>
        <v>0</v>
      </c>
      <c r="O760" s="107">
        <f>IF(A22taxstdlife="n/a","n/a",IF(O$3&gt;(A22taxstdlife+$E760),(('PTRM input'!$L$164+'PTRM input'!$L$130)*$L$7)-SUM($L760:N760),(('PTRM input'!$L$164+'PTRM input'!$L$130)*$L$7)/A22taxstdlife))</f>
        <v>0</v>
      </c>
      <c r="P760" s="107">
        <f>IF(A22taxstdlife="n/a","n/a",IF(P$3&gt;(A22taxstdlife+$E760),(('PTRM input'!$L$164+'PTRM input'!$L$130)*$L$7)-SUM($L760:O760),(('PTRM input'!$L$164+'PTRM input'!$L$130)*$L$7)/A22taxstdlife))</f>
        <v>0</v>
      </c>
      <c r="Q760" s="590">
        <f>IF(A22taxstdlife="n/a","n/a",IF(Q$3&gt;(A22taxstdlife+$E760),(('PTRM input'!$L$164+'PTRM input'!$L$130)*$L$7)-SUM($L760:P760),(('PTRM input'!$L$164+'PTRM input'!$L$130)*$L$7)/A22taxstdlife))</f>
        <v>0</v>
      </c>
      <c r="R760" s="590">
        <f>IF(A22taxstdlife="n/a","n/a",IF(R$3&gt;(A22taxstdlife+$E760),(('PTRM input'!$L$164+'PTRM input'!$L$130)*$L$7)-SUM($L760:Q760),(('PTRM input'!$L$164+'PTRM input'!$L$130)*$L$7)/A22taxstdlife))</f>
        <v>0</v>
      </c>
      <c r="S760" s="590">
        <f>IF(A22taxstdlife="n/a","n/a",IF(S$3&gt;(A22taxstdlife+$E760),(('PTRM input'!$L$164+'PTRM input'!$L$130)*$L$7)-SUM($L760:R760),(('PTRM input'!$L$164+'PTRM input'!$L$130)*$L$7)/A22taxstdlife))</f>
        <v>0</v>
      </c>
      <c r="T760" s="590">
        <f>IF(A22taxstdlife="n/a","n/a",IF(T$3&gt;(A22taxstdlife+$E760),(('PTRM input'!$L$164+'PTRM input'!$L$130)*$L$7)-SUM($L760:S760),(('PTRM input'!$L$164+'PTRM input'!$L$130)*$L$7)/A22taxstdlife))</f>
        <v>0</v>
      </c>
      <c r="U760" s="590">
        <f>IF(A22taxstdlife="n/a","n/a",IF(U$3&gt;(A22taxstdlife+$E760),(('PTRM input'!$L$164+'PTRM input'!$L$130)*$L$7)-SUM($L760:T760),(('PTRM input'!$L$164+'PTRM input'!$L$130)*$L$7)/A22taxstdlife))</f>
        <v>0</v>
      </c>
      <c r="V760" s="590">
        <f>IF(A22taxstdlife="n/a","n/a",IF(V$3&gt;(A22taxstdlife+$E760),(('PTRM input'!$L$164+'PTRM input'!$L$130)*$L$7)-SUM($L760:U760),(('PTRM input'!$L$164+'PTRM input'!$L$130)*$L$7)/A22taxstdlife))</f>
        <v>0</v>
      </c>
      <c r="W760" s="590">
        <f>IF(A22taxstdlife="n/a","n/a",IF(W$3&gt;(A22taxstdlife+$E760),(('PTRM input'!$L$164+'PTRM input'!$L$130)*$L$7)-SUM($L760:V760),(('PTRM input'!$L$164+'PTRM input'!$L$130)*$L$7)/A22taxstdlife))</f>
        <v>0</v>
      </c>
      <c r="X760" s="590">
        <f>IF(A22taxstdlife="n/a","n/a",IF(X$3&gt;(A22taxstdlife+$E760),(('PTRM input'!$L$164+'PTRM input'!$L$130)*$L$7)-SUM($L760:W760),(('PTRM input'!$L$164+'PTRM input'!$L$130)*$L$7)/A22taxstdlife))</f>
        <v>0</v>
      </c>
      <c r="Y760" s="590">
        <f>IF(A22taxstdlife="n/a","n/a",IF(Y$3&gt;(A22taxstdlife+$E760),(('PTRM input'!$L$164+'PTRM input'!$L$130)*$L$7)-SUM($L760:X760),(('PTRM input'!$L$164+'PTRM input'!$L$130)*$L$7)/A22taxstdlife))</f>
        <v>0</v>
      </c>
      <c r="Z760" s="590">
        <f>IF(A22taxstdlife="n/a","n/a",IF(Z$3&gt;(A22taxstdlife+$E760),(('PTRM input'!$L$164+'PTRM input'!$L$130)*$L$7)-SUM($L760:Y760),(('PTRM input'!$L$164+'PTRM input'!$L$130)*$L$7)/A22taxstdlife))</f>
        <v>0</v>
      </c>
      <c r="AA760" s="590">
        <f>IF(A22taxstdlife="n/a","n/a",IF(AA$3&gt;(A22taxstdlife+$E760),(('PTRM input'!$L$164+'PTRM input'!$L$130)*$L$7)-SUM($L760:Z760),(('PTRM input'!$L$164+'PTRM input'!$L$130)*$L$7)/A22taxstdlife))</f>
        <v>0</v>
      </c>
      <c r="AB760" s="590">
        <f>IF(A22taxstdlife="n/a","n/a",IF(AB$3&gt;(A22taxstdlife+$E760),(('PTRM input'!$L$164+'PTRM input'!$L$130)*$L$7)-SUM($L760:AA760),(('PTRM input'!$L$164+'PTRM input'!$L$130)*$L$7)/A22taxstdlife))</f>
        <v>0</v>
      </c>
      <c r="AC760" s="590">
        <f>IF(A22taxstdlife="n/a","n/a",IF(AC$3&gt;(A22taxstdlife+$E760),(('PTRM input'!$L$164+'PTRM input'!$L$130)*$L$7)-SUM($L760:AB760),(('PTRM input'!$L$164+'PTRM input'!$L$130)*$L$7)/A22taxstdlife))</f>
        <v>0</v>
      </c>
      <c r="AD760" s="590">
        <f>IF(A22taxstdlife="n/a","n/a",IF(AD$3&gt;(A22taxstdlife+$E760),(('PTRM input'!$L$164+'PTRM input'!$L$130)*$L$7)-SUM($L760:AC760),(('PTRM input'!$L$164+'PTRM input'!$L$130)*$L$7)/A22taxstdlife))</f>
        <v>0</v>
      </c>
      <c r="AE760" s="590">
        <f>IF(A22taxstdlife="n/a","n/a",IF(AE$3&gt;(A22taxstdlife+$E760),(('PTRM input'!$L$164+'PTRM input'!$L$130)*$L$7)-SUM($L760:AD760),(('PTRM input'!$L$164+'PTRM input'!$L$130)*$L$7)/A22taxstdlife))</f>
        <v>0</v>
      </c>
      <c r="AF760" s="590">
        <f>IF(A22taxstdlife="n/a","n/a",IF(AF$3&gt;(A22taxstdlife+$E760),(('PTRM input'!$L$164+'PTRM input'!$L$130)*$L$7)-SUM($L760:AE760),(('PTRM input'!$L$164+'PTRM input'!$L$130)*$L$7)/A22taxstdlife))</f>
        <v>0</v>
      </c>
      <c r="AG760" s="590">
        <f>IF(A22taxstdlife="n/a","n/a",IF(AG$3&gt;(A22taxstdlife+$E760),(('PTRM input'!$L$164+'PTRM input'!$L$130)*$L$7)-SUM($L760:AF760),(('PTRM input'!$L$164+'PTRM input'!$L$130)*$L$7)/A22taxstdlife))</f>
        <v>0</v>
      </c>
      <c r="AH760" s="590">
        <f>IF(A22taxstdlife="n/a","n/a",IF(AH$3&gt;(A22taxstdlife+$E760),(('PTRM input'!$L$164+'PTRM input'!$L$130)*$L$7)-SUM($L760:AG760),(('PTRM input'!$L$164+'PTRM input'!$L$130)*$L$7)/A22taxstdlife))</f>
        <v>0</v>
      </c>
      <c r="AI760" s="590">
        <f>IF(A22taxstdlife="n/a","n/a",IF(AI$3&gt;(A22taxstdlife+$E760),(('PTRM input'!$L$164+'PTRM input'!$L$130)*$L$7)-SUM($L760:AH760),(('PTRM input'!$L$164+'PTRM input'!$L$130)*$L$7)/A22taxstdlife))</f>
        <v>0</v>
      </c>
      <c r="AJ760" s="590">
        <f>IF(A22taxstdlife="n/a","n/a",IF(AJ$3&gt;(A22taxstdlife+$E760),(('PTRM input'!$L$164+'PTRM input'!$L$130)*$L$7)-SUM($L760:AI760),(('PTRM input'!$L$164+'PTRM input'!$L$130)*$L$7)/A22taxstdlife))</f>
        <v>0</v>
      </c>
      <c r="AK760" s="590">
        <f>IF(A22taxstdlife="n/a","n/a",IF(AK$3&gt;(A22taxstdlife+$E760),(('PTRM input'!$L$164+'PTRM input'!$L$130)*$L$7)-SUM($L760:AJ760),(('PTRM input'!$L$164+'PTRM input'!$L$130)*$L$7)/A22taxstdlife))</f>
        <v>0</v>
      </c>
      <c r="AL760" s="590">
        <f>IF(A22taxstdlife="n/a","n/a",IF(AL$3&gt;(A22taxstdlife+$E760),(('PTRM input'!$L$164+'PTRM input'!$L$130)*$L$7)-SUM($L760:AK760),(('PTRM input'!$L$164+'PTRM input'!$L$130)*$L$7)/A22taxstdlife))</f>
        <v>0</v>
      </c>
      <c r="AM760" s="590">
        <f>IF(A22taxstdlife="n/a","n/a",IF(AM$3&gt;(A22taxstdlife+$E760),(('PTRM input'!$L$164+'PTRM input'!$L$130)*$L$7)-SUM($L760:AL760),(('PTRM input'!$L$164+'PTRM input'!$L$130)*$L$7)/A22taxstdlife))</f>
        <v>0</v>
      </c>
      <c r="AN760" s="590">
        <f>IF(A22taxstdlife="n/a","n/a",IF(AN$3&gt;(A22taxstdlife+$E760),(('PTRM input'!$L$164+'PTRM input'!$L$130)*$L$7)-SUM($L760:AM760),(('PTRM input'!$L$164+'PTRM input'!$L$130)*$L$7)/A22taxstdlife))</f>
        <v>0</v>
      </c>
      <c r="AO760" s="590">
        <f>IF(A22taxstdlife="n/a","n/a",IF(AO$3&gt;(A22taxstdlife+$E760),(('PTRM input'!$L$164+'PTRM input'!$L$130)*$L$7)-SUM($L760:AN760),(('PTRM input'!$L$164+'PTRM input'!$L$130)*$L$7)/A22taxstdlife))</f>
        <v>0</v>
      </c>
      <c r="AP760" s="590">
        <f>IF(A22taxstdlife="n/a","n/a",IF(AP$3&gt;(A22taxstdlife+$E760),(('PTRM input'!$L$164+'PTRM input'!$L$130)*$L$7)-SUM($L760:AO760),(('PTRM input'!$L$164+'PTRM input'!$L$130)*$L$7)/A22taxstdlife))</f>
        <v>0</v>
      </c>
      <c r="AQ760" s="590">
        <f>IF(A22taxstdlife="n/a","n/a",IF(AQ$3&gt;(A22taxstdlife+$E760),(('PTRM input'!$L$164+'PTRM input'!$L$130)*$L$7)-SUM($L760:AP760),(('PTRM input'!$L$164+'PTRM input'!$L$130)*$L$7)/A22taxstdlife))</f>
        <v>0</v>
      </c>
      <c r="AR760" s="590">
        <f>IF(A22taxstdlife="n/a","n/a",IF(AR$3&gt;(A22taxstdlife+$E760),(('PTRM input'!$L$164+'PTRM input'!$L$130)*$L$7)-SUM($L760:AQ760),(('PTRM input'!$L$164+'PTRM input'!$L$130)*$L$7)/A22taxstdlife))</f>
        <v>0</v>
      </c>
      <c r="AS760" s="590">
        <f>IF(A22taxstdlife="n/a","n/a",IF(AS$3&gt;(A22taxstdlife+$E760),(('PTRM input'!$L$164+'PTRM input'!$L$130)*$L$7)-SUM($L760:AR760),(('PTRM input'!$L$164+'PTRM input'!$L$130)*$L$7)/A22taxstdlife))</f>
        <v>0</v>
      </c>
      <c r="AT760" s="590">
        <f>IF(A22taxstdlife="n/a","n/a",IF(AT$3&gt;(A22taxstdlife+$E760),(('PTRM input'!$L$164+'PTRM input'!$L$130)*$L$7)-SUM($L760:AS760),(('PTRM input'!$L$164+'PTRM input'!$L$130)*$L$7)/A22taxstdlife))</f>
        <v>0</v>
      </c>
      <c r="AU760" s="590">
        <f>IF(A22taxstdlife="n/a","n/a",IF(AU$3&gt;(A22taxstdlife+$E760),(('PTRM input'!$L$164+'PTRM input'!$L$130)*$L$7)-SUM($L760:AT760),(('PTRM input'!$L$164+'PTRM input'!$L$130)*$L$7)/A22taxstdlife))</f>
        <v>0</v>
      </c>
      <c r="AV760" s="590">
        <f>IF(A22taxstdlife="n/a","n/a",IF(AV$3&gt;(A22taxstdlife+$E760),(('PTRM input'!$L$164+'PTRM input'!$L$130)*$L$7)-SUM($L760:AU760),(('PTRM input'!$L$164+'PTRM input'!$L$130)*$L$7)/A22taxstdlife))</f>
        <v>0</v>
      </c>
      <c r="AW760" s="590">
        <f>IF(A22taxstdlife="n/a","n/a",IF(AW$3&gt;(A22taxstdlife+$E760),(('PTRM input'!$L$164+'PTRM input'!$L$130)*$L$7)-SUM($L760:AV760),(('PTRM input'!$L$164+'PTRM input'!$L$130)*$L$7)/A22taxstdlife))</f>
        <v>0</v>
      </c>
      <c r="AX760" s="590">
        <f>IF(A22taxstdlife="n/a","n/a",IF(AX$3&gt;(A22taxstdlife+$E760),(('PTRM input'!$L$164+'PTRM input'!$L$130)*$L$7)-SUM($L760:AW760),(('PTRM input'!$L$164+'PTRM input'!$L$130)*$L$7)/A22taxstdlife))</f>
        <v>0</v>
      </c>
      <c r="AY760" s="590">
        <f>IF(A22taxstdlife="n/a","n/a",IF(AY$3&gt;(A22taxstdlife+$E760),(('PTRM input'!$L$164+'PTRM input'!$L$130)*$L$7)-SUM($L760:AX760),(('PTRM input'!$L$164+'PTRM input'!$L$130)*$L$7)/A22taxstdlife))</f>
        <v>0</v>
      </c>
      <c r="AZ760" s="590">
        <f>IF(A22taxstdlife="n/a","n/a",IF(AZ$3&gt;(A22taxstdlife+$E760),(('PTRM input'!$L$164+'PTRM input'!$L$130)*$L$7)-SUM($L760:AY760),(('PTRM input'!$L$164+'PTRM input'!$L$130)*$L$7)/A22taxstdlife))</f>
        <v>0</v>
      </c>
      <c r="BA760" s="590">
        <f>IF(A22taxstdlife="n/a","n/a",IF(BA$3&gt;(A22taxstdlife+$E760),(('PTRM input'!$L$164+'PTRM input'!$L$130)*$L$7)-SUM($L760:AZ760),(('PTRM input'!$L$164+'PTRM input'!$L$130)*$L$7)/A22taxstdlife))</f>
        <v>0</v>
      </c>
      <c r="BB760" s="590">
        <f>IF(A22taxstdlife="n/a","n/a",IF(BB$3&gt;(A22taxstdlife+$E760),(('PTRM input'!$L$164+'PTRM input'!$L$130)*$L$7)-SUM($L760:BA760),(('PTRM input'!$L$164+'PTRM input'!$L$130)*$L$7)/A22taxstdlife))</f>
        <v>0</v>
      </c>
      <c r="BC760" s="590">
        <f>IF(A22taxstdlife="n/a","n/a",IF(BC$3&gt;(A22taxstdlife+$E760),(('PTRM input'!$L$164+'PTRM input'!$L$130)*$L$7)-SUM($L760:BB760),(('PTRM input'!$L$164+'PTRM input'!$L$130)*$L$7)/A22taxstdlife))</f>
        <v>0</v>
      </c>
      <c r="BD760" s="590">
        <f>IF(A22taxstdlife="n/a","n/a",IF(BD$3&gt;(A22taxstdlife+$E760),(('PTRM input'!$L$164+'PTRM input'!$L$130)*$L$7)-SUM($L760:BC760),(('PTRM input'!$L$164+'PTRM input'!$L$130)*$L$7)/A22taxstdlife))</f>
        <v>0</v>
      </c>
      <c r="BE760" s="590">
        <f>IF(A22taxstdlife="n/a","n/a",IF(BE$3&gt;(A22taxstdlife+$E760),(('PTRM input'!$L$164+'PTRM input'!$L$130)*$L$7)-SUM($L760:BD760),(('PTRM input'!$L$164+'PTRM input'!$L$130)*$L$7)/A22taxstdlife))</f>
        <v>0</v>
      </c>
      <c r="BF760" s="590">
        <f>IF(A22taxstdlife="n/a","n/a",IF(BF$3&gt;(A22taxstdlife+$E760),(('PTRM input'!$L$164+'PTRM input'!$L$130)*$L$7)-SUM($L760:BE760),(('PTRM input'!$L$164+'PTRM input'!$L$130)*$L$7)/A22taxstdlife))</f>
        <v>0</v>
      </c>
      <c r="BG760" s="590">
        <f>IF(A22taxstdlife="n/a","n/a",IF(BG$3&gt;(A22taxstdlife+$E760),(('PTRM input'!$L$164+'PTRM input'!$L$130)*$L$7)-SUM($L760:BF760),(('PTRM input'!$L$164+'PTRM input'!$L$130)*$L$7)/A22taxstdlife))</f>
        <v>0</v>
      </c>
      <c r="BH760" s="590">
        <f>IF(A22taxstdlife="n/a","n/a",IF(BH$3&gt;(A22taxstdlife+$E760),(('PTRM input'!$L$164+'PTRM input'!$L$130)*$L$7)-SUM($L760:BG760),(('PTRM input'!$L$164+'PTRM input'!$L$130)*$L$7)/A22taxstdlife))</f>
        <v>0</v>
      </c>
      <c r="BI760" s="590">
        <f>IF(A22taxstdlife="n/a","n/a",IF(BI$3&gt;(A22taxstdlife+$E760),(('PTRM input'!$L$164+'PTRM input'!$L$130)*$L$7)-SUM($L760:BH760),(('PTRM input'!$L$164+'PTRM input'!$L$130)*$L$7)/A22taxstdlife))</f>
        <v>0</v>
      </c>
      <c r="BJ760" s="240"/>
      <c r="BK760" s="240"/>
      <c r="BL760" s="240"/>
      <c r="BM760" s="240"/>
    </row>
    <row r="761" spans="1:65" s="4" customFormat="1" hidden="1" outlineLevel="2">
      <c r="A761" s="240"/>
      <c r="B761" s="240"/>
      <c r="C761" s="595"/>
      <c r="D761" s="1618"/>
      <c r="E761" s="169">
        <v>7</v>
      </c>
      <c r="F761" s="35"/>
      <c r="G761" s="184"/>
      <c r="H761" s="186"/>
      <c r="I761" s="186"/>
      <c r="J761" s="186"/>
      <c r="K761" s="186"/>
      <c r="L761" s="186"/>
      <c r="M761" s="185"/>
      <c r="N761" s="107">
        <f>IF(A22taxstdlife="n/a","n/a",IF(N$3&gt;(A22taxstdlife+$E761),(('PTRM input'!$M$164+'PTRM input'!$M$130)*$M$7)-SUM($M761:M761),(('PTRM input'!$M$164+'PTRM input'!$M$130)*$M$7)/A22taxstdlife))</f>
        <v>0</v>
      </c>
      <c r="O761" s="107">
        <f>IF(A22taxstdlife="n/a","n/a",IF(O$3&gt;(A22taxstdlife+$E761),(('PTRM input'!$M$164+'PTRM input'!$M$130)*$M$7)-SUM($M761:N761),(('PTRM input'!$M$164+'PTRM input'!$M$130)*$M$7)/A22taxstdlife))</f>
        <v>0</v>
      </c>
      <c r="P761" s="107">
        <f>IF(A22taxstdlife="n/a","n/a",IF(P$3&gt;(A22taxstdlife+$E761),(('PTRM input'!$M$164+'PTRM input'!$M$130)*$M$7)-SUM($M761:O761),(('PTRM input'!$M$164+'PTRM input'!$M$130)*$M$7)/A22taxstdlife))</f>
        <v>0</v>
      </c>
      <c r="Q761" s="590">
        <f>IF(A22taxstdlife="n/a","n/a",IF(Q$3&gt;(A22taxstdlife+$E761),(('PTRM input'!$M$164+'PTRM input'!$M$130)*$M$7)-SUM($M761:P761),(('PTRM input'!$M$164+'PTRM input'!$M$130)*$M$7)/A22taxstdlife))</f>
        <v>0</v>
      </c>
      <c r="R761" s="590">
        <f>IF(A22taxstdlife="n/a","n/a",IF(R$3&gt;(A22taxstdlife+$E761),(('PTRM input'!$M$164+'PTRM input'!$M$130)*$M$7)-SUM($M761:Q761),(('PTRM input'!$M$164+'PTRM input'!$M$130)*$M$7)/A22taxstdlife))</f>
        <v>0</v>
      </c>
      <c r="S761" s="590">
        <f>IF(A22taxstdlife="n/a","n/a",IF(S$3&gt;(A22taxstdlife+$E761),(('PTRM input'!$M$164+'PTRM input'!$M$130)*$M$7)-SUM($M761:R761),(('PTRM input'!$M$164+'PTRM input'!$M$130)*$M$7)/A22taxstdlife))</f>
        <v>0</v>
      </c>
      <c r="T761" s="590">
        <f>IF(A22taxstdlife="n/a","n/a",IF(T$3&gt;(A22taxstdlife+$E761),(('PTRM input'!$M$164+'PTRM input'!$M$130)*$M$7)-SUM($M761:S761),(('PTRM input'!$M$164+'PTRM input'!$M$130)*$M$7)/A22taxstdlife))</f>
        <v>0</v>
      </c>
      <c r="U761" s="590">
        <f>IF(A22taxstdlife="n/a","n/a",IF(U$3&gt;(A22taxstdlife+$E761),(('PTRM input'!$M$164+'PTRM input'!$M$130)*$M$7)-SUM($M761:T761),(('PTRM input'!$M$164+'PTRM input'!$M$130)*$M$7)/A22taxstdlife))</f>
        <v>0</v>
      </c>
      <c r="V761" s="590">
        <f>IF(A22taxstdlife="n/a","n/a",IF(V$3&gt;(A22taxstdlife+$E761),(('PTRM input'!$M$164+'PTRM input'!$M$130)*$M$7)-SUM($M761:U761),(('PTRM input'!$M$164+'PTRM input'!$M$130)*$M$7)/A22taxstdlife))</f>
        <v>0</v>
      </c>
      <c r="W761" s="590">
        <f>IF(A22taxstdlife="n/a","n/a",IF(W$3&gt;(A22taxstdlife+$E761),(('PTRM input'!$M$164+'PTRM input'!$M$130)*$M$7)-SUM($M761:V761),(('PTRM input'!$M$164+'PTRM input'!$M$130)*$M$7)/A22taxstdlife))</f>
        <v>0</v>
      </c>
      <c r="X761" s="590">
        <f>IF(A22taxstdlife="n/a","n/a",IF(X$3&gt;(A22taxstdlife+$E761),(('PTRM input'!$M$164+'PTRM input'!$M$130)*$M$7)-SUM($M761:W761),(('PTRM input'!$M$164+'PTRM input'!$M$130)*$M$7)/A22taxstdlife))</f>
        <v>0</v>
      </c>
      <c r="Y761" s="590">
        <f>IF(A22taxstdlife="n/a","n/a",IF(Y$3&gt;(A22taxstdlife+$E761),(('PTRM input'!$M$164+'PTRM input'!$M$130)*$M$7)-SUM($M761:X761),(('PTRM input'!$M$164+'PTRM input'!$M$130)*$M$7)/A22taxstdlife))</f>
        <v>0</v>
      </c>
      <c r="Z761" s="590">
        <f>IF(A22taxstdlife="n/a","n/a",IF(Z$3&gt;(A22taxstdlife+$E761),(('PTRM input'!$M$164+'PTRM input'!$M$130)*$M$7)-SUM($M761:Y761),(('PTRM input'!$M$164+'PTRM input'!$M$130)*$M$7)/A22taxstdlife))</f>
        <v>0</v>
      </c>
      <c r="AA761" s="590">
        <f>IF(A22taxstdlife="n/a","n/a",IF(AA$3&gt;(A22taxstdlife+$E761),(('PTRM input'!$M$164+'PTRM input'!$M$130)*$M$7)-SUM($M761:Z761),(('PTRM input'!$M$164+'PTRM input'!$M$130)*$M$7)/A22taxstdlife))</f>
        <v>0</v>
      </c>
      <c r="AB761" s="590">
        <f>IF(A22taxstdlife="n/a","n/a",IF(AB$3&gt;(A22taxstdlife+$E761),(('PTRM input'!$M$164+'PTRM input'!$M$130)*$M$7)-SUM($M761:AA761),(('PTRM input'!$M$164+'PTRM input'!$M$130)*$M$7)/A22taxstdlife))</f>
        <v>0</v>
      </c>
      <c r="AC761" s="590">
        <f>IF(A22taxstdlife="n/a","n/a",IF(AC$3&gt;(A22taxstdlife+$E761),(('PTRM input'!$M$164+'PTRM input'!$M$130)*$M$7)-SUM($M761:AB761),(('PTRM input'!$M$164+'PTRM input'!$M$130)*$M$7)/A22taxstdlife))</f>
        <v>0</v>
      </c>
      <c r="AD761" s="590">
        <f>IF(A22taxstdlife="n/a","n/a",IF(AD$3&gt;(A22taxstdlife+$E761),(('PTRM input'!$M$164+'PTRM input'!$M$130)*$M$7)-SUM($M761:AC761),(('PTRM input'!$M$164+'PTRM input'!$M$130)*$M$7)/A22taxstdlife))</f>
        <v>0</v>
      </c>
      <c r="AE761" s="590">
        <f>IF(A22taxstdlife="n/a","n/a",IF(AE$3&gt;(A22taxstdlife+$E761),(('PTRM input'!$M$164+'PTRM input'!$M$130)*$M$7)-SUM($M761:AD761),(('PTRM input'!$M$164+'PTRM input'!$M$130)*$M$7)/A22taxstdlife))</f>
        <v>0</v>
      </c>
      <c r="AF761" s="590">
        <f>IF(A22taxstdlife="n/a","n/a",IF(AF$3&gt;(A22taxstdlife+$E761),(('PTRM input'!$M$164+'PTRM input'!$M$130)*$M$7)-SUM($M761:AE761),(('PTRM input'!$M$164+'PTRM input'!$M$130)*$M$7)/A22taxstdlife))</f>
        <v>0</v>
      </c>
      <c r="AG761" s="590">
        <f>IF(A22taxstdlife="n/a","n/a",IF(AG$3&gt;(A22taxstdlife+$E761),(('PTRM input'!$M$164+'PTRM input'!$M$130)*$M$7)-SUM($M761:AF761),(('PTRM input'!$M$164+'PTRM input'!$M$130)*$M$7)/A22taxstdlife))</f>
        <v>0</v>
      </c>
      <c r="AH761" s="590">
        <f>IF(A22taxstdlife="n/a","n/a",IF(AH$3&gt;(A22taxstdlife+$E761),(('PTRM input'!$M$164+'PTRM input'!$M$130)*$M$7)-SUM($M761:AG761),(('PTRM input'!$M$164+'PTRM input'!$M$130)*$M$7)/A22taxstdlife))</f>
        <v>0</v>
      </c>
      <c r="AI761" s="590">
        <f>IF(A22taxstdlife="n/a","n/a",IF(AI$3&gt;(A22taxstdlife+$E761),(('PTRM input'!$M$164+'PTRM input'!$M$130)*$M$7)-SUM($M761:AH761),(('PTRM input'!$M$164+'PTRM input'!$M$130)*$M$7)/A22taxstdlife))</f>
        <v>0</v>
      </c>
      <c r="AJ761" s="590">
        <f>IF(A22taxstdlife="n/a","n/a",IF(AJ$3&gt;(A22taxstdlife+$E761),(('PTRM input'!$M$164+'PTRM input'!$M$130)*$M$7)-SUM($M761:AI761),(('PTRM input'!$M$164+'PTRM input'!$M$130)*$M$7)/A22taxstdlife))</f>
        <v>0</v>
      </c>
      <c r="AK761" s="590">
        <f>IF(A22taxstdlife="n/a","n/a",IF(AK$3&gt;(A22taxstdlife+$E761),(('PTRM input'!$M$164+'PTRM input'!$M$130)*$M$7)-SUM($M761:AJ761),(('PTRM input'!$M$164+'PTRM input'!$M$130)*$M$7)/A22taxstdlife))</f>
        <v>0</v>
      </c>
      <c r="AL761" s="590">
        <f>IF(A22taxstdlife="n/a","n/a",IF(AL$3&gt;(A22taxstdlife+$E761),(('PTRM input'!$M$164+'PTRM input'!$M$130)*$M$7)-SUM($M761:AK761),(('PTRM input'!$M$164+'PTRM input'!$M$130)*$M$7)/A22taxstdlife))</f>
        <v>0</v>
      </c>
      <c r="AM761" s="590">
        <f>IF(A22taxstdlife="n/a","n/a",IF(AM$3&gt;(A22taxstdlife+$E761),(('PTRM input'!$M$164+'PTRM input'!$M$130)*$M$7)-SUM($M761:AL761),(('PTRM input'!$M$164+'PTRM input'!$M$130)*$M$7)/A22taxstdlife))</f>
        <v>0</v>
      </c>
      <c r="AN761" s="590">
        <f>IF(A22taxstdlife="n/a","n/a",IF(AN$3&gt;(A22taxstdlife+$E761),(('PTRM input'!$M$164+'PTRM input'!$M$130)*$M$7)-SUM($M761:AM761),(('PTRM input'!$M$164+'PTRM input'!$M$130)*$M$7)/A22taxstdlife))</f>
        <v>0</v>
      </c>
      <c r="AO761" s="590">
        <f>IF(A22taxstdlife="n/a","n/a",IF(AO$3&gt;(A22taxstdlife+$E761),(('PTRM input'!$M$164+'PTRM input'!$M$130)*$M$7)-SUM($M761:AN761),(('PTRM input'!$M$164+'PTRM input'!$M$130)*$M$7)/A22taxstdlife))</f>
        <v>0</v>
      </c>
      <c r="AP761" s="590">
        <f>IF(A22taxstdlife="n/a","n/a",IF(AP$3&gt;(A22taxstdlife+$E761),(('PTRM input'!$M$164+'PTRM input'!$M$130)*$M$7)-SUM($M761:AO761),(('PTRM input'!$M$164+'PTRM input'!$M$130)*$M$7)/A22taxstdlife))</f>
        <v>0</v>
      </c>
      <c r="AQ761" s="590">
        <f>IF(A22taxstdlife="n/a","n/a",IF(AQ$3&gt;(A22taxstdlife+$E761),(('PTRM input'!$M$164+'PTRM input'!$M$130)*$M$7)-SUM($M761:AP761),(('PTRM input'!$M$164+'PTRM input'!$M$130)*$M$7)/A22taxstdlife))</f>
        <v>0</v>
      </c>
      <c r="AR761" s="590">
        <f>IF(A22taxstdlife="n/a","n/a",IF(AR$3&gt;(A22taxstdlife+$E761),(('PTRM input'!$M$164+'PTRM input'!$M$130)*$M$7)-SUM($M761:AQ761),(('PTRM input'!$M$164+'PTRM input'!$M$130)*$M$7)/A22taxstdlife))</f>
        <v>0</v>
      </c>
      <c r="AS761" s="590">
        <f>IF(A22taxstdlife="n/a","n/a",IF(AS$3&gt;(A22taxstdlife+$E761),(('PTRM input'!$M$164+'PTRM input'!$M$130)*$M$7)-SUM($M761:AR761),(('PTRM input'!$M$164+'PTRM input'!$M$130)*$M$7)/A22taxstdlife))</f>
        <v>0</v>
      </c>
      <c r="AT761" s="590">
        <f>IF(A22taxstdlife="n/a","n/a",IF(AT$3&gt;(A22taxstdlife+$E761),(('PTRM input'!$M$164+'PTRM input'!$M$130)*$M$7)-SUM($M761:AS761),(('PTRM input'!$M$164+'PTRM input'!$M$130)*$M$7)/A22taxstdlife))</f>
        <v>0</v>
      </c>
      <c r="AU761" s="590">
        <f>IF(A22taxstdlife="n/a","n/a",IF(AU$3&gt;(A22taxstdlife+$E761),(('PTRM input'!$M$164+'PTRM input'!$M$130)*$M$7)-SUM($M761:AT761),(('PTRM input'!$M$164+'PTRM input'!$M$130)*$M$7)/A22taxstdlife))</f>
        <v>0</v>
      </c>
      <c r="AV761" s="590">
        <f>IF(A22taxstdlife="n/a","n/a",IF(AV$3&gt;(A22taxstdlife+$E761),(('PTRM input'!$M$164+'PTRM input'!$M$130)*$M$7)-SUM($M761:AU761),(('PTRM input'!$M$164+'PTRM input'!$M$130)*$M$7)/A22taxstdlife))</f>
        <v>0</v>
      </c>
      <c r="AW761" s="590">
        <f>IF(A22taxstdlife="n/a","n/a",IF(AW$3&gt;(A22taxstdlife+$E761),(('PTRM input'!$M$164+'PTRM input'!$M$130)*$M$7)-SUM($M761:AV761),(('PTRM input'!$M$164+'PTRM input'!$M$130)*$M$7)/A22taxstdlife))</f>
        <v>0</v>
      </c>
      <c r="AX761" s="590">
        <f>IF(A22taxstdlife="n/a","n/a",IF(AX$3&gt;(A22taxstdlife+$E761),(('PTRM input'!$M$164+'PTRM input'!$M$130)*$M$7)-SUM($M761:AW761),(('PTRM input'!$M$164+'PTRM input'!$M$130)*$M$7)/A22taxstdlife))</f>
        <v>0</v>
      </c>
      <c r="AY761" s="590">
        <f>IF(A22taxstdlife="n/a","n/a",IF(AY$3&gt;(A22taxstdlife+$E761),(('PTRM input'!$M$164+'PTRM input'!$M$130)*$M$7)-SUM($M761:AX761),(('PTRM input'!$M$164+'PTRM input'!$M$130)*$M$7)/A22taxstdlife))</f>
        <v>0</v>
      </c>
      <c r="AZ761" s="590">
        <f>IF(A22taxstdlife="n/a","n/a",IF(AZ$3&gt;(A22taxstdlife+$E761),(('PTRM input'!$M$164+'PTRM input'!$M$130)*$M$7)-SUM($M761:AY761),(('PTRM input'!$M$164+'PTRM input'!$M$130)*$M$7)/A22taxstdlife))</f>
        <v>0</v>
      </c>
      <c r="BA761" s="590">
        <f>IF(A22taxstdlife="n/a","n/a",IF(BA$3&gt;(A22taxstdlife+$E761),(('PTRM input'!$M$164+'PTRM input'!$M$130)*$M$7)-SUM($M761:AZ761),(('PTRM input'!$M$164+'PTRM input'!$M$130)*$M$7)/A22taxstdlife))</f>
        <v>0</v>
      </c>
      <c r="BB761" s="590">
        <f>IF(A22taxstdlife="n/a","n/a",IF(BB$3&gt;(A22taxstdlife+$E761),(('PTRM input'!$M$164+'PTRM input'!$M$130)*$M$7)-SUM($M761:BA761),(('PTRM input'!$M$164+'PTRM input'!$M$130)*$M$7)/A22taxstdlife))</f>
        <v>0</v>
      </c>
      <c r="BC761" s="590">
        <f>IF(A22taxstdlife="n/a","n/a",IF(BC$3&gt;(A22taxstdlife+$E761),(('PTRM input'!$M$164+'PTRM input'!$M$130)*$M$7)-SUM($M761:BB761),(('PTRM input'!$M$164+'PTRM input'!$M$130)*$M$7)/A22taxstdlife))</f>
        <v>0</v>
      </c>
      <c r="BD761" s="590">
        <f>IF(A22taxstdlife="n/a","n/a",IF(BD$3&gt;(A22taxstdlife+$E761),(('PTRM input'!$M$164+'PTRM input'!$M$130)*$M$7)-SUM($M761:BC761),(('PTRM input'!$M$164+'PTRM input'!$M$130)*$M$7)/A22taxstdlife))</f>
        <v>0</v>
      </c>
      <c r="BE761" s="590">
        <f>IF(A22taxstdlife="n/a","n/a",IF(BE$3&gt;(A22taxstdlife+$E761),(('PTRM input'!$M$164+'PTRM input'!$M$130)*$M$7)-SUM($M761:BD761),(('PTRM input'!$M$164+'PTRM input'!$M$130)*$M$7)/A22taxstdlife))</f>
        <v>0</v>
      </c>
      <c r="BF761" s="590">
        <f>IF(A22taxstdlife="n/a","n/a",IF(BF$3&gt;(A22taxstdlife+$E761),(('PTRM input'!$M$164+'PTRM input'!$M$130)*$M$7)-SUM($M761:BE761),(('PTRM input'!$M$164+'PTRM input'!$M$130)*$M$7)/A22taxstdlife))</f>
        <v>0</v>
      </c>
      <c r="BG761" s="590">
        <f>IF(A22taxstdlife="n/a","n/a",IF(BG$3&gt;(A22taxstdlife+$E761),(('PTRM input'!$M$164+'PTRM input'!$M$130)*$M$7)-SUM($M761:BF761),(('PTRM input'!$M$164+'PTRM input'!$M$130)*$M$7)/A22taxstdlife))</f>
        <v>0</v>
      </c>
      <c r="BH761" s="590">
        <f>IF(A22taxstdlife="n/a","n/a",IF(BH$3&gt;(A22taxstdlife+$E761),(('PTRM input'!$M$164+'PTRM input'!$M$130)*$M$7)-SUM($M761:BG761),(('PTRM input'!$M$164+'PTRM input'!$M$130)*$M$7)/A22taxstdlife))</f>
        <v>0</v>
      </c>
      <c r="BI761" s="590">
        <f>IF(A22taxstdlife="n/a","n/a",IF(BI$3&gt;(A22taxstdlife+$E761),(('PTRM input'!$M$164+'PTRM input'!$M$130)*$M$7)-SUM($M761:BH761),(('PTRM input'!$M$164+'PTRM input'!$M$130)*$M$7)/A22taxstdlife))</f>
        <v>0</v>
      </c>
      <c r="BJ761" s="240"/>
      <c r="BK761" s="240"/>
      <c r="BL761" s="240"/>
      <c r="BM761" s="240"/>
    </row>
    <row r="762" spans="1:65" s="4" customFormat="1" hidden="1" outlineLevel="2">
      <c r="A762" s="240"/>
      <c r="B762" s="240"/>
      <c r="C762" s="595"/>
      <c r="D762" s="1618"/>
      <c r="E762" s="169">
        <v>8</v>
      </c>
      <c r="F762" s="35"/>
      <c r="G762" s="184"/>
      <c r="H762" s="186"/>
      <c r="I762" s="186"/>
      <c r="J762" s="186"/>
      <c r="K762" s="186"/>
      <c r="L762" s="186"/>
      <c r="M762" s="186"/>
      <c r="N762" s="185"/>
      <c r="O762" s="107">
        <f>IF(A22taxstdlife="n/a","n/a",IF(O$3&gt;(A22taxstdlife+$E762),(('PTRM input'!$N$164+'PTRM input'!$N$130)*$N$7)-SUM($N762:N762),(('PTRM input'!$N$164+'PTRM input'!$N$130)*$N$7)/A22taxstdlife))</f>
        <v>0</v>
      </c>
      <c r="P762" s="107">
        <f>IF(A22taxstdlife="n/a","n/a",IF(P$3&gt;(A22taxstdlife+$E762),(('PTRM input'!$N$164+'PTRM input'!$N$130)*$N$7)-SUM($N762:O762),(('PTRM input'!$N$164+'PTRM input'!$N$130)*$N$7)/A22taxstdlife))</f>
        <v>0</v>
      </c>
      <c r="Q762" s="590">
        <f>IF(A22taxstdlife="n/a","n/a",IF(Q$3&gt;(A22taxstdlife+$E762),(('PTRM input'!$N$164+'PTRM input'!$N$130)*$N$7)-SUM($N762:P762),(('PTRM input'!$N$164+'PTRM input'!$N$130)*$N$7)/A22taxstdlife))</f>
        <v>0</v>
      </c>
      <c r="R762" s="590">
        <f>IF(A22taxstdlife="n/a","n/a",IF(R$3&gt;(A22taxstdlife+$E762),(('PTRM input'!$N$164+'PTRM input'!$N$130)*$N$7)-SUM($N762:Q762),(('PTRM input'!$N$164+'PTRM input'!$N$130)*$N$7)/A22taxstdlife))</f>
        <v>0</v>
      </c>
      <c r="S762" s="590">
        <f>IF(A22taxstdlife="n/a","n/a",IF(S$3&gt;(A22taxstdlife+$E762),(('PTRM input'!$N$164+'PTRM input'!$N$130)*$N$7)-SUM($N762:R762),(('PTRM input'!$N$164+'PTRM input'!$N$130)*$N$7)/A22taxstdlife))</f>
        <v>0</v>
      </c>
      <c r="T762" s="590">
        <f>IF(A22taxstdlife="n/a","n/a",IF(T$3&gt;(A22taxstdlife+$E762),(('PTRM input'!$N$164+'PTRM input'!$N$130)*$N$7)-SUM($N762:S762),(('PTRM input'!$N$164+'PTRM input'!$N$130)*$N$7)/A22taxstdlife))</f>
        <v>0</v>
      </c>
      <c r="U762" s="590">
        <f>IF(A22taxstdlife="n/a","n/a",IF(U$3&gt;(A22taxstdlife+$E762),(('PTRM input'!$N$164+'PTRM input'!$N$130)*$N$7)-SUM($N762:T762),(('PTRM input'!$N$164+'PTRM input'!$N$130)*$N$7)/A22taxstdlife))</f>
        <v>0</v>
      </c>
      <c r="V762" s="590">
        <f>IF(A22taxstdlife="n/a","n/a",IF(V$3&gt;(A22taxstdlife+$E762),(('PTRM input'!$N$164+'PTRM input'!$N$130)*$N$7)-SUM($N762:U762),(('PTRM input'!$N$164+'PTRM input'!$N$130)*$N$7)/A22taxstdlife))</f>
        <v>0</v>
      </c>
      <c r="W762" s="590">
        <f>IF(A22taxstdlife="n/a","n/a",IF(W$3&gt;(A22taxstdlife+$E762),(('PTRM input'!$N$164+'PTRM input'!$N$130)*$N$7)-SUM($N762:V762),(('PTRM input'!$N$164+'PTRM input'!$N$130)*$N$7)/A22taxstdlife))</f>
        <v>0</v>
      </c>
      <c r="X762" s="590">
        <f>IF(A22taxstdlife="n/a","n/a",IF(X$3&gt;(A22taxstdlife+$E762),(('PTRM input'!$N$164+'PTRM input'!$N$130)*$N$7)-SUM($N762:W762),(('PTRM input'!$N$164+'PTRM input'!$N$130)*$N$7)/A22taxstdlife))</f>
        <v>0</v>
      </c>
      <c r="Y762" s="590">
        <f>IF(A22taxstdlife="n/a","n/a",IF(Y$3&gt;(A22taxstdlife+$E762),(('PTRM input'!$N$164+'PTRM input'!$N$130)*$N$7)-SUM($N762:X762),(('PTRM input'!$N$164+'PTRM input'!$N$130)*$N$7)/A22taxstdlife))</f>
        <v>0</v>
      </c>
      <c r="Z762" s="590">
        <f>IF(A22taxstdlife="n/a","n/a",IF(Z$3&gt;(A22taxstdlife+$E762),(('PTRM input'!$N$164+'PTRM input'!$N$130)*$N$7)-SUM($N762:Y762),(('PTRM input'!$N$164+'PTRM input'!$N$130)*$N$7)/A22taxstdlife))</f>
        <v>0</v>
      </c>
      <c r="AA762" s="590">
        <f>IF(A22taxstdlife="n/a","n/a",IF(AA$3&gt;(A22taxstdlife+$E762),(('PTRM input'!$N$164+'PTRM input'!$N$130)*$N$7)-SUM($N762:Z762),(('PTRM input'!$N$164+'PTRM input'!$N$130)*$N$7)/A22taxstdlife))</f>
        <v>0</v>
      </c>
      <c r="AB762" s="590">
        <f>IF(A22taxstdlife="n/a","n/a",IF(AB$3&gt;(A22taxstdlife+$E762),(('PTRM input'!$N$164+'PTRM input'!$N$130)*$N$7)-SUM($N762:AA762),(('PTRM input'!$N$164+'PTRM input'!$N$130)*$N$7)/A22taxstdlife))</f>
        <v>0</v>
      </c>
      <c r="AC762" s="590">
        <f>IF(A22taxstdlife="n/a","n/a",IF(AC$3&gt;(A22taxstdlife+$E762),(('PTRM input'!$N$164+'PTRM input'!$N$130)*$N$7)-SUM($N762:AB762),(('PTRM input'!$N$164+'PTRM input'!$N$130)*$N$7)/A22taxstdlife))</f>
        <v>0</v>
      </c>
      <c r="AD762" s="590">
        <f>IF(A22taxstdlife="n/a","n/a",IF(AD$3&gt;(A22taxstdlife+$E762),(('PTRM input'!$N$164+'PTRM input'!$N$130)*$N$7)-SUM($N762:AC762),(('PTRM input'!$N$164+'PTRM input'!$N$130)*$N$7)/A22taxstdlife))</f>
        <v>0</v>
      </c>
      <c r="AE762" s="590">
        <f>IF(A22taxstdlife="n/a","n/a",IF(AE$3&gt;(A22taxstdlife+$E762),(('PTRM input'!$N$164+'PTRM input'!$N$130)*$N$7)-SUM($N762:AD762),(('PTRM input'!$N$164+'PTRM input'!$N$130)*$N$7)/A22taxstdlife))</f>
        <v>0</v>
      </c>
      <c r="AF762" s="590">
        <f>IF(A22taxstdlife="n/a","n/a",IF(AF$3&gt;(A22taxstdlife+$E762),(('PTRM input'!$N$164+'PTRM input'!$N$130)*$N$7)-SUM($N762:AE762),(('PTRM input'!$N$164+'PTRM input'!$N$130)*$N$7)/A22taxstdlife))</f>
        <v>0</v>
      </c>
      <c r="AG762" s="590">
        <f>IF(A22taxstdlife="n/a","n/a",IF(AG$3&gt;(A22taxstdlife+$E762),(('PTRM input'!$N$164+'PTRM input'!$N$130)*$N$7)-SUM($N762:AF762),(('PTRM input'!$N$164+'PTRM input'!$N$130)*$N$7)/A22taxstdlife))</f>
        <v>0</v>
      </c>
      <c r="AH762" s="590">
        <f>IF(A22taxstdlife="n/a","n/a",IF(AH$3&gt;(A22taxstdlife+$E762),(('PTRM input'!$N$164+'PTRM input'!$N$130)*$N$7)-SUM($N762:AG762),(('PTRM input'!$N$164+'PTRM input'!$N$130)*$N$7)/A22taxstdlife))</f>
        <v>0</v>
      </c>
      <c r="AI762" s="590">
        <f>IF(A22taxstdlife="n/a","n/a",IF(AI$3&gt;(A22taxstdlife+$E762),(('PTRM input'!$N$164+'PTRM input'!$N$130)*$N$7)-SUM($N762:AH762),(('PTRM input'!$N$164+'PTRM input'!$N$130)*$N$7)/A22taxstdlife))</f>
        <v>0</v>
      </c>
      <c r="AJ762" s="590">
        <f>IF(A22taxstdlife="n/a","n/a",IF(AJ$3&gt;(A22taxstdlife+$E762),(('PTRM input'!$N$164+'PTRM input'!$N$130)*$N$7)-SUM($N762:AI762),(('PTRM input'!$N$164+'PTRM input'!$N$130)*$N$7)/A22taxstdlife))</f>
        <v>0</v>
      </c>
      <c r="AK762" s="590">
        <f>IF(A22taxstdlife="n/a","n/a",IF(AK$3&gt;(A22taxstdlife+$E762),(('PTRM input'!$N$164+'PTRM input'!$N$130)*$N$7)-SUM($N762:AJ762),(('PTRM input'!$N$164+'PTRM input'!$N$130)*$N$7)/A22taxstdlife))</f>
        <v>0</v>
      </c>
      <c r="AL762" s="590">
        <f>IF(A22taxstdlife="n/a","n/a",IF(AL$3&gt;(A22taxstdlife+$E762),(('PTRM input'!$N$164+'PTRM input'!$N$130)*$N$7)-SUM($N762:AK762),(('PTRM input'!$N$164+'PTRM input'!$N$130)*$N$7)/A22taxstdlife))</f>
        <v>0</v>
      </c>
      <c r="AM762" s="590">
        <f>IF(A22taxstdlife="n/a","n/a",IF(AM$3&gt;(A22taxstdlife+$E762),(('PTRM input'!$N$164+'PTRM input'!$N$130)*$N$7)-SUM($N762:AL762),(('PTRM input'!$N$164+'PTRM input'!$N$130)*$N$7)/A22taxstdlife))</f>
        <v>0</v>
      </c>
      <c r="AN762" s="590">
        <f>IF(A22taxstdlife="n/a","n/a",IF(AN$3&gt;(A22taxstdlife+$E762),(('PTRM input'!$N$164+'PTRM input'!$N$130)*$N$7)-SUM($N762:AM762),(('PTRM input'!$N$164+'PTRM input'!$N$130)*$N$7)/A22taxstdlife))</f>
        <v>0</v>
      </c>
      <c r="AO762" s="590">
        <f>IF(A22taxstdlife="n/a","n/a",IF(AO$3&gt;(A22taxstdlife+$E762),(('PTRM input'!$N$164+'PTRM input'!$N$130)*$N$7)-SUM($N762:AN762),(('PTRM input'!$N$164+'PTRM input'!$N$130)*$N$7)/A22taxstdlife))</f>
        <v>0</v>
      </c>
      <c r="AP762" s="590">
        <f>IF(A22taxstdlife="n/a","n/a",IF(AP$3&gt;(A22taxstdlife+$E762),(('PTRM input'!$N$164+'PTRM input'!$N$130)*$N$7)-SUM($N762:AO762),(('PTRM input'!$N$164+'PTRM input'!$N$130)*$N$7)/A22taxstdlife))</f>
        <v>0</v>
      </c>
      <c r="AQ762" s="590">
        <f>IF(A22taxstdlife="n/a","n/a",IF(AQ$3&gt;(A22taxstdlife+$E762),(('PTRM input'!$N$164+'PTRM input'!$N$130)*$N$7)-SUM($N762:AP762),(('PTRM input'!$N$164+'PTRM input'!$N$130)*$N$7)/A22taxstdlife))</f>
        <v>0</v>
      </c>
      <c r="AR762" s="590">
        <f>IF(A22taxstdlife="n/a","n/a",IF(AR$3&gt;(A22taxstdlife+$E762),(('PTRM input'!$N$164+'PTRM input'!$N$130)*$N$7)-SUM($N762:AQ762),(('PTRM input'!$N$164+'PTRM input'!$N$130)*$N$7)/A22taxstdlife))</f>
        <v>0</v>
      </c>
      <c r="AS762" s="590">
        <f>IF(A22taxstdlife="n/a","n/a",IF(AS$3&gt;(A22taxstdlife+$E762),(('PTRM input'!$N$164+'PTRM input'!$N$130)*$N$7)-SUM($N762:AR762),(('PTRM input'!$N$164+'PTRM input'!$N$130)*$N$7)/A22taxstdlife))</f>
        <v>0</v>
      </c>
      <c r="AT762" s="590">
        <f>IF(A22taxstdlife="n/a","n/a",IF(AT$3&gt;(A22taxstdlife+$E762),(('PTRM input'!$N$164+'PTRM input'!$N$130)*$N$7)-SUM($N762:AS762),(('PTRM input'!$N$164+'PTRM input'!$N$130)*$N$7)/A22taxstdlife))</f>
        <v>0</v>
      </c>
      <c r="AU762" s="590">
        <f>IF(A22taxstdlife="n/a","n/a",IF(AU$3&gt;(A22taxstdlife+$E762),(('PTRM input'!$N$164+'PTRM input'!$N$130)*$N$7)-SUM($N762:AT762),(('PTRM input'!$N$164+'PTRM input'!$N$130)*$N$7)/A22taxstdlife))</f>
        <v>0</v>
      </c>
      <c r="AV762" s="590">
        <f>IF(A22taxstdlife="n/a","n/a",IF(AV$3&gt;(A22taxstdlife+$E762),(('PTRM input'!$N$164+'PTRM input'!$N$130)*$N$7)-SUM($N762:AU762),(('PTRM input'!$N$164+'PTRM input'!$N$130)*$N$7)/A22taxstdlife))</f>
        <v>0</v>
      </c>
      <c r="AW762" s="590">
        <f>IF(A22taxstdlife="n/a","n/a",IF(AW$3&gt;(A22taxstdlife+$E762),(('PTRM input'!$N$164+'PTRM input'!$N$130)*$N$7)-SUM($N762:AV762),(('PTRM input'!$N$164+'PTRM input'!$N$130)*$N$7)/A22taxstdlife))</f>
        <v>0</v>
      </c>
      <c r="AX762" s="590">
        <f>IF(A22taxstdlife="n/a","n/a",IF(AX$3&gt;(A22taxstdlife+$E762),(('PTRM input'!$N$164+'PTRM input'!$N$130)*$N$7)-SUM($N762:AW762),(('PTRM input'!$N$164+'PTRM input'!$N$130)*$N$7)/A22taxstdlife))</f>
        <v>0</v>
      </c>
      <c r="AY762" s="590">
        <f>IF(A22taxstdlife="n/a","n/a",IF(AY$3&gt;(A22taxstdlife+$E762),(('PTRM input'!$N$164+'PTRM input'!$N$130)*$N$7)-SUM($N762:AX762),(('PTRM input'!$N$164+'PTRM input'!$N$130)*$N$7)/A22taxstdlife))</f>
        <v>0</v>
      </c>
      <c r="AZ762" s="590">
        <f>IF(A22taxstdlife="n/a","n/a",IF(AZ$3&gt;(A22taxstdlife+$E762),(('PTRM input'!$N$164+'PTRM input'!$N$130)*$N$7)-SUM($N762:AY762),(('PTRM input'!$N$164+'PTRM input'!$N$130)*$N$7)/A22taxstdlife))</f>
        <v>0</v>
      </c>
      <c r="BA762" s="590">
        <f>IF(A22taxstdlife="n/a","n/a",IF(BA$3&gt;(A22taxstdlife+$E762),(('PTRM input'!$N$164+'PTRM input'!$N$130)*$N$7)-SUM($N762:AZ762),(('PTRM input'!$N$164+'PTRM input'!$N$130)*$N$7)/A22taxstdlife))</f>
        <v>0</v>
      </c>
      <c r="BB762" s="590">
        <f>IF(A22taxstdlife="n/a","n/a",IF(BB$3&gt;(A22taxstdlife+$E762),(('PTRM input'!$N$164+'PTRM input'!$N$130)*$N$7)-SUM($N762:BA762),(('PTRM input'!$N$164+'PTRM input'!$N$130)*$N$7)/A22taxstdlife))</f>
        <v>0</v>
      </c>
      <c r="BC762" s="590">
        <f>IF(A22taxstdlife="n/a","n/a",IF(BC$3&gt;(A22taxstdlife+$E762),(('PTRM input'!$N$164+'PTRM input'!$N$130)*$N$7)-SUM($N762:BB762),(('PTRM input'!$N$164+'PTRM input'!$N$130)*$N$7)/A22taxstdlife))</f>
        <v>0</v>
      </c>
      <c r="BD762" s="590">
        <f>IF(A22taxstdlife="n/a","n/a",IF(BD$3&gt;(A22taxstdlife+$E762),(('PTRM input'!$N$164+'PTRM input'!$N$130)*$N$7)-SUM($N762:BC762),(('PTRM input'!$N$164+'PTRM input'!$N$130)*$N$7)/A22taxstdlife))</f>
        <v>0</v>
      </c>
      <c r="BE762" s="590">
        <f>IF(A22taxstdlife="n/a","n/a",IF(BE$3&gt;(A22taxstdlife+$E762),(('PTRM input'!$N$164+'PTRM input'!$N$130)*$N$7)-SUM($N762:BD762),(('PTRM input'!$N$164+'PTRM input'!$N$130)*$N$7)/A22taxstdlife))</f>
        <v>0</v>
      </c>
      <c r="BF762" s="590">
        <f>IF(A22taxstdlife="n/a","n/a",IF(BF$3&gt;(A22taxstdlife+$E762),(('PTRM input'!$N$164+'PTRM input'!$N$130)*$N$7)-SUM($N762:BE762),(('PTRM input'!$N$164+'PTRM input'!$N$130)*$N$7)/A22taxstdlife))</f>
        <v>0</v>
      </c>
      <c r="BG762" s="590">
        <f>IF(A22taxstdlife="n/a","n/a",IF(BG$3&gt;(A22taxstdlife+$E762),(('PTRM input'!$N$164+'PTRM input'!$N$130)*$N$7)-SUM($N762:BF762),(('PTRM input'!$N$164+'PTRM input'!$N$130)*$N$7)/A22taxstdlife))</f>
        <v>0</v>
      </c>
      <c r="BH762" s="590">
        <f>IF(A22taxstdlife="n/a","n/a",IF(BH$3&gt;(A22taxstdlife+$E762),(('PTRM input'!$N$164+'PTRM input'!$N$130)*$N$7)-SUM($N762:BG762),(('PTRM input'!$N$164+'PTRM input'!$N$130)*$N$7)/A22taxstdlife))</f>
        <v>0</v>
      </c>
      <c r="BI762" s="590">
        <f>IF(A22taxstdlife="n/a","n/a",IF(BI$3&gt;(A22taxstdlife+$E762),(('PTRM input'!$N$164+'PTRM input'!$N$130)*$N$7)-SUM($N762:BH762),(('PTRM input'!$N$164+'PTRM input'!$N$130)*$N$7)/A22taxstdlife))</f>
        <v>0</v>
      </c>
      <c r="BJ762" s="240"/>
      <c r="BK762" s="240"/>
      <c r="BL762" s="240"/>
      <c r="BM762" s="240"/>
    </row>
    <row r="763" spans="1:65" s="4" customFormat="1" hidden="1" outlineLevel="2">
      <c r="A763" s="240"/>
      <c r="B763" s="240"/>
      <c r="C763" s="595"/>
      <c r="D763" s="1618"/>
      <c r="E763" s="169">
        <v>9</v>
      </c>
      <c r="F763" s="35"/>
      <c r="G763" s="184"/>
      <c r="H763" s="186"/>
      <c r="I763" s="186"/>
      <c r="J763" s="186"/>
      <c r="K763" s="186"/>
      <c r="L763" s="186"/>
      <c r="M763" s="186"/>
      <c r="N763" s="186"/>
      <c r="O763" s="185"/>
      <c r="P763" s="107">
        <f>IF(A22taxstdlife="n/a","n/a",IF(P$3&gt;(A22taxstdlife+$E763),(('PTRM input'!$O$164+'PTRM input'!$O$130)*$O$7)-SUM($O763:O763),(('PTRM input'!$O$164+'PTRM input'!$O$130)*$O$7)/A22taxstdlife))</f>
        <v>0</v>
      </c>
      <c r="Q763" s="590">
        <f>IF(A22taxstdlife="n/a","n/a",IF(Q$3&gt;(A22taxstdlife+$E763),(('PTRM input'!$O$164+'PTRM input'!$O$130)*$O$7)-SUM($O763:P763),(('PTRM input'!$O$164+'PTRM input'!$O$130)*$O$7)/A22taxstdlife))</f>
        <v>0</v>
      </c>
      <c r="R763" s="590">
        <f>IF(A22taxstdlife="n/a","n/a",IF(R$3&gt;(A22taxstdlife+$E763),(('PTRM input'!$O$164+'PTRM input'!$O$130)*$O$7)-SUM($O763:Q763),(('PTRM input'!$O$164+'PTRM input'!$O$130)*$O$7)/A22taxstdlife))</f>
        <v>0</v>
      </c>
      <c r="S763" s="590">
        <f>IF(A22taxstdlife="n/a","n/a",IF(S$3&gt;(A22taxstdlife+$E763),(('PTRM input'!$O$164+'PTRM input'!$O$130)*$O$7)-SUM($O763:R763),(('PTRM input'!$O$164+'PTRM input'!$O$130)*$O$7)/A22taxstdlife))</f>
        <v>0</v>
      </c>
      <c r="T763" s="590">
        <f>IF(A22taxstdlife="n/a","n/a",IF(T$3&gt;(A22taxstdlife+$E763),(('PTRM input'!$O$164+'PTRM input'!$O$130)*$O$7)-SUM($O763:S763),(('PTRM input'!$O$164+'PTRM input'!$O$130)*$O$7)/A22taxstdlife))</f>
        <v>0</v>
      </c>
      <c r="U763" s="590">
        <f>IF(A22taxstdlife="n/a","n/a",IF(U$3&gt;(A22taxstdlife+$E763),(('PTRM input'!$O$164+'PTRM input'!$O$130)*$O$7)-SUM($O763:T763),(('PTRM input'!$O$164+'PTRM input'!$O$130)*$O$7)/A22taxstdlife))</f>
        <v>0</v>
      </c>
      <c r="V763" s="590">
        <f>IF(A22taxstdlife="n/a","n/a",IF(V$3&gt;(A22taxstdlife+$E763),(('PTRM input'!$O$164+'PTRM input'!$O$130)*$O$7)-SUM($O763:U763),(('PTRM input'!$O$164+'PTRM input'!$O$130)*$O$7)/A22taxstdlife))</f>
        <v>0</v>
      </c>
      <c r="W763" s="590">
        <f>IF(A22taxstdlife="n/a","n/a",IF(W$3&gt;(A22taxstdlife+$E763),(('PTRM input'!$O$164+'PTRM input'!$O$130)*$O$7)-SUM($O763:V763),(('PTRM input'!$O$164+'PTRM input'!$O$130)*$O$7)/A22taxstdlife))</f>
        <v>0</v>
      </c>
      <c r="X763" s="590">
        <f>IF(A22taxstdlife="n/a","n/a",IF(X$3&gt;(A22taxstdlife+$E763),(('PTRM input'!$O$164+'PTRM input'!$O$130)*$O$7)-SUM($O763:W763),(('PTRM input'!$O$164+'PTRM input'!$O$130)*$O$7)/A22taxstdlife))</f>
        <v>0</v>
      </c>
      <c r="Y763" s="590">
        <f>IF(A22taxstdlife="n/a","n/a",IF(Y$3&gt;(A22taxstdlife+$E763),(('PTRM input'!$O$164+'PTRM input'!$O$130)*$O$7)-SUM($O763:X763),(('PTRM input'!$O$164+'PTRM input'!$O$130)*$O$7)/A22taxstdlife))</f>
        <v>0</v>
      </c>
      <c r="Z763" s="590">
        <f>IF(A22taxstdlife="n/a","n/a",IF(Z$3&gt;(A22taxstdlife+$E763),(('PTRM input'!$O$164+'PTRM input'!$O$130)*$O$7)-SUM($O763:Y763),(('PTRM input'!$O$164+'PTRM input'!$O$130)*$O$7)/A22taxstdlife))</f>
        <v>0</v>
      </c>
      <c r="AA763" s="590">
        <f>IF(A22taxstdlife="n/a","n/a",IF(AA$3&gt;(A22taxstdlife+$E763),(('PTRM input'!$O$164+'PTRM input'!$O$130)*$O$7)-SUM($O763:Z763),(('PTRM input'!$O$164+'PTRM input'!$O$130)*$O$7)/A22taxstdlife))</f>
        <v>0</v>
      </c>
      <c r="AB763" s="590">
        <f>IF(A22taxstdlife="n/a","n/a",IF(AB$3&gt;(A22taxstdlife+$E763),(('PTRM input'!$O$164+'PTRM input'!$O$130)*$O$7)-SUM($O763:AA763),(('PTRM input'!$O$164+'PTRM input'!$O$130)*$O$7)/A22taxstdlife))</f>
        <v>0</v>
      </c>
      <c r="AC763" s="590">
        <f>IF(A22taxstdlife="n/a","n/a",IF(AC$3&gt;(A22taxstdlife+$E763),(('PTRM input'!$O$164+'PTRM input'!$O$130)*$O$7)-SUM($O763:AB763),(('PTRM input'!$O$164+'PTRM input'!$O$130)*$O$7)/A22taxstdlife))</f>
        <v>0</v>
      </c>
      <c r="AD763" s="590">
        <f>IF(A22taxstdlife="n/a","n/a",IF(AD$3&gt;(A22taxstdlife+$E763),(('PTRM input'!$O$164+'PTRM input'!$O$130)*$O$7)-SUM($O763:AC763),(('PTRM input'!$O$164+'PTRM input'!$O$130)*$O$7)/A22taxstdlife))</f>
        <v>0</v>
      </c>
      <c r="AE763" s="590">
        <f>IF(A22taxstdlife="n/a","n/a",IF(AE$3&gt;(A22taxstdlife+$E763),(('PTRM input'!$O$164+'PTRM input'!$O$130)*$O$7)-SUM($O763:AD763),(('PTRM input'!$O$164+'PTRM input'!$O$130)*$O$7)/A22taxstdlife))</f>
        <v>0</v>
      </c>
      <c r="AF763" s="590">
        <f>IF(A22taxstdlife="n/a","n/a",IF(AF$3&gt;(A22taxstdlife+$E763),(('PTRM input'!$O$164+'PTRM input'!$O$130)*$O$7)-SUM($O763:AE763),(('PTRM input'!$O$164+'PTRM input'!$O$130)*$O$7)/A22taxstdlife))</f>
        <v>0</v>
      </c>
      <c r="AG763" s="590">
        <f>IF(A22taxstdlife="n/a","n/a",IF(AG$3&gt;(A22taxstdlife+$E763),(('PTRM input'!$O$164+'PTRM input'!$O$130)*$O$7)-SUM($O763:AF763),(('PTRM input'!$O$164+'PTRM input'!$O$130)*$O$7)/A22taxstdlife))</f>
        <v>0</v>
      </c>
      <c r="AH763" s="590">
        <f>IF(A22taxstdlife="n/a","n/a",IF(AH$3&gt;(A22taxstdlife+$E763),(('PTRM input'!$O$164+'PTRM input'!$O$130)*$O$7)-SUM($O763:AG763),(('PTRM input'!$O$164+'PTRM input'!$O$130)*$O$7)/A22taxstdlife))</f>
        <v>0</v>
      </c>
      <c r="AI763" s="590">
        <f>IF(A22taxstdlife="n/a","n/a",IF(AI$3&gt;(A22taxstdlife+$E763),(('PTRM input'!$O$164+'PTRM input'!$O$130)*$O$7)-SUM($O763:AH763),(('PTRM input'!$O$164+'PTRM input'!$O$130)*$O$7)/A22taxstdlife))</f>
        <v>0</v>
      </c>
      <c r="AJ763" s="590">
        <f>IF(A22taxstdlife="n/a","n/a",IF(AJ$3&gt;(A22taxstdlife+$E763),(('PTRM input'!$O$164+'PTRM input'!$O$130)*$O$7)-SUM($O763:AI763),(('PTRM input'!$O$164+'PTRM input'!$O$130)*$O$7)/A22taxstdlife))</f>
        <v>0</v>
      </c>
      <c r="AK763" s="590">
        <f>IF(A22taxstdlife="n/a","n/a",IF(AK$3&gt;(A22taxstdlife+$E763),(('PTRM input'!$O$164+'PTRM input'!$O$130)*$O$7)-SUM($O763:AJ763),(('PTRM input'!$O$164+'PTRM input'!$O$130)*$O$7)/A22taxstdlife))</f>
        <v>0</v>
      </c>
      <c r="AL763" s="590">
        <f>IF(A22taxstdlife="n/a","n/a",IF(AL$3&gt;(A22taxstdlife+$E763),(('PTRM input'!$O$164+'PTRM input'!$O$130)*$O$7)-SUM($O763:AK763),(('PTRM input'!$O$164+'PTRM input'!$O$130)*$O$7)/A22taxstdlife))</f>
        <v>0</v>
      </c>
      <c r="AM763" s="590">
        <f>IF(A22taxstdlife="n/a","n/a",IF(AM$3&gt;(A22taxstdlife+$E763),(('PTRM input'!$O$164+'PTRM input'!$O$130)*$O$7)-SUM($O763:AL763),(('PTRM input'!$O$164+'PTRM input'!$O$130)*$O$7)/A22taxstdlife))</f>
        <v>0</v>
      </c>
      <c r="AN763" s="590">
        <f>IF(A22taxstdlife="n/a","n/a",IF(AN$3&gt;(A22taxstdlife+$E763),(('PTRM input'!$O$164+'PTRM input'!$O$130)*$O$7)-SUM($O763:AM763),(('PTRM input'!$O$164+'PTRM input'!$O$130)*$O$7)/A22taxstdlife))</f>
        <v>0</v>
      </c>
      <c r="AO763" s="590">
        <f>IF(A22taxstdlife="n/a","n/a",IF(AO$3&gt;(A22taxstdlife+$E763),(('PTRM input'!$O$164+'PTRM input'!$O$130)*$O$7)-SUM($O763:AN763),(('PTRM input'!$O$164+'PTRM input'!$O$130)*$O$7)/A22taxstdlife))</f>
        <v>0</v>
      </c>
      <c r="AP763" s="590">
        <f>IF(A22taxstdlife="n/a","n/a",IF(AP$3&gt;(A22taxstdlife+$E763),(('PTRM input'!$O$164+'PTRM input'!$O$130)*$O$7)-SUM($O763:AO763),(('PTRM input'!$O$164+'PTRM input'!$O$130)*$O$7)/A22taxstdlife))</f>
        <v>0</v>
      </c>
      <c r="AQ763" s="590">
        <f>IF(A22taxstdlife="n/a","n/a",IF(AQ$3&gt;(A22taxstdlife+$E763),(('PTRM input'!$O$164+'PTRM input'!$O$130)*$O$7)-SUM($O763:AP763),(('PTRM input'!$O$164+'PTRM input'!$O$130)*$O$7)/A22taxstdlife))</f>
        <v>0</v>
      </c>
      <c r="AR763" s="590">
        <f>IF(A22taxstdlife="n/a","n/a",IF(AR$3&gt;(A22taxstdlife+$E763),(('PTRM input'!$O$164+'PTRM input'!$O$130)*$O$7)-SUM($O763:AQ763),(('PTRM input'!$O$164+'PTRM input'!$O$130)*$O$7)/A22taxstdlife))</f>
        <v>0</v>
      </c>
      <c r="AS763" s="590">
        <f>IF(A22taxstdlife="n/a","n/a",IF(AS$3&gt;(A22taxstdlife+$E763),(('PTRM input'!$O$164+'PTRM input'!$O$130)*$O$7)-SUM($O763:AR763),(('PTRM input'!$O$164+'PTRM input'!$O$130)*$O$7)/A22taxstdlife))</f>
        <v>0</v>
      </c>
      <c r="AT763" s="590">
        <f>IF(A22taxstdlife="n/a","n/a",IF(AT$3&gt;(A22taxstdlife+$E763),(('PTRM input'!$O$164+'PTRM input'!$O$130)*$O$7)-SUM($O763:AS763),(('PTRM input'!$O$164+'PTRM input'!$O$130)*$O$7)/A22taxstdlife))</f>
        <v>0</v>
      </c>
      <c r="AU763" s="590">
        <f>IF(A22taxstdlife="n/a","n/a",IF(AU$3&gt;(A22taxstdlife+$E763),(('PTRM input'!$O$164+'PTRM input'!$O$130)*$O$7)-SUM($O763:AT763),(('PTRM input'!$O$164+'PTRM input'!$O$130)*$O$7)/A22taxstdlife))</f>
        <v>0</v>
      </c>
      <c r="AV763" s="590">
        <f>IF(A22taxstdlife="n/a","n/a",IF(AV$3&gt;(A22taxstdlife+$E763),(('PTRM input'!$O$164+'PTRM input'!$O$130)*$O$7)-SUM($O763:AU763),(('PTRM input'!$O$164+'PTRM input'!$O$130)*$O$7)/A22taxstdlife))</f>
        <v>0</v>
      </c>
      <c r="AW763" s="590">
        <f>IF(A22taxstdlife="n/a","n/a",IF(AW$3&gt;(A22taxstdlife+$E763),(('PTRM input'!$O$164+'PTRM input'!$O$130)*$O$7)-SUM($O763:AV763),(('PTRM input'!$O$164+'PTRM input'!$O$130)*$O$7)/A22taxstdlife))</f>
        <v>0</v>
      </c>
      <c r="AX763" s="590">
        <f>IF(A22taxstdlife="n/a","n/a",IF(AX$3&gt;(A22taxstdlife+$E763),(('PTRM input'!$O$164+'PTRM input'!$O$130)*$O$7)-SUM($O763:AW763),(('PTRM input'!$O$164+'PTRM input'!$O$130)*$O$7)/A22taxstdlife))</f>
        <v>0</v>
      </c>
      <c r="AY763" s="590">
        <f>IF(A22taxstdlife="n/a","n/a",IF(AY$3&gt;(A22taxstdlife+$E763),(('PTRM input'!$O$164+'PTRM input'!$O$130)*$O$7)-SUM($O763:AX763),(('PTRM input'!$O$164+'PTRM input'!$O$130)*$O$7)/A22taxstdlife))</f>
        <v>0</v>
      </c>
      <c r="AZ763" s="590">
        <f>IF(A22taxstdlife="n/a","n/a",IF(AZ$3&gt;(A22taxstdlife+$E763),(('PTRM input'!$O$164+'PTRM input'!$O$130)*$O$7)-SUM($O763:AY763),(('PTRM input'!$O$164+'PTRM input'!$O$130)*$O$7)/A22taxstdlife))</f>
        <v>0</v>
      </c>
      <c r="BA763" s="590">
        <f>IF(A22taxstdlife="n/a","n/a",IF(BA$3&gt;(A22taxstdlife+$E763),(('PTRM input'!$O$164+'PTRM input'!$O$130)*$O$7)-SUM($O763:AZ763),(('PTRM input'!$O$164+'PTRM input'!$O$130)*$O$7)/A22taxstdlife))</f>
        <v>0</v>
      </c>
      <c r="BB763" s="590">
        <f>IF(A22taxstdlife="n/a","n/a",IF(BB$3&gt;(A22taxstdlife+$E763),(('PTRM input'!$O$164+'PTRM input'!$O$130)*$O$7)-SUM($O763:BA763),(('PTRM input'!$O$164+'PTRM input'!$O$130)*$O$7)/A22taxstdlife))</f>
        <v>0</v>
      </c>
      <c r="BC763" s="590">
        <f>IF(A22taxstdlife="n/a","n/a",IF(BC$3&gt;(A22taxstdlife+$E763),(('PTRM input'!$O$164+'PTRM input'!$O$130)*$O$7)-SUM($O763:BB763),(('PTRM input'!$O$164+'PTRM input'!$O$130)*$O$7)/A22taxstdlife))</f>
        <v>0</v>
      </c>
      <c r="BD763" s="590">
        <f>IF(A22taxstdlife="n/a","n/a",IF(BD$3&gt;(A22taxstdlife+$E763),(('PTRM input'!$O$164+'PTRM input'!$O$130)*$O$7)-SUM($O763:BC763),(('PTRM input'!$O$164+'PTRM input'!$O$130)*$O$7)/A22taxstdlife))</f>
        <v>0</v>
      </c>
      <c r="BE763" s="590">
        <f>IF(A22taxstdlife="n/a","n/a",IF(BE$3&gt;(A22taxstdlife+$E763),(('PTRM input'!$O$164+'PTRM input'!$O$130)*$O$7)-SUM($O763:BD763),(('PTRM input'!$O$164+'PTRM input'!$O$130)*$O$7)/A22taxstdlife))</f>
        <v>0</v>
      </c>
      <c r="BF763" s="590">
        <f>IF(A22taxstdlife="n/a","n/a",IF(BF$3&gt;(A22taxstdlife+$E763),(('PTRM input'!$O$164+'PTRM input'!$O$130)*$O$7)-SUM($O763:BE763),(('PTRM input'!$O$164+'PTRM input'!$O$130)*$O$7)/A22taxstdlife))</f>
        <v>0</v>
      </c>
      <c r="BG763" s="590">
        <f>IF(A22taxstdlife="n/a","n/a",IF(BG$3&gt;(A22taxstdlife+$E763),(('PTRM input'!$O$164+'PTRM input'!$O$130)*$O$7)-SUM($O763:BF763),(('PTRM input'!$O$164+'PTRM input'!$O$130)*$O$7)/A22taxstdlife))</f>
        <v>0</v>
      </c>
      <c r="BH763" s="590">
        <f>IF(A22taxstdlife="n/a","n/a",IF(BH$3&gt;(A22taxstdlife+$E763),(('PTRM input'!$O$164+'PTRM input'!$O$130)*$O$7)-SUM($O763:BG763),(('PTRM input'!$O$164+'PTRM input'!$O$130)*$O$7)/A22taxstdlife))</f>
        <v>0</v>
      </c>
      <c r="BI763" s="590">
        <f>IF(A22taxstdlife="n/a","n/a",IF(BI$3&gt;(A22taxstdlife+$E763),(('PTRM input'!$O$164+'PTRM input'!$O$130)*$O$7)-SUM($O763:BH763),(('PTRM input'!$O$164+'PTRM input'!$O$130)*$O$7)/A22taxstdlife))</f>
        <v>0</v>
      </c>
      <c r="BJ763" s="240"/>
      <c r="BK763" s="240"/>
      <c r="BL763" s="240"/>
      <c r="BM763" s="240"/>
    </row>
    <row r="764" spans="1:65" s="4" customFormat="1" hidden="1" outlineLevel="2">
      <c r="A764" s="240"/>
      <c r="B764" s="240"/>
      <c r="C764" s="595"/>
      <c r="D764" s="1618"/>
      <c r="E764" s="170">
        <v>10</v>
      </c>
      <c r="F764" s="35"/>
      <c r="G764" s="184"/>
      <c r="H764" s="186"/>
      <c r="I764" s="186"/>
      <c r="J764" s="186"/>
      <c r="K764" s="186"/>
      <c r="L764" s="186"/>
      <c r="M764" s="186"/>
      <c r="N764" s="186"/>
      <c r="O764" s="186"/>
      <c r="P764" s="185"/>
      <c r="Q764" s="590">
        <f>IF(A22taxstdlife="n/a","n/a",IF(Q$3&gt;(A22taxstdlife+$E764),(('PTRM input'!$P$164+'PTRM input'!$P$130)*$P$7)-SUM($P764:P764),(('PTRM input'!$P$164+'PTRM input'!$P$130)*$P$7)/A22taxstdlife))</f>
        <v>0</v>
      </c>
      <c r="R764" s="590">
        <f>IF(A22taxstdlife="n/a","n/a",IF(R$3&gt;(A22taxstdlife+$E764),(('PTRM input'!$P$164+'PTRM input'!$P$130)*$P$7)-SUM($P764:Q764),(('PTRM input'!$P$164+'PTRM input'!$P$130)*$P$7)/A22taxstdlife))</f>
        <v>0</v>
      </c>
      <c r="S764" s="590">
        <f>IF(A22taxstdlife="n/a","n/a",IF(S$3&gt;(A22taxstdlife+$E764),(('PTRM input'!$P$164+'PTRM input'!$P$130)*$P$7)-SUM($P764:R764),(('PTRM input'!$P$164+'PTRM input'!$P$130)*$P$7)/A22taxstdlife))</f>
        <v>0</v>
      </c>
      <c r="T764" s="590">
        <f>IF(A22taxstdlife="n/a","n/a",IF(T$3&gt;(A22taxstdlife+$E764),(('PTRM input'!$P$164+'PTRM input'!$P$130)*$P$7)-SUM($P764:S764),(('PTRM input'!$P$164+'PTRM input'!$P$130)*$P$7)/A22taxstdlife))</f>
        <v>0</v>
      </c>
      <c r="U764" s="590">
        <f>IF(A22taxstdlife="n/a","n/a",IF(U$3&gt;(A22taxstdlife+$E764),(('PTRM input'!$P$164+'PTRM input'!$P$130)*$P$7)-SUM($P764:T764),(('PTRM input'!$P$164+'PTRM input'!$P$130)*$P$7)/A22taxstdlife))</f>
        <v>0</v>
      </c>
      <c r="V764" s="590">
        <f>IF(A22taxstdlife="n/a","n/a",IF(V$3&gt;(A22taxstdlife+$E764),(('PTRM input'!$P$164+'PTRM input'!$P$130)*$P$7)-SUM($P764:U764),(('PTRM input'!$P$164+'PTRM input'!$P$130)*$P$7)/A22taxstdlife))</f>
        <v>0</v>
      </c>
      <c r="W764" s="590">
        <f>IF(A22taxstdlife="n/a","n/a",IF(W$3&gt;(A22taxstdlife+$E764),(('PTRM input'!$P$164+'PTRM input'!$P$130)*$P$7)-SUM($P764:V764),(('PTRM input'!$P$164+'PTRM input'!$P$130)*$P$7)/A22taxstdlife))</f>
        <v>0</v>
      </c>
      <c r="X764" s="590">
        <f>IF(A22taxstdlife="n/a","n/a",IF(X$3&gt;(A22taxstdlife+$E764),(('PTRM input'!$P$164+'PTRM input'!$P$130)*$P$7)-SUM($P764:W764),(('PTRM input'!$P$164+'PTRM input'!$P$130)*$P$7)/A22taxstdlife))</f>
        <v>0</v>
      </c>
      <c r="Y764" s="590">
        <f>IF(A22taxstdlife="n/a","n/a",IF(Y$3&gt;(A22taxstdlife+$E764),(('PTRM input'!$P$164+'PTRM input'!$P$130)*$P$7)-SUM($P764:X764),(('PTRM input'!$P$164+'PTRM input'!$P$130)*$P$7)/A22taxstdlife))</f>
        <v>0</v>
      </c>
      <c r="Z764" s="590">
        <f>IF(A22taxstdlife="n/a","n/a",IF(Z$3&gt;(A22taxstdlife+$E764),(('PTRM input'!$P$164+'PTRM input'!$P$130)*$P$7)-SUM($P764:Y764),(('PTRM input'!$P$164+'PTRM input'!$P$130)*$P$7)/A22taxstdlife))</f>
        <v>0</v>
      </c>
      <c r="AA764" s="590">
        <f>IF(A22taxstdlife="n/a","n/a",IF(AA$3&gt;(A22taxstdlife+$E764),(('PTRM input'!$P$164+'PTRM input'!$P$130)*$P$7)-SUM($P764:Z764),(('PTRM input'!$P$164+'PTRM input'!$P$130)*$P$7)/A22taxstdlife))</f>
        <v>0</v>
      </c>
      <c r="AB764" s="590">
        <f>IF(A22taxstdlife="n/a","n/a",IF(AB$3&gt;(A22taxstdlife+$E764),(('PTRM input'!$P$164+'PTRM input'!$P$130)*$P$7)-SUM($P764:AA764),(('PTRM input'!$P$164+'PTRM input'!$P$130)*$P$7)/A22taxstdlife))</f>
        <v>0</v>
      </c>
      <c r="AC764" s="590">
        <f>IF(A22taxstdlife="n/a","n/a",IF(AC$3&gt;(A22taxstdlife+$E764),(('PTRM input'!$P$164+'PTRM input'!$P$130)*$P$7)-SUM($P764:AB764),(('PTRM input'!$P$164+'PTRM input'!$P$130)*$P$7)/A22taxstdlife))</f>
        <v>0</v>
      </c>
      <c r="AD764" s="590">
        <f>IF(A22taxstdlife="n/a","n/a",IF(AD$3&gt;(A22taxstdlife+$E764),(('PTRM input'!$P$164+'PTRM input'!$P$130)*$P$7)-SUM($P764:AC764),(('PTRM input'!$P$164+'PTRM input'!$P$130)*$P$7)/A22taxstdlife))</f>
        <v>0</v>
      </c>
      <c r="AE764" s="590">
        <f>IF(A22taxstdlife="n/a","n/a",IF(AE$3&gt;(A22taxstdlife+$E764),(('PTRM input'!$P$164+'PTRM input'!$P$130)*$P$7)-SUM($P764:AD764),(('PTRM input'!$P$164+'PTRM input'!$P$130)*$P$7)/A22taxstdlife))</f>
        <v>0</v>
      </c>
      <c r="AF764" s="590">
        <f>IF(A22taxstdlife="n/a","n/a",IF(AF$3&gt;(A22taxstdlife+$E764),(('PTRM input'!$P$164+'PTRM input'!$P$130)*$P$7)-SUM($P764:AE764),(('PTRM input'!$P$164+'PTRM input'!$P$130)*$P$7)/A22taxstdlife))</f>
        <v>0</v>
      </c>
      <c r="AG764" s="590">
        <f>IF(A22taxstdlife="n/a","n/a",IF(AG$3&gt;(A22taxstdlife+$E764),(('PTRM input'!$P$164+'PTRM input'!$P$130)*$P$7)-SUM($P764:AF764),(('PTRM input'!$P$164+'PTRM input'!$P$130)*$P$7)/A22taxstdlife))</f>
        <v>0</v>
      </c>
      <c r="AH764" s="590">
        <f>IF(A22taxstdlife="n/a","n/a",IF(AH$3&gt;(A22taxstdlife+$E764),(('PTRM input'!$P$164+'PTRM input'!$P$130)*$P$7)-SUM($P764:AG764),(('PTRM input'!$P$164+'PTRM input'!$P$130)*$P$7)/A22taxstdlife))</f>
        <v>0</v>
      </c>
      <c r="AI764" s="590">
        <f>IF(A22taxstdlife="n/a","n/a",IF(AI$3&gt;(A22taxstdlife+$E764),(('PTRM input'!$P$164+'PTRM input'!$P$130)*$P$7)-SUM($P764:AH764),(('PTRM input'!$P$164+'PTRM input'!$P$130)*$P$7)/A22taxstdlife))</f>
        <v>0</v>
      </c>
      <c r="AJ764" s="590">
        <f>IF(A22taxstdlife="n/a","n/a",IF(AJ$3&gt;(A22taxstdlife+$E764),(('PTRM input'!$P$164+'PTRM input'!$P$130)*$P$7)-SUM($P764:AI764),(('PTRM input'!$P$164+'PTRM input'!$P$130)*$P$7)/A22taxstdlife))</f>
        <v>0</v>
      </c>
      <c r="AK764" s="590">
        <f>IF(A22taxstdlife="n/a","n/a",IF(AK$3&gt;(A22taxstdlife+$E764),(('PTRM input'!$P$164+'PTRM input'!$P$130)*$P$7)-SUM($P764:AJ764),(('PTRM input'!$P$164+'PTRM input'!$P$130)*$P$7)/A22taxstdlife))</f>
        <v>0</v>
      </c>
      <c r="AL764" s="590">
        <f>IF(A22taxstdlife="n/a","n/a",IF(AL$3&gt;(A22taxstdlife+$E764),(('PTRM input'!$P$164+'PTRM input'!$P$130)*$P$7)-SUM($P764:AK764),(('PTRM input'!$P$164+'PTRM input'!$P$130)*$P$7)/A22taxstdlife))</f>
        <v>0</v>
      </c>
      <c r="AM764" s="590">
        <f>IF(A22taxstdlife="n/a","n/a",IF(AM$3&gt;(A22taxstdlife+$E764),(('PTRM input'!$P$164+'PTRM input'!$P$130)*$P$7)-SUM($P764:AL764),(('PTRM input'!$P$164+'PTRM input'!$P$130)*$P$7)/A22taxstdlife))</f>
        <v>0</v>
      </c>
      <c r="AN764" s="590">
        <f>IF(A22taxstdlife="n/a","n/a",IF(AN$3&gt;(A22taxstdlife+$E764),(('PTRM input'!$P$164+'PTRM input'!$P$130)*$P$7)-SUM($P764:AM764),(('PTRM input'!$P$164+'PTRM input'!$P$130)*$P$7)/A22taxstdlife))</f>
        <v>0</v>
      </c>
      <c r="AO764" s="590">
        <f>IF(A22taxstdlife="n/a","n/a",IF(AO$3&gt;(A22taxstdlife+$E764),(('PTRM input'!$P$164+'PTRM input'!$P$130)*$P$7)-SUM($P764:AN764),(('PTRM input'!$P$164+'PTRM input'!$P$130)*$P$7)/A22taxstdlife))</f>
        <v>0</v>
      </c>
      <c r="AP764" s="590">
        <f>IF(A22taxstdlife="n/a","n/a",IF(AP$3&gt;(A22taxstdlife+$E764),(('PTRM input'!$P$164+'PTRM input'!$P$130)*$P$7)-SUM($P764:AO764),(('PTRM input'!$P$164+'PTRM input'!$P$130)*$P$7)/A22taxstdlife))</f>
        <v>0</v>
      </c>
      <c r="AQ764" s="590">
        <f>IF(A22taxstdlife="n/a","n/a",IF(AQ$3&gt;(A22taxstdlife+$E764),(('PTRM input'!$P$164+'PTRM input'!$P$130)*$P$7)-SUM($P764:AP764),(('PTRM input'!$P$164+'PTRM input'!$P$130)*$P$7)/A22taxstdlife))</f>
        <v>0</v>
      </c>
      <c r="AR764" s="590">
        <f>IF(A22taxstdlife="n/a","n/a",IF(AR$3&gt;(A22taxstdlife+$E764),(('PTRM input'!$P$164+'PTRM input'!$P$130)*$P$7)-SUM($P764:AQ764),(('PTRM input'!$P$164+'PTRM input'!$P$130)*$P$7)/A22taxstdlife))</f>
        <v>0</v>
      </c>
      <c r="AS764" s="590">
        <f>IF(A22taxstdlife="n/a","n/a",IF(AS$3&gt;(A22taxstdlife+$E764),(('PTRM input'!$P$164+'PTRM input'!$P$130)*$P$7)-SUM($P764:AR764),(('PTRM input'!$P$164+'PTRM input'!$P$130)*$P$7)/A22taxstdlife))</f>
        <v>0</v>
      </c>
      <c r="AT764" s="590">
        <f>IF(A22taxstdlife="n/a","n/a",IF(AT$3&gt;(A22taxstdlife+$E764),(('PTRM input'!$P$164+'PTRM input'!$P$130)*$P$7)-SUM($P764:AS764),(('PTRM input'!$P$164+'PTRM input'!$P$130)*$P$7)/A22taxstdlife))</f>
        <v>0</v>
      </c>
      <c r="AU764" s="590">
        <f>IF(A22taxstdlife="n/a","n/a",IF(AU$3&gt;(A22taxstdlife+$E764),(('PTRM input'!$P$164+'PTRM input'!$P$130)*$P$7)-SUM($P764:AT764),(('PTRM input'!$P$164+'PTRM input'!$P$130)*$P$7)/A22taxstdlife))</f>
        <v>0</v>
      </c>
      <c r="AV764" s="590">
        <f>IF(A22taxstdlife="n/a","n/a",IF(AV$3&gt;(A22taxstdlife+$E764),(('PTRM input'!$P$164+'PTRM input'!$P$130)*$P$7)-SUM($P764:AU764),(('PTRM input'!$P$164+'PTRM input'!$P$130)*$P$7)/A22taxstdlife))</f>
        <v>0</v>
      </c>
      <c r="AW764" s="590">
        <f>IF(A22taxstdlife="n/a","n/a",IF(AW$3&gt;(A22taxstdlife+$E764),(('PTRM input'!$P$164+'PTRM input'!$P$130)*$P$7)-SUM($P764:AV764),(('PTRM input'!$P$164+'PTRM input'!$P$130)*$P$7)/A22taxstdlife))</f>
        <v>0</v>
      </c>
      <c r="AX764" s="590">
        <f>IF(A22taxstdlife="n/a","n/a",IF(AX$3&gt;(A22taxstdlife+$E764),(('PTRM input'!$P$164+'PTRM input'!$P$130)*$P$7)-SUM($P764:AW764),(('PTRM input'!$P$164+'PTRM input'!$P$130)*$P$7)/A22taxstdlife))</f>
        <v>0</v>
      </c>
      <c r="AY764" s="590">
        <f>IF(A22taxstdlife="n/a","n/a",IF(AY$3&gt;(A22taxstdlife+$E764),(('PTRM input'!$P$164+'PTRM input'!$P$130)*$P$7)-SUM($P764:AX764),(('PTRM input'!$P$164+'PTRM input'!$P$130)*$P$7)/A22taxstdlife))</f>
        <v>0</v>
      </c>
      <c r="AZ764" s="590">
        <f>IF(A22taxstdlife="n/a","n/a",IF(AZ$3&gt;(A22taxstdlife+$E764),(('PTRM input'!$P$164+'PTRM input'!$P$130)*$P$7)-SUM($P764:AY764),(('PTRM input'!$P$164+'PTRM input'!$P$130)*$P$7)/A22taxstdlife))</f>
        <v>0</v>
      </c>
      <c r="BA764" s="590">
        <f>IF(A22taxstdlife="n/a","n/a",IF(BA$3&gt;(A22taxstdlife+$E764),(('PTRM input'!$P$164+'PTRM input'!$P$130)*$P$7)-SUM($P764:AZ764),(('PTRM input'!$P$164+'PTRM input'!$P$130)*$P$7)/A22taxstdlife))</f>
        <v>0</v>
      </c>
      <c r="BB764" s="590">
        <f>IF(A22taxstdlife="n/a","n/a",IF(BB$3&gt;(A22taxstdlife+$E764),(('PTRM input'!$P$164+'PTRM input'!$P$130)*$P$7)-SUM($P764:BA764),(('PTRM input'!$P$164+'PTRM input'!$P$130)*$P$7)/A22taxstdlife))</f>
        <v>0</v>
      </c>
      <c r="BC764" s="590">
        <f>IF(A22taxstdlife="n/a","n/a",IF(BC$3&gt;(A22taxstdlife+$E764),(('PTRM input'!$P$164+'PTRM input'!$P$130)*$P$7)-SUM($P764:BB764),(('PTRM input'!$P$164+'PTRM input'!$P$130)*$P$7)/A22taxstdlife))</f>
        <v>0</v>
      </c>
      <c r="BD764" s="590">
        <f>IF(A22taxstdlife="n/a","n/a",IF(BD$3&gt;(A22taxstdlife+$E764),(('PTRM input'!$P$164+'PTRM input'!$P$130)*$P$7)-SUM($P764:BC764),(('PTRM input'!$P$164+'PTRM input'!$P$130)*$P$7)/A22taxstdlife))</f>
        <v>0</v>
      </c>
      <c r="BE764" s="590">
        <f>IF(A22taxstdlife="n/a","n/a",IF(BE$3&gt;(A22taxstdlife+$E764),(('PTRM input'!$P$164+'PTRM input'!$P$130)*$P$7)-SUM($P764:BD764),(('PTRM input'!$P$164+'PTRM input'!$P$130)*$P$7)/A22taxstdlife))</f>
        <v>0</v>
      </c>
      <c r="BF764" s="590">
        <f>IF(A22taxstdlife="n/a","n/a",IF(BF$3&gt;(A22taxstdlife+$E764),(('PTRM input'!$P$164+'PTRM input'!$P$130)*$P$7)-SUM($P764:BE764),(('PTRM input'!$P$164+'PTRM input'!$P$130)*$P$7)/A22taxstdlife))</f>
        <v>0</v>
      </c>
      <c r="BG764" s="590">
        <f>IF(A22taxstdlife="n/a","n/a",IF(BG$3&gt;(A22taxstdlife+$E764),(('PTRM input'!$P$164+'PTRM input'!$P$130)*$P$7)-SUM($P764:BF764),(('PTRM input'!$P$164+'PTRM input'!$P$130)*$P$7)/A22taxstdlife))</f>
        <v>0</v>
      </c>
      <c r="BH764" s="590">
        <f>IF(A22taxstdlife="n/a","n/a",IF(BH$3&gt;(A22taxstdlife+$E764),(('PTRM input'!$P$164+'PTRM input'!$P$130)*$P$7)-SUM($P764:BG764),(('PTRM input'!$P$164+'PTRM input'!$P$130)*$P$7)/A22taxstdlife))</f>
        <v>0</v>
      </c>
      <c r="BI764" s="590">
        <f>IF(A22taxstdlife="n/a","n/a",IF(BI$3&gt;(A22taxstdlife+$E764),(('PTRM input'!$P$164+'PTRM input'!$P$130)*$P$7)-SUM($P764:BH764),(('PTRM input'!$P$164+'PTRM input'!$P$130)*$P$7)/A22taxstdlife))</f>
        <v>0</v>
      </c>
      <c r="BJ764" s="240"/>
      <c r="BK764" s="240"/>
      <c r="BL764" s="240"/>
      <c r="BM764" s="240"/>
    </row>
    <row r="765" spans="1:65" s="4" customFormat="1" hidden="1" outlineLevel="1">
      <c r="A765" s="240"/>
      <c r="B765" s="240"/>
      <c r="C765" s="595">
        <f>Asset22</f>
        <v>0</v>
      </c>
      <c r="D765" s="240"/>
      <c r="E765" s="240"/>
      <c r="F765" s="596"/>
      <c r="G765" s="591">
        <f t="shared" ref="G765:AL765" si="148">SUM(G753:G764)</f>
        <v>0</v>
      </c>
      <c r="H765" s="591">
        <f t="shared" si="148"/>
        <v>0</v>
      </c>
      <c r="I765" s="591">
        <f t="shared" si="148"/>
        <v>0</v>
      </c>
      <c r="J765" s="591">
        <f t="shared" si="148"/>
        <v>0</v>
      </c>
      <c r="K765" s="591">
        <f t="shared" si="148"/>
        <v>0</v>
      </c>
      <c r="L765" s="591">
        <f t="shared" si="148"/>
        <v>0</v>
      </c>
      <c r="M765" s="591">
        <f t="shared" si="148"/>
        <v>0</v>
      </c>
      <c r="N765" s="591">
        <f t="shared" si="148"/>
        <v>0</v>
      </c>
      <c r="O765" s="591">
        <f t="shared" si="148"/>
        <v>0</v>
      </c>
      <c r="P765" s="591">
        <f t="shared" si="148"/>
        <v>0</v>
      </c>
      <c r="Q765" s="591">
        <f t="shared" si="148"/>
        <v>0</v>
      </c>
      <c r="R765" s="591">
        <f t="shared" si="148"/>
        <v>0</v>
      </c>
      <c r="S765" s="591">
        <f t="shared" si="148"/>
        <v>0</v>
      </c>
      <c r="T765" s="591">
        <f t="shared" si="148"/>
        <v>0</v>
      </c>
      <c r="U765" s="591">
        <f t="shared" si="148"/>
        <v>0</v>
      </c>
      <c r="V765" s="591">
        <f t="shared" si="148"/>
        <v>0</v>
      </c>
      <c r="W765" s="591">
        <f t="shared" si="148"/>
        <v>0</v>
      </c>
      <c r="X765" s="591">
        <f t="shared" si="148"/>
        <v>0</v>
      </c>
      <c r="Y765" s="591">
        <f t="shared" si="148"/>
        <v>0</v>
      </c>
      <c r="Z765" s="591">
        <f t="shared" si="148"/>
        <v>0</v>
      </c>
      <c r="AA765" s="591">
        <f t="shared" si="148"/>
        <v>0</v>
      </c>
      <c r="AB765" s="591">
        <f t="shared" si="148"/>
        <v>0</v>
      </c>
      <c r="AC765" s="591">
        <f t="shared" si="148"/>
        <v>0</v>
      </c>
      <c r="AD765" s="591">
        <f t="shared" si="148"/>
        <v>0</v>
      </c>
      <c r="AE765" s="591">
        <f t="shared" si="148"/>
        <v>0</v>
      </c>
      <c r="AF765" s="591">
        <f t="shared" si="148"/>
        <v>0</v>
      </c>
      <c r="AG765" s="591">
        <f t="shared" si="148"/>
        <v>0</v>
      </c>
      <c r="AH765" s="591">
        <f t="shared" si="148"/>
        <v>0</v>
      </c>
      <c r="AI765" s="591">
        <f t="shared" si="148"/>
        <v>0</v>
      </c>
      <c r="AJ765" s="591">
        <f t="shared" si="148"/>
        <v>0</v>
      </c>
      <c r="AK765" s="591">
        <f t="shared" si="148"/>
        <v>0</v>
      </c>
      <c r="AL765" s="591">
        <f t="shared" si="148"/>
        <v>0</v>
      </c>
      <c r="AM765" s="591">
        <f t="shared" ref="AM765:BI765" si="149">SUM(AM753:AM764)</f>
        <v>0</v>
      </c>
      <c r="AN765" s="591">
        <f t="shared" si="149"/>
        <v>0</v>
      </c>
      <c r="AO765" s="591">
        <f t="shared" si="149"/>
        <v>0</v>
      </c>
      <c r="AP765" s="591">
        <f t="shared" si="149"/>
        <v>0</v>
      </c>
      <c r="AQ765" s="591">
        <f t="shared" si="149"/>
        <v>0</v>
      </c>
      <c r="AR765" s="591">
        <f t="shared" si="149"/>
        <v>0</v>
      </c>
      <c r="AS765" s="591">
        <f t="shared" si="149"/>
        <v>0</v>
      </c>
      <c r="AT765" s="591">
        <f t="shared" si="149"/>
        <v>0</v>
      </c>
      <c r="AU765" s="591">
        <f t="shared" si="149"/>
        <v>0</v>
      </c>
      <c r="AV765" s="591">
        <f t="shared" si="149"/>
        <v>0</v>
      </c>
      <c r="AW765" s="591">
        <f t="shared" si="149"/>
        <v>0</v>
      </c>
      <c r="AX765" s="591">
        <f t="shared" si="149"/>
        <v>0</v>
      </c>
      <c r="AY765" s="591">
        <f t="shared" si="149"/>
        <v>0</v>
      </c>
      <c r="AZ765" s="591">
        <f t="shared" si="149"/>
        <v>0</v>
      </c>
      <c r="BA765" s="591">
        <f t="shared" si="149"/>
        <v>0</v>
      </c>
      <c r="BB765" s="591">
        <f t="shared" si="149"/>
        <v>0</v>
      </c>
      <c r="BC765" s="591">
        <f t="shared" si="149"/>
        <v>0</v>
      </c>
      <c r="BD765" s="591">
        <f t="shared" si="149"/>
        <v>0</v>
      </c>
      <c r="BE765" s="591">
        <f t="shared" si="149"/>
        <v>0</v>
      </c>
      <c r="BF765" s="591">
        <f t="shared" si="149"/>
        <v>0</v>
      </c>
      <c r="BG765" s="591">
        <f t="shared" si="149"/>
        <v>0</v>
      </c>
      <c r="BH765" s="591">
        <f t="shared" si="149"/>
        <v>0</v>
      </c>
      <c r="BI765" s="591">
        <f t="shared" si="149"/>
        <v>0</v>
      </c>
      <c r="BJ765" s="240"/>
      <c r="BK765" s="240"/>
      <c r="BL765" s="240"/>
      <c r="BM765" s="240"/>
    </row>
    <row r="766" spans="1:65" s="4" customFormat="1" hidden="1" outlineLevel="2">
      <c r="A766" s="240"/>
      <c r="B766" s="597">
        <f>C778</f>
        <v>0</v>
      </c>
      <c r="C766" s="488"/>
      <c r="D766" s="598" t="s">
        <v>58</v>
      </c>
      <c r="E766" s="488"/>
      <c r="F766" s="599"/>
      <c r="G766" s="592">
        <f>IF(G$3&gt;A23taxremlife,A23taxvalue-SUM($F766:F766),IF(A23taxremlife="N/A","n/a",A23taxvalue/A23taxremlife))</f>
        <v>0</v>
      </c>
      <c r="H766" s="592">
        <f>IF(H$3&gt;A23taxremlife,A23taxvalue-SUM($F766:G766),IF(A23taxremlife="N/A","n/a",A23taxvalue/A23taxremlife))</f>
        <v>0</v>
      </c>
      <c r="I766" s="592">
        <f>IF(I$3&gt;A23taxremlife,A23taxvalue-SUM($F766:H766),IF(A23taxremlife="N/A","n/a",A23taxvalue/A23taxremlife))</f>
        <v>0</v>
      </c>
      <c r="J766" s="592">
        <f>IF(J$3&gt;A23taxremlife,A23taxvalue-SUM($F766:I766),IF(A23taxremlife="N/A","n/a",A23taxvalue/A23taxremlife))</f>
        <v>0</v>
      </c>
      <c r="K766" s="592">
        <f>IF(K$3&gt;A23taxremlife,A23taxvalue-SUM($F766:J766),IF(A23taxremlife="N/A","n/a",A23taxvalue/A23taxremlife))</f>
        <v>0</v>
      </c>
      <c r="L766" s="592">
        <f>IF(L$3&gt;A23taxremlife,A23taxvalue-SUM($F766:K766),IF(A23taxremlife="N/A","n/a",A23taxvalue/A23taxremlife))</f>
        <v>0</v>
      </c>
      <c r="M766" s="592">
        <f>IF(M$3&gt;A23taxremlife,A23taxvalue-SUM($F766:L766),IF(A23taxremlife="N/A","n/a",A23taxvalue/A23taxremlife))</f>
        <v>0</v>
      </c>
      <c r="N766" s="592">
        <f>IF(N$3&gt;A23taxremlife,A23taxvalue-SUM($F766:M766),IF(A23taxremlife="N/A","n/a",A23taxvalue/A23taxremlife))</f>
        <v>0</v>
      </c>
      <c r="O766" s="592">
        <f>IF(O$3&gt;A23taxremlife,A23taxvalue-SUM($F766:N766),IF(A23taxremlife="N/A","n/a",A23taxvalue/A23taxremlife))</f>
        <v>0</v>
      </c>
      <c r="P766" s="592">
        <f>IF(P$3&gt;A23taxremlife,A23taxvalue-SUM($F766:O766),IF(A23taxremlife="N/A","n/a",A23taxvalue/A23taxremlife))</f>
        <v>0</v>
      </c>
      <c r="Q766" s="592">
        <f>IF(Q$3&gt;A23taxremlife,A23taxvalue-SUM($F766:P766),IF(A23taxremlife="N/A","n/a",A23taxvalue/A23taxremlife))</f>
        <v>0</v>
      </c>
      <c r="R766" s="592">
        <f>IF(R$3&gt;A23taxremlife,A23taxvalue-SUM($F766:Q766),IF(A23taxremlife="N/A","n/a",A23taxvalue/A23taxremlife))</f>
        <v>0</v>
      </c>
      <c r="S766" s="592">
        <f>IF(S$3&gt;A23taxremlife,A23taxvalue-SUM($F766:R766),IF(A23taxremlife="N/A","n/a",A23taxvalue/A23taxremlife))</f>
        <v>0</v>
      </c>
      <c r="T766" s="592">
        <f>IF(T$3&gt;A23taxremlife,A23taxvalue-SUM($F766:S766),IF(A23taxremlife="N/A","n/a",A23taxvalue/A23taxremlife))</f>
        <v>0</v>
      </c>
      <c r="U766" s="592">
        <f>IF(U$3&gt;A23taxremlife,A23taxvalue-SUM($F766:T766),IF(A23taxremlife="N/A","n/a",A23taxvalue/A23taxremlife))</f>
        <v>0</v>
      </c>
      <c r="V766" s="592">
        <f>IF(V$3&gt;A23taxremlife,A23taxvalue-SUM($F766:U766),IF(A23taxremlife="N/A","n/a",A23taxvalue/A23taxremlife))</f>
        <v>0</v>
      </c>
      <c r="W766" s="592">
        <f>IF(W$3&gt;A23taxremlife,A23taxvalue-SUM($F766:V766),IF(A23taxremlife="N/A","n/a",A23taxvalue/A23taxremlife))</f>
        <v>0</v>
      </c>
      <c r="X766" s="592">
        <f>IF(X$3&gt;A23taxremlife,A23taxvalue-SUM($F766:W766),IF(A23taxremlife="N/A","n/a",A23taxvalue/A23taxremlife))</f>
        <v>0</v>
      </c>
      <c r="Y766" s="592">
        <f>IF(Y$3&gt;A23taxremlife,A23taxvalue-SUM($F766:X766),IF(A23taxremlife="N/A","n/a",A23taxvalue/A23taxremlife))</f>
        <v>0</v>
      </c>
      <c r="Z766" s="592">
        <f>IF(Z$3&gt;A23taxremlife,A23taxvalue-SUM($F766:Y766),IF(A23taxremlife="N/A","n/a",A23taxvalue/A23taxremlife))</f>
        <v>0</v>
      </c>
      <c r="AA766" s="592">
        <f>IF(AA$3&gt;A23taxremlife,A23taxvalue-SUM($F766:Z766),IF(A23taxremlife="N/A","n/a",A23taxvalue/A23taxremlife))</f>
        <v>0</v>
      </c>
      <c r="AB766" s="592">
        <f>IF(AB$3&gt;A23taxremlife,A23taxvalue-SUM($F766:AA766),IF(A23taxremlife="N/A","n/a",A23taxvalue/A23taxremlife))</f>
        <v>0</v>
      </c>
      <c r="AC766" s="592">
        <f>IF(AC$3&gt;A23taxremlife,A23taxvalue-SUM($F766:AB766),IF(A23taxremlife="N/A","n/a",A23taxvalue/A23taxremlife))</f>
        <v>0</v>
      </c>
      <c r="AD766" s="592">
        <f>IF(AD$3&gt;A23taxremlife,A23taxvalue-SUM($F766:AC766),IF(A23taxremlife="N/A","n/a",A23taxvalue/A23taxremlife))</f>
        <v>0</v>
      </c>
      <c r="AE766" s="592">
        <f>IF(AE$3&gt;A23taxremlife,A23taxvalue-SUM($F766:AD766),IF(A23taxremlife="N/A","n/a",A23taxvalue/A23taxremlife))</f>
        <v>0</v>
      </c>
      <c r="AF766" s="592">
        <f>IF(AF$3&gt;A23taxremlife,A23taxvalue-SUM($F766:AE766),IF(A23taxremlife="N/A","n/a",A23taxvalue/A23taxremlife))</f>
        <v>0</v>
      </c>
      <c r="AG766" s="592">
        <f>IF(AG$3&gt;A23taxremlife,A23taxvalue-SUM($F766:AF766),IF(A23taxremlife="N/A","n/a",A23taxvalue/A23taxremlife))</f>
        <v>0</v>
      </c>
      <c r="AH766" s="592">
        <f>IF(AH$3&gt;A23taxremlife,A23taxvalue-SUM($F766:AG766),IF(A23taxremlife="N/A","n/a",A23taxvalue/A23taxremlife))</f>
        <v>0</v>
      </c>
      <c r="AI766" s="592">
        <f>IF(AI$3&gt;A23taxremlife,A23taxvalue-SUM($F766:AH766),IF(A23taxremlife="N/A","n/a",A23taxvalue/A23taxremlife))</f>
        <v>0</v>
      </c>
      <c r="AJ766" s="592">
        <f>IF(AJ$3&gt;A23taxremlife,A23taxvalue-SUM($F766:AI766),IF(A23taxremlife="N/A","n/a",A23taxvalue/A23taxremlife))</f>
        <v>0</v>
      </c>
      <c r="AK766" s="592">
        <f>IF(AK$3&gt;A23taxremlife,A23taxvalue-SUM($F766:AJ766),IF(A23taxremlife="N/A","n/a",A23taxvalue/A23taxremlife))</f>
        <v>0</v>
      </c>
      <c r="AL766" s="592">
        <f>IF(AL$3&gt;A23taxremlife,A23taxvalue-SUM($F766:AK766),IF(A23taxremlife="N/A","n/a",A23taxvalue/A23taxremlife))</f>
        <v>0</v>
      </c>
      <c r="AM766" s="592">
        <f>IF(AM$3&gt;A23taxremlife,A23taxvalue-SUM($F766:AL766),IF(A23taxremlife="N/A","n/a",A23taxvalue/A23taxremlife))</f>
        <v>0</v>
      </c>
      <c r="AN766" s="592">
        <f>IF(AN$3&gt;A23taxremlife,A23taxvalue-SUM($F766:AM766),IF(A23taxremlife="N/A","n/a",A23taxvalue/A23taxremlife))</f>
        <v>0</v>
      </c>
      <c r="AO766" s="592">
        <f>IF(AO$3&gt;A23taxremlife,A23taxvalue-SUM($F766:AN766),IF(A23taxremlife="N/A","n/a",A23taxvalue/A23taxremlife))</f>
        <v>0</v>
      </c>
      <c r="AP766" s="592">
        <f>IF(AP$3&gt;A23taxremlife,A23taxvalue-SUM($F766:AO766),IF(A23taxremlife="N/A","n/a",A23taxvalue/A23taxremlife))</f>
        <v>0</v>
      </c>
      <c r="AQ766" s="592">
        <f>IF(AQ$3&gt;A23taxremlife,A23taxvalue-SUM($F766:AP766),IF(A23taxremlife="N/A","n/a",A23taxvalue/A23taxremlife))</f>
        <v>0</v>
      </c>
      <c r="AR766" s="592">
        <f>IF(AR$3&gt;A23taxremlife,A23taxvalue-SUM($F766:AQ766),IF(A23taxremlife="N/A","n/a",A23taxvalue/A23taxremlife))</f>
        <v>0</v>
      </c>
      <c r="AS766" s="592">
        <f>IF(AS$3&gt;A23taxremlife,A23taxvalue-SUM($F766:AR766),IF(A23taxremlife="N/A","n/a",A23taxvalue/A23taxremlife))</f>
        <v>0</v>
      </c>
      <c r="AT766" s="592">
        <f>IF(AT$3&gt;A23taxremlife,A23taxvalue-SUM($F766:AS766),IF(A23taxremlife="N/A","n/a",A23taxvalue/A23taxremlife))</f>
        <v>0</v>
      </c>
      <c r="AU766" s="592">
        <f>IF(AU$3&gt;A23taxremlife,A23taxvalue-SUM($F766:AT766),IF(A23taxremlife="N/A","n/a",A23taxvalue/A23taxremlife))</f>
        <v>0</v>
      </c>
      <c r="AV766" s="592">
        <f>IF(AV$3&gt;A23taxremlife,A23taxvalue-SUM($F766:AU766),IF(A23taxremlife="N/A","n/a",A23taxvalue/A23taxremlife))</f>
        <v>0</v>
      </c>
      <c r="AW766" s="592">
        <f>IF(AW$3&gt;A23taxremlife,A23taxvalue-SUM($F766:AV766),IF(A23taxremlife="N/A","n/a",A23taxvalue/A23taxremlife))</f>
        <v>0</v>
      </c>
      <c r="AX766" s="592">
        <f>IF(AX$3&gt;A23taxremlife,A23taxvalue-SUM($F766:AW766),IF(A23taxremlife="N/A","n/a",A23taxvalue/A23taxremlife))</f>
        <v>0</v>
      </c>
      <c r="AY766" s="592">
        <f>IF(AY$3&gt;A23taxremlife,A23taxvalue-SUM($F766:AX766),IF(A23taxremlife="N/A","n/a",A23taxvalue/A23taxremlife))</f>
        <v>0</v>
      </c>
      <c r="AZ766" s="592">
        <f>IF(AZ$3&gt;A23taxremlife,A23taxvalue-SUM($F766:AY766),IF(A23taxremlife="N/A","n/a",A23taxvalue/A23taxremlife))</f>
        <v>0</v>
      </c>
      <c r="BA766" s="592">
        <f>IF(BA$3&gt;A23taxremlife,A23taxvalue-SUM($F766:AZ766),IF(A23taxremlife="N/A","n/a",A23taxvalue/A23taxremlife))</f>
        <v>0</v>
      </c>
      <c r="BB766" s="592">
        <f>IF(BB$3&gt;A23taxremlife,A23taxvalue-SUM($F766:BA766),IF(A23taxremlife="N/A","n/a",A23taxvalue/A23taxremlife))</f>
        <v>0</v>
      </c>
      <c r="BC766" s="592">
        <f>IF(BC$3&gt;A23taxremlife,A23taxvalue-SUM($F766:BB766),IF(A23taxremlife="N/A","n/a",A23taxvalue/A23taxremlife))</f>
        <v>0</v>
      </c>
      <c r="BD766" s="592">
        <f>IF(BD$3&gt;A23taxremlife,A23taxvalue-SUM($F766:BC766),IF(A23taxremlife="N/A","n/a",A23taxvalue/A23taxremlife))</f>
        <v>0</v>
      </c>
      <c r="BE766" s="592">
        <f>IF(BE$3&gt;A23taxremlife,A23taxvalue-SUM($F766:BD766),IF(A23taxremlife="N/A","n/a",A23taxvalue/A23taxremlife))</f>
        <v>0</v>
      </c>
      <c r="BF766" s="592">
        <f>IF(BF$3&gt;A23taxremlife,A23taxvalue-SUM($F766:BE766),IF(A23taxremlife="N/A","n/a",A23taxvalue/A23taxremlife))</f>
        <v>0</v>
      </c>
      <c r="BG766" s="592">
        <f>IF(BG$3&gt;A23taxremlife,A23taxvalue-SUM($F766:BF766),IF(A23taxremlife="N/A","n/a",A23taxvalue/A23taxremlife))</f>
        <v>0</v>
      </c>
      <c r="BH766" s="592">
        <f>IF(BH$3&gt;A23taxremlife,A23taxvalue-SUM($F766:BG766),IF(A23taxremlife="N/A","n/a",A23taxvalue/A23taxremlife))</f>
        <v>0</v>
      </c>
      <c r="BI766" s="592">
        <f>IF(BI$3&gt;A23taxremlife,A23taxvalue-SUM($F766:BH766),IF(A23taxremlife="N/A","n/a",A23taxvalue/A23taxremlife))</f>
        <v>0</v>
      </c>
      <c r="BJ766" s="240"/>
      <c r="BK766" s="240"/>
      <c r="BL766" s="240"/>
      <c r="BM766" s="240"/>
    </row>
    <row r="767" spans="1:65" s="4" customFormat="1" ht="12.75" hidden="1" customHeight="1" outlineLevel="2">
      <c r="A767" s="240"/>
      <c r="B767" s="240"/>
      <c r="C767" s="595"/>
      <c r="D767" s="1618" t="s">
        <v>357</v>
      </c>
      <c r="E767" s="169">
        <v>0</v>
      </c>
      <c r="F767" s="35"/>
      <c r="G767" s="107"/>
      <c r="H767" s="107"/>
      <c r="I767" s="107"/>
      <c r="J767" s="107"/>
      <c r="K767" s="107"/>
      <c r="L767" s="107"/>
      <c r="M767" s="107"/>
      <c r="N767" s="107"/>
      <c r="O767" s="107"/>
      <c r="P767" s="107"/>
      <c r="Q767" s="590"/>
      <c r="R767" s="590"/>
      <c r="S767" s="590"/>
      <c r="T767" s="590"/>
      <c r="U767" s="590"/>
      <c r="V767" s="590"/>
      <c r="W767" s="590"/>
      <c r="X767" s="590"/>
      <c r="Y767" s="590"/>
      <c r="Z767" s="590"/>
      <c r="AA767" s="590"/>
      <c r="AB767" s="590"/>
      <c r="AC767" s="590"/>
      <c r="AD767" s="590"/>
      <c r="AE767" s="590"/>
      <c r="AF767" s="590"/>
      <c r="AG767" s="590"/>
      <c r="AH767" s="590"/>
      <c r="AI767" s="590"/>
      <c r="AJ767" s="590"/>
      <c r="AK767" s="590"/>
      <c r="AL767" s="590"/>
      <c r="AM767" s="590"/>
      <c r="AN767" s="590"/>
      <c r="AO767" s="590"/>
      <c r="AP767" s="590"/>
      <c r="AQ767" s="590"/>
      <c r="AR767" s="590"/>
      <c r="AS767" s="590"/>
      <c r="AT767" s="590"/>
      <c r="AU767" s="590"/>
      <c r="AV767" s="590"/>
      <c r="AW767" s="590"/>
      <c r="AX767" s="590"/>
      <c r="AY767" s="590"/>
      <c r="AZ767" s="590"/>
      <c r="BA767" s="590"/>
      <c r="BB767" s="590"/>
      <c r="BC767" s="590"/>
      <c r="BD767" s="590"/>
      <c r="BE767" s="590"/>
      <c r="BF767" s="590"/>
      <c r="BG767" s="590"/>
      <c r="BH767" s="590"/>
      <c r="BI767" s="590"/>
      <c r="BJ767" s="240"/>
      <c r="BK767" s="240"/>
      <c r="BL767" s="240"/>
      <c r="BM767" s="240"/>
    </row>
    <row r="768" spans="1:65" s="4" customFormat="1" hidden="1" outlineLevel="2">
      <c r="A768" s="240"/>
      <c r="B768" s="240"/>
      <c r="C768" s="595"/>
      <c r="D768" s="1618"/>
      <c r="E768" s="169">
        <v>1</v>
      </c>
      <c r="F768" s="35"/>
      <c r="G768" s="183"/>
      <c r="H768" s="107">
        <f>IF(A23taxstdlife="n/a","n/a",IF(H$3&gt;(A23taxstdlife+$E768),(('PTRM input'!$G$165+'PTRM input'!$G$131)*$G$7)-SUM($G768:G768),(('PTRM input'!$G$165+'PTRM input'!$G$131)*$G$7)/A23taxstdlife))</f>
        <v>0</v>
      </c>
      <c r="I768" s="107">
        <f>IF(A23taxstdlife="n/a","n/a",IF(I$3&gt;(A23taxstdlife+$E768),(('PTRM input'!$G$165+'PTRM input'!$G$131)*$G$7)-SUM($G768:H768),(('PTRM input'!$G$165+'PTRM input'!$G$131)*$G$7)/A23taxstdlife))</f>
        <v>0</v>
      </c>
      <c r="J768" s="107">
        <f>IF(A23taxstdlife="n/a","n/a",IF(J$3&gt;(A23taxstdlife+$E768),(('PTRM input'!$G$165+'PTRM input'!$G$131)*$G$7)-SUM($G768:I768),(('PTRM input'!$G$165+'PTRM input'!$G$131)*$G$7)/A23taxstdlife))</f>
        <v>0</v>
      </c>
      <c r="K768" s="107">
        <f>IF(A23taxstdlife="n/a","n/a",IF(K$3&gt;(A23taxstdlife+$E768),(('PTRM input'!$G$165+'PTRM input'!$G$131)*$G$7)-SUM($G768:J768),(('PTRM input'!$G$165+'PTRM input'!$G$131)*$G$7)/A23taxstdlife))</f>
        <v>0</v>
      </c>
      <c r="L768" s="107">
        <f>IF(A23taxstdlife="n/a","n/a",IF(L$3&gt;(A23taxstdlife+$E768),(('PTRM input'!$G$165+'PTRM input'!$G$131)*$G$7)-SUM($G768:K768),(('PTRM input'!$G$165+'PTRM input'!$G$131)*$G$7)/A23taxstdlife))</f>
        <v>0</v>
      </c>
      <c r="M768" s="107">
        <f>IF(A23taxstdlife="n/a","n/a",IF(M$3&gt;(A23taxstdlife+$E768),(('PTRM input'!$G$165+'PTRM input'!$G$131)*$G$7)-SUM($G768:L768),(('PTRM input'!$G$165+'PTRM input'!$G$131)*$G$7)/A23taxstdlife))</f>
        <v>0</v>
      </c>
      <c r="N768" s="107">
        <f>IF(A23taxstdlife="n/a","n/a",IF(N$3&gt;(A23taxstdlife+$E768),(('PTRM input'!$G$165+'PTRM input'!$G$131)*$G$7)-SUM($G768:M768),(('PTRM input'!$G$165+'PTRM input'!$G$131)*$G$7)/A23taxstdlife))</f>
        <v>0</v>
      </c>
      <c r="O768" s="107">
        <f>IF(A23taxstdlife="n/a","n/a",IF(O$3&gt;(A23taxstdlife+$E768),(('PTRM input'!$G$165+'PTRM input'!$G$131)*$G$7)-SUM($G768:N768),(('PTRM input'!$G$165+'PTRM input'!$G$131)*$G$7)/A23taxstdlife))</f>
        <v>0</v>
      </c>
      <c r="P768" s="107">
        <f>IF(A23taxstdlife="n/a","n/a",IF(P$3&gt;(A23taxstdlife+$E768),(('PTRM input'!$G$165+'PTRM input'!$G$131)*$G$7)-SUM($G768:O768),(('PTRM input'!$G$165+'PTRM input'!$G$131)*$G$7)/A23taxstdlife))</f>
        <v>0</v>
      </c>
      <c r="Q768" s="590">
        <f>IF(A23taxstdlife="n/a","n/a",IF(Q$3&gt;(A23taxstdlife+$E768),(('PTRM input'!$G$165+'PTRM input'!$G$131)*$G$7)-SUM($G768:P768),(('PTRM input'!$G$165+'PTRM input'!$G$131)*$G$7)/A23taxstdlife))</f>
        <v>0</v>
      </c>
      <c r="R768" s="590">
        <f>IF(A23taxstdlife="n/a","n/a",IF(R$3&gt;(A23taxstdlife+$E768),(('PTRM input'!$G$165+'PTRM input'!$G$131)*$G$7)-SUM($G768:Q768),(('PTRM input'!$G$165+'PTRM input'!$G$131)*$G$7)/A23taxstdlife))</f>
        <v>0</v>
      </c>
      <c r="S768" s="590">
        <f>IF(A23taxstdlife="n/a","n/a",IF(S$3&gt;(A23taxstdlife+$E768),(('PTRM input'!$G$165+'PTRM input'!$G$131)*$G$7)-SUM($G768:R768),(('PTRM input'!$G$165+'PTRM input'!$G$131)*$G$7)/A23taxstdlife))</f>
        <v>0</v>
      </c>
      <c r="T768" s="590">
        <f>IF(A23taxstdlife="n/a","n/a",IF(T$3&gt;(A23taxstdlife+$E768),(('PTRM input'!$G$165+'PTRM input'!$G$131)*$G$7)-SUM($G768:S768),(('PTRM input'!$G$165+'PTRM input'!$G$131)*$G$7)/A23taxstdlife))</f>
        <v>0</v>
      </c>
      <c r="U768" s="590">
        <f>IF(A23taxstdlife="n/a","n/a",IF(U$3&gt;(A23taxstdlife+$E768),(('PTRM input'!$G$165+'PTRM input'!$G$131)*$G$7)-SUM($G768:T768),(('PTRM input'!$G$165+'PTRM input'!$G$131)*$G$7)/A23taxstdlife))</f>
        <v>0</v>
      </c>
      <c r="V768" s="590">
        <f>IF(A23taxstdlife="n/a","n/a",IF(V$3&gt;(A23taxstdlife+$E768),(('PTRM input'!$G$165+'PTRM input'!$G$131)*$G$7)-SUM($G768:U768),(('PTRM input'!$G$165+'PTRM input'!$G$131)*$G$7)/A23taxstdlife))</f>
        <v>0</v>
      </c>
      <c r="W768" s="590">
        <f>IF(A23taxstdlife="n/a","n/a",IF(W$3&gt;(A23taxstdlife+$E768),(('PTRM input'!$G$165+'PTRM input'!$G$131)*$G$7)-SUM($G768:V768),(('PTRM input'!$G$165+'PTRM input'!$G$131)*$G$7)/A23taxstdlife))</f>
        <v>0</v>
      </c>
      <c r="X768" s="590">
        <f>IF(A23taxstdlife="n/a","n/a",IF(X$3&gt;(A23taxstdlife+$E768),(('PTRM input'!$G$165+'PTRM input'!$G$131)*$G$7)-SUM($G768:W768),(('PTRM input'!$G$165+'PTRM input'!$G$131)*$G$7)/A23taxstdlife))</f>
        <v>0</v>
      </c>
      <c r="Y768" s="590">
        <f>IF(A23taxstdlife="n/a","n/a",IF(Y$3&gt;(A23taxstdlife+$E768),(('PTRM input'!$G$165+'PTRM input'!$G$131)*$G$7)-SUM($G768:X768),(('PTRM input'!$G$165+'PTRM input'!$G$131)*$G$7)/A23taxstdlife))</f>
        <v>0</v>
      </c>
      <c r="Z768" s="590">
        <f>IF(A23taxstdlife="n/a","n/a",IF(Z$3&gt;(A23taxstdlife+$E768),(('PTRM input'!$G$165+'PTRM input'!$G$131)*$G$7)-SUM($G768:Y768),(('PTRM input'!$G$165+'PTRM input'!$G$131)*$G$7)/A23taxstdlife))</f>
        <v>0</v>
      </c>
      <c r="AA768" s="590">
        <f>IF(A23taxstdlife="n/a","n/a",IF(AA$3&gt;(A23taxstdlife+$E768),(('PTRM input'!$G$165+'PTRM input'!$G$131)*$G$7)-SUM($G768:Z768),(('PTRM input'!$G$165+'PTRM input'!$G$131)*$G$7)/A23taxstdlife))</f>
        <v>0</v>
      </c>
      <c r="AB768" s="590">
        <f>IF(A23taxstdlife="n/a","n/a",IF(AB$3&gt;(A23taxstdlife+$E768),(('PTRM input'!$G$165+'PTRM input'!$G$131)*$G$7)-SUM($G768:AA768),(('PTRM input'!$G$165+'PTRM input'!$G$131)*$G$7)/A23taxstdlife))</f>
        <v>0</v>
      </c>
      <c r="AC768" s="590">
        <f>IF(A23taxstdlife="n/a","n/a",IF(AC$3&gt;(A23taxstdlife+$E768),(('PTRM input'!$G$165+'PTRM input'!$G$131)*$G$7)-SUM($G768:AB768),(('PTRM input'!$G$165+'PTRM input'!$G$131)*$G$7)/A23taxstdlife))</f>
        <v>0</v>
      </c>
      <c r="AD768" s="590">
        <f>IF(A23taxstdlife="n/a","n/a",IF(AD$3&gt;(A23taxstdlife+$E768),(('PTRM input'!$G$165+'PTRM input'!$G$131)*$G$7)-SUM($G768:AC768),(('PTRM input'!$G$165+'PTRM input'!$G$131)*$G$7)/A23taxstdlife))</f>
        <v>0</v>
      </c>
      <c r="AE768" s="590">
        <f>IF(A23taxstdlife="n/a","n/a",IF(AE$3&gt;(A23taxstdlife+$E768),(('PTRM input'!$G$165+'PTRM input'!$G$131)*$G$7)-SUM($G768:AD768),(('PTRM input'!$G$165+'PTRM input'!$G$131)*$G$7)/A23taxstdlife))</f>
        <v>0</v>
      </c>
      <c r="AF768" s="590">
        <f>IF(A23taxstdlife="n/a","n/a",IF(AF$3&gt;(A23taxstdlife+$E768),(('PTRM input'!$G$165+'PTRM input'!$G$131)*$G$7)-SUM($G768:AE768),(('PTRM input'!$G$165+'PTRM input'!$G$131)*$G$7)/A23taxstdlife))</f>
        <v>0</v>
      </c>
      <c r="AG768" s="590">
        <f>IF(A23taxstdlife="n/a","n/a",IF(AG$3&gt;(A23taxstdlife+$E768),(('PTRM input'!$G$165+'PTRM input'!$G$131)*$G$7)-SUM($G768:AF768),(('PTRM input'!$G$165+'PTRM input'!$G$131)*$G$7)/A23taxstdlife))</f>
        <v>0</v>
      </c>
      <c r="AH768" s="590">
        <f>IF(A23taxstdlife="n/a","n/a",IF(AH$3&gt;(A23taxstdlife+$E768),(('PTRM input'!$G$165+'PTRM input'!$G$131)*$G$7)-SUM($G768:AG768),(('PTRM input'!$G$165+'PTRM input'!$G$131)*$G$7)/A23taxstdlife))</f>
        <v>0</v>
      </c>
      <c r="AI768" s="590">
        <f>IF(A23taxstdlife="n/a","n/a",IF(AI$3&gt;(A23taxstdlife+$E768),(('PTRM input'!$G$165+'PTRM input'!$G$131)*$G$7)-SUM($G768:AH768),(('PTRM input'!$G$165+'PTRM input'!$G$131)*$G$7)/A23taxstdlife))</f>
        <v>0</v>
      </c>
      <c r="AJ768" s="590">
        <f>IF(A23taxstdlife="n/a","n/a",IF(AJ$3&gt;(A23taxstdlife+$E768),(('PTRM input'!$G$165+'PTRM input'!$G$131)*$G$7)-SUM($G768:AI768),(('PTRM input'!$G$165+'PTRM input'!$G$131)*$G$7)/A23taxstdlife))</f>
        <v>0</v>
      </c>
      <c r="AK768" s="590">
        <f>IF(A23taxstdlife="n/a","n/a",IF(AK$3&gt;(A23taxstdlife+$E768),(('PTRM input'!$G$165+'PTRM input'!$G$131)*$G$7)-SUM($G768:AJ768),(('PTRM input'!$G$165+'PTRM input'!$G$131)*$G$7)/A23taxstdlife))</f>
        <v>0</v>
      </c>
      <c r="AL768" s="590">
        <f>IF(A23taxstdlife="n/a","n/a",IF(AL$3&gt;(A23taxstdlife+$E768),(('PTRM input'!$G$165+'PTRM input'!$G$131)*$G$7)-SUM($G768:AK768),(('PTRM input'!$G$165+'PTRM input'!$G$131)*$G$7)/A23taxstdlife))</f>
        <v>0</v>
      </c>
      <c r="AM768" s="590">
        <f>IF(A23taxstdlife="n/a","n/a",IF(AM$3&gt;(A23taxstdlife+$E768),(('PTRM input'!$G$165+'PTRM input'!$G$131)*$G$7)-SUM($G768:AL768),(('PTRM input'!$G$165+'PTRM input'!$G$131)*$G$7)/A23taxstdlife))</f>
        <v>0</v>
      </c>
      <c r="AN768" s="590">
        <f>IF(A23taxstdlife="n/a","n/a",IF(AN$3&gt;(A23taxstdlife+$E768),(('PTRM input'!$G$165+'PTRM input'!$G$131)*$G$7)-SUM($G768:AM768),(('PTRM input'!$G$165+'PTRM input'!$G$131)*$G$7)/A23taxstdlife))</f>
        <v>0</v>
      </c>
      <c r="AO768" s="590">
        <f>IF(A23taxstdlife="n/a","n/a",IF(AO$3&gt;(A23taxstdlife+$E768),(('PTRM input'!$G$165+'PTRM input'!$G$131)*$G$7)-SUM($G768:AN768),(('PTRM input'!$G$165+'PTRM input'!$G$131)*$G$7)/A23taxstdlife))</f>
        <v>0</v>
      </c>
      <c r="AP768" s="590">
        <f>IF(A23taxstdlife="n/a","n/a",IF(AP$3&gt;(A23taxstdlife+$E768),(('PTRM input'!$G$165+'PTRM input'!$G$131)*$G$7)-SUM($G768:AO768),(('PTRM input'!$G$165+'PTRM input'!$G$131)*$G$7)/A23taxstdlife))</f>
        <v>0</v>
      </c>
      <c r="AQ768" s="590">
        <f>IF(A23taxstdlife="n/a","n/a",IF(AQ$3&gt;(A23taxstdlife+$E768),(('PTRM input'!$G$165+'PTRM input'!$G$131)*$G$7)-SUM($G768:AP768),(('PTRM input'!$G$165+'PTRM input'!$G$131)*$G$7)/A23taxstdlife))</f>
        <v>0</v>
      </c>
      <c r="AR768" s="590">
        <f>IF(A23taxstdlife="n/a","n/a",IF(AR$3&gt;(A23taxstdlife+$E768),(('PTRM input'!$G$165+'PTRM input'!$G$131)*$G$7)-SUM($G768:AQ768),(('PTRM input'!$G$165+'PTRM input'!$G$131)*$G$7)/A23taxstdlife))</f>
        <v>0</v>
      </c>
      <c r="AS768" s="590">
        <f>IF(A23taxstdlife="n/a","n/a",IF(AS$3&gt;(A23taxstdlife+$E768),(('PTRM input'!$G$165+'PTRM input'!$G$131)*$G$7)-SUM($G768:AR768),(('PTRM input'!$G$165+'PTRM input'!$G$131)*$G$7)/A23taxstdlife))</f>
        <v>0</v>
      </c>
      <c r="AT768" s="590">
        <f>IF(A23taxstdlife="n/a","n/a",IF(AT$3&gt;(A23taxstdlife+$E768),(('PTRM input'!$G$165+'PTRM input'!$G$131)*$G$7)-SUM($G768:AS768),(('PTRM input'!$G$165+'PTRM input'!$G$131)*$G$7)/A23taxstdlife))</f>
        <v>0</v>
      </c>
      <c r="AU768" s="590">
        <f>IF(A23taxstdlife="n/a","n/a",IF(AU$3&gt;(A23taxstdlife+$E768),(('PTRM input'!$G$165+'PTRM input'!$G$131)*$G$7)-SUM($G768:AT768),(('PTRM input'!$G$165+'PTRM input'!$G$131)*$G$7)/A23taxstdlife))</f>
        <v>0</v>
      </c>
      <c r="AV768" s="590">
        <f>IF(A23taxstdlife="n/a","n/a",IF(AV$3&gt;(A23taxstdlife+$E768),(('PTRM input'!$G$165+'PTRM input'!$G$131)*$G$7)-SUM($G768:AU768),(('PTRM input'!$G$165+'PTRM input'!$G$131)*$G$7)/A23taxstdlife))</f>
        <v>0</v>
      </c>
      <c r="AW768" s="590">
        <f>IF(A23taxstdlife="n/a","n/a",IF(AW$3&gt;(A23taxstdlife+$E768),(('PTRM input'!$G$165+'PTRM input'!$G$131)*$G$7)-SUM($G768:AV768),(('PTRM input'!$G$165+'PTRM input'!$G$131)*$G$7)/A23taxstdlife))</f>
        <v>0</v>
      </c>
      <c r="AX768" s="590">
        <f>IF(A23taxstdlife="n/a","n/a",IF(AX$3&gt;(A23taxstdlife+$E768),(('PTRM input'!$G$165+'PTRM input'!$G$131)*$G$7)-SUM($G768:AW768),(('PTRM input'!$G$165+'PTRM input'!$G$131)*$G$7)/A23taxstdlife))</f>
        <v>0</v>
      </c>
      <c r="AY768" s="590">
        <f>IF(A23taxstdlife="n/a","n/a",IF(AY$3&gt;(A23taxstdlife+$E768),(('PTRM input'!$G$165+'PTRM input'!$G$131)*$G$7)-SUM($G768:AX768),(('PTRM input'!$G$165+'PTRM input'!$G$131)*$G$7)/A23taxstdlife))</f>
        <v>0</v>
      </c>
      <c r="AZ768" s="590">
        <f>IF(A23taxstdlife="n/a","n/a",IF(AZ$3&gt;(A23taxstdlife+$E768),(('PTRM input'!$G$165+'PTRM input'!$G$131)*$G$7)-SUM($G768:AY768),(('PTRM input'!$G$165+'PTRM input'!$G$131)*$G$7)/A23taxstdlife))</f>
        <v>0</v>
      </c>
      <c r="BA768" s="590">
        <f>IF(A23taxstdlife="n/a","n/a",IF(BA$3&gt;(A23taxstdlife+$E768),(('PTRM input'!$G$165+'PTRM input'!$G$131)*$G$7)-SUM($G768:AZ768),(('PTRM input'!$G$165+'PTRM input'!$G$131)*$G$7)/A23taxstdlife))</f>
        <v>0</v>
      </c>
      <c r="BB768" s="590">
        <f>IF(A23taxstdlife="n/a","n/a",IF(BB$3&gt;(A23taxstdlife+$E768),(('PTRM input'!$G$165+'PTRM input'!$G$131)*$G$7)-SUM($G768:BA768),(('PTRM input'!$G$165+'PTRM input'!$G$131)*$G$7)/A23taxstdlife))</f>
        <v>0</v>
      </c>
      <c r="BC768" s="590">
        <f>IF(A23taxstdlife="n/a","n/a",IF(BC$3&gt;(A23taxstdlife+$E768),(('PTRM input'!$G$165+'PTRM input'!$G$131)*$G$7)-SUM($G768:BB768),(('PTRM input'!$G$165+'PTRM input'!$G$131)*$G$7)/A23taxstdlife))</f>
        <v>0</v>
      </c>
      <c r="BD768" s="590">
        <f>IF(A23taxstdlife="n/a","n/a",IF(BD$3&gt;(A23taxstdlife+$E768),(('PTRM input'!$G$165+'PTRM input'!$G$131)*$G$7)-SUM($G768:BC768),(('PTRM input'!$G$165+'PTRM input'!$G$131)*$G$7)/A23taxstdlife))</f>
        <v>0</v>
      </c>
      <c r="BE768" s="590">
        <f>IF(A23taxstdlife="n/a","n/a",IF(BE$3&gt;(A23taxstdlife+$E768),(('PTRM input'!$G$165+'PTRM input'!$G$131)*$G$7)-SUM($G768:BD768),(('PTRM input'!$G$165+'PTRM input'!$G$131)*$G$7)/A23taxstdlife))</f>
        <v>0</v>
      </c>
      <c r="BF768" s="590">
        <f>IF(A23taxstdlife="n/a","n/a",IF(BF$3&gt;(A23taxstdlife+$E768),(('PTRM input'!$G$165+'PTRM input'!$G$131)*$G$7)-SUM($G768:BE768),(('PTRM input'!$G$165+'PTRM input'!$G$131)*$G$7)/A23taxstdlife))</f>
        <v>0</v>
      </c>
      <c r="BG768" s="590">
        <f>IF(A23taxstdlife="n/a","n/a",IF(BG$3&gt;(A23taxstdlife+$E768),(('PTRM input'!$G$165+'PTRM input'!$G$131)*$G$7)-SUM($G768:BF768),(('PTRM input'!$G$165+'PTRM input'!$G$131)*$G$7)/A23taxstdlife))</f>
        <v>0</v>
      </c>
      <c r="BH768" s="590">
        <f>IF(A23taxstdlife="n/a","n/a",IF(BH$3&gt;(A23taxstdlife+$E768),(('PTRM input'!$G$165+'PTRM input'!$G$131)*$G$7)-SUM($G768:BG768),(('PTRM input'!$G$165+'PTRM input'!$G$131)*$G$7)/A23taxstdlife))</f>
        <v>0</v>
      </c>
      <c r="BI768" s="590">
        <f>IF(A23taxstdlife="n/a","n/a",IF(BI$3&gt;(A23taxstdlife+$E768),(('PTRM input'!$G$165+'PTRM input'!$G$131)*$G$7)-SUM($G768:BH768),(('PTRM input'!$G$165+'PTRM input'!$G$131)*$G$7)/A23taxstdlife))</f>
        <v>0</v>
      </c>
      <c r="BJ768" s="240"/>
      <c r="BK768" s="240"/>
      <c r="BL768" s="240"/>
      <c r="BM768" s="240"/>
    </row>
    <row r="769" spans="1:65" s="4" customFormat="1" hidden="1" outlineLevel="2">
      <c r="A769" s="240"/>
      <c r="B769" s="240"/>
      <c r="C769" s="595"/>
      <c r="D769" s="1618"/>
      <c r="E769" s="169">
        <v>2</v>
      </c>
      <c r="F769" s="35"/>
      <c r="G769" s="184"/>
      <c r="H769" s="185"/>
      <c r="I769" s="107">
        <f>IF(A23taxstdlife="n/a","n/a",IF(I$3&gt;(A23taxstdlife+$E769),(('PTRM input'!$H$165+'PTRM input'!$H$131)*$H$7)-SUM($H769:H769),(('PTRM input'!$H$165+'PTRM input'!$H$131)*$H$7)/A23taxstdlife))</f>
        <v>0</v>
      </c>
      <c r="J769" s="107">
        <f>IF(A23taxstdlife="n/a","n/a",IF(J$3&gt;(A23taxstdlife+$E769),(('PTRM input'!$H$165+'PTRM input'!$H$131)*$H$7)-SUM($H769:I769),(('PTRM input'!$H$165+'PTRM input'!$H$131)*$H$7)/A23taxstdlife))</f>
        <v>0</v>
      </c>
      <c r="K769" s="107">
        <f>IF(A23taxstdlife="n/a","n/a",IF(K$3&gt;(A23taxstdlife+$E769),(('PTRM input'!$H$165+'PTRM input'!$H$131)*$H$7)-SUM($H769:J769),(('PTRM input'!$H$165+'PTRM input'!$H$131)*$H$7)/A23taxstdlife))</f>
        <v>0</v>
      </c>
      <c r="L769" s="107">
        <f>IF(A23taxstdlife="n/a","n/a",IF(L$3&gt;(A23taxstdlife+$E769),(('PTRM input'!$H$165+'PTRM input'!$H$131)*$H$7)-SUM($H769:K769),(('PTRM input'!$H$165+'PTRM input'!$H$131)*$H$7)/A23taxstdlife))</f>
        <v>0</v>
      </c>
      <c r="M769" s="107">
        <f>IF(A23taxstdlife="n/a","n/a",IF(M$3&gt;(A23taxstdlife+$E769),(('PTRM input'!$H$165+'PTRM input'!$H$131)*$H$7)-SUM($H769:L769),(('PTRM input'!$H$165+'PTRM input'!$H$131)*$H$7)/A23taxstdlife))</f>
        <v>0</v>
      </c>
      <c r="N769" s="107">
        <f>IF(A23taxstdlife="n/a","n/a",IF(N$3&gt;(A23taxstdlife+$E769),(('PTRM input'!$H$165+'PTRM input'!$H$131)*$H$7)-SUM($H769:M769),(('PTRM input'!$H$165+'PTRM input'!$H$131)*$H$7)/A23taxstdlife))</f>
        <v>0</v>
      </c>
      <c r="O769" s="107">
        <f>IF(A23taxstdlife="n/a","n/a",IF(O$3&gt;(A23taxstdlife+$E769),(('PTRM input'!$H$165+'PTRM input'!$H$131)*$H$7)-SUM($H769:N769),(('PTRM input'!$H$165+'PTRM input'!$H$131)*$H$7)/A23taxstdlife))</f>
        <v>0</v>
      </c>
      <c r="P769" s="107">
        <f>IF(A23taxstdlife="n/a","n/a",IF(P$3&gt;(A23taxstdlife+$E769),(('PTRM input'!$H$165+'PTRM input'!$H$131)*$H$7)-SUM($H769:O769),(('PTRM input'!$H$165+'PTRM input'!$H$131)*$H$7)/A23taxstdlife))</f>
        <v>0</v>
      </c>
      <c r="Q769" s="590">
        <f>IF(A23taxstdlife="n/a","n/a",IF(Q$3&gt;(A23taxstdlife+$E769),(('PTRM input'!$H$165+'PTRM input'!$H$131)*$H$7)-SUM($H769:P769),(('PTRM input'!$H$165+'PTRM input'!$H$131)*$H$7)/A23taxstdlife))</f>
        <v>0</v>
      </c>
      <c r="R769" s="590">
        <f>IF(A23taxstdlife="n/a","n/a",IF(R$3&gt;(A23taxstdlife+$E769),(('PTRM input'!$H$165+'PTRM input'!$H$131)*$H$7)-SUM($H769:Q769),(('PTRM input'!$H$165+'PTRM input'!$H$131)*$H$7)/A23taxstdlife))</f>
        <v>0</v>
      </c>
      <c r="S769" s="590">
        <f>IF(A23taxstdlife="n/a","n/a",IF(S$3&gt;(A23taxstdlife+$E769),(('PTRM input'!$H$165+'PTRM input'!$H$131)*$H$7)-SUM($H769:R769),(('PTRM input'!$H$165+'PTRM input'!$H$131)*$H$7)/A23taxstdlife))</f>
        <v>0</v>
      </c>
      <c r="T769" s="590">
        <f>IF(A23taxstdlife="n/a","n/a",IF(T$3&gt;(A23taxstdlife+$E769),(('PTRM input'!$H$165+'PTRM input'!$H$131)*$H$7)-SUM($H769:S769),(('PTRM input'!$H$165+'PTRM input'!$H$131)*$H$7)/A23taxstdlife))</f>
        <v>0</v>
      </c>
      <c r="U769" s="590">
        <f>IF(A23taxstdlife="n/a","n/a",IF(U$3&gt;(A23taxstdlife+$E769),(('PTRM input'!$H$165+'PTRM input'!$H$131)*$H$7)-SUM($H769:T769),(('PTRM input'!$H$165+'PTRM input'!$H$131)*$H$7)/A23taxstdlife))</f>
        <v>0</v>
      </c>
      <c r="V769" s="590">
        <f>IF(A23taxstdlife="n/a","n/a",IF(V$3&gt;(A23taxstdlife+$E769),(('PTRM input'!$H$165+'PTRM input'!$H$131)*$H$7)-SUM($H769:U769),(('PTRM input'!$H$165+'PTRM input'!$H$131)*$H$7)/A23taxstdlife))</f>
        <v>0</v>
      </c>
      <c r="W769" s="590">
        <f>IF(A23taxstdlife="n/a","n/a",IF(W$3&gt;(A23taxstdlife+$E769),(('PTRM input'!$H$165+'PTRM input'!$H$131)*$H$7)-SUM($H769:V769),(('PTRM input'!$H$165+'PTRM input'!$H$131)*$H$7)/A23taxstdlife))</f>
        <v>0</v>
      </c>
      <c r="X769" s="590">
        <f>IF(A23taxstdlife="n/a","n/a",IF(X$3&gt;(A23taxstdlife+$E769),(('PTRM input'!$H$165+'PTRM input'!$H$131)*$H$7)-SUM($H769:W769),(('PTRM input'!$H$165+'PTRM input'!$H$131)*$H$7)/A23taxstdlife))</f>
        <v>0</v>
      </c>
      <c r="Y769" s="590">
        <f>IF(A23taxstdlife="n/a","n/a",IF(Y$3&gt;(A23taxstdlife+$E769),(('PTRM input'!$H$165+'PTRM input'!$H$131)*$H$7)-SUM($H769:X769),(('PTRM input'!$H$165+'PTRM input'!$H$131)*$H$7)/A23taxstdlife))</f>
        <v>0</v>
      </c>
      <c r="Z769" s="590">
        <f>IF(A23taxstdlife="n/a","n/a",IF(Z$3&gt;(A23taxstdlife+$E769),(('PTRM input'!$H$165+'PTRM input'!$H$131)*$H$7)-SUM($H769:Y769),(('PTRM input'!$H$165+'PTRM input'!$H$131)*$H$7)/A23taxstdlife))</f>
        <v>0</v>
      </c>
      <c r="AA769" s="590">
        <f>IF(A23taxstdlife="n/a","n/a",IF(AA$3&gt;(A23taxstdlife+$E769),(('PTRM input'!$H$165+'PTRM input'!$H$131)*$H$7)-SUM($H769:Z769),(('PTRM input'!$H$165+'PTRM input'!$H$131)*$H$7)/A23taxstdlife))</f>
        <v>0</v>
      </c>
      <c r="AB769" s="590">
        <f>IF(A23taxstdlife="n/a","n/a",IF(AB$3&gt;(A23taxstdlife+$E769),(('PTRM input'!$H$165+'PTRM input'!$H$131)*$H$7)-SUM($H769:AA769),(('PTRM input'!$H$165+'PTRM input'!$H$131)*$H$7)/A23taxstdlife))</f>
        <v>0</v>
      </c>
      <c r="AC769" s="590">
        <f>IF(A23taxstdlife="n/a","n/a",IF(AC$3&gt;(A23taxstdlife+$E769),(('PTRM input'!$H$165+'PTRM input'!$H$131)*$H$7)-SUM($H769:AB769),(('PTRM input'!$H$165+'PTRM input'!$H$131)*$H$7)/A23taxstdlife))</f>
        <v>0</v>
      </c>
      <c r="AD769" s="590">
        <f>IF(A23taxstdlife="n/a","n/a",IF(AD$3&gt;(A23taxstdlife+$E769),(('PTRM input'!$H$165+'PTRM input'!$H$131)*$H$7)-SUM($H769:AC769),(('PTRM input'!$H$165+'PTRM input'!$H$131)*$H$7)/A23taxstdlife))</f>
        <v>0</v>
      </c>
      <c r="AE769" s="590">
        <f>IF(A23taxstdlife="n/a","n/a",IF(AE$3&gt;(A23taxstdlife+$E769),(('PTRM input'!$H$165+'PTRM input'!$H$131)*$H$7)-SUM($H769:AD769),(('PTRM input'!$H$165+'PTRM input'!$H$131)*$H$7)/A23taxstdlife))</f>
        <v>0</v>
      </c>
      <c r="AF769" s="590">
        <f>IF(A23taxstdlife="n/a","n/a",IF(AF$3&gt;(A23taxstdlife+$E769),(('PTRM input'!$H$165+'PTRM input'!$H$131)*$H$7)-SUM($H769:AE769),(('PTRM input'!$H$165+'PTRM input'!$H$131)*$H$7)/A23taxstdlife))</f>
        <v>0</v>
      </c>
      <c r="AG769" s="590">
        <f>IF(A23taxstdlife="n/a","n/a",IF(AG$3&gt;(A23taxstdlife+$E769),(('PTRM input'!$H$165+'PTRM input'!$H$131)*$H$7)-SUM($H769:AF769),(('PTRM input'!$H$165+'PTRM input'!$H$131)*$H$7)/A23taxstdlife))</f>
        <v>0</v>
      </c>
      <c r="AH769" s="590">
        <f>IF(A23taxstdlife="n/a","n/a",IF(AH$3&gt;(A23taxstdlife+$E769),(('PTRM input'!$H$165+'PTRM input'!$H$131)*$H$7)-SUM($H769:AG769),(('PTRM input'!$H$165+'PTRM input'!$H$131)*$H$7)/A23taxstdlife))</f>
        <v>0</v>
      </c>
      <c r="AI769" s="590">
        <f>IF(A23taxstdlife="n/a","n/a",IF(AI$3&gt;(A23taxstdlife+$E769),(('PTRM input'!$H$165+'PTRM input'!$H$131)*$H$7)-SUM($H769:AH769),(('PTRM input'!$H$165+'PTRM input'!$H$131)*$H$7)/A23taxstdlife))</f>
        <v>0</v>
      </c>
      <c r="AJ769" s="590">
        <f>IF(A23taxstdlife="n/a","n/a",IF(AJ$3&gt;(A23taxstdlife+$E769),(('PTRM input'!$H$165+'PTRM input'!$H$131)*$H$7)-SUM($H769:AI769),(('PTRM input'!$H$165+'PTRM input'!$H$131)*$H$7)/A23taxstdlife))</f>
        <v>0</v>
      </c>
      <c r="AK769" s="590">
        <f>IF(A23taxstdlife="n/a","n/a",IF(AK$3&gt;(A23taxstdlife+$E769),(('PTRM input'!$H$165+'PTRM input'!$H$131)*$H$7)-SUM($H769:AJ769),(('PTRM input'!$H$165+'PTRM input'!$H$131)*$H$7)/A23taxstdlife))</f>
        <v>0</v>
      </c>
      <c r="AL769" s="590">
        <f>IF(A23taxstdlife="n/a","n/a",IF(AL$3&gt;(A23taxstdlife+$E769),(('PTRM input'!$H$165+'PTRM input'!$H$131)*$H$7)-SUM($H769:AK769),(('PTRM input'!$H$165+'PTRM input'!$H$131)*$H$7)/A23taxstdlife))</f>
        <v>0</v>
      </c>
      <c r="AM769" s="590">
        <f>IF(A23taxstdlife="n/a","n/a",IF(AM$3&gt;(A23taxstdlife+$E769),(('PTRM input'!$H$165+'PTRM input'!$H$131)*$H$7)-SUM($H769:AL769),(('PTRM input'!$H$165+'PTRM input'!$H$131)*$H$7)/A23taxstdlife))</f>
        <v>0</v>
      </c>
      <c r="AN769" s="590">
        <f>IF(A23taxstdlife="n/a","n/a",IF(AN$3&gt;(A23taxstdlife+$E769),(('PTRM input'!$H$165+'PTRM input'!$H$131)*$H$7)-SUM($H769:AM769),(('PTRM input'!$H$165+'PTRM input'!$H$131)*$H$7)/A23taxstdlife))</f>
        <v>0</v>
      </c>
      <c r="AO769" s="590">
        <f>IF(A23taxstdlife="n/a","n/a",IF(AO$3&gt;(A23taxstdlife+$E769),(('PTRM input'!$H$165+'PTRM input'!$H$131)*$H$7)-SUM($H769:AN769),(('PTRM input'!$H$165+'PTRM input'!$H$131)*$H$7)/A23taxstdlife))</f>
        <v>0</v>
      </c>
      <c r="AP769" s="590">
        <f>IF(A23taxstdlife="n/a","n/a",IF(AP$3&gt;(A23taxstdlife+$E769),(('PTRM input'!$H$165+'PTRM input'!$H$131)*$H$7)-SUM($H769:AO769),(('PTRM input'!$H$165+'PTRM input'!$H$131)*$H$7)/A23taxstdlife))</f>
        <v>0</v>
      </c>
      <c r="AQ769" s="590">
        <f>IF(A23taxstdlife="n/a","n/a",IF(AQ$3&gt;(A23taxstdlife+$E769),(('PTRM input'!$H$165+'PTRM input'!$H$131)*$H$7)-SUM($H769:AP769),(('PTRM input'!$H$165+'PTRM input'!$H$131)*$H$7)/A23taxstdlife))</f>
        <v>0</v>
      </c>
      <c r="AR769" s="590">
        <f>IF(A23taxstdlife="n/a","n/a",IF(AR$3&gt;(A23taxstdlife+$E769),(('PTRM input'!$H$165+'PTRM input'!$H$131)*$H$7)-SUM($H769:AQ769),(('PTRM input'!$H$165+'PTRM input'!$H$131)*$H$7)/A23taxstdlife))</f>
        <v>0</v>
      </c>
      <c r="AS769" s="590">
        <f>IF(A23taxstdlife="n/a","n/a",IF(AS$3&gt;(A23taxstdlife+$E769),(('PTRM input'!$H$165+'PTRM input'!$H$131)*$H$7)-SUM($H769:AR769),(('PTRM input'!$H$165+'PTRM input'!$H$131)*$H$7)/A23taxstdlife))</f>
        <v>0</v>
      </c>
      <c r="AT769" s="590">
        <f>IF(A23taxstdlife="n/a","n/a",IF(AT$3&gt;(A23taxstdlife+$E769),(('PTRM input'!$H$165+'PTRM input'!$H$131)*$H$7)-SUM($H769:AS769),(('PTRM input'!$H$165+'PTRM input'!$H$131)*$H$7)/A23taxstdlife))</f>
        <v>0</v>
      </c>
      <c r="AU769" s="590">
        <f>IF(A23taxstdlife="n/a","n/a",IF(AU$3&gt;(A23taxstdlife+$E769),(('PTRM input'!$H$165+'PTRM input'!$H$131)*$H$7)-SUM($H769:AT769),(('PTRM input'!$H$165+'PTRM input'!$H$131)*$H$7)/A23taxstdlife))</f>
        <v>0</v>
      </c>
      <c r="AV769" s="590">
        <f>IF(A23taxstdlife="n/a","n/a",IF(AV$3&gt;(A23taxstdlife+$E769),(('PTRM input'!$H$165+'PTRM input'!$H$131)*$H$7)-SUM($H769:AU769),(('PTRM input'!$H$165+'PTRM input'!$H$131)*$H$7)/A23taxstdlife))</f>
        <v>0</v>
      </c>
      <c r="AW769" s="590">
        <f>IF(A23taxstdlife="n/a","n/a",IF(AW$3&gt;(A23taxstdlife+$E769),(('PTRM input'!$H$165+'PTRM input'!$H$131)*$H$7)-SUM($H769:AV769),(('PTRM input'!$H$165+'PTRM input'!$H$131)*$H$7)/A23taxstdlife))</f>
        <v>0</v>
      </c>
      <c r="AX769" s="590">
        <f>IF(A23taxstdlife="n/a","n/a",IF(AX$3&gt;(A23taxstdlife+$E769),(('PTRM input'!$H$165+'PTRM input'!$H$131)*$H$7)-SUM($H769:AW769),(('PTRM input'!$H$165+'PTRM input'!$H$131)*$H$7)/A23taxstdlife))</f>
        <v>0</v>
      </c>
      <c r="AY769" s="590">
        <f>IF(A23taxstdlife="n/a","n/a",IF(AY$3&gt;(A23taxstdlife+$E769),(('PTRM input'!$H$165+'PTRM input'!$H$131)*$H$7)-SUM($H769:AX769),(('PTRM input'!$H$165+'PTRM input'!$H$131)*$H$7)/A23taxstdlife))</f>
        <v>0</v>
      </c>
      <c r="AZ769" s="590">
        <f>IF(A23taxstdlife="n/a","n/a",IF(AZ$3&gt;(A23taxstdlife+$E769),(('PTRM input'!$H$165+'PTRM input'!$H$131)*$H$7)-SUM($H769:AY769),(('PTRM input'!$H$165+'PTRM input'!$H$131)*$H$7)/A23taxstdlife))</f>
        <v>0</v>
      </c>
      <c r="BA769" s="590">
        <f>IF(A23taxstdlife="n/a","n/a",IF(BA$3&gt;(A23taxstdlife+$E769),(('PTRM input'!$H$165+'PTRM input'!$H$131)*$H$7)-SUM($H769:AZ769),(('PTRM input'!$H$165+'PTRM input'!$H$131)*$H$7)/A23taxstdlife))</f>
        <v>0</v>
      </c>
      <c r="BB769" s="590">
        <f>IF(A23taxstdlife="n/a","n/a",IF(BB$3&gt;(A23taxstdlife+$E769),(('PTRM input'!$H$165+'PTRM input'!$H$131)*$H$7)-SUM($H769:BA769),(('PTRM input'!$H$165+'PTRM input'!$H$131)*$H$7)/A23taxstdlife))</f>
        <v>0</v>
      </c>
      <c r="BC769" s="590">
        <f>IF(A23taxstdlife="n/a","n/a",IF(BC$3&gt;(A23taxstdlife+$E769),(('PTRM input'!$H$165+'PTRM input'!$H$131)*$H$7)-SUM($H769:BB769),(('PTRM input'!$H$165+'PTRM input'!$H$131)*$H$7)/A23taxstdlife))</f>
        <v>0</v>
      </c>
      <c r="BD769" s="590">
        <f>IF(A23taxstdlife="n/a","n/a",IF(BD$3&gt;(A23taxstdlife+$E769),(('PTRM input'!$H$165+'PTRM input'!$H$131)*$H$7)-SUM($H769:BC769),(('PTRM input'!$H$165+'PTRM input'!$H$131)*$H$7)/A23taxstdlife))</f>
        <v>0</v>
      </c>
      <c r="BE769" s="590">
        <f>IF(A23taxstdlife="n/a","n/a",IF(BE$3&gt;(A23taxstdlife+$E769),(('PTRM input'!$H$165+'PTRM input'!$H$131)*$H$7)-SUM($H769:BD769),(('PTRM input'!$H$165+'PTRM input'!$H$131)*$H$7)/A23taxstdlife))</f>
        <v>0</v>
      </c>
      <c r="BF769" s="590">
        <f>IF(A23taxstdlife="n/a","n/a",IF(BF$3&gt;(A23taxstdlife+$E769),(('PTRM input'!$H$165+'PTRM input'!$H$131)*$H$7)-SUM($H769:BE769),(('PTRM input'!$H$165+'PTRM input'!$H$131)*$H$7)/A23taxstdlife))</f>
        <v>0</v>
      </c>
      <c r="BG769" s="590">
        <f>IF(A23taxstdlife="n/a","n/a",IF(BG$3&gt;(A23taxstdlife+$E769),(('PTRM input'!$H$165+'PTRM input'!$H$131)*$H$7)-SUM($H769:BF769),(('PTRM input'!$H$165+'PTRM input'!$H$131)*$H$7)/A23taxstdlife))</f>
        <v>0</v>
      </c>
      <c r="BH769" s="590">
        <f>IF(A23taxstdlife="n/a","n/a",IF(BH$3&gt;(A23taxstdlife+$E769),(('PTRM input'!$H$165+'PTRM input'!$H$131)*$H$7)-SUM($H769:BG769),(('PTRM input'!$H$165+'PTRM input'!$H$131)*$H$7)/A23taxstdlife))</f>
        <v>0</v>
      </c>
      <c r="BI769" s="590">
        <f>IF(A23taxstdlife="n/a","n/a",IF(BI$3&gt;(A23taxstdlife+$E769),(('PTRM input'!$H$165+'PTRM input'!$H$131)*$H$7)-SUM($H769:BH769),(('PTRM input'!$H$165+'PTRM input'!$H$131)*$H$7)/A23taxstdlife))</f>
        <v>0</v>
      </c>
      <c r="BJ769" s="240"/>
      <c r="BK769" s="240"/>
      <c r="BL769" s="240"/>
      <c r="BM769" s="240"/>
    </row>
    <row r="770" spans="1:65" s="4" customFormat="1" hidden="1" outlineLevel="2">
      <c r="A770" s="240"/>
      <c r="B770" s="240"/>
      <c r="C770" s="595"/>
      <c r="D770" s="1618"/>
      <c r="E770" s="169">
        <v>3</v>
      </c>
      <c r="F770" s="35"/>
      <c r="G770" s="184"/>
      <c r="H770" s="186"/>
      <c r="I770" s="185"/>
      <c r="J770" s="107">
        <f>IF(A23taxstdlife="n/a","n/a",IF(J$3&gt;(A23taxstdlife+$E770),(('PTRM input'!$I$165+'PTRM input'!$I$131)*$I$7)-SUM($I770:I770),(('PTRM input'!$I$165+'PTRM input'!$I$131)*$I$7)/A23taxstdlife))</f>
        <v>0</v>
      </c>
      <c r="K770" s="107">
        <f>IF(A23taxstdlife="n/a","n/a",IF(K$3&gt;(A23taxstdlife+$E770),(('PTRM input'!$I$165+'PTRM input'!$I$131)*$I$7)-SUM($I770:J770),(('PTRM input'!$I$165+'PTRM input'!$I$131)*$I$7)/A23taxstdlife))</f>
        <v>0</v>
      </c>
      <c r="L770" s="107">
        <f>IF(A23taxstdlife="n/a","n/a",IF(L$3&gt;(A23taxstdlife+$E770),(('PTRM input'!$I$165+'PTRM input'!$I$131)*$I$7)-SUM($I770:K770),(('PTRM input'!$I$165+'PTRM input'!$I$131)*$I$7)/A23taxstdlife))</f>
        <v>0</v>
      </c>
      <c r="M770" s="107">
        <f>IF(A23taxstdlife="n/a","n/a",IF(M$3&gt;(A23taxstdlife+$E770),(('PTRM input'!$I$165+'PTRM input'!$I$131)*$I$7)-SUM($I770:L770),(('PTRM input'!$I$165+'PTRM input'!$I$131)*$I$7)/A23taxstdlife))</f>
        <v>0</v>
      </c>
      <c r="N770" s="107">
        <f>IF(A23taxstdlife="n/a","n/a",IF(N$3&gt;(A23taxstdlife+$E770),(('PTRM input'!$I$165+'PTRM input'!$I$131)*$I$7)-SUM($I770:M770),(('PTRM input'!$I$165+'PTRM input'!$I$131)*$I$7)/A23taxstdlife))</f>
        <v>0</v>
      </c>
      <c r="O770" s="107">
        <f>IF(A23taxstdlife="n/a","n/a",IF(O$3&gt;(A23taxstdlife+$E770),(('PTRM input'!$I$165+'PTRM input'!$I$131)*$I$7)-SUM($I770:N770),(('PTRM input'!$I$165+'PTRM input'!$I$131)*$I$7)/A23taxstdlife))</f>
        <v>0</v>
      </c>
      <c r="P770" s="107">
        <f>IF(A23taxstdlife="n/a","n/a",IF(P$3&gt;(A23taxstdlife+$E770),(('PTRM input'!$I$165+'PTRM input'!$I$131)*$I$7)-SUM($I770:O770),(('PTRM input'!$I$165+'PTRM input'!$I$131)*$I$7)/A23taxstdlife))</f>
        <v>0</v>
      </c>
      <c r="Q770" s="590">
        <f>IF(A23taxstdlife="n/a","n/a",IF(Q$3&gt;(A23taxstdlife+$E770),(('PTRM input'!$I$165+'PTRM input'!$I$131)*$I$7)-SUM($I770:P770),(('PTRM input'!$I$165+'PTRM input'!$I$131)*$I$7)/A23taxstdlife))</f>
        <v>0</v>
      </c>
      <c r="R770" s="590">
        <f>IF(A23taxstdlife="n/a","n/a",IF(R$3&gt;(A23taxstdlife+$E770),(('PTRM input'!$I$165+'PTRM input'!$I$131)*$I$7)-SUM($I770:Q770),(('PTRM input'!$I$165+'PTRM input'!$I$131)*$I$7)/A23taxstdlife))</f>
        <v>0</v>
      </c>
      <c r="S770" s="590">
        <f>IF(A23taxstdlife="n/a","n/a",IF(S$3&gt;(A23taxstdlife+$E770),(('PTRM input'!$I$165+'PTRM input'!$I$131)*$I$7)-SUM($I770:R770),(('PTRM input'!$I$165+'PTRM input'!$I$131)*$I$7)/A23taxstdlife))</f>
        <v>0</v>
      </c>
      <c r="T770" s="590">
        <f>IF(A23taxstdlife="n/a","n/a",IF(T$3&gt;(A23taxstdlife+$E770),(('PTRM input'!$I$165+'PTRM input'!$I$131)*$I$7)-SUM($I770:S770),(('PTRM input'!$I$165+'PTRM input'!$I$131)*$I$7)/A23taxstdlife))</f>
        <v>0</v>
      </c>
      <c r="U770" s="590">
        <f>IF(A23taxstdlife="n/a","n/a",IF(U$3&gt;(A23taxstdlife+$E770),(('PTRM input'!$I$165+'PTRM input'!$I$131)*$I$7)-SUM($I770:T770),(('PTRM input'!$I$165+'PTRM input'!$I$131)*$I$7)/A23taxstdlife))</f>
        <v>0</v>
      </c>
      <c r="V770" s="590">
        <f>IF(A23taxstdlife="n/a","n/a",IF(V$3&gt;(A23taxstdlife+$E770),(('PTRM input'!$I$165+'PTRM input'!$I$131)*$I$7)-SUM($I770:U770),(('PTRM input'!$I$165+'PTRM input'!$I$131)*$I$7)/A23taxstdlife))</f>
        <v>0</v>
      </c>
      <c r="W770" s="590">
        <f>IF(A23taxstdlife="n/a","n/a",IF(W$3&gt;(A23taxstdlife+$E770),(('PTRM input'!$I$165+'PTRM input'!$I$131)*$I$7)-SUM($I770:V770),(('PTRM input'!$I$165+'PTRM input'!$I$131)*$I$7)/A23taxstdlife))</f>
        <v>0</v>
      </c>
      <c r="X770" s="590">
        <f>IF(A23taxstdlife="n/a","n/a",IF(X$3&gt;(A23taxstdlife+$E770),(('PTRM input'!$I$165+'PTRM input'!$I$131)*$I$7)-SUM($I770:W770),(('PTRM input'!$I$165+'PTRM input'!$I$131)*$I$7)/A23taxstdlife))</f>
        <v>0</v>
      </c>
      <c r="Y770" s="590">
        <f>IF(A23taxstdlife="n/a","n/a",IF(Y$3&gt;(A23taxstdlife+$E770),(('PTRM input'!$I$165+'PTRM input'!$I$131)*$I$7)-SUM($I770:X770),(('PTRM input'!$I$165+'PTRM input'!$I$131)*$I$7)/A23taxstdlife))</f>
        <v>0</v>
      </c>
      <c r="Z770" s="590">
        <f>IF(A23taxstdlife="n/a","n/a",IF(Z$3&gt;(A23taxstdlife+$E770),(('PTRM input'!$I$165+'PTRM input'!$I$131)*$I$7)-SUM($I770:Y770),(('PTRM input'!$I$165+'PTRM input'!$I$131)*$I$7)/A23taxstdlife))</f>
        <v>0</v>
      </c>
      <c r="AA770" s="590">
        <f>IF(A23taxstdlife="n/a","n/a",IF(AA$3&gt;(A23taxstdlife+$E770),(('PTRM input'!$I$165+'PTRM input'!$I$131)*$I$7)-SUM($I770:Z770),(('PTRM input'!$I$165+'PTRM input'!$I$131)*$I$7)/A23taxstdlife))</f>
        <v>0</v>
      </c>
      <c r="AB770" s="590">
        <f>IF(A23taxstdlife="n/a","n/a",IF(AB$3&gt;(A23taxstdlife+$E770),(('PTRM input'!$I$165+'PTRM input'!$I$131)*$I$7)-SUM($I770:AA770),(('PTRM input'!$I$165+'PTRM input'!$I$131)*$I$7)/A23taxstdlife))</f>
        <v>0</v>
      </c>
      <c r="AC770" s="590">
        <f>IF(A23taxstdlife="n/a","n/a",IF(AC$3&gt;(A23taxstdlife+$E770),(('PTRM input'!$I$165+'PTRM input'!$I$131)*$I$7)-SUM($I770:AB770),(('PTRM input'!$I$165+'PTRM input'!$I$131)*$I$7)/A23taxstdlife))</f>
        <v>0</v>
      </c>
      <c r="AD770" s="590">
        <f>IF(A23taxstdlife="n/a","n/a",IF(AD$3&gt;(A23taxstdlife+$E770),(('PTRM input'!$I$165+'PTRM input'!$I$131)*$I$7)-SUM($I770:AC770),(('PTRM input'!$I$165+'PTRM input'!$I$131)*$I$7)/A23taxstdlife))</f>
        <v>0</v>
      </c>
      <c r="AE770" s="590">
        <f>IF(A23taxstdlife="n/a","n/a",IF(AE$3&gt;(A23taxstdlife+$E770),(('PTRM input'!$I$165+'PTRM input'!$I$131)*$I$7)-SUM($I770:AD770),(('PTRM input'!$I$165+'PTRM input'!$I$131)*$I$7)/A23taxstdlife))</f>
        <v>0</v>
      </c>
      <c r="AF770" s="590">
        <f>IF(A23taxstdlife="n/a","n/a",IF(AF$3&gt;(A23taxstdlife+$E770),(('PTRM input'!$I$165+'PTRM input'!$I$131)*$I$7)-SUM($I770:AE770),(('PTRM input'!$I$165+'PTRM input'!$I$131)*$I$7)/A23taxstdlife))</f>
        <v>0</v>
      </c>
      <c r="AG770" s="590">
        <f>IF(A23taxstdlife="n/a","n/a",IF(AG$3&gt;(A23taxstdlife+$E770),(('PTRM input'!$I$165+'PTRM input'!$I$131)*$I$7)-SUM($I770:AF770),(('PTRM input'!$I$165+'PTRM input'!$I$131)*$I$7)/A23taxstdlife))</f>
        <v>0</v>
      </c>
      <c r="AH770" s="590">
        <f>IF(A23taxstdlife="n/a","n/a",IF(AH$3&gt;(A23taxstdlife+$E770),(('PTRM input'!$I$165+'PTRM input'!$I$131)*$I$7)-SUM($I770:AG770),(('PTRM input'!$I$165+'PTRM input'!$I$131)*$I$7)/A23taxstdlife))</f>
        <v>0</v>
      </c>
      <c r="AI770" s="590">
        <f>IF(A23taxstdlife="n/a","n/a",IF(AI$3&gt;(A23taxstdlife+$E770),(('PTRM input'!$I$165+'PTRM input'!$I$131)*$I$7)-SUM($I770:AH770),(('PTRM input'!$I$165+'PTRM input'!$I$131)*$I$7)/A23taxstdlife))</f>
        <v>0</v>
      </c>
      <c r="AJ770" s="590">
        <f>IF(A23taxstdlife="n/a","n/a",IF(AJ$3&gt;(A23taxstdlife+$E770),(('PTRM input'!$I$165+'PTRM input'!$I$131)*$I$7)-SUM($I770:AI770),(('PTRM input'!$I$165+'PTRM input'!$I$131)*$I$7)/A23taxstdlife))</f>
        <v>0</v>
      </c>
      <c r="AK770" s="590">
        <f>IF(A23taxstdlife="n/a","n/a",IF(AK$3&gt;(A23taxstdlife+$E770),(('PTRM input'!$I$165+'PTRM input'!$I$131)*$I$7)-SUM($I770:AJ770),(('PTRM input'!$I$165+'PTRM input'!$I$131)*$I$7)/A23taxstdlife))</f>
        <v>0</v>
      </c>
      <c r="AL770" s="590">
        <f>IF(A23taxstdlife="n/a","n/a",IF(AL$3&gt;(A23taxstdlife+$E770),(('PTRM input'!$I$165+'PTRM input'!$I$131)*$I$7)-SUM($I770:AK770),(('PTRM input'!$I$165+'PTRM input'!$I$131)*$I$7)/A23taxstdlife))</f>
        <v>0</v>
      </c>
      <c r="AM770" s="590">
        <f>IF(A23taxstdlife="n/a","n/a",IF(AM$3&gt;(A23taxstdlife+$E770),(('PTRM input'!$I$165+'PTRM input'!$I$131)*$I$7)-SUM($I770:AL770),(('PTRM input'!$I$165+'PTRM input'!$I$131)*$I$7)/A23taxstdlife))</f>
        <v>0</v>
      </c>
      <c r="AN770" s="590">
        <f>IF(A23taxstdlife="n/a","n/a",IF(AN$3&gt;(A23taxstdlife+$E770),(('PTRM input'!$I$165+'PTRM input'!$I$131)*$I$7)-SUM($I770:AM770),(('PTRM input'!$I$165+'PTRM input'!$I$131)*$I$7)/A23taxstdlife))</f>
        <v>0</v>
      </c>
      <c r="AO770" s="590">
        <f>IF(A23taxstdlife="n/a","n/a",IF(AO$3&gt;(A23taxstdlife+$E770),(('PTRM input'!$I$165+'PTRM input'!$I$131)*$I$7)-SUM($I770:AN770),(('PTRM input'!$I$165+'PTRM input'!$I$131)*$I$7)/A23taxstdlife))</f>
        <v>0</v>
      </c>
      <c r="AP770" s="590">
        <f>IF(A23taxstdlife="n/a","n/a",IF(AP$3&gt;(A23taxstdlife+$E770),(('PTRM input'!$I$165+'PTRM input'!$I$131)*$I$7)-SUM($I770:AO770),(('PTRM input'!$I$165+'PTRM input'!$I$131)*$I$7)/A23taxstdlife))</f>
        <v>0</v>
      </c>
      <c r="AQ770" s="590">
        <f>IF(A23taxstdlife="n/a","n/a",IF(AQ$3&gt;(A23taxstdlife+$E770),(('PTRM input'!$I$165+'PTRM input'!$I$131)*$I$7)-SUM($I770:AP770),(('PTRM input'!$I$165+'PTRM input'!$I$131)*$I$7)/A23taxstdlife))</f>
        <v>0</v>
      </c>
      <c r="AR770" s="590">
        <f>IF(A23taxstdlife="n/a","n/a",IF(AR$3&gt;(A23taxstdlife+$E770),(('PTRM input'!$I$165+'PTRM input'!$I$131)*$I$7)-SUM($I770:AQ770),(('PTRM input'!$I$165+'PTRM input'!$I$131)*$I$7)/A23taxstdlife))</f>
        <v>0</v>
      </c>
      <c r="AS770" s="590">
        <f>IF(A23taxstdlife="n/a","n/a",IF(AS$3&gt;(A23taxstdlife+$E770),(('PTRM input'!$I$165+'PTRM input'!$I$131)*$I$7)-SUM($I770:AR770),(('PTRM input'!$I$165+'PTRM input'!$I$131)*$I$7)/A23taxstdlife))</f>
        <v>0</v>
      </c>
      <c r="AT770" s="590">
        <f>IF(A23taxstdlife="n/a","n/a",IF(AT$3&gt;(A23taxstdlife+$E770),(('PTRM input'!$I$165+'PTRM input'!$I$131)*$I$7)-SUM($I770:AS770),(('PTRM input'!$I$165+'PTRM input'!$I$131)*$I$7)/A23taxstdlife))</f>
        <v>0</v>
      </c>
      <c r="AU770" s="590">
        <f>IF(A23taxstdlife="n/a","n/a",IF(AU$3&gt;(A23taxstdlife+$E770),(('PTRM input'!$I$165+'PTRM input'!$I$131)*$I$7)-SUM($I770:AT770),(('PTRM input'!$I$165+'PTRM input'!$I$131)*$I$7)/A23taxstdlife))</f>
        <v>0</v>
      </c>
      <c r="AV770" s="590">
        <f>IF(A23taxstdlife="n/a","n/a",IF(AV$3&gt;(A23taxstdlife+$E770),(('PTRM input'!$I$165+'PTRM input'!$I$131)*$I$7)-SUM($I770:AU770),(('PTRM input'!$I$165+'PTRM input'!$I$131)*$I$7)/A23taxstdlife))</f>
        <v>0</v>
      </c>
      <c r="AW770" s="590">
        <f>IF(A23taxstdlife="n/a","n/a",IF(AW$3&gt;(A23taxstdlife+$E770),(('PTRM input'!$I$165+'PTRM input'!$I$131)*$I$7)-SUM($I770:AV770),(('PTRM input'!$I$165+'PTRM input'!$I$131)*$I$7)/A23taxstdlife))</f>
        <v>0</v>
      </c>
      <c r="AX770" s="590">
        <f>IF(A23taxstdlife="n/a","n/a",IF(AX$3&gt;(A23taxstdlife+$E770),(('PTRM input'!$I$165+'PTRM input'!$I$131)*$I$7)-SUM($I770:AW770),(('PTRM input'!$I$165+'PTRM input'!$I$131)*$I$7)/A23taxstdlife))</f>
        <v>0</v>
      </c>
      <c r="AY770" s="590">
        <f>IF(A23taxstdlife="n/a","n/a",IF(AY$3&gt;(A23taxstdlife+$E770),(('PTRM input'!$I$165+'PTRM input'!$I$131)*$I$7)-SUM($I770:AX770),(('PTRM input'!$I$165+'PTRM input'!$I$131)*$I$7)/A23taxstdlife))</f>
        <v>0</v>
      </c>
      <c r="AZ770" s="590">
        <f>IF(A23taxstdlife="n/a","n/a",IF(AZ$3&gt;(A23taxstdlife+$E770),(('PTRM input'!$I$165+'PTRM input'!$I$131)*$I$7)-SUM($I770:AY770),(('PTRM input'!$I$165+'PTRM input'!$I$131)*$I$7)/A23taxstdlife))</f>
        <v>0</v>
      </c>
      <c r="BA770" s="590">
        <f>IF(A23taxstdlife="n/a","n/a",IF(BA$3&gt;(A23taxstdlife+$E770),(('PTRM input'!$I$165+'PTRM input'!$I$131)*$I$7)-SUM($I770:AZ770),(('PTRM input'!$I$165+'PTRM input'!$I$131)*$I$7)/A23taxstdlife))</f>
        <v>0</v>
      </c>
      <c r="BB770" s="590">
        <f>IF(A23taxstdlife="n/a","n/a",IF(BB$3&gt;(A23taxstdlife+$E770),(('PTRM input'!$I$165+'PTRM input'!$I$131)*$I$7)-SUM($I770:BA770),(('PTRM input'!$I$165+'PTRM input'!$I$131)*$I$7)/A23taxstdlife))</f>
        <v>0</v>
      </c>
      <c r="BC770" s="590">
        <f>IF(A23taxstdlife="n/a","n/a",IF(BC$3&gt;(A23taxstdlife+$E770),(('PTRM input'!$I$165+'PTRM input'!$I$131)*$I$7)-SUM($I770:BB770),(('PTRM input'!$I$165+'PTRM input'!$I$131)*$I$7)/A23taxstdlife))</f>
        <v>0</v>
      </c>
      <c r="BD770" s="590">
        <f>IF(A23taxstdlife="n/a","n/a",IF(BD$3&gt;(A23taxstdlife+$E770),(('PTRM input'!$I$165+'PTRM input'!$I$131)*$I$7)-SUM($I770:BC770),(('PTRM input'!$I$165+'PTRM input'!$I$131)*$I$7)/A23taxstdlife))</f>
        <v>0</v>
      </c>
      <c r="BE770" s="590">
        <f>IF(A23taxstdlife="n/a","n/a",IF(BE$3&gt;(A23taxstdlife+$E770),(('PTRM input'!$I$165+'PTRM input'!$I$131)*$I$7)-SUM($I770:BD770),(('PTRM input'!$I$165+'PTRM input'!$I$131)*$I$7)/A23taxstdlife))</f>
        <v>0</v>
      </c>
      <c r="BF770" s="590">
        <f>IF(A23taxstdlife="n/a","n/a",IF(BF$3&gt;(A23taxstdlife+$E770),(('PTRM input'!$I$165+'PTRM input'!$I$131)*$I$7)-SUM($I770:BE770),(('PTRM input'!$I$165+'PTRM input'!$I$131)*$I$7)/A23taxstdlife))</f>
        <v>0</v>
      </c>
      <c r="BG770" s="590">
        <f>IF(A23taxstdlife="n/a","n/a",IF(BG$3&gt;(A23taxstdlife+$E770),(('PTRM input'!$I$165+'PTRM input'!$I$131)*$I$7)-SUM($I770:BF770),(('PTRM input'!$I$165+'PTRM input'!$I$131)*$I$7)/A23taxstdlife))</f>
        <v>0</v>
      </c>
      <c r="BH770" s="590">
        <f>IF(A23taxstdlife="n/a","n/a",IF(BH$3&gt;(A23taxstdlife+$E770),(('PTRM input'!$I$165+'PTRM input'!$I$131)*$I$7)-SUM($I770:BG770),(('PTRM input'!$I$165+'PTRM input'!$I$131)*$I$7)/A23taxstdlife))</f>
        <v>0</v>
      </c>
      <c r="BI770" s="590">
        <f>IF(A23taxstdlife="n/a","n/a",IF(BI$3&gt;(A23taxstdlife+$E770),(('PTRM input'!$I$165+'PTRM input'!$I$131)*$I$7)-SUM($I770:BH770),(('PTRM input'!$I$165+'PTRM input'!$I$131)*$I$7)/A23taxstdlife))</f>
        <v>0</v>
      </c>
      <c r="BJ770" s="590"/>
      <c r="BK770" s="240"/>
      <c r="BL770" s="240"/>
      <c r="BM770" s="240"/>
    </row>
    <row r="771" spans="1:65" s="4" customFormat="1" hidden="1" outlineLevel="2">
      <c r="A771" s="240"/>
      <c r="B771" s="240"/>
      <c r="C771" s="595"/>
      <c r="D771" s="1618"/>
      <c r="E771" s="169">
        <v>4</v>
      </c>
      <c r="F771" s="35"/>
      <c r="G771" s="184"/>
      <c r="H771" s="186"/>
      <c r="I771" s="186"/>
      <c r="J771" s="185"/>
      <c r="K771" s="107">
        <f>IF(A23taxstdlife="n/a","n/a",IF(K$3&gt;(A23taxstdlife+$E771),(('PTRM input'!$J$165+'PTRM input'!$J$131)*$J$7)-SUM($J771:J771),(('PTRM input'!$J$165+'PTRM input'!$J$131)*$J$7)/A23taxstdlife))</f>
        <v>0</v>
      </c>
      <c r="L771" s="107">
        <f>IF(A23taxstdlife="n/a","n/a",IF(L$3&gt;(A23taxstdlife+$E771),(('PTRM input'!$J$165+'PTRM input'!$J$131)*$J$7)-SUM($J771:K771),(('PTRM input'!$J$165+'PTRM input'!$J$131)*$J$7)/A23taxstdlife))</f>
        <v>0</v>
      </c>
      <c r="M771" s="107">
        <f>IF(A23taxstdlife="n/a","n/a",IF(M$3&gt;(A23taxstdlife+$E771),(('PTRM input'!$J$165+'PTRM input'!$J$131)*$J$7)-SUM($J771:L771),(('PTRM input'!$J$165+'PTRM input'!$J$131)*$J$7)/A23taxstdlife))</f>
        <v>0</v>
      </c>
      <c r="N771" s="107">
        <f>IF(A23taxstdlife="n/a","n/a",IF(N$3&gt;(A23taxstdlife+$E771),(('PTRM input'!$J$165+'PTRM input'!$J$131)*$J$7)-SUM($J771:M771),(('PTRM input'!$J$165+'PTRM input'!$J$131)*$J$7)/A23taxstdlife))</f>
        <v>0</v>
      </c>
      <c r="O771" s="107">
        <f>IF(A23taxstdlife="n/a","n/a",IF(O$3&gt;(A23taxstdlife+$E771),(('PTRM input'!$J$165+'PTRM input'!$J$131)*$J$7)-SUM($J771:N771),(('PTRM input'!$J$165+'PTRM input'!$J$131)*$J$7)/A23taxstdlife))</f>
        <v>0</v>
      </c>
      <c r="P771" s="107">
        <f>IF(A23taxstdlife="n/a","n/a",IF(P$3&gt;(A23taxstdlife+$E771),(('PTRM input'!$J$165+'PTRM input'!$J$131)*$J$7)-SUM($J771:O771),(('PTRM input'!$J$165+'PTRM input'!$J$131)*$J$7)/A23taxstdlife))</f>
        <v>0</v>
      </c>
      <c r="Q771" s="590">
        <f>IF(A23taxstdlife="n/a","n/a",IF(Q$3&gt;(A23taxstdlife+$E771),(('PTRM input'!$J$165+'PTRM input'!$J$131)*$J$7)-SUM($J771:P771),(('PTRM input'!$J$165+'PTRM input'!$J$131)*$J$7)/A23taxstdlife))</f>
        <v>0</v>
      </c>
      <c r="R771" s="590">
        <f>IF(A23taxstdlife="n/a","n/a",IF(R$3&gt;(A23taxstdlife+$E771),(('PTRM input'!$J$165+'PTRM input'!$J$131)*$J$7)-SUM($J771:Q771),(('PTRM input'!$J$165+'PTRM input'!$J$131)*$J$7)/A23taxstdlife))</f>
        <v>0</v>
      </c>
      <c r="S771" s="590">
        <f>IF(A23taxstdlife="n/a","n/a",IF(S$3&gt;(A23taxstdlife+$E771),(('PTRM input'!$J$165+'PTRM input'!$J$131)*$J$7)-SUM($J771:R771),(('PTRM input'!$J$165+'PTRM input'!$J$131)*$J$7)/A23taxstdlife))</f>
        <v>0</v>
      </c>
      <c r="T771" s="590">
        <f>IF(A23taxstdlife="n/a","n/a",IF(T$3&gt;(A23taxstdlife+$E771),(('PTRM input'!$J$165+'PTRM input'!$J$131)*$J$7)-SUM($J771:S771),(('PTRM input'!$J$165+'PTRM input'!$J$131)*$J$7)/A23taxstdlife))</f>
        <v>0</v>
      </c>
      <c r="U771" s="590">
        <f>IF(A23taxstdlife="n/a","n/a",IF(U$3&gt;(A23taxstdlife+$E771),(('PTRM input'!$J$165+'PTRM input'!$J$131)*$J$7)-SUM($J771:T771),(('PTRM input'!$J$165+'PTRM input'!$J$131)*$J$7)/A23taxstdlife))</f>
        <v>0</v>
      </c>
      <c r="V771" s="590">
        <f>IF(A23taxstdlife="n/a","n/a",IF(V$3&gt;(A23taxstdlife+$E771),(('PTRM input'!$J$165+'PTRM input'!$J$131)*$J$7)-SUM($J771:U771),(('PTRM input'!$J$165+'PTRM input'!$J$131)*$J$7)/A23taxstdlife))</f>
        <v>0</v>
      </c>
      <c r="W771" s="590">
        <f>IF(A23taxstdlife="n/a","n/a",IF(W$3&gt;(A23taxstdlife+$E771),(('PTRM input'!$J$165+'PTRM input'!$J$131)*$J$7)-SUM($J771:V771),(('PTRM input'!$J$165+'PTRM input'!$J$131)*$J$7)/A23taxstdlife))</f>
        <v>0</v>
      </c>
      <c r="X771" s="590">
        <f>IF(A23taxstdlife="n/a","n/a",IF(X$3&gt;(A23taxstdlife+$E771),(('PTRM input'!$J$165+'PTRM input'!$J$131)*$J$7)-SUM($J771:W771),(('PTRM input'!$J$165+'PTRM input'!$J$131)*$J$7)/A23taxstdlife))</f>
        <v>0</v>
      </c>
      <c r="Y771" s="590">
        <f>IF(A23taxstdlife="n/a","n/a",IF(Y$3&gt;(A23taxstdlife+$E771),(('PTRM input'!$J$165+'PTRM input'!$J$131)*$J$7)-SUM($J771:X771),(('PTRM input'!$J$165+'PTRM input'!$J$131)*$J$7)/A23taxstdlife))</f>
        <v>0</v>
      </c>
      <c r="Z771" s="590">
        <f>IF(A23taxstdlife="n/a","n/a",IF(Z$3&gt;(A23taxstdlife+$E771),(('PTRM input'!$J$165+'PTRM input'!$J$131)*$J$7)-SUM($J771:Y771),(('PTRM input'!$J$165+'PTRM input'!$J$131)*$J$7)/A23taxstdlife))</f>
        <v>0</v>
      </c>
      <c r="AA771" s="590">
        <f>IF(A23taxstdlife="n/a","n/a",IF(AA$3&gt;(A23taxstdlife+$E771),(('PTRM input'!$J$165+'PTRM input'!$J$131)*$J$7)-SUM($J771:Z771),(('PTRM input'!$J$165+'PTRM input'!$J$131)*$J$7)/A23taxstdlife))</f>
        <v>0</v>
      </c>
      <c r="AB771" s="590">
        <f>IF(A23taxstdlife="n/a","n/a",IF(AB$3&gt;(A23taxstdlife+$E771),(('PTRM input'!$J$165+'PTRM input'!$J$131)*$J$7)-SUM($J771:AA771),(('PTRM input'!$J$165+'PTRM input'!$J$131)*$J$7)/A23taxstdlife))</f>
        <v>0</v>
      </c>
      <c r="AC771" s="590">
        <f>IF(A23taxstdlife="n/a","n/a",IF(AC$3&gt;(A23taxstdlife+$E771),(('PTRM input'!$J$165+'PTRM input'!$J$131)*$J$7)-SUM($J771:AB771),(('PTRM input'!$J$165+'PTRM input'!$J$131)*$J$7)/A23taxstdlife))</f>
        <v>0</v>
      </c>
      <c r="AD771" s="590">
        <f>IF(A23taxstdlife="n/a","n/a",IF(AD$3&gt;(A23taxstdlife+$E771),(('PTRM input'!$J$165+'PTRM input'!$J$131)*$J$7)-SUM($J771:AC771),(('PTRM input'!$J$165+'PTRM input'!$J$131)*$J$7)/A23taxstdlife))</f>
        <v>0</v>
      </c>
      <c r="AE771" s="590">
        <f>IF(A23taxstdlife="n/a","n/a",IF(AE$3&gt;(A23taxstdlife+$E771),(('PTRM input'!$J$165+'PTRM input'!$J$131)*$J$7)-SUM($J771:AD771),(('PTRM input'!$J$165+'PTRM input'!$J$131)*$J$7)/A23taxstdlife))</f>
        <v>0</v>
      </c>
      <c r="AF771" s="590">
        <f>IF(A23taxstdlife="n/a","n/a",IF(AF$3&gt;(A23taxstdlife+$E771),(('PTRM input'!$J$165+'PTRM input'!$J$131)*$J$7)-SUM($J771:AE771),(('PTRM input'!$J$165+'PTRM input'!$J$131)*$J$7)/A23taxstdlife))</f>
        <v>0</v>
      </c>
      <c r="AG771" s="590">
        <f>IF(A23taxstdlife="n/a","n/a",IF(AG$3&gt;(A23taxstdlife+$E771),(('PTRM input'!$J$165+'PTRM input'!$J$131)*$J$7)-SUM($J771:AF771),(('PTRM input'!$J$165+'PTRM input'!$J$131)*$J$7)/A23taxstdlife))</f>
        <v>0</v>
      </c>
      <c r="AH771" s="590">
        <f>IF(A23taxstdlife="n/a","n/a",IF(AH$3&gt;(A23taxstdlife+$E771),(('PTRM input'!$J$165+'PTRM input'!$J$131)*$J$7)-SUM($J771:AG771),(('PTRM input'!$J$165+'PTRM input'!$J$131)*$J$7)/A23taxstdlife))</f>
        <v>0</v>
      </c>
      <c r="AI771" s="590">
        <f>IF(A23taxstdlife="n/a","n/a",IF(AI$3&gt;(A23taxstdlife+$E771),(('PTRM input'!$J$165+'PTRM input'!$J$131)*$J$7)-SUM($J771:AH771),(('PTRM input'!$J$165+'PTRM input'!$J$131)*$J$7)/A23taxstdlife))</f>
        <v>0</v>
      </c>
      <c r="AJ771" s="590">
        <f>IF(A23taxstdlife="n/a","n/a",IF(AJ$3&gt;(A23taxstdlife+$E771),(('PTRM input'!$J$165+'PTRM input'!$J$131)*$J$7)-SUM($J771:AI771),(('PTRM input'!$J$165+'PTRM input'!$J$131)*$J$7)/A23taxstdlife))</f>
        <v>0</v>
      </c>
      <c r="AK771" s="590">
        <f>IF(A23taxstdlife="n/a","n/a",IF(AK$3&gt;(A23taxstdlife+$E771),(('PTRM input'!$J$165+'PTRM input'!$J$131)*$J$7)-SUM($J771:AJ771),(('PTRM input'!$J$165+'PTRM input'!$J$131)*$J$7)/A23taxstdlife))</f>
        <v>0</v>
      </c>
      <c r="AL771" s="590">
        <f>IF(A23taxstdlife="n/a","n/a",IF(AL$3&gt;(A23taxstdlife+$E771),(('PTRM input'!$J$165+'PTRM input'!$J$131)*$J$7)-SUM($J771:AK771),(('PTRM input'!$J$165+'PTRM input'!$J$131)*$J$7)/A23taxstdlife))</f>
        <v>0</v>
      </c>
      <c r="AM771" s="590">
        <f>IF(A23taxstdlife="n/a","n/a",IF(AM$3&gt;(A23taxstdlife+$E771),(('PTRM input'!$J$165+'PTRM input'!$J$131)*$J$7)-SUM($J771:AL771),(('PTRM input'!$J$165+'PTRM input'!$J$131)*$J$7)/A23taxstdlife))</f>
        <v>0</v>
      </c>
      <c r="AN771" s="590">
        <f>IF(A23taxstdlife="n/a","n/a",IF(AN$3&gt;(A23taxstdlife+$E771),(('PTRM input'!$J$165+'PTRM input'!$J$131)*$J$7)-SUM($J771:AM771),(('PTRM input'!$J$165+'PTRM input'!$J$131)*$J$7)/A23taxstdlife))</f>
        <v>0</v>
      </c>
      <c r="AO771" s="590">
        <f>IF(A23taxstdlife="n/a","n/a",IF(AO$3&gt;(A23taxstdlife+$E771),(('PTRM input'!$J$165+'PTRM input'!$J$131)*$J$7)-SUM($J771:AN771),(('PTRM input'!$J$165+'PTRM input'!$J$131)*$J$7)/A23taxstdlife))</f>
        <v>0</v>
      </c>
      <c r="AP771" s="590">
        <f>IF(A23taxstdlife="n/a","n/a",IF(AP$3&gt;(A23taxstdlife+$E771),(('PTRM input'!$J$165+'PTRM input'!$J$131)*$J$7)-SUM($J771:AO771),(('PTRM input'!$J$165+'PTRM input'!$J$131)*$J$7)/A23taxstdlife))</f>
        <v>0</v>
      </c>
      <c r="AQ771" s="590">
        <f>IF(A23taxstdlife="n/a","n/a",IF(AQ$3&gt;(A23taxstdlife+$E771),(('PTRM input'!$J$165+'PTRM input'!$J$131)*$J$7)-SUM($J771:AP771),(('PTRM input'!$J$165+'PTRM input'!$J$131)*$J$7)/A23taxstdlife))</f>
        <v>0</v>
      </c>
      <c r="AR771" s="590">
        <f>IF(A23taxstdlife="n/a","n/a",IF(AR$3&gt;(A23taxstdlife+$E771),(('PTRM input'!$J$165+'PTRM input'!$J$131)*$J$7)-SUM($J771:AQ771),(('PTRM input'!$J$165+'PTRM input'!$J$131)*$J$7)/A23taxstdlife))</f>
        <v>0</v>
      </c>
      <c r="AS771" s="590">
        <f>IF(A23taxstdlife="n/a","n/a",IF(AS$3&gt;(A23taxstdlife+$E771),(('PTRM input'!$J$165+'PTRM input'!$J$131)*$J$7)-SUM($J771:AR771),(('PTRM input'!$J$165+'PTRM input'!$J$131)*$J$7)/A23taxstdlife))</f>
        <v>0</v>
      </c>
      <c r="AT771" s="590">
        <f>IF(A23taxstdlife="n/a","n/a",IF(AT$3&gt;(A23taxstdlife+$E771),(('PTRM input'!$J$165+'PTRM input'!$J$131)*$J$7)-SUM($J771:AS771),(('PTRM input'!$J$165+'PTRM input'!$J$131)*$J$7)/A23taxstdlife))</f>
        <v>0</v>
      </c>
      <c r="AU771" s="590">
        <f>IF(A23taxstdlife="n/a","n/a",IF(AU$3&gt;(A23taxstdlife+$E771),(('PTRM input'!$J$165+'PTRM input'!$J$131)*$J$7)-SUM($J771:AT771),(('PTRM input'!$J$165+'PTRM input'!$J$131)*$J$7)/A23taxstdlife))</f>
        <v>0</v>
      </c>
      <c r="AV771" s="590">
        <f>IF(A23taxstdlife="n/a","n/a",IF(AV$3&gt;(A23taxstdlife+$E771),(('PTRM input'!$J$165+'PTRM input'!$J$131)*$J$7)-SUM($J771:AU771),(('PTRM input'!$J$165+'PTRM input'!$J$131)*$J$7)/A23taxstdlife))</f>
        <v>0</v>
      </c>
      <c r="AW771" s="590">
        <f>IF(A23taxstdlife="n/a","n/a",IF(AW$3&gt;(A23taxstdlife+$E771),(('PTRM input'!$J$165+'PTRM input'!$J$131)*$J$7)-SUM($J771:AV771),(('PTRM input'!$J$165+'PTRM input'!$J$131)*$J$7)/A23taxstdlife))</f>
        <v>0</v>
      </c>
      <c r="AX771" s="590">
        <f>IF(A23taxstdlife="n/a","n/a",IF(AX$3&gt;(A23taxstdlife+$E771),(('PTRM input'!$J$165+'PTRM input'!$J$131)*$J$7)-SUM($J771:AW771),(('PTRM input'!$J$165+'PTRM input'!$J$131)*$J$7)/A23taxstdlife))</f>
        <v>0</v>
      </c>
      <c r="AY771" s="590">
        <f>IF(A23taxstdlife="n/a","n/a",IF(AY$3&gt;(A23taxstdlife+$E771),(('PTRM input'!$J$165+'PTRM input'!$J$131)*$J$7)-SUM($J771:AX771),(('PTRM input'!$J$165+'PTRM input'!$J$131)*$J$7)/A23taxstdlife))</f>
        <v>0</v>
      </c>
      <c r="AZ771" s="590">
        <f>IF(A23taxstdlife="n/a","n/a",IF(AZ$3&gt;(A23taxstdlife+$E771),(('PTRM input'!$J$165+'PTRM input'!$J$131)*$J$7)-SUM($J771:AY771),(('PTRM input'!$J$165+'PTRM input'!$J$131)*$J$7)/A23taxstdlife))</f>
        <v>0</v>
      </c>
      <c r="BA771" s="590">
        <f>IF(A23taxstdlife="n/a","n/a",IF(BA$3&gt;(A23taxstdlife+$E771),(('PTRM input'!$J$165+'PTRM input'!$J$131)*$J$7)-SUM($J771:AZ771),(('PTRM input'!$J$165+'PTRM input'!$J$131)*$J$7)/A23taxstdlife))</f>
        <v>0</v>
      </c>
      <c r="BB771" s="590">
        <f>IF(A23taxstdlife="n/a","n/a",IF(BB$3&gt;(A23taxstdlife+$E771),(('PTRM input'!$J$165+'PTRM input'!$J$131)*$J$7)-SUM($J771:BA771),(('PTRM input'!$J$165+'PTRM input'!$J$131)*$J$7)/A23taxstdlife))</f>
        <v>0</v>
      </c>
      <c r="BC771" s="590">
        <f>IF(A23taxstdlife="n/a","n/a",IF(BC$3&gt;(A23taxstdlife+$E771),(('PTRM input'!$J$165+'PTRM input'!$J$131)*$J$7)-SUM($J771:BB771),(('PTRM input'!$J$165+'PTRM input'!$J$131)*$J$7)/A23taxstdlife))</f>
        <v>0</v>
      </c>
      <c r="BD771" s="590">
        <f>IF(A23taxstdlife="n/a","n/a",IF(BD$3&gt;(A23taxstdlife+$E771),(('PTRM input'!$J$165+'PTRM input'!$J$131)*$J$7)-SUM($J771:BC771),(('PTRM input'!$J$165+'PTRM input'!$J$131)*$J$7)/A23taxstdlife))</f>
        <v>0</v>
      </c>
      <c r="BE771" s="590">
        <f>IF(A23taxstdlife="n/a","n/a",IF(BE$3&gt;(A23taxstdlife+$E771),(('PTRM input'!$J$165+'PTRM input'!$J$131)*$J$7)-SUM($J771:BD771),(('PTRM input'!$J$165+'PTRM input'!$J$131)*$J$7)/A23taxstdlife))</f>
        <v>0</v>
      </c>
      <c r="BF771" s="590">
        <f>IF(A23taxstdlife="n/a","n/a",IF(BF$3&gt;(A23taxstdlife+$E771),(('PTRM input'!$J$165+'PTRM input'!$J$131)*$J$7)-SUM($J771:BE771),(('PTRM input'!$J$165+'PTRM input'!$J$131)*$J$7)/A23taxstdlife))</f>
        <v>0</v>
      </c>
      <c r="BG771" s="590">
        <f>IF(A23taxstdlife="n/a","n/a",IF(BG$3&gt;(A23taxstdlife+$E771),(('PTRM input'!$J$165+'PTRM input'!$J$131)*$J$7)-SUM($J771:BF771),(('PTRM input'!$J$165+'PTRM input'!$J$131)*$J$7)/A23taxstdlife))</f>
        <v>0</v>
      </c>
      <c r="BH771" s="590">
        <f>IF(A23taxstdlife="n/a","n/a",IF(BH$3&gt;(A23taxstdlife+$E771),(('PTRM input'!$J$165+'PTRM input'!$J$131)*$J$7)-SUM($J771:BG771),(('PTRM input'!$J$165+'PTRM input'!$J$131)*$J$7)/A23taxstdlife))</f>
        <v>0</v>
      </c>
      <c r="BI771" s="590">
        <f>IF(A23taxstdlife="n/a","n/a",IF(BI$3&gt;(A23taxstdlife+$E771),(('PTRM input'!$J$165+'PTRM input'!$J$131)*$J$7)-SUM($J771:BH771),(('PTRM input'!$J$165+'PTRM input'!$J$131)*$J$7)/A23taxstdlife))</f>
        <v>0</v>
      </c>
      <c r="BJ771" s="240"/>
      <c r="BK771" s="240"/>
      <c r="BL771" s="240"/>
      <c r="BM771" s="240"/>
    </row>
    <row r="772" spans="1:65" s="4" customFormat="1" hidden="1" outlineLevel="2">
      <c r="A772" s="240"/>
      <c r="B772" s="240"/>
      <c r="C772" s="595"/>
      <c r="D772" s="1618"/>
      <c r="E772" s="169">
        <v>5</v>
      </c>
      <c r="F772" s="35"/>
      <c r="G772" s="184"/>
      <c r="H772" s="186"/>
      <c r="I772" s="186"/>
      <c r="J772" s="186"/>
      <c r="K772" s="185"/>
      <c r="L772" s="107">
        <f>IF(A23taxstdlife="n/a","n/a",IF(L$3&gt;(A23taxstdlife+$E772),(('PTRM input'!$K$165+'PTRM input'!$K$131)*$K$7)-SUM($K772:K772),(('PTRM input'!$K$165+'PTRM input'!$K$131)*$K$7)/A23taxstdlife))</f>
        <v>0</v>
      </c>
      <c r="M772" s="107">
        <f>IF(A23taxstdlife="n/a","n/a",IF(M$3&gt;(A23taxstdlife+$E772),(('PTRM input'!$K$165+'PTRM input'!$K$131)*$K$7)-SUM($K772:L772),(('PTRM input'!$K$165+'PTRM input'!$K$131)*$K$7)/A23taxstdlife))</f>
        <v>0</v>
      </c>
      <c r="N772" s="107">
        <f>IF(A23taxstdlife="n/a","n/a",IF(N$3&gt;(A23taxstdlife+$E772),(('PTRM input'!$K$165+'PTRM input'!$K$131)*$K$7)-SUM($K772:M772),(('PTRM input'!$K$165+'PTRM input'!$K$131)*$K$7)/A23taxstdlife))</f>
        <v>0</v>
      </c>
      <c r="O772" s="107">
        <f>IF(A23taxstdlife="n/a","n/a",IF(O$3&gt;(A23taxstdlife+$E772),(('PTRM input'!$K$165+'PTRM input'!$K$131)*$K$7)-SUM($K772:N772),(('PTRM input'!$K$165+'PTRM input'!$K$131)*$K$7)/A23taxstdlife))</f>
        <v>0</v>
      </c>
      <c r="P772" s="107">
        <f>IF(A23taxstdlife="n/a","n/a",IF(P$3&gt;(A23taxstdlife+$E772),(('PTRM input'!$K$165+'PTRM input'!$K$131)*$K$7)-SUM($K772:O772),(('PTRM input'!$K$165+'PTRM input'!$K$131)*$K$7)/A23taxstdlife))</f>
        <v>0</v>
      </c>
      <c r="Q772" s="590">
        <f>IF(A23taxstdlife="n/a","n/a",IF(Q$3&gt;(A23taxstdlife+$E772),(('PTRM input'!$K$165+'PTRM input'!$K$131)*$K$7)-SUM($K772:P772),(('PTRM input'!$K$165+'PTRM input'!$K$131)*$K$7)/A23taxstdlife))</f>
        <v>0</v>
      </c>
      <c r="R772" s="590">
        <f>IF(A23taxstdlife="n/a","n/a",IF(R$3&gt;(A23taxstdlife+$E772),(('PTRM input'!$K$165+'PTRM input'!$K$131)*$K$7)-SUM($K772:Q772),(('PTRM input'!$K$165+'PTRM input'!$K$131)*$K$7)/A23taxstdlife))</f>
        <v>0</v>
      </c>
      <c r="S772" s="590">
        <f>IF(A23taxstdlife="n/a","n/a",IF(S$3&gt;(A23taxstdlife+$E772),(('PTRM input'!$K$165+'PTRM input'!$K$131)*$K$7)-SUM($K772:R772),(('PTRM input'!$K$165+'PTRM input'!$K$131)*$K$7)/A23taxstdlife))</f>
        <v>0</v>
      </c>
      <c r="T772" s="590">
        <f>IF(A23taxstdlife="n/a","n/a",IF(T$3&gt;(A23taxstdlife+$E772),(('PTRM input'!$K$165+'PTRM input'!$K$131)*$K$7)-SUM($K772:S772),(('PTRM input'!$K$165+'PTRM input'!$K$131)*$K$7)/A23taxstdlife))</f>
        <v>0</v>
      </c>
      <c r="U772" s="590">
        <f>IF(A23taxstdlife="n/a","n/a",IF(U$3&gt;(A23taxstdlife+$E772),(('PTRM input'!$K$165+'PTRM input'!$K$131)*$K$7)-SUM($K772:T772),(('PTRM input'!$K$165+'PTRM input'!$K$131)*$K$7)/A23taxstdlife))</f>
        <v>0</v>
      </c>
      <c r="V772" s="590">
        <f>IF(A23taxstdlife="n/a","n/a",IF(V$3&gt;(A23taxstdlife+$E772),(('PTRM input'!$K$165+'PTRM input'!$K$131)*$K$7)-SUM($K772:U772),(('PTRM input'!$K$165+'PTRM input'!$K$131)*$K$7)/A23taxstdlife))</f>
        <v>0</v>
      </c>
      <c r="W772" s="590">
        <f>IF(A23taxstdlife="n/a","n/a",IF(W$3&gt;(A23taxstdlife+$E772),(('PTRM input'!$K$165+'PTRM input'!$K$131)*$K$7)-SUM($K772:V772),(('PTRM input'!$K$165+'PTRM input'!$K$131)*$K$7)/A23taxstdlife))</f>
        <v>0</v>
      </c>
      <c r="X772" s="590">
        <f>IF(A23taxstdlife="n/a","n/a",IF(X$3&gt;(A23taxstdlife+$E772),(('PTRM input'!$K$165+'PTRM input'!$K$131)*$K$7)-SUM($K772:W772),(('PTRM input'!$K$165+'PTRM input'!$K$131)*$K$7)/A23taxstdlife))</f>
        <v>0</v>
      </c>
      <c r="Y772" s="590">
        <f>IF(A23taxstdlife="n/a","n/a",IF(Y$3&gt;(A23taxstdlife+$E772),(('PTRM input'!$K$165+'PTRM input'!$K$131)*$K$7)-SUM($K772:X772),(('PTRM input'!$K$165+'PTRM input'!$K$131)*$K$7)/A23taxstdlife))</f>
        <v>0</v>
      </c>
      <c r="Z772" s="590">
        <f>IF(A23taxstdlife="n/a","n/a",IF(Z$3&gt;(A23taxstdlife+$E772),(('PTRM input'!$K$165+'PTRM input'!$K$131)*$K$7)-SUM($K772:Y772),(('PTRM input'!$K$165+'PTRM input'!$K$131)*$K$7)/A23taxstdlife))</f>
        <v>0</v>
      </c>
      <c r="AA772" s="590">
        <f>IF(A23taxstdlife="n/a","n/a",IF(AA$3&gt;(A23taxstdlife+$E772),(('PTRM input'!$K$165+'PTRM input'!$K$131)*$K$7)-SUM($K772:Z772),(('PTRM input'!$K$165+'PTRM input'!$K$131)*$K$7)/A23taxstdlife))</f>
        <v>0</v>
      </c>
      <c r="AB772" s="590">
        <f>IF(A23taxstdlife="n/a","n/a",IF(AB$3&gt;(A23taxstdlife+$E772),(('PTRM input'!$K$165+'PTRM input'!$K$131)*$K$7)-SUM($K772:AA772),(('PTRM input'!$K$165+'PTRM input'!$K$131)*$K$7)/A23taxstdlife))</f>
        <v>0</v>
      </c>
      <c r="AC772" s="590">
        <f>IF(A23taxstdlife="n/a","n/a",IF(AC$3&gt;(A23taxstdlife+$E772),(('PTRM input'!$K$165+'PTRM input'!$K$131)*$K$7)-SUM($K772:AB772),(('PTRM input'!$K$165+'PTRM input'!$K$131)*$K$7)/A23taxstdlife))</f>
        <v>0</v>
      </c>
      <c r="AD772" s="590">
        <f>IF(A23taxstdlife="n/a","n/a",IF(AD$3&gt;(A23taxstdlife+$E772),(('PTRM input'!$K$165+'PTRM input'!$K$131)*$K$7)-SUM($K772:AC772),(('PTRM input'!$K$165+'PTRM input'!$K$131)*$K$7)/A23taxstdlife))</f>
        <v>0</v>
      </c>
      <c r="AE772" s="590">
        <f>IF(A23taxstdlife="n/a","n/a",IF(AE$3&gt;(A23taxstdlife+$E772),(('PTRM input'!$K$165+'PTRM input'!$K$131)*$K$7)-SUM($K772:AD772),(('PTRM input'!$K$165+'PTRM input'!$K$131)*$K$7)/A23taxstdlife))</f>
        <v>0</v>
      </c>
      <c r="AF772" s="590">
        <f>IF(A23taxstdlife="n/a","n/a",IF(AF$3&gt;(A23taxstdlife+$E772),(('PTRM input'!$K$165+'PTRM input'!$K$131)*$K$7)-SUM($K772:AE772),(('PTRM input'!$K$165+'PTRM input'!$K$131)*$K$7)/A23taxstdlife))</f>
        <v>0</v>
      </c>
      <c r="AG772" s="590">
        <f>IF(A23taxstdlife="n/a","n/a",IF(AG$3&gt;(A23taxstdlife+$E772),(('PTRM input'!$K$165+'PTRM input'!$K$131)*$K$7)-SUM($K772:AF772),(('PTRM input'!$K$165+'PTRM input'!$K$131)*$K$7)/A23taxstdlife))</f>
        <v>0</v>
      </c>
      <c r="AH772" s="590">
        <f>IF(A23taxstdlife="n/a","n/a",IF(AH$3&gt;(A23taxstdlife+$E772),(('PTRM input'!$K$165+'PTRM input'!$K$131)*$K$7)-SUM($K772:AG772),(('PTRM input'!$K$165+'PTRM input'!$K$131)*$K$7)/A23taxstdlife))</f>
        <v>0</v>
      </c>
      <c r="AI772" s="590">
        <f>IF(A23taxstdlife="n/a","n/a",IF(AI$3&gt;(A23taxstdlife+$E772),(('PTRM input'!$K$165+'PTRM input'!$K$131)*$K$7)-SUM($K772:AH772),(('PTRM input'!$K$165+'PTRM input'!$K$131)*$K$7)/A23taxstdlife))</f>
        <v>0</v>
      </c>
      <c r="AJ772" s="590">
        <f>IF(A23taxstdlife="n/a","n/a",IF(AJ$3&gt;(A23taxstdlife+$E772),(('PTRM input'!$K$165+'PTRM input'!$K$131)*$K$7)-SUM($K772:AI772),(('PTRM input'!$K$165+'PTRM input'!$K$131)*$K$7)/A23taxstdlife))</f>
        <v>0</v>
      </c>
      <c r="AK772" s="590">
        <f>IF(A23taxstdlife="n/a","n/a",IF(AK$3&gt;(A23taxstdlife+$E772),(('PTRM input'!$K$165+'PTRM input'!$K$131)*$K$7)-SUM($K772:AJ772),(('PTRM input'!$K$165+'PTRM input'!$K$131)*$K$7)/A23taxstdlife))</f>
        <v>0</v>
      </c>
      <c r="AL772" s="590">
        <f>IF(A23taxstdlife="n/a","n/a",IF(AL$3&gt;(A23taxstdlife+$E772),(('PTRM input'!$K$165+'PTRM input'!$K$131)*$K$7)-SUM($K772:AK772),(('PTRM input'!$K$165+'PTRM input'!$K$131)*$K$7)/A23taxstdlife))</f>
        <v>0</v>
      </c>
      <c r="AM772" s="590">
        <f>IF(A23taxstdlife="n/a","n/a",IF(AM$3&gt;(A23taxstdlife+$E772),(('PTRM input'!$K$165+'PTRM input'!$K$131)*$K$7)-SUM($K772:AL772),(('PTRM input'!$K$165+'PTRM input'!$K$131)*$K$7)/A23taxstdlife))</f>
        <v>0</v>
      </c>
      <c r="AN772" s="590">
        <f>IF(A23taxstdlife="n/a","n/a",IF(AN$3&gt;(A23taxstdlife+$E772),(('PTRM input'!$K$165+'PTRM input'!$K$131)*$K$7)-SUM($K772:AM772),(('PTRM input'!$K$165+'PTRM input'!$K$131)*$K$7)/A23taxstdlife))</f>
        <v>0</v>
      </c>
      <c r="AO772" s="590">
        <f>IF(A23taxstdlife="n/a","n/a",IF(AO$3&gt;(A23taxstdlife+$E772),(('PTRM input'!$K$165+'PTRM input'!$K$131)*$K$7)-SUM($K772:AN772),(('PTRM input'!$K$165+'PTRM input'!$K$131)*$K$7)/A23taxstdlife))</f>
        <v>0</v>
      </c>
      <c r="AP772" s="590">
        <f>IF(A23taxstdlife="n/a","n/a",IF(AP$3&gt;(A23taxstdlife+$E772),(('PTRM input'!$K$165+'PTRM input'!$K$131)*$K$7)-SUM($K772:AO772),(('PTRM input'!$K$165+'PTRM input'!$K$131)*$K$7)/A23taxstdlife))</f>
        <v>0</v>
      </c>
      <c r="AQ772" s="590">
        <f>IF(A23taxstdlife="n/a","n/a",IF(AQ$3&gt;(A23taxstdlife+$E772),(('PTRM input'!$K$165+'PTRM input'!$K$131)*$K$7)-SUM($K772:AP772),(('PTRM input'!$K$165+'PTRM input'!$K$131)*$K$7)/A23taxstdlife))</f>
        <v>0</v>
      </c>
      <c r="AR772" s="590">
        <f>IF(A23taxstdlife="n/a","n/a",IF(AR$3&gt;(A23taxstdlife+$E772),(('PTRM input'!$K$165+'PTRM input'!$K$131)*$K$7)-SUM($K772:AQ772),(('PTRM input'!$K$165+'PTRM input'!$K$131)*$K$7)/A23taxstdlife))</f>
        <v>0</v>
      </c>
      <c r="AS772" s="590">
        <f>IF(A23taxstdlife="n/a","n/a",IF(AS$3&gt;(A23taxstdlife+$E772),(('PTRM input'!$K$165+'PTRM input'!$K$131)*$K$7)-SUM($K772:AR772),(('PTRM input'!$K$165+'PTRM input'!$K$131)*$K$7)/A23taxstdlife))</f>
        <v>0</v>
      </c>
      <c r="AT772" s="590">
        <f>IF(A23taxstdlife="n/a","n/a",IF(AT$3&gt;(A23taxstdlife+$E772),(('PTRM input'!$K$165+'PTRM input'!$K$131)*$K$7)-SUM($K772:AS772),(('PTRM input'!$K$165+'PTRM input'!$K$131)*$K$7)/A23taxstdlife))</f>
        <v>0</v>
      </c>
      <c r="AU772" s="590">
        <f>IF(A23taxstdlife="n/a","n/a",IF(AU$3&gt;(A23taxstdlife+$E772),(('PTRM input'!$K$165+'PTRM input'!$K$131)*$K$7)-SUM($K772:AT772),(('PTRM input'!$K$165+'PTRM input'!$K$131)*$K$7)/A23taxstdlife))</f>
        <v>0</v>
      </c>
      <c r="AV772" s="590">
        <f>IF(A23taxstdlife="n/a","n/a",IF(AV$3&gt;(A23taxstdlife+$E772),(('PTRM input'!$K$165+'PTRM input'!$K$131)*$K$7)-SUM($K772:AU772),(('PTRM input'!$K$165+'PTRM input'!$K$131)*$K$7)/A23taxstdlife))</f>
        <v>0</v>
      </c>
      <c r="AW772" s="590">
        <f>IF(A23taxstdlife="n/a","n/a",IF(AW$3&gt;(A23taxstdlife+$E772),(('PTRM input'!$K$165+'PTRM input'!$K$131)*$K$7)-SUM($K772:AV772),(('PTRM input'!$K$165+'PTRM input'!$K$131)*$K$7)/A23taxstdlife))</f>
        <v>0</v>
      </c>
      <c r="AX772" s="590">
        <f>IF(A23taxstdlife="n/a","n/a",IF(AX$3&gt;(A23taxstdlife+$E772),(('PTRM input'!$K$165+'PTRM input'!$K$131)*$K$7)-SUM($K772:AW772),(('PTRM input'!$K$165+'PTRM input'!$K$131)*$K$7)/A23taxstdlife))</f>
        <v>0</v>
      </c>
      <c r="AY772" s="590">
        <f>IF(A23taxstdlife="n/a","n/a",IF(AY$3&gt;(A23taxstdlife+$E772),(('PTRM input'!$K$165+'PTRM input'!$K$131)*$K$7)-SUM($K772:AX772),(('PTRM input'!$K$165+'PTRM input'!$K$131)*$K$7)/A23taxstdlife))</f>
        <v>0</v>
      </c>
      <c r="AZ772" s="590">
        <f>IF(A23taxstdlife="n/a","n/a",IF(AZ$3&gt;(A23taxstdlife+$E772),(('PTRM input'!$K$165+'PTRM input'!$K$131)*$K$7)-SUM($K772:AY772),(('PTRM input'!$K$165+'PTRM input'!$K$131)*$K$7)/A23taxstdlife))</f>
        <v>0</v>
      </c>
      <c r="BA772" s="590">
        <f>IF(A23taxstdlife="n/a","n/a",IF(BA$3&gt;(A23taxstdlife+$E772),(('PTRM input'!$K$165+'PTRM input'!$K$131)*$K$7)-SUM($K772:AZ772),(('PTRM input'!$K$165+'PTRM input'!$K$131)*$K$7)/A23taxstdlife))</f>
        <v>0</v>
      </c>
      <c r="BB772" s="590">
        <f>IF(A23taxstdlife="n/a","n/a",IF(BB$3&gt;(A23taxstdlife+$E772),(('PTRM input'!$K$165+'PTRM input'!$K$131)*$K$7)-SUM($K772:BA772),(('PTRM input'!$K$165+'PTRM input'!$K$131)*$K$7)/A23taxstdlife))</f>
        <v>0</v>
      </c>
      <c r="BC772" s="590">
        <f>IF(A23taxstdlife="n/a","n/a",IF(BC$3&gt;(A23taxstdlife+$E772),(('PTRM input'!$K$165+'PTRM input'!$K$131)*$K$7)-SUM($K772:BB772),(('PTRM input'!$K$165+'PTRM input'!$K$131)*$K$7)/A23taxstdlife))</f>
        <v>0</v>
      </c>
      <c r="BD772" s="590">
        <f>IF(A23taxstdlife="n/a","n/a",IF(BD$3&gt;(A23taxstdlife+$E772),(('PTRM input'!$K$165+'PTRM input'!$K$131)*$K$7)-SUM($K772:BC772),(('PTRM input'!$K$165+'PTRM input'!$K$131)*$K$7)/A23taxstdlife))</f>
        <v>0</v>
      </c>
      <c r="BE772" s="590">
        <f>IF(A23taxstdlife="n/a","n/a",IF(BE$3&gt;(A23taxstdlife+$E772),(('PTRM input'!$K$165+'PTRM input'!$K$131)*$K$7)-SUM($K772:BD772),(('PTRM input'!$K$165+'PTRM input'!$K$131)*$K$7)/A23taxstdlife))</f>
        <v>0</v>
      </c>
      <c r="BF772" s="590">
        <f>IF(A23taxstdlife="n/a","n/a",IF(BF$3&gt;(A23taxstdlife+$E772),(('PTRM input'!$K$165+'PTRM input'!$K$131)*$K$7)-SUM($K772:BE772),(('PTRM input'!$K$165+'PTRM input'!$K$131)*$K$7)/A23taxstdlife))</f>
        <v>0</v>
      </c>
      <c r="BG772" s="590">
        <f>IF(A23taxstdlife="n/a","n/a",IF(BG$3&gt;(A23taxstdlife+$E772),(('PTRM input'!$K$165+'PTRM input'!$K$131)*$K$7)-SUM($K772:BF772),(('PTRM input'!$K$165+'PTRM input'!$K$131)*$K$7)/A23taxstdlife))</f>
        <v>0</v>
      </c>
      <c r="BH772" s="590">
        <f>IF(A23taxstdlife="n/a","n/a",IF(BH$3&gt;(A23taxstdlife+$E772),(('PTRM input'!$K$165+'PTRM input'!$K$131)*$K$7)-SUM($K772:BG772),(('PTRM input'!$K$165+'PTRM input'!$K$131)*$K$7)/A23taxstdlife))</f>
        <v>0</v>
      </c>
      <c r="BI772" s="590">
        <f>IF(A23taxstdlife="n/a","n/a",IF(BI$3&gt;(A23taxstdlife+$E772),(('PTRM input'!$K$165+'PTRM input'!$K$131)*$K$7)-SUM($K772:BH772),(('PTRM input'!$K$165+'PTRM input'!$K$131)*$K$7)/A23taxstdlife))</f>
        <v>0</v>
      </c>
      <c r="BJ772" s="240"/>
      <c r="BK772" s="240"/>
      <c r="BL772" s="240"/>
      <c r="BM772" s="240"/>
    </row>
    <row r="773" spans="1:65" s="4" customFormat="1" hidden="1" outlineLevel="2">
      <c r="A773" s="240"/>
      <c r="B773" s="240"/>
      <c r="C773" s="595"/>
      <c r="D773" s="1618"/>
      <c r="E773" s="169">
        <v>6</v>
      </c>
      <c r="F773" s="35"/>
      <c r="G773" s="184"/>
      <c r="H773" s="186"/>
      <c r="I773" s="186"/>
      <c r="J773" s="186"/>
      <c r="K773" s="186"/>
      <c r="L773" s="185"/>
      <c r="M773" s="107">
        <f>IF(A23taxstdlife="n/a","n/a",IF(M$3&gt;(A23taxstdlife+$E773),(('PTRM input'!$L$165+'PTRM input'!$L$131)*$L$7)-SUM($L773:L773),(('PTRM input'!$L$165+'PTRM input'!$L$131)*$L$7)/A23taxstdlife))</f>
        <v>0</v>
      </c>
      <c r="N773" s="107">
        <f>IF(A23taxstdlife="n/a","n/a",IF(N$3&gt;(A23taxstdlife+$E773),(('PTRM input'!$L$165+'PTRM input'!$L$131)*$L$7)-SUM($L773:M773),(('PTRM input'!$L$165+'PTRM input'!$L$131)*$L$7)/A23taxstdlife))</f>
        <v>0</v>
      </c>
      <c r="O773" s="107">
        <f>IF(A23taxstdlife="n/a","n/a",IF(O$3&gt;(A23taxstdlife+$E773),(('PTRM input'!$L$165+'PTRM input'!$L$131)*$L$7)-SUM($L773:N773),(('PTRM input'!$L$165+'PTRM input'!$L$131)*$L$7)/A23taxstdlife))</f>
        <v>0</v>
      </c>
      <c r="P773" s="107">
        <f>IF(A23taxstdlife="n/a","n/a",IF(P$3&gt;(A23taxstdlife+$E773),(('PTRM input'!$L$165+'PTRM input'!$L$131)*$L$7)-SUM($L773:O773),(('PTRM input'!$L$165+'PTRM input'!$L$131)*$L$7)/A23taxstdlife))</f>
        <v>0</v>
      </c>
      <c r="Q773" s="590">
        <f>IF(A23taxstdlife="n/a","n/a",IF(Q$3&gt;(A23taxstdlife+$E773),(('PTRM input'!$L$165+'PTRM input'!$L$131)*$L$7)-SUM($L773:P773),(('PTRM input'!$L$165+'PTRM input'!$L$131)*$L$7)/A23taxstdlife))</f>
        <v>0</v>
      </c>
      <c r="R773" s="590">
        <f>IF(A23taxstdlife="n/a","n/a",IF(R$3&gt;(A23taxstdlife+$E773),(('PTRM input'!$L$165+'PTRM input'!$L$131)*$L$7)-SUM($L773:Q773),(('PTRM input'!$L$165+'PTRM input'!$L$131)*$L$7)/A23taxstdlife))</f>
        <v>0</v>
      </c>
      <c r="S773" s="590">
        <f>IF(A23taxstdlife="n/a","n/a",IF(S$3&gt;(A23taxstdlife+$E773),(('PTRM input'!$L$165+'PTRM input'!$L$131)*$L$7)-SUM($L773:R773),(('PTRM input'!$L$165+'PTRM input'!$L$131)*$L$7)/A23taxstdlife))</f>
        <v>0</v>
      </c>
      <c r="T773" s="590">
        <f>IF(A23taxstdlife="n/a","n/a",IF(T$3&gt;(A23taxstdlife+$E773),(('PTRM input'!$L$165+'PTRM input'!$L$131)*$L$7)-SUM($L773:S773),(('PTRM input'!$L$165+'PTRM input'!$L$131)*$L$7)/A23taxstdlife))</f>
        <v>0</v>
      </c>
      <c r="U773" s="590">
        <f>IF(A23taxstdlife="n/a","n/a",IF(U$3&gt;(A23taxstdlife+$E773),(('PTRM input'!$L$165+'PTRM input'!$L$131)*$L$7)-SUM($L773:T773),(('PTRM input'!$L$165+'PTRM input'!$L$131)*$L$7)/A23taxstdlife))</f>
        <v>0</v>
      </c>
      <c r="V773" s="590">
        <f>IF(A23taxstdlife="n/a","n/a",IF(V$3&gt;(A23taxstdlife+$E773),(('PTRM input'!$L$165+'PTRM input'!$L$131)*$L$7)-SUM($L773:U773),(('PTRM input'!$L$165+'PTRM input'!$L$131)*$L$7)/A23taxstdlife))</f>
        <v>0</v>
      </c>
      <c r="W773" s="590">
        <f>IF(A23taxstdlife="n/a","n/a",IF(W$3&gt;(A23taxstdlife+$E773),(('PTRM input'!$L$165+'PTRM input'!$L$131)*$L$7)-SUM($L773:V773),(('PTRM input'!$L$165+'PTRM input'!$L$131)*$L$7)/A23taxstdlife))</f>
        <v>0</v>
      </c>
      <c r="X773" s="590">
        <f>IF(A23taxstdlife="n/a","n/a",IF(X$3&gt;(A23taxstdlife+$E773),(('PTRM input'!$L$165+'PTRM input'!$L$131)*$L$7)-SUM($L773:W773),(('PTRM input'!$L$165+'PTRM input'!$L$131)*$L$7)/A23taxstdlife))</f>
        <v>0</v>
      </c>
      <c r="Y773" s="590">
        <f>IF(A23taxstdlife="n/a","n/a",IF(Y$3&gt;(A23taxstdlife+$E773),(('PTRM input'!$L$165+'PTRM input'!$L$131)*$L$7)-SUM($L773:X773),(('PTRM input'!$L$165+'PTRM input'!$L$131)*$L$7)/A23taxstdlife))</f>
        <v>0</v>
      </c>
      <c r="Z773" s="590">
        <f>IF(A23taxstdlife="n/a","n/a",IF(Z$3&gt;(A23taxstdlife+$E773),(('PTRM input'!$L$165+'PTRM input'!$L$131)*$L$7)-SUM($L773:Y773),(('PTRM input'!$L$165+'PTRM input'!$L$131)*$L$7)/A23taxstdlife))</f>
        <v>0</v>
      </c>
      <c r="AA773" s="590">
        <f>IF(A23taxstdlife="n/a","n/a",IF(AA$3&gt;(A23taxstdlife+$E773),(('PTRM input'!$L$165+'PTRM input'!$L$131)*$L$7)-SUM($L773:Z773),(('PTRM input'!$L$165+'PTRM input'!$L$131)*$L$7)/A23taxstdlife))</f>
        <v>0</v>
      </c>
      <c r="AB773" s="590">
        <f>IF(A23taxstdlife="n/a","n/a",IF(AB$3&gt;(A23taxstdlife+$E773),(('PTRM input'!$L$165+'PTRM input'!$L$131)*$L$7)-SUM($L773:AA773),(('PTRM input'!$L$165+'PTRM input'!$L$131)*$L$7)/A23taxstdlife))</f>
        <v>0</v>
      </c>
      <c r="AC773" s="590">
        <f>IF(A23taxstdlife="n/a","n/a",IF(AC$3&gt;(A23taxstdlife+$E773),(('PTRM input'!$L$165+'PTRM input'!$L$131)*$L$7)-SUM($L773:AB773),(('PTRM input'!$L$165+'PTRM input'!$L$131)*$L$7)/A23taxstdlife))</f>
        <v>0</v>
      </c>
      <c r="AD773" s="590">
        <f>IF(A23taxstdlife="n/a","n/a",IF(AD$3&gt;(A23taxstdlife+$E773),(('PTRM input'!$L$165+'PTRM input'!$L$131)*$L$7)-SUM($L773:AC773),(('PTRM input'!$L$165+'PTRM input'!$L$131)*$L$7)/A23taxstdlife))</f>
        <v>0</v>
      </c>
      <c r="AE773" s="590">
        <f>IF(A23taxstdlife="n/a","n/a",IF(AE$3&gt;(A23taxstdlife+$E773),(('PTRM input'!$L$165+'PTRM input'!$L$131)*$L$7)-SUM($L773:AD773),(('PTRM input'!$L$165+'PTRM input'!$L$131)*$L$7)/A23taxstdlife))</f>
        <v>0</v>
      </c>
      <c r="AF773" s="590">
        <f>IF(A23taxstdlife="n/a","n/a",IF(AF$3&gt;(A23taxstdlife+$E773),(('PTRM input'!$L$165+'PTRM input'!$L$131)*$L$7)-SUM($L773:AE773),(('PTRM input'!$L$165+'PTRM input'!$L$131)*$L$7)/A23taxstdlife))</f>
        <v>0</v>
      </c>
      <c r="AG773" s="590">
        <f>IF(A23taxstdlife="n/a","n/a",IF(AG$3&gt;(A23taxstdlife+$E773),(('PTRM input'!$L$165+'PTRM input'!$L$131)*$L$7)-SUM($L773:AF773),(('PTRM input'!$L$165+'PTRM input'!$L$131)*$L$7)/A23taxstdlife))</f>
        <v>0</v>
      </c>
      <c r="AH773" s="590">
        <f>IF(A23taxstdlife="n/a","n/a",IF(AH$3&gt;(A23taxstdlife+$E773),(('PTRM input'!$L$165+'PTRM input'!$L$131)*$L$7)-SUM($L773:AG773),(('PTRM input'!$L$165+'PTRM input'!$L$131)*$L$7)/A23taxstdlife))</f>
        <v>0</v>
      </c>
      <c r="AI773" s="590">
        <f>IF(A23taxstdlife="n/a","n/a",IF(AI$3&gt;(A23taxstdlife+$E773),(('PTRM input'!$L$165+'PTRM input'!$L$131)*$L$7)-SUM($L773:AH773),(('PTRM input'!$L$165+'PTRM input'!$L$131)*$L$7)/A23taxstdlife))</f>
        <v>0</v>
      </c>
      <c r="AJ773" s="590">
        <f>IF(A23taxstdlife="n/a","n/a",IF(AJ$3&gt;(A23taxstdlife+$E773),(('PTRM input'!$L$165+'PTRM input'!$L$131)*$L$7)-SUM($L773:AI773),(('PTRM input'!$L$165+'PTRM input'!$L$131)*$L$7)/A23taxstdlife))</f>
        <v>0</v>
      </c>
      <c r="AK773" s="590">
        <f>IF(A23taxstdlife="n/a","n/a",IF(AK$3&gt;(A23taxstdlife+$E773),(('PTRM input'!$L$165+'PTRM input'!$L$131)*$L$7)-SUM($L773:AJ773),(('PTRM input'!$L$165+'PTRM input'!$L$131)*$L$7)/A23taxstdlife))</f>
        <v>0</v>
      </c>
      <c r="AL773" s="590">
        <f>IF(A23taxstdlife="n/a","n/a",IF(AL$3&gt;(A23taxstdlife+$E773),(('PTRM input'!$L$165+'PTRM input'!$L$131)*$L$7)-SUM($L773:AK773),(('PTRM input'!$L$165+'PTRM input'!$L$131)*$L$7)/A23taxstdlife))</f>
        <v>0</v>
      </c>
      <c r="AM773" s="590">
        <f>IF(A23taxstdlife="n/a","n/a",IF(AM$3&gt;(A23taxstdlife+$E773),(('PTRM input'!$L$165+'PTRM input'!$L$131)*$L$7)-SUM($L773:AL773),(('PTRM input'!$L$165+'PTRM input'!$L$131)*$L$7)/A23taxstdlife))</f>
        <v>0</v>
      </c>
      <c r="AN773" s="590">
        <f>IF(A23taxstdlife="n/a","n/a",IF(AN$3&gt;(A23taxstdlife+$E773),(('PTRM input'!$L$165+'PTRM input'!$L$131)*$L$7)-SUM($L773:AM773),(('PTRM input'!$L$165+'PTRM input'!$L$131)*$L$7)/A23taxstdlife))</f>
        <v>0</v>
      </c>
      <c r="AO773" s="590">
        <f>IF(A23taxstdlife="n/a","n/a",IF(AO$3&gt;(A23taxstdlife+$E773),(('PTRM input'!$L$165+'PTRM input'!$L$131)*$L$7)-SUM($L773:AN773),(('PTRM input'!$L$165+'PTRM input'!$L$131)*$L$7)/A23taxstdlife))</f>
        <v>0</v>
      </c>
      <c r="AP773" s="590">
        <f>IF(A23taxstdlife="n/a","n/a",IF(AP$3&gt;(A23taxstdlife+$E773),(('PTRM input'!$L$165+'PTRM input'!$L$131)*$L$7)-SUM($L773:AO773),(('PTRM input'!$L$165+'PTRM input'!$L$131)*$L$7)/A23taxstdlife))</f>
        <v>0</v>
      </c>
      <c r="AQ773" s="590">
        <f>IF(A23taxstdlife="n/a","n/a",IF(AQ$3&gt;(A23taxstdlife+$E773),(('PTRM input'!$L$165+'PTRM input'!$L$131)*$L$7)-SUM($L773:AP773),(('PTRM input'!$L$165+'PTRM input'!$L$131)*$L$7)/A23taxstdlife))</f>
        <v>0</v>
      </c>
      <c r="AR773" s="590">
        <f>IF(A23taxstdlife="n/a","n/a",IF(AR$3&gt;(A23taxstdlife+$E773),(('PTRM input'!$L$165+'PTRM input'!$L$131)*$L$7)-SUM($L773:AQ773),(('PTRM input'!$L$165+'PTRM input'!$L$131)*$L$7)/A23taxstdlife))</f>
        <v>0</v>
      </c>
      <c r="AS773" s="590">
        <f>IF(A23taxstdlife="n/a","n/a",IF(AS$3&gt;(A23taxstdlife+$E773),(('PTRM input'!$L$165+'PTRM input'!$L$131)*$L$7)-SUM($L773:AR773),(('PTRM input'!$L$165+'PTRM input'!$L$131)*$L$7)/A23taxstdlife))</f>
        <v>0</v>
      </c>
      <c r="AT773" s="590">
        <f>IF(A23taxstdlife="n/a","n/a",IF(AT$3&gt;(A23taxstdlife+$E773),(('PTRM input'!$L$165+'PTRM input'!$L$131)*$L$7)-SUM($L773:AS773),(('PTRM input'!$L$165+'PTRM input'!$L$131)*$L$7)/A23taxstdlife))</f>
        <v>0</v>
      </c>
      <c r="AU773" s="590">
        <f>IF(A23taxstdlife="n/a","n/a",IF(AU$3&gt;(A23taxstdlife+$E773),(('PTRM input'!$L$165+'PTRM input'!$L$131)*$L$7)-SUM($L773:AT773),(('PTRM input'!$L$165+'PTRM input'!$L$131)*$L$7)/A23taxstdlife))</f>
        <v>0</v>
      </c>
      <c r="AV773" s="590">
        <f>IF(A23taxstdlife="n/a","n/a",IF(AV$3&gt;(A23taxstdlife+$E773),(('PTRM input'!$L$165+'PTRM input'!$L$131)*$L$7)-SUM($L773:AU773),(('PTRM input'!$L$165+'PTRM input'!$L$131)*$L$7)/A23taxstdlife))</f>
        <v>0</v>
      </c>
      <c r="AW773" s="590">
        <f>IF(A23taxstdlife="n/a","n/a",IF(AW$3&gt;(A23taxstdlife+$E773),(('PTRM input'!$L$165+'PTRM input'!$L$131)*$L$7)-SUM($L773:AV773),(('PTRM input'!$L$165+'PTRM input'!$L$131)*$L$7)/A23taxstdlife))</f>
        <v>0</v>
      </c>
      <c r="AX773" s="590">
        <f>IF(A23taxstdlife="n/a","n/a",IF(AX$3&gt;(A23taxstdlife+$E773),(('PTRM input'!$L$165+'PTRM input'!$L$131)*$L$7)-SUM($L773:AW773),(('PTRM input'!$L$165+'PTRM input'!$L$131)*$L$7)/A23taxstdlife))</f>
        <v>0</v>
      </c>
      <c r="AY773" s="590">
        <f>IF(A23taxstdlife="n/a","n/a",IF(AY$3&gt;(A23taxstdlife+$E773),(('PTRM input'!$L$165+'PTRM input'!$L$131)*$L$7)-SUM($L773:AX773),(('PTRM input'!$L$165+'PTRM input'!$L$131)*$L$7)/A23taxstdlife))</f>
        <v>0</v>
      </c>
      <c r="AZ773" s="590">
        <f>IF(A23taxstdlife="n/a","n/a",IF(AZ$3&gt;(A23taxstdlife+$E773),(('PTRM input'!$L$165+'PTRM input'!$L$131)*$L$7)-SUM($L773:AY773),(('PTRM input'!$L$165+'PTRM input'!$L$131)*$L$7)/A23taxstdlife))</f>
        <v>0</v>
      </c>
      <c r="BA773" s="590">
        <f>IF(A23taxstdlife="n/a","n/a",IF(BA$3&gt;(A23taxstdlife+$E773),(('PTRM input'!$L$165+'PTRM input'!$L$131)*$L$7)-SUM($L773:AZ773),(('PTRM input'!$L$165+'PTRM input'!$L$131)*$L$7)/A23taxstdlife))</f>
        <v>0</v>
      </c>
      <c r="BB773" s="590">
        <f>IF(A23taxstdlife="n/a","n/a",IF(BB$3&gt;(A23taxstdlife+$E773),(('PTRM input'!$L$165+'PTRM input'!$L$131)*$L$7)-SUM($L773:BA773),(('PTRM input'!$L$165+'PTRM input'!$L$131)*$L$7)/A23taxstdlife))</f>
        <v>0</v>
      </c>
      <c r="BC773" s="590">
        <f>IF(A23taxstdlife="n/a","n/a",IF(BC$3&gt;(A23taxstdlife+$E773),(('PTRM input'!$L$165+'PTRM input'!$L$131)*$L$7)-SUM($L773:BB773),(('PTRM input'!$L$165+'PTRM input'!$L$131)*$L$7)/A23taxstdlife))</f>
        <v>0</v>
      </c>
      <c r="BD773" s="590">
        <f>IF(A23taxstdlife="n/a","n/a",IF(BD$3&gt;(A23taxstdlife+$E773),(('PTRM input'!$L$165+'PTRM input'!$L$131)*$L$7)-SUM($L773:BC773),(('PTRM input'!$L$165+'PTRM input'!$L$131)*$L$7)/A23taxstdlife))</f>
        <v>0</v>
      </c>
      <c r="BE773" s="590">
        <f>IF(A23taxstdlife="n/a","n/a",IF(BE$3&gt;(A23taxstdlife+$E773),(('PTRM input'!$L$165+'PTRM input'!$L$131)*$L$7)-SUM($L773:BD773),(('PTRM input'!$L$165+'PTRM input'!$L$131)*$L$7)/A23taxstdlife))</f>
        <v>0</v>
      </c>
      <c r="BF773" s="590">
        <f>IF(A23taxstdlife="n/a","n/a",IF(BF$3&gt;(A23taxstdlife+$E773),(('PTRM input'!$L$165+'PTRM input'!$L$131)*$L$7)-SUM($L773:BE773),(('PTRM input'!$L$165+'PTRM input'!$L$131)*$L$7)/A23taxstdlife))</f>
        <v>0</v>
      </c>
      <c r="BG773" s="590">
        <f>IF(A23taxstdlife="n/a","n/a",IF(BG$3&gt;(A23taxstdlife+$E773),(('PTRM input'!$L$165+'PTRM input'!$L$131)*$L$7)-SUM($L773:BF773),(('PTRM input'!$L$165+'PTRM input'!$L$131)*$L$7)/A23taxstdlife))</f>
        <v>0</v>
      </c>
      <c r="BH773" s="590">
        <f>IF(A23taxstdlife="n/a","n/a",IF(BH$3&gt;(A23taxstdlife+$E773),(('PTRM input'!$L$165+'PTRM input'!$L$131)*$L$7)-SUM($L773:BG773),(('PTRM input'!$L$165+'PTRM input'!$L$131)*$L$7)/A23taxstdlife))</f>
        <v>0</v>
      </c>
      <c r="BI773" s="590">
        <f>IF(A23taxstdlife="n/a","n/a",IF(BI$3&gt;(A23taxstdlife+$E773),(('PTRM input'!$L$165+'PTRM input'!$L$131)*$L$7)-SUM($L773:BH773),(('PTRM input'!$L$165+'PTRM input'!$L$131)*$L$7)/A23taxstdlife))</f>
        <v>0</v>
      </c>
      <c r="BJ773" s="240"/>
      <c r="BK773" s="240"/>
      <c r="BL773" s="240"/>
      <c r="BM773" s="240"/>
    </row>
    <row r="774" spans="1:65" s="4" customFormat="1" hidden="1" outlineLevel="2">
      <c r="A774" s="240"/>
      <c r="B774" s="240"/>
      <c r="C774" s="595"/>
      <c r="D774" s="1618"/>
      <c r="E774" s="169">
        <v>7</v>
      </c>
      <c r="F774" s="35"/>
      <c r="G774" s="184"/>
      <c r="H774" s="186"/>
      <c r="I774" s="186"/>
      <c r="J774" s="186"/>
      <c r="K774" s="186"/>
      <c r="L774" s="186"/>
      <c r="M774" s="185"/>
      <c r="N774" s="107">
        <f>IF(A23taxstdlife="n/a","n/a",IF(N$3&gt;(A23taxstdlife+$E774),(('PTRM input'!$M$165+'PTRM input'!$M$131)*$M$7)-SUM($M774:M774),(('PTRM input'!$M$165+'PTRM input'!$M$131)*$M$7)/A23taxstdlife))</f>
        <v>0</v>
      </c>
      <c r="O774" s="107">
        <f>IF(A23taxstdlife="n/a","n/a",IF(O$3&gt;(A23taxstdlife+$E774),(('PTRM input'!$M$165+'PTRM input'!$M$131)*$M$7)-SUM($M774:N774),(('PTRM input'!$M$165+'PTRM input'!$M$131)*$M$7)/A23taxstdlife))</f>
        <v>0</v>
      </c>
      <c r="P774" s="107">
        <f>IF(A23taxstdlife="n/a","n/a",IF(P$3&gt;(A23taxstdlife+$E774),(('PTRM input'!$M$165+'PTRM input'!$M$131)*$M$7)-SUM($M774:O774),(('PTRM input'!$M$165+'PTRM input'!$M$131)*$M$7)/A23taxstdlife))</f>
        <v>0</v>
      </c>
      <c r="Q774" s="590">
        <f>IF(A23taxstdlife="n/a","n/a",IF(Q$3&gt;(A23taxstdlife+$E774),(('PTRM input'!$M$165+'PTRM input'!$M$131)*$M$7)-SUM($M774:P774),(('PTRM input'!$M$165+'PTRM input'!$M$131)*$M$7)/A23taxstdlife))</f>
        <v>0</v>
      </c>
      <c r="R774" s="590">
        <f>IF(A23taxstdlife="n/a","n/a",IF(R$3&gt;(A23taxstdlife+$E774),(('PTRM input'!$M$165+'PTRM input'!$M$131)*$M$7)-SUM($M774:Q774),(('PTRM input'!$M$165+'PTRM input'!$M$131)*$M$7)/A23taxstdlife))</f>
        <v>0</v>
      </c>
      <c r="S774" s="590">
        <f>IF(A23taxstdlife="n/a","n/a",IF(S$3&gt;(A23taxstdlife+$E774),(('PTRM input'!$M$165+'PTRM input'!$M$131)*$M$7)-SUM($M774:R774),(('PTRM input'!$M$165+'PTRM input'!$M$131)*$M$7)/A23taxstdlife))</f>
        <v>0</v>
      </c>
      <c r="T774" s="590">
        <f>IF(A23taxstdlife="n/a","n/a",IF(T$3&gt;(A23taxstdlife+$E774),(('PTRM input'!$M$165+'PTRM input'!$M$131)*$M$7)-SUM($M774:S774),(('PTRM input'!$M$165+'PTRM input'!$M$131)*$M$7)/A23taxstdlife))</f>
        <v>0</v>
      </c>
      <c r="U774" s="590">
        <f>IF(A23taxstdlife="n/a","n/a",IF(U$3&gt;(A23taxstdlife+$E774),(('PTRM input'!$M$165+'PTRM input'!$M$131)*$M$7)-SUM($M774:T774),(('PTRM input'!$M$165+'PTRM input'!$M$131)*$M$7)/A23taxstdlife))</f>
        <v>0</v>
      </c>
      <c r="V774" s="590">
        <f>IF(A23taxstdlife="n/a","n/a",IF(V$3&gt;(A23taxstdlife+$E774),(('PTRM input'!$M$165+'PTRM input'!$M$131)*$M$7)-SUM($M774:U774),(('PTRM input'!$M$165+'PTRM input'!$M$131)*$M$7)/A23taxstdlife))</f>
        <v>0</v>
      </c>
      <c r="W774" s="590">
        <f>IF(A23taxstdlife="n/a","n/a",IF(W$3&gt;(A23taxstdlife+$E774),(('PTRM input'!$M$165+'PTRM input'!$M$131)*$M$7)-SUM($M774:V774),(('PTRM input'!$M$165+'PTRM input'!$M$131)*$M$7)/A23taxstdlife))</f>
        <v>0</v>
      </c>
      <c r="X774" s="590">
        <f>IF(A23taxstdlife="n/a","n/a",IF(X$3&gt;(A23taxstdlife+$E774),(('PTRM input'!$M$165+'PTRM input'!$M$131)*$M$7)-SUM($M774:W774),(('PTRM input'!$M$165+'PTRM input'!$M$131)*$M$7)/A23taxstdlife))</f>
        <v>0</v>
      </c>
      <c r="Y774" s="590">
        <f>IF(A23taxstdlife="n/a","n/a",IF(Y$3&gt;(A23taxstdlife+$E774),(('PTRM input'!$M$165+'PTRM input'!$M$131)*$M$7)-SUM($M774:X774),(('PTRM input'!$M$165+'PTRM input'!$M$131)*$M$7)/A23taxstdlife))</f>
        <v>0</v>
      </c>
      <c r="Z774" s="590">
        <f>IF(A23taxstdlife="n/a","n/a",IF(Z$3&gt;(A23taxstdlife+$E774),(('PTRM input'!$M$165+'PTRM input'!$M$131)*$M$7)-SUM($M774:Y774),(('PTRM input'!$M$165+'PTRM input'!$M$131)*$M$7)/A23taxstdlife))</f>
        <v>0</v>
      </c>
      <c r="AA774" s="590">
        <f>IF(A23taxstdlife="n/a","n/a",IF(AA$3&gt;(A23taxstdlife+$E774),(('PTRM input'!$M$165+'PTRM input'!$M$131)*$M$7)-SUM($M774:Z774),(('PTRM input'!$M$165+'PTRM input'!$M$131)*$M$7)/A23taxstdlife))</f>
        <v>0</v>
      </c>
      <c r="AB774" s="590">
        <f>IF(A23taxstdlife="n/a","n/a",IF(AB$3&gt;(A23taxstdlife+$E774),(('PTRM input'!$M$165+'PTRM input'!$M$131)*$M$7)-SUM($M774:AA774),(('PTRM input'!$M$165+'PTRM input'!$M$131)*$M$7)/A23taxstdlife))</f>
        <v>0</v>
      </c>
      <c r="AC774" s="590">
        <f>IF(A23taxstdlife="n/a","n/a",IF(AC$3&gt;(A23taxstdlife+$E774),(('PTRM input'!$M$165+'PTRM input'!$M$131)*$M$7)-SUM($M774:AB774),(('PTRM input'!$M$165+'PTRM input'!$M$131)*$M$7)/A23taxstdlife))</f>
        <v>0</v>
      </c>
      <c r="AD774" s="590">
        <f>IF(A23taxstdlife="n/a","n/a",IF(AD$3&gt;(A23taxstdlife+$E774),(('PTRM input'!$M$165+'PTRM input'!$M$131)*$M$7)-SUM($M774:AC774),(('PTRM input'!$M$165+'PTRM input'!$M$131)*$M$7)/A23taxstdlife))</f>
        <v>0</v>
      </c>
      <c r="AE774" s="590">
        <f>IF(A23taxstdlife="n/a","n/a",IF(AE$3&gt;(A23taxstdlife+$E774),(('PTRM input'!$M$165+'PTRM input'!$M$131)*$M$7)-SUM($M774:AD774),(('PTRM input'!$M$165+'PTRM input'!$M$131)*$M$7)/A23taxstdlife))</f>
        <v>0</v>
      </c>
      <c r="AF774" s="590">
        <f>IF(A23taxstdlife="n/a","n/a",IF(AF$3&gt;(A23taxstdlife+$E774),(('PTRM input'!$M$165+'PTRM input'!$M$131)*$M$7)-SUM($M774:AE774),(('PTRM input'!$M$165+'PTRM input'!$M$131)*$M$7)/A23taxstdlife))</f>
        <v>0</v>
      </c>
      <c r="AG774" s="590">
        <f>IF(A23taxstdlife="n/a","n/a",IF(AG$3&gt;(A23taxstdlife+$E774),(('PTRM input'!$M$165+'PTRM input'!$M$131)*$M$7)-SUM($M774:AF774),(('PTRM input'!$M$165+'PTRM input'!$M$131)*$M$7)/A23taxstdlife))</f>
        <v>0</v>
      </c>
      <c r="AH774" s="590">
        <f>IF(A23taxstdlife="n/a","n/a",IF(AH$3&gt;(A23taxstdlife+$E774),(('PTRM input'!$M$165+'PTRM input'!$M$131)*$M$7)-SUM($M774:AG774),(('PTRM input'!$M$165+'PTRM input'!$M$131)*$M$7)/A23taxstdlife))</f>
        <v>0</v>
      </c>
      <c r="AI774" s="590">
        <f>IF(A23taxstdlife="n/a","n/a",IF(AI$3&gt;(A23taxstdlife+$E774),(('PTRM input'!$M$165+'PTRM input'!$M$131)*$M$7)-SUM($M774:AH774),(('PTRM input'!$M$165+'PTRM input'!$M$131)*$M$7)/A23taxstdlife))</f>
        <v>0</v>
      </c>
      <c r="AJ774" s="590">
        <f>IF(A23taxstdlife="n/a","n/a",IF(AJ$3&gt;(A23taxstdlife+$E774),(('PTRM input'!$M$165+'PTRM input'!$M$131)*$M$7)-SUM($M774:AI774),(('PTRM input'!$M$165+'PTRM input'!$M$131)*$M$7)/A23taxstdlife))</f>
        <v>0</v>
      </c>
      <c r="AK774" s="590">
        <f>IF(A23taxstdlife="n/a","n/a",IF(AK$3&gt;(A23taxstdlife+$E774),(('PTRM input'!$M$165+'PTRM input'!$M$131)*$M$7)-SUM($M774:AJ774),(('PTRM input'!$M$165+'PTRM input'!$M$131)*$M$7)/A23taxstdlife))</f>
        <v>0</v>
      </c>
      <c r="AL774" s="590">
        <f>IF(A23taxstdlife="n/a","n/a",IF(AL$3&gt;(A23taxstdlife+$E774),(('PTRM input'!$M$165+'PTRM input'!$M$131)*$M$7)-SUM($M774:AK774),(('PTRM input'!$M$165+'PTRM input'!$M$131)*$M$7)/A23taxstdlife))</f>
        <v>0</v>
      </c>
      <c r="AM774" s="590">
        <f>IF(A23taxstdlife="n/a","n/a",IF(AM$3&gt;(A23taxstdlife+$E774),(('PTRM input'!$M$165+'PTRM input'!$M$131)*$M$7)-SUM($M774:AL774),(('PTRM input'!$M$165+'PTRM input'!$M$131)*$M$7)/A23taxstdlife))</f>
        <v>0</v>
      </c>
      <c r="AN774" s="590">
        <f>IF(A23taxstdlife="n/a","n/a",IF(AN$3&gt;(A23taxstdlife+$E774),(('PTRM input'!$M$165+'PTRM input'!$M$131)*$M$7)-SUM($M774:AM774),(('PTRM input'!$M$165+'PTRM input'!$M$131)*$M$7)/A23taxstdlife))</f>
        <v>0</v>
      </c>
      <c r="AO774" s="590">
        <f>IF(A23taxstdlife="n/a","n/a",IF(AO$3&gt;(A23taxstdlife+$E774),(('PTRM input'!$M$165+'PTRM input'!$M$131)*$M$7)-SUM($M774:AN774),(('PTRM input'!$M$165+'PTRM input'!$M$131)*$M$7)/A23taxstdlife))</f>
        <v>0</v>
      </c>
      <c r="AP774" s="590">
        <f>IF(A23taxstdlife="n/a","n/a",IF(AP$3&gt;(A23taxstdlife+$E774),(('PTRM input'!$M$165+'PTRM input'!$M$131)*$M$7)-SUM($M774:AO774),(('PTRM input'!$M$165+'PTRM input'!$M$131)*$M$7)/A23taxstdlife))</f>
        <v>0</v>
      </c>
      <c r="AQ774" s="590">
        <f>IF(A23taxstdlife="n/a","n/a",IF(AQ$3&gt;(A23taxstdlife+$E774),(('PTRM input'!$M$165+'PTRM input'!$M$131)*$M$7)-SUM($M774:AP774),(('PTRM input'!$M$165+'PTRM input'!$M$131)*$M$7)/A23taxstdlife))</f>
        <v>0</v>
      </c>
      <c r="AR774" s="590">
        <f>IF(A23taxstdlife="n/a","n/a",IF(AR$3&gt;(A23taxstdlife+$E774),(('PTRM input'!$M$165+'PTRM input'!$M$131)*$M$7)-SUM($M774:AQ774),(('PTRM input'!$M$165+'PTRM input'!$M$131)*$M$7)/A23taxstdlife))</f>
        <v>0</v>
      </c>
      <c r="AS774" s="590">
        <f>IF(A23taxstdlife="n/a","n/a",IF(AS$3&gt;(A23taxstdlife+$E774),(('PTRM input'!$M$165+'PTRM input'!$M$131)*$M$7)-SUM($M774:AR774),(('PTRM input'!$M$165+'PTRM input'!$M$131)*$M$7)/A23taxstdlife))</f>
        <v>0</v>
      </c>
      <c r="AT774" s="590">
        <f>IF(A23taxstdlife="n/a","n/a",IF(AT$3&gt;(A23taxstdlife+$E774),(('PTRM input'!$M$165+'PTRM input'!$M$131)*$M$7)-SUM($M774:AS774),(('PTRM input'!$M$165+'PTRM input'!$M$131)*$M$7)/A23taxstdlife))</f>
        <v>0</v>
      </c>
      <c r="AU774" s="590">
        <f>IF(A23taxstdlife="n/a","n/a",IF(AU$3&gt;(A23taxstdlife+$E774),(('PTRM input'!$M$165+'PTRM input'!$M$131)*$M$7)-SUM($M774:AT774),(('PTRM input'!$M$165+'PTRM input'!$M$131)*$M$7)/A23taxstdlife))</f>
        <v>0</v>
      </c>
      <c r="AV774" s="590">
        <f>IF(A23taxstdlife="n/a","n/a",IF(AV$3&gt;(A23taxstdlife+$E774),(('PTRM input'!$M$165+'PTRM input'!$M$131)*$M$7)-SUM($M774:AU774),(('PTRM input'!$M$165+'PTRM input'!$M$131)*$M$7)/A23taxstdlife))</f>
        <v>0</v>
      </c>
      <c r="AW774" s="590">
        <f>IF(A23taxstdlife="n/a","n/a",IF(AW$3&gt;(A23taxstdlife+$E774),(('PTRM input'!$M$165+'PTRM input'!$M$131)*$M$7)-SUM($M774:AV774),(('PTRM input'!$M$165+'PTRM input'!$M$131)*$M$7)/A23taxstdlife))</f>
        <v>0</v>
      </c>
      <c r="AX774" s="590">
        <f>IF(A23taxstdlife="n/a","n/a",IF(AX$3&gt;(A23taxstdlife+$E774),(('PTRM input'!$M$165+'PTRM input'!$M$131)*$M$7)-SUM($M774:AW774),(('PTRM input'!$M$165+'PTRM input'!$M$131)*$M$7)/A23taxstdlife))</f>
        <v>0</v>
      </c>
      <c r="AY774" s="590">
        <f>IF(A23taxstdlife="n/a","n/a",IF(AY$3&gt;(A23taxstdlife+$E774),(('PTRM input'!$M$165+'PTRM input'!$M$131)*$M$7)-SUM($M774:AX774),(('PTRM input'!$M$165+'PTRM input'!$M$131)*$M$7)/A23taxstdlife))</f>
        <v>0</v>
      </c>
      <c r="AZ774" s="590">
        <f>IF(A23taxstdlife="n/a","n/a",IF(AZ$3&gt;(A23taxstdlife+$E774),(('PTRM input'!$M$165+'PTRM input'!$M$131)*$M$7)-SUM($M774:AY774),(('PTRM input'!$M$165+'PTRM input'!$M$131)*$M$7)/A23taxstdlife))</f>
        <v>0</v>
      </c>
      <c r="BA774" s="590">
        <f>IF(A23taxstdlife="n/a","n/a",IF(BA$3&gt;(A23taxstdlife+$E774),(('PTRM input'!$M$165+'PTRM input'!$M$131)*$M$7)-SUM($M774:AZ774),(('PTRM input'!$M$165+'PTRM input'!$M$131)*$M$7)/A23taxstdlife))</f>
        <v>0</v>
      </c>
      <c r="BB774" s="590">
        <f>IF(A23taxstdlife="n/a","n/a",IF(BB$3&gt;(A23taxstdlife+$E774),(('PTRM input'!$M$165+'PTRM input'!$M$131)*$M$7)-SUM($M774:BA774),(('PTRM input'!$M$165+'PTRM input'!$M$131)*$M$7)/A23taxstdlife))</f>
        <v>0</v>
      </c>
      <c r="BC774" s="590">
        <f>IF(A23taxstdlife="n/a","n/a",IF(BC$3&gt;(A23taxstdlife+$E774),(('PTRM input'!$M$165+'PTRM input'!$M$131)*$M$7)-SUM($M774:BB774),(('PTRM input'!$M$165+'PTRM input'!$M$131)*$M$7)/A23taxstdlife))</f>
        <v>0</v>
      </c>
      <c r="BD774" s="590">
        <f>IF(A23taxstdlife="n/a","n/a",IF(BD$3&gt;(A23taxstdlife+$E774),(('PTRM input'!$M$165+'PTRM input'!$M$131)*$M$7)-SUM($M774:BC774),(('PTRM input'!$M$165+'PTRM input'!$M$131)*$M$7)/A23taxstdlife))</f>
        <v>0</v>
      </c>
      <c r="BE774" s="590">
        <f>IF(A23taxstdlife="n/a","n/a",IF(BE$3&gt;(A23taxstdlife+$E774),(('PTRM input'!$M$165+'PTRM input'!$M$131)*$M$7)-SUM($M774:BD774),(('PTRM input'!$M$165+'PTRM input'!$M$131)*$M$7)/A23taxstdlife))</f>
        <v>0</v>
      </c>
      <c r="BF774" s="590">
        <f>IF(A23taxstdlife="n/a","n/a",IF(BF$3&gt;(A23taxstdlife+$E774),(('PTRM input'!$M$165+'PTRM input'!$M$131)*$M$7)-SUM($M774:BE774),(('PTRM input'!$M$165+'PTRM input'!$M$131)*$M$7)/A23taxstdlife))</f>
        <v>0</v>
      </c>
      <c r="BG774" s="590">
        <f>IF(A23taxstdlife="n/a","n/a",IF(BG$3&gt;(A23taxstdlife+$E774),(('PTRM input'!$M$165+'PTRM input'!$M$131)*$M$7)-SUM($M774:BF774),(('PTRM input'!$M$165+'PTRM input'!$M$131)*$M$7)/A23taxstdlife))</f>
        <v>0</v>
      </c>
      <c r="BH774" s="590">
        <f>IF(A23taxstdlife="n/a","n/a",IF(BH$3&gt;(A23taxstdlife+$E774),(('PTRM input'!$M$165+'PTRM input'!$M$131)*$M$7)-SUM($M774:BG774),(('PTRM input'!$M$165+'PTRM input'!$M$131)*$M$7)/A23taxstdlife))</f>
        <v>0</v>
      </c>
      <c r="BI774" s="590">
        <f>IF(A23taxstdlife="n/a","n/a",IF(BI$3&gt;(A23taxstdlife+$E774),(('PTRM input'!$M$165+'PTRM input'!$M$131)*$M$7)-SUM($M774:BH774),(('PTRM input'!$M$165+'PTRM input'!$M$131)*$M$7)/A23taxstdlife))</f>
        <v>0</v>
      </c>
      <c r="BJ774" s="240"/>
      <c r="BK774" s="240"/>
      <c r="BL774" s="240"/>
      <c r="BM774" s="240"/>
    </row>
    <row r="775" spans="1:65" s="4" customFormat="1" hidden="1" outlineLevel="2">
      <c r="A775" s="240"/>
      <c r="B775" s="240"/>
      <c r="C775" s="595"/>
      <c r="D775" s="1618"/>
      <c r="E775" s="169">
        <v>8</v>
      </c>
      <c r="F775" s="35"/>
      <c r="G775" s="184"/>
      <c r="H775" s="186"/>
      <c r="I775" s="186"/>
      <c r="J775" s="186"/>
      <c r="K775" s="186"/>
      <c r="L775" s="186"/>
      <c r="M775" s="186"/>
      <c r="N775" s="185"/>
      <c r="O775" s="107">
        <f>IF(A23taxstdlife="n/a","n/a",IF(O$3&gt;(A23taxstdlife+$E775),(('PTRM input'!$N$165+'PTRM input'!$N$131)*$N$7)-SUM($N775:N775),(('PTRM input'!$N$165+'PTRM input'!$N$131)*$N$7)/A23taxstdlife))</f>
        <v>0</v>
      </c>
      <c r="P775" s="107">
        <f>IF(A23taxstdlife="n/a","n/a",IF(P$3&gt;(A23taxstdlife+$E775),(('PTRM input'!$N$165+'PTRM input'!$N$131)*$N$7)-SUM($N775:O775),(('PTRM input'!$N$165+'PTRM input'!$N$131)*$N$7)/A23taxstdlife))</f>
        <v>0</v>
      </c>
      <c r="Q775" s="590">
        <f>IF(A23taxstdlife="n/a","n/a",IF(Q$3&gt;(A23taxstdlife+$E775),(('PTRM input'!$N$165+'PTRM input'!$N$131)*$N$7)-SUM($N775:P775),(('PTRM input'!$N$165+'PTRM input'!$N$131)*$N$7)/A23taxstdlife))</f>
        <v>0</v>
      </c>
      <c r="R775" s="590">
        <f>IF(A23taxstdlife="n/a","n/a",IF(R$3&gt;(A23taxstdlife+$E775),(('PTRM input'!$N$165+'PTRM input'!$N$131)*$N$7)-SUM($N775:Q775),(('PTRM input'!$N$165+'PTRM input'!$N$131)*$N$7)/A23taxstdlife))</f>
        <v>0</v>
      </c>
      <c r="S775" s="590">
        <f>IF(A23taxstdlife="n/a","n/a",IF(S$3&gt;(A23taxstdlife+$E775),(('PTRM input'!$N$165+'PTRM input'!$N$131)*$N$7)-SUM($N775:R775),(('PTRM input'!$N$165+'PTRM input'!$N$131)*$N$7)/A23taxstdlife))</f>
        <v>0</v>
      </c>
      <c r="T775" s="590">
        <f>IF(A23taxstdlife="n/a","n/a",IF(T$3&gt;(A23taxstdlife+$E775),(('PTRM input'!$N$165+'PTRM input'!$N$131)*$N$7)-SUM($N775:S775),(('PTRM input'!$N$165+'PTRM input'!$N$131)*$N$7)/A23taxstdlife))</f>
        <v>0</v>
      </c>
      <c r="U775" s="590">
        <f>IF(A23taxstdlife="n/a","n/a",IF(U$3&gt;(A23taxstdlife+$E775),(('PTRM input'!$N$165+'PTRM input'!$N$131)*$N$7)-SUM($N775:T775),(('PTRM input'!$N$165+'PTRM input'!$N$131)*$N$7)/A23taxstdlife))</f>
        <v>0</v>
      </c>
      <c r="V775" s="590">
        <f>IF(A23taxstdlife="n/a","n/a",IF(V$3&gt;(A23taxstdlife+$E775),(('PTRM input'!$N$165+'PTRM input'!$N$131)*$N$7)-SUM($N775:U775),(('PTRM input'!$N$165+'PTRM input'!$N$131)*$N$7)/A23taxstdlife))</f>
        <v>0</v>
      </c>
      <c r="W775" s="590">
        <f>IF(A23taxstdlife="n/a","n/a",IF(W$3&gt;(A23taxstdlife+$E775),(('PTRM input'!$N$165+'PTRM input'!$N$131)*$N$7)-SUM($N775:V775),(('PTRM input'!$N$165+'PTRM input'!$N$131)*$N$7)/A23taxstdlife))</f>
        <v>0</v>
      </c>
      <c r="X775" s="590">
        <f>IF(A23taxstdlife="n/a","n/a",IF(X$3&gt;(A23taxstdlife+$E775),(('PTRM input'!$N$165+'PTRM input'!$N$131)*$N$7)-SUM($N775:W775),(('PTRM input'!$N$165+'PTRM input'!$N$131)*$N$7)/A23taxstdlife))</f>
        <v>0</v>
      </c>
      <c r="Y775" s="590">
        <f>IF(A23taxstdlife="n/a","n/a",IF(Y$3&gt;(A23taxstdlife+$E775),(('PTRM input'!$N$165+'PTRM input'!$N$131)*$N$7)-SUM($N775:X775),(('PTRM input'!$N$165+'PTRM input'!$N$131)*$N$7)/A23taxstdlife))</f>
        <v>0</v>
      </c>
      <c r="Z775" s="590">
        <f>IF(A23taxstdlife="n/a","n/a",IF(Z$3&gt;(A23taxstdlife+$E775),(('PTRM input'!$N$165+'PTRM input'!$N$131)*$N$7)-SUM($N775:Y775),(('PTRM input'!$N$165+'PTRM input'!$N$131)*$N$7)/A23taxstdlife))</f>
        <v>0</v>
      </c>
      <c r="AA775" s="590">
        <f>IF(A23taxstdlife="n/a","n/a",IF(AA$3&gt;(A23taxstdlife+$E775),(('PTRM input'!$N$165+'PTRM input'!$N$131)*$N$7)-SUM($N775:Z775),(('PTRM input'!$N$165+'PTRM input'!$N$131)*$N$7)/A23taxstdlife))</f>
        <v>0</v>
      </c>
      <c r="AB775" s="590">
        <f>IF(A23taxstdlife="n/a","n/a",IF(AB$3&gt;(A23taxstdlife+$E775),(('PTRM input'!$N$165+'PTRM input'!$N$131)*$N$7)-SUM($N775:AA775),(('PTRM input'!$N$165+'PTRM input'!$N$131)*$N$7)/A23taxstdlife))</f>
        <v>0</v>
      </c>
      <c r="AC775" s="590">
        <f>IF(A23taxstdlife="n/a","n/a",IF(AC$3&gt;(A23taxstdlife+$E775),(('PTRM input'!$N$165+'PTRM input'!$N$131)*$N$7)-SUM($N775:AB775),(('PTRM input'!$N$165+'PTRM input'!$N$131)*$N$7)/A23taxstdlife))</f>
        <v>0</v>
      </c>
      <c r="AD775" s="590">
        <f>IF(A23taxstdlife="n/a","n/a",IF(AD$3&gt;(A23taxstdlife+$E775),(('PTRM input'!$N$165+'PTRM input'!$N$131)*$N$7)-SUM($N775:AC775),(('PTRM input'!$N$165+'PTRM input'!$N$131)*$N$7)/A23taxstdlife))</f>
        <v>0</v>
      </c>
      <c r="AE775" s="590">
        <f>IF(A23taxstdlife="n/a","n/a",IF(AE$3&gt;(A23taxstdlife+$E775),(('PTRM input'!$N$165+'PTRM input'!$N$131)*$N$7)-SUM($N775:AD775),(('PTRM input'!$N$165+'PTRM input'!$N$131)*$N$7)/A23taxstdlife))</f>
        <v>0</v>
      </c>
      <c r="AF775" s="590">
        <f>IF(A23taxstdlife="n/a","n/a",IF(AF$3&gt;(A23taxstdlife+$E775),(('PTRM input'!$N$165+'PTRM input'!$N$131)*$N$7)-SUM($N775:AE775),(('PTRM input'!$N$165+'PTRM input'!$N$131)*$N$7)/A23taxstdlife))</f>
        <v>0</v>
      </c>
      <c r="AG775" s="590">
        <f>IF(A23taxstdlife="n/a","n/a",IF(AG$3&gt;(A23taxstdlife+$E775),(('PTRM input'!$N$165+'PTRM input'!$N$131)*$N$7)-SUM($N775:AF775),(('PTRM input'!$N$165+'PTRM input'!$N$131)*$N$7)/A23taxstdlife))</f>
        <v>0</v>
      </c>
      <c r="AH775" s="590">
        <f>IF(A23taxstdlife="n/a","n/a",IF(AH$3&gt;(A23taxstdlife+$E775),(('PTRM input'!$N$165+'PTRM input'!$N$131)*$N$7)-SUM($N775:AG775),(('PTRM input'!$N$165+'PTRM input'!$N$131)*$N$7)/A23taxstdlife))</f>
        <v>0</v>
      </c>
      <c r="AI775" s="590">
        <f>IF(A23taxstdlife="n/a","n/a",IF(AI$3&gt;(A23taxstdlife+$E775),(('PTRM input'!$N$165+'PTRM input'!$N$131)*$N$7)-SUM($N775:AH775),(('PTRM input'!$N$165+'PTRM input'!$N$131)*$N$7)/A23taxstdlife))</f>
        <v>0</v>
      </c>
      <c r="AJ775" s="590">
        <f>IF(A23taxstdlife="n/a","n/a",IF(AJ$3&gt;(A23taxstdlife+$E775),(('PTRM input'!$N$165+'PTRM input'!$N$131)*$N$7)-SUM($N775:AI775),(('PTRM input'!$N$165+'PTRM input'!$N$131)*$N$7)/A23taxstdlife))</f>
        <v>0</v>
      </c>
      <c r="AK775" s="590">
        <f>IF(A23taxstdlife="n/a","n/a",IF(AK$3&gt;(A23taxstdlife+$E775),(('PTRM input'!$N$165+'PTRM input'!$N$131)*$N$7)-SUM($N775:AJ775),(('PTRM input'!$N$165+'PTRM input'!$N$131)*$N$7)/A23taxstdlife))</f>
        <v>0</v>
      </c>
      <c r="AL775" s="590">
        <f>IF(A23taxstdlife="n/a","n/a",IF(AL$3&gt;(A23taxstdlife+$E775),(('PTRM input'!$N$165+'PTRM input'!$N$131)*$N$7)-SUM($N775:AK775),(('PTRM input'!$N$165+'PTRM input'!$N$131)*$N$7)/A23taxstdlife))</f>
        <v>0</v>
      </c>
      <c r="AM775" s="590">
        <f>IF(A23taxstdlife="n/a","n/a",IF(AM$3&gt;(A23taxstdlife+$E775),(('PTRM input'!$N$165+'PTRM input'!$N$131)*$N$7)-SUM($N775:AL775),(('PTRM input'!$N$165+'PTRM input'!$N$131)*$N$7)/A23taxstdlife))</f>
        <v>0</v>
      </c>
      <c r="AN775" s="590">
        <f>IF(A23taxstdlife="n/a","n/a",IF(AN$3&gt;(A23taxstdlife+$E775),(('PTRM input'!$N$165+'PTRM input'!$N$131)*$N$7)-SUM($N775:AM775),(('PTRM input'!$N$165+'PTRM input'!$N$131)*$N$7)/A23taxstdlife))</f>
        <v>0</v>
      </c>
      <c r="AO775" s="590">
        <f>IF(A23taxstdlife="n/a","n/a",IF(AO$3&gt;(A23taxstdlife+$E775),(('PTRM input'!$N$165+'PTRM input'!$N$131)*$N$7)-SUM($N775:AN775),(('PTRM input'!$N$165+'PTRM input'!$N$131)*$N$7)/A23taxstdlife))</f>
        <v>0</v>
      </c>
      <c r="AP775" s="590">
        <f>IF(A23taxstdlife="n/a","n/a",IF(AP$3&gt;(A23taxstdlife+$E775),(('PTRM input'!$N$165+'PTRM input'!$N$131)*$N$7)-SUM($N775:AO775),(('PTRM input'!$N$165+'PTRM input'!$N$131)*$N$7)/A23taxstdlife))</f>
        <v>0</v>
      </c>
      <c r="AQ775" s="590">
        <f>IF(A23taxstdlife="n/a","n/a",IF(AQ$3&gt;(A23taxstdlife+$E775),(('PTRM input'!$N$165+'PTRM input'!$N$131)*$N$7)-SUM($N775:AP775),(('PTRM input'!$N$165+'PTRM input'!$N$131)*$N$7)/A23taxstdlife))</f>
        <v>0</v>
      </c>
      <c r="AR775" s="590">
        <f>IF(A23taxstdlife="n/a","n/a",IF(AR$3&gt;(A23taxstdlife+$E775),(('PTRM input'!$N$165+'PTRM input'!$N$131)*$N$7)-SUM($N775:AQ775),(('PTRM input'!$N$165+'PTRM input'!$N$131)*$N$7)/A23taxstdlife))</f>
        <v>0</v>
      </c>
      <c r="AS775" s="590">
        <f>IF(A23taxstdlife="n/a","n/a",IF(AS$3&gt;(A23taxstdlife+$E775),(('PTRM input'!$N$165+'PTRM input'!$N$131)*$N$7)-SUM($N775:AR775),(('PTRM input'!$N$165+'PTRM input'!$N$131)*$N$7)/A23taxstdlife))</f>
        <v>0</v>
      </c>
      <c r="AT775" s="590">
        <f>IF(A23taxstdlife="n/a","n/a",IF(AT$3&gt;(A23taxstdlife+$E775),(('PTRM input'!$N$165+'PTRM input'!$N$131)*$N$7)-SUM($N775:AS775),(('PTRM input'!$N$165+'PTRM input'!$N$131)*$N$7)/A23taxstdlife))</f>
        <v>0</v>
      </c>
      <c r="AU775" s="590">
        <f>IF(A23taxstdlife="n/a","n/a",IF(AU$3&gt;(A23taxstdlife+$E775),(('PTRM input'!$N$165+'PTRM input'!$N$131)*$N$7)-SUM($N775:AT775),(('PTRM input'!$N$165+'PTRM input'!$N$131)*$N$7)/A23taxstdlife))</f>
        <v>0</v>
      </c>
      <c r="AV775" s="590">
        <f>IF(A23taxstdlife="n/a","n/a",IF(AV$3&gt;(A23taxstdlife+$E775),(('PTRM input'!$N$165+'PTRM input'!$N$131)*$N$7)-SUM($N775:AU775),(('PTRM input'!$N$165+'PTRM input'!$N$131)*$N$7)/A23taxstdlife))</f>
        <v>0</v>
      </c>
      <c r="AW775" s="590">
        <f>IF(A23taxstdlife="n/a","n/a",IF(AW$3&gt;(A23taxstdlife+$E775),(('PTRM input'!$N$165+'PTRM input'!$N$131)*$N$7)-SUM($N775:AV775),(('PTRM input'!$N$165+'PTRM input'!$N$131)*$N$7)/A23taxstdlife))</f>
        <v>0</v>
      </c>
      <c r="AX775" s="590">
        <f>IF(A23taxstdlife="n/a","n/a",IF(AX$3&gt;(A23taxstdlife+$E775),(('PTRM input'!$N$165+'PTRM input'!$N$131)*$N$7)-SUM($N775:AW775),(('PTRM input'!$N$165+'PTRM input'!$N$131)*$N$7)/A23taxstdlife))</f>
        <v>0</v>
      </c>
      <c r="AY775" s="590">
        <f>IF(A23taxstdlife="n/a","n/a",IF(AY$3&gt;(A23taxstdlife+$E775),(('PTRM input'!$N$165+'PTRM input'!$N$131)*$N$7)-SUM($N775:AX775),(('PTRM input'!$N$165+'PTRM input'!$N$131)*$N$7)/A23taxstdlife))</f>
        <v>0</v>
      </c>
      <c r="AZ775" s="590">
        <f>IF(A23taxstdlife="n/a","n/a",IF(AZ$3&gt;(A23taxstdlife+$E775),(('PTRM input'!$N$165+'PTRM input'!$N$131)*$N$7)-SUM($N775:AY775),(('PTRM input'!$N$165+'PTRM input'!$N$131)*$N$7)/A23taxstdlife))</f>
        <v>0</v>
      </c>
      <c r="BA775" s="590">
        <f>IF(A23taxstdlife="n/a","n/a",IF(BA$3&gt;(A23taxstdlife+$E775),(('PTRM input'!$N$165+'PTRM input'!$N$131)*$N$7)-SUM($N775:AZ775),(('PTRM input'!$N$165+'PTRM input'!$N$131)*$N$7)/A23taxstdlife))</f>
        <v>0</v>
      </c>
      <c r="BB775" s="590">
        <f>IF(A23taxstdlife="n/a","n/a",IF(BB$3&gt;(A23taxstdlife+$E775),(('PTRM input'!$N$165+'PTRM input'!$N$131)*$N$7)-SUM($N775:BA775),(('PTRM input'!$N$165+'PTRM input'!$N$131)*$N$7)/A23taxstdlife))</f>
        <v>0</v>
      </c>
      <c r="BC775" s="590">
        <f>IF(A23taxstdlife="n/a","n/a",IF(BC$3&gt;(A23taxstdlife+$E775),(('PTRM input'!$N$165+'PTRM input'!$N$131)*$N$7)-SUM($N775:BB775),(('PTRM input'!$N$165+'PTRM input'!$N$131)*$N$7)/A23taxstdlife))</f>
        <v>0</v>
      </c>
      <c r="BD775" s="590">
        <f>IF(A23taxstdlife="n/a","n/a",IF(BD$3&gt;(A23taxstdlife+$E775),(('PTRM input'!$N$165+'PTRM input'!$N$131)*$N$7)-SUM($N775:BC775),(('PTRM input'!$N$165+'PTRM input'!$N$131)*$N$7)/A23taxstdlife))</f>
        <v>0</v>
      </c>
      <c r="BE775" s="590">
        <f>IF(A23taxstdlife="n/a","n/a",IF(BE$3&gt;(A23taxstdlife+$E775),(('PTRM input'!$N$165+'PTRM input'!$N$131)*$N$7)-SUM($N775:BD775),(('PTRM input'!$N$165+'PTRM input'!$N$131)*$N$7)/A23taxstdlife))</f>
        <v>0</v>
      </c>
      <c r="BF775" s="590">
        <f>IF(A23taxstdlife="n/a","n/a",IF(BF$3&gt;(A23taxstdlife+$E775),(('PTRM input'!$N$165+'PTRM input'!$N$131)*$N$7)-SUM($N775:BE775),(('PTRM input'!$N$165+'PTRM input'!$N$131)*$N$7)/A23taxstdlife))</f>
        <v>0</v>
      </c>
      <c r="BG775" s="590">
        <f>IF(A23taxstdlife="n/a","n/a",IF(BG$3&gt;(A23taxstdlife+$E775),(('PTRM input'!$N$165+'PTRM input'!$N$131)*$N$7)-SUM($N775:BF775),(('PTRM input'!$N$165+'PTRM input'!$N$131)*$N$7)/A23taxstdlife))</f>
        <v>0</v>
      </c>
      <c r="BH775" s="590">
        <f>IF(A23taxstdlife="n/a","n/a",IF(BH$3&gt;(A23taxstdlife+$E775),(('PTRM input'!$N$165+'PTRM input'!$N$131)*$N$7)-SUM($N775:BG775),(('PTRM input'!$N$165+'PTRM input'!$N$131)*$N$7)/A23taxstdlife))</f>
        <v>0</v>
      </c>
      <c r="BI775" s="590">
        <f>IF(A23taxstdlife="n/a","n/a",IF(BI$3&gt;(A23taxstdlife+$E775),(('PTRM input'!$N$165+'PTRM input'!$N$131)*$N$7)-SUM($N775:BH775),(('PTRM input'!$N$165+'PTRM input'!$N$131)*$N$7)/A23taxstdlife))</f>
        <v>0</v>
      </c>
      <c r="BJ775" s="240"/>
      <c r="BK775" s="240"/>
      <c r="BL775" s="240"/>
      <c r="BM775" s="240"/>
    </row>
    <row r="776" spans="1:65" s="4" customFormat="1" hidden="1" outlineLevel="2">
      <c r="A776" s="240"/>
      <c r="B776" s="240"/>
      <c r="C776" s="595"/>
      <c r="D776" s="1618"/>
      <c r="E776" s="169">
        <v>9</v>
      </c>
      <c r="F776" s="35"/>
      <c r="G776" s="184"/>
      <c r="H776" s="186"/>
      <c r="I776" s="186"/>
      <c r="J776" s="186"/>
      <c r="K776" s="186"/>
      <c r="L776" s="186"/>
      <c r="M776" s="186"/>
      <c r="N776" s="186"/>
      <c r="O776" s="185"/>
      <c r="P776" s="107">
        <f>IF(A23taxstdlife="n/a","n/a",IF(P$3&gt;(A23taxstdlife+$E776),(('PTRM input'!$O$165+'PTRM input'!$O$131)*$O$7)-SUM($O776:O776),(('PTRM input'!$O$165+'PTRM input'!$O$131)*$O$7)/A23taxstdlife))</f>
        <v>0</v>
      </c>
      <c r="Q776" s="590">
        <f>IF(A23taxstdlife="n/a","n/a",IF(Q$3&gt;(A23taxstdlife+$E776),(('PTRM input'!$O$165+'PTRM input'!$O$131)*$O$7)-SUM($O776:P776),(('PTRM input'!$O$165+'PTRM input'!$O$131)*$O$7)/A23taxstdlife))</f>
        <v>0</v>
      </c>
      <c r="R776" s="590">
        <f>IF(A23taxstdlife="n/a","n/a",IF(R$3&gt;(A23taxstdlife+$E776),(('PTRM input'!$O$165+'PTRM input'!$O$131)*$O$7)-SUM($O776:Q776),(('PTRM input'!$O$165+'PTRM input'!$O$131)*$O$7)/A23taxstdlife))</f>
        <v>0</v>
      </c>
      <c r="S776" s="590">
        <f>IF(A23taxstdlife="n/a","n/a",IF(S$3&gt;(A23taxstdlife+$E776),(('PTRM input'!$O$165+'PTRM input'!$O$131)*$O$7)-SUM($O776:R776),(('PTRM input'!$O$165+'PTRM input'!$O$131)*$O$7)/A23taxstdlife))</f>
        <v>0</v>
      </c>
      <c r="T776" s="590">
        <f>IF(A23taxstdlife="n/a","n/a",IF(T$3&gt;(A23taxstdlife+$E776),(('PTRM input'!$O$165+'PTRM input'!$O$131)*$O$7)-SUM($O776:S776),(('PTRM input'!$O$165+'PTRM input'!$O$131)*$O$7)/A23taxstdlife))</f>
        <v>0</v>
      </c>
      <c r="U776" s="590">
        <f>IF(A23taxstdlife="n/a","n/a",IF(U$3&gt;(A23taxstdlife+$E776),(('PTRM input'!$O$165+'PTRM input'!$O$131)*$O$7)-SUM($O776:T776),(('PTRM input'!$O$165+'PTRM input'!$O$131)*$O$7)/A23taxstdlife))</f>
        <v>0</v>
      </c>
      <c r="V776" s="590">
        <f>IF(A23taxstdlife="n/a","n/a",IF(V$3&gt;(A23taxstdlife+$E776),(('PTRM input'!$O$165+'PTRM input'!$O$131)*$O$7)-SUM($O776:U776),(('PTRM input'!$O$165+'PTRM input'!$O$131)*$O$7)/A23taxstdlife))</f>
        <v>0</v>
      </c>
      <c r="W776" s="590">
        <f>IF(A23taxstdlife="n/a","n/a",IF(W$3&gt;(A23taxstdlife+$E776),(('PTRM input'!$O$165+'PTRM input'!$O$131)*$O$7)-SUM($O776:V776),(('PTRM input'!$O$165+'PTRM input'!$O$131)*$O$7)/A23taxstdlife))</f>
        <v>0</v>
      </c>
      <c r="X776" s="590">
        <f>IF(A23taxstdlife="n/a","n/a",IF(X$3&gt;(A23taxstdlife+$E776),(('PTRM input'!$O$165+'PTRM input'!$O$131)*$O$7)-SUM($O776:W776),(('PTRM input'!$O$165+'PTRM input'!$O$131)*$O$7)/A23taxstdlife))</f>
        <v>0</v>
      </c>
      <c r="Y776" s="590">
        <f>IF(A23taxstdlife="n/a","n/a",IF(Y$3&gt;(A23taxstdlife+$E776),(('PTRM input'!$O$165+'PTRM input'!$O$131)*$O$7)-SUM($O776:X776),(('PTRM input'!$O$165+'PTRM input'!$O$131)*$O$7)/A23taxstdlife))</f>
        <v>0</v>
      </c>
      <c r="Z776" s="590">
        <f>IF(A23taxstdlife="n/a","n/a",IF(Z$3&gt;(A23taxstdlife+$E776),(('PTRM input'!$O$165+'PTRM input'!$O$131)*$O$7)-SUM($O776:Y776),(('PTRM input'!$O$165+'PTRM input'!$O$131)*$O$7)/A23taxstdlife))</f>
        <v>0</v>
      </c>
      <c r="AA776" s="590">
        <f>IF(A23taxstdlife="n/a","n/a",IF(AA$3&gt;(A23taxstdlife+$E776),(('PTRM input'!$O$165+'PTRM input'!$O$131)*$O$7)-SUM($O776:Z776),(('PTRM input'!$O$165+'PTRM input'!$O$131)*$O$7)/A23taxstdlife))</f>
        <v>0</v>
      </c>
      <c r="AB776" s="590">
        <f>IF(A23taxstdlife="n/a","n/a",IF(AB$3&gt;(A23taxstdlife+$E776),(('PTRM input'!$O$165+'PTRM input'!$O$131)*$O$7)-SUM($O776:AA776),(('PTRM input'!$O$165+'PTRM input'!$O$131)*$O$7)/A23taxstdlife))</f>
        <v>0</v>
      </c>
      <c r="AC776" s="590">
        <f>IF(A23taxstdlife="n/a","n/a",IF(AC$3&gt;(A23taxstdlife+$E776),(('PTRM input'!$O$165+'PTRM input'!$O$131)*$O$7)-SUM($O776:AB776),(('PTRM input'!$O$165+'PTRM input'!$O$131)*$O$7)/A23taxstdlife))</f>
        <v>0</v>
      </c>
      <c r="AD776" s="590">
        <f>IF(A23taxstdlife="n/a","n/a",IF(AD$3&gt;(A23taxstdlife+$E776),(('PTRM input'!$O$165+'PTRM input'!$O$131)*$O$7)-SUM($O776:AC776),(('PTRM input'!$O$165+'PTRM input'!$O$131)*$O$7)/A23taxstdlife))</f>
        <v>0</v>
      </c>
      <c r="AE776" s="590">
        <f>IF(A23taxstdlife="n/a","n/a",IF(AE$3&gt;(A23taxstdlife+$E776),(('PTRM input'!$O$165+'PTRM input'!$O$131)*$O$7)-SUM($O776:AD776),(('PTRM input'!$O$165+'PTRM input'!$O$131)*$O$7)/A23taxstdlife))</f>
        <v>0</v>
      </c>
      <c r="AF776" s="590">
        <f>IF(A23taxstdlife="n/a","n/a",IF(AF$3&gt;(A23taxstdlife+$E776),(('PTRM input'!$O$165+'PTRM input'!$O$131)*$O$7)-SUM($O776:AE776),(('PTRM input'!$O$165+'PTRM input'!$O$131)*$O$7)/A23taxstdlife))</f>
        <v>0</v>
      </c>
      <c r="AG776" s="590">
        <f>IF(A23taxstdlife="n/a","n/a",IF(AG$3&gt;(A23taxstdlife+$E776),(('PTRM input'!$O$165+'PTRM input'!$O$131)*$O$7)-SUM($O776:AF776),(('PTRM input'!$O$165+'PTRM input'!$O$131)*$O$7)/A23taxstdlife))</f>
        <v>0</v>
      </c>
      <c r="AH776" s="590">
        <f>IF(A23taxstdlife="n/a","n/a",IF(AH$3&gt;(A23taxstdlife+$E776),(('PTRM input'!$O$165+'PTRM input'!$O$131)*$O$7)-SUM($O776:AG776),(('PTRM input'!$O$165+'PTRM input'!$O$131)*$O$7)/A23taxstdlife))</f>
        <v>0</v>
      </c>
      <c r="AI776" s="590">
        <f>IF(A23taxstdlife="n/a","n/a",IF(AI$3&gt;(A23taxstdlife+$E776),(('PTRM input'!$O$165+'PTRM input'!$O$131)*$O$7)-SUM($O776:AH776),(('PTRM input'!$O$165+'PTRM input'!$O$131)*$O$7)/A23taxstdlife))</f>
        <v>0</v>
      </c>
      <c r="AJ776" s="590">
        <f>IF(A23taxstdlife="n/a","n/a",IF(AJ$3&gt;(A23taxstdlife+$E776),(('PTRM input'!$O$165+'PTRM input'!$O$131)*$O$7)-SUM($O776:AI776),(('PTRM input'!$O$165+'PTRM input'!$O$131)*$O$7)/A23taxstdlife))</f>
        <v>0</v>
      </c>
      <c r="AK776" s="590">
        <f>IF(A23taxstdlife="n/a","n/a",IF(AK$3&gt;(A23taxstdlife+$E776),(('PTRM input'!$O$165+'PTRM input'!$O$131)*$O$7)-SUM($O776:AJ776),(('PTRM input'!$O$165+'PTRM input'!$O$131)*$O$7)/A23taxstdlife))</f>
        <v>0</v>
      </c>
      <c r="AL776" s="590">
        <f>IF(A23taxstdlife="n/a","n/a",IF(AL$3&gt;(A23taxstdlife+$E776),(('PTRM input'!$O$165+'PTRM input'!$O$131)*$O$7)-SUM($O776:AK776),(('PTRM input'!$O$165+'PTRM input'!$O$131)*$O$7)/A23taxstdlife))</f>
        <v>0</v>
      </c>
      <c r="AM776" s="590">
        <f>IF(A23taxstdlife="n/a","n/a",IF(AM$3&gt;(A23taxstdlife+$E776),(('PTRM input'!$O$165+'PTRM input'!$O$131)*$O$7)-SUM($O776:AL776),(('PTRM input'!$O$165+'PTRM input'!$O$131)*$O$7)/A23taxstdlife))</f>
        <v>0</v>
      </c>
      <c r="AN776" s="590">
        <f>IF(A23taxstdlife="n/a","n/a",IF(AN$3&gt;(A23taxstdlife+$E776),(('PTRM input'!$O$165+'PTRM input'!$O$131)*$O$7)-SUM($O776:AM776),(('PTRM input'!$O$165+'PTRM input'!$O$131)*$O$7)/A23taxstdlife))</f>
        <v>0</v>
      </c>
      <c r="AO776" s="590">
        <f>IF(A23taxstdlife="n/a","n/a",IF(AO$3&gt;(A23taxstdlife+$E776),(('PTRM input'!$O$165+'PTRM input'!$O$131)*$O$7)-SUM($O776:AN776),(('PTRM input'!$O$165+'PTRM input'!$O$131)*$O$7)/A23taxstdlife))</f>
        <v>0</v>
      </c>
      <c r="AP776" s="590">
        <f>IF(A23taxstdlife="n/a","n/a",IF(AP$3&gt;(A23taxstdlife+$E776),(('PTRM input'!$O$165+'PTRM input'!$O$131)*$O$7)-SUM($O776:AO776),(('PTRM input'!$O$165+'PTRM input'!$O$131)*$O$7)/A23taxstdlife))</f>
        <v>0</v>
      </c>
      <c r="AQ776" s="590">
        <f>IF(A23taxstdlife="n/a","n/a",IF(AQ$3&gt;(A23taxstdlife+$E776),(('PTRM input'!$O$165+'PTRM input'!$O$131)*$O$7)-SUM($O776:AP776),(('PTRM input'!$O$165+'PTRM input'!$O$131)*$O$7)/A23taxstdlife))</f>
        <v>0</v>
      </c>
      <c r="AR776" s="590">
        <f>IF(A23taxstdlife="n/a","n/a",IF(AR$3&gt;(A23taxstdlife+$E776),(('PTRM input'!$O$165+'PTRM input'!$O$131)*$O$7)-SUM($O776:AQ776),(('PTRM input'!$O$165+'PTRM input'!$O$131)*$O$7)/A23taxstdlife))</f>
        <v>0</v>
      </c>
      <c r="AS776" s="590">
        <f>IF(A23taxstdlife="n/a","n/a",IF(AS$3&gt;(A23taxstdlife+$E776),(('PTRM input'!$O$165+'PTRM input'!$O$131)*$O$7)-SUM($O776:AR776),(('PTRM input'!$O$165+'PTRM input'!$O$131)*$O$7)/A23taxstdlife))</f>
        <v>0</v>
      </c>
      <c r="AT776" s="590">
        <f>IF(A23taxstdlife="n/a","n/a",IF(AT$3&gt;(A23taxstdlife+$E776),(('PTRM input'!$O$165+'PTRM input'!$O$131)*$O$7)-SUM($O776:AS776),(('PTRM input'!$O$165+'PTRM input'!$O$131)*$O$7)/A23taxstdlife))</f>
        <v>0</v>
      </c>
      <c r="AU776" s="590">
        <f>IF(A23taxstdlife="n/a","n/a",IF(AU$3&gt;(A23taxstdlife+$E776),(('PTRM input'!$O$165+'PTRM input'!$O$131)*$O$7)-SUM($O776:AT776),(('PTRM input'!$O$165+'PTRM input'!$O$131)*$O$7)/A23taxstdlife))</f>
        <v>0</v>
      </c>
      <c r="AV776" s="590">
        <f>IF(A23taxstdlife="n/a","n/a",IF(AV$3&gt;(A23taxstdlife+$E776),(('PTRM input'!$O$165+'PTRM input'!$O$131)*$O$7)-SUM($O776:AU776),(('PTRM input'!$O$165+'PTRM input'!$O$131)*$O$7)/A23taxstdlife))</f>
        <v>0</v>
      </c>
      <c r="AW776" s="590">
        <f>IF(A23taxstdlife="n/a","n/a",IF(AW$3&gt;(A23taxstdlife+$E776),(('PTRM input'!$O$165+'PTRM input'!$O$131)*$O$7)-SUM($O776:AV776),(('PTRM input'!$O$165+'PTRM input'!$O$131)*$O$7)/A23taxstdlife))</f>
        <v>0</v>
      </c>
      <c r="AX776" s="590">
        <f>IF(A23taxstdlife="n/a","n/a",IF(AX$3&gt;(A23taxstdlife+$E776),(('PTRM input'!$O$165+'PTRM input'!$O$131)*$O$7)-SUM($O776:AW776),(('PTRM input'!$O$165+'PTRM input'!$O$131)*$O$7)/A23taxstdlife))</f>
        <v>0</v>
      </c>
      <c r="AY776" s="590">
        <f>IF(A23taxstdlife="n/a","n/a",IF(AY$3&gt;(A23taxstdlife+$E776),(('PTRM input'!$O$165+'PTRM input'!$O$131)*$O$7)-SUM($O776:AX776),(('PTRM input'!$O$165+'PTRM input'!$O$131)*$O$7)/A23taxstdlife))</f>
        <v>0</v>
      </c>
      <c r="AZ776" s="590">
        <f>IF(A23taxstdlife="n/a","n/a",IF(AZ$3&gt;(A23taxstdlife+$E776),(('PTRM input'!$O$165+'PTRM input'!$O$131)*$O$7)-SUM($O776:AY776),(('PTRM input'!$O$165+'PTRM input'!$O$131)*$O$7)/A23taxstdlife))</f>
        <v>0</v>
      </c>
      <c r="BA776" s="590">
        <f>IF(A23taxstdlife="n/a","n/a",IF(BA$3&gt;(A23taxstdlife+$E776),(('PTRM input'!$O$165+'PTRM input'!$O$131)*$O$7)-SUM($O776:AZ776),(('PTRM input'!$O$165+'PTRM input'!$O$131)*$O$7)/A23taxstdlife))</f>
        <v>0</v>
      </c>
      <c r="BB776" s="590">
        <f>IF(A23taxstdlife="n/a","n/a",IF(BB$3&gt;(A23taxstdlife+$E776),(('PTRM input'!$O$165+'PTRM input'!$O$131)*$O$7)-SUM($O776:BA776),(('PTRM input'!$O$165+'PTRM input'!$O$131)*$O$7)/A23taxstdlife))</f>
        <v>0</v>
      </c>
      <c r="BC776" s="590">
        <f>IF(A23taxstdlife="n/a","n/a",IF(BC$3&gt;(A23taxstdlife+$E776),(('PTRM input'!$O$165+'PTRM input'!$O$131)*$O$7)-SUM($O776:BB776),(('PTRM input'!$O$165+'PTRM input'!$O$131)*$O$7)/A23taxstdlife))</f>
        <v>0</v>
      </c>
      <c r="BD776" s="590">
        <f>IF(A23taxstdlife="n/a","n/a",IF(BD$3&gt;(A23taxstdlife+$E776),(('PTRM input'!$O$165+'PTRM input'!$O$131)*$O$7)-SUM($O776:BC776),(('PTRM input'!$O$165+'PTRM input'!$O$131)*$O$7)/A23taxstdlife))</f>
        <v>0</v>
      </c>
      <c r="BE776" s="590">
        <f>IF(A23taxstdlife="n/a","n/a",IF(BE$3&gt;(A23taxstdlife+$E776),(('PTRM input'!$O$165+'PTRM input'!$O$131)*$O$7)-SUM($O776:BD776),(('PTRM input'!$O$165+'PTRM input'!$O$131)*$O$7)/A23taxstdlife))</f>
        <v>0</v>
      </c>
      <c r="BF776" s="590">
        <f>IF(A23taxstdlife="n/a","n/a",IF(BF$3&gt;(A23taxstdlife+$E776),(('PTRM input'!$O$165+'PTRM input'!$O$131)*$O$7)-SUM($O776:BE776),(('PTRM input'!$O$165+'PTRM input'!$O$131)*$O$7)/A23taxstdlife))</f>
        <v>0</v>
      </c>
      <c r="BG776" s="590">
        <f>IF(A23taxstdlife="n/a","n/a",IF(BG$3&gt;(A23taxstdlife+$E776),(('PTRM input'!$O$165+'PTRM input'!$O$131)*$O$7)-SUM($O776:BF776),(('PTRM input'!$O$165+'PTRM input'!$O$131)*$O$7)/A23taxstdlife))</f>
        <v>0</v>
      </c>
      <c r="BH776" s="590">
        <f>IF(A23taxstdlife="n/a","n/a",IF(BH$3&gt;(A23taxstdlife+$E776),(('PTRM input'!$O$165+'PTRM input'!$O$131)*$O$7)-SUM($O776:BG776),(('PTRM input'!$O$165+'PTRM input'!$O$131)*$O$7)/A23taxstdlife))</f>
        <v>0</v>
      </c>
      <c r="BI776" s="590">
        <f>IF(A23taxstdlife="n/a","n/a",IF(BI$3&gt;(A23taxstdlife+$E776),(('PTRM input'!$O$165+'PTRM input'!$O$131)*$O$7)-SUM($O776:BH776),(('PTRM input'!$O$165+'PTRM input'!$O$131)*$O$7)/A23taxstdlife))</f>
        <v>0</v>
      </c>
      <c r="BJ776" s="240"/>
      <c r="BK776" s="240"/>
      <c r="BL776" s="240"/>
      <c r="BM776" s="240"/>
    </row>
    <row r="777" spans="1:65" s="4" customFormat="1" hidden="1" outlineLevel="2">
      <c r="A777" s="240"/>
      <c r="B777" s="240"/>
      <c r="C777" s="595"/>
      <c r="D777" s="1618"/>
      <c r="E777" s="170">
        <v>10</v>
      </c>
      <c r="F777" s="35"/>
      <c r="G777" s="184"/>
      <c r="H777" s="186"/>
      <c r="I777" s="186"/>
      <c r="J777" s="186"/>
      <c r="K777" s="186"/>
      <c r="L777" s="186"/>
      <c r="M777" s="186"/>
      <c r="N777" s="186"/>
      <c r="O777" s="186"/>
      <c r="P777" s="185"/>
      <c r="Q777" s="590">
        <f>IF(A23taxstdlife="n/a","n/a",IF(Q$3&gt;(A23taxstdlife+$E777),(('PTRM input'!$P$165+'PTRM input'!$P$131)*$P$7)-SUM($P777:P777),(('PTRM input'!$P$165+'PTRM input'!$P$131)*$P$7)/A23taxstdlife))</f>
        <v>0</v>
      </c>
      <c r="R777" s="590">
        <f>IF(A23taxstdlife="n/a","n/a",IF(R$3&gt;(A23taxstdlife+$E777),(('PTRM input'!$P$165+'PTRM input'!$P$131)*$P$7)-SUM($P777:Q777),(('PTRM input'!$P$165+'PTRM input'!$P$131)*$P$7)/A23taxstdlife))</f>
        <v>0</v>
      </c>
      <c r="S777" s="590">
        <f>IF(A23taxstdlife="n/a","n/a",IF(S$3&gt;(A23taxstdlife+$E777),(('PTRM input'!$P$165+'PTRM input'!$P$131)*$P$7)-SUM($P777:R777),(('PTRM input'!$P$165+'PTRM input'!$P$131)*$P$7)/A23taxstdlife))</f>
        <v>0</v>
      </c>
      <c r="T777" s="590">
        <f>IF(A23taxstdlife="n/a","n/a",IF(T$3&gt;(A23taxstdlife+$E777),(('PTRM input'!$P$165+'PTRM input'!$P$131)*$P$7)-SUM($P777:S777),(('PTRM input'!$P$165+'PTRM input'!$P$131)*$P$7)/A23taxstdlife))</f>
        <v>0</v>
      </c>
      <c r="U777" s="590">
        <f>IF(A23taxstdlife="n/a","n/a",IF(U$3&gt;(A23taxstdlife+$E777),(('PTRM input'!$P$165+'PTRM input'!$P$131)*$P$7)-SUM($P777:T777),(('PTRM input'!$P$165+'PTRM input'!$P$131)*$P$7)/A23taxstdlife))</f>
        <v>0</v>
      </c>
      <c r="V777" s="590">
        <f>IF(A23taxstdlife="n/a","n/a",IF(V$3&gt;(A23taxstdlife+$E777),(('PTRM input'!$P$165+'PTRM input'!$P$131)*$P$7)-SUM($P777:U777),(('PTRM input'!$P$165+'PTRM input'!$P$131)*$P$7)/A23taxstdlife))</f>
        <v>0</v>
      </c>
      <c r="W777" s="590">
        <f>IF(A23taxstdlife="n/a","n/a",IF(W$3&gt;(A23taxstdlife+$E777),(('PTRM input'!$P$165+'PTRM input'!$P$131)*$P$7)-SUM($P777:V777),(('PTRM input'!$P$165+'PTRM input'!$P$131)*$P$7)/A23taxstdlife))</f>
        <v>0</v>
      </c>
      <c r="X777" s="590">
        <f>IF(A23taxstdlife="n/a","n/a",IF(X$3&gt;(A23taxstdlife+$E777),(('PTRM input'!$P$165+'PTRM input'!$P$131)*$P$7)-SUM($P777:W777),(('PTRM input'!$P$165+'PTRM input'!$P$131)*$P$7)/A23taxstdlife))</f>
        <v>0</v>
      </c>
      <c r="Y777" s="590">
        <f>IF(A23taxstdlife="n/a","n/a",IF(Y$3&gt;(A23taxstdlife+$E777),(('PTRM input'!$P$165+'PTRM input'!$P$131)*$P$7)-SUM($P777:X777),(('PTRM input'!$P$165+'PTRM input'!$P$131)*$P$7)/A23taxstdlife))</f>
        <v>0</v>
      </c>
      <c r="Z777" s="590">
        <f>IF(A23taxstdlife="n/a","n/a",IF(Z$3&gt;(A23taxstdlife+$E777),(('PTRM input'!$P$165+'PTRM input'!$P$131)*$P$7)-SUM($P777:Y777),(('PTRM input'!$P$165+'PTRM input'!$P$131)*$P$7)/A23taxstdlife))</f>
        <v>0</v>
      </c>
      <c r="AA777" s="590">
        <f>IF(A23taxstdlife="n/a","n/a",IF(AA$3&gt;(A23taxstdlife+$E777),(('PTRM input'!$P$165+'PTRM input'!$P$131)*$P$7)-SUM($P777:Z777),(('PTRM input'!$P$165+'PTRM input'!$P$131)*$P$7)/A23taxstdlife))</f>
        <v>0</v>
      </c>
      <c r="AB777" s="590">
        <f>IF(A23taxstdlife="n/a","n/a",IF(AB$3&gt;(A23taxstdlife+$E777),(('PTRM input'!$P$165+'PTRM input'!$P$131)*$P$7)-SUM($P777:AA777),(('PTRM input'!$P$165+'PTRM input'!$P$131)*$P$7)/A23taxstdlife))</f>
        <v>0</v>
      </c>
      <c r="AC777" s="590">
        <f>IF(A23taxstdlife="n/a","n/a",IF(AC$3&gt;(A23taxstdlife+$E777),(('PTRM input'!$P$165+'PTRM input'!$P$131)*$P$7)-SUM($P777:AB777),(('PTRM input'!$P$165+'PTRM input'!$P$131)*$P$7)/A23taxstdlife))</f>
        <v>0</v>
      </c>
      <c r="AD777" s="590">
        <f>IF(A23taxstdlife="n/a","n/a",IF(AD$3&gt;(A23taxstdlife+$E777),(('PTRM input'!$P$165+'PTRM input'!$P$131)*$P$7)-SUM($P777:AC777),(('PTRM input'!$P$165+'PTRM input'!$P$131)*$P$7)/A23taxstdlife))</f>
        <v>0</v>
      </c>
      <c r="AE777" s="590">
        <f>IF(A23taxstdlife="n/a","n/a",IF(AE$3&gt;(A23taxstdlife+$E777),(('PTRM input'!$P$165+'PTRM input'!$P$131)*$P$7)-SUM($P777:AD777),(('PTRM input'!$P$165+'PTRM input'!$P$131)*$P$7)/A23taxstdlife))</f>
        <v>0</v>
      </c>
      <c r="AF777" s="590">
        <f>IF(A23taxstdlife="n/a","n/a",IF(AF$3&gt;(A23taxstdlife+$E777),(('PTRM input'!$P$165+'PTRM input'!$P$131)*$P$7)-SUM($P777:AE777),(('PTRM input'!$P$165+'PTRM input'!$P$131)*$P$7)/A23taxstdlife))</f>
        <v>0</v>
      </c>
      <c r="AG777" s="590">
        <f>IF(A23taxstdlife="n/a","n/a",IF(AG$3&gt;(A23taxstdlife+$E777),(('PTRM input'!$P$165+'PTRM input'!$P$131)*$P$7)-SUM($P777:AF777),(('PTRM input'!$P$165+'PTRM input'!$P$131)*$P$7)/A23taxstdlife))</f>
        <v>0</v>
      </c>
      <c r="AH777" s="590">
        <f>IF(A23taxstdlife="n/a","n/a",IF(AH$3&gt;(A23taxstdlife+$E777),(('PTRM input'!$P$165+'PTRM input'!$P$131)*$P$7)-SUM($P777:AG777),(('PTRM input'!$P$165+'PTRM input'!$P$131)*$P$7)/A23taxstdlife))</f>
        <v>0</v>
      </c>
      <c r="AI777" s="590">
        <f>IF(A23taxstdlife="n/a","n/a",IF(AI$3&gt;(A23taxstdlife+$E777),(('PTRM input'!$P$165+'PTRM input'!$P$131)*$P$7)-SUM($P777:AH777),(('PTRM input'!$P$165+'PTRM input'!$P$131)*$P$7)/A23taxstdlife))</f>
        <v>0</v>
      </c>
      <c r="AJ777" s="590">
        <f>IF(A23taxstdlife="n/a","n/a",IF(AJ$3&gt;(A23taxstdlife+$E777),(('PTRM input'!$P$165+'PTRM input'!$P$131)*$P$7)-SUM($P777:AI777),(('PTRM input'!$P$165+'PTRM input'!$P$131)*$P$7)/A23taxstdlife))</f>
        <v>0</v>
      </c>
      <c r="AK777" s="590">
        <f>IF(A23taxstdlife="n/a","n/a",IF(AK$3&gt;(A23taxstdlife+$E777),(('PTRM input'!$P$165+'PTRM input'!$P$131)*$P$7)-SUM($P777:AJ777),(('PTRM input'!$P$165+'PTRM input'!$P$131)*$P$7)/A23taxstdlife))</f>
        <v>0</v>
      </c>
      <c r="AL777" s="590">
        <f>IF(A23taxstdlife="n/a","n/a",IF(AL$3&gt;(A23taxstdlife+$E777),(('PTRM input'!$P$165+'PTRM input'!$P$131)*$P$7)-SUM($P777:AK777),(('PTRM input'!$P$165+'PTRM input'!$P$131)*$P$7)/A23taxstdlife))</f>
        <v>0</v>
      </c>
      <c r="AM777" s="590">
        <f>IF(A23taxstdlife="n/a","n/a",IF(AM$3&gt;(A23taxstdlife+$E777),(('PTRM input'!$P$165+'PTRM input'!$P$131)*$P$7)-SUM($P777:AL777),(('PTRM input'!$P$165+'PTRM input'!$P$131)*$P$7)/A23taxstdlife))</f>
        <v>0</v>
      </c>
      <c r="AN777" s="590">
        <f>IF(A23taxstdlife="n/a","n/a",IF(AN$3&gt;(A23taxstdlife+$E777),(('PTRM input'!$P$165+'PTRM input'!$P$131)*$P$7)-SUM($P777:AM777),(('PTRM input'!$P$165+'PTRM input'!$P$131)*$P$7)/A23taxstdlife))</f>
        <v>0</v>
      </c>
      <c r="AO777" s="590">
        <f>IF(A23taxstdlife="n/a","n/a",IF(AO$3&gt;(A23taxstdlife+$E777),(('PTRM input'!$P$165+'PTRM input'!$P$131)*$P$7)-SUM($P777:AN777),(('PTRM input'!$P$165+'PTRM input'!$P$131)*$P$7)/A23taxstdlife))</f>
        <v>0</v>
      </c>
      <c r="AP777" s="590">
        <f>IF(A23taxstdlife="n/a","n/a",IF(AP$3&gt;(A23taxstdlife+$E777),(('PTRM input'!$P$165+'PTRM input'!$P$131)*$P$7)-SUM($P777:AO777),(('PTRM input'!$P$165+'PTRM input'!$P$131)*$P$7)/A23taxstdlife))</f>
        <v>0</v>
      </c>
      <c r="AQ777" s="590">
        <f>IF(A23taxstdlife="n/a","n/a",IF(AQ$3&gt;(A23taxstdlife+$E777),(('PTRM input'!$P$165+'PTRM input'!$P$131)*$P$7)-SUM($P777:AP777),(('PTRM input'!$P$165+'PTRM input'!$P$131)*$P$7)/A23taxstdlife))</f>
        <v>0</v>
      </c>
      <c r="AR777" s="590">
        <f>IF(A23taxstdlife="n/a","n/a",IF(AR$3&gt;(A23taxstdlife+$E777),(('PTRM input'!$P$165+'PTRM input'!$P$131)*$P$7)-SUM($P777:AQ777),(('PTRM input'!$P$165+'PTRM input'!$P$131)*$P$7)/A23taxstdlife))</f>
        <v>0</v>
      </c>
      <c r="AS777" s="590">
        <f>IF(A23taxstdlife="n/a","n/a",IF(AS$3&gt;(A23taxstdlife+$E777),(('PTRM input'!$P$165+'PTRM input'!$P$131)*$P$7)-SUM($P777:AR777),(('PTRM input'!$P$165+'PTRM input'!$P$131)*$P$7)/A23taxstdlife))</f>
        <v>0</v>
      </c>
      <c r="AT777" s="590">
        <f>IF(A23taxstdlife="n/a","n/a",IF(AT$3&gt;(A23taxstdlife+$E777),(('PTRM input'!$P$165+'PTRM input'!$P$131)*$P$7)-SUM($P777:AS777),(('PTRM input'!$P$165+'PTRM input'!$P$131)*$P$7)/A23taxstdlife))</f>
        <v>0</v>
      </c>
      <c r="AU777" s="590">
        <f>IF(A23taxstdlife="n/a","n/a",IF(AU$3&gt;(A23taxstdlife+$E777),(('PTRM input'!$P$165+'PTRM input'!$P$131)*$P$7)-SUM($P777:AT777),(('PTRM input'!$P$165+'PTRM input'!$P$131)*$P$7)/A23taxstdlife))</f>
        <v>0</v>
      </c>
      <c r="AV777" s="590">
        <f>IF(A23taxstdlife="n/a","n/a",IF(AV$3&gt;(A23taxstdlife+$E777),(('PTRM input'!$P$165+'PTRM input'!$P$131)*$P$7)-SUM($P777:AU777),(('PTRM input'!$P$165+'PTRM input'!$P$131)*$P$7)/A23taxstdlife))</f>
        <v>0</v>
      </c>
      <c r="AW777" s="590">
        <f>IF(A23taxstdlife="n/a","n/a",IF(AW$3&gt;(A23taxstdlife+$E777),(('PTRM input'!$P$165+'PTRM input'!$P$131)*$P$7)-SUM($P777:AV777),(('PTRM input'!$P$165+'PTRM input'!$P$131)*$P$7)/A23taxstdlife))</f>
        <v>0</v>
      </c>
      <c r="AX777" s="590">
        <f>IF(A23taxstdlife="n/a","n/a",IF(AX$3&gt;(A23taxstdlife+$E777),(('PTRM input'!$P$165+'PTRM input'!$P$131)*$P$7)-SUM($P777:AW777),(('PTRM input'!$P$165+'PTRM input'!$P$131)*$P$7)/A23taxstdlife))</f>
        <v>0</v>
      </c>
      <c r="AY777" s="590">
        <f>IF(A23taxstdlife="n/a","n/a",IF(AY$3&gt;(A23taxstdlife+$E777),(('PTRM input'!$P$165+'PTRM input'!$P$131)*$P$7)-SUM($P777:AX777),(('PTRM input'!$P$165+'PTRM input'!$P$131)*$P$7)/A23taxstdlife))</f>
        <v>0</v>
      </c>
      <c r="AZ777" s="590">
        <f>IF(A23taxstdlife="n/a","n/a",IF(AZ$3&gt;(A23taxstdlife+$E777),(('PTRM input'!$P$165+'PTRM input'!$P$131)*$P$7)-SUM($P777:AY777),(('PTRM input'!$P$165+'PTRM input'!$P$131)*$P$7)/A23taxstdlife))</f>
        <v>0</v>
      </c>
      <c r="BA777" s="590">
        <f>IF(A23taxstdlife="n/a","n/a",IF(BA$3&gt;(A23taxstdlife+$E777),(('PTRM input'!$P$165+'PTRM input'!$P$131)*$P$7)-SUM($P777:AZ777),(('PTRM input'!$P$165+'PTRM input'!$P$131)*$P$7)/A23taxstdlife))</f>
        <v>0</v>
      </c>
      <c r="BB777" s="590">
        <f>IF(A23taxstdlife="n/a","n/a",IF(BB$3&gt;(A23taxstdlife+$E777),(('PTRM input'!$P$165+'PTRM input'!$P$131)*$P$7)-SUM($P777:BA777),(('PTRM input'!$P$165+'PTRM input'!$P$131)*$P$7)/A23taxstdlife))</f>
        <v>0</v>
      </c>
      <c r="BC777" s="590">
        <f>IF(A23taxstdlife="n/a","n/a",IF(BC$3&gt;(A23taxstdlife+$E777),(('PTRM input'!$P$165+'PTRM input'!$P$131)*$P$7)-SUM($P777:BB777),(('PTRM input'!$P$165+'PTRM input'!$P$131)*$P$7)/A23taxstdlife))</f>
        <v>0</v>
      </c>
      <c r="BD777" s="590">
        <f>IF(A23taxstdlife="n/a","n/a",IF(BD$3&gt;(A23taxstdlife+$E777),(('PTRM input'!$P$165+'PTRM input'!$P$131)*$P$7)-SUM($P777:BC777),(('PTRM input'!$P$165+'PTRM input'!$P$131)*$P$7)/A23taxstdlife))</f>
        <v>0</v>
      </c>
      <c r="BE777" s="590">
        <f>IF(A23taxstdlife="n/a","n/a",IF(BE$3&gt;(A23taxstdlife+$E777),(('PTRM input'!$P$165+'PTRM input'!$P$131)*$P$7)-SUM($P777:BD777),(('PTRM input'!$P$165+'PTRM input'!$P$131)*$P$7)/A23taxstdlife))</f>
        <v>0</v>
      </c>
      <c r="BF777" s="590">
        <f>IF(A23taxstdlife="n/a","n/a",IF(BF$3&gt;(A23taxstdlife+$E777),(('PTRM input'!$P$165+'PTRM input'!$P$131)*$P$7)-SUM($P777:BE777),(('PTRM input'!$P$165+'PTRM input'!$P$131)*$P$7)/A23taxstdlife))</f>
        <v>0</v>
      </c>
      <c r="BG777" s="590">
        <f>IF(A23taxstdlife="n/a","n/a",IF(BG$3&gt;(A23taxstdlife+$E777),(('PTRM input'!$P$165+'PTRM input'!$P$131)*$P$7)-SUM($P777:BF777),(('PTRM input'!$P$165+'PTRM input'!$P$131)*$P$7)/A23taxstdlife))</f>
        <v>0</v>
      </c>
      <c r="BH777" s="590">
        <f>IF(A23taxstdlife="n/a","n/a",IF(BH$3&gt;(A23taxstdlife+$E777),(('PTRM input'!$P$165+'PTRM input'!$P$131)*$P$7)-SUM($P777:BG777),(('PTRM input'!$P$165+'PTRM input'!$P$131)*$P$7)/A23taxstdlife))</f>
        <v>0</v>
      </c>
      <c r="BI777" s="590">
        <f>IF(A23taxstdlife="n/a","n/a",IF(BI$3&gt;(A23taxstdlife+$E777),(('PTRM input'!$P$165+'PTRM input'!$P$131)*$P$7)-SUM($P777:BH777),(('PTRM input'!$P$165+'PTRM input'!$P$131)*$P$7)/A23taxstdlife))</f>
        <v>0</v>
      </c>
      <c r="BJ777" s="240"/>
      <c r="BK777" s="240"/>
      <c r="BL777" s="240"/>
      <c r="BM777" s="240"/>
    </row>
    <row r="778" spans="1:65" s="4" customFormat="1" hidden="1" outlineLevel="1">
      <c r="A778" s="240"/>
      <c r="B778" s="240"/>
      <c r="C778" s="595">
        <f>Asset23</f>
        <v>0</v>
      </c>
      <c r="D778" s="240"/>
      <c r="E778" s="240"/>
      <c r="F778" s="596"/>
      <c r="G778" s="591">
        <f t="shared" ref="G778:AL778" si="150">SUM(G766:G777)</f>
        <v>0</v>
      </c>
      <c r="H778" s="591">
        <f t="shared" si="150"/>
        <v>0</v>
      </c>
      <c r="I778" s="591">
        <f t="shared" si="150"/>
        <v>0</v>
      </c>
      <c r="J778" s="591">
        <f t="shared" si="150"/>
        <v>0</v>
      </c>
      <c r="K778" s="591">
        <f t="shared" si="150"/>
        <v>0</v>
      </c>
      <c r="L778" s="591">
        <f t="shared" si="150"/>
        <v>0</v>
      </c>
      <c r="M778" s="591">
        <f t="shared" si="150"/>
        <v>0</v>
      </c>
      <c r="N778" s="591">
        <f t="shared" si="150"/>
        <v>0</v>
      </c>
      <c r="O778" s="591">
        <f t="shared" si="150"/>
        <v>0</v>
      </c>
      <c r="P778" s="591">
        <f t="shared" si="150"/>
        <v>0</v>
      </c>
      <c r="Q778" s="591">
        <f t="shared" si="150"/>
        <v>0</v>
      </c>
      <c r="R778" s="591">
        <f t="shared" si="150"/>
        <v>0</v>
      </c>
      <c r="S778" s="591">
        <f t="shared" si="150"/>
        <v>0</v>
      </c>
      <c r="T778" s="591">
        <f t="shared" si="150"/>
        <v>0</v>
      </c>
      <c r="U778" s="591">
        <f t="shared" si="150"/>
        <v>0</v>
      </c>
      <c r="V778" s="591">
        <f t="shared" si="150"/>
        <v>0</v>
      </c>
      <c r="W778" s="591">
        <f t="shared" si="150"/>
        <v>0</v>
      </c>
      <c r="X778" s="591">
        <f t="shared" si="150"/>
        <v>0</v>
      </c>
      <c r="Y778" s="591">
        <f t="shared" si="150"/>
        <v>0</v>
      </c>
      <c r="Z778" s="591">
        <f t="shared" si="150"/>
        <v>0</v>
      </c>
      <c r="AA778" s="591">
        <f t="shared" si="150"/>
        <v>0</v>
      </c>
      <c r="AB778" s="591">
        <f t="shared" si="150"/>
        <v>0</v>
      </c>
      <c r="AC778" s="591">
        <f t="shared" si="150"/>
        <v>0</v>
      </c>
      <c r="AD778" s="591">
        <f t="shared" si="150"/>
        <v>0</v>
      </c>
      <c r="AE778" s="591">
        <f t="shared" si="150"/>
        <v>0</v>
      </c>
      <c r="AF778" s="591">
        <f t="shared" si="150"/>
        <v>0</v>
      </c>
      <c r="AG778" s="591">
        <f t="shared" si="150"/>
        <v>0</v>
      </c>
      <c r="AH778" s="591">
        <f t="shared" si="150"/>
        <v>0</v>
      </c>
      <c r="AI778" s="591">
        <f t="shared" si="150"/>
        <v>0</v>
      </c>
      <c r="AJ778" s="591">
        <f t="shared" si="150"/>
        <v>0</v>
      </c>
      <c r="AK778" s="591">
        <f t="shared" si="150"/>
        <v>0</v>
      </c>
      <c r="AL778" s="591">
        <f t="shared" si="150"/>
        <v>0</v>
      </c>
      <c r="AM778" s="591">
        <f t="shared" ref="AM778:BI778" si="151">SUM(AM766:AM777)</f>
        <v>0</v>
      </c>
      <c r="AN778" s="591">
        <f t="shared" si="151"/>
        <v>0</v>
      </c>
      <c r="AO778" s="591">
        <f t="shared" si="151"/>
        <v>0</v>
      </c>
      <c r="AP778" s="591">
        <f t="shared" si="151"/>
        <v>0</v>
      </c>
      <c r="AQ778" s="591">
        <f t="shared" si="151"/>
        <v>0</v>
      </c>
      <c r="AR778" s="591">
        <f t="shared" si="151"/>
        <v>0</v>
      </c>
      <c r="AS778" s="591">
        <f t="shared" si="151"/>
        <v>0</v>
      </c>
      <c r="AT778" s="591">
        <f t="shared" si="151"/>
        <v>0</v>
      </c>
      <c r="AU778" s="591">
        <f t="shared" si="151"/>
        <v>0</v>
      </c>
      <c r="AV778" s="591">
        <f t="shared" si="151"/>
        <v>0</v>
      </c>
      <c r="AW778" s="591">
        <f t="shared" si="151"/>
        <v>0</v>
      </c>
      <c r="AX778" s="591">
        <f t="shared" si="151"/>
        <v>0</v>
      </c>
      <c r="AY778" s="591">
        <f t="shared" si="151"/>
        <v>0</v>
      </c>
      <c r="AZ778" s="591">
        <f t="shared" si="151"/>
        <v>0</v>
      </c>
      <c r="BA778" s="591">
        <f t="shared" si="151"/>
        <v>0</v>
      </c>
      <c r="BB778" s="591">
        <f t="shared" si="151"/>
        <v>0</v>
      </c>
      <c r="BC778" s="591">
        <f t="shared" si="151"/>
        <v>0</v>
      </c>
      <c r="BD778" s="591">
        <f t="shared" si="151"/>
        <v>0</v>
      </c>
      <c r="BE778" s="591">
        <f t="shared" si="151"/>
        <v>0</v>
      </c>
      <c r="BF778" s="591">
        <f t="shared" si="151"/>
        <v>0</v>
      </c>
      <c r="BG778" s="591">
        <f t="shared" si="151"/>
        <v>0</v>
      </c>
      <c r="BH778" s="591">
        <f t="shared" si="151"/>
        <v>0</v>
      </c>
      <c r="BI778" s="591">
        <f t="shared" si="151"/>
        <v>0</v>
      </c>
      <c r="BJ778" s="240"/>
      <c r="BK778" s="240"/>
      <c r="BL778" s="240"/>
      <c r="BM778" s="240"/>
    </row>
    <row r="779" spans="1:65" s="4" customFormat="1" hidden="1" outlineLevel="2">
      <c r="A779" s="240"/>
      <c r="B779" s="597">
        <f>C791</f>
        <v>0</v>
      </c>
      <c r="C779" s="488"/>
      <c r="D779" s="598" t="s">
        <v>58</v>
      </c>
      <c r="E779" s="488"/>
      <c r="F779" s="599"/>
      <c r="G779" s="592">
        <f>IF(G$3&gt;A24taxremlife,A24taxvalue-SUM($F779:F779),IF(A24taxremlife="N/A","n/a",A24taxvalue/A24taxremlife))</f>
        <v>0</v>
      </c>
      <c r="H779" s="592">
        <f>IF(H$3&gt;A24taxremlife,A24taxvalue-SUM($F779:G779),IF(A24taxremlife="N/A","n/a",A24taxvalue/A24taxremlife))</f>
        <v>0</v>
      </c>
      <c r="I779" s="592">
        <f>IF(I$3&gt;A24taxremlife,A24taxvalue-SUM($F779:H779),IF(A24taxremlife="N/A","n/a",A24taxvalue/A24taxremlife))</f>
        <v>0</v>
      </c>
      <c r="J779" s="592">
        <f>IF(J$3&gt;A24taxremlife,A24taxvalue-SUM($F779:I779),IF(A24taxremlife="N/A","n/a",A24taxvalue/A24taxremlife))</f>
        <v>0</v>
      </c>
      <c r="K779" s="592">
        <f>IF(K$3&gt;A24taxremlife,A24taxvalue-SUM($F779:J779),IF(A24taxremlife="N/A","n/a",A24taxvalue/A24taxremlife))</f>
        <v>0</v>
      </c>
      <c r="L779" s="592">
        <f>IF(L$3&gt;A24taxremlife,A24taxvalue-SUM($F779:K779),IF(A24taxremlife="N/A","n/a",A24taxvalue/A24taxremlife))</f>
        <v>0</v>
      </c>
      <c r="M779" s="592">
        <f>IF(M$3&gt;A24taxremlife,A24taxvalue-SUM($F779:L779),IF(A24taxremlife="N/A","n/a",A24taxvalue/A24taxremlife))</f>
        <v>0</v>
      </c>
      <c r="N779" s="592">
        <f>IF(N$3&gt;A24taxremlife,A24taxvalue-SUM($F779:M779),IF(A24taxremlife="N/A","n/a",A24taxvalue/A24taxremlife))</f>
        <v>0</v>
      </c>
      <c r="O779" s="592">
        <f>IF(O$3&gt;A24taxremlife,A24taxvalue-SUM($F779:N779),IF(A24taxremlife="N/A","n/a",A24taxvalue/A24taxremlife))</f>
        <v>0</v>
      </c>
      <c r="P779" s="592">
        <f>IF(P$3&gt;A24taxremlife,A24taxvalue-SUM($F779:O779),IF(A24taxremlife="N/A","n/a",A24taxvalue/A24taxremlife))</f>
        <v>0</v>
      </c>
      <c r="Q779" s="592">
        <f>IF(Q$3&gt;A24taxremlife,A24taxvalue-SUM($F779:P779),IF(A24taxremlife="N/A","n/a",A24taxvalue/A24taxremlife))</f>
        <v>0</v>
      </c>
      <c r="R779" s="592">
        <f>IF(R$3&gt;A24taxremlife,A24taxvalue-SUM($F779:Q779),IF(A24taxremlife="N/A","n/a",A24taxvalue/A24taxremlife))</f>
        <v>0</v>
      </c>
      <c r="S779" s="592">
        <f>IF(S$3&gt;A24taxremlife,A24taxvalue-SUM($F779:R779),IF(A24taxremlife="N/A","n/a",A24taxvalue/A24taxremlife))</f>
        <v>0</v>
      </c>
      <c r="T779" s="592">
        <f>IF(T$3&gt;A24taxremlife,A24taxvalue-SUM($F779:S779),IF(A24taxremlife="N/A","n/a",A24taxvalue/A24taxremlife))</f>
        <v>0</v>
      </c>
      <c r="U779" s="592">
        <f>IF(U$3&gt;A24taxremlife,A24taxvalue-SUM($F779:T779),IF(A24taxremlife="N/A","n/a",A24taxvalue/A24taxremlife))</f>
        <v>0</v>
      </c>
      <c r="V779" s="592">
        <f>IF(V$3&gt;A24taxremlife,A24taxvalue-SUM($F779:U779),IF(A24taxremlife="N/A","n/a",A24taxvalue/A24taxremlife))</f>
        <v>0</v>
      </c>
      <c r="W779" s="592">
        <f>IF(W$3&gt;A24taxremlife,A24taxvalue-SUM($F779:V779),IF(A24taxremlife="N/A","n/a",A24taxvalue/A24taxremlife))</f>
        <v>0</v>
      </c>
      <c r="X779" s="592">
        <f>IF(X$3&gt;A24taxremlife,A24taxvalue-SUM($F779:W779),IF(A24taxremlife="N/A","n/a",A24taxvalue/A24taxremlife))</f>
        <v>0</v>
      </c>
      <c r="Y779" s="592">
        <f>IF(Y$3&gt;A24taxremlife,A24taxvalue-SUM($F779:X779),IF(A24taxremlife="N/A","n/a",A24taxvalue/A24taxremlife))</f>
        <v>0</v>
      </c>
      <c r="Z779" s="592">
        <f>IF(Z$3&gt;A24taxremlife,A24taxvalue-SUM($F779:Y779),IF(A24taxremlife="N/A","n/a",A24taxvalue/A24taxremlife))</f>
        <v>0</v>
      </c>
      <c r="AA779" s="592">
        <f>IF(AA$3&gt;A24taxremlife,A24taxvalue-SUM($F779:Z779),IF(A24taxremlife="N/A","n/a",A24taxvalue/A24taxremlife))</f>
        <v>0</v>
      </c>
      <c r="AB779" s="592">
        <f>IF(AB$3&gt;A24taxremlife,A24taxvalue-SUM($F779:AA779),IF(A24taxremlife="N/A","n/a",A24taxvalue/A24taxremlife))</f>
        <v>0</v>
      </c>
      <c r="AC779" s="592">
        <f>IF(AC$3&gt;A24taxremlife,A24taxvalue-SUM($F779:AB779),IF(A24taxremlife="N/A","n/a",A24taxvalue/A24taxremlife))</f>
        <v>0</v>
      </c>
      <c r="AD779" s="592">
        <f>IF(AD$3&gt;A24taxremlife,A24taxvalue-SUM($F779:AC779),IF(A24taxremlife="N/A","n/a",A24taxvalue/A24taxremlife))</f>
        <v>0</v>
      </c>
      <c r="AE779" s="592">
        <f>IF(AE$3&gt;A24taxremlife,A24taxvalue-SUM($F779:AD779),IF(A24taxremlife="N/A","n/a",A24taxvalue/A24taxremlife))</f>
        <v>0</v>
      </c>
      <c r="AF779" s="592">
        <f>IF(AF$3&gt;A24taxremlife,A24taxvalue-SUM($F779:AE779),IF(A24taxremlife="N/A","n/a",A24taxvalue/A24taxremlife))</f>
        <v>0</v>
      </c>
      <c r="AG779" s="592">
        <f>IF(AG$3&gt;A24taxremlife,A24taxvalue-SUM($F779:AF779),IF(A24taxremlife="N/A","n/a",A24taxvalue/A24taxremlife))</f>
        <v>0</v>
      </c>
      <c r="AH779" s="592">
        <f>IF(AH$3&gt;A24taxremlife,A24taxvalue-SUM($F779:AG779),IF(A24taxremlife="N/A","n/a",A24taxvalue/A24taxremlife))</f>
        <v>0</v>
      </c>
      <c r="AI779" s="592">
        <f>IF(AI$3&gt;A24taxremlife,A24taxvalue-SUM($F779:AH779),IF(A24taxremlife="N/A","n/a",A24taxvalue/A24taxremlife))</f>
        <v>0</v>
      </c>
      <c r="AJ779" s="592">
        <f>IF(AJ$3&gt;A24taxremlife,A24taxvalue-SUM($F779:AI779),IF(A24taxremlife="N/A","n/a",A24taxvalue/A24taxremlife))</f>
        <v>0</v>
      </c>
      <c r="AK779" s="592">
        <f>IF(AK$3&gt;A24taxremlife,A24taxvalue-SUM($F779:AJ779),IF(A24taxremlife="N/A","n/a",A24taxvalue/A24taxremlife))</f>
        <v>0</v>
      </c>
      <c r="AL779" s="592">
        <f>IF(AL$3&gt;A24taxremlife,A24taxvalue-SUM($F779:AK779),IF(A24taxremlife="N/A","n/a",A24taxvalue/A24taxremlife))</f>
        <v>0</v>
      </c>
      <c r="AM779" s="592">
        <f>IF(AM$3&gt;A24taxremlife,A24taxvalue-SUM($F779:AL779),IF(A24taxremlife="N/A","n/a",A24taxvalue/A24taxremlife))</f>
        <v>0</v>
      </c>
      <c r="AN779" s="592">
        <f>IF(AN$3&gt;A24taxremlife,A24taxvalue-SUM($F779:AM779),IF(A24taxremlife="N/A","n/a",A24taxvalue/A24taxremlife))</f>
        <v>0</v>
      </c>
      <c r="AO779" s="592">
        <f>IF(AO$3&gt;A24taxremlife,A24taxvalue-SUM($F779:AN779),IF(A24taxremlife="N/A","n/a",A24taxvalue/A24taxremlife))</f>
        <v>0</v>
      </c>
      <c r="AP779" s="592">
        <f>IF(AP$3&gt;A24taxremlife,A24taxvalue-SUM($F779:AO779),IF(A24taxremlife="N/A","n/a",A24taxvalue/A24taxremlife))</f>
        <v>0</v>
      </c>
      <c r="AQ779" s="592">
        <f>IF(AQ$3&gt;A24taxremlife,A24taxvalue-SUM($F779:AP779),IF(A24taxremlife="N/A","n/a",A24taxvalue/A24taxremlife))</f>
        <v>0</v>
      </c>
      <c r="AR779" s="592">
        <f>IF(AR$3&gt;A24taxremlife,A24taxvalue-SUM($F779:AQ779),IF(A24taxremlife="N/A","n/a",A24taxvalue/A24taxremlife))</f>
        <v>0</v>
      </c>
      <c r="AS779" s="592">
        <f>IF(AS$3&gt;A24taxremlife,A24taxvalue-SUM($F779:AR779),IF(A24taxremlife="N/A","n/a",A24taxvalue/A24taxremlife))</f>
        <v>0</v>
      </c>
      <c r="AT779" s="592">
        <f>IF(AT$3&gt;A24taxremlife,A24taxvalue-SUM($F779:AS779),IF(A24taxremlife="N/A","n/a",A24taxvalue/A24taxremlife))</f>
        <v>0</v>
      </c>
      <c r="AU779" s="592">
        <f>IF(AU$3&gt;A24taxremlife,A24taxvalue-SUM($F779:AT779),IF(A24taxremlife="N/A","n/a",A24taxvalue/A24taxremlife))</f>
        <v>0</v>
      </c>
      <c r="AV779" s="592">
        <f>IF(AV$3&gt;A24taxremlife,A24taxvalue-SUM($F779:AU779),IF(A24taxremlife="N/A","n/a",A24taxvalue/A24taxremlife))</f>
        <v>0</v>
      </c>
      <c r="AW779" s="592">
        <f>IF(AW$3&gt;A24taxremlife,A24taxvalue-SUM($F779:AV779),IF(A24taxremlife="N/A","n/a",A24taxvalue/A24taxremlife))</f>
        <v>0</v>
      </c>
      <c r="AX779" s="592">
        <f>IF(AX$3&gt;A24taxremlife,A24taxvalue-SUM($F779:AW779),IF(A24taxremlife="N/A","n/a",A24taxvalue/A24taxremlife))</f>
        <v>0</v>
      </c>
      <c r="AY779" s="592">
        <f>IF(AY$3&gt;A24taxremlife,A24taxvalue-SUM($F779:AX779),IF(A24taxremlife="N/A","n/a",A24taxvalue/A24taxremlife))</f>
        <v>0</v>
      </c>
      <c r="AZ779" s="592">
        <f>IF(AZ$3&gt;A24taxremlife,A24taxvalue-SUM($F779:AY779),IF(A24taxremlife="N/A","n/a",A24taxvalue/A24taxremlife))</f>
        <v>0</v>
      </c>
      <c r="BA779" s="592">
        <f>IF(BA$3&gt;A24taxremlife,A24taxvalue-SUM($F779:AZ779),IF(A24taxremlife="N/A","n/a",A24taxvalue/A24taxremlife))</f>
        <v>0</v>
      </c>
      <c r="BB779" s="592">
        <f>IF(BB$3&gt;A24taxremlife,A24taxvalue-SUM($F779:BA779),IF(A24taxremlife="N/A","n/a",A24taxvalue/A24taxremlife))</f>
        <v>0</v>
      </c>
      <c r="BC779" s="592">
        <f>IF(BC$3&gt;A24taxremlife,A24taxvalue-SUM($F779:BB779),IF(A24taxremlife="N/A","n/a",A24taxvalue/A24taxremlife))</f>
        <v>0</v>
      </c>
      <c r="BD779" s="592">
        <f>IF(BD$3&gt;A24taxremlife,A24taxvalue-SUM($F779:BC779),IF(A24taxremlife="N/A","n/a",A24taxvalue/A24taxremlife))</f>
        <v>0</v>
      </c>
      <c r="BE779" s="592">
        <f>IF(BE$3&gt;A24taxremlife,A24taxvalue-SUM($F779:BD779),IF(A24taxremlife="N/A","n/a",A24taxvalue/A24taxremlife))</f>
        <v>0</v>
      </c>
      <c r="BF779" s="592">
        <f>IF(BF$3&gt;A24taxremlife,A24taxvalue-SUM($F779:BE779),IF(A24taxremlife="N/A","n/a",A24taxvalue/A24taxremlife))</f>
        <v>0</v>
      </c>
      <c r="BG779" s="592">
        <f>IF(BG$3&gt;A24taxremlife,A24taxvalue-SUM($F779:BF779),IF(A24taxremlife="N/A","n/a",A24taxvalue/A24taxremlife))</f>
        <v>0</v>
      </c>
      <c r="BH779" s="592">
        <f>IF(BH$3&gt;A24taxremlife,A24taxvalue-SUM($F779:BG779),IF(A24taxremlife="N/A","n/a",A24taxvalue/A24taxremlife))</f>
        <v>0</v>
      </c>
      <c r="BI779" s="592">
        <f>IF(BI$3&gt;A24taxremlife,A24taxvalue-SUM($F779:BH779),IF(A24taxremlife="N/A","n/a",A24taxvalue/A24taxremlife))</f>
        <v>0</v>
      </c>
      <c r="BJ779" s="240"/>
      <c r="BK779" s="240"/>
      <c r="BL779" s="240"/>
      <c r="BM779" s="240"/>
    </row>
    <row r="780" spans="1:65" s="4" customFormat="1" ht="12.75" hidden="1" customHeight="1" outlineLevel="2">
      <c r="A780" s="240"/>
      <c r="B780" s="240"/>
      <c r="C780" s="595"/>
      <c r="D780" s="1618" t="s">
        <v>357</v>
      </c>
      <c r="E780" s="169">
        <v>0</v>
      </c>
      <c r="F780" s="35"/>
      <c r="G780" s="107"/>
      <c r="H780" s="107"/>
      <c r="I780" s="107"/>
      <c r="J780" s="107"/>
      <c r="K780" s="107"/>
      <c r="L780" s="107"/>
      <c r="M780" s="107"/>
      <c r="N780" s="107"/>
      <c r="O780" s="107"/>
      <c r="P780" s="107"/>
      <c r="Q780" s="590"/>
      <c r="R780" s="590"/>
      <c r="S780" s="590"/>
      <c r="T780" s="590"/>
      <c r="U780" s="590"/>
      <c r="V780" s="590"/>
      <c r="W780" s="590"/>
      <c r="X780" s="590"/>
      <c r="Y780" s="590"/>
      <c r="Z780" s="590"/>
      <c r="AA780" s="590"/>
      <c r="AB780" s="590"/>
      <c r="AC780" s="590"/>
      <c r="AD780" s="590"/>
      <c r="AE780" s="590"/>
      <c r="AF780" s="590"/>
      <c r="AG780" s="590"/>
      <c r="AH780" s="590"/>
      <c r="AI780" s="590"/>
      <c r="AJ780" s="590"/>
      <c r="AK780" s="590"/>
      <c r="AL780" s="590"/>
      <c r="AM780" s="590"/>
      <c r="AN780" s="590"/>
      <c r="AO780" s="590"/>
      <c r="AP780" s="590"/>
      <c r="AQ780" s="590"/>
      <c r="AR780" s="590"/>
      <c r="AS780" s="590"/>
      <c r="AT780" s="590"/>
      <c r="AU780" s="590"/>
      <c r="AV780" s="590"/>
      <c r="AW780" s="590"/>
      <c r="AX780" s="590"/>
      <c r="AY780" s="590"/>
      <c r="AZ780" s="590"/>
      <c r="BA780" s="590"/>
      <c r="BB780" s="590"/>
      <c r="BC780" s="590"/>
      <c r="BD780" s="590"/>
      <c r="BE780" s="590"/>
      <c r="BF780" s="590"/>
      <c r="BG780" s="590"/>
      <c r="BH780" s="590"/>
      <c r="BI780" s="590"/>
      <c r="BJ780" s="240"/>
      <c r="BK780" s="240"/>
      <c r="BL780" s="240"/>
      <c r="BM780" s="240"/>
    </row>
    <row r="781" spans="1:65" s="4" customFormat="1" hidden="1" outlineLevel="2">
      <c r="A781" s="240"/>
      <c r="B781" s="240"/>
      <c r="C781" s="595"/>
      <c r="D781" s="1618"/>
      <c r="E781" s="169">
        <v>1</v>
      </c>
      <c r="F781" s="35"/>
      <c r="G781" s="183"/>
      <c r="H781" s="107">
        <f>IF(A24taxstdlife="n/a","n/a",IF(H$3&gt;(A24taxstdlife+$E781),(('PTRM input'!$G$166+'PTRM input'!$G$132)*$G$7)-SUM($G781:G781),(('PTRM input'!$G$166+'PTRM input'!$G$132)*$G$7)/A24taxstdlife))</f>
        <v>0</v>
      </c>
      <c r="I781" s="107">
        <f>IF(A24taxstdlife="n/a","n/a",IF(I$3&gt;(A24taxstdlife+$E781),(('PTRM input'!$G$166+'PTRM input'!$G$132)*$G$7)-SUM($G781:H781),(('PTRM input'!$G$166+'PTRM input'!$G$132)*$G$7)/A24taxstdlife))</f>
        <v>0</v>
      </c>
      <c r="J781" s="107">
        <f>IF(A24taxstdlife="n/a","n/a",IF(J$3&gt;(A24taxstdlife+$E781),(('PTRM input'!$G$166+'PTRM input'!$G$132)*$G$7)-SUM($G781:I781),(('PTRM input'!$G$166+'PTRM input'!$G$132)*$G$7)/A24taxstdlife))</f>
        <v>0</v>
      </c>
      <c r="K781" s="107">
        <f>IF(A24taxstdlife="n/a","n/a",IF(K$3&gt;(A24taxstdlife+$E781),(('PTRM input'!$G$166+'PTRM input'!$G$132)*$G$7)-SUM($G781:J781),(('PTRM input'!$G$166+'PTRM input'!$G$132)*$G$7)/A24taxstdlife))</f>
        <v>0</v>
      </c>
      <c r="L781" s="107">
        <f>IF(A24taxstdlife="n/a","n/a",IF(L$3&gt;(A24taxstdlife+$E781),(('PTRM input'!$G$166+'PTRM input'!$G$132)*$G$7)-SUM($G781:K781),(('PTRM input'!$G$166+'PTRM input'!$G$132)*$G$7)/A24taxstdlife))</f>
        <v>0</v>
      </c>
      <c r="M781" s="107">
        <f>IF(A24taxstdlife="n/a","n/a",IF(M$3&gt;(A24taxstdlife+$E781),(('PTRM input'!$G$166+'PTRM input'!$G$132)*$G$7)-SUM($G781:L781),(('PTRM input'!$G$166+'PTRM input'!$G$132)*$G$7)/A24taxstdlife))</f>
        <v>0</v>
      </c>
      <c r="N781" s="107">
        <f>IF(A24taxstdlife="n/a","n/a",IF(N$3&gt;(A24taxstdlife+$E781),(('PTRM input'!$G$166+'PTRM input'!$G$132)*$G$7)-SUM($G781:M781),(('PTRM input'!$G$166+'PTRM input'!$G$132)*$G$7)/A24taxstdlife))</f>
        <v>0</v>
      </c>
      <c r="O781" s="107">
        <f>IF(A24taxstdlife="n/a","n/a",IF(O$3&gt;(A24taxstdlife+$E781),(('PTRM input'!$G$166+'PTRM input'!$G$132)*$G$7)-SUM($G781:N781),(('PTRM input'!$G$166+'PTRM input'!$G$132)*$G$7)/A24taxstdlife))</f>
        <v>0</v>
      </c>
      <c r="P781" s="107">
        <f>IF(A24taxstdlife="n/a","n/a",IF(P$3&gt;(A24taxstdlife+$E781),(('PTRM input'!$G$166+'PTRM input'!$G$132)*$G$7)-SUM($G781:O781),(('PTRM input'!$G$166+'PTRM input'!$G$132)*$G$7)/A24taxstdlife))</f>
        <v>0</v>
      </c>
      <c r="Q781" s="590">
        <f>IF(A24taxstdlife="n/a","n/a",IF(Q$3&gt;(A24taxstdlife+$E781),(('PTRM input'!$G$166+'PTRM input'!$G$132)*$G$7)-SUM($G781:P781),(('PTRM input'!$G$166+'PTRM input'!$G$132)*$G$7)/A24taxstdlife))</f>
        <v>0</v>
      </c>
      <c r="R781" s="590">
        <f>IF(A24taxstdlife="n/a","n/a",IF(R$3&gt;(A24taxstdlife+$E781),(('PTRM input'!$G$166+'PTRM input'!$G$132)*$G$7)-SUM($G781:Q781),(('PTRM input'!$G$166+'PTRM input'!$G$132)*$G$7)/A24taxstdlife))</f>
        <v>0</v>
      </c>
      <c r="S781" s="590">
        <f>IF(A24taxstdlife="n/a","n/a",IF(S$3&gt;(A24taxstdlife+$E781),(('PTRM input'!$G$166+'PTRM input'!$G$132)*$G$7)-SUM($G781:R781),(('PTRM input'!$G$166+'PTRM input'!$G$132)*$G$7)/A24taxstdlife))</f>
        <v>0</v>
      </c>
      <c r="T781" s="590">
        <f>IF(A24taxstdlife="n/a","n/a",IF(T$3&gt;(A24taxstdlife+$E781),(('PTRM input'!$G$166+'PTRM input'!$G$132)*$G$7)-SUM($G781:S781),(('PTRM input'!$G$166+'PTRM input'!$G$132)*$G$7)/A24taxstdlife))</f>
        <v>0</v>
      </c>
      <c r="U781" s="590">
        <f>IF(A24taxstdlife="n/a","n/a",IF(U$3&gt;(A24taxstdlife+$E781),(('PTRM input'!$G$166+'PTRM input'!$G$132)*$G$7)-SUM($G781:T781),(('PTRM input'!$G$166+'PTRM input'!$G$132)*$G$7)/A24taxstdlife))</f>
        <v>0</v>
      </c>
      <c r="V781" s="590">
        <f>IF(A24taxstdlife="n/a","n/a",IF(V$3&gt;(A24taxstdlife+$E781),(('PTRM input'!$G$166+'PTRM input'!$G$132)*$G$7)-SUM($G781:U781),(('PTRM input'!$G$166+'PTRM input'!$G$132)*$G$7)/A24taxstdlife))</f>
        <v>0</v>
      </c>
      <c r="W781" s="590">
        <f>IF(A24taxstdlife="n/a","n/a",IF(W$3&gt;(A24taxstdlife+$E781),(('PTRM input'!$G$166+'PTRM input'!$G$132)*$G$7)-SUM($G781:V781),(('PTRM input'!$G$166+'PTRM input'!$G$132)*$G$7)/A24taxstdlife))</f>
        <v>0</v>
      </c>
      <c r="X781" s="590">
        <f>IF(A24taxstdlife="n/a","n/a",IF(X$3&gt;(A24taxstdlife+$E781),(('PTRM input'!$G$166+'PTRM input'!$G$132)*$G$7)-SUM($G781:W781),(('PTRM input'!$G$166+'PTRM input'!$G$132)*$G$7)/A24taxstdlife))</f>
        <v>0</v>
      </c>
      <c r="Y781" s="590">
        <f>IF(A24taxstdlife="n/a","n/a",IF(Y$3&gt;(A24taxstdlife+$E781),(('PTRM input'!$G$166+'PTRM input'!$G$132)*$G$7)-SUM($G781:X781),(('PTRM input'!$G$166+'PTRM input'!$G$132)*$G$7)/A24taxstdlife))</f>
        <v>0</v>
      </c>
      <c r="Z781" s="590">
        <f>IF(A24taxstdlife="n/a","n/a",IF(Z$3&gt;(A24taxstdlife+$E781),(('PTRM input'!$G$166+'PTRM input'!$G$132)*$G$7)-SUM($G781:Y781),(('PTRM input'!$G$166+'PTRM input'!$G$132)*$G$7)/A24taxstdlife))</f>
        <v>0</v>
      </c>
      <c r="AA781" s="590">
        <f>IF(A24taxstdlife="n/a","n/a",IF(AA$3&gt;(A24taxstdlife+$E781),(('PTRM input'!$G$166+'PTRM input'!$G$132)*$G$7)-SUM($G781:Z781),(('PTRM input'!$G$166+'PTRM input'!$G$132)*$G$7)/A24taxstdlife))</f>
        <v>0</v>
      </c>
      <c r="AB781" s="590">
        <f>IF(A24taxstdlife="n/a","n/a",IF(AB$3&gt;(A24taxstdlife+$E781),(('PTRM input'!$G$166+'PTRM input'!$G$132)*$G$7)-SUM($G781:AA781),(('PTRM input'!$G$166+'PTRM input'!$G$132)*$G$7)/A24taxstdlife))</f>
        <v>0</v>
      </c>
      <c r="AC781" s="590">
        <f>IF(A24taxstdlife="n/a","n/a",IF(AC$3&gt;(A24taxstdlife+$E781),(('PTRM input'!$G$166+'PTRM input'!$G$132)*$G$7)-SUM($G781:AB781),(('PTRM input'!$G$166+'PTRM input'!$G$132)*$G$7)/A24taxstdlife))</f>
        <v>0</v>
      </c>
      <c r="AD781" s="590">
        <f>IF(A24taxstdlife="n/a","n/a",IF(AD$3&gt;(A24taxstdlife+$E781),(('PTRM input'!$G$166+'PTRM input'!$G$132)*$G$7)-SUM($G781:AC781),(('PTRM input'!$G$166+'PTRM input'!$G$132)*$G$7)/A24taxstdlife))</f>
        <v>0</v>
      </c>
      <c r="AE781" s="590">
        <f>IF(A24taxstdlife="n/a","n/a",IF(AE$3&gt;(A24taxstdlife+$E781),(('PTRM input'!$G$166+'PTRM input'!$G$132)*$G$7)-SUM($G781:AD781),(('PTRM input'!$G$166+'PTRM input'!$G$132)*$G$7)/A24taxstdlife))</f>
        <v>0</v>
      </c>
      <c r="AF781" s="590">
        <f>IF(A24taxstdlife="n/a","n/a",IF(AF$3&gt;(A24taxstdlife+$E781),(('PTRM input'!$G$166+'PTRM input'!$G$132)*$G$7)-SUM($G781:AE781),(('PTRM input'!$G$166+'PTRM input'!$G$132)*$G$7)/A24taxstdlife))</f>
        <v>0</v>
      </c>
      <c r="AG781" s="590">
        <f>IF(A24taxstdlife="n/a","n/a",IF(AG$3&gt;(A24taxstdlife+$E781),(('PTRM input'!$G$166+'PTRM input'!$G$132)*$G$7)-SUM($G781:AF781),(('PTRM input'!$G$166+'PTRM input'!$G$132)*$G$7)/A24taxstdlife))</f>
        <v>0</v>
      </c>
      <c r="AH781" s="590">
        <f>IF(A24taxstdlife="n/a","n/a",IF(AH$3&gt;(A24taxstdlife+$E781),(('PTRM input'!$G$166+'PTRM input'!$G$132)*$G$7)-SUM($G781:AG781),(('PTRM input'!$G$166+'PTRM input'!$G$132)*$G$7)/A24taxstdlife))</f>
        <v>0</v>
      </c>
      <c r="AI781" s="590">
        <f>IF(A24taxstdlife="n/a","n/a",IF(AI$3&gt;(A24taxstdlife+$E781),(('PTRM input'!$G$166+'PTRM input'!$G$132)*$G$7)-SUM($G781:AH781),(('PTRM input'!$G$166+'PTRM input'!$G$132)*$G$7)/A24taxstdlife))</f>
        <v>0</v>
      </c>
      <c r="AJ781" s="590">
        <f>IF(A24taxstdlife="n/a","n/a",IF(AJ$3&gt;(A24taxstdlife+$E781),(('PTRM input'!$G$166+'PTRM input'!$G$132)*$G$7)-SUM($G781:AI781),(('PTRM input'!$G$166+'PTRM input'!$G$132)*$G$7)/A24taxstdlife))</f>
        <v>0</v>
      </c>
      <c r="AK781" s="590">
        <f>IF(A24taxstdlife="n/a","n/a",IF(AK$3&gt;(A24taxstdlife+$E781),(('PTRM input'!$G$166+'PTRM input'!$G$132)*$G$7)-SUM($G781:AJ781),(('PTRM input'!$G$166+'PTRM input'!$G$132)*$G$7)/A24taxstdlife))</f>
        <v>0</v>
      </c>
      <c r="AL781" s="590">
        <f>IF(A24taxstdlife="n/a","n/a",IF(AL$3&gt;(A24taxstdlife+$E781),(('PTRM input'!$G$166+'PTRM input'!$G$132)*$G$7)-SUM($G781:AK781),(('PTRM input'!$G$166+'PTRM input'!$G$132)*$G$7)/A24taxstdlife))</f>
        <v>0</v>
      </c>
      <c r="AM781" s="590">
        <f>IF(A24taxstdlife="n/a","n/a",IF(AM$3&gt;(A24taxstdlife+$E781),(('PTRM input'!$G$166+'PTRM input'!$G$132)*$G$7)-SUM($G781:AL781),(('PTRM input'!$G$166+'PTRM input'!$G$132)*$G$7)/A24taxstdlife))</f>
        <v>0</v>
      </c>
      <c r="AN781" s="590">
        <f>IF(A24taxstdlife="n/a","n/a",IF(AN$3&gt;(A24taxstdlife+$E781),(('PTRM input'!$G$166+'PTRM input'!$G$132)*$G$7)-SUM($G781:AM781),(('PTRM input'!$G$166+'PTRM input'!$G$132)*$G$7)/A24taxstdlife))</f>
        <v>0</v>
      </c>
      <c r="AO781" s="590">
        <f>IF(A24taxstdlife="n/a","n/a",IF(AO$3&gt;(A24taxstdlife+$E781),(('PTRM input'!$G$166+'PTRM input'!$G$132)*$G$7)-SUM($G781:AN781),(('PTRM input'!$G$166+'PTRM input'!$G$132)*$G$7)/A24taxstdlife))</f>
        <v>0</v>
      </c>
      <c r="AP781" s="590">
        <f>IF(A24taxstdlife="n/a","n/a",IF(AP$3&gt;(A24taxstdlife+$E781),(('PTRM input'!$G$166+'PTRM input'!$G$132)*$G$7)-SUM($G781:AO781),(('PTRM input'!$G$166+'PTRM input'!$G$132)*$G$7)/A24taxstdlife))</f>
        <v>0</v>
      </c>
      <c r="AQ781" s="590">
        <f>IF(A24taxstdlife="n/a","n/a",IF(AQ$3&gt;(A24taxstdlife+$E781),(('PTRM input'!$G$166+'PTRM input'!$G$132)*$G$7)-SUM($G781:AP781),(('PTRM input'!$G$166+'PTRM input'!$G$132)*$G$7)/A24taxstdlife))</f>
        <v>0</v>
      </c>
      <c r="AR781" s="590">
        <f>IF(A24taxstdlife="n/a","n/a",IF(AR$3&gt;(A24taxstdlife+$E781),(('PTRM input'!$G$166+'PTRM input'!$G$132)*$G$7)-SUM($G781:AQ781),(('PTRM input'!$G$166+'PTRM input'!$G$132)*$G$7)/A24taxstdlife))</f>
        <v>0</v>
      </c>
      <c r="AS781" s="590">
        <f>IF(A24taxstdlife="n/a","n/a",IF(AS$3&gt;(A24taxstdlife+$E781),(('PTRM input'!$G$166+'PTRM input'!$G$132)*$G$7)-SUM($G781:AR781),(('PTRM input'!$G$166+'PTRM input'!$G$132)*$G$7)/A24taxstdlife))</f>
        <v>0</v>
      </c>
      <c r="AT781" s="590">
        <f>IF(A24taxstdlife="n/a","n/a",IF(AT$3&gt;(A24taxstdlife+$E781),(('PTRM input'!$G$166+'PTRM input'!$G$132)*$G$7)-SUM($G781:AS781),(('PTRM input'!$G$166+'PTRM input'!$G$132)*$G$7)/A24taxstdlife))</f>
        <v>0</v>
      </c>
      <c r="AU781" s="590">
        <f>IF(A24taxstdlife="n/a","n/a",IF(AU$3&gt;(A24taxstdlife+$E781),(('PTRM input'!$G$166+'PTRM input'!$G$132)*$G$7)-SUM($G781:AT781),(('PTRM input'!$G$166+'PTRM input'!$G$132)*$G$7)/A24taxstdlife))</f>
        <v>0</v>
      </c>
      <c r="AV781" s="590">
        <f>IF(A24taxstdlife="n/a","n/a",IF(AV$3&gt;(A24taxstdlife+$E781),(('PTRM input'!$G$166+'PTRM input'!$G$132)*$G$7)-SUM($G781:AU781),(('PTRM input'!$G$166+'PTRM input'!$G$132)*$G$7)/A24taxstdlife))</f>
        <v>0</v>
      </c>
      <c r="AW781" s="590">
        <f>IF(A24taxstdlife="n/a","n/a",IF(AW$3&gt;(A24taxstdlife+$E781),(('PTRM input'!$G$166+'PTRM input'!$G$132)*$G$7)-SUM($G781:AV781),(('PTRM input'!$G$166+'PTRM input'!$G$132)*$G$7)/A24taxstdlife))</f>
        <v>0</v>
      </c>
      <c r="AX781" s="590">
        <f>IF(A24taxstdlife="n/a","n/a",IF(AX$3&gt;(A24taxstdlife+$E781),(('PTRM input'!$G$166+'PTRM input'!$G$132)*$G$7)-SUM($G781:AW781),(('PTRM input'!$G$166+'PTRM input'!$G$132)*$G$7)/A24taxstdlife))</f>
        <v>0</v>
      </c>
      <c r="AY781" s="590">
        <f>IF(A24taxstdlife="n/a","n/a",IF(AY$3&gt;(A24taxstdlife+$E781),(('PTRM input'!$G$166+'PTRM input'!$G$132)*$G$7)-SUM($G781:AX781),(('PTRM input'!$G$166+'PTRM input'!$G$132)*$G$7)/A24taxstdlife))</f>
        <v>0</v>
      </c>
      <c r="AZ781" s="590">
        <f>IF(A24taxstdlife="n/a","n/a",IF(AZ$3&gt;(A24taxstdlife+$E781),(('PTRM input'!$G$166+'PTRM input'!$G$132)*$G$7)-SUM($G781:AY781),(('PTRM input'!$G$166+'PTRM input'!$G$132)*$G$7)/A24taxstdlife))</f>
        <v>0</v>
      </c>
      <c r="BA781" s="590">
        <f>IF(A24taxstdlife="n/a","n/a",IF(BA$3&gt;(A24taxstdlife+$E781),(('PTRM input'!$G$166+'PTRM input'!$G$132)*$G$7)-SUM($G781:AZ781),(('PTRM input'!$G$166+'PTRM input'!$G$132)*$G$7)/A24taxstdlife))</f>
        <v>0</v>
      </c>
      <c r="BB781" s="590">
        <f>IF(A24taxstdlife="n/a","n/a",IF(BB$3&gt;(A24taxstdlife+$E781),(('PTRM input'!$G$166+'PTRM input'!$G$132)*$G$7)-SUM($G781:BA781),(('PTRM input'!$G$166+'PTRM input'!$G$132)*$G$7)/A24taxstdlife))</f>
        <v>0</v>
      </c>
      <c r="BC781" s="590">
        <f>IF(A24taxstdlife="n/a","n/a",IF(BC$3&gt;(A24taxstdlife+$E781),(('PTRM input'!$G$166+'PTRM input'!$G$132)*$G$7)-SUM($G781:BB781),(('PTRM input'!$G$166+'PTRM input'!$G$132)*$G$7)/A24taxstdlife))</f>
        <v>0</v>
      </c>
      <c r="BD781" s="590">
        <f>IF(A24taxstdlife="n/a","n/a",IF(BD$3&gt;(A24taxstdlife+$E781),(('PTRM input'!$G$166+'PTRM input'!$G$132)*$G$7)-SUM($G781:BC781),(('PTRM input'!$G$166+'PTRM input'!$G$132)*$G$7)/A24taxstdlife))</f>
        <v>0</v>
      </c>
      <c r="BE781" s="590">
        <f>IF(A24taxstdlife="n/a","n/a",IF(BE$3&gt;(A24taxstdlife+$E781),(('PTRM input'!$G$166+'PTRM input'!$G$132)*$G$7)-SUM($G781:BD781),(('PTRM input'!$G$166+'PTRM input'!$G$132)*$G$7)/A24taxstdlife))</f>
        <v>0</v>
      </c>
      <c r="BF781" s="590">
        <f>IF(A24taxstdlife="n/a","n/a",IF(BF$3&gt;(A24taxstdlife+$E781),(('PTRM input'!$G$166+'PTRM input'!$G$132)*$G$7)-SUM($G781:BE781),(('PTRM input'!$G$166+'PTRM input'!$G$132)*$G$7)/A24taxstdlife))</f>
        <v>0</v>
      </c>
      <c r="BG781" s="590">
        <f>IF(A24taxstdlife="n/a","n/a",IF(BG$3&gt;(A24taxstdlife+$E781),(('PTRM input'!$G$166+'PTRM input'!$G$132)*$G$7)-SUM($G781:BF781),(('PTRM input'!$G$166+'PTRM input'!$G$132)*$G$7)/A24taxstdlife))</f>
        <v>0</v>
      </c>
      <c r="BH781" s="590">
        <f>IF(A24taxstdlife="n/a","n/a",IF(BH$3&gt;(A24taxstdlife+$E781),(('PTRM input'!$G$166+'PTRM input'!$G$132)*$G$7)-SUM($G781:BG781),(('PTRM input'!$G$166+'PTRM input'!$G$132)*$G$7)/A24taxstdlife))</f>
        <v>0</v>
      </c>
      <c r="BI781" s="590">
        <f>IF(A24taxstdlife="n/a","n/a",IF(BI$3&gt;(A24taxstdlife+$E781),(('PTRM input'!$G$166+'PTRM input'!$G$132)*$G$7)-SUM($G781:BH781),(('PTRM input'!$G$166+'PTRM input'!$G$132)*$G$7)/A24taxstdlife))</f>
        <v>0</v>
      </c>
      <c r="BJ781" s="240"/>
      <c r="BK781" s="240"/>
      <c r="BL781" s="240"/>
      <c r="BM781" s="240"/>
    </row>
    <row r="782" spans="1:65" s="4" customFormat="1" hidden="1" outlineLevel="2">
      <c r="A782" s="240"/>
      <c r="B782" s="240"/>
      <c r="C782" s="595"/>
      <c r="D782" s="1618"/>
      <c r="E782" s="169">
        <v>2</v>
      </c>
      <c r="F782" s="35"/>
      <c r="G782" s="184"/>
      <c r="H782" s="185"/>
      <c r="I782" s="107">
        <f>IF(A24taxstdlife="n/a","n/a",IF(I$3&gt;(A24taxstdlife+$E782),(('PTRM input'!$H$166+'PTRM input'!$H$132)*$H$7)-SUM($H782:H782),(('PTRM input'!$H$166+'PTRM input'!$H$132)*$H$7)/A24taxstdlife))</f>
        <v>0</v>
      </c>
      <c r="J782" s="107">
        <f>IF(A24taxstdlife="n/a","n/a",IF(J$3&gt;(A24taxstdlife+$E782),(('PTRM input'!$H$166+'PTRM input'!$H$132)*$H$7)-SUM($H782:I782),(('PTRM input'!$H$166+'PTRM input'!$H$132)*$H$7)/A24taxstdlife))</f>
        <v>0</v>
      </c>
      <c r="K782" s="107">
        <f>IF(A24taxstdlife="n/a","n/a",IF(K$3&gt;(A24taxstdlife+$E782),(('PTRM input'!$H$166+'PTRM input'!$H$132)*$H$7)-SUM($H782:J782),(('PTRM input'!$H$166+'PTRM input'!$H$132)*$H$7)/A24taxstdlife))</f>
        <v>0</v>
      </c>
      <c r="L782" s="107">
        <f>IF(A24taxstdlife="n/a","n/a",IF(L$3&gt;(A24taxstdlife+$E782),(('PTRM input'!$H$166+'PTRM input'!$H$132)*$H$7)-SUM($H782:K782),(('PTRM input'!$H$166+'PTRM input'!$H$132)*$H$7)/A24taxstdlife))</f>
        <v>0</v>
      </c>
      <c r="M782" s="107">
        <f>IF(A24taxstdlife="n/a","n/a",IF(M$3&gt;(A24taxstdlife+$E782),(('PTRM input'!$H$166+'PTRM input'!$H$132)*$H$7)-SUM($H782:L782),(('PTRM input'!$H$166+'PTRM input'!$H$132)*$H$7)/A24taxstdlife))</f>
        <v>0</v>
      </c>
      <c r="N782" s="107">
        <f>IF(A24taxstdlife="n/a","n/a",IF(N$3&gt;(A24taxstdlife+$E782),(('PTRM input'!$H$166+'PTRM input'!$H$132)*$H$7)-SUM($H782:M782),(('PTRM input'!$H$166+'PTRM input'!$H$132)*$H$7)/A24taxstdlife))</f>
        <v>0</v>
      </c>
      <c r="O782" s="107">
        <f>IF(A24taxstdlife="n/a","n/a",IF(O$3&gt;(A24taxstdlife+$E782),(('PTRM input'!$H$166+'PTRM input'!$H$132)*$H$7)-SUM($H782:N782),(('PTRM input'!$H$166+'PTRM input'!$H$132)*$H$7)/A24taxstdlife))</f>
        <v>0</v>
      </c>
      <c r="P782" s="107">
        <f>IF(A24taxstdlife="n/a","n/a",IF(P$3&gt;(A24taxstdlife+$E782),(('PTRM input'!$H$166+'PTRM input'!$H$132)*$H$7)-SUM($H782:O782),(('PTRM input'!$H$166+'PTRM input'!$H$132)*$H$7)/A24taxstdlife))</f>
        <v>0</v>
      </c>
      <c r="Q782" s="590">
        <f>IF(A24taxstdlife="n/a","n/a",IF(Q$3&gt;(A24taxstdlife+$E782),(('PTRM input'!$H$166+'PTRM input'!$H$132)*$H$7)-SUM($H782:P782),(('PTRM input'!$H$166+'PTRM input'!$H$132)*$H$7)/A24taxstdlife))</f>
        <v>0</v>
      </c>
      <c r="R782" s="590">
        <f>IF(A24taxstdlife="n/a","n/a",IF(R$3&gt;(A24taxstdlife+$E782),(('PTRM input'!$H$166+'PTRM input'!$H$132)*$H$7)-SUM($H782:Q782),(('PTRM input'!$H$166+'PTRM input'!$H$132)*$H$7)/A24taxstdlife))</f>
        <v>0</v>
      </c>
      <c r="S782" s="590">
        <f>IF(A24taxstdlife="n/a","n/a",IF(S$3&gt;(A24taxstdlife+$E782),(('PTRM input'!$H$166+'PTRM input'!$H$132)*$H$7)-SUM($H782:R782),(('PTRM input'!$H$166+'PTRM input'!$H$132)*$H$7)/A24taxstdlife))</f>
        <v>0</v>
      </c>
      <c r="T782" s="590">
        <f>IF(A24taxstdlife="n/a","n/a",IF(T$3&gt;(A24taxstdlife+$E782),(('PTRM input'!$H$166+'PTRM input'!$H$132)*$H$7)-SUM($H782:S782),(('PTRM input'!$H$166+'PTRM input'!$H$132)*$H$7)/A24taxstdlife))</f>
        <v>0</v>
      </c>
      <c r="U782" s="590">
        <f>IF(A24taxstdlife="n/a","n/a",IF(U$3&gt;(A24taxstdlife+$E782),(('PTRM input'!$H$166+'PTRM input'!$H$132)*$H$7)-SUM($H782:T782),(('PTRM input'!$H$166+'PTRM input'!$H$132)*$H$7)/A24taxstdlife))</f>
        <v>0</v>
      </c>
      <c r="V782" s="590">
        <f>IF(A24taxstdlife="n/a","n/a",IF(V$3&gt;(A24taxstdlife+$E782),(('PTRM input'!$H$166+'PTRM input'!$H$132)*$H$7)-SUM($H782:U782),(('PTRM input'!$H$166+'PTRM input'!$H$132)*$H$7)/A24taxstdlife))</f>
        <v>0</v>
      </c>
      <c r="W782" s="590">
        <f>IF(A24taxstdlife="n/a","n/a",IF(W$3&gt;(A24taxstdlife+$E782),(('PTRM input'!$H$166+'PTRM input'!$H$132)*$H$7)-SUM($H782:V782),(('PTRM input'!$H$166+'PTRM input'!$H$132)*$H$7)/A24taxstdlife))</f>
        <v>0</v>
      </c>
      <c r="X782" s="590">
        <f>IF(A24taxstdlife="n/a","n/a",IF(X$3&gt;(A24taxstdlife+$E782),(('PTRM input'!$H$166+'PTRM input'!$H$132)*$H$7)-SUM($H782:W782),(('PTRM input'!$H$166+'PTRM input'!$H$132)*$H$7)/A24taxstdlife))</f>
        <v>0</v>
      </c>
      <c r="Y782" s="590">
        <f>IF(A24taxstdlife="n/a","n/a",IF(Y$3&gt;(A24taxstdlife+$E782),(('PTRM input'!$H$166+'PTRM input'!$H$132)*$H$7)-SUM($H782:X782),(('PTRM input'!$H$166+'PTRM input'!$H$132)*$H$7)/A24taxstdlife))</f>
        <v>0</v>
      </c>
      <c r="Z782" s="590">
        <f>IF(A24taxstdlife="n/a","n/a",IF(Z$3&gt;(A24taxstdlife+$E782),(('PTRM input'!$H$166+'PTRM input'!$H$132)*$H$7)-SUM($H782:Y782),(('PTRM input'!$H$166+'PTRM input'!$H$132)*$H$7)/A24taxstdlife))</f>
        <v>0</v>
      </c>
      <c r="AA782" s="590">
        <f>IF(A24taxstdlife="n/a","n/a",IF(AA$3&gt;(A24taxstdlife+$E782),(('PTRM input'!$H$166+'PTRM input'!$H$132)*$H$7)-SUM($H782:Z782),(('PTRM input'!$H$166+'PTRM input'!$H$132)*$H$7)/A24taxstdlife))</f>
        <v>0</v>
      </c>
      <c r="AB782" s="590">
        <f>IF(A24taxstdlife="n/a","n/a",IF(AB$3&gt;(A24taxstdlife+$E782),(('PTRM input'!$H$166+'PTRM input'!$H$132)*$H$7)-SUM($H782:AA782),(('PTRM input'!$H$166+'PTRM input'!$H$132)*$H$7)/A24taxstdlife))</f>
        <v>0</v>
      </c>
      <c r="AC782" s="590">
        <f>IF(A24taxstdlife="n/a","n/a",IF(AC$3&gt;(A24taxstdlife+$E782),(('PTRM input'!$H$166+'PTRM input'!$H$132)*$H$7)-SUM($H782:AB782),(('PTRM input'!$H$166+'PTRM input'!$H$132)*$H$7)/A24taxstdlife))</f>
        <v>0</v>
      </c>
      <c r="AD782" s="590">
        <f>IF(A24taxstdlife="n/a","n/a",IF(AD$3&gt;(A24taxstdlife+$E782),(('PTRM input'!$H$166+'PTRM input'!$H$132)*$H$7)-SUM($H782:AC782),(('PTRM input'!$H$166+'PTRM input'!$H$132)*$H$7)/A24taxstdlife))</f>
        <v>0</v>
      </c>
      <c r="AE782" s="590">
        <f>IF(A24taxstdlife="n/a","n/a",IF(AE$3&gt;(A24taxstdlife+$E782),(('PTRM input'!$H$166+'PTRM input'!$H$132)*$H$7)-SUM($H782:AD782),(('PTRM input'!$H$166+'PTRM input'!$H$132)*$H$7)/A24taxstdlife))</f>
        <v>0</v>
      </c>
      <c r="AF782" s="590">
        <f>IF(A24taxstdlife="n/a","n/a",IF(AF$3&gt;(A24taxstdlife+$E782),(('PTRM input'!$H$166+'PTRM input'!$H$132)*$H$7)-SUM($H782:AE782),(('PTRM input'!$H$166+'PTRM input'!$H$132)*$H$7)/A24taxstdlife))</f>
        <v>0</v>
      </c>
      <c r="AG782" s="590">
        <f>IF(A24taxstdlife="n/a","n/a",IF(AG$3&gt;(A24taxstdlife+$E782),(('PTRM input'!$H$166+'PTRM input'!$H$132)*$H$7)-SUM($H782:AF782),(('PTRM input'!$H$166+'PTRM input'!$H$132)*$H$7)/A24taxstdlife))</f>
        <v>0</v>
      </c>
      <c r="AH782" s="590">
        <f>IF(A24taxstdlife="n/a","n/a",IF(AH$3&gt;(A24taxstdlife+$E782),(('PTRM input'!$H$166+'PTRM input'!$H$132)*$H$7)-SUM($H782:AG782),(('PTRM input'!$H$166+'PTRM input'!$H$132)*$H$7)/A24taxstdlife))</f>
        <v>0</v>
      </c>
      <c r="AI782" s="590">
        <f>IF(A24taxstdlife="n/a","n/a",IF(AI$3&gt;(A24taxstdlife+$E782),(('PTRM input'!$H$166+'PTRM input'!$H$132)*$H$7)-SUM($H782:AH782),(('PTRM input'!$H$166+'PTRM input'!$H$132)*$H$7)/A24taxstdlife))</f>
        <v>0</v>
      </c>
      <c r="AJ782" s="590">
        <f>IF(A24taxstdlife="n/a","n/a",IF(AJ$3&gt;(A24taxstdlife+$E782),(('PTRM input'!$H$166+'PTRM input'!$H$132)*$H$7)-SUM($H782:AI782),(('PTRM input'!$H$166+'PTRM input'!$H$132)*$H$7)/A24taxstdlife))</f>
        <v>0</v>
      </c>
      <c r="AK782" s="590">
        <f>IF(A24taxstdlife="n/a","n/a",IF(AK$3&gt;(A24taxstdlife+$E782),(('PTRM input'!$H$166+'PTRM input'!$H$132)*$H$7)-SUM($H782:AJ782),(('PTRM input'!$H$166+'PTRM input'!$H$132)*$H$7)/A24taxstdlife))</f>
        <v>0</v>
      </c>
      <c r="AL782" s="590">
        <f>IF(A24taxstdlife="n/a","n/a",IF(AL$3&gt;(A24taxstdlife+$E782),(('PTRM input'!$H$166+'PTRM input'!$H$132)*$H$7)-SUM($H782:AK782),(('PTRM input'!$H$166+'PTRM input'!$H$132)*$H$7)/A24taxstdlife))</f>
        <v>0</v>
      </c>
      <c r="AM782" s="590">
        <f>IF(A24taxstdlife="n/a","n/a",IF(AM$3&gt;(A24taxstdlife+$E782),(('PTRM input'!$H$166+'PTRM input'!$H$132)*$H$7)-SUM($H782:AL782),(('PTRM input'!$H$166+'PTRM input'!$H$132)*$H$7)/A24taxstdlife))</f>
        <v>0</v>
      </c>
      <c r="AN782" s="590">
        <f>IF(A24taxstdlife="n/a","n/a",IF(AN$3&gt;(A24taxstdlife+$E782),(('PTRM input'!$H$166+'PTRM input'!$H$132)*$H$7)-SUM($H782:AM782),(('PTRM input'!$H$166+'PTRM input'!$H$132)*$H$7)/A24taxstdlife))</f>
        <v>0</v>
      </c>
      <c r="AO782" s="590">
        <f>IF(A24taxstdlife="n/a","n/a",IF(AO$3&gt;(A24taxstdlife+$E782),(('PTRM input'!$H$166+'PTRM input'!$H$132)*$H$7)-SUM($H782:AN782),(('PTRM input'!$H$166+'PTRM input'!$H$132)*$H$7)/A24taxstdlife))</f>
        <v>0</v>
      </c>
      <c r="AP782" s="590">
        <f>IF(A24taxstdlife="n/a","n/a",IF(AP$3&gt;(A24taxstdlife+$E782),(('PTRM input'!$H$166+'PTRM input'!$H$132)*$H$7)-SUM($H782:AO782),(('PTRM input'!$H$166+'PTRM input'!$H$132)*$H$7)/A24taxstdlife))</f>
        <v>0</v>
      </c>
      <c r="AQ782" s="590">
        <f>IF(A24taxstdlife="n/a","n/a",IF(AQ$3&gt;(A24taxstdlife+$E782),(('PTRM input'!$H$166+'PTRM input'!$H$132)*$H$7)-SUM($H782:AP782),(('PTRM input'!$H$166+'PTRM input'!$H$132)*$H$7)/A24taxstdlife))</f>
        <v>0</v>
      </c>
      <c r="AR782" s="590">
        <f>IF(A24taxstdlife="n/a","n/a",IF(AR$3&gt;(A24taxstdlife+$E782),(('PTRM input'!$H$166+'PTRM input'!$H$132)*$H$7)-SUM($H782:AQ782),(('PTRM input'!$H$166+'PTRM input'!$H$132)*$H$7)/A24taxstdlife))</f>
        <v>0</v>
      </c>
      <c r="AS782" s="590">
        <f>IF(A24taxstdlife="n/a","n/a",IF(AS$3&gt;(A24taxstdlife+$E782),(('PTRM input'!$H$166+'PTRM input'!$H$132)*$H$7)-SUM($H782:AR782),(('PTRM input'!$H$166+'PTRM input'!$H$132)*$H$7)/A24taxstdlife))</f>
        <v>0</v>
      </c>
      <c r="AT782" s="590">
        <f>IF(A24taxstdlife="n/a","n/a",IF(AT$3&gt;(A24taxstdlife+$E782),(('PTRM input'!$H$166+'PTRM input'!$H$132)*$H$7)-SUM($H782:AS782),(('PTRM input'!$H$166+'PTRM input'!$H$132)*$H$7)/A24taxstdlife))</f>
        <v>0</v>
      </c>
      <c r="AU782" s="590">
        <f>IF(A24taxstdlife="n/a","n/a",IF(AU$3&gt;(A24taxstdlife+$E782),(('PTRM input'!$H$166+'PTRM input'!$H$132)*$H$7)-SUM($H782:AT782),(('PTRM input'!$H$166+'PTRM input'!$H$132)*$H$7)/A24taxstdlife))</f>
        <v>0</v>
      </c>
      <c r="AV782" s="590">
        <f>IF(A24taxstdlife="n/a","n/a",IF(AV$3&gt;(A24taxstdlife+$E782),(('PTRM input'!$H$166+'PTRM input'!$H$132)*$H$7)-SUM($H782:AU782),(('PTRM input'!$H$166+'PTRM input'!$H$132)*$H$7)/A24taxstdlife))</f>
        <v>0</v>
      </c>
      <c r="AW782" s="590">
        <f>IF(A24taxstdlife="n/a","n/a",IF(AW$3&gt;(A24taxstdlife+$E782),(('PTRM input'!$H$166+'PTRM input'!$H$132)*$H$7)-SUM($H782:AV782),(('PTRM input'!$H$166+'PTRM input'!$H$132)*$H$7)/A24taxstdlife))</f>
        <v>0</v>
      </c>
      <c r="AX782" s="590">
        <f>IF(A24taxstdlife="n/a","n/a",IF(AX$3&gt;(A24taxstdlife+$E782),(('PTRM input'!$H$166+'PTRM input'!$H$132)*$H$7)-SUM($H782:AW782),(('PTRM input'!$H$166+'PTRM input'!$H$132)*$H$7)/A24taxstdlife))</f>
        <v>0</v>
      </c>
      <c r="AY782" s="590">
        <f>IF(A24taxstdlife="n/a","n/a",IF(AY$3&gt;(A24taxstdlife+$E782),(('PTRM input'!$H$166+'PTRM input'!$H$132)*$H$7)-SUM($H782:AX782),(('PTRM input'!$H$166+'PTRM input'!$H$132)*$H$7)/A24taxstdlife))</f>
        <v>0</v>
      </c>
      <c r="AZ782" s="590">
        <f>IF(A24taxstdlife="n/a","n/a",IF(AZ$3&gt;(A24taxstdlife+$E782),(('PTRM input'!$H$166+'PTRM input'!$H$132)*$H$7)-SUM($H782:AY782),(('PTRM input'!$H$166+'PTRM input'!$H$132)*$H$7)/A24taxstdlife))</f>
        <v>0</v>
      </c>
      <c r="BA782" s="590">
        <f>IF(A24taxstdlife="n/a","n/a",IF(BA$3&gt;(A24taxstdlife+$E782),(('PTRM input'!$H$166+'PTRM input'!$H$132)*$H$7)-SUM($H782:AZ782),(('PTRM input'!$H$166+'PTRM input'!$H$132)*$H$7)/A24taxstdlife))</f>
        <v>0</v>
      </c>
      <c r="BB782" s="590">
        <f>IF(A24taxstdlife="n/a","n/a",IF(BB$3&gt;(A24taxstdlife+$E782),(('PTRM input'!$H$166+'PTRM input'!$H$132)*$H$7)-SUM($H782:BA782),(('PTRM input'!$H$166+'PTRM input'!$H$132)*$H$7)/A24taxstdlife))</f>
        <v>0</v>
      </c>
      <c r="BC782" s="590">
        <f>IF(A24taxstdlife="n/a","n/a",IF(BC$3&gt;(A24taxstdlife+$E782),(('PTRM input'!$H$166+'PTRM input'!$H$132)*$H$7)-SUM($H782:BB782),(('PTRM input'!$H$166+'PTRM input'!$H$132)*$H$7)/A24taxstdlife))</f>
        <v>0</v>
      </c>
      <c r="BD782" s="590">
        <f>IF(A24taxstdlife="n/a","n/a",IF(BD$3&gt;(A24taxstdlife+$E782),(('PTRM input'!$H$166+'PTRM input'!$H$132)*$H$7)-SUM($H782:BC782),(('PTRM input'!$H$166+'PTRM input'!$H$132)*$H$7)/A24taxstdlife))</f>
        <v>0</v>
      </c>
      <c r="BE782" s="590">
        <f>IF(A24taxstdlife="n/a","n/a",IF(BE$3&gt;(A24taxstdlife+$E782),(('PTRM input'!$H$166+'PTRM input'!$H$132)*$H$7)-SUM($H782:BD782),(('PTRM input'!$H$166+'PTRM input'!$H$132)*$H$7)/A24taxstdlife))</f>
        <v>0</v>
      </c>
      <c r="BF782" s="590">
        <f>IF(A24taxstdlife="n/a","n/a",IF(BF$3&gt;(A24taxstdlife+$E782),(('PTRM input'!$H$166+'PTRM input'!$H$132)*$H$7)-SUM($H782:BE782),(('PTRM input'!$H$166+'PTRM input'!$H$132)*$H$7)/A24taxstdlife))</f>
        <v>0</v>
      </c>
      <c r="BG782" s="590">
        <f>IF(A24taxstdlife="n/a","n/a",IF(BG$3&gt;(A24taxstdlife+$E782),(('PTRM input'!$H$166+'PTRM input'!$H$132)*$H$7)-SUM($H782:BF782),(('PTRM input'!$H$166+'PTRM input'!$H$132)*$H$7)/A24taxstdlife))</f>
        <v>0</v>
      </c>
      <c r="BH782" s="590">
        <f>IF(A24taxstdlife="n/a","n/a",IF(BH$3&gt;(A24taxstdlife+$E782),(('PTRM input'!$H$166+'PTRM input'!$H$132)*$H$7)-SUM($H782:BG782),(('PTRM input'!$H$166+'PTRM input'!$H$132)*$H$7)/A24taxstdlife))</f>
        <v>0</v>
      </c>
      <c r="BI782" s="590">
        <f>IF(A24taxstdlife="n/a","n/a",IF(BI$3&gt;(A24taxstdlife+$E782),(('PTRM input'!$H$166+'PTRM input'!$H$132)*$H$7)-SUM($H782:BH782),(('PTRM input'!$H$166+'PTRM input'!$H$132)*$H$7)/A24taxstdlife))</f>
        <v>0</v>
      </c>
      <c r="BJ782" s="240"/>
      <c r="BK782" s="240"/>
      <c r="BL782" s="240"/>
      <c r="BM782" s="240"/>
    </row>
    <row r="783" spans="1:65" s="4" customFormat="1" hidden="1" outlineLevel="2">
      <c r="A783" s="240"/>
      <c r="B783" s="240"/>
      <c r="C783" s="595"/>
      <c r="D783" s="1618"/>
      <c r="E783" s="169">
        <v>3</v>
      </c>
      <c r="F783" s="35"/>
      <c r="G783" s="184"/>
      <c r="H783" s="186"/>
      <c r="I783" s="185"/>
      <c r="J783" s="107">
        <f>IF(A24taxstdlife="n/a","n/a",IF(J$3&gt;(A24taxstdlife+$E783),(('PTRM input'!$I$166+'PTRM input'!$I$132)*$I$7)-SUM($I783:I783),(('PTRM input'!$I$166+'PTRM input'!$I$132)*$I$7)/A24taxstdlife))</f>
        <v>0</v>
      </c>
      <c r="K783" s="107">
        <f>IF(A24taxstdlife="n/a","n/a",IF(K$3&gt;(A24taxstdlife+$E783),(('PTRM input'!$I$166+'PTRM input'!$I$132)*$I$7)-SUM($I783:J783),(('PTRM input'!$I$166+'PTRM input'!$I$132)*$I$7)/A24taxstdlife))</f>
        <v>0</v>
      </c>
      <c r="L783" s="107">
        <f>IF(A24taxstdlife="n/a","n/a",IF(L$3&gt;(A24taxstdlife+$E783),(('PTRM input'!$I$166+'PTRM input'!$I$132)*$I$7)-SUM($I783:K783),(('PTRM input'!$I$166+'PTRM input'!$I$132)*$I$7)/A24taxstdlife))</f>
        <v>0</v>
      </c>
      <c r="M783" s="107">
        <f>IF(A24taxstdlife="n/a","n/a",IF(M$3&gt;(A24taxstdlife+$E783),(('PTRM input'!$I$166+'PTRM input'!$I$132)*$I$7)-SUM($I783:L783),(('PTRM input'!$I$166+'PTRM input'!$I$132)*$I$7)/A24taxstdlife))</f>
        <v>0</v>
      </c>
      <c r="N783" s="107">
        <f>IF(A24taxstdlife="n/a","n/a",IF(N$3&gt;(A24taxstdlife+$E783),(('PTRM input'!$I$166+'PTRM input'!$I$132)*$I$7)-SUM($I783:M783),(('PTRM input'!$I$166+'PTRM input'!$I$132)*$I$7)/A24taxstdlife))</f>
        <v>0</v>
      </c>
      <c r="O783" s="107">
        <f>IF(A24taxstdlife="n/a","n/a",IF(O$3&gt;(A24taxstdlife+$E783),(('PTRM input'!$I$166+'PTRM input'!$I$132)*$I$7)-SUM($I783:N783),(('PTRM input'!$I$166+'PTRM input'!$I$132)*$I$7)/A24taxstdlife))</f>
        <v>0</v>
      </c>
      <c r="P783" s="107">
        <f>IF(A24taxstdlife="n/a","n/a",IF(P$3&gt;(A24taxstdlife+$E783),(('PTRM input'!$I$166+'PTRM input'!$I$132)*$I$7)-SUM($I783:O783),(('PTRM input'!$I$166+'PTRM input'!$I$132)*$I$7)/A24taxstdlife))</f>
        <v>0</v>
      </c>
      <c r="Q783" s="590">
        <f>IF(A24taxstdlife="n/a","n/a",IF(Q$3&gt;(A24taxstdlife+$E783),(('PTRM input'!$I$166+'PTRM input'!$I$132)*$I$7)-SUM($I783:P783),(('PTRM input'!$I$166+'PTRM input'!$I$132)*$I$7)/A24taxstdlife))</f>
        <v>0</v>
      </c>
      <c r="R783" s="590">
        <f>IF(A24taxstdlife="n/a","n/a",IF(R$3&gt;(A24taxstdlife+$E783),(('PTRM input'!$I$166+'PTRM input'!$I$132)*$I$7)-SUM($I783:Q783),(('PTRM input'!$I$166+'PTRM input'!$I$132)*$I$7)/A24taxstdlife))</f>
        <v>0</v>
      </c>
      <c r="S783" s="590">
        <f>IF(A24taxstdlife="n/a","n/a",IF(S$3&gt;(A24taxstdlife+$E783),(('PTRM input'!$I$166+'PTRM input'!$I$132)*$I$7)-SUM($I783:R783),(('PTRM input'!$I$166+'PTRM input'!$I$132)*$I$7)/A24taxstdlife))</f>
        <v>0</v>
      </c>
      <c r="T783" s="590">
        <f>IF(A24taxstdlife="n/a","n/a",IF(T$3&gt;(A24taxstdlife+$E783),(('PTRM input'!$I$166+'PTRM input'!$I$132)*$I$7)-SUM($I783:S783),(('PTRM input'!$I$166+'PTRM input'!$I$132)*$I$7)/A24taxstdlife))</f>
        <v>0</v>
      </c>
      <c r="U783" s="590">
        <f>IF(A24taxstdlife="n/a","n/a",IF(U$3&gt;(A24taxstdlife+$E783),(('PTRM input'!$I$166+'PTRM input'!$I$132)*$I$7)-SUM($I783:T783),(('PTRM input'!$I$166+'PTRM input'!$I$132)*$I$7)/A24taxstdlife))</f>
        <v>0</v>
      </c>
      <c r="V783" s="590">
        <f>IF(A24taxstdlife="n/a","n/a",IF(V$3&gt;(A24taxstdlife+$E783),(('PTRM input'!$I$166+'PTRM input'!$I$132)*$I$7)-SUM($I783:U783),(('PTRM input'!$I$166+'PTRM input'!$I$132)*$I$7)/A24taxstdlife))</f>
        <v>0</v>
      </c>
      <c r="W783" s="590">
        <f>IF(A24taxstdlife="n/a","n/a",IF(W$3&gt;(A24taxstdlife+$E783),(('PTRM input'!$I$166+'PTRM input'!$I$132)*$I$7)-SUM($I783:V783),(('PTRM input'!$I$166+'PTRM input'!$I$132)*$I$7)/A24taxstdlife))</f>
        <v>0</v>
      </c>
      <c r="X783" s="590">
        <f>IF(A24taxstdlife="n/a","n/a",IF(X$3&gt;(A24taxstdlife+$E783),(('PTRM input'!$I$166+'PTRM input'!$I$132)*$I$7)-SUM($I783:W783),(('PTRM input'!$I$166+'PTRM input'!$I$132)*$I$7)/A24taxstdlife))</f>
        <v>0</v>
      </c>
      <c r="Y783" s="590">
        <f>IF(A24taxstdlife="n/a","n/a",IF(Y$3&gt;(A24taxstdlife+$E783),(('PTRM input'!$I$166+'PTRM input'!$I$132)*$I$7)-SUM($I783:X783),(('PTRM input'!$I$166+'PTRM input'!$I$132)*$I$7)/A24taxstdlife))</f>
        <v>0</v>
      </c>
      <c r="Z783" s="590">
        <f>IF(A24taxstdlife="n/a","n/a",IF(Z$3&gt;(A24taxstdlife+$E783),(('PTRM input'!$I$166+'PTRM input'!$I$132)*$I$7)-SUM($I783:Y783),(('PTRM input'!$I$166+'PTRM input'!$I$132)*$I$7)/A24taxstdlife))</f>
        <v>0</v>
      </c>
      <c r="AA783" s="590">
        <f>IF(A24taxstdlife="n/a","n/a",IF(AA$3&gt;(A24taxstdlife+$E783),(('PTRM input'!$I$166+'PTRM input'!$I$132)*$I$7)-SUM($I783:Z783),(('PTRM input'!$I$166+'PTRM input'!$I$132)*$I$7)/A24taxstdlife))</f>
        <v>0</v>
      </c>
      <c r="AB783" s="590">
        <f>IF(A24taxstdlife="n/a","n/a",IF(AB$3&gt;(A24taxstdlife+$E783),(('PTRM input'!$I$166+'PTRM input'!$I$132)*$I$7)-SUM($I783:AA783),(('PTRM input'!$I$166+'PTRM input'!$I$132)*$I$7)/A24taxstdlife))</f>
        <v>0</v>
      </c>
      <c r="AC783" s="590">
        <f>IF(A24taxstdlife="n/a","n/a",IF(AC$3&gt;(A24taxstdlife+$E783),(('PTRM input'!$I$166+'PTRM input'!$I$132)*$I$7)-SUM($I783:AB783),(('PTRM input'!$I$166+'PTRM input'!$I$132)*$I$7)/A24taxstdlife))</f>
        <v>0</v>
      </c>
      <c r="AD783" s="590">
        <f>IF(A24taxstdlife="n/a","n/a",IF(AD$3&gt;(A24taxstdlife+$E783),(('PTRM input'!$I$166+'PTRM input'!$I$132)*$I$7)-SUM($I783:AC783),(('PTRM input'!$I$166+'PTRM input'!$I$132)*$I$7)/A24taxstdlife))</f>
        <v>0</v>
      </c>
      <c r="AE783" s="590">
        <f>IF(A24taxstdlife="n/a","n/a",IF(AE$3&gt;(A24taxstdlife+$E783),(('PTRM input'!$I$166+'PTRM input'!$I$132)*$I$7)-SUM($I783:AD783),(('PTRM input'!$I$166+'PTRM input'!$I$132)*$I$7)/A24taxstdlife))</f>
        <v>0</v>
      </c>
      <c r="AF783" s="590">
        <f>IF(A24taxstdlife="n/a","n/a",IF(AF$3&gt;(A24taxstdlife+$E783),(('PTRM input'!$I$166+'PTRM input'!$I$132)*$I$7)-SUM($I783:AE783),(('PTRM input'!$I$166+'PTRM input'!$I$132)*$I$7)/A24taxstdlife))</f>
        <v>0</v>
      </c>
      <c r="AG783" s="590">
        <f>IF(A24taxstdlife="n/a","n/a",IF(AG$3&gt;(A24taxstdlife+$E783),(('PTRM input'!$I$166+'PTRM input'!$I$132)*$I$7)-SUM($I783:AF783),(('PTRM input'!$I$166+'PTRM input'!$I$132)*$I$7)/A24taxstdlife))</f>
        <v>0</v>
      </c>
      <c r="AH783" s="590">
        <f>IF(A24taxstdlife="n/a","n/a",IF(AH$3&gt;(A24taxstdlife+$E783),(('PTRM input'!$I$166+'PTRM input'!$I$132)*$I$7)-SUM($I783:AG783),(('PTRM input'!$I$166+'PTRM input'!$I$132)*$I$7)/A24taxstdlife))</f>
        <v>0</v>
      </c>
      <c r="AI783" s="590">
        <f>IF(A24taxstdlife="n/a","n/a",IF(AI$3&gt;(A24taxstdlife+$E783),(('PTRM input'!$I$166+'PTRM input'!$I$132)*$I$7)-SUM($I783:AH783),(('PTRM input'!$I$166+'PTRM input'!$I$132)*$I$7)/A24taxstdlife))</f>
        <v>0</v>
      </c>
      <c r="AJ783" s="590">
        <f>IF(A24taxstdlife="n/a","n/a",IF(AJ$3&gt;(A24taxstdlife+$E783),(('PTRM input'!$I$166+'PTRM input'!$I$132)*$I$7)-SUM($I783:AI783),(('PTRM input'!$I$166+'PTRM input'!$I$132)*$I$7)/A24taxstdlife))</f>
        <v>0</v>
      </c>
      <c r="AK783" s="590">
        <f>IF(A24taxstdlife="n/a","n/a",IF(AK$3&gt;(A24taxstdlife+$E783),(('PTRM input'!$I$166+'PTRM input'!$I$132)*$I$7)-SUM($I783:AJ783),(('PTRM input'!$I$166+'PTRM input'!$I$132)*$I$7)/A24taxstdlife))</f>
        <v>0</v>
      </c>
      <c r="AL783" s="590">
        <f>IF(A24taxstdlife="n/a","n/a",IF(AL$3&gt;(A24taxstdlife+$E783),(('PTRM input'!$I$166+'PTRM input'!$I$132)*$I$7)-SUM($I783:AK783),(('PTRM input'!$I$166+'PTRM input'!$I$132)*$I$7)/A24taxstdlife))</f>
        <v>0</v>
      </c>
      <c r="AM783" s="590">
        <f>IF(A24taxstdlife="n/a","n/a",IF(AM$3&gt;(A24taxstdlife+$E783),(('PTRM input'!$I$166+'PTRM input'!$I$132)*$I$7)-SUM($I783:AL783),(('PTRM input'!$I$166+'PTRM input'!$I$132)*$I$7)/A24taxstdlife))</f>
        <v>0</v>
      </c>
      <c r="AN783" s="590">
        <f>IF(A24taxstdlife="n/a","n/a",IF(AN$3&gt;(A24taxstdlife+$E783),(('PTRM input'!$I$166+'PTRM input'!$I$132)*$I$7)-SUM($I783:AM783),(('PTRM input'!$I$166+'PTRM input'!$I$132)*$I$7)/A24taxstdlife))</f>
        <v>0</v>
      </c>
      <c r="AO783" s="590">
        <f>IF(A24taxstdlife="n/a","n/a",IF(AO$3&gt;(A24taxstdlife+$E783),(('PTRM input'!$I$166+'PTRM input'!$I$132)*$I$7)-SUM($I783:AN783),(('PTRM input'!$I$166+'PTRM input'!$I$132)*$I$7)/A24taxstdlife))</f>
        <v>0</v>
      </c>
      <c r="AP783" s="590">
        <f>IF(A24taxstdlife="n/a","n/a",IF(AP$3&gt;(A24taxstdlife+$E783),(('PTRM input'!$I$166+'PTRM input'!$I$132)*$I$7)-SUM($I783:AO783),(('PTRM input'!$I$166+'PTRM input'!$I$132)*$I$7)/A24taxstdlife))</f>
        <v>0</v>
      </c>
      <c r="AQ783" s="590">
        <f>IF(A24taxstdlife="n/a","n/a",IF(AQ$3&gt;(A24taxstdlife+$E783),(('PTRM input'!$I$166+'PTRM input'!$I$132)*$I$7)-SUM($I783:AP783),(('PTRM input'!$I$166+'PTRM input'!$I$132)*$I$7)/A24taxstdlife))</f>
        <v>0</v>
      </c>
      <c r="AR783" s="590">
        <f>IF(A24taxstdlife="n/a","n/a",IF(AR$3&gt;(A24taxstdlife+$E783),(('PTRM input'!$I$166+'PTRM input'!$I$132)*$I$7)-SUM($I783:AQ783),(('PTRM input'!$I$166+'PTRM input'!$I$132)*$I$7)/A24taxstdlife))</f>
        <v>0</v>
      </c>
      <c r="AS783" s="590">
        <f>IF(A24taxstdlife="n/a","n/a",IF(AS$3&gt;(A24taxstdlife+$E783),(('PTRM input'!$I$166+'PTRM input'!$I$132)*$I$7)-SUM($I783:AR783),(('PTRM input'!$I$166+'PTRM input'!$I$132)*$I$7)/A24taxstdlife))</f>
        <v>0</v>
      </c>
      <c r="AT783" s="590">
        <f>IF(A24taxstdlife="n/a","n/a",IF(AT$3&gt;(A24taxstdlife+$E783),(('PTRM input'!$I$166+'PTRM input'!$I$132)*$I$7)-SUM($I783:AS783),(('PTRM input'!$I$166+'PTRM input'!$I$132)*$I$7)/A24taxstdlife))</f>
        <v>0</v>
      </c>
      <c r="AU783" s="590">
        <f>IF(A24taxstdlife="n/a","n/a",IF(AU$3&gt;(A24taxstdlife+$E783),(('PTRM input'!$I$166+'PTRM input'!$I$132)*$I$7)-SUM($I783:AT783),(('PTRM input'!$I$166+'PTRM input'!$I$132)*$I$7)/A24taxstdlife))</f>
        <v>0</v>
      </c>
      <c r="AV783" s="590">
        <f>IF(A24taxstdlife="n/a","n/a",IF(AV$3&gt;(A24taxstdlife+$E783),(('PTRM input'!$I$166+'PTRM input'!$I$132)*$I$7)-SUM($I783:AU783),(('PTRM input'!$I$166+'PTRM input'!$I$132)*$I$7)/A24taxstdlife))</f>
        <v>0</v>
      </c>
      <c r="AW783" s="590">
        <f>IF(A24taxstdlife="n/a","n/a",IF(AW$3&gt;(A24taxstdlife+$E783),(('PTRM input'!$I$166+'PTRM input'!$I$132)*$I$7)-SUM($I783:AV783),(('PTRM input'!$I$166+'PTRM input'!$I$132)*$I$7)/A24taxstdlife))</f>
        <v>0</v>
      </c>
      <c r="AX783" s="590">
        <f>IF(A24taxstdlife="n/a","n/a",IF(AX$3&gt;(A24taxstdlife+$E783),(('PTRM input'!$I$166+'PTRM input'!$I$132)*$I$7)-SUM($I783:AW783),(('PTRM input'!$I$166+'PTRM input'!$I$132)*$I$7)/A24taxstdlife))</f>
        <v>0</v>
      </c>
      <c r="AY783" s="590">
        <f>IF(A24taxstdlife="n/a","n/a",IF(AY$3&gt;(A24taxstdlife+$E783),(('PTRM input'!$I$166+'PTRM input'!$I$132)*$I$7)-SUM($I783:AX783),(('PTRM input'!$I$166+'PTRM input'!$I$132)*$I$7)/A24taxstdlife))</f>
        <v>0</v>
      </c>
      <c r="AZ783" s="590">
        <f>IF(A24taxstdlife="n/a","n/a",IF(AZ$3&gt;(A24taxstdlife+$E783),(('PTRM input'!$I$166+'PTRM input'!$I$132)*$I$7)-SUM($I783:AY783),(('PTRM input'!$I$166+'PTRM input'!$I$132)*$I$7)/A24taxstdlife))</f>
        <v>0</v>
      </c>
      <c r="BA783" s="590">
        <f>IF(A24taxstdlife="n/a","n/a",IF(BA$3&gt;(A24taxstdlife+$E783),(('PTRM input'!$I$166+'PTRM input'!$I$132)*$I$7)-SUM($I783:AZ783),(('PTRM input'!$I$166+'PTRM input'!$I$132)*$I$7)/A24taxstdlife))</f>
        <v>0</v>
      </c>
      <c r="BB783" s="590">
        <f>IF(A24taxstdlife="n/a","n/a",IF(BB$3&gt;(A24taxstdlife+$E783),(('PTRM input'!$I$166+'PTRM input'!$I$132)*$I$7)-SUM($I783:BA783),(('PTRM input'!$I$166+'PTRM input'!$I$132)*$I$7)/A24taxstdlife))</f>
        <v>0</v>
      </c>
      <c r="BC783" s="590">
        <f>IF(A24taxstdlife="n/a","n/a",IF(BC$3&gt;(A24taxstdlife+$E783),(('PTRM input'!$I$166+'PTRM input'!$I$132)*$I$7)-SUM($I783:BB783),(('PTRM input'!$I$166+'PTRM input'!$I$132)*$I$7)/A24taxstdlife))</f>
        <v>0</v>
      </c>
      <c r="BD783" s="590">
        <f>IF(A24taxstdlife="n/a","n/a",IF(BD$3&gt;(A24taxstdlife+$E783),(('PTRM input'!$I$166+'PTRM input'!$I$132)*$I$7)-SUM($I783:BC783),(('PTRM input'!$I$166+'PTRM input'!$I$132)*$I$7)/A24taxstdlife))</f>
        <v>0</v>
      </c>
      <c r="BE783" s="590">
        <f>IF(A24taxstdlife="n/a","n/a",IF(BE$3&gt;(A24taxstdlife+$E783),(('PTRM input'!$I$166+'PTRM input'!$I$132)*$I$7)-SUM($I783:BD783),(('PTRM input'!$I$166+'PTRM input'!$I$132)*$I$7)/A24taxstdlife))</f>
        <v>0</v>
      </c>
      <c r="BF783" s="590">
        <f>IF(A24taxstdlife="n/a","n/a",IF(BF$3&gt;(A24taxstdlife+$E783),(('PTRM input'!$I$166+'PTRM input'!$I$132)*$I$7)-SUM($I783:BE783),(('PTRM input'!$I$166+'PTRM input'!$I$132)*$I$7)/A24taxstdlife))</f>
        <v>0</v>
      </c>
      <c r="BG783" s="590">
        <f>IF(A24taxstdlife="n/a","n/a",IF(BG$3&gt;(A24taxstdlife+$E783),(('PTRM input'!$I$166+'PTRM input'!$I$132)*$I$7)-SUM($I783:BF783),(('PTRM input'!$I$166+'PTRM input'!$I$132)*$I$7)/A24taxstdlife))</f>
        <v>0</v>
      </c>
      <c r="BH783" s="590">
        <f>IF(A24taxstdlife="n/a","n/a",IF(BH$3&gt;(A24taxstdlife+$E783),(('PTRM input'!$I$166+'PTRM input'!$I$132)*$I$7)-SUM($I783:BG783),(('PTRM input'!$I$166+'PTRM input'!$I$132)*$I$7)/A24taxstdlife))</f>
        <v>0</v>
      </c>
      <c r="BI783" s="590">
        <f>IF(A24taxstdlife="n/a","n/a",IF(BI$3&gt;(A24taxstdlife+$E783),(('PTRM input'!$I$166+'PTRM input'!$I$132)*$I$7)-SUM($I783:BH783),(('PTRM input'!$I$166+'PTRM input'!$I$132)*$I$7)/A24taxstdlife))</f>
        <v>0</v>
      </c>
      <c r="BJ783" s="590"/>
      <c r="BK783" s="240"/>
      <c r="BL783" s="240"/>
      <c r="BM783" s="240"/>
    </row>
    <row r="784" spans="1:65" s="4" customFormat="1" hidden="1" outlineLevel="2">
      <c r="A784" s="240"/>
      <c r="B784" s="240"/>
      <c r="C784" s="595"/>
      <c r="D784" s="1618"/>
      <c r="E784" s="169">
        <v>4</v>
      </c>
      <c r="F784" s="35"/>
      <c r="G784" s="184"/>
      <c r="H784" s="186"/>
      <c r="I784" s="186"/>
      <c r="J784" s="185"/>
      <c r="K784" s="107">
        <f>IF(A24taxstdlife="n/a","n/a",IF(K$3&gt;(A24taxstdlife+$E784),(('PTRM input'!$J$166+'PTRM input'!$J$132)*$J$7)-SUM($J784:J784),(('PTRM input'!$J$166+'PTRM input'!$J$132)*$J$7)/A24taxstdlife))</f>
        <v>0</v>
      </c>
      <c r="L784" s="107">
        <f>IF(A24taxstdlife="n/a","n/a",IF(L$3&gt;(A24taxstdlife+$E784),(('PTRM input'!$J$166+'PTRM input'!$J$132)*$J$7)-SUM($J784:K784),(('PTRM input'!$J$166+'PTRM input'!$J$132)*$J$7)/A24taxstdlife))</f>
        <v>0</v>
      </c>
      <c r="M784" s="107">
        <f>IF(A24taxstdlife="n/a","n/a",IF(M$3&gt;(A24taxstdlife+$E784),(('PTRM input'!$J$166+'PTRM input'!$J$132)*$J$7)-SUM($J784:L784),(('PTRM input'!$J$166+'PTRM input'!$J$132)*$J$7)/A24taxstdlife))</f>
        <v>0</v>
      </c>
      <c r="N784" s="107">
        <f>IF(A24taxstdlife="n/a","n/a",IF(N$3&gt;(A24taxstdlife+$E784),(('PTRM input'!$J$166+'PTRM input'!$J$132)*$J$7)-SUM($J784:M784),(('PTRM input'!$J$166+'PTRM input'!$J$132)*$J$7)/A24taxstdlife))</f>
        <v>0</v>
      </c>
      <c r="O784" s="107">
        <f>IF(A24taxstdlife="n/a","n/a",IF(O$3&gt;(A24taxstdlife+$E784),(('PTRM input'!$J$166+'PTRM input'!$J$132)*$J$7)-SUM($J784:N784),(('PTRM input'!$J$166+'PTRM input'!$J$132)*$J$7)/A24taxstdlife))</f>
        <v>0</v>
      </c>
      <c r="P784" s="107">
        <f>IF(A24taxstdlife="n/a","n/a",IF(P$3&gt;(A24taxstdlife+$E784),(('PTRM input'!$J$166+'PTRM input'!$J$132)*$J$7)-SUM($J784:O784),(('PTRM input'!$J$166+'PTRM input'!$J$132)*$J$7)/A24taxstdlife))</f>
        <v>0</v>
      </c>
      <c r="Q784" s="590">
        <f>IF(A24taxstdlife="n/a","n/a",IF(Q$3&gt;(A24taxstdlife+$E784),(('PTRM input'!$J$166+'PTRM input'!$J$132)*$J$7)-SUM($J784:P784),(('PTRM input'!$J$166+'PTRM input'!$J$132)*$J$7)/A24taxstdlife))</f>
        <v>0</v>
      </c>
      <c r="R784" s="590">
        <f>IF(A24taxstdlife="n/a","n/a",IF(R$3&gt;(A24taxstdlife+$E784),(('PTRM input'!$J$166+'PTRM input'!$J$132)*$J$7)-SUM($J784:Q784),(('PTRM input'!$J$166+'PTRM input'!$J$132)*$J$7)/A24taxstdlife))</f>
        <v>0</v>
      </c>
      <c r="S784" s="590">
        <f>IF(A24taxstdlife="n/a","n/a",IF(S$3&gt;(A24taxstdlife+$E784),(('PTRM input'!$J$166+'PTRM input'!$J$132)*$J$7)-SUM($J784:R784),(('PTRM input'!$J$166+'PTRM input'!$J$132)*$J$7)/A24taxstdlife))</f>
        <v>0</v>
      </c>
      <c r="T784" s="590">
        <f>IF(A24taxstdlife="n/a","n/a",IF(T$3&gt;(A24taxstdlife+$E784),(('PTRM input'!$J$166+'PTRM input'!$J$132)*$J$7)-SUM($J784:S784),(('PTRM input'!$J$166+'PTRM input'!$J$132)*$J$7)/A24taxstdlife))</f>
        <v>0</v>
      </c>
      <c r="U784" s="590">
        <f>IF(A24taxstdlife="n/a","n/a",IF(U$3&gt;(A24taxstdlife+$E784),(('PTRM input'!$J$166+'PTRM input'!$J$132)*$J$7)-SUM($J784:T784),(('PTRM input'!$J$166+'PTRM input'!$J$132)*$J$7)/A24taxstdlife))</f>
        <v>0</v>
      </c>
      <c r="V784" s="590">
        <f>IF(A24taxstdlife="n/a","n/a",IF(V$3&gt;(A24taxstdlife+$E784),(('PTRM input'!$J$166+'PTRM input'!$J$132)*$J$7)-SUM($J784:U784),(('PTRM input'!$J$166+'PTRM input'!$J$132)*$J$7)/A24taxstdlife))</f>
        <v>0</v>
      </c>
      <c r="W784" s="590">
        <f>IF(A24taxstdlife="n/a","n/a",IF(W$3&gt;(A24taxstdlife+$E784),(('PTRM input'!$J$166+'PTRM input'!$J$132)*$J$7)-SUM($J784:V784),(('PTRM input'!$J$166+'PTRM input'!$J$132)*$J$7)/A24taxstdlife))</f>
        <v>0</v>
      </c>
      <c r="X784" s="590">
        <f>IF(A24taxstdlife="n/a","n/a",IF(X$3&gt;(A24taxstdlife+$E784),(('PTRM input'!$J$166+'PTRM input'!$J$132)*$J$7)-SUM($J784:W784),(('PTRM input'!$J$166+'PTRM input'!$J$132)*$J$7)/A24taxstdlife))</f>
        <v>0</v>
      </c>
      <c r="Y784" s="590">
        <f>IF(A24taxstdlife="n/a","n/a",IF(Y$3&gt;(A24taxstdlife+$E784),(('PTRM input'!$J$166+'PTRM input'!$J$132)*$J$7)-SUM($J784:X784),(('PTRM input'!$J$166+'PTRM input'!$J$132)*$J$7)/A24taxstdlife))</f>
        <v>0</v>
      </c>
      <c r="Z784" s="590">
        <f>IF(A24taxstdlife="n/a","n/a",IF(Z$3&gt;(A24taxstdlife+$E784),(('PTRM input'!$J$166+'PTRM input'!$J$132)*$J$7)-SUM($J784:Y784),(('PTRM input'!$J$166+'PTRM input'!$J$132)*$J$7)/A24taxstdlife))</f>
        <v>0</v>
      </c>
      <c r="AA784" s="590">
        <f>IF(A24taxstdlife="n/a","n/a",IF(AA$3&gt;(A24taxstdlife+$E784),(('PTRM input'!$J$166+'PTRM input'!$J$132)*$J$7)-SUM($J784:Z784),(('PTRM input'!$J$166+'PTRM input'!$J$132)*$J$7)/A24taxstdlife))</f>
        <v>0</v>
      </c>
      <c r="AB784" s="590">
        <f>IF(A24taxstdlife="n/a","n/a",IF(AB$3&gt;(A24taxstdlife+$E784),(('PTRM input'!$J$166+'PTRM input'!$J$132)*$J$7)-SUM($J784:AA784),(('PTRM input'!$J$166+'PTRM input'!$J$132)*$J$7)/A24taxstdlife))</f>
        <v>0</v>
      </c>
      <c r="AC784" s="590">
        <f>IF(A24taxstdlife="n/a","n/a",IF(AC$3&gt;(A24taxstdlife+$E784),(('PTRM input'!$J$166+'PTRM input'!$J$132)*$J$7)-SUM($J784:AB784),(('PTRM input'!$J$166+'PTRM input'!$J$132)*$J$7)/A24taxstdlife))</f>
        <v>0</v>
      </c>
      <c r="AD784" s="590">
        <f>IF(A24taxstdlife="n/a","n/a",IF(AD$3&gt;(A24taxstdlife+$E784),(('PTRM input'!$J$166+'PTRM input'!$J$132)*$J$7)-SUM($J784:AC784),(('PTRM input'!$J$166+'PTRM input'!$J$132)*$J$7)/A24taxstdlife))</f>
        <v>0</v>
      </c>
      <c r="AE784" s="590">
        <f>IF(A24taxstdlife="n/a","n/a",IF(AE$3&gt;(A24taxstdlife+$E784),(('PTRM input'!$J$166+'PTRM input'!$J$132)*$J$7)-SUM($J784:AD784),(('PTRM input'!$J$166+'PTRM input'!$J$132)*$J$7)/A24taxstdlife))</f>
        <v>0</v>
      </c>
      <c r="AF784" s="590">
        <f>IF(A24taxstdlife="n/a","n/a",IF(AF$3&gt;(A24taxstdlife+$E784),(('PTRM input'!$J$166+'PTRM input'!$J$132)*$J$7)-SUM($J784:AE784),(('PTRM input'!$J$166+'PTRM input'!$J$132)*$J$7)/A24taxstdlife))</f>
        <v>0</v>
      </c>
      <c r="AG784" s="590">
        <f>IF(A24taxstdlife="n/a","n/a",IF(AG$3&gt;(A24taxstdlife+$E784),(('PTRM input'!$J$166+'PTRM input'!$J$132)*$J$7)-SUM($J784:AF784),(('PTRM input'!$J$166+'PTRM input'!$J$132)*$J$7)/A24taxstdlife))</f>
        <v>0</v>
      </c>
      <c r="AH784" s="590">
        <f>IF(A24taxstdlife="n/a","n/a",IF(AH$3&gt;(A24taxstdlife+$E784),(('PTRM input'!$J$166+'PTRM input'!$J$132)*$J$7)-SUM($J784:AG784),(('PTRM input'!$J$166+'PTRM input'!$J$132)*$J$7)/A24taxstdlife))</f>
        <v>0</v>
      </c>
      <c r="AI784" s="590">
        <f>IF(A24taxstdlife="n/a","n/a",IF(AI$3&gt;(A24taxstdlife+$E784),(('PTRM input'!$J$166+'PTRM input'!$J$132)*$J$7)-SUM($J784:AH784),(('PTRM input'!$J$166+'PTRM input'!$J$132)*$J$7)/A24taxstdlife))</f>
        <v>0</v>
      </c>
      <c r="AJ784" s="590">
        <f>IF(A24taxstdlife="n/a","n/a",IF(AJ$3&gt;(A24taxstdlife+$E784),(('PTRM input'!$J$166+'PTRM input'!$J$132)*$J$7)-SUM($J784:AI784),(('PTRM input'!$J$166+'PTRM input'!$J$132)*$J$7)/A24taxstdlife))</f>
        <v>0</v>
      </c>
      <c r="AK784" s="590">
        <f>IF(A24taxstdlife="n/a","n/a",IF(AK$3&gt;(A24taxstdlife+$E784),(('PTRM input'!$J$166+'PTRM input'!$J$132)*$J$7)-SUM($J784:AJ784),(('PTRM input'!$J$166+'PTRM input'!$J$132)*$J$7)/A24taxstdlife))</f>
        <v>0</v>
      </c>
      <c r="AL784" s="590">
        <f>IF(A24taxstdlife="n/a","n/a",IF(AL$3&gt;(A24taxstdlife+$E784),(('PTRM input'!$J$166+'PTRM input'!$J$132)*$J$7)-SUM($J784:AK784),(('PTRM input'!$J$166+'PTRM input'!$J$132)*$J$7)/A24taxstdlife))</f>
        <v>0</v>
      </c>
      <c r="AM784" s="590">
        <f>IF(A24taxstdlife="n/a","n/a",IF(AM$3&gt;(A24taxstdlife+$E784),(('PTRM input'!$J$166+'PTRM input'!$J$132)*$J$7)-SUM($J784:AL784),(('PTRM input'!$J$166+'PTRM input'!$J$132)*$J$7)/A24taxstdlife))</f>
        <v>0</v>
      </c>
      <c r="AN784" s="590">
        <f>IF(A24taxstdlife="n/a","n/a",IF(AN$3&gt;(A24taxstdlife+$E784),(('PTRM input'!$J$166+'PTRM input'!$J$132)*$J$7)-SUM($J784:AM784),(('PTRM input'!$J$166+'PTRM input'!$J$132)*$J$7)/A24taxstdlife))</f>
        <v>0</v>
      </c>
      <c r="AO784" s="590">
        <f>IF(A24taxstdlife="n/a","n/a",IF(AO$3&gt;(A24taxstdlife+$E784),(('PTRM input'!$J$166+'PTRM input'!$J$132)*$J$7)-SUM($J784:AN784),(('PTRM input'!$J$166+'PTRM input'!$J$132)*$J$7)/A24taxstdlife))</f>
        <v>0</v>
      </c>
      <c r="AP784" s="590">
        <f>IF(A24taxstdlife="n/a","n/a",IF(AP$3&gt;(A24taxstdlife+$E784),(('PTRM input'!$J$166+'PTRM input'!$J$132)*$J$7)-SUM($J784:AO784),(('PTRM input'!$J$166+'PTRM input'!$J$132)*$J$7)/A24taxstdlife))</f>
        <v>0</v>
      </c>
      <c r="AQ784" s="590">
        <f>IF(A24taxstdlife="n/a","n/a",IF(AQ$3&gt;(A24taxstdlife+$E784),(('PTRM input'!$J$166+'PTRM input'!$J$132)*$J$7)-SUM($J784:AP784),(('PTRM input'!$J$166+'PTRM input'!$J$132)*$J$7)/A24taxstdlife))</f>
        <v>0</v>
      </c>
      <c r="AR784" s="590">
        <f>IF(A24taxstdlife="n/a","n/a",IF(AR$3&gt;(A24taxstdlife+$E784),(('PTRM input'!$J$166+'PTRM input'!$J$132)*$J$7)-SUM($J784:AQ784),(('PTRM input'!$J$166+'PTRM input'!$J$132)*$J$7)/A24taxstdlife))</f>
        <v>0</v>
      </c>
      <c r="AS784" s="590">
        <f>IF(A24taxstdlife="n/a","n/a",IF(AS$3&gt;(A24taxstdlife+$E784),(('PTRM input'!$J$166+'PTRM input'!$J$132)*$J$7)-SUM($J784:AR784),(('PTRM input'!$J$166+'PTRM input'!$J$132)*$J$7)/A24taxstdlife))</f>
        <v>0</v>
      </c>
      <c r="AT784" s="590">
        <f>IF(A24taxstdlife="n/a","n/a",IF(AT$3&gt;(A24taxstdlife+$E784),(('PTRM input'!$J$166+'PTRM input'!$J$132)*$J$7)-SUM($J784:AS784),(('PTRM input'!$J$166+'PTRM input'!$J$132)*$J$7)/A24taxstdlife))</f>
        <v>0</v>
      </c>
      <c r="AU784" s="590">
        <f>IF(A24taxstdlife="n/a","n/a",IF(AU$3&gt;(A24taxstdlife+$E784),(('PTRM input'!$J$166+'PTRM input'!$J$132)*$J$7)-SUM($J784:AT784),(('PTRM input'!$J$166+'PTRM input'!$J$132)*$J$7)/A24taxstdlife))</f>
        <v>0</v>
      </c>
      <c r="AV784" s="590">
        <f>IF(A24taxstdlife="n/a","n/a",IF(AV$3&gt;(A24taxstdlife+$E784),(('PTRM input'!$J$166+'PTRM input'!$J$132)*$J$7)-SUM($J784:AU784),(('PTRM input'!$J$166+'PTRM input'!$J$132)*$J$7)/A24taxstdlife))</f>
        <v>0</v>
      </c>
      <c r="AW784" s="590">
        <f>IF(A24taxstdlife="n/a","n/a",IF(AW$3&gt;(A24taxstdlife+$E784),(('PTRM input'!$J$166+'PTRM input'!$J$132)*$J$7)-SUM($J784:AV784),(('PTRM input'!$J$166+'PTRM input'!$J$132)*$J$7)/A24taxstdlife))</f>
        <v>0</v>
      </c>
      <c r="AX784" s="590">
        <f>IF(A24taxstdlife="n/a","n/a",IF(AX$3&gt;(A24taxstdlife+$E784),(('PTRM input'!$J$166+'PTRM input'!$J$132)*$J$7)-SUM($J784:AW784),(('PTRM input'!$J$166+'PTRM input'!$J$132)*$J$7)/A24taxstdlife))</f>
        <v>0</v>
      </c>
      <c r="AY784" s="590">
        <f>IF(A24taxstdlife="n/a","n/a",IF(AY$3&gt;(A24taxstdlife+$E784),(('PTRM input'!$J$166+'PTRM input'!$J$132)*$J$7)-SUM($J784:AX784),(('PTRM input'!$J$166+'PTRM input'!$J$132)*$J$7)/A24taxstdlife))</f>
        <v>0</v>
      </c>
      <c r="AZ784" s="590">
        <f>IF(A24taxstdlife="n/a","n/a",IF(AZ$3&gt;(A24taxstdlife+$E784),(('PTRM input'!$J$166+'PTRM input'!$J$132)*$J$7)-SUM($J784:AY784),(('PTRM input'!$J$166+'PTRM input'!$J$132)*$J$7)/A24taxstdlife))</f>
        <v>0</v>
      </c>
      <c r="BA784" s="590">
        <f>IF(A24taxstdlife="n/a","n/a",IF(BA$3&gt;(A24taxstdlife+$E784),(('PTRM input'!$J$166+'PTRM input'!$J$132)*$J$7)-SUM($J784:AZ784),(('PTRM input'!$J$166+'PTRM input'!$J$132)*$J$7)/A24taxstdlife))</f>
        <v>0</v>
      </c>
      <c r="BB784" s="590">
        <f>IF(A24taxstdlife="n/a","n/a",IF(BB$3&gt;(A24taxstdlife+$E784),(('PTRM input'!$J$166+'PTRM input'!$J$132)*$J$7)-SUM($J784:BA784),(('PTRM input'!$J$166+'PTRM input'!$J$132)*$J$7)/A24taxstdlife))</f>
        <v>0</v>
      </c>
      <c r="BC784" s="590">
        <f>IF(A24taxstdlife="n/a","n/a",IF(BC$3&gt;(A24taxstdlife+$E784),(('PTRM input'!$J$166+'PTRM input'!$J$132)*$J$7)-SUM($J784:BB784),(('PTRM input'!$J$166+'PTRM input'!$J$132)*$J$7)/A24taxstdlife))</f>
        <v>0</v>
      </c>
      <c r="BD784" s="590">
        <f>IF(A24taxstdlife="n/a","n/a",IF(BD$3&gt;(A24taxstdlife+$E784),(('PTRM input'!$J$166+'PTRM input'!$J$132)*$J$7)-SUM($J784:BC784),(('PTRM input'!$J$166+'PTRM input'!$J$132)*$J$7)/A24taxstdlife))</f>
        <v>0</v>
      </c>
      <c r="BE784" s="590">
        <f>IF(A24taxstdlife="n/a","n/a",IF(BE$3&gt;(A24taxstdlife+$E784),(('PTRM input'!$J$166+'PTRM input'!$J$132)*$J$7)-SUM($J784:BD784),(('PTRM input'!$J$166+'PTRM input'!$J$132)*$J$7)/A24taxstdlife))</f>
        <v>0</v>
      </c>
      <c r="BF784" s="590">
        <f>IF(A24taxstdlife="n/a","n/a",IF(BF$3&gt;(A24taxstdlife+$E784),(('PTRM input'!$J$166+'PTRM input'!$J$132)*$J$7)-SUM($J784:BE784),(('PTRM input'!$J$166+'PTRM input'!$J$132)*$J$7)/A24taxstdlife))</f>
        <v>0</v>
      </c>
      <c r="BG784" s="590">
        <f>IF(A24taxstdlife="n/a","n/a",IF(BG$3&gt;(A24taxstdlife+$E784),(('PTRM input'!$J$166+'PTRM input'!$J$132)*$J$7)-SUM($J784:BF784),(('PTRM input'!$J$166+'PTRM input'!$J$132)*$J$7)/A24taxstdlife))</f>
        <v>0</v>
      </c>
      <c r="BH784" s="590">
        <f>IF(A24taxstdlife="n/a","n/a",IF(BH$3&gt;(A24taxstdlife+$E784),(('PTRM input'!$J$166+'PTRM input'!$J$132)*$J$7)-SUM($J784:BG784),(('PTRM input'!$J$166+'PTRM input'!$J$132)*$J$7)/A24taxstdlife))</f>
        <v>0</v>
      </c>
      <c r="BI784" s="590">
        <f>IF(A24taxstdlife="n/a","n/a",IF(BI$3&gt;(A24taxstdlife+$E784),(('PTRM input'!$J$166+'PTRM input'!$J$132)*$J$7)-SUM($J784:BH784),(('PTRM input'!$J$166+'PTRM input'!$J$132)*$J$7)/A24taxstdlife))</f>
        <v>0</v>
      </c>
      <c r="BJ784" s="240"/>
      <c r="BK784" s="240"/>
      <c r="BL784" s="240"/>
      <c r="BM784" s="240"/>
    </row>
    <row r="785" spans="1:65" s="4" customFormat="1" hidden="1" outlineLevel="2">
      <c r="A785" s="240"/>
      <c r="B785" s="240"/>
      <c r="C785" s="595"/>
      <c r="D785" s="1618"/>
      <c r="E785" s="169">
        <v>5</v>
      </c>
      <c r="F785" s="35"/>
      <c r="G785" s="184"/>
      <c r="H785" s="186"/>
      <c r="I785" s="186"/>
      <c r="J785" s="186"/>
      <c r="K785" s="185"/>
      <c r="L785" s="107">
        <f>IF(A24taxstdlife="n/a","n/a",IF(L$3&gt;(A24taxstdlife+$E785),(('PTRM input'!$K$166+'PTRM input'!$K$132)*$K$7)-SUM($K785:K785),(('PTRM input'!$K$166+'PTRM input'!$K$132)*$K$7)/A24taxstdlife))</f>
        <v>0</v>
      </c>
      <c r="M785" s="107">
        <f>IF(A24taxstdlife="n/a","n/a",IF(M$3&gt;(A24taxstdlife+$E785),(('PTRM input'!$K$166+'PTRM input'!$K$132)*$K$7)-SUM($K785:L785),(('PTRM input'!$K$166+'PTRM input'!$K$132)*$K$7)/A24taxstdlife))</f>
        <v>0</v>
      </c>
      <c r="N785" s="107">
        <f>IF(A24taxstdlife="n/a","n/a",IF(N$3&gt;(A24taxstdlife+$E785),(('PTRM input'!$K$166+'PTRM input'!$K$132)*$K$7)-SUM($K785:M785),(('PTRM input'!$K$166+'PTRM input'!$K$132)*$K$7)/A24taxstdlife))</f>
        <v>0</v>
      </c>
      <c r="O785" s="107">
        <f>IF(A24taxstdlife="n/a","n/a",IF(O$3&gt;(A24taxstdlife+$E785),(('PTRM input'!$K$166+'PTRM input'!$K$132)*$K$7)-SUM($K785:N785),(('PTRM input'!$K$166+'PTRM input'!$K$132)*$K$7)/A24taxstdlife))</f>
        <v>0</v>
      </c>
      <c r="P785" s="107">
        <f>IF(A24taxstdlife="n/a","n/a",IF(P$3&gt;(A24taxstdlife+$E785),(('PTRM input'!$K$166+'PTRM input'!$K$132)*$K$7)-SUM($K785:O785),(('PTRM input'!$K$166+'PTRM input'!$K$132)*$K$7)/A24taxstdlife))</f>
        <v>0</v>
      </c>
      <c r="Q785" s="590">
        <f>IF(A24taxstdlife="n/a","n/a",IF(Q$3&gt;(A24taxstdlife+$E785),(('PTRM input'!$K$166+'PTRM input'!$K$132)*$K$7)-SUM($K785:P785),(('PTRM input'!$K$166+'PTRM input'!$K$132)*$K$7)/A24taxstdlife))</f>
        <v>0</v>
      </c>
      <c r="R785" s="590">
        <f>IF(A24taxstdlife="n/a","n/a",IF(R$3&gt;(A24taxstdlife+$E785),(('PTRM input'!$K$166+'PTRM input'!$K$132)*$K$7)-SUM($K785:Q785),(('PTRM input'!$K$166+'PTRM input'!$K$132)*$K$7)/A24taxstdlife))</f>
        <v>0</v>
      </c>
      <c r="S785" s="590">
        <f>IF(A24taxstdlife="n/a","n/a",IF(S$3&gt;(A24taxstdlife+$E785),(('PTRM input'!$K$166+'PTRM input'!$K$132)*$K$7)-SUM($K785:R785),(('PTRM input'!$K$166+'PTRM input'!$K$132)*$K$7)/A24taxstdlife))</f>
        <v>0</v>
      </c>
      <c r="T785" s="590">
        <f>IF(A24taxstdlife="n/a","n/a",IF(T$3&gt;(A24taxstdlife+$E785),(('PTRM input'!$K$166+'PTRM input'!$K$132)*$K$7)-SUM($K785:S785),(('PTRM input'!$K$166+'PTRM input'!$K$132)*$K$7)/A24taxstdlife))</f>
        <v>0</v>
      </c>
      <c r="U785" s="590">
        <f>IF(A24taxstdlife="n/a","n/a",IF(U$3&gt;(A24taxstdlife+$E785),(('PTRM input'!$K$166+'PTRM input'!$K$132)*$K$7)-SUM($K785:T785),(('PTRM input'!$K$166+'PTRM input'!$K$132)*$K$7)/A24taxstdlife))</f>
        <v>0</v>
      </c>
      <c r="V785" s="590">
        <f>IF(A24taxstdlife="n/a","n/a",IF(V$3&gt;(A24taxstdlife+$E785),(('PTRM input'!$K$166+'PTRM input'!$K$132)*$K$7)-SUM($K785:U785),(('PTRM input'!$K$166+'PTRM input'!$K$132)*$K$7)/A24taxstdlife))</f>
        <v>0</v>
      </c>
      <c r="W785" s="590">
        <f>IF(A24taxstdlife="n/a","n/a",IF(W$3&gt;(A24taxstdlife+$E785),(('PTRM input'!$K$166+'PTRM input'!$K$132)*$K$7)-SUM($K785:V785),(('PTRM input'!$K$166+'PTRM input'!$K$132)*$K$7)/A24taxstdlife))</f>
        <v>0</v>
      </c>
      <c r="X785" s="590">
        <f>IF(A24taxstdlife="n/a","n/a",IF(X$3&gt;(A24taxstdlife+$E785),(('PTRM input'!$K$166+'PTRM input'!$K$132)*$K$7)-SUM($K785:W785),(('PTRM input'!$K$166+'PTRM input'!$K$132)*$K$7)/A24taxstdlife))</f>
        <v>0</v>
      </c>
      <c r="Y785" s="590">
        <f>IF(A24taxstdlife="n/a","n/a",IF(Y$3&gt;(A24taxstdlife+$E785),(('PTRM input'!$K$166+'PTRM input'!$K$132)*$K$7)-SUM($K785:X785),(('PTRM input'!$K$166+'PTRM input'!$K$132)*$K$7)/A24taxstdlife))</f>
        <v>0</v>
      </c>
      <c r="Z785" s="590">
        <f>IF(A24taxstdlife="n/a","n/a",IF(Z$3&gt;(A24taxstdlife+$E785),(('PTRM input'!$K$166+'PTRM input'!$K$132)*$K$7)-SUM($K785:Y785),(('PTRM input'!$K$166+'PTRM input'!$K$132)*$K$7)/A24taxstdlife))</f>
        <v>0</v>
      </c>
      <c r="AA785" s="590">
        <f>IF(A24taxstdlife="n/a","n/a",IF(AA$3&gt;(A24taxstdlife+$E785),(('PTRM input'!$K$166+'PTRM input'!$K$132)*$K$7)-SUM($K785:Z785),(('PTRM input'!$K$166+'PTRM input'!$K$132)*$K$7)/A24taxstdlife))</f>
        <v>0</v>
      </c>
      <c r="AB785" s="590">
        <f>IF(A24taxstdlife="n/a","n/a",IF(AB$3&gt;(A24taxstdlife+$E785),(('PTRM input'!$K$166+'PTRM input'!$K$132)*$K$7)-SUM($K785:AA785),(('PTRM input'!$K$166+'PTRM input'!$K$132)*$K$7)/A24taxstdlife))</f>
        <v>0</v>
      </c>
      <c r="AC785" s="590">
        <f>IF(A24taxstdlife="n/a","n/a",IF(AC$3&gt;(A24taxstdlife+$E785),(('PTRM input'!$K$166+'PTRM input'!$K$132)*$K$7)-SUM($K785:AB785),(('PTRM input'!$K$166+'PTRM input'!$K$132)*$K$7)/A24taxstdlife))</f>
        <v>0</v>
      </c>
      <c r="AD785" s="590">
        <f>IF(A24taxstdlife="n/a","n/a",IF(AD$3&gt;(A24taxstdlife+$E785),(('PTRM input'!$K$166+'PTRM input'!$K$132)*$K$7)-SUM($K785:AC785),(('PTRM input'!$K$166+'PTRM input'!$K$132)*$K$7)/A24taxstdlife))</f>
        <v>0</v>
      </c>
      <c r="AE785" s="590">
        <f>IF(A24taxstdlife="n/a","n/a",IF(AE$3&gt;(A24taxstdlife+$E785),(('PTRM input'!$K$166+'PTRM input'!$K$132)*$K$7)-SUM($K785:AD785),(('PTRM input'!$K$166+'PTRM input'!$K$132)*$K$7)/A24taxstdlife))</f>
        <v>0</v>
      </c>
      <c r="AF785" s="590">
        <f>IF(A24taxstdlife="n/a","n/a",IF(AF$3&gt;(A24taxstdlife+$E785),(('PTRM input'!$K$166+'PTRM input'!$K$132)*$K$7)-SUM($K785:AE785),(('PTRM input'!$K$166+'PTRM input'!$K$132)*$K$7)/A24taxstdlife))</f>
        <v>0</v>
      </c>
      <c r="AG785" s="590">
        <f>IF(A24taxstdlife="n/a","n/a",IF(AG$3&gt;(A24taxstdlife+$E785),(('PTRM input'!$K$166+'PTRM input'!$K$132)*$K$7)-SUM($K785:AF785),(('PTRM input'!$K$166+'PTRM input'!$K$132)*$K$7)/A24taxstdlife))</f>
        <v>0</v>
      </c>
      <c r="AH785" s="590">
        <f>IF(A24taxstdlife="n/a","n/a",IF(AH$3&gt;(A24taxstdlife+$E785),(('PTRM input'!$K$166+'PTRM input'!$K$132)*$K$7)-SUM($K785:AG785),(('PTRM input'!$K$166+'PTRM input'!$K$132)*$K$7)/A24taxstdlife))</f>
        <v>0</v>
      </c>
      <c r="AI785" s="590">
        <f>IF(A24taxstdlife="n/a","n/a",IF(AI$3&gt;(A24taxstdlife+$E785),(('PTRM input'!$K$166+'PTRM input'!$K$132)*$K$7)-SUM($K785:AH785),(('PTRM input'!$K$166+'PTRM input'!$K$132)*$K$7)/A24taxstdlife))</f>
        <v>0</v>
      </c>
      <c r="AJ785" s="590">
        <f>IF(A24taxstdlife="n/a","n/a",IF(AJ$3&gt;(A24taxstdlife+$E785),(('PTRM input'!$K$166+'PTRM input'!$K$132)*$K$7)-SUM($K785:AI785),(('PTRM input'!$K$166+'PTRM input'!$K$132)*$K$7)/A24taxstdlife))</f>
        <v>0</v>
      </c>
      <c r="AK785" s="590">
        <f>IF(A24taxstdlife="n/a","n/a",IF(AK$3&gt;(A24taxstdlife+$E785),(('PTRM input'!$K$166+'PTRM input'!$K$132)*$K$7)-SUM($K785:AJ785),(('PTRM input'!$K$166+'PTRM input'!$K$132)*$K$7)/A24taxstdlife))</f>
        <v>0</v>
      </c>
      <c r="AL785" s="590">
        <f>IF(A24taxstdlife="n/a","n/a",IF(AL$3&gt;(A24taxstdlife+$E785),(('PTRM input'!$K$166+'PTRM input'!$K$132)*$K$7)-SUM($K785:AK785),(('PTRM input'!$K$166+'PTRM input'!$K$132)*$K$7)/A24taxstdlife))</f>
        <v>0</v>
      </c>
      <c r="AM785" s="590">
        <f>IF(A24taxstdlife="n/a","n/a",IF(AM$3&gt;(A24taxstdlife+$E785),(('PTRM input'!$K$166+'PTRM input'!$K$132)*$K$7)-SUM($K785:AL785),(('PTRM input'!$K$166+'PTRM input'!$K$132)*$K$7)/A24taxstdlife))</f>
        <v>0</v>
      </c>
      <c r="AN785" s="590">
        <f>IF(A24taxstdlife="n/a","n/a",IF(AN$3&gt;(A24taxstdlife+$E785),(('PTRM input'!$K$166+'PTRM input'!$K$132)*$K$7)-SUM($K785:AM785),(('PTRM input'!$K$166+'PTRM input'!$K$132)*$K$7)/A24taxstdlife))</f>
        <v>0</v>
      </c>
      <c r="AO785" s="590">
        <f>IF(A24taxstdlife="n/a","n/a",IF(AO$3&gt;(A24taxstdlife+$E785),(('PTRM input'!$K$166+'PTRM input'!$K$132)*$K$7)-SUM($K785:AN785),(('PTRM input'!$K$166+'PTRM input'!$K$132)*$K$7)/A24taxstdlife))</f>
        <v>0</v>
      </c>
      <c r="AP785" s="590">
        <f>IF(A24taxstdlife="n/a","n/a",IF(AP$3&gt;(A24taxstdlife+$E785),(('PTRM input'!$K$166+'PTRM input'!$K$132)*$K$7)-SUM($K785:AO785),(('PTRM input'!$K$166+'PTRM input'!$K$132)*$K$7)/A24taxstdlife))</f>
        <v>0</v>
      </c>
      <c r="AQ785" s="590">
        <f>IF(A24taxstdlife="n/a","n/a",IF(AQ$3&gt;(A24taxstdlife+$E785),(('PTRM input'!$K$166+'PTRM input'!$K$132)*$K$7)-SUM($K785:AP785),(('PTRM input'!$K$166+'PTRM input'!$K$132)*$K$7)/A24taxstdlife))</f>
        <v>0</v>
      </c>
      <c r="AR785" s="590">
        <f>IF(A24taxstdlife="n/a","n/a",IF(AR$3&gt;(A24taxstdlife+$E785),(('PTRM input'!$K$166+'PTRM input'!$K$132)*$K$7)-SUM($K785:AQ785),(('PTRM input'!$K$166+'PTRM input'!$K$132)*$K$7)/A24taxstdlife))</f>
        <v>0</v>
      </c>
      <c r="AS785" s="590">
        <f>IF(A24taxstdlife="n/a","n/a",IF(AS$3&gt;(A24taxstdlife+$E785),(('PTRM input'!$K$166+'PTRM input'!$K$132)*$K$7)-SUM($K785:AR785),(('PTRM input'!$K$166+'PTRM input'!$K$132)*$K$7)/A24taxstdlife))</f>
        <v>0</v>
      </c>
      <c r="AT785" s="590">
        <f>IF(A24taxstdlife="n/a","n/a",IF(AT$3&gt;(A24taxstdlife+$E785),(('PTRM input'!$K$166+'PTRM input'!$K$132)*$K$7)-SUM($K785:AS785),(('PTRM input'!$K$166+'PTRM input'!$K$132)*$K$7)/A24taxstdlife))</f>
        <v>0</v>
      </c>
      <c r="AU785" s="590">
        <f>IF(A24taxstdlife="n/a","n/a",IF(AU$3&gt;(A24taxstdlife+$E785),(('PTRM input'!$K$166+'PTRM input'!$K$132)*$K$7)-SUM($K785:AT785),(('PTRM input'!$K$166+'PTRM input'!$K$132)*$K$7)/A24taxstdlife))</f>
        <v>0</v>
      </c>
      <c r="AV785" s="590">
        <f>IF(A24taxstdlife="n/a","n/a",IF(AV$3&gt;(A24taxstdlife+$E785),(('PTRM input'!$K$166+'PTRM input'!$K$132)*$K$7)-SUM($K785:AU785),(('PTRM input'!$K$166+'PTRM input'!$K$132)*$K$7)/A24taxstdlife))</f>
        <v>0</v>
      </c>
      <c r="AW785" s="590">
        <f>IF(A24taxstdlife="n/a","n/a",IF(AW$3&gt;(A24taxstdlife+$E785),(('PTRM input'!$K$166+'PTRM input'!$K$132)*$K$7)-SUM($K785:AV785),(('PTRM input'!$K$166+'PTRM input'!$K$132)*$K$7)/A24taxstdlife))</f>
        <v>0</v>
      </c>
      <c r="AX785" s="590">
        <f>IF(A24taxstdlife="n/a","n/a",IF(AX$3&gt;(A24taxstdlife+$E785),(('PTRM input'!$K$166+'PTRM input'!$K$132)*$K$7)-SUM($K785:AW785),(('PTRM input'!$K$166+'PTRM input'!$K$132)*$K$7)/A24taxstdlife))</f>
        <v>0</v>
      </c>
      <c r="AY785" s="590">
        <f>IF(A24taxstdlife="n/a","n/a",IF(AY$3&gt;(A24taxstdlife+$E785),(('PTRM input'!$K$166+'PTRM input'!$K$132)*$K$7)-SUM($K785:AX785),(('PTRM input'!$K$166+'PTRM input'!$K$132)*$K$7)/A24taxstdlife))</f>
        <v>0</v>
      </c>
      <c r="AZ785" s="590">
        <f>IF(A24taxstdlife="n/a","n/a",IF(AZ$3&gt;(A24taxstdlife+$E785),(('PTRM input'!$K$166+'PTRM input'!$K$132)*$K$7)-SUM($K785:AY785),(('PTRM input'!$K$166+'PTRM input'!$K$132)*$K$7)/A24taxstdlife))</f>
        <v>0</v>
      </c>
      <c r="BA785" s="590">
        <f>IF(A24taxstdlife="n/a","n/a",IF(BA$3&gt;(A24taxstdlife+$E785),(('PTRM input'!$K$166+'PTRM input'!$K$132)*$K$7)-SUM($K785:AZ785),(('PTRM input'!$K$166+'PTRM input'!$K$132)*$K$7)/A24taxstdlife))</f>
        <v>0</v>
      </c>
      <c r="BB785" s="590">
        <f>IF(A24taxstdlife="n/a","n/a",IF(BB$3&gt;(A24taxstdlife+$E785),(('PTRM input'!$K$166+'PTRM input'!$K$132)*$K$7)-SUM($K785:BA785),(('PTRM input'!$K$166+'PTRM input'!$K$132)*$K$7)/A24taxstdlife))</f>
        <v>0</v>
      </c>
      <c r="BC785" s="590">
        <f>IF(A24taxstdlife="n/a","n/a",IF(BC$3&gt;(A24taxstdlife+$E785),(('PTRM input'!$K$166+'PTRM input'!$K$132)*$K$7)-SUM($K785:BB785),(('PTRM input'!$K$166+'PTRM input'!$K$132)*$K$7)/A24taxstdlife))</f>
        <v>0</v>
      </c>
      <c r="BD785" s="590">
        <f>IF(A24taxstdlife="n/a","n/a",IF(BD$3&gt;(A24taxstdlife+$E785),(('PTRM input'!$K$166+'PTRM input'!$K$132)*$K$7)-SUM($K785:BC785),(('PTRM input'!$K$166+'PTRM input'!$K$132)*$K$7)/A24taxstdlife))</f>
        <v>0</v>
      </c>
      <c r="BE785" s="590">
        <f>IF(A24taxstdlife="n/a","n/a",IF(BE$3&gt;(A24taxstdlife+$E785),(('PTRM input'!$K$166+'PTRM input'!$K$132)*$K$7)-SUM($K785:BD785),(('PTRM input'!$K$166+'PTRM input'!$K$132)*$K$7)/A24taxstdlife))</f>
        <v>0</v>
      </c>
      <c r="BF785" s="590">
        <f>IF(A24taxstdlife="n/a","n/a",IF(BF$3&gt;(A24taxstdlife+$E785),(('PTRM input'!$K$166+'PTRM input'!$K$132)*$K$7)-SUM($K785:BE785),(('PTRM input'!$K$166+'PTRM input'!$K$132)*$K$7)/A24taxstdlife))</f>
        <v>0</v>
      </c>
      <c r="BG785" s="590">
        <f>IF(A24taxstdlife="n/a","n/a",IF(BG$3&gt;(A24taxstdlife+$E785),(('PTRM input'!$K$166+'PTRM input'!$K$132)*$K$7)-SUM($K785:BF785),(('PTRM input'!$K$166+'PTRM input'!$K$132)*$K$7)/A24taxstdlife))</f>
        <v>0</v>
      </c>
      <c r="BH785" s="590">
        <f>IF(A24taxstdlife="n/a","n/a",IF(BH$3&gt;(A24taxstdlife+$E785),(('PTRM input'!$K$166+'PTRM input'!$K$132)*$K$7)-SUM($K785:BG785),(('PTRM input'!$K$166+'PTRM input'!$K$132)*$K$7)/A24taxstdlife))</f>
        <v>0</v>
      </c>
      <c r="BI785" s="590">
        <f>IF(A24taxstdlife="n/a","n/a",IF(BI$3&gt;(A24taxstdlife+$E785),(('PTRM input'!$K$166+'PTRM input'!$K$132)*$K$7)-SUM($K785:BH785),(('PTRM input'!$K$166+'PTRM input'!$K$132)*$K$7)/A24taxstdlife))</f>
        <v>0</v>
      </c>
      <c r="BJ785" s="240"/>
      <c r="BK785" s="240"/>
      <c r="BL785" s="240"/>
      <c r="BM785" s="240"/>
    </row>
    <row r="786" spans="1:65" s="4" customFormat="1" hidden="1" outlineLevel="2">
      <c r="A786" s="240"/>
      <c r="B786" s="240"/>
      <c r="C786" s="595"/>
      <c r="D786" s="1618"/>
      <c r="E786" s="169">
        <v>6</v>
      </c>
      <c r="F786" s="35"/>
      <c r="G786" s="184"/>
      <c r="H786" s="186"/>
      <c r="I786" s="186"/>
      <c r="J786" s="186"/>
      <c r="K786" s="186"/>
      <c r="L786" s="185"/>
      <c r="M786" s="107">
        <f>IF(A24taxstdlife="n/a","n/a",IF(M$3&gt;(A24taxstdlife+$E786),(('PTRM input'!$L$166+'PTRM input'!$L$132)*$L$7)-SUM($L786:L786),(('PTRM input'!$L$166+'PTRM input'!$L$132)*$L$7)/A24taxstdlife))</f>
        <v>0</v>
      </c>
      <c r="N786" s="107">
        <f>IF(A24taxstdlife="n/a","n/a",IF(N$3&gt;(A24taxstdlife+$E786),(('PTRM input'!$L$166+'PTRM input'!$L$132)*$L$7)-SUM($L786:M786),(('PTRM input'!$L$166+'PTRM input'!$L$132)*$L$7)/A24taxstdlife))</f>
        <v>0</v>
      </c>
      <c r="O786" s="107">
        <f>IF(A24taxstdlife="n/a","n/a",IF(O$3&gt;(A24taxstdlife+$E786),(('PTRM input'!$L$166+'PTRM input'!$L$132)*$L$7)-SUM($L786:N786),(('PTRM input'!$L$166+'PTRM input'!$L$132)*$L$7)/A24taxstdlife))</f>
        <v>0</v>
      </c>
      <c r="P786" s="107">
        <f>IF(A24taxstdlife="n/a","n/a",IF(P$3&gt;(A24taxstdlife+$E786),(('PTRM input'!$L$166+'PTRM input'!$L$132)*$L$7)-SUM($L786:O786),(('PTRM input'!$L$166+'PTRM input'!$L$132)*$L$7)/A24taxstdlife))</f>
        <v>0</v>
      </c>
      <c r="Q786" s="590">
        <f>IF(A24taxstdlife="n/a","n/a",IF(Q$3&gt;(A24taxstdlife+$E786),(('PTRM input'!$L$166+'PTRM input'!$L$132)*$L$7)-SUM($L786:P786),(('PTRM input'!$L$166+'PTRM input'!$L$132)*$L$7)/A24taxstdlife))</f>
        <v>0</v>
      </c>
      <c r="R786" s="590">
        <f>IF(A24taxstdlife="n/a","n/a",IF(R$3&gt;(A24taxstdlife+$E786),(('PTRM input'!$L$166+'PTRM input'!$L$132)*$L$7)-SUM($L786:Q786),(('PTRM input'!$L$166+'PTRM input'!$L$132)*$L$7)/A24taxstdlife))</f>
        <v>0</v>
      </c>
      <c r="S786" s="590">
        <f>IF(A24taxstdlife="n/a","n/a",IF(S$3&gt;(A24taxstdlife+$E786),(('PTRM input'!$L$166+'PTRM input'!$L$132)*$L$7)-SUM($L786:R786),(('PTRM input'!$L$166+'PTRM input'!$L$132)*$L$7)/A24taxstdlife))</f>
        <v>0</v>
      </c>
      <c r="T786" s="590">
        <f>IF(A24taxstdlife="n/a","n/a",IF(T$3&gt;(A24taxstdlife+$E786),(('PTRM input'!$L$166+'PTRM input'!$L$132)*$L$7)-SUM($L786:S786),(('PTRM input'!$L$166+'PTRM input'!$L$132)*$L$7)/A24taxstdlife))</f>
        <v>0</v>
      </c>
      <c r="U786" s="590">
        <f>IF(A24taxstdlife="n/a","n/a",IF(U$3&gt;(A24taxstdlife+$E786),(('PTRM input'!$L$166+'PTRM input'!$L$132)*$L$7)-SUM($L786:T786),(('PTRM input'!$L$166+'PTRM input'!$L$132)*$L$7)/A24taxstdlife))</f>
        <v>0</v>
      </c>
      <c r="V786" s="590">
        <f>IF(A24taxstdlife="n/a","n/a",IF(V$3&gt;(A24taxstdlife+$E786),(('PTRM input'!$L$166+'PTRM input'!$L$132)*$L$7)-SUM($L786:U786),(('PTRM input'!$L$166+'PTRM input'!$L$132)*$L$7)/A24taxstdlife))</f>
        <v>0</v>
      </c>
      <c r="W786" s="590">
        <f>IF(A24taxstdlife="n/a","n/a",IF(W$3&gt;(A24taxstdlife+$E786),(('PTRM input'!$L$166+'PTRM input'!$L$132)*$L$7)-SUM($L786:V786),(('PTRM input'!$L$166+'PTRM input'!$L$132)*$L$7)/A24taxstdlife))</f>
        <v>0</v>
      </c>
      <c r="X786" s="590">
        <f>IF(A24taxstdlife="n/a","n/a",IF(X$3&gt;(A24taxstdlife+$E786),(('PTRM input'!$L$166+'PTRM input'!$L$132)*$L$7)-SUM($L786:W786),(('PTRM input'!$L$166+'PTRM input'!$L$132)*$L$7)/A24taxstdlife))</f>
        <v>0</v>
      </c>
      <c r="Y786" s="590">
        <f>IF(A24taxstdlife="n/a","n/a",IF(Y$3&gt;(A24taxstdlife+$E786),(('PTRM input'!$L$166+'PTRM input'!$L$132)*$L$7)-SUM($L786:X786),(('PTRM input'!$L$166+'PTRM input'!$L$132)*$L$7)/A24taxstdlife))</f>
        <v>0</v>
      </c>
      <c r="Z786" s="590">
        <f>IF(A24taxstdlife="n/a","n/a",IF(Z$3&gt;(A24taxstdlife+$E786),(('PTRM input'!$L$166+'PTRM input'!$L$132)*$L$7)-SUM($L786:Y786),(('PTRM input'!$L$166+'PTRM input'!$L$132)*$L$7)/A24taxstdlife))</f>
        <v>0</v>
      </c>
      <c r="AA786" s="590">
        <f>IF(A24taxstdlife="n/a","n/a",IF(AA$3&gt;(A24taxstdlife+$E786),(('PTRM input'!$L$166+'PTRM input'!$L$132)*$L$7)-SUM($L786:Z786),(('PTRM input'!$L$166+'PTRM input'!$L$132)*$L$7)/A24taxstdlife))</f>
        <v>0</v>
      </c>
      <c r="AB786" s="590">
        <f>IF(A24taxstdlife="n/a","n/a",IF(AB$3&gt;(A24taxstdlife+$E786),(('PTRM input'!$L$166+'PTRM input'!$L$132)*$L$7)-SUM($L786:AA786),(('PTRM input'!$L$166+'PTRM input'!$L$132)*$L$7)/A24taxstdlife))</f>
        <v>0</v>
      </c>
      <c r="AC786" s="590">
        <f>IF(A24taxstdlife="n/a","n/a",IF(AC$3&gt;(A24taxstdlife+$E786),(('PTRM input'!$L$166+'PTRM input'!$L$132)*$L$7)-SUM($L786:AB786),(('PTRM input'!$L$166+'PTRM input'!$L$132)*$L$7)/A24taxstdlife))</f>
        <v>0</v>
      </c>
      <c r="AD786" s="590">
        <f>IF(A24taxstdlife="n/a","n/a",IF(AD$3&gt;(A24taxstdlife+$E786),(('PTRM input'!$L$166+'PTRM input'!$L$132)*$L$7)-SUM($L786:AC786),(('PTRM input'!$L$166+'PTRM input'!$L$132)*$L$7)/A24taxstdlife))</f>
        <v>0</v>
      </c>
      <c r="AE786" s="590">
        <f>IF(A24taxstdlife="n/a","n/a",IF(AE$3&gt;(A24taxstdlife+$E786),(('PTRM input'!$L$166+'PTRM input'!$L$132)*$L$7)-SUM($L786:AD786),(('PTRM input'!$L$166+'PTRM input'!$L$132)*$L$7)/A24taxstdlife))</f>
        <v>0</v>
      </c>
      <c r="AF786" s="590">
        <f>IF(A24taxstdlife="n/a","n/a",IF(AF$3&gt;(A24taxstdlife+$E786),(('PTRM input'!$L$166+'PTRM input'!$L$132)*$L$7)-SUM($L786:AE786),(('PTRM input'!$L$166+'PTRM input'!$L$132)*$L$7)/A24taxstdlife))</f>
        <v>0</v>
      </c>
      <c r="AG786" s="590">
        <f>IF(A24taxstdlife="n/a","n/a",IF(AG$3&gt;(A24taxstdlife+$E786),(('PTRM input'!$L$166+'PTRM input'!$L$132)*$L$7)-SUM($L786:AF786),(('PTRM input'!$L$166+'PTRM input'!$L$132)*$L$7)/A24taxstdlife))</f>
        <v>0</v>
      </c>
      <c r="AH786" s="590">
        <f>IF(A24taxstdlife="n/a","n/a",IF(AH$3&gt;(A24taxstdlife+$E786),(('PTRM input'!$L$166+'PTRM input'!$L$132)*$L$7)-SUM($L786:AG786),(('PTRM input'!$L$166+'PTRM input'!$L$132)*$L$7)/A24taxstdlife))</f>
        <v>0</v>
      </c>
      <c r="AI786" s="590">
        <f>IF(A24taxstdlife="n/a","n/a",IF(AI$3&gt;(A24taxstdlife+$E786),(('PTRM input'!$L$166+'PTRM input'!$L$132)*$L$7)-SUM($L786:AH786),(('PTRM input'!$L$166+'PTRM input'!$L$132)*$L$7)/A24taxstdlife))</f>
        <v>0</v>
      </c>
      <c r="AJ786" s="590">
        <f>IF(A24taxstdlife="n/a","n/a",IF(AJ$3&gt;(A24taxstdlife+$E786),(('PTRM input'!$L$166+'PTRM input'!$L$132)*$L$7)-SUM($L786:AI786),(('PTRM input'!$L$166+'PTRM input'!$L$132)*$L$7)/A24taxstdlife))</f>
        <v>0</v>
      </c>
      <c r="AK786" s="590">
        <f>IF(A24taxstdlife="n/a","n/a",IF(AK$3&gt;(A24taxstdlife+$E786),(('PTRM input'!$L$166+'PTRM input'!$L$132)*$L$7)-SUM($L786:AJ786),(('PTRM input'!$L$166+'PTRM input'!$L$132)*$L$7)/A24taxstdlife))</f>
        <v>0</v>
      </c>
      <c r="AL786" s="590">
        <f>IF(A24taxstdlife="n/a","n/a",IF(AL$3&gt;(A24taxstdlife+$E786),(('PTRM input'!$L$166+'PTRM input'!$L$132)*$L$7)-SUM($L786:AK786),(('PTRM input'!$L$166+'PTRM input'!$L$132)*$L$7)/A24taxstdlife))</f>
        <v>0</v>
      </c>
      <c r="AM786" s="590">
        <f>IF(A24taxstdlife="n/a","n/a",IF(AM$3&gt;(A24taxstdlife+$E786),(('PTRM input'!$L$166+'PTRM input'!$L$132)*$L$7)-SUM($L786:AL786),(('PTRM input'!$L$166+'PTRM input'!$L$132)*$L$7)/A24taxstdlife))</f>
        <v>0</v>
      </c>
      <c r="AN786" s="590">
        <f>IF(A24taxstdlife="n/a","n/a",IF(AN$3&gt;(A24taxstdlife+$E786),(('PTRM input'!$L$166+'PTRM input'!$L$132)*$L$7)-SUM($L786:AM786),(('PTRM input'!$L$166+'PTRM input'!$L$132)*$L$7)/A24taxstdlife))</f>
        <v>0</v>
      </c>
      <c r="AO786" s="590">
        <f>IF(A24taxstdlife="n/a","n/a",IF(AO$3&gt;(A24taxstdlife+$E786),(('PTRM input'!$L$166+'PTRM input'!$L$132)*$L$7)-SUM($L786:AN786),(('PTRM input'!$L$166+'PTRM input'!$L$132)*$L$7)/A24taxstdlife))</f>
        <v>0</v>
      </c>
      <c r="AP786" s="590">
        <f>IF(A24taxstdlife="n/a","n/a",IF(AP$3&gt;(A24taxstdlife+$E786),(('PTRM input'!$L$166+'PTRM input'!$L$132)*$L$7)-SUM($L786:AO786),(('PTRM input'!$L$166+'PTRM input'!$L$132)*$L$7)/A24taxstdlife))</f>
        <v>0</v>
      </c>
      <c r="AQ786" s="590">
        <f>IF(A24taxstdlife="n/a","n/a",IF(AQ$3&gt;(A24taxstdlife+$E786),(('PTRM input'!$L$166+'PTRM input'!$L$132)*$L$7)-SUM($L786:AP786),(('PTRM input'!$L$166+'PTRM input'!$L$132)*$L$7)/A24taxstdlife))</f>
        <v>0</v>
      </c>
      <c r="AR786" s="590">
        <f>IF(A24taxstdlife="n/a","n/a",IF(AR$3&gt;(A24taxstdlife+$E786),(('PTRM input'!$L$166+'PTRM input'!$L$132)*$L$7)-SUM($L786:AQ786),(('PTRM input'!$L$166+'PTRM input'!$L$132)*$L$7)/A24taxstdlife))</f>
        <v>0</v>
      </c>
      <c r="AS786" s="590">
        <f>IF(A24taxstdlife="n/a","n/a",IF(AS$3&gt;(A24taxstdlife+$E786),(('PTRM input'!$L$166+'PTRM input'!$L$132)*$L$7)-SUM($L786:AR786),(('PTRM input'!$L$166+'PTRM input'!$L$132)*$L$7)/A24taxstdlife))</f>
        <v>0</v>
      </c>
      <c r="AT786" s="590">
        <f>IF(A24taxstdlife="n/a","n/a",IF(AT$3&gt;(A24taxstdlife+$E786),(('PTRM input'!$L$166+'PTRM input'!$L$132)*$L$7)-SUM($L786:AS786),(('PTRM input'!$L$166+'PTRM input'!$L$132)*$L$7)/A24taxstdlife))</f>
        <v>0</v>
      </c>
      <c r="AU786" s="590">
        <f>IF(A24taxstdlife="n/a","n/a",IF(AU$3&gt;(A24taxstdlife+$E786),(('PTRM input'!$L$166+'PTRM input'!$L$132)*$L$7)-SUM($L786:AT786),(('PTRM input'!$L$166+'PTRM input'!$L$132)*$L$7)/A24taxstdlife))</f>
        <v>0</v>
      </c>
      <c r="AV786" s="590">
        <f>IF(A24taxstdlife="n/a","n/a",IF(AV$3&gt;(A24taxstdlife+$E786),(('PTRM input'!$L$166+'PTRM input'!$L$132)*$L$7)-SUM($L786:AU786),(('PTRM input'!$L$166+'PTRM input'!$L$132)*$L$7)/A24taxstdlife))</f>
        <v>0</v>
      </c>
      <c r="AW786" s="590">
        <f>IF(A24taxstdlife="n/a","n/a",IF(AW$3&gt;(A24taxstdlife+$E786),(('PTRM input'!$L$166+'PTRM input'!$L$132)*$L$7)-SUM($L786:AV786),(('PTRM input'!$L$166+'PTRM input'!$L$132)*$L$7)/A24taxstdlife))</f>
        <v>0</v>
      </c>
      <c r="AX786" s="590">
        <f>IF(A24taxstdlife="n/a","n/a",IF(AX$3&gt;(A24taxstdlife+$E786),(('PTRM input'!$L$166+'PTRM input'!$L$132)*$L$7)-SUM($L786:AW786),(('PTRM input'!$L$166+'PTRM input'!$L$132)*$L$7)/A24taxstdlife))</f>
        <v>0</v>
      </c>
      <c r="AY786" s="590">
        <f>IF(A24taxstdlife="n/a","n/a",IF(AY$3&gt;(A24taxstdlife+$E786),(('PTRM input'!$L$166+'PTRM input'!$L$132)*$L$7)-SUM($L786:AX786),(('PTRM input'!$L$166+'PTRM input'!$L$132)*$L$7)/A24taxstdlife))</f>
        <v>0</v>
      </c>
      <c r="AZ786" s="590">
        <f>IF(A24taxstdlife="n/a","n/a",IF(AZ$3&gt;(A24taxstdlife+$E786),(('PTRM input'!$L$166+'PTRM input'!$L$132)*$L$7)-SUM($L786:AY786),(('PTRM input'!$L$166+'PTRM input'!$L$132)*$L$7)/A24taxstdlife))</f>
        <v>0</v>
      </c>
      <c r="BA786" s="590">
        <f>IF(A24taxstdlife="n/a","n/a",IF(BA$3&gt;(A24taxstdlife+$E786),(('PTRM input'!$L$166+'PTRM input'!$L$132)*$L$7)-SUM($L786:AZ786),(('PTRM input'!$L$166+'PTRM input'!$L$132)*$L$7)/A24taxstdlife))</f>
        <v>0</v>
      </c>
      <c r="BB786" s="590">
        <f>IF(A24taxstdlife="n/a","n/a",IF(BB$3&gt;(A24taxstdlife+$E786),(('PTRM input'!$L$166+'PTRM input'!$L$132)*$L$7)-SUM($L786:BA786),(('PTRM input'!$L$166+'PTRM input'!$L$132)*$L$7)/A24taxstdlife))</f>
        <v>0</v>
      </c>
      <c r="BC786" s="590">
        <f>IF(A24taxstdlife="n/a","n/a",IF(BC$3&gt;(A24taxstdlife+$E786),(('PTRM input'!$L$166+'PTRM input'!$L$132)*$L$7)-SUM($L786:BB786),(('PTRM input'!$L$166+'PTRM input'!$L$132)*$L$7)/A24taxstdlife))</f>
        <v>0</v>
      </c>
      <c r="BD786" s="590">
        <f>IF(A24taxstdlife="n/a","n/a",IF(BD$3&gt;(A24taxstdlife+$E786),(('PTRM input'!$L$166+'PTRM input'!$L$132)*$L$7)-SUM($L786:BC786),(('PTRM input'!$L$166+'PTRM input'!$L$132)*$L$7)/A24taxstdlife))</f>
        <v>0</v>
      </c>
      <c r="BE786" s="590">
        <f>IF(A24taxstdlife="n/a","n/a",IF(BE$3&gt;(A24taxstdlife+$E786),(('PTRM input'!$L$166+'PTRM input'!$L$132)*$L$7)-SUM($L786:BD786),(('PTRM input'!$L$166+'PTRM input'!$L$132)*$L$7)/A24taxstdlife))</f>
        <v>0</v>
      </c>
      <c r="BF786" s="590">
        <f>IF(A24taxstdlife="n/a","n/a",IF(BF$3&gt;(A24taxstdlife+$E786),(('PTRM input'!$L$166+'PTRM input'!$L$132)*$L$7)-SUM($L786:BE786),(('PTRM input'!$L$166+'PTRM input'!$L$132)*$L$7)/A24taxstdlife))</f>
        <v>0</v>
      </c>
      <c r="BG786" s="590">
        <f>IF(A24taxstdlife="n/a","n/a",IF(BG$3&gt;(A24taxstdlife+$E786),(('PTRM input'!$L$166+'PTRM input'!$L$132)*$L$7)-SUM($L786:BF786),(('PTRM input'!$L$166+'PTRM input'!$L$132)*$L$7)/A24taxstdlife))</f>
        <v>0</v>
      </c>
      <c r="BH786" s="590">
        <f>IF(A24taxstdlife="n/a","n/a",IF(BH$3&gt;(A24taxstdlife+$E786),(('PTRM input'!$L$166+'PTRM input'!$L$132)*$L$7)-SUM($L786:BG786),(('PTRM input'!$L$166+'PTRM input'!$L$132)*$L$7)/A24taxstdlife))</f>
        <v>0</v>
      </c>
      <c r="BI786" s="590">
        <f>IF(A24taxstdlife="n/a","n/a",IF(BI$3&gt;(A24taxstdlife+$E786),(('PTRM input'!$L$166+'PTRM input'!$L$132)*$L$7)-SUM($L786:BH786),(('PTRM input'!$L$166+'PTRM input'!$L$132)*$L$7)/A24taxstdlife))</f>
        <v>0</v>
      </c>
      <c r="BJ786" s="240"/>
      <c r="BK786" s="240"/>
      <c r="BL786" s="240"/>
      <c r="BM786" s="240"/>
    </row>
    <row r="787" spans="1:65" s="4" customFormat="1" hidden="1" outlineLevel="2">
      <c r="A787" s="240"/>
      <c r="B787" s="240"/>
      <c r="C787" s="595"/>
      <c r="D787" s="1618"/>
      <c r="E787" s="169">
        <v>7</v>
      </c>
      <c r="F787" s="35"/>
      <c r="G787" s="184"/>
      <c r="H787" s="186"/>
      <c r="I787" s="186"/>
      <c r="J787" s="186"/>
      <c r="K787" s="186"/>
      <c r="L787" s="186"/>
      <c r="M787" s="185"/>
      <c r="N787" s="107">
        <f>IF(A24taxstdlife="n/a","n/a",IF(N$3&gt;(A24taxstdlife+$E787),(('PTRM input'!$M$166+'PTRM input'!$M$132)*$M$7)-SUM($M787:M787),(('PTRM input'!$M$166+'PTRM input'!$M$132)*$M$7)/A24taxstdlife))</f>
        <v>0</v>
      </c>
      <c r="O787" s="107">
        <f>IF(A24taxstdlife="n/a","n/a",IF(O$3&gt;(A24taxstdlife+$E787),(('PTRM input'!$M$166+'PTRM input'!$M$132)*$M$7)-SUM($M787:N787),(('PTRM input'!$M$166+'PTRM input'!$M$132)*$M$7)/A24taxstdlife))</f>
        <v>0</v>
      </c>
      <c r="P787" s="107">
        <f>IF(A24taxstdlife="n/a","n/a",IF(P$3&gt;(A24taxstdlife+$E787),(('PTRM input'!$M$166+'PTRM input'!$M$132)*$M$7)-SUM($M787:O787),(('PTRM input'!$M$166+'PTRM input'!$M$132)*$M$7)/A24taxstdlife))</f>
        <v>0</v>
      </c>
      <c r="Q787" s="590">
        <f>IF(A24taxstdlife="n/a","n/a",IF(Q$3&gt;(A24taxstdlife+$E787),(('PTRM input'!$M$166+'PTRM input'!$M$132)*$M$7)-SUM($M787:P787),(('PTRM input'!$M$166+'PTRM input'!$M$132)*$M$7)/A24taxstdlife))</f>
        <v>0</v>
      </c>
      <c r="R787" s="590">
        <f>IF(A24taxstdlife="n/a","n/a",IF(R$3&gt;(A24taxstdlife+$E787),(('PTRM input'!$M$166+'PTRM input'!$M$132)*$M$7)-SUM($M787:Q787),(('PTRM input'!$M$166+'PTRM input'!$M$132)*$M$7)/A24taxstdlife))</f>
        <v>0</v>
      </c>
      <c r="S787" s="590">
        <f>IF(A24taxstdlife="n/a","n/a",IF(S$3&gt;(A24taxstdlife+$E787),(('PTRM input'!$M$166+'PTRM input'!$M$132)*$M$7)-SUM($M787:R787),(('PTRM input'!$M$166+'PTRM input'!$M$132)*$M$7)/A24taxstdlife))</f>
        <v>0</v>
      </c>
      <c r="T787" s="590">
        <f>IF(A24taxstdlife="n/a","n/a",IF(T$3&gt;(A24taxstdlife+$E787),(('PTRM input'!$M$166+'PTRM input'!$M$132)*$M$7)-SUM($M787:S787),(('PTRM input'!$M$166+'PTRM input'!$M$132)*$M$7)/A24taxstdlife))</f>
        <v>0</v>
      </c>
      <c r="U787" s="590">
        <f>IF(A24taxstdlife="n/a","n/a",IF(U$3&gt;(A24taxstdlife+$E787),(('PTRM input'!$M$166+'PTRM input'!$M$132)*$M$7)-SUM($M787:T787),(('PTRM input'!$M$166+'PTRM input'!$M$132)*$M$7)/A24taxstdlife))</f>
        <v>0</v>
      </c>
      <c r="V787" s="590">
        <f>IF(A24taxstdlife="n/a","n/a",IF(V$3&gt;(A24taxstdlife+$E787),(('PTRM input'!$M$166+'PTRM input'!$M$132)*$M$7)-SUM($M787:U787),(('PTRM input'!$M$166+'PTRM input'!$M$132)*$M$7)/A24taxstdlife))</f>
        <v>0</v>
      </c>
      <c r="W787" s="590">
        <f>IF(A24taxstdlife="n/a","n/a",IF(W$3&gt;(A24taxstdlife+$E787),(('PTRM input'!$M$166+'PTRM input'!$M$132)*$M$7)-SUM($M787:V787),(('PTRM input'!$M$166+'PTRM input'!$M$132)*$M$7)/A24taxstdlife))</f>
        <v>0</v>
      </c>
      <c r="X787" s="590">
        <f>IF(A24taxstdlife="n/a","n/a",IF(X$3&gt;(A24taxstdlife+$E787),(('PTRM input'!$M$166+'PTRM input'!$M$132)*$M$7)-SUM($M787:W787),(('PTRM input'!$M$166+'PTRM input'!$M$132)*$M$7)/A24taxstdlife))</f>
        <v>0</v>
      </c>
      <c r="Y787" s="590">
        <f>IF(A24taxstdlife="n/a","n/a",IF(Y$3&gt;(A24taxstdlife+$E787),(('PTRM input'!$M$166+'PTRM input'!$M$132)*$M$7)-SUM($M787:X787),(('PTRM input'!$M$166+'PTRM input'!$M$132)*$M$7)/A24taxstdlife))</f>
        <v>0</v>
      </c>
      <c r="Z787" s="590">
        <f>IF(A24taxstdlife="n/a","n/a",IF(Z$3&gt;(A24taxstdlife+$E787),(('PTRM input'!$M$166+'PTRM input'!$M$132)*$M$7)-SUM($M787:Y787),(('PTRM input'!$M$166+'PTRM input'!$M$132)*$M$7)/A24taxstdlife))</f>
        <v>0</v>
      </c>
      <c r="AA787" s="590">
        <f>IF(A24taxstdlife="n/a","n/a",IF(AA$3&gt;(A24taxstdlife+$E787),(('PTRM input'!$M$166+'PTRM input'!$M$132)*$M$7)-SUM($M787:Z787),(('PTRM input'!$M$166+'PTRM input'!$M$132)*$M$7)/A24taxstdlife))</f>
        <v>0</v>
      </c>
      <c r="AB787" s="590">
        <f>IF(A24taxstdlife="n/a","n/a",IF(AB$3&gt;(A24taxstdlife+$E787),(('PTRM input'!$M$166+'PTRM input'!$M$132)*$M$7)-SUM($M787:AA787),(('PTRM input'!$M$166+'PTRM input'!$M$132)*$M$7)/A24taxstdlife))</f>
        <v>0</v>
      </c>
      <c r="AC787" s="590">
        <f>IF(A24taxstdlife="n/a","n/a",IF(AC$3&gt;(A24taxstdlife+$E787),(('PTRM input'!$M$166+'PTRM input'!$M$132)*$M$7)-SUM($M787:AB787),(('PTRM input'!$M$166+'PTRM input'!$M$132)*$M$7)/A24taxstdlife))</f>
        <v>0</v>
      </c>
      <c r="AD787" s="590">
        <f>IF(A24taxstdlife="n/a","n/a",IF(AD$3&gt;(A24taxstdlife+$E787),(('PTRM input'!$M$166+'PTRM input'!$M$132)*$M$7)-SUM($M787:AC787),(('PTRM input'!$M$166+'PTRM input'!$M$132)*$M$7)/A24taxstdlife))</f>
        <v>0</v>
      </c>
      <c r="AE787" s="590">
        <f>IF(A24taxstdlife="n/a","n/a",IF(AE$3&gt;(A24taxstdlife+$E787),(('PTRM input'!$M$166+'PTRM input'!$M$132)*$M$7)-SUM($M787:AD787),(('PTRM input'!$M$166+'PTRM input'!$M$132)*$M$7)/A24taxstdlife))</f>
        <v>0</v>
      </c>
      <c r="AF787" s="590">
        <f>IF(A24taxstdlife="n/a","n/a",IF(AF$3&gt;(A24taxstdlife+$E787),(('PTRM input'!$M$166+'PTRM input'!$M$132)*$M$7)-SUM($M787:AE787),(('PTRM input'!$M$166+'PTRM input'!$M$132)*$M$7)/A24taxstdlife))</f>
        <v>0</v>
      </c>
      <c r="AG787" s="590">
        <f>IF(A24taxstdlife="n/a","n/a",IF(AG$3&gt;(A24taxstdlife+$E787),(('PTRM input'!$M$166+'PTRM input'!$M$132)*$M$7)-SUM($M787:AF787),(('PTRM input'!$M$166+'PTRM input'!$M$132)*$M$7)/A24taxstdlife))</f>
        <v>0</v>
      </c>
      <c r="AH787" s="590">
        <f>IF(A24taxstdlife="n/a","n/a",IF(AH$3&gt;(A24taxstdlife+$E787),(('PTRM input'!$M$166+'PTRM input'!$M$132)*$M$7)-SUM($M787:AG787),(('PTRM input'!$M$166+'PTRM input'!$M$132)*$M$7)/A24taxstdlife))</f>
        <v>0</v>
      </c>
      <c r="AI787" s="590">
        <f>IF(A24taxstdlife="n/a","n/a",IF(AI$3&gt;(A24taxstdlife+$E787),(('PTRM input'!$M$166+'PTRM input'!$M$132)*$M$7)-SUM($M787:AH787),(('PTRM input'!$M$166+'PTRM input'!$M$132)*$M$7)/A24taxstdlife))</f>
        <v>0</v>
      </c>
      <c r="AJ787" s="590">
        <f>IF(A24taxstdlife="n/a","n/a",IF(AJ$3&gt;(A24taxstdlife+$E787),(('PTRM input'!$M$166+'PTRM input'!$M$132)*$M$7)-SUM($M787:AI787),(('PTRM input'!$M$166+'PTRM input'!$M$132)*$M$7)/A24taxstdlife))</f>
        <v>0</v>
      </c>
      <c r="AK787" s="590">
        <f>IF(A24taxstdlife="n/a","n/a",IF(AK$3&gt;(A24taxstdlife+$E787),(('PTRM input'!$M$166+'PTRM input'!$M$132)*$M$7)-SUM($M787:AJ787),(('PTRM input'!$M$166+'PTRM input'!$M$132)*$M$7)/A24taxstdlife))</f>
        <v>0</v>
      </c>
      <c r="AL787" s="590">
        <f>IF(A24taxstdlife="n/a","n/a",IF(AL$3&gt;(A24taxstdlife+$E787),(('PTRM input'!$M$166+'PTRM input'!$M$132)*$M$7)-SUM($M787:AK787),(('PTRM input'!$M$166+'PTRM input'!$M$132)*$M$7)/A24taxstdlife))</f>
        <v>0</v>
      </c>
      <c r="AM787" s="590">
        <f>IF(A24taxstdlife="n/a","n/a",IF(AM$3&gt;(A24taxstdlife+$E787),(('PTRM input'!$M$166+'PTRM input'!$M$132)*$M$7)-SUM($M787:AL787),(('PTRM input'!$M$166+'PTRM input'!$M$132)*$M$7)/A24taxstdlife))</f>
        <v>0</v>
      </c>
      <c r="AN787" s="590">
        <f>IF(A24taxstdlife="n/a","n/a",IF(AN$3&gt;(A24taxstdlife+$E787),(('PTRM input'!$M$166+'PTRM input'!$M$132)*$M$7)-SUM($M787:AM787),(('PTRM input'!$M$166+'PTRM input'!$M$132)*$M$7)/A24taxstdlife))</f>
        <v>0</v>
      </c>
      <c r="AO787" s="590">
        <f>IF(A24taxstdlife="n/a","n/a",IF(AO$3&gt;(A24taxstdlife+$E787),(('PTRM input'!$M$166+'PTRM input'!$M$132)*$M$7)-SUM($M787:AN787),(('PTRM input'!$M$166+'PTRM input'!$M$132)*$M$7)/A24taxstdlife))</f>
        <v>0</v>
      </c>
      <c r="AP787" s="590">
        <f>IF(A24taxstdlife="n/a","n/a",IF(AP$3&gt;(A24taxstdlife+$E787),(('PTRM input'!$M$166+'PTRM input'!$M$132)*$M$7)-SUM($M787:AO787),(('PTRM input'!$M$166+'PTRM input'!$M$132)*$M$7)/A24taxstdlife))</f>
        <v>0</v>
      </c>
      <c r="AQ787" s="590">
        <f>IF(A24taxstdlife="n/a","n/a",IF(AQ$3&gt;(A24taxstdlife+$E787),(('PTRM input'!$M$166+'PTRM input'!$M$132)*$M$7)-SUM($M787:AP787),(('PTRM input'!$M$166+'PTRM input'!$M$132)*$M$7)/A24taxstdlife))</f>
        <v>0</v>
      </c>
      <c r="AR787" s="590">
        <f>IF(A24taxstdlife="n/a","n/a",IF(AR$3&gt;(A24taxstdlife+$E787),(('PTRM input'!$M$166+'PTRM input'!$M$132)*$M$7)-SUM($M787:AQ787),(('PTRM input'!$M$166+'PTRM input'!$M$132)*$M$7)/A24taxstdlife))</f>
        <v>0</v>
      </c>
      <c r="AS787" s="590">
        <f>IF(A24taxstdlife="n/a","n/a",IF(AS$3&gt;(A24taxstdlife+$E787),(('PTRM input'!$M$166+'PTRM input'!$M$132)*$M$7)-SUM($M787:AR787),(('PTRM input'!$M$166+'PTRM input'!$M$132)*$M$7)/A24taxstdlife))</f>
        <v>0</v>
      </c>
      <c r="AT787" s="590">
        <f>IF(A24taxstdlife="n/a","n/a",IF(AT$3&gt;(A24taxstdlife+$E787),(('PTRM input'!$M$166+'PTRM input'!$M$132)*$M$7)-SUM($M787:AS787),(('PTRM input'!$M$166+'PTRM input'!$M$132)*$M$7)/A24taxstdlife))</f>
        <v>0</v>
      </c>
      <c r="AU787" s="590">
        <f>IF(A24taxstdlife="n/a","n/a",IF(AU$3&gt;(A24taxstdlife+$E787),(('PTRM input'!$M$166+'PTRM input'!$M$132)*$M$7)-SUM($M787:AT787),(('PTRM input'!$M$166+'PTRM input'!$M$132)*$M$7)/A24taxstdlife))</f>
        <v>0</v>
      </c>
      <c r="AV787" s="590">
        <f>IF(A24taxstdlife="n/a","n/a",IF(AV$3&gt;(A24taxstdlife+$E787),(('PTRM input'!$M$166+'PTRM input'!$M$132)*$M$7)-SUM($M787:AU787),(('PTRM input'!$M$166+'PTRM input'!$M$132)*$M$7)/A24taxstdlife))</f>
        <v>0</v>
      </c>
      <c r="AW787" s="590">
        <f>IF(A24taxstdlife="n/a","n/a",IF(AW$3&gt;(A24taxstdlife+$E787),(('PTRM input'!$M$166+'PTRM input'!$M$132)*$M$7)-SUM($M787:AV787),(('PTRM input'!$M$166+'PTRM input'!$M$132)*$M$7)/A24taxstdlife))</f>
        <v>0</v>
      </c>
      <c r="AX787" s="590">
        <f>IF(A24taxstdlife="n/a","n/a",IF(AX$3&gt;(A24taxstdlife+$E787),(('PTRM input'!$M$166+'PTRM input'!$M$132)*$M$7)-SUM($M787:AW787),(('PTRM input'!$M$166+'PTRM input'!$M$132)*$M$7)/A24taxstdlife))</f>
        <v>0</v>
      </c>
      <c r="AY787" s="590">
        <f>IF(A24taxstdlife="n/a","n/a",IF(AY$3&gt;(A24taxstdlife+$E787),(('PTRM input'!$M$166+'PTRM input'!$M$132)*$M$7)-SUM($M787:AX787),(('PTRM input'!$M$166+'PTRM input'!$M$132)*$M$7)/A24taxstdlife))</f>
        <v>0</v>
      </c>
      <c r="AZ787" s="590">
        <f>IF(A24taxstdlife="n/a","n/a",IF(AZ$3&gt;(A24taxstdlife+$E787),(('PTRM input'!$M$166+'PTRM input'!$M$132)*$M$7)-SUM($M787:AY787),(('PTRM input'!$M$166+'PTRM input'!$M$132)*$M$7)/A24taxstdlife))</f>
        <v>0</v>
      </c>
      <c r="BA787" s="590">
        <f>IF(A24taxstdlife="n/a","n/a",IF(BA$3&gt;(A24taxstdlife+$E787),(('PTRM input'!$M$166+'PTRM input'!$M$132)*$M$7)-SUM($M787:AZ787),(('PTRM input'!$M$166+'PTRM input'!$M$132)*$M$7)/A24taxstdlife))</f>
        <v>0</v>
      </c>
      <c r="BB787" s="590">
        <f>IF(A24taxstdlife="n/a","n/a",IF(BB$3&gt;(A24taxstdlife+$E787),(('PTRM input'!$M$166+'PTRM input'!$M$132)*$M$7)-SUM($M787:BA787),(('PTRM input'!$M$166+'PTRM input'!$M$132)*$M$7)/A24taxstdlife))</f>
        <v>0</v>
      </c>
      <c r="BC787" s="590">
        <f>IF(A24taxstdlife="n/a","n/a",IF(BC$3&gt;(A24taxstdlife+$E787),(('PTRM input'!$M$166+'PTRM input'!$M$132)*$M$7)-SUM($M787:BB787),(('PTRM input'!$M$166+'PTRM input'!$M$132)*$M$7)/A24taxstdlife))</f>
        <v>0</v>
      </c>
      <c r="BD787" s="590">
        <f>IF(A24taxstdlife="n/a","n/a",IF(BD$3&gt;(A24taxstdlife+$E787),(('PTRM input'!$M$166+'PTRM input'!$M$132)*$M$7)-SUM($M787:BC787),(('PTRM input'!$M$166+'PTRM input'!$M$132)*$M$7)/A24taxstdlife))</f>
        <v>0</v>
      </c>
      <c r="BE787" s="590">
        <f>IF(A24taxstdlife="n/a","n/a",IF(BE$3&gt;(A24taxstdlife+$E787),(('PTRM input'!$M$166+'PTRM input'!$M$132)*$M$7)-SUM($M787:BD787),(('PTRM input'!$M$166+'PTRM input'!$M$132)*$M$7)/A24taxstdlife))</f>
        <v>0</v>
      </c>
      <c r="BF787" s="590">
        <f>IF(A24taxstdlife="n/a","n/a",IF(BF$3&gt;(A24taxstdlife+$E787),(('PTRM input'!$M$166+'PTRM input'!$M$132)*$M$7)-SUM($M787:BE787),(('PTRM input'!$M$166+'PTRM input'!$M$132)*$M$7)/A24taxstdlife))</f>
        <v>0</v>
      </c>
      <c r="BG787" s="590">
        <f>IF(A24taxstdlife="n/a","n/a",IF(BG$3&gt;(A24taxstdlife+$E787),(('PTRM input'!$M$166+'PTRM input'!$M$132)*$M$7)-SUM($M787:BF787),(('PTRM input'!$M$166+'PTRM input'!$M$132)*$M$7)/A24taxstdlife))</f>
        <v>0</v>
      </c>
      <c r="BH787" s="590">
        <f>IF(A24taxstdlife="n/a","n/a",IF(BH$3&gt;(A24taxstdlife+$E787),(('PTRM input'!$M$166+'PTRM input'!$M$132)*$M$7)-SUM($M787:BG787),(('PTRM input'!$M$166+'PTRM input'!$M$132)*$M$7)/A24taxstdlife))</f>
        <v>0</v>
      </c>
      <c r="BI787" s="590">
        <f>IF(A24taxstdlife="n/a","n/a",IF(BI$3&gt;(A24taxstdlife+$E787),(('PTRM input'!$M$166+'PTRM input'!$M$132)*$M$7)-SUM($M787:BH787),(('PTRM input'!$M$166+'PTRM input'!$M$132)*$M$7)/A24taxstdlife))</f>
        <v>0</v>
      </c>
      <c r="BJ787" s="240"/>
      <c r="BK787" s="240"/>
      <c r="BL787" s="240"/>
      <c r="BM787" s="240"/>
    </row>
    <row r="788" spans="1:65" s="4" customFormat="1" hidden="1" outlineLevel="2">
      <c r="A788" s="240"/>
      <c r="B788" s="240"/>
      <c r="C788" s="595"/>
      <c r="D788" s="1618"/>
      <c r="E788" s="169">
        <v>8</v>
      </c>
      <c r="F788" s="35"/>
      <c r="G788" s="184"/>
      <c r="H788" s="186"/>
      <c r="I788" s="186"/>
      <c r="J788" s="186"/>
      <c r="K788" s="186"/>
      <c r="L788" s="186"/>
      <c r="M788" s="186"/>
      <c r="N788" s="185"/>
      <c r="O788" s="107">
        <f>IF(A24taxstdlife="n/a","n/a",IF(O$3&gt;(A24taxstdlife+$E788),(('PTRM input'!$N$166+'PTRM input'!$N$132)*$N$7)-SUM($N788:N788),(('PTRM input'!$N$166+'PTRM input'!$N$132)*$N$7)/A24taxstdlife))</f>
        <v>0</v>
      </c>
      <c r="P788" s="107">
        <f>IF(A24taxstdlife="n/a","n/a",IF(P$3&gt;(A24taxstdlife+$E788),(('PTRM input'!$N$166+'PTRM input'!$N$132)*$N$7)-SUM($N788:O788),(('PTRM input'!$N$166+'PTRM input'!$N$132)*$N$7)/A24taxstdlife))</f>
        <v>0</v>
      </c>
      <c r="Q788" s="590">
        <f>IF(A24taxstdlife="n/a","n/a",IF(Q$3&gt;(A24taxstdlife+$E788),(('PTRM input'!$N$166+'PTRM input'!$N$132)*$N$7)-SUM($N788:P788),(('PTRM input'!$N$166+'PTRM input'!$N$132)*$N$7)/A24taxstdlife))</f>
        <v>0</v>
      </c>
      <c r="R788" s="590">
        <f>IF(A24taxstdlife="n/a","n/a",IF(R$3&gt;(A24taxstdlife+$E788),(('PTRM input'!$N$166+'PTRM input'!$N$132)*$N$7)-SUM($N788:Q788),(('PTRM input'!$N$166+'PTRM input'!$N$132)*$N$7)/A24taxstdlife))</f>
        <v>0</v>
      </c>
      <c r="S788" s="590">
        <f>IF(A24taxstdlife="n/a","n/a",IF(S$3&gt;(A24taxstdlife+$E788),(('PTRM input'!$N$166+'PTRM input'!$N$132)*$N$7)-SUM($N788:R788),(('PTRM input'!$N$166+'PTRM input'!$N$132)*$N$7)/A24taxstdlife))</f>
        <v>0</v>
      </c>
      <c r="T788" s="590">
        <f>IF(A24taxstdlife="n/a","n/a",IF(T$3&gt;(A24taxstdlife+$E788),(('PTRM input'!$N$166+'PTRM input'!$N$132)*$N$7)-SUM($N788:S788),(('PTRM input'!$N$166+'PTRM input'!$N$132)*$N$7)/A24taxstdlife))</f>
        <v>0</v>
      </c>
      <c r="U788" s="590">
        <f>IF(A24taxstdlife="n/a","n/a",IF(U$3&gt;(A24taxstdlife+$E788),(('PTRM input'!$N$166+'PTRM input'!$N$132)*$N$7)-SUM($N788:T788),(('PTRM input'!$N$166+'PTRM input'!$N$132)*$N$7)/A24taxstdlife))</f>
        <v>0</v>
      </c>
      <c r="V788" s="590">
        <f>IF(A24taxstdlife="n/a","n/a",IF(V$3&gt;(A24taxstdlife+$E788),(('PTRM input'!$N$166+'PTRM input'!$N$132)*$N$7)-SUM($N788:U788),(('PTRM input'!$N$166+'PTRM input'!$N$132)*$N$7)/A24taxstdlife))</f>
        <v>0</v>
      </c>
      <c r="W788" s="590">
        <f>IF(A24taxstdlife="n/a","n/a",IF(W$3&gt;(A24taxstdlife+$E788),(('PTRM input'!$N$166+'PTRM input'!$N$132)*$N$7)-SUM($N788:V788),(('PTRM input'!$N$166+'PTRM input'!$N$132)*$N$7)/A24taxstdlife))</f>
        <v>0</v>
      </c>
      <c r="X788" s="590">
        <f>IF(A24taxstdlife="n/a","n/a",IF(X$3&gt;(A24taxstdlife+$E788),(('PTRM input'!$N$166+'PTRM input'!$N$132)*$N$7)-SUM($N788:W788),(('PTRM input'!$N$166+'PTRM input'!$N$132)*$N$7)/A24taxstdlife))</f>
        <v>0</v>
      </c>
      <c r="Y788" s="590">
        <f>IF(A24taxstdlife="n/a","n/a",IF(Y$3&gt;(A24taxstdlife+$E788),(('PTRM input'!$N$166+'PTRM input'!$N$132)*$N$7)-SUM($N788:X788),(('PTRM input'!$N$166+'PTRM input'!$N$132)*$N$7)/A24taxstdlife))</f>
        <v>0</v>
      </c>
      <c r="Z788" s="590">
        <f>IF(A24taxstdlife="n/a","n/a",IF(Z$3&gt;(A24taxstdlife+$E788),(('PTRM input'!$N$166+'PTRM input'!$N$132)*$N$7)-SUM($N788:Y788),(('PTRM input'!$N$166+'PTRM input'!$N$132)*$N$7)/A24taxstdlife))</f>
        <v>0</v>
      </c>
      <c r="AA788" s="590">
        <f>IF(A24taxstdlife="n/a","n/a",IF(AA$3&gt;(A24taxstdlife+$E788),(('PTRM input'!$N$166+'PTRM input'!$N$132)*$N$7)-SUM($N788:Z788),(('PTRM input'!$N$166+'PTRM input'!$N$132)*$N$7)/A24taxstdlife))</f>
        <v>0</v>
      </c>
      <c r="AB788" s="590">
        <f>IF(A24taxstdlife="n/a","n/a",IF(AB$3&gt;(A24taxstdlife+$E788),(('PTRM input'!$N$166+'PTRM input'!$N$132)*$N$7)-SUM($N788:AA788),(('PTRM input'!$N$166+'PTRM input'!$N$132)*$N$7)/A24taxstdlife))</f>
        <v>0</v>
      </c>
      <c r="AC788" s="590">
        <f>IF(A24taxstdlife="n/a","n/a",IF(AC$3&gt;(A24taxstdlife+$E788),(('PTRM input'!$N$166+'PTRM input'!$N$132)*$N$7)-SUM($N788:AB788),(('PTRM input'!$N$166+'PTRM input'!$N$132)*$N$7)/A24taxstdlife))</f>
        <v>0</v>
      </c>
      <c r="AD788" s="590">
        <f>IF(A24taxstdlife="n/a","n/a",IF(AD$3&gt;(A24taxstdlife+$E788),(('PTRM input'!$N$166+'PTRM input'!$N$132)*$N$7)-SUM($N788:AC788),(('PTRM input'!$N$166+'PTRM input'!$N$132)*$N$7)/A24taxstdlife))</f>
        <v>0</v>
      </c>
      <c r="AE788" s="590">
        <f>IF(A24taxstdlife="n/a","n/a",IF(AE$3&gt;(A24taxstdlife+$E788),(('PTRM input'!$N$166+'PTRM input'!$N$132)*$N$7)-SUM($N788:AD788),(('PTRM input'!$N$166+'PTRM input'!$N$132)*$N$7)/A24taxstdlife))</f>
        <v>0</v>
      </c>
      <c r="AF788" s="590">
        <f>IF(A24taxstdlife="n/a","n/a",IF(AF$3&gt;(A24taxstdlife+$E788),(('PTRM input'!$N$166+'PTRM input'!$N$132)*$N$7)-SUM($N788:AE788),(('PTRM input'!$N$166+'PTRM input'!$N$132)*$N$7)/A24taxstdlife))</f>
        <v>0</v>
      </c>
      <c r="AG788" s="590">
        <f>IF(A24taxstdlife="n/a","n/a",IF(AG$3&gt;(A24taxstdlife+$E788),(('PTRM input'!$N$166+'PTRM input'!$N$132)*$N$7)-SUM($N788:AF788),(('PTRM input'!$N$166+'PTRM input'!$N$132)*$N$7)/A24taxstdlife))</f>
        <v>0</v>
      </c>
      <c r="AH788" s="590">
        <f>IF(A24taxstdlife="n/a","n/a",IF(AH$3&gt;(A24taxstdlife+$E788),(('PTRM input'!$N$166+'PTRM input'!$N$132)*$N$7)-SUM($N788:AG788),(('PTRM input'!$N$166+'PTRM input'!$N$132)*$N$7)/A24taxstdlife))</f>
        <v>0</v>
      </c>
      <c r="AI788" s="590">
        <f>IF(A24taxstdlife="n/a","n/a",IF(AI$3&gt;(A24taxstdlife+$E788),(('PTRM input'!$N$166+'PTRM input'!$N$132)*$N$7)-SUM($N788:AH788),(('PTRM input'!$N$166+'PTRM input'!$N$132)*$N$7)/A24taxstdlife))</f>
        <v>0</v>
      </c>
      <c r="AJ788" s="590">
        <f>IF(A24taxstdlife="n/a","n/a",IF(AJ$3&gt;(A24taxstdlife+$E788),(('PTRM input'!$N$166+'PTRM input'!$N$132)*$N$7)-SUM($N788:AI788),(('PTRM input'!$N$166+'PTRM input'!$N$132)*$N$7)/A24taxstdlife))</f>
        <v>0</v>
      </c>
      <c r="AK788" s="590">
        <f>IF(A24taxstdlife="n/a","n/a",IF(AK$3&gt;(A24taxstdlife+$E788),(('PTRM input'!$N$166+'PTRM input'!$N$132)*$N$7)-SUM($N788:AJ788),(('PTRM input'!$N$166+'PTRM input'!$N$132)*$N$7)/A24taxstdlife))</f>
        <v>0</v>
      </c>
      <c r="AL788" s="590">
        <f>IF(A24taxstdlife="n/a","n/a",IF(AL$3&gt;(A24taxstdlife+$E788),(('PTRM input'!$N$166+'PTRM input'!$N$132)*$N$7)-SUM($N788:AK788),(('PTRM input'!$N$166+'PTRM input'!$N$132)*$N$7)/A24taxstdlife))</f>
        <v>0</v>
      </c>
      <c r="AM788" s="590">
        <f>IF(A24taxstdlife="n/a","n/a",IF(AM$3&gt;(A24taxstdlife+$E788),(('PTRM input'!$N$166+'PTRM input'!$N$132)*$N$7)-SUM($N788:AL788),(('PTRM input'!$N$166+'PTRM input'!$N$132)*$N$7)/A24taxstdlife))</f>
        <v>0</v>
      </c>
      <c r="AN788" s="590">
        <f>IF(A24taxstdlife="n/a","n/a",IF(AN$3&gt;(A24taxstdlife+$E788),(('PTRM input'!$N$166+'PTRM input'!$N$132)*$N$7)-SUM($N788:AM788),(('PTRM input'!$N$166+'PTRM input'!$N$132)*$N$7)/A24taxstdlife))</f>
        <v>0</v>
      </c>
      <c r="AO788" s="590">
        <f>IF(A24taxstdlife="n/a","n/a",IF(AO$3&gt;(A24taxstdlife+$E788),(('PTRM input'!$N$166+'PTRM input'!$N$132)*$N$7)-SUM($N788:AN788),(('PTRM input'!$N$166+'PTRM input'!$N$132)*$N$7)/A24taxstdlife))</f>
        <v>0</v>
      </c>
      <c r="AP788" s="590">
        <f>IF(A24taxstdlife="n/a","n/a",IF(AP$3&gt;(A24taxstdlife+$E788),(('PTRM input'!$N$166+'PTRM input'!$N$132)*$N$7)-SUM($N788:AO788),(('PTRM input'!$N$166+'PTRM input'!$N$132)*$N$7)/A24taxstdlife))</f>
        <v>0</v>
      </c>
      <c r="AQ788" s="590">
        <f>IF(A24taxstdlife="n/a","n/a",IF(AQ$3&gt;(A24taxstdlife+$E788),(('PTRM input'!$N$166+'PTRM input'!$N$132)*$N$7)-SUM($N788:AP788),(('PTRM input'!$N$166+'PTRM input'!$N$132)*$N$7)/A24taxstdlife))</f>
        <v>0</v>
      </c>
      <c r="AR788" s="590">
        <f>IF(A24taxstdlife="n/a","n/a",IF(AR$3&gt;(A24taxstdlife+$E788),(('PTRM input'!$N$166+'PTRM input'!$N$132)*$N$7)-SUM($N788:AQ788),(('PTRM input'!$N$166+'PTRM input'!$N$132)*$N$7)/A24taxstdlife))</f>
        <v>0</v>
      </c>
      <c r="AS788" s="590">
        <f>IF(A24taxstdlife="n/a","n/a",IF(AS$3&gt;(A24taxstdlife+$E788),(('PTRM input'!$N$166+'PTRM input'!$N$132)*$N$7)-SUM($N788:AR788),(('PTRM input'!$N$166+'PTRM input'!$N$132)*$N$7)/A24taxstdlife))</f>
        <v>0</v>
      </c>
      <c r="AT788" s="590">
        <f>IF(A24taxstdlife="n/a","n/a",IF(AT$3&gt;(A24taxstdlife+$E788),(('PTRM input'!$N$166+'PTRM input'!$N$132)*$N$7)-SUM($N788:AS788),(('PTRM input'!$N$166+'PTRM input'!$N$132)*$N$7)/A24taxstdlife))</f>
        <v>0</v>
      </c>
      <c r="AU788" s="590">
        <f>IF(A24taxstdlife="n/a","n/a",IF(AU$3&gt;(A24taxstdlife+$E788),(('PTRM input'!$N$166+'PTRM input'!$N$132)*$N$7)-SUM($N788:AT788),(('PTRM input'!$N$166+'PTRM input'!$N$132)*$N$7)/A24taxstdlife))</f>
        <v>0</v>
      </c>
      <c r="AV788" s="590">
        <f>IF(A24taxstdlife="n/a","n/a",IF(AV$3&gt;(A24taxstdlife+$E788),(('PTRM input'!$N$166+'PTRM input'!$N$132)*$N$7)-SUM($N788:AU788),(('PTRM input'!$N$166+'PTRM input'!$N$132)*$N$7)/A24taxstdlife))</f>
        <v>0</v>
      </c>
      <c r="AW788" s="590">
        <f>IF(A24taxstdlife="n/a","n/a",IF(AW$3&gt;(A24taxstdlife+$E788),(('PTRM input'!$N$166+'PTRM input'!$N$132)*$N$7)-SUM($N788:AV788),(('PTRM input'!$N$166+'PTRM input'!$N$132)*$N$7)/A24taxstdlife))</f>
        <v>0</v>
      </c>
      <c r="AX788" s="590">
        <f>IF(A24taxstdlife="n/a","n/a",IF(AX$3&gt;(A24taxstdlife+$E788),(('PTRM input'!$N$166+'PTRM input'!$N$132)*$N$7)-SUM($N788:AW788),(('PTRM input'!$N$166+'PTRM input'!$N$132)*$N$7)/A24taxstdlife))</f>
        <v>0</v>
      </c>
      <c r="AY788" s="590">
        <f>IF(A24taxstdlife="n/a","n/a",IF(AY$3&gt;(A24taxstdlife+$E788),(('PTRM input'!$N$166+'PTRM input'!$N$132)*$N$7)-SUM($N788:AX788),(('PTRM input'!$N$166+'PTRM input'!$N$132)*$N$7)/A24taxstdlife))</f>
        <v>0</v>
      </c>
      <c r="AZ788" s="590">
        <f>IF(A24taxstdlife="n/a","n/a",IF(AZ$3&gt;(A24taxstdlife+$E788),(('PTRM input'!$N$166+'PTRM input'!$N$132)*$N$7)-SUM($N788:AY788),(('PTRM input'!$N$166+'PTRM input'!$N$132)*$N$7)/A24taxstdlife))</f>
        <v>0</v>
      </c>
      <c r="BA788" s="590">
        <f>IF(A24taxstdlife="n/a","n/a",IF(BA$3&gt;(A24taxstdlife+$E788),(('PTRM input'!$N$166+'PTRM input'!$N$132)*$N$7)-SUM($N788:AZ788),(('PTRM input'!$N$166+'PTRM input'!$N$132)*$N$7)/A24taxstdlife))</f>
        <v>0</v>
      </c>
      <c r="BB788" s="590">
        <f>IF(A24taxstdlife="n/a","n/a",IF(BB$3&gt;(A24taxstdlife+$E788),(('PTRM input'!$N$166+'PTRM input'!$N$132)*$N$7)-SUM($N788:BA788),(('PTRM input'!$N$166+'PTRM input'!$N$132)*$N$7)/A24taxstdlife))</f>
        <v>0</v>
      </c>
      <c r="BC788" s="590">
        <f>IF(A24taxstdlife="n/a","n/a",IF(BC$3&gt;(A24taxstdlife+$E788),(('PTRM input'!$N$166+'PTRM input'!$N$132)*$N$7)-SUM($N788:BB788),(('PTRM input'!$N$166+'PTRM input'!$N$132)*$N$7)/A24taxstdlife))</f>
        <v>0</v>
      </c>
      <c r="BD788" s="590">
        <f>IF(A24taxstdlife="n/a","n/a",IF(BD$3&gt;(A24taxstdlife+$E788),(('PTRM input'!$N$166+'PTRM input'!$N$132)*$N$7)-SUM($N788:BC788),(('PTRM input'!$N$166+'PTRM input'!$N$132)*$N$7)/A24taxstdlife))</f>
        <v>0</v>
      </c>
      <c r="BE788" s="590">
        <f>IF(A24taxstdlife="n/a","n/a",IF(BE$3&gt;(A24taxstdlife+$E788),(('PTRM input'!$N$166+'PTRM input'!$N$132)*$N$7)-SUM($N788:BD788),(('PTRM input'!$N$166+'PTRM input'!$N$132)*$N$7)/A24taxstdlife))</f>
        <v>0</v>
      </c>
      <c r="BF788" s="590">
        <f>IF(A24taxstdlife="n/a","n/a",IF(BF$3&gt;(A24taxstdlife+$E788),(('PTRM input'!$N$166+'PTRM input'!$N$132)*$N$7)-SUM($N788:BE788),(('PTRM input'!$N$166+'PTRM input'!$N$132)*$N$7)/A24taxstdlife))</f>
        <v>0</v>
      </c>
      <c r="BG788" s="590">
        <f>IF(A24taxstdlife="n/a","n/a",IF(BG$3&gt;(A24taxstdlife+$E788),(('PTRM input'!$N$166+'PTRM input'!$N$132)*$N$7)-SUM($N788:BF788),(('PTRM input'!$N$166+'PTRM input'!$N$132)*$N$7)/A24taxstdlife))</f>
        <v>0</v>
      </c>
      <c r="BH788" s="590">
        <f>IF(A24taxstdlife="n/a","n/a",IF(BH$3&gt;(A24taxstdlife+$E788),(('PTRM input'!$N$166+'PTRM input'!$N$132)*$N$7)-SUM($N788:BG788),(('PTRM input'!$N$166+'PTRM input'!$N$132)*$N$7)/A24taxstdlife))</f>
        <v>0</v>
      </c>
      <c r="BI788" s="590">
        <f>IF(A24taxstdlife="n/a","n/a",IF(BI$3&gt;(A24taxstdlife+$E788),(('PTRM input'!$N$166+'PTRM input'!$N$132)*$N$7)-SUM($N788:BH788),(('PTRM input'!$N$166+'PTRM input'!$N$132)*$N$7)/A24taxstdlife))</f>
        <v>0</v>
      </c>
      <c r="BJ788" s="240"/>
      <c r="BK788" s="240"/>
      <c r="BL788" s="240"/>
      <c r="BM788" s="240"/>
    </row>
    <row r="789" spans="1:65" s="4" customFormat="1" hidden="1" outlineLevel="2">
      <c r="A789" s="240"/>
      <c r="B789" s="240"/>
      <c r="C789" s="595"/>
      <c r="D789" s="1618"/>
      <c r="E789" s="169">
        <v>9</v>
      </c>
      <c r="F789" s="35"/>
      <c r="G789" s="184"/>
      <c r="H789" s="186"/>
      <c r="I789" s="186"/>
      <c r="J789" s="186"/>
      <c r="K789" s="186"/>
      <c r="L789" s="186"/>
      <c r="M789" s="186"/>
      <c r="N789" s="186"/>
      <c r="O789" s="185"/>
      <c r="P789" s="107">
        <f>IF(A24taxstdlife="n/a","n/a",IF(P$3&gt;(A24taxstdlife+$E789),(('PTRM input'!$O$166+'PTRM input'!$O$132)*$O$7)-SUM($O789:O789),(('PTRM input'!$O$166+'PTRM input'!$O$132)*$O$7)/A24taxstdlife))</f>
        <v>0</v>
      </c>
      <c r="Q789" s="590">
        <f>IF(A24taxstdlife="n/a","n/a",IF(Q$3&gt;(A24taxstdlife+$E789),(('PTRM input'!$O$166+'PTRM input'!$O$132)*$O$7)-SUM($O789:P789),(('PTRM input'!$O$166+'PTRM input'!$O$132)*$O$7)/A24taxstdlife))</f>
        <v>0</v>
      </c>
      <c r="R789" s="590">
        <f>IF(A24taxstdlife="n/a","n/a",IF(R$3&gt;(A24taxstdlife+$E789),(('PTRM input'!$O$166+'PTRM input'!$O$132)*$O$7)-SUM($O789:Q789),(('PTRM input'!$O$166+'PTRM input'!$O$132)*$O$7)/A24taxstdlife))</f>
        <v>0</v>
      </c>
      <c r="S789" s="590">
        <f>IF(A24taxstdlife="n/a","n/a",IF(S$3&gt;(A24taxstdlife+$E789),(('PTRM input'!$O$166+'PTRM input'!$O$132)*$O$7)-SUM($O789:R789),(('PTRM input'!$O$166+'PTRM input'!$O$132)*$O$7)/A24taxstdlife))</f>
        <v>0</v>
      </c>
      <c r="T789" s="590">
        <f>IF(A24taxstdlife="n/a","n/a",IF(T$3&gt;(A24taxstdlife+$E789),(('PTRM input'!$O$166+'PTRM input'!$O$132)*$O$7)-SUM($O789:S789),(('PTRM input'!$O$166+'PTRM input'!$O$132)*$O$7)/A24taxstdlife))</f>
        <v>0</v>
      </c>
      <c r="U789" s="590">
        <f>IF(A24taxstdlife="n/a","n/a",IF(U$3&gt;(A24taxstdlife+$E789),(('PTRM input'!$O$166+'PTRM input'!$O$132)*$O$7)-SUM($O789:T789),(('PTRM input'!$O$166+'PTRM input'!$O$132)*$O$7)/A24taxstdlife))</f>
        <v>0</v>
      </c>
      <c r="V789" s="590">
        <f>IF(A24taxstdlife="n/a","n/a",IF(V$3&gt;(A24taxstdlife+$E789),(('PTRM input'!$O$166+'PTRM input'!$O$132)*$O$7)-SUM($O789:U789),(('PTRM input'!$O$166+'PTRM input'!$O$132)*$O$7)/A24taxstdlife))</f>
        <v>0</v>
      </c>
      <c r="W789" s="590">
        <f>IF(A24taxstdlife="n/a","n/a",IF(W$3&gt;(A24taxstdlife+$E789),(('PTRM input'!$O$166+'PTRM input'!$O$132)*$O$7)-SUM($O789:V789),(('PTRM input'!$O$166+'PTRM input'!$O$132)*$O$7)/A24taxstdlife))</f>
        <v>0</v>
      </c>
      <c r="X789" s="590">
        <f>IF(A24taxstdlife="n/a","n/a",IF(X$3&gt;(A24taxstdlife+$E789),(('PTRM input'!$O$166+'PTRM input'!$O$132)*$O$7)-SUM($O789:W789),(('PTRM input'!$O$166+'PTRM input'!$O$132)*$O$7)/A24taxstdlife))</f>
        <v>0</v>
      </c>
      <c r="Y789" s="590">
        <f>IF(A24taxstdlife="n/a","n/a",IF(Y$3&gt;(A24taxstdlife+$E789),(('PTRM input'!$O$166+'PTRM input'!$O$132)*$O$7)-SUM($O789:X789),(('PTRM input'!$O$166+'PTRM input'!$O$132)*$O$7)/A24taxstdlife))</f>
        <v>0</v>
      </c>
      <c r="Z789" s="590">
        <f>IF(A24taxstdlife="n/a","n/a",IF(Z$3&gt;(A24taxstdlife+$E789),(('PTRM input'!$O$166+'PTRM input'!$O$132)*$O$7)-SUM($O789:Y789),(('PTRM input'!$O$166+'PTRM input'!$O$132)*$O$7)/A24taxstdlife))</f>
        <v>0</v>
      </c>
      <c r="AA789" s="590">
        <f>IF(A24taxstdlife="n/a","n/a",IF(AA$3&gt;(A24taxstdlife+$E789),(('PTRM input'!$O$166+'PTRM input'!$O$132)*$O$7)-SUM($O789:Z789),(('PTRM input'!$O$166+'PTRM input'!$O$132)*$O$7)/A24taxstdlife))</f>
        <v>0</v>
      </c>
      <c r="AB789" s="590">
        <f>IF(A24taxstdlife="n/a","n/a",IF(AB$3&gt;(A24taxstdlife+$E789),(('PTRM input'!$O$166+'PTRM input'!$O$132)*$O$7)-SUM($O789:AA789),(('PTRM input'!$O$166+'PTRM input'!$O$132)*$O$7)/A24taxstdlife))</f>
        <v>0</v>
      </c>
      <c r="AC789" s="590">
        <f>IF(A24taxstdlife="n/a","n/a",IF(AC$3&gt;(A24taxstdlife+$E789),(('PTRM input'!$O$166+'PTRM input'!$O$132)*$O$7)-SUM($O789:AB789),(('PTRM input'!$O$166+'PTRM input'!$O$132)*$O$7)/A24taxstdlife))</f>
        <v>0</v>
      </c>
      <c r="AD789" s="590">
        <f>IF(A24taxstdlife="n/a","n/a",IF(AD$3&gt;(A24taxstdlife+$E789),(('PTRM input'!$O$166+'PTRM input'!$O$132)*$O$7)-SUM($O789:AC789),(('PTRM input'!$O$166+'PTRM input'!$O$132)*$O$7)/A24taxstdlife))</f>
        <v>0</v>
      </c>
      <c r="AE789" s="590">
        <f>IF(A24taxstdlife="n/a","n/a",IF(AE$3&gt;(A24taxstdlife+$E789),(('PTRM input'!$O$166+'PTRM input'!$O$132)*$O$7)-SUM($O789:AD789),(('PTRM input'!$O$166+'PTRM input'!$O$132)*$O$7)/A24taxstdlife))</f>
        <v>0</v>
      </c>
      <c r="AF789" s="590">
        <f>IF(A24taxstdlife="n/a","n/a",IF(AF$3&gt;(A24taxstdlife+$E789),(('PTRM input'!$O$166+'PTRM input'!$O$132)*$O$7)-SUM($O789:AE789),(('PTRM input'!$O$166+'PTRM input'!$O$132)*$O$7)/A24taxstdlife))</f>
        <v>0</v>
      </c>
      <c r="AG789" s="590">
        <f>IF(A24taxstdlife="n/a","n/a",IF(AG$3&gt;(A24taxstdlife+$E789),(('PTRM input'!$O$166+'PTRM input'!$O$132)*$O$7)-SUM($O789:AF789),(('PTRM input'!$O$166+'PTRM input'!$O$132)*$O$7)/A24taxstdlife))</f>
        <v>0</v>
      </c>
      <c r="AH789" s="590">
        <f>IF(A24taxstdlife="n/a","n/a",IF(AH$3&gt;(A24taxstdlife+$E789),(('PTRM input'!$O$166+'PTRM input'!$O$132)*$O$7)-SUM($O789:AG789),(('PTRM input'!$O$166+'PTRM input'!$O$132)*$O$7)/A24taxstdlife))</f>
        <v>0</v>
      </c>
      <c r="AI789" s="590">
        <f>IF(A24taxstdlife="n/a","n/a",IF(AI$3&gt;(A24taxstdlife+$E789),(('PTRM input'!$O$166+'PTRM input'!$O$132)*$O$7)-SUM($O789:AH789),(('PTRM input'!$O$166+'PTRM input'!$O$132)*$O$7)/A24taxstdlife))</f>
        <v>0</v>
      </c>
      <c r="AJ789" s="590">
        <f>IF(A24taxstdlife="n/a","n/a",IF(AJ$3&gt;(A24taxstdlife+$E789),(('PTRM input'!$O$166+'PTRM input'!$O$132)*$O$7)-SUM($O789:AI789),(('PTRM input'!$O$166+'PTRM input'!$O$132)*$O$7)/A24taxstdlife))</f>
        <v>0</v>
      </c>
      <c r="AK789" s="590">
        <f>IF(A24taxstdlife="n/a","n/a",IF(AK$3&gt;(A24taxstdlife+$E789),(('PTRM input'!$O$166+'PTRM input'!$O$132)*$O$7)-SUM($O789:AJ789),(('PTRM input'!$O$166+'PTRM input'!$O$132)*$O$7)/A24taxstdlife))</f>
        <v>0</v>
      </c>
      <c r="AL789" s="590">
        <f>IF(A24taxstdlife="n/a","n/a",IF(AL$3&gt;(A24taxstdlife+$E789),(('PTRM input'!$O$166+'PTRM input'!$O$132)*$O$7)-SUM($O789:AK789),(('PTRM input'!$O$166+'PTRM input'!$O$132)*$O$7)/A24taxstdlife))</f>
        <v>0</v>
      </c>
      <c r="AM789" s="590">
        <f>IF(A24taxstdlife="n/a","n/a",IF(AM$3&gt;(A24taxstdlife+$E789),(('PTRM input'!$O$166+'PTRM input'!$O$132)*$O$7)-SUM($O789:AL789),(('PTRM input'!$O$166+'PTRM input'!$O$132)*$O$7)/A24taxstdlife))</f>
        <v>0</v>
      </c>
      <c r="AN789" s="590">
        <f>IF(A24taxstdlife="n/a","n/a",IF(AN$3&gt;(A24taxstdlife+$E789),(('PTRM input'!$O$166+'PTRM input'!$O$132)*$O$7)-SUM($O789:AM789),(('PTRM input'!$O$166+'PTRM input'!$O$132)*$O$7)/A24taxstdlife))</f>
        <v>0</v>
      </c>
      <c r="AO789" s="590">
        <f>IF(A24taxstdlife="n/a","n/a",IF(AO$3&gt;(A24taxstdlife+$E789),(('PTRM input'!$O$166+'PTRM input'!$O$132)*$O$7)-SUM($O789:AN789),(('PTRM input'!$O$166+'PTRM input'!$O$132)*$O$7)/A24taxstdlife))</f>
        <v>0</v>
      </c>
      <c r="AP789" s="590">
        <f>IF(A24taxstdlife="n/a","n/a",IF(AP$3&gt;(A24taxstdlife+$E789),(('PTRM input'!$O$166+'PTRM input'!$O$132)*$O$7)-SUM($O789:AO789),(('PTRM input'!$O$166+'PTRM input'!$O$132)*$O$7)/A24taxstdlife))</f>
        <v>0</v>
      </c>
      <c r="AQ789" s="590">
        <f>IF(A24taxstdlife="n/a","n/a",IF(AQ$3&gt;(A24taxstdlife+$E789),(('PTRM input'!$O$166+'PTRM input'!$O$132)*$O$7)-SUM($O789:AP789),(('PTRM input'!$O$166+'PTRM input'!$O$132)*$O$7)/A24taxstdlife))</f>
        <v>0</v>
      </c>
      <c r="AR789" s="590">
        <f>IF(A24taxstdlife="n/a","n/a",IF(AR$3&gt;(A24taxstdlife+$E789),(('PTRM input'!$O$166+'PTRM input'!$O$132)*$O$7)-SUM($O789:AQ789),(('PTRM input'!$O$166+'PTRM input'!$O$132)*$O$7)/A24taxstdlife))</f>
        <v>0</v>
      </c>
      <c r="AS789" s="590">
        <f>IF(A24taxstdlife="n/a","n/a",IF(AS$3&gt;(A24taxstdlife+$E789),(('PTRM input'!$O$166+'PTRM input'!$O$132)*$O$7)-SUM($O789:AR789),(('PTRM input'!$O$166+'PTRM input'!$O$132)*$O$7)/A24taxstdlife))</f>
        <v>0</v>
      </c>
      <c r="AT789" s="590">
        <f>IF(A24taxstdlife="n/a","n/a",IF(AT$3&gt;(A24taxstdlife+$E789),(('PTRM input'!$O$166+'PTRM input'!$O$132)*$O$7)-SUM($O789:AS789),(('PTRM input'!$O$166+'PTRM input'!$O$132)*$O$7)/A24taxstdlife))</f>
        <v>0</v>
      </c>
      <c r="AU789" s="590">
        <f>IF(A24taxstdlife="n/a","n/a",IF(AU$3&gt;(A24taxstdlife+$E789),(('PTRM input'!$O$166+'PTRM input'!$O$132)*$O$7)-SUM($O789:AT789),(('PTRM input'!$O$166+'PTRM input'!$O$132)*$O$7)/A24taxstdlife))</f>
        <v>0</v>
      </c>
      <c r="AV789" s="590">
        <f>IF(A24taxstdlife="n/a","n/a",IF(AV$3&gt;(A24taxstdlife+$E789),(('PTRM input'!$O$166+'PTRM input'!$O$132)*$O$7)-SUM($O789:AU789),(('PTRM input'!$O$166+'PTRM input'!$O$132)*$O$7)/A24taxstdlife))</f>
        <v>0</v>
      </c>
      <c r="AW789" s="590">
        <f>IF(A24taxstdlife="n/a","n/a",IF(AW$3&gt;(A24taxstdlife+$E789),(('PTRM input'!$O$166+'PTRM input'!$O$132)*$O$7)-SUM($O789:AV789),(('PTRM input'!$O$166+'PTRM input'!$O$132)*$O$7)/A24taxstdlife))</f>
        <v>0</v>
      </c>
      <c r="AX789" s="590">
        <f>IF(A24taxstdlife="n/a","n/a",IF(AX$3&gt;(A24taxstdlife+$E789),(('PTRM input'!$O$166+'PTRM input'!$O$132)*$O$7)-SUM($O789:AW789),(('PTRM input'!$O$166+'PTRM input'!$O$132)*$O$7)/A24taxstdlife))</f>
        <v>0</v>
      </c>
      <c r="AY789" s="590">
        <f>IF(A24taxstdlife="n/a","n/a",IF(AY$3&gt;(A24taxstdlife+$E789),(('PTRM input'!$O$166+'PTRM input'!$O$132)*$O$7)-SUM($O789:AX789),(('PTRM input'!$O$166+'PTRM input'!$O$132)*$O$7)/A24taxstdlife))</f>
        <v>0</v>
      </c>
      <c r="AZ789" s="590">
        <f>IF(A24taxstdlife="n/a","n/a",IF(AZ$3&gt;(A24taxstdlife+$E789),(('PTRM input'!$O$166+'PTRM input'!$O$132)*$O$7)-SUM($O789:AY789),(('PTRM input'!$O$166+'PTRM input'!$O$132)*$O$7)/A24taxstdlife))</f>
        <v>0</v>
      </c>
      <c r="BA789" s="590">
        <f>IF(A24taxstdlife="n/a","n/a",IF(BA$3&gt;(A24taxstdlife+$E789),(('PTRM input'!$O$166+'PTRM input'!$O$132)*$O$7)-SUM($O789:AZ789),(('PTRM input'!$O$166+'PTRM input'!$O$132)*$O$7)/A24taxstdlife))</f>
        <v>0</v>
      </c>
      <c r="BB789" s="590">
        <f>IF(A24taxstdlife="n/a","n/a",IF(BB$3&gt;(A24taxstdlife+$E789),(('PTRM input'!$O$166+'PTRM input'!$O$132)*$O$7)-SUM($O789:BA789),(('PTRM input'!$O$166+'PTRM input'!$O$132)*$O$7)/A24taxstdlife))</f>
        <v>0</v>
      </c>
      <c r="BC789" s="590">
        <f>IF(A24taxstdlife="n/a","n/a",IF(BC$3&gt;(A24taxstdlife+$E789),(('PTRM input'!$O$166+'PTRM input'!$O$132)*$O$7)-SUM($O789:BB789),(('PTRM input'!$O$166+'PTRM input'!$O$132)*$O$7)/A24taxstdlife))</f>
        <v>0</v>
      </c>
      <c r="BD789" s="590">
        <f>IF(A24taxstdlife="n/a","n/a",IF(BD$3&gt;(A24taxstdlife+$E789),(('PTRM input'!$O$166+'PTRM input'!$O$132)*$O$7)-SUM($O789:BC789),(('PTRM input'!$O$166+'PTRM input'!$O$132)*$O$7)/A24taxstdlife))</f>
        <v>0</v>
      </c>
      <c r="BE789" s="590">
        <f>IF(A24taxstdlife="n/a","n/a",IF(BE$3&gt;(A24taxstdlife+$E789),(('PTRM input'!$O$166+'PTRM input'!$O$132)*$O$7)-SUM($O789:BD789),(('PTRM input'!$O$166+'PTRM input'!$O$132)*$O$7)/A24taxstdlife))</f>
        <v>0</v>
      </c>
      <c r="BF789" s="590">
        <f>IF(A24taxstdlife="n/a","n/a",IF(BF$3&gt;(A24taxstdlife+$E789),(('PTRM input'!$O$166+'PTRM input'!$O$132)*$O$7)-SUM($O789:BE789),(('PTRM input'!$O$166+'PTRM input'!$O$132)*$O$7)/A24taxstdlife))</f>
        <v>0</v>
      </c>
      <c r="BG789" s="590">
        <f>IF(A24taxstdlife="n/a","n/a",IF(BG$3&gt;(A24taxstdlife+$E789),(('PTRM input'!$O$166+'PTRM input'!$O$132)*$O$7)-SUM($O789:BF789),(('PTRM input'!$O$166+'PTRM input'!$O$132)*$O$7)/A24taxstdlife))</f>
        <v>0</v>
      </c>
      <c r="BH789" s="590">
        <f>IF(A24taxstdlife="n/a","n/a",IF(BH$3&gt;(A24taxstdlife+$E789),(('PTRM input'!$O$166+'PTRM input'!$O$132)*$O$7)-SUM($O789:BG789),(('PTRM input'!$O$166+'PTRM input'!$O$132)*$O$7)/A24taxstdlife))</f>
        <v>0</v>
      </c>
      <c r="BI789" s="590">
        <f>IF(A24taxstdlife="n/a","n/a",IF(BI$3&gt;(A24taxstdlife+$E789),(('PTRM input'!$O$166+'PTRM input'!$O$132)*$O$7)-SUM($O789:BH789),(('PTRM input'!$O$166+'PTRM input'!$O$132)*$O$7)/A24taxstdlife))</f>
        <v>0</v>
      </c>
      <c r="BJ789" s="240"/>
      <c r="BK789" s="240"/>
      <c r="BL789" s="240"/>
      <c r="BM789" s="240"/>
    </row>
    <row r="790" spans="1:65" s="4" customFormat="1" hidden="1" outlineLevel="2">
      <c r="A790" s="240"/>
      <c r="B790" s="240"/>
      <c r="C790" s="595"/>
      <c r="D790" s="1618"/>
      <c r="E790" s="170">
        <v>10</v>
      </c>
      <c r="F790" s="35"/>
      <c r="G790" s="184"/>
      <c r="H790" s="186"/>
      <c r="I790" s="186"/>
      <c r="J790" s="186"/>
      <c r="K790" s="186"/>
      <c r="L790" s="186"/>
      <c r="M790" s="186"/>
      <c r="N790" s="186"/>
      <c r="O790" s="186"/>
      <c r="P790" s="185"/>
      <c r="Q790" s="590">
        <f>IF(A24taxstdlife="n/a","n/a",IF(Q$3&gt;(A24taxstdlife+$E790),(('PTRM input'!$P$166+'PTRM input'!$P$132)*$P$7)-SUM($P790:P790),(('PTRM input'!$P$166+'PTRM input'!$P$132)*$P$7)/A24taxstdlife))</f>
        <v>0</v>
      </c>
      <c r="R790" s="590">
        <f>IF(A24taxstdlife="n/a","n/a",IF(R$3&gt;(A24taxstdlife+$E790),(('PTRM input'!$P$166+'PTRM input'!$P$132)*$P$7)-SUM($P790:Q790),(('PTRM input'!$P$166+'PTRM input'!$P$132)*$P$7)/A24taxstdlife))</f>
        <v>0</v>
      </c>
      <c r="S790" s="590">
        <f>IF(A24taxstdlife="n/a","n/a",IF(S$3&gt;(A24taxstdlife+$E790),(('PTRM input'!$P$166+'PTRM input'!$P$132)*$P$7)-SUM($P790:R790),(('PTRM input'!$P$166+'PTRM input'!$P$132)*$P$7)/A24taxstdlife))</f>
        <v>0</v>
      </c>
      <c r="T790" s="590">
        <f>IF(A24taxstdlife="n/a","n/a",IF(T$3&gt;(A24taxstdlife+$E790),(('PTRM input'!$P$166+'PTRM input'!$P$132)*$P$7)-SUM($P790:S790),(('PTRM input'!$P$166+'PTRM input'!$P$132)*$P$7)/A24taxstdlife))</f>
        <v>0</v>
      </c>
      <c r="U790" s="590">
        <f>IF(A24taxstdlife="n/a","n/a",IF(U$3&gt;(A24taxstdlife+$E790),(('PTRM input'!$P$166+'PTRM input'!$P$132)*$P$7)-SUM($P790:T790),(('PTRM input'!$P$166+'PTRM input'!$P$132)*$P$7)/A24taxstdlife))</f>
        <v>0</v>
      </c>
      <c r="V790" s="590">
        <f>IF(A24taxstdlife="n/a","n/a",IF(V$3&gt;(A24taxstdlife+$E790),(('PTRM input'!$P$166+'PTRM input'!$P$132)*$P$7)-SUM($P790:U790),(('PTRM input'!$P$166+'PTRM input'!$P$132)*$P$7)/A24taxstdlife))</f>
        <v>0</v>
      </c>
      <c r="W790" s="590">
        <f>IF(A24taxstdlife="n/a","n/a",IF(W$3&gt;(A24taxstdlife+$E790),(('PTRM input'!$P$166+'PTRM input'!$P$132)*$P$7)-SUM($P790:V790),(('PTRM input'!$P$166+'PTRM input'!$P$132)*$P$7)/A24taxstdlife))</f>
        <v>0</v>
      </c>
      <c r="X790" s="590">
        <f>IF(A24taxstdlife="n/a","n/a",IF(X$3&gt;(A24taxstdlife+$E790),(('PTRM input'!$P$166+'PTRM input'!$P$132)*$P$7)-SUM($P790:W790),(('PTRM input'!$P$166+'PTRM input'!$P$132)*$P$7)/A24taxstdlife))</f>
        <v>0</v>
      </c>
      <c r="Y790" s="590">
        <f>IF(A24taxstdlife="n/a","n/a",IF(Y$3&gt;(A24taxstdlife+$E790),(('PTRM input'!$P$166+'PTRM input'!$P$132)*$P$7)-SUM($P790:X790),(('PTRM input'!$P$166+'PTRM input'!$P$132)*$P$7)/A24taxstdlife))</f>
        <v>0</v>
      </c>
      <c r="Z790" s="590">
        <f>IF(A24taxstdlife="n/a","n/a",IF(Z$3&gt;(A24taxstdlife+$E790),(('PTRM input'!$P$166+'PTRM input'!$P$132)*$P$7)-SUM($P790:Y790),(('PTRM input'!$P$166+'PTRM input'!$P$132)*$P$7)/A24taxstdlife))</f>
        <v>0</v>
      </c>
      <c r="AA790" s="590">
        <f>IF(A24taxstdlife="n/a","n/a",IF(AA$3&gt;(A24taxstdlife+$E790),(('PTRM input'!$P$166+'PTRM input'!$P$132)*$P$7)-SUM($P790:Z790),(('PTRM input'!$P$166+'PTRM input'!$P$132)*$P$7)/A24taxstdlife))</f>
        <v>0</v>
      </c>
      <c r="AB790" s="590">
        <f>IF(A24taxstdlife="n/a","n/a",IF(AB$3&gt;(A24taxstdlife+$E790),(('PTRM input'!$P$166+'PTRM input'!$P$132)*$P$7)-SUM($P790:AA790),(('PTRM input'!$P$166+'PTRM input'!$P$132)*$P$7)/A24taxstdlife))</f>
        <v>0</v>
      </c>
      <c r="AC790" s="590">
        <f>IF(A24taxstdlife="n/a","n/a",IF(AC$3&gt;(A24taxstdlife+$E790),(('PTRM input'!$P$166+'PTRM input'!$P$132)*$P$7)-SUM($P790:AB790),(('PTRM input'!$P$166+'PTRM input'!$P$132)*$P$7)/A24taxstdlife))</f>
        <v>0</v>
      </c>
      <c r="AD790" s="590">
        <f>IF(A24taxstdlife="n/a","n/a",IF(AD$3&gt;(A24taxstdlife+$E790),(('PTRM input'!$P$166+'PTRM input'!$P$132)*$P$7)-SUM($P790:AC790),(('PTRM input'!$P$166+'PTRM input'!$P$132)*$P$7)/A24taxstdlife))</f>
        <v>0</v>
      </c>
      <c r="AE790" s="590">
        <f>IF(A24taxstdlife="n/a","n/a",IF(AE$3&gt;(A24taxstdlife+$E790),(('PTRM input'!$P$166+'PTRM input'!$P$132)*$P$7)-SUM($P790:AD790),(('PTRM input'!$P$166+'PTRM input'!$P$132)*$P$7)/A24taxstdlife))</f>
        <v>0</v>
      </c>
      <c r="AF790" s="590">
        <f>IF(A24taxstdlife="n/a","n/a",IF(AF$3&gt;(A24taxstdlife+$E790),(('PTRM input'!$P$166+'PTRM input'!$P$132)*$P$7)-SUM($P790:AE790),(('PTRM input'!$P$166+'PTRM input'!$P$132)*$P$7)/A24taxstdlife))</f>
        <v>0</v>
      </c>
      <c r="AG790" s="590">
        <f>IF(A24taxstdlife="n/a","n/a",IF(AG$3&gt;(A24taxstdlife+$E790),(('PTRM input'!$P$166+'PTRM input'!$P$132)*$P$7)-SUM($P790:AF790),(('PTRM input'!$P$166+'PTRM input'!$P$132)*$P$7)/A24taxstdlife))</f>
        <v>0</v>
      </c>
      <c r="AH790" s="590">
        <f>IF(A24taxstdlife="n/a","n/a",IF(AH$3&gt;(A24taxstdlife+$E790),(('PTRM input'!$P$166+'PTRM input'!$P$132)*$P$7)-SUM($P790:AG790),(('PTRM input'!$P$166+'PTRM input'!$P$132)*$P$7)/A24taxstdlife))</f>
        <v>0</v>
      </c>
      <c r="AI790" s="590">
        <f>IF(A24taxstdlife="n/a","n/a",IF(AI$3&gt;(A24taxstdlife+$E790),(('PTRM input'!$P$166+'PTRM input'!$P$132)*$P$7)-SUM($P790:AH790),(('PTRM input'!$P$166+'PTRM input'!$P$132)*$P$7)/A24taxstdlife))</f>
        <v>0</v>
      </c>
      <c r="AJ790" s="590">
        <f>IF(A24taxstdlife="n/a","n/a",IF(AJ$3&gt;(A24taxstdlife+$E790),(('PTRM input'!$P$166+'PTRM input'!$P$132)*$P$7)-SUM($P790:AI790),(('PTRM input'!$P$166+'PTRM input'!$P$132)*$P$7)/A24taxstdlife))</f>
        <v>0</v>
      </c>
      <c r="AK790" s="590">
        <f>IF(A24taxstdlife="n/a","n/a",IF(AK$3&gt;(A24taxstdlife+$E790),(('PTRM input'!$P$166+'PTRM input'!$P$132)*$P$7)-SUM($P790:AJ790),(('PTRM input'!$P$166+'PTRM input'!$P$132)*$P$7)/A24taxstdlife))</f>
        <v>0</v>
      </c>
      <c r="AL790" s="590">
        <f>IF(A24taxstdlife="n/a","n/a",IF(AL$3&gt;(A24taxstdlife+$E790),(('PTRM input'!$P$166+'PTRM input'!$P$132)*$P$7)-SUM($P790:AK790),(('PTRM input'!$P$166+'PTRM input'!$P$132)*$P$7)/A24taxstdlife))</f>
        <v>0</v>
      </c>
      <c r="AM790" s="590">
        <f>IF(A24taxstdlife="n/a","n/a",IF(AM$3&gt;(A24taxstdlife+$E790),(('PTRM input'!$P$166+'PTRM input'!$P$132)*$P$7)-SUM($P790:AL790),(('PTRM input'!$P$166+'PTRM input'!$P$132)*$P$7)/A24taxstdlife))</f>
        <v>0</v>
      </c>
      <c r="AN790" s="590">
        <f>IF(A24taxstdlife="n/a","n/a",IF(AN$3&gt;(A24taxstdlife+$E790),(('PTRM input'!$P$166+'PTRM input'!$P$132)*$P$7)-SUM($P790:AM790),(('PTRM input'!$P$166+'PTRM input'!$P$132)*$P$7)/A24taxstdlife))</f>
        <v>0</v>
      </c>
      <c r="AO790" s="590">
        <f>IF(A24taxstdlife="n/a","n/a",IF(AO$3&gt;(A24taxstdlife+$E790),(('PTRM input'!$P$166+'PTRM input'!$P$132)*$P$7)-SUM($P790:AN790),(('PTRM input'!$P$166+'PTRM input'!$P$132)*$P$7)/A24taxstdlife))</f>
        <v>0</v>
      </c>
      <c r="AP790" s="590">
        <f>IF(A24taxstdlife="n/a","n/a",IF(AP$3&gt;(A24taxstdlife+$E790),(('PTRM input'!$P$166+'PTRM input'!$P$132)*$P$7)-SUM($P790:AO790),(('PTRM input'!$P$166+'PTRM input'!$P$132)*$P$7)/A24taxstdlife))</f>
        <v>0</v>
      </c>
      <c r="AQ790" s="590">
        <f>IF(A24taxstdlife="n/a","n/a",IF(AQ$3&gt;(A24taxstdlife+$E790),(('PTRM input'!$P$166+'PTRM input'!$P$132)*$P$7)-SUM($P790:AP790),(('PTRM input'!$P$166+'PTRM input'!$P$132)*$P$7)/A24taxstdlife))</f>
        <v>0</v>
      </c>
      <c r="AR790" s="590">
        <f>IF(A24taxstdlife="n/a","n/a",IF(AR$3&gt;(A24taxstdlife+$E790),(('PTRM input'!$P$166+'PTRM input'!$P$132)*$P$7)-SUM($P790:AQ790),(('PTRM input'!$P$166+'PTRM input'!$P$132)*$P$7)/A24taxstdlife))</f>
        <v>0</v>
      </c>
      <c r="AS790" s="590">
        <f>IF(A24taxstdlife="n/a","n/a",IF(AS$3&gt;(A24taxstdlife+$E790),(('PTRM input'!$P$166+'PTRM input'!$P$132)*$P$7)-SUM($P790:AR790),(('PTRM input'!$P$166+'PTRM input'!$P$132)*$P$7)/A24taxstdlife))</f>
        <v>0</v>
      </c>
      <c r="AT790" s="590">
        <f>IF(A24taxstdlife="n/a","n/a",IF(AT$3&gt;(A24taxstdlife+$E790),(('PTRM input'!$P$166+'PTRM input'!$P$132)*$P$7)-SUM($P790:AS790),(('PTRM input'!$P$166+'PTRM input'!$P$132)*$P$7)/A24taxstdlife))</f>
        <v>0</v>
      </c>
      <c r="AU790" s="590">
        <f>IF(A24taxstdlife="n/a","n/a",IF(AU$3&gt;(A24taxstdlife+$E790),(('PTRM input'!$P$166+'PTRM input'!$P$132)*$P$7)-SUM($P790:AT790),(('PTRM input'!$P$166+'PTRM input'!$P$132)*$P$7)/A24taxstdlife))</f>
        <v>0</v>
      </c>
      <c r="AV790" s="590">
        <f>IF(A24taxstdlife="n/a","n/a",IF(AV$3&gt;(A24taxstdlife+$E790),(('PTRM input'!$P$166+'PTRM input'!$P$132)*$P$7)-SUM($P790:AU790),(('PTRM input'!$P$166+'PTRM input'!$P$132)*$P$7)/A24taxstdlife))</f>
        <v>0</v>
      </c>
      <c r="AW790" s="590">
        <f>IF(A24taxstdlife="n/a","n/a",IF(AW$3&gt;(A24taxstdlife+$E790),(('PTRM input'!$P$166+'PTRM input'!$P$132)*$P$7)-SUM($P790:AV790),(('PTRM input'!$P$166+'PTRM input'!$P$132)*$P$7)/A24taxstdlife))</f>
        <v>0</v>
      </c>
      <c r="AX790" s="590">
        <f>IF(A24taxstdlife="n/a","n/a",IF(AX$3&gt;(A24taxstdlife+$E790),(('PTRM input'!$P$166+'PTRM input'!$P$132)*$P$7)-SUM($P790:AW790),(('PTRM input'!$P$166+'PTRM input'!$P$132)*$P$7)/A24taxstdlife))</f>
        <v>0</v>
      </c>
      <c r="AY790" s="590">
        <f>IF(A24taxstdlife="n/a","n/a",IF(AY$3&gt;(A24taxstdlife+$E790),(('PTRM input'!$P$166+'PTRM input'!$P$132)*$P$7)-SUM($P790:AX790),(('PTRM input'!$P$166+'PTRM input'!$P$132)*$P$7)/A24taxstdlife))</f>
        <v>0</v>
      </c>
      <c r="AZ790" s="590">
        <f>IF(A24taxstdlife="n/a","n/a",IF(AZ$3&gt;(A24taxstdlife+$E790),(('PTRM input'!$P$166+'PTRM input'!$P$132)*$P$7)-SUM($P790:AY790),(('PTRM input'!$P$166+'PTRM input'!$P$132)*$P$7)/A24taxstdlife))</f>
        <v>0</v>
      </c>
      <c r="BA790" s="590">
        <f>IF(A24taxstdlife="n/a","n/a",IF(BA$3&gt;(A24taxstdlife+$E790),(('PTRM input'!$P$166+'PTRM input'!$P$132)*$P$7)-SUM($P790:AZ790),(('PTRM input'!$P$166+'PTRM input'!$P$132)*$P$7)/A24taxstdlife))</f>
        <v>0</v>
      </c>
      <c r="BB790" s="590">
        <f>IF(A24taxstdlife="n/a","n/a",IF(BB$3&gt;(A24taxstdlife+$E790),(('PTRM input'!$P$166+'PTRM input'!$P$132)*$P$7)-SUM($P790:BA790),(('PTRM input'!$P$166+'PTRM input'!$P$132)*$P$7)/A24taxstdlife))</f>
        <v>0</v>
      </c>
      <c r="BC790" s="590">
        <f>IF(A24taxstdlife="n/a","n/a",IF(BC$3&gt;(A24taxstdlife+$E790),(('PTRM input'!$P$166+'PTRM input'!$P$132)*$P$7)-SUM($P790:BB790),(('PTRM input'!$P$166+'PTRM input'!$P$132)*$P$7)/A24taxstdlife))</f>
        <v>0</v>
      </c>
      <c r="BD790" s="590">
        <f>IF(A24taxstdlife="n/a","n/a",IF(BD$3&gt;(A24taxstdlife+$E790),(('PTRM input'!$P$166+'PTRM input'!$P$132)*$P$7)-SUM($P790:BC790),(('PTRM input'!$P$166+'PTRM input'!$P$132)*$P$7)/A24taxstdlife))</f>
        <v>0</v>
      </c>
      <c r="BE790" s="590">
        <f>IF(A24taxstdlife="n/a","n/a",IF(BE$3&gt;(A24taxstdlife+$E790),(('PTRM input'!$P$166+'PTRM input'!$P$132)*$P$7)-SUM($P790:BD790),(('PTRM input'!$P$166+'PTRM input'!$P$132)*$P$7)/A24taxstdlife))</f>
        <v>0</v>
      </c>
      <c r="BF790" s="590">
        <f>IF(A24taxstdlife="n/a","n/a",IF(BF$3&gt;(A24taxstdlife+$E790),(('PTRM input'!$P$166+'PTRM input'!$P$132)*$P$7)-SUM($P790:BE790),(('PTRM input'!$P$166+'PTRM input'!$P$132)*$P$7)/A24taxstdlife))</f>
        <v>0</v>
      </c>
      <c r="BG790" s="590">
        <f>IF(A24taxstdlife="n/a","n/a",IF(BG$3&gt;(A24taxstdlife+$E790),(('PTRM input'!$P$166+'PTRM input'!$P$132)*$P$7)-SUM($P790:BF790),(('PTRM input'!$P$166+'PTRM input'!$P$132)*$P$7)/A24taxstdlife))</f>
        <v>0</v>
      </c>
      <c r="BH790" s="590">
        <f>IF(A24taxstdlife="n/a","n/a",IF(BH$3&gt;(A24taxstdlife+$E790),(('PTRM input'!$P$166+'PTRM input'!$P$132)*$P$7)-SUM($P790:BG790),(('PTRM input'!$P$166+'PTRM input'!$P$132)*$P$7)/A24taxstdlife))</f>
        <v>0</v>
      </c>
      <c r="BI790" s="590">
        <f>IF(A24taxstdlife="n/a","n/a",IF(BI$3&gt;(A24taxstdlife+$E790),(('PTRM input'!$P$166+'PTRM input'!$P$132)*$P$7)-SUM($P790:BH790),(('PTRM input'!$P$166+'PTRM input'!$P$132)*$P$7)/A24taxstdlife))</f>
        <v>0</v>
      </c>
      <c r="BJ790" s="240"/>
      <c r="BK790" s="240"/>
      <c r="BL790" s="240"/>
      <c r="BM790" s="240"/>
    </row>
    <row r="791" spans="1:65" s="4" customFormat="1" hidden="1" outlineLevel="1">
      <c r="A791" s="240"/>
      <c r="B791" s="240"/>
      <c r="C791" s="595">
        <f>Asset24</f>
        <v>0</v>
      </c>
      <c r="D791" s="240"/>
      <c r="E791" s="240"/>
      <c r="F791" s="596"/>
      <c r="G791" s="591">
        <f t="shared" ref="G791:AL791" si="152">SUM(G779:G790)</f>
        <v>0</v>
      </c>
      <c r="H791" s="591">
        <f t="shared" si="152"/>
        <v>0</v>
      </c>
      <c r="I791" s="591">
        <f t="shared" si="152"/>
        <v>0</v>
      </c>
      <c r="J791" s="591">
        <f t="shared" si="152"/>
        <v>0</v>
      </c>
      <c r="K791" s="591">
        <f t="shared" si="152"/>
        <v>0</v>
      </c>
      <c r="L791" s="591">
        <f t="shared" si="152"/>
        <v>0</v>
      </c>
      <c r="M791" s="591">
        <f t="shared" si="152"/>
        <v>0</v>
      </c>
      <c r="N791" s="591">
        <f t="shared" si="152"/>
        <v>0</v>
      </c>
      <c r="O791" s="591">
        <f t="shared" si="152"/>
        <v>0</v>
      </c>
      <c r="P791" s="591">
        <f t="shared" si="152"/>
        <v>0</v>
      </c>
      <c r="Q791" s="591">
        <f t="shared" si="152"/>
        <v>0</v>
      </c>
      <c r="R791" s="591">
        <f t="shared" si="152"/>
        <v>0</v>
      </c>
      <c r="S791" s="591">
        <f t="shared" si="152"/>
        <v>0</v>
      </c>
      <c r="T791" s="591">
        <f t="shared" si="152"/>
        <v>0</v>
      </c>
      <c r="U791" s="591">
        <f t="shared" si="152"/>
        <v>0</v>
      </c>
      <c r="V791" s="591">
        <f t="shared" si="152"/>
        <v>0</v>
      </c>
      <c r="W791" s="591">
        <f t="shared" si="152"/>
        <v>0</v>
      </c>
      <c r="X791" s="591">
        <f t="shared" si="152"/>
        <v>0</v>
      </c>
      <c r="Y791" s="591">
        <f t="shared" si="152"/>
        <v>0</v>
      </c>
      <c r="Z791" s="591">
        <f t="shared" si="152"/>
        <v>0</v>
      </c>
      <c r="AA791" s="591">
        <f t="shared" si="152"/>
        <v>0</v>
      </c>
      <c r="AB791" s="591">
        <f t="shared" si="152"/>
        <v>0</v>
      </c>
      <c r="AC791" s="591">
        <f t="shared" si="152"/>
        <v>0</v>
      </c>
      <c r="AD791" s="591">
        <f t="shared" si="152"/>
        <v>0</v>
      </c>
      <c r="AE791" s="591">
        <f t="shared" si="152"/>
        <v>0</v>
      </c>
      <c r="AF791" s="591">
        <f t="shared" si="152"/>
        <v>0</v>
      </c>
      <c r="AG791" s="591">
        <f t="shared" si="152"/>
        <v>0</v>
      </c>
      <c r="AH791" s="591">
        <f t="shared" si="152"/>
        <v>0</v>
      </c>
      <c r="AI791" s="591">
        <f t="shared" si="152"/>
        <v>0</v>
      </c>
      <c r="AJ791" s="591">
        <f t="shared" si="152"/>
        <v>0</v>
      </c>
      <c r="AK791" s="591">
        <f t="shared" si="152"/>
        <v>0</v>
      </c>
      <c r="AL791" s="591">
        <f t="shared" si="152"/>
        <v>0</v>
      </c>
      <c r="AM791" s="591">
        <f t="shared" ref="AM791:BI791" si="153">SUM(AM779:AM790)</f>
        <v>0</v>
      </c>
      <c r="AN791" s="591">
        <f t="shared" si="153"/>
        <v>0</v>
      </c>
      <c r="AO791" s="591">
        <f t="shared" si="153"/>
        <v>0</v>
      </c>
      <c r="AP791" s="591">
        <f t="shared" si="153"/>
        <v>0</v>
      </c>
      <c r="AQ791" s="591">
        <f t="shared" si="153"/>
        <v>0</v>
      </c>
      <c r="AR791" s="591">
        <f t="shared" si="153"/>
        <v>0</v>
      </c>
      <c r="AS791" s="591">
        <f t="shared" si="153"/>
        <v>0</v>
      </c>
      <c r="AT791" s="591">
        <f t="shared" si="153"/>
        <v>0</v>
      </c>
      <c r="AU791" s="591">
        <f t="shared" si="153"/>
        <v>0</v>
      </c>
      <c r="AV791" s="591">
        <f t="shared" si="153"/>
        <v>0</v>
      </c>
      <c r="AW791" s="591">
        <f t="shared" si="153"/>
        <v>0</v>
      </c>
      <c r="AX791" s="591">
        <f t="shared" si="153"/>
        <v>0</v>
      </c>
      <c r="AY791" s="591">
        <f t="shared" si="153"/>
        <v>0</v>
      </c>
      <c r="AZ791" s="591">
        <f t="shared" si="153"/>
        <v>0</v>
      </c>
      <c r="BA791" s="591">
        <f t="shared" si="153"/>
        <v>0</v>
      </c>
      <c r="BB791" s="591">
        <f t="shared" si="153"/>
        <v>0</v>
      </c>
      <c r="BC791" s="591">
        <f t="shared" si="153"/>
        <v>0</v>
      </c>
      <c r="BD791" s="591">
        <f t="shared" si="153"/>
        <v>0</v>
      </c>
      <c r="BE791" s="591">
        <f t="shared" si="153"/>
        <v>0</v>
      </c>
      <c r="BF791" s="591">
        <f t="shared" si="153"/>
        <v>0</v>
      </c>
      <c r="BG791" s="591">
        <f t="shared" si="153"/>
        <v>0</v>
      </c>
      <c r="BH791" s="591">
        <f t="shared" si="153"/>
        <v>0</v>
      </c>
      <c r="BI791" s="591">
        <f t="shared" si="153"/>
        <v>0</v>
      </c>
      <c r="BJ791" s="240"/>
      <c r="BK791" s="240"/>
      <c r="BL791" s="240"/>
      <c r="BM791" s="240"/>
    </row>
    <row r="792" spans="1:65" s="4" customFormat="1" hidden="1" outlineLevel="2">
      <c r="A792" s="240"/>
      <c r="B792" s="597">
        <f>C804</f>
        <v>0</v>
      </c>
      <c r="C792" s="488"/>
      <c r="D792" s="598" t="s">
        <v>58</v>
      </c>
      <c r="E792" s="488"/>
      <c r="F792" s="599"/>
      <c r="G792" s="592">
        <f>IF(G$3&gt;A25taxremlife,A25taxvalue-SUM($F792:F792),IF(A25taxremlife="N/A","n/a",A25taxvalue/A25taxremlife))</f>
        <v>0</v>
      </c>
      <c r="H792" s="592">
        <f>IF(H$3&gt;A25taxremlife,A25taxvalue-SUM($F792:G792),IF(A25taxremlife="N/A","n/a",A25taxvalue/A25taxremlife))</f>
        <v>0</v>
      </c>
      <c r="I792" s="592">
        <f>IF(I$3&gt;A25taxremlife,A25taxvalue-SUM($F792:H792),IF(A25taxremlife="N/A","n/a",A25taxvalue/A25taxremlife))</f>
        <v>0</v>
      </c>
      <c r="J792" s="592">
        <f>IF(J$3&gt;A25taxremlife,A25taxvalue-SUM($F792:I792),IF(A25taxremlife="N/A","n/a",A25taxvalue/A25taxremlife))</f>
        <v>0</v>
      </c>
      <c r="K792" s="592">
        <f>IF(K$3&gt;A25taxremlife,A25taxvalue-SUM($F792:J792),IF(A25taxremlife="N/A","n/a",A25taxvalue/A25taxremlife))</f>
        <v>0</v>
      </c>
      <c r="L792" s="592">
        <f>IF(L$3&gt;A25taxremlife,A25taxvalue-SUM($F792:K792),IF(A25taxremlife="N/A","n/a",A25taxvalue/A25taxremlife))</f>
        <v>0</v>
      </c>
      <c r="M792" s="592">
        <f>IF(M$3&gt;A25taxremlife,A25taxvalue-SUM($F792:L792),IF(A25taxremlife="N/A","n/a",A25taxvalue/A25taxremlife))</f>
        <v>0</v>
      </c>
      <c r="N792" s="592">
        <f>IF(N$3&gt;A25taxremlife,A25taxvalue-SUM($F792:M792),IF(A25taxremlife="N/A","n/a",A25taxvalue/A25taxremlife))</f>
        <v>0</v>
      </c>
      <c r="O792" s="592">
        <f>IF(O$3&gt;A25taxremlife,A25taxvalue-SUM($F792:N792),IF(A25taxremlife="N/A","n/a",A25taxvalue/A25taxremlife))</f>
        <v>0</v>
      </c>
      <c r="P792" s="592">
        <f>IF(P$3&gt;A25taxremlife,A25taxvalue-SUM($F792:O792),IF(A25taxremlife="N/A","n/a",A25taxvalue/A25taxremlife))</f>
        <v>0</v>
      </c>
      <c r="Q792" s="592">
        <f>IF(Q$3&gt;A25taxremlife,A25taxvalue-SUM($F792:P792),IF(A25taxremlife="N/A","n/a",A25taxvalue/A25taxremlife))</f>
        <v>0</v>
      </c>
      <c r="R792" s="592">
        <f>IF(R$3&gt;A25taxremlife,A25taxvalue-SUM($F792:Q792),IF(A25taxremlife="N/A","n/a",A25taxvalue/A25taxremlife))</f>
        <v>0</v>
      </c>
      <c r="S792" s="592">
        <f>IF(S$3&gt;A25taxremlife,A25taxvalue-SUM($F792:R792),IF(A25taxremlife="N/A","n/a",A25taxvalue/A25taxremlife))</f>
        <v>0</v>
      </c>
      <c r="T792" s="592">
        <f>IF(T$3&gt;A25taxremlife,A25taxvalue-SUM($F792:S792),IF(A25taxremlife="N/A","n/a",A25taxvalue/A25taxremlife))</f>
        <v>0</v>
      </c>
      <c r="U792" s="592">
        <f>IF(U$3&gt;A25taxremlife,A25taxvalue-SUM($F792:T792),IF(A25taxremlife="N/A","n/a",A25taxvalue/A25taxremlife))</f>
        <v>0</v>
      </c>
      <c r="V792" s="592">
        <f>IF(V$3&gt;A25taxremlife,A25taxvalue-SUM($F792:U792),IF(A25taxremlife="N/A","n/a",A25taxvalue/A25taxremlife))</f>
        <v>0</v>
      </c>
      <c r="W792" s="592">
        <f>IF(W$3&gt;A25taxremlife,A25taxvalue-SUM($F792:V792),IF(A25taxremlife="N/A","n/a",A25taxvalue/A25taxremlife))</f>
        <v>0</v>
      </c>
      <c r="X792" s="592">
        <f>IF(X$3&gt;A25taxremlife,A25taxvalue-SUM($F792:W792),IF(A25taxremlife="N/A","n/a",A25taxvalue/A25taxremlife))</f>
        <v>0</v>
      </c>
      <c r="Y792" s="592">
        <f>IF(Y$3&gt;A25taxremlife,A25taxvalue-SUM($F792:X792),IF(A25taxremlife="N/A","n/a",A25taxvalue/A25taxremlife))</f>
        <v>0</v>
      </c>
      <c r="Z792" s="592">
        <f>IF(Z$3&gt;A25taxremlife,A25taxvalue-SUM($F792:Y792),IF(A25taxremlife="N/A","n/a",A25taxvalue/A25taxremlife))</f>
        <v>0</v>
      </c>
      <c r="AA792" s="592">
        <f>IF(AA$3&gt;A25taxremlife,A25taxvalue-SUM($F792:Z792),IF(A25taxremlife="N/A","n/a",A25taxvalue/A25taxremlife))</f>
        <v>0</v>
      </c>
      <c r="AB792" s="592">
        <f>IF(AB$3&gt;A25taxremlife,A25taxvalue-SUM($F792:AA792),IF(A25taxremlife="N/A","n/a",A25taxvalue/A25taxremlife))</f>
        <v>0</v>
      </c>
      <c r="AC792" s="592">
        <f>IF(AC$3&gt;A25taxremlife,A25taxvalue-SUM($F792:AB792),IF(A25taxremlife="N/A","n/a",A25taxvalue/A25taxremlife))</f>
        <v>0</v>
      </c>
      <c r="AD792" s="592">
        <f>IF(AD$3&gt;A25taxremlife,A25taxvalue-SUM($F792:AC792),IF(A25taxremlife="N/A","n/a",A25taxvalue/A25taxremlife))</f>
        <v>0</v>
      </c>
      <c r="AE792" s="592">
        <f>IF(AE$3&gt;A25taxremlife,A25taxvalue-SUM($F792:AD792),IF(A25taxremlife="N/A","n/a",A25taxvalue/A25taxremlife))</f>
        <v>0</v>
      </c>
      <c r="AF792" s="592">
        <f>IF(AF$3&gt;A25taxremlife,A25taxvalue-SUM($F792:AE792),IF(A25taxremlife="N/A","n/a",A25taxvalue/A25taxremlife))</f>
        <v>0</v>
      </c>
      <c r="AG792" s="592">
        <f>IF(AG$3&gt;A25taxremlife,A25taxvalue-SUM($F792:AF792),IF(A25taxremlife="N/A","n/a",A25taxvalue/A25taxremlife))</f>
        <v>0</v>
      </c>
      <c r="AH792" s="592">
        <f>IF(AH$3&gt;A25taxremlife,A25taxvalue-SUM($F792:AG792),IF(A25taxremlife="N/A","n/a",A25taxvalue/A25taxremlife))</f>
        <v>0</v>
      </c>
      <c r="AI792" s="592">
        <f>IF(AI$3&gt;A25taxremlife,A25taxvalue-SUM($F792:AH792),IF(A25taxremlife="N/A","n/a",A25taxvalue/A25taxremlife))</f>
        <v>0</v>
      </c>
      <c r="AJ792" s="592">
        <f>IF(AJ$3&gt;A25taxremlife,A25taxvalue-SUM($F792:AI792),IF(A25taxremlife="N/A","n/a",A25taxvalue/A25taxremlife))</f>
        <v>0</v>
      </c>
      <c r="AK792" s="592">
        <f>IF(AK$3&gt;A25taxremlife,A25taxvalue-SUM($F792:AJ792),IF(A25taxremlife="N/A","n/a",A25taxvalue/A25taxremlife))</f>
        <v>0</v>
      </c>
      <c r="AL792" s="592">
        <f>IF(AL$3&gt;A25taxremlife,A25taxvalue-SUM($F792:AK792),IF(A25taxremlife="N/A","n/a",A25taxvalue/A25taxremlife))</f>
        <v>0</v>
      </c>
      <c r="AM792" s="592">
        <f>IF(AM$3&gt;A25taxremlife,A25taxvalue-SUM($F792:AL792),IF(A25taxremlife="N/A","n/a",A25taxvalue/A25taxremlife))</f>
        <v>0</v>
      </c>
      <c r="AN792" s="592">
        <f>IF(AN$3&gt;A25taxremlife,A25taxvalue-SUM($F792:AM792),IF(A25taxremlife="N/A","n/a",A25taxvalue/A25taxremlife))</f>
        <v>0</v>
      </c>
      <c r="AO792" s="592">
        <f>IF(AO$3&gt;A25taxremlife,A25taxvalue-SUM($F792:AN792),IF(A25taxremlife="N/A","n/a",A25taxvalue/A25taxremlife))</f>
        <v>0</v>
      </c>
      <c r="AP792" s="592">
        <f>IF(AP$3&gt;A25taxremlife,A25taxvalue-SUM($F792:AO792),IF(A25taxremlife="N/A","n/a",A25taxvalue/A25taxremlife))</f>
        <v>0</v>
      </c>
      <c r="AQ792" s="592">
        <f>IF(AQ$3&gt;A25taxremlife,A25taxvalue-SUM($F792:AP792),IF(A25taxremlife="N/A","n/a",A25taxvalue/A25taxremlife))</f>
        <v>0</v>
      </c>
      <c r="AR792" s="592">
        <f>IF(AR$3&gt;A25taxremlife,A25taxvalue-SUM($F792:AQ792),IF(A25taxremlife="N/A","n/a",A25taxvalue/A25taxremlife))</f>
        <v>0</v>
      </c>
      <c r="AS792" s="592">
        <f>IF(AS$3&gt;A25taxremlife,A25taxvalue-SUM($F792:AR792),IF(A25taxremlife="N/A","n/a",A25taxvalue/A25taxremlife))</f>
        <v>0</v>
      </c>
      <c r="AT792" s="592">
        <f>IF(AT$3&gt;A25taxremlife,A25taxvalue-SUM($F792:AS792),IF(A25taxremlife="N/A","n/a",A25taxvalue/A25taxremlife))</f>
        <v>0</v>
      </c>
      <c r="AU792" s="592">
        <f>IF(AU$3&gt;A25taxremlife,A25taxvalue-SUM($F792:AT792),IF(A25taxremlife="N/A","n/a",A25taxvalue/A25taxremlife))</f>
        <v>0</v>
      </c>
      <c r="AV792" s="592">
        <f>IF(AV$3&gt;A25taxremlife,A25taxvalue-SUM($F792:AU792),IF(A25taxremlife="N/A","n/a",A25taxvalue/A25taxremlife))</f>
        <v>0</v>
      </c>
      <c r="AW792" s="592">
        <f>IF(AW$3&gt;A25taxremlife,A25taxvalue-SUM($F792:AV792),IF(A25taxremlife="N/A","n/a",A25taxvalue/A25taxremlife))</f>
        <v>0</v>
      </c>
      <c r="AX792" s="592">
        <f>IF(AX$3&gt;A25taxremlife,A25taxvalue-SUM($F792:AW792),IF(A25taxremlife="N/A","n/a",A25taxvalue/A25taxremlife))</f>
        <v>0</v>
      </c>
      <c r="AY792" s="592">
        <f>IF(AY$3&gt;A25taxremlife,A25taxvalue-SUM($F792:AX792),IF(A25taxremlife="N/A","n/a",A25taxvalue/A25taxremlife))</f>
        <v>0</v>
      </c>
      <c r="AZ792" s="592">
        <f>IF(AZ$3&gt;A25taxremlife,A25taxvalue-SUM($F792:AY792),IF(A25taxremlife="N/A","n/a",A25taxvalue/A25taxremlife))</f>
        <v>0</v>
      </c>
      <c r="BA792" s="592">
        <f>IF(BA$3&gt;A25taxremlife,A25taxvalue-SUM($F792:AZ792),IF(A25taxremlife="N/A","n/a",A25taxvalue/A25taxremlife))</f>
        <v>0</v>
      </c>
      <c r="BB792" s="592">
        <f>IF(BB$3&gt;A25taxremlife,A25taxvalue-SUM($F792:BA792),IF(A25taxremlife="N/A","n/a",A25taxvalue/A25taxremlife))</f>
        <v>0</v>
      </c>
      <c r="BC792" s="592">
        <f>IF(BC$3&gt;A25taxremlife,A25taxvalue-SUM($F792:BB792),IF(A25taxremlife="N/A","n/a",A25taxvalue/A25taxremlife))</f>
        <v>0</v>
      </c>
      <c r="BD792" s="592">
        <f>IF(BD$3&gt;A25taxremlife,A25taxvalue-SUM($F792:BC792),IF(A25taxremlife="N/A","n/a",A25taxvalue/A25taxremlife))</f>
        <v>0</v>
      </c>
      <c r="BE792" s="592">
        <f>IF(BE$3&gt;A25taxremlife,A25taxvalue-SUM($F792:BD792),IF(A25taxremlife="N/A","n/a",A25taxvalue/A25taxremlife))</f>
        <v>0</v>
      </c>
      <c r="BF792" s="592">
        <f>IF(BF$3&gt;A25taxremlife,A25taxvalue-SUM($F792:BE792),IF(A25taxremlife="N/A","n/a",A25taxvalue/A25taxremlife))</f>
        <v>0</v>
      </c>
      <c r="BG792" s="592">
        <f>IF(BG$3&gt;A25taxremlife,A25taxvalue-SUM($F792:BF792),IF(A25taxremlife="N/A","n/a",A25taxvalue/A25taxremlife))</f>
        <v>0</v>
      </c>
      <c r="BH792" s="592">
        <f>IF(BH$3&gt;A25taxremlife,A25taxvalue-SUM($F792:BG792),IF(A25taxremlife="N/A","n/a",A25taxvalue/A25taxremlife))</f>
        <v>0</v>
      </c>
      <c r="BI792" s="592">
        <f>IF(BI$3&gt;A25taxremlife,A25taxvalue-SUM($F792:BH792),IF(A25taxremlife="N/A","n/a",A25taxvalue/A25taxremlife))</f>
        <v>0</v>
      </c>
      <c r="BJ792" s="240"/>
      <c r="BK792" s="240"/>
      <c r="BL792" s="240"/>
      <c r="BM792" s="240"/>
    </row>
    <row r="793" spans="1:65" s="4" customFormat="1" ht="12.75" hidden="1" customHeight="1" outlineLevel="2">
      <c r="A793" s="240"/>
      <c r="B793" s="240"/>
      <c r="C793" s="595"/>
      <c r="D793" s="1618" t="s">
        <v>357</v>
      </c>
      <c r="E793" s="169">
        <v>0</v>
      </c>
      <c r="F793" s="35"/>
      <c r="G793" s="107"/>
      <c r="H793" s="107"/>
      <c r="I793" s="107"/>
      <c r="J793" s="107"/>
      <c r="K793" s="107"/>
      <c r="L793" s="107"/>
      <c r="M793" s="107"/>
      <c r="N793" s="107"/>
      <c r="O793" s="107"/>
      <c r="P793" s="107"/>
      <c r="Q793" s="590"/>
      <c r="R793" s="590"/>
      <c r="S793" s="590"/>
      <c r="T793" s="590"/>
      <c r="U793" s="590"/>
      <c r="V793" s="590"/>
      <c r="W793" s="590"/>
      <c r="X793" s="590"/>
      <c r="Y793" s="590"/>
      <c r="Z793" s="590"/>
      <c r="AA793" s="590"/>
      <c r="AB793" s="590"/>
      <c r="AC793" s="590"/>
      <c r="AD793" s="590"/>
      <c r="AE793" s="590"/>
      <c r="AF793" s="590"/>
      <c r="AG793" s="590"/>
      <c r="AH793" s="590"/>
      <c r="AI793" s="590"/>
      <c r="AJ793" s="590"/>
      <c r="AK793" s="590"/>
      <c r="AL793" s="590"/>
      <c r="AM793" s="590"/>
      <c r="AN793" s="590"/>
      <c r="AO793" s="590"/>
      <c r="AP793" s="590"/>
      <c r="AQ793" s="590"/>
      <c r="AR793" s="590"/>
      <c r="AS793" s="590"/>
      <c r="AT793" s="590"/>
      <c r="AU793" s="590"/>
      <c r="AV793" s="590"/>
      <c r="AW793" s="590"/>
      <c r="AX793" s="590"/>
      <c r="AY793" s="590"/>
      <c r="AZ793" s="590"/>
      <c r="BA793" s="590"/>
      <c r="BB793" s="590"/>
      <c r="BC793" s="590"/>
      <c r="BD793" s="590"/>
      <c r="BE793" s="590"/>
      <c r="BF793" s="590"/>
      <c r="BG793" s="590"/>
      <c r="BH793" s="590"/>
      <c r="BI793" s="590"/>
      <c r="BJ793" s="240"/>
      <c r="BK793" s="240"/>
      <c r="BL793" s="240"/>
      <c r="BM793" s="240"/>
    </row>
    <row r="794" spans="1:65" s="4" customFormat="1" hidden="1" outlineLevel="2">
      <c r="A794" s="240"/>
      <c r="B794" s="240"/>
      <c r="C794" s="595"/>
      <c r="D794" s="1618"/>
      <c r="E794" s="169">
        <v>1</v>
      </c>
      <c r="F794" s="35"/>
      <c r="G794" s="183"/>
      <c r="H794" s="107">
        <f>IF(A25taxstdlife="n/a","n/a",IF(H$3&gt;(A25taxstdlife+$E794),(('PTRM input'!$G$167+'PTRM input'!$G$133)*$G$7)-SUM($G794:G794),(('PTRM input'!$G$167+'PTRM input'!$G$133)*$G$7)/A25taxstdlife))</f>
        <v>0</v>
      </c>
      <c r="I794" s="107">
        <f>IF(A25taxstdlife="n/a","n/a",IF(I$3&gt;(A25taxstdlife+$E794),(('PTRM input'!$G$167+'PTRM input'!$G$133)*$G$7)-SUM($G794:H794),(('PTRM input'!$G$167+'PTRM input'!$G$133)*$G$7)/A25taxstdlife))</f>
        <v>0</v>
      </c>
      <c r="J794" s="107">
        <f>IF(A25taxstdlife="n/a","n/a",IF(J$3&gt;(A25taxstdlife+$E794),(('PTRM input'!$G$167+'PTRM input'!$G$133)*$G$7)-SUM($G794:I794),(('PTRM input'!$G$167+'PTRM input'!$G$133)*$G$7)/A25taxstdlife))</f>
        <v>0</v>
      </c>
      <c r="K794" s="107">
        <f>IF(A25taxstdlife="n/a","n/a",IF(K$3&gt;(A25taxstdlife+$E794),(('PTRM input'!$G$167+'PTRM input'!$G$133)*$G$7)-SUM($G794:J794),(('PTRM input'!$G$167+'PTRM input'!$G$133)*$G$7)/A25taxstdlife))</f>
        <v>0</v>
      </c>
      <c r="L794" s="107">
        <f>IF(A25taxstdlife="n/a","n/a",IF(L$3&gt;(A25taxstdlife+$E794),(('PTRM input'!$G$167+'PTRM input'!$G$133)*$G$7)-SUM($G794:K794),(('PTRM input'!$G$167+'PTRM input'!$G$133)*$G$7)/A25taxstdlife))</f>
        <v>0</v>
      </c>
      <c r="M794" s="107">
        <f>IF(A25taxstdlife="n/a","n/a",IF(M$3&gt;(A25taxstdlife+$E794),(('PTRM input'!$G$167+'PTRM input'!$G$133)*$G$7)-SUM($G794:L794),(('PTRM input'!$G$167+'PTRM input'!$G$133)*$G$7)/A25taxstdlife))</f>
        <v>0</v>
      </c>
      <c r="N794" s="107">
        <f>IF(A25taxstdlife="n/a","n/a",IF(N$3&gt;(A25taxstdlife+$E794),(('PTRM input'!$G$167+'PTRM input'!$G$133)*$G$7)-SUM($G794:M794),(('PTRM input'!$G$167+'PTRM input'!$G$133)*$G$7)/A25taxstdlife))</f>
        <v>0</v>
      </c>
      <c r="O794" s="107">
        <f>IF(A25taxstdlife="n/a","n/a",IF(O$3&gt;(A25taxstdlife+$E794),(('PTRM input'!$G$167+'PTRM input'!$G$133)*$G$7)-SUM($G794:N794),(('PTRM input'!$G$167+'PTRM input'!$G$133)*$G$7)/A25taxstdlife))</f>
        <v>0</v>
      </c>
      <c r="P794" s="107">
        <f>IF(A25taxstdlife="n/a","n/a",IF(P$3&gt;(A25taxstdlife+$E794),(('PTRM input'!$G$167+'PTRM input'!$G$133)*$G$7)-SUM($G794:O794),(('PTRM input'!$G$167+'PTRM input'!$G$133)*$G$7)/A25taxstdlife))</f>
        <v>0</v>
      </c>
      <c r="Q794" s="590">
        <f>IF(A25taxstdlife="n/a","n/a",IF(Q$3&gt;(A25taxstdlife+$E794),(('PTRM input'!$G$167+'PTRM input'!$G$133)*$G$7)-SUM($G794:P794),(('PTRM input'!$G$167+'PTRM input'!$G$133)*$G$7)/A25taxstdlife))</f>
        <v>0</v>
      </c>
      <c r="R794" s="590">
        <f>IF(A25taxstdlife="n/a","n/a",IF(R$3&gt;(A25taxstdlife+$E794),(('PTRM input'!$G$167+'PTRM input'!$G$133)*$G$7)-SUM($G794:Q794),(('PTRM input'!$G$167+'PTRM input'!$G$133)*$G$7)/A25taxstdlife))</f>
        <v>0</v>
      </c>
      <c r="S794" s="590">
        <f>IF(A25taxstdlife="n/a","n/a",IF(S$3&gt;(A25taxstdlife+$E794),(('PTRM input'!$G$167+'PTRM input'!$G$133)*$G$7)-SUM($G794:R794),(('PTRM input'!$G$167+'PTRM input'!$G$133)*$G$7)/A25taxstdlife))</f>
        <v>0</v>
      </c>
      <c r="T794" s="590">
        <f>IF(A25taxstdlife="n/a","n/a",IF(T$3&gt;(A25taxstdlife+$E794),(('PTRM input'!$G$167+'PTRM input'!$G$133)*$G$7)-SUM($G794:S794),(('PTRM input'!$G$167+'PTRM input'!$G$133)*$G$7)/A25taxstdlife))</f>
        <v>0</v>
      </c>
      <c r="U794" s="590">
        <f>IF(A25taxstdlife="n/a","n/a",IF(U$3&gt;(A25taxstdlife+$E794),(('PTRM input'!$G$167+'PTRM input'!$G$133)*$G$7)-SUM($G794:T794),(('PTRM input'!$G$167+'PTRM input'!$G$133)*$G$7)/A25taxstdlife))</f>
        <v>0</v>
      </c>
      <c r="V794" s="590">
        <f>IF(A25taxstdlife="n/a","n/a",IF(V$3&gt;(A25taxstdlife+$E794),(('PTRM input'!$G$167+'PTRM input'!$G$133)*$G$7)-SUM($G794:U794),(('PTRM input'!$G$167+'PTRM input'!$G$133)*$G$7)/A25taxstdlife))</f>
        <v>0</v>
      </c>
      <c r="W794" s="590">
        <f>IF(A25taxstdlife="n/a","n/a",IF(W$3&gt;(A25taxstdlife+$E794),(('PTRM input'!$G$167+'PTRM input'!$G$133)*$G$7)-SUM($G794:V794),(('PTRM input'!$G$167+'PTRM input'!$G$133)*$G$7)/A25taxstdlife))</f>
        <v>0</v>
      </c>
      <c r="X794" s="590">
        <f>IF(A25taxstdlife="n/a","n/a",IF(X$3&gt;(A25taxstdlife+$E794),(('PTRM input'!$G$167+'PTRM input'!$G$133)*$G$7)-SUM($G794:W794),(('PTRM input'!$G$167+'PTRM input'!$G$133)*$G$7)/A25taxstdlife))</f>
        <v>0</v>
      </c>
      <c r="Y794" s="590">
        <f>IF(A25taxstdlife="n/a","n/a",IF(Y$3&gt;(A25taxstdlife+$E794),(('PTRM input'!$G$167+'PTRM input'!$G$133)*$G$7)-SUM($G794:X794),(('PTRM input'!$G$167+'PTRM input'!$G$133)*$G$7)/A25taxstdlife))</f>
        <v>0</v>
      </c>
      <c r="Z794" s="590">
        <f>IF(A25taxstdlife="n/a","n/a",IF(Z$3&gt;(A25taxstdlife+$E794),(('PTRM input'!$G$167+'PTRM input'!$G$133)*$G$7)-SUM($G794:Y794),(('PTRM input'!$G$167+'PTRM input'!$G$133)*$G$7)/A25taxstdlife))</f>
        <v>0</v>
      </c>
      <c r="AA794" s="590">
        <f>IF(A25taxstdlife="n/a","n/a",IF(AA$3&gt;(A25taxstdlife+$E794),(('PTRM input'!$G$167+'PTRM input'!$G$133)*$G$7)-SUM($G794:Z794),(('PTRM input'!$G$167+'PTRM input'!$G$133)*$G$7)/A25taxstdlife))</f>
        <v>0</v>
      </c>
      <c r="AB794" s="590">
        <f>IF(A25taxstdlife="n/a","n/a",IF(AB$3&gt;(A25taxstdlife+$E794),(('PTRM input'!$G$167+'PTRM input'!$G$133)*$G$7)-SUM($G794:AA794),(('PTRM input'!$G$167+'PTRM input'!$G$133)*$G$7)/A25taxstdlife))</f>
        <v>0</v>
      </c>
      <c r="AC794" s="590">
        <f>IF(A25taxstdlife="n/a","n/a",IF(AC$3&gt;(A25taxstdlife+$E794),(('PTRM input'!$G$167+'PTRM input'!$G$133)*$G$7)-SUM($G794:AB794),(('PTRM input'!$G$167+'PTRM input'!$G$133)*$G$7)/A25taxstdlife))</f>
        <v>0</v>
      </c>
      <c r="AD794" s="590">
        <f>IF(A25taxstdlife="n/a","n/a",IF(AD$3&gt;(A25taxstdlife+$E794),(('PTRM input'!$G$167+'PTRM input'!$G$133)*$G$7)-SUM($G794:AC794),(('PTRM input'!$G$167+'PTRM input'!$G$133)*$G$7)/A25taxstdlife))</f>
        <v>0</v>
      </c>
      <c r="AE794" s="590">
        <f>IF(A25taxstdlife="n/a","n/a",IF(AE$3&gt;(A25taxstdlife+$E794),(('PTRM input'!$G$167+'PTRM input'!$G$133)*$G$7)-SUM($G794:AD794),(('PTRM input'!$G$167+'PTRM input'!$G$133)*$G$7)/A25taxstdlife))</f>
        <v>0</v>
      </c>
      <c r="AF794" s="590">
        <f>IF(A25taxstdlife="n/a","n/a",IF(AF$3&gt;(A25taxstdlife+$E794),(('PTRM input'!$G$167+'PTRM input'!$G$133)*$G$7)-SUM($G794:AE794),(('PTRM input'!$G$167+'PTRM input'!$G$133)*$G$7)/A25taxstdlife))</f>
        <v>0</v>
      </c>
      <c r="AG794" s="590">
        <f>IF(A25taxstdlife="n/a","n/a",IF(AG$3&gt;(A25taxstdlife+$E794),(('PTRM input'!$G$167+'PTRM input'!$G$133)*$G$7)-SUM($G794:AF794),(('PTRM input'!$G$167+'PTRM input'!$G$133)*$G$7)/A25taxstdlife))</f>
        <v>0</v>
      </c>
      <c r="AH794" s="590">
        <f>IF(A25taxstdlife="n/a","n/a",IF(AH$3&gt;(A25taxstdlife+$E794),(('PTRM input'!$G$167+'PTRM input'!$G$133)*$G$7)-SUM($G794:AG794),(('PTRM input'!$G$167+'PTRM input'!$G$133)*$G$7)/A25taxstdlife))</f>
        <v>0</v>
      </c>
      <c r="AI794" s="590">
        <f>IF(A25taxstdlife="n/a","n/a",IF(AI$3&gt;(A25taxstdlife+$E794),(('PTRM input'!$G$167+'PTRM input'!$G$133)*$G$7)-SUM($G794:AH794),(('PTRM input'!$G$167+'PTRM input'!$G$133)*$G$7)/A25taxstdlife))</f>
        <v>0</v>
      </c>
      <c r="AJ794" s="590">
        <f>IF(A25taxstdlife="n/a","n/a",IF(AJ$3&gt;(A25taxstdlife+$E794),(('PTRM input'!$G$167+'PTRM input'!$G$133)*$G$7)-SUM($G794:AI794),(('PTRM input'!$G$167+'PTRM input'!$G$133)*$G$7)/A25taxstdlife))</f>
        <v>0</v>
      </c>
      <c r="AK794" s="590">
        <f>IF(A25taxstdlife="n/a","n/a",IF(AK$3&gt;(A25taxstdlife+$E794),(('PTRM input'!$G$167+'PTRM input'!$G$133)*$G$7)-SUM($G794:AJ794),(('PTRM input'!$G$167+'PTRM input'!$G$133)*$G$7)/A25taxstdlife))</f>
        <v>0</v>
      </c>
      <c r="AL794" s="590">
        <f>IF(A25taxstdlife="n/a","n/a",IF(AL$3&gt;(A25taxstdlife+$E794),(('PTRM input'!$G$167+'PTRM input'!$G$133)*$G$7)-SUM($G794:AK794),(('PTRM input'!$G$167+'PTRM input'!$G$133)*$G$7)/A25taxstdlife))</f>
        <v>0</v>
      </c>
      <c r="AM794" s="590">
        <f>IF(A25taxstdlife="n/a","n/a",IF(AM$3&gt;(A25taxstdlife+$E794),(('PTRM input'!$G$167+'PTRM input'!$G$133)*$G$7)-SUM($G794:AL794),(('PTRM input'!$G$167+'PTRM input'!$G$133)*$G$7)/A25taxstdlife))</f>
        <v>0</v>
      </c>
      <c r="AN794" s="590">
        <f>IF(A25taxstdlife="n/a","n/a",IF(AN$3&gt;(A25taxstdlife+$E794),(('PTRM input'!$G$167+'PTRM input'!$G$133)*$G$7)-SUM($G794:AM794),(('PTRM input'!$G$167+'PTRM input'!$G$133)*$G$7)/A25taxstdlife))</f>
        <v>0</v>
      </c>
      <c r="AO794" s="590">
        <f>IF(A25taxstdlife="n/a","n/a",IF(AO$3&gt;(A25taxstdlife+$E794),(('PTRM input'!$G$167+'PTRM input'!$G$133)*$G$7)-SUM($G794:AN794),(('PTRM input'!$G$167+'PTRM input'!$G$133)*$G$7)/A25taxstdlife))</f>
        <v>0</v>
      </c>
      <c r="AP794" s="590">
        <f>IF(A25taxstdlife="n/a","n/a",IF(AP$3&gt;(A25taxstdlife+$E794),(('PTRM input'!$G$167+'PTRM input'!$G$133)*$G$7)-SUM($G794:AO794),(('PTRM input'!$G$167+'PTRM input'!$G$133)*$G$7)/A25taxstdlife))</f>
        <v>0</v>
      </c>
      <c r="AQ794" s="590">
        <f>IF(A25taxstdlife="n/a","n/a",IF(AQ$3&gt;(A25taxstdlife+$E794),(('PTRM input'!$G$167+'PTRM input'!$G$133)*$G$7)-SUM($G794:AP794),(('PTRM input'!$G$167+'PTRM input'!$G$133)*$G$7)/A25taxstdlife))</f>
        <v>0</v>
      </c>
      <c r="AR794" s="590">
        <f>IF(A25taxstdlife="n/a","n/a",IF(AR$3&gt;(A25taxstdlife+$E794),(('PTRM input'!$G$167+'PTRM input'!$G$133)*$G$7)-SUM($G794:AQ794),(('PTRM input'!$G$167+'PTRM input'!$G$133)*$G$7)/A25taxstdlife))</f>
        <v>0</v>
      </c>
      <c r="AS794" s="590">
        <f>IF(A25taxstdlife="n/a","n/a",IF(AS$3&gt;(A25taxstdlife+$E794),(('PTRM input'!$G$167+'PTRM input'!$G$133)*$G$7)-SUM($G794:AR794),(('PTRM input'!$G$167+'PTRM input'!$G$133)*$G$7)/A25taxstdlife))</f>
        <v>0</v>
      </c>
      <c r="AT794" s="590">
        <f>IF(A25taxstdlife="n/a","n/a",IF(AT$3&gt;(A25taxstdlife+$E794),(('PTRM input'!$G$167+'PTRM input'!$G$133)*$G$7)-SUM($G794:AS794),(('PTRM input'!$G$167+'PTRM input'!$G$133)*$G$7)/A25taxstdlife))</f>
        <v>0</v>
      </c>
      <c r="AU794" s="590">
        <f>IF(A25taxstdlife="n/a","n/a",IF(AU$3&gt;(A25taxstdlife+$E794),(('PTRM input'!$G$167+'PTRM input'!$G$133)*$G$7)-SUM($G794:AT794),(('PTRM input'!$G$167+'PTRM input'!$G$133)*$G$7)/A25taxstdlife))</f>
        <v>0</v>
      </c>
      <c r="AV794" s="590">
        <f>IF(A25taxstdlife="n/a","n/a",IF(AV$3&gt;(A25taxstdlife+$E794),(('PTRM input'!$G$167+'PTRM input'!$G$133)*$G$7)-SUM($G794:AU794),(('PTRM input'!$G$167+'PTRM input'!$G$133)*$G$7)/A25taxstdlife))</f>
        <v>0</v>
      </c>
      <c r="AW794" s="590">
        <f>IF(A25taxstdlife="n/a","n/a",IF(AW$3&gt;(A25taxstdlife+$E794),(('PTRM input'!$G$167+'PTRM input'!$G$133)*$G$7)-SUM($G794:AV794),(('PTRM input'!$G$167+'PTRM input'!$G$133)*$G$7)/A25taxstdlife))</f>
        <v>0</v>
      </c>
      <c r="AX794" s="590">
        <f>IF(A25taxstdlife="n/a","n/a",IF(AX$3&gt;(A25taxstdlife+$E794),(('PTRM input'!$G$167+'PTRM input'!$G$133)*$G$7)-SUM($G794:AW794),(('PTRM input'!$G$167+'PTRM input'!$G$133)*$G$7)/A25taxstdlife))</f>
        <v>0</v>
      </c>
      <c r="AY794" s="590">
        <f>IF(A25taxstdlife="n/a","n/a",IF(AY$3&gt;(A25taxstdlife+$E794),(('PTRM input'!$G$167+'PTRM input'!$G$133)*$G$7)-SUM($G794:AX794),(('PTRM input'!$G$167+'PTRM input'!$G$133)*$G$7)/A25taxstdlife))</f>
        <v>0</v>
      </c>
      <c r="AZ794" s="590">
        <f>IF(A25taxstdlife="n/a","n/a",IF(AZ$3&gt;(A25taxstdlife+$E794),(('PTRM input'!$G$167+'PTRM input'!$G$133)*$G$7)-SUM($G794:AY794),(('PTRM input'!$G$167+'PTRM input'!$G$133)*$G$7)/A25taxstdlife))</f>
        <v>0</v>
      </c>
      <c r="BA794" s="590">
        <f>IF(A25taxstdlife="n/a","n/a",IF(BA$3&gt;(A25taxstdlife+$E794),(('PTRM input'!$G$167+'PTRM input'!$G$133)*$G$7)-SUM($G794:AZ794),(('PTRM input'!$G$167+'PTRM input'!$G$133)*$G$7)/A25taxstdlife))</f>
        <v>0</v>
      </c>
      <c r="BB794" s="590">
        <f>IF(A25taxstdlife="n/a","n/a",IF(BB$3&gt;(A25taxstdlife+$E794),(('PTRM input'!$G$167+'PTRM input'!$G$133)*$G$7)-SUM($G794:BA794),(('PTRM input'!$G$167+'PTRM input'!$G$133)*$G$7)/A25taxstdlife))</f>
        <v>0</v>
      </c>
      <c r="BC794" s="590">
        <f>IF(A25taxstdlife="n/a","n/a",IF(BC$3&gt;(A25taxstdlife+$E794),(('PTRM input'!$G$167+'PTRM input'!$G$133)*$G$7)-SUM($G794:BB794),(('PTRM input'!$G$167+'PTRM input'!$G$133)*$G$7)/A25taxstdlife))</f>
        <v>0</v>
      </c>
      <c r="BD794" s="590">
        <f>IF(A25taxstdlife="n/a","n/a",IF(BD$3&gt;(A25taxstdlife+$E794),(('PTRM input'!$G$167+'PTRM input'!$G$133)*$G$7)-SUM($G794:BC794),(('PTRM input'!$G$167+'PTRM input'!$G$133)*$G$7)/A25taxstdlife))</f>
        <v>0</v>
      </c>
      <c r="BE794" s="590">
        <f>IF(A25taxstdlife="n/a","n/a",IF(BE$3&gt;(A25taxstdlife+$E794),(('PTRM input'!$G$167+'PTRM input'!$G$133)*$G$7)-SUM($G794:BD794),(('PTRM input'!$G$167+'PTRM input'!$G$133)*$G$7)/A25taxstdlife))</f>
        <v>0</v>
      </c>
      <c r="BF794" s="590">
        <f>IF(A25taxstdlife="n/a","n/a",IF(BF$3&gt;(A25taxstdlife+$E794),(('PTRM input'!$G$167+'PTRM input'!$G$133)*$G$7)-SUM($G794:BE794),(('PTRM input'!$G$167+'PTRM input'!$G$133)*$G$7)/A25taxstdlife))</f>
        <v>0</v>
      </c>
      <c r="BG794" s="590">
        <f>IF(A25taxstdlife="n/a","n/a",IF(BG$3&gt;(A25taxstdlife+$E794),(('PTRM input'!$G$167+'PTRM input'!$G$133)*$G$7)-SUM($G794:BF794),(('PTRM input'!$G$167+'PTRM input'!$G$133)*$G$7)/A25taxstdlife))</f>
        <v>0</v>
      </c>
      <c r="BH794" s="590">
        <f>IF(A25taxstdlife="n/a","n/a",IF(BH$3&gt;(A25taxstdlife+$E794),(('PTRM input'!$G$167+'PTRM input'!$G$133)*$G$7)-SUM($G794:BG794),(('PTRM input'!$G$167+'PTRM input'!$G$133)*$G$7)/A25taxstdlife))</f>
        <v>0</v>
      </c>
      <c r="BI794" s="590">
        <f>IF(A25taxstdlife="n/a","n/a",IF(BI$3&gt;(A25taxstdlife+$E794),(('PTRM input'!$G$167+'PTRM input'!$G$133)*$G$7)-SUM($G794:BH794),(('PTRM input'!$G$167+'PTRM input'!$G$133)*$G$7)/A25taxstdlife))</f>
        <v>0</v>
      </c>
      <c r="BJ794" s="240"/>
      <c r="BK794" s="240"/>
      <c r="BL794" s="240"/>
      <c r="BM794" s="240"/>
    </row>
    <row r="795" spans="1:65" s="4" customFormat="1" hidden="1" outlineLevel="2">
      <c r="A795" s="240"/>
      <c r="B795" s="240"/>
      <c r="C795" s="595"/>
      <c r="D795" s="1618"/>
      <c r="E795" s="169">
        <v>2</v>
      </c>
      <c r="F795" s="35"/>
      <c r="G795" s="184"/>
      <c r="H795" s="185"/>
      <c r="I795" s="107">
        <f>IF(A25taxstdlife="n/a","n/a",IF(I$3&gt;(A25taxstdlife+$E795),(('PTRM input'!$H$167+'PTRM input'!$H$133)*$H$7)-SUM($H795:H795),(('PTRM input'!$H$167+'PTRM input'!$H$133)*$H$7)/A25taxstdlife))</f>
        <v>0</v>
      </c>
      <c r="J795" s="107">
        <f>IF(A25taxstdlife="n/a","n/a",IF(J$3&gt;(A25taxstdlife+$E795),(('PTRM input'!$H$167+'PTRM input'!$H$133)*$H$7)-SUM($H795:I795),(('PTRM input'!$H$167+'PTRM input'!$H$133)*$H$7)/A25taxstdlife))</f>
        <v>0</v>
      </c>
      <c r="K795" s="107">
        <f>IF(A25taxstdlife="n/a","n/a",IF(K$3&gt;(A25taxstdlife+$E795),(('PTRM input'!$H$167+'PTRM input'!$H$133)*$H$7)-SUM($H795:J795),(('PTRM input'!$H$167+'PTRM input'!$H$133)*$H$7)/A25taxstdlife))</f>
        <v>0</v>
      </c>
      <c r="L795" s="107">
        <f>IF(A25taxstdlife="n/a","n/a",IF(L$3&gt;(A25taxstdlife+$E795),(('PTRM input'!$H$167+'PTRM input'!$H$133)*$H$7)-SUM($H795:K795),(('PTRM input'!$H$167+'PTRM input'!$H$133)*$H$7)/A25taxstdlife))</f>
        <v>0</v>
      </c>
      <c r="M795" s="107">
        <f>IF(A25taxstdlife="n/a","n/a",IF(M$3&gt;(A25taxstdlife+$E795),(('PTRM input'!$H$167+'PTRM input'!$H$133)*$H$7)-SUM($H795:L795),(('PTRM input'!$H$167+'PTRM input'!$H$133)*$H$7)/A25taxstdlife))</f>
        <v>0</v>
      </c>
      <c r="N795" s="107">
        <f>IF(A25taxstdlife="n/a","n/a",IF(N$3&gt;(A25taxstdlife+$E795),(('PTRM input'!$H$167+'PTRM input'!$H$133)*$H$7)-SUM($H795:M795),(('PTRM input'!$H$167+'PTRM input'!$H$133)*$H$7)/A25taxstdlife))</f>
        <v>0</v>
      </c>
      <c r="O795" s="107">
        <f>IF(A25taxstdlife="n/a","n/a",IF(O$3&gt;(A25taxstdlife+$E795),(('PTRM input'!$H$167+'PTRM input'!$H$133)*$H$7)-SUM($H795:N795),(('PTRM input'!$H$167+'PTRM input'!$H$133)*$H$7)/A25taxstdlife))</f>
        <v>0</v>
      </c>
      <c r="P795" s="107">
        <f>IF(A25taxstdlife="n/a","n/a",IF(P$3&gt;(A25taxstdlife+$E795),(('PTRM input'!$H$167+'PTRM input'!$H$133)*$H$7)-SUM($H795:O795),(('PTRM input'!$H$167+'PTRM input'!$H$133)*$H$7)/A25taxstdlife))</f>
        <v>0</v>
      </c>
      <c r="Q795" s="590">
        <f>IF(A25taxstdlife="n/a","n/a",IF(Q$3&gt;(A25taxstdlife+$E795),(('PTRM input'!$H$167+'PTRM input'!$H$133)*$H$7)-SUM($H795:P795),(('PTRM input'!$H$167+'PTRM input'!$H$133)*$H$7)/A25taxstdlife))</f>
        <v>0</v>
      </c>
      <c r="R795" s="590">
        <f>IF(A25taxstdlife="n/a","n/a",IF(R$3&gt;(A25taxstdlife+$E795),(('PTRM input'!$H$167+'PTRM input'!$H$133)*$H$7)-SUM($H795:Q795),(('PTRM input'!$H$167+'PTRM input'!$H$133)*$H$7)/A25taxstdlife))</f>
        <v>0</v>
      </c>
      <c r="S795" s="590">
        <f>IF(A25taxstdlife="n/a","n/a",IF(S$3&gt;(A25taxstdlife+$E795),(('PTRM input'!$H$167+'PTRM input'!$H$133)*$H$7)-SUM($H795:R795),(('PTRM input'!$H$167+'PTRM input'!$H$133)*$H$7)/A25taxstdlife))</f>
        <v>0</v>
      </c>
      <c r="T795" s="590">
        <f>IF(A25taxstdlife="n/a","n/a",IF(T$3&gt;(A25taxstdlife+$E795),(('PTRM input'!$H$167+'PTRM input'!$H$133)*$H$7)-SUM($H795:S795),(('PTRM input'!$H$167+'PTRM input'!$H$133)*$H$7)/A25taxstdlife))</f>
        <v>0</v>
      </c>
      <c r="U795" s="590">
        <f>IF(A25taxstdlife="n/a","n/a",IF(U$3&gt;(A25taxstdlife+$E795),(('PTRM input'!$H$167+'PTRM input'!$H$133)*$H$7)-SUM($H795:T795),(('PTRM input'!$H$167+'PTRM input'!$H$133)*$H$7)/A25taxstdlife))</f>
        <v>0</v>
      </c>
      <c r="V795" s="590">
        <f>IF(A25taxstdlife="n/a","n/a",IF(V$3&gt;(A25taxstdlife+$E795),(('PTRM input'!$H$167+'PTRM input'!$H$133)*$H$7)-SUM($H795:U795),(('PTRM input'!$H$167+'PTRM input'!$H$133)*$H$7)/A25taxstdlife))</f>
        <v>0</v>
      </c>
      <c r="W795" s="590">
        <f>IF(A25taxstdlife="n/a","n/a",IF(W$3&gt;(A25taxstdlife+$E795),(('PTRM input'!$H$167+'PTRM input'!$H$133)*$H$7)-SUM($H795:V795),(('PTRM input'!$H$167+'PTRM input'!$H$133)*$H$7)/A25taxstdlife))</f>
        <v>0</v>
      </c>
      <c r="X795" s="590">
        <f>IF(A25taxstdlife="n/a","n/a",IF(X$3&gt;(A25taxstdlife+$E795),(('PTRM input'!$H$167+'PTRM input'!$H$133)*$H$7)-SUM($H795:W795),(('PTRM input'!$H$167+'PTRM input'!$H$133)*$H$7)/A25taxstdlife))</f>
        <v>0</v>
      </c>
      <c r="Y795" s="590">
        <f>IF(A25taxstdlife="n/a","n/a",IF(Y$3&gt;(A25taxstdlife+$E795),(('PTRM input'!$H$167+'PTRM input'!$H$133)*$H$7)-SUM($H795:X795),(('PTRM input'!$H$167+'PTRM input'!$H$133)*$H$7)/A25taxstdlife))</f>
        <v>0</v>
      </c>
      <c r="Z795" s="590">
        <f>IF(A25taxstdlife="n/a","n/a",IF(Z$3&gt;(A25taxstdlife+$E795),(('PTRM input'!$H$167+'PTRM input'!$H$133)*$H$7)-SUM($H795:Y795),(('PTRM input'!$H$167+'PTRM input'!$H$133)*$H$7)/A25taxstdlife))</f>
        <v>0</v>
      </c>
      <c r="AA795" s="590">
        <f>IF(A25taxstdlife="n/a","n/a",IF(AA$3&gt;(A25taxstdlife+$E795),(('PTRM input'!$H$167+'PTRM input'!$H$133)*$H$7)-SUM($H795:Z795),(('PTRM input'!$H$167+'PTRM input'!$H$133)*$H$7)/A25taxstdlife))</f>
        <v>0</v>
      </c>
      <c r="AB795" s="590">
        <f>IF(A25taxstdlife="n/a","n/a",IF(AB$3&gt;(A25taxstdlife+$E795),(('PTRM input'!$H$167+'PTRM input'!$H$133)*$H$7)-SUM($H795:AA795),(('PTRM input'!$H$167+'PTRM input'!$H$133)*$H$7)/A25taxstdlife))</f>
        <v>0</v>
      </c>
      <c r="AC795" s="590">
        <f>IF(A25taxstdlife="n/a","n/a",IF(AC$3&gt;(A25taxstdlife+$E795),(('PTRM input'!$H$167+'PTRM input'!$H$133)*$H$7)-SUM($H795:AB795),(('PTRM input'!$H$167+'PTRM input'!$H$133)*$H$7)/A25taxstdlife))</f>
        <v>0</v>
      </c>
      <c r="AD795" s="590">
        <f>IF(A25taxstdlife="n/a","n/a",IF(AD$3&gt;(A25taxstdlife+$E795),(('PTRM input'!$H$167+'PTRM input'!$H$133)*$H$7)-SUM($H795:AC795),(('PTRM input'!$H$167+'PTRM input'!$H$133)*$H$7)/A25taxstdlife))</f>
        <v>0</v>
      </c>
      <c r="AE795" s="590">
        <f>IF(A25taxstdlife="n/a","n/a",IF(AE$3&gt;(A25taxstdlife+$E795),(('PTRM input'!$H$167+'PTRM input'!$H$133)*$H$7)-SUM($H795:AD795),(('PTRM input'!$H$167+'PTRM input'!$H$133)*$H$7)/A25taxstdlife))</f>
        <v>0</v>
      </c>
      <c r="AF795" s="590">
        <f>IF(A25taxstdlife="n/a","n/a",IF(AF$3&gt;(A25taxstdlife+$E795),(('PTRM input'!$H$167+'PTRM input'!$H$133)*$H$7)-SUM($H795:AE795),(('PTRM input'!$H$167+'PTRM input'!$H$133)*$H$7)/A25taxstdlife))</f>
        <v>0</v>
      </c>
      <c r="AG795" s="590">
        <f>IF(A25taxstdlife="n/a","n/a",IF(AG$3&gt;(A25taxstdlife+$E795),(('PTRM input'!$H$167+'PTRM input'!$H$133)*$H$7)-SUM($H795:AF795),(('PTRM input'!$H$167+'PTRM input'!$H$133)*$H$7)/A25taxstdlife))</f>
        <v>0</v>
      </c>
      <c r="AH795" s="590">
        <f>IF(A25taxstdlife="n/a","n/a",IF(AH$3&gt;(A25taxstdlife+$E795),(('PTRM input'!$H$167+'PTRM input'!$H$133)*$H$7)-SUM($H795:AG795),(('PTRM input'!$H$167+'PTRM input'!$H$133)*$H$7)/A25taxstdlife))</f>
        <v>0</v>
      </c>
      <c r="AI795" s="590">
        <f>IF(A25taxstdlife="n/a","n/a",IF(AI$3&gt;(A25taxstdlife+$E795),(('PTRM input'!$H$167+'PTRM input'!$H$133)*$H$7)-SUM($H795:AH795),(('PTRM input'!$H$167+'PTRM input'!$H$133)*$H$7)/A25taxstdlife))</f>
        <v>0</v>
      </c>
      <c r="AJ795" s="590">
        <f>IF(A25taxstdlife="n/a","n/a",IF(AJ$3&gt;(A25taxstdlife+$E795),(('PTRM input'!$H$167+'PTRM input'!$H$133)*$H$7)-SUM($H795:AI795),(('PTRM input'!$H$167+'PTRM input'!$H$133)*$H$7)/A25taxstdlife))</f>
        <v>0</v>
      </c>
      <c r="AK795" s="590">
        <f>IF(A25taxstdlife="n/a","n/a",IF(AK$3&gt;(A25taxstdlife+$E795),(('PTRM input'!$H$167+'PTRM input'!$H$133)*$H$7)-SUM($H795:AJ795),(('PTRM input'!$H$167+'PTRM input'!$H$133)*$H$7)/A25taxstdlife))</f>
        <v>0</v>
      </c>
      <c r="AL795" s="590">
        <f>IF(A25taxstdlife="n/a","n/a",IF(AL$3&gt;(A25taxstdlife+$E795),(('PTRM input'!$H$167+'PTRM input'!$H$133)*$H$7)-SUM($H795:AK795),(('PTRM input'!$H$167+'PTRM input'!$H$133)*$H$7)/A25taxstdlife))</f>
        <v>0</v>
      </c>
      <c r="AM795" s="590">
        <f>IF(A25taxstdlife="n/a","n/a",IF(AM$3&gt;(A25taxstdlife+$E795),(('PTRM input'!$H$167+'PTRM input'!$H$133)*$H$7)-SUM($H795:AL795),(('PTRM input'!$H$167+'PTRM input'!$H$133)*$H$7)/A25taxstdlife))</f>
        <v>0</v>
      </c>
      <c r="AN795" s="590">
        <f>IF(A25taxstdlife="n/a","n/a",IF(AN$3&gt;(A25taxstdlife+$E795),(('PTRM input'!$H$167+'PTRM input'!$H$133)*$H$7)-SUM($H795:AM795),(('PTRM input'!$H$167+'PTRM input'!$H$133)*$H$7)/A25taxstdlife))</f>
        <v>0</v>
      </c>
      <c r="AO795" s="590">
        <f>IF(A25taxstdlife="n/a","n/a",IF(AO$3&gt;(A25taxstdlife+$E795),(('PTRM input'!$H$167+'PTRM input'!$H$133)*$H$7)-SUM($H795:AN795),(('PTRM input'!$H$167+'PTRM input'!$H$133)*$H$7)/A25taxstdlife))</f>
        <v>0</v>
      </c>
      <c r="AP795" s="590">
        <f>IF(A25taxstdlife="n/a","n/a",IF(AP$3&gt;(A25taxstdlife+$E795),(('PTRM input'!$H$167+'PTRM input'!$H$133)*$H$7)-SUM($H795:AO795),(('PTRM input'!$H$167+'PTRM input'!$H$133)*$H$7)/A25taxstdlife))</f>
        <v>0</v>
      </c>
      <c r="AQ795" s="590">
        <f>IF(A25taxstdlife="n/a","n/a",IF(AQ$3&gt;(A25taxstdlife+$E795),(('PTRM input'!$H$167+'PTRM input'!$H$133)*$H$7)-SUM($H795:AP795),(('PTRM input'!$H$167+'PTRM input'!$H$133)*$H$7)/A25taxstdlife))</f>
        <v>0</v>
      </c>
      <c r="AR795" s="590">
        <f>IF(A25taxstdlife="n/a","n/a",IF(AR$3&gt;(A25taxstdlife+$E795),(('PTRM input'!$H$167+'PTRM input'!$H$133)*$H$7)-SUM($H795:AQ795),(('PTRM input'!$H$167+'PTRM input'!$H$133)*$H$7)/A25taxstdlife))</f>
        <v>0</v>
      </c>
      <c r="AS795" s="590">
        <f>IF(A25taxstdlife="n/a","n/a",IF(AS$3&gt;(A25taxstdlife+$E795),(('PTRM input'!$H$167+'PTRM input'!$H$133)*$H$7)-SUM($H795:AR795),(('PTRM input'!$H$167+'PTRM input'!$H$133)*$H$7)/A25taxstdlife))</f>
        <v>0</v>
      </c>
      <c r="AT795" s="590">
        <f>IF(A25taxstdlife="n/a","n/a",IF(AT$3&gt;(A25taxstdlife+$E795),(('PTRM input'!$H$167+'PTRM input'!$H$133)*$H$7)-SUM($H795:AS795),(('PTRM input'!$H$167+'PTRM input'!$H$133)*$H$7)/A25taxstdlife))</f>
        <v>0</v>
      </c>
      <c r="AU795" s="590">
        <f>IF(A25taxstdlife="n/a","n/a",IF(AU$3&gt;(A25taxstdlife+$E795),(('PTRM input'!$H$167+'PTRM input'!$H$133)*$H$7)-SUM($H795:AT795),(('PTRM input'!$H$167+'PTRM input'!$H$133)*$H$7)/A25taxstdlife))</f>
        <v>0</v>
      </c>
      <c r="AV795" s="590">
        <f>IF(A25taxstdlife="n/a","n/a",IF(AV$3&gt;(A25taxstdlife+$E795),(('PTRM input'!$H$167+'PTRM input'!$H$133)*$H$7)-SUM($H795:AU795),(('PTRM input'!$H$167+'PTRM input'!$H$133)*$H$7)/A25taxstdlife))</f>
        <v>0</v>
      </c>
      <c r="AW795" s="590">
        <f>IF(A25taxstdlife="n/a","n/a",IF(AW$3&gt;(A25taxstdlife+$E795),(('PTRM input'!$H$167+'PTRM input'!$H$133)*$H$7)-SUM($H795:AV795),(('PTRM input'!$H$167+'PTRM input'!$H$133)*$H$7)/A25taxstdlife))</f>
        <v>0</v>
      </c>
      <c r="AX795" s="590">
        <f>IF(A25taxstdlife="n/a","n/a",IF(AX$3&gt;(A25taxstdlife+$E795),(('PTRM input'!$H$167+'PTRM input'!$H$133)*$H$7)-SUM($H795:AW795),(('PTRM input'!$H$167+'PTRM input'!$H$133)*$H$7)/A25taxstdlife))</f>
        <v>0</v>
      </c>
      <c r="AY795" s="590">
        <f>IF(A25taxstdlife="n/a","n/a",IF(AY$3&gt;(A25taxstdlife+$E795),(('PTRM input'!$H$167+'PTRM input'!$H$133)*$H$7)-SUM($H795:AX795),(('PTRM input'!$H$167+'PTRM input'!$H$133)*$H$7)/A25taxstdlife))</f>
        <v>0</v>
      </c>
      <c r="AZ795" s="590">
        <f>IF(A25taxstdlife="n/a","n/a",IF(AZ$3&gt;(A25taxstdlife+$E795),(('PTRM input'!$H$167+'PTRM input'!$H$133)*$H$7)-SUM($H795:AY795),(('PTRM input'!$H$167+'PTRM input'!$H$133)*$H$7)/A25taxstdlife))</f>
        <v>0</v>
      </c>
      <c r="BA795" s="590">
        <f>IF(A25taxstdlife="n/a","n/a",IF(BA$3&gt;(A25taxstdlife+$E795),(('PTRM input'!$H$167+'PTRM input'!$H$133)*$H$7)-SUM($H795:AZ795),(('PTRM input'!$H$167+'PTRM input'!$H$133)*$H$7)/A25taxstdlife))</f>
        <v>0</v>
      </c>
      <c r="BB795" s="590">
        <f>IF(A25taxstdlife="n/a","n/a",IF(BB$3&gt;(A25taxstdlife+$E795),(('PTRM input'!$H$167+'PTRM input'!$H$133)*$H$7)-SUM($H795:BA795),(('PTRM input'!$H$167+'PTRM input'!$H$133)*$H$7)/A25taxstdlife))</f>
        <v>0</v>
      </c>
      <c r="BC795" s="590">
        <f>IF(A25taxstdlife="n/a","n/a",IF(BC$3&gt;(A25taxstdlife+$E795),(('PTRM input'!$H$167+'PTRM input'!$H$133)*$H$7)-SUM($H795:BB795),(('PTRM input'!$H$167+'PTRM input'!$H$133)*$H$7)/A25taxstdlife))</f>
        <v>0</v>
      </c>
      <c r="BD795" s="590">
        <f>IF(A25taxstdlife="n/a","n/a",IF(BD$3&gt;(A25taxstdlife+$E795),(('PTRM input'!$H$167+'PTRM input'!$H$133)*$H$7)-SUM($H795:BC795),(('PTRM input'!$H$167+'PTRM input'!$H$133)*$H$7)/A25taxstdlife))</f>
        <v>0</v>
      </c>
      <c r="BE795" s="590">
        <f>IF(A25taxstdlife="n/a","n/a",IF(BE$3&gt;(A25taxstdlife+$E795),(('PTRM input'!$H$167+'PTRM input'!$H$133)*$H$7)-SUM($H795:BD795),(('PTRM input'!$H$167+'PTRM input'!$H$133)*$H$7)/A25taxstdlife))</f>
        <v>0</v>
      </c>
      <c r="BF795" s="590">
        <f>IF(A25taxstdlife="n/a","n/a",IF(BF$3&gt;(A25taxstdlife+$E795),(('PTRM input'!$H$167+'PTRM input'!$H$133)*$H$7)-SUM($H795:BE795),(('PTRM input'!$H$167+'PTRM input'!$H$133)*$H$7)/A25taxstdlife))</f>
        <v>0</v>
      </c>
      <c r="BG795" s="590">
        <f>IF(A25taxstdlife="n/a","n/a",IF(BG$3&gt;(A25taxstdlife+$E795),(('PTRM input'!$H$167+'PTRM input'!$H$133)*$H$7)-SUM($H795:BF795),(('PTRM input'!$H$167+'PTRM input'!$H$133)*$H$7)/A25taxstdlife))</f>
        <v>0</v>
      </c>
      <c r="BH795" s="590">
        <f>IF(A25taxstdlife="n/a","n/a",IF(BH$3&gt;(A25taxstdlife+$E795),(('PTRM input'!$H$167+'PTRM input'!$H$133)*$H$7)-SUM($H795:BG795),(('PTRM input'!$H$167+'PTRM input'!$H$133)*$H$7)/A25taxstdlife))</f>
        <v>0</v>
      </c>
      <c r="BI795" s="590">
        <f>IF(A25taxstdlife="n/a","n/a",IF(BI$3&gt;(A25taxstdlife+$E795),(('PTRM input'!$H$167+'PTRM input'!$H$133)*$H$7)-SUM($H795:BH795),(('PTRM input'!$H$167+'PTRM input'!$H$133)*$H$7)/A25taxstdlife))</f>
        <v>0</v>
      </c>
      <c r="BJ795" s="240"/>
      <c r="BK795" s="240"/>
      <c r="BL795" s="240"/>
      <c r="BM795" s="240"/>
    </row>
    <row r="796" spans="1:65" s="4" customFormat="1" hidden="1" outlineLevel="2">
      <c r="A796" s="240"/>
      <c r="B796" s="240"/>
      <c r="C796" s="595"/>
      <c r="D796" s="1618"/>
      <c r="E796" s="169">
        <v>3</v>
      </c>
      <c r="F796" s="35"/>
      <c r="G796" s="184"/>
      <c r="H796" s="186"/>
      <c r="I796" s="185"/>
      <c r="J796" s="107">
        <f>IF(A25taxstdlife="n/a","n/a",IF(J$3&gt;(A25taxstdlife+$E796),(('PTRM input'!$I$167+'PTRM input'!$I$133)*$I$7)-SUM($I796:I796),(('PTRM input'!$I$167+'PTRM input'!$I$133)*$I$7)/A25taxstdlife))</f>
        <v>0</v>
      </c>
      <c r="K796" s="107">
        <f>IF(A25taxstdlife="n/a","n/a",IF(K$3&gt;(A25taxstdlife+$E796),(('PTRM input'!$I$167+'PTRM input'!$I$133)*$I$7)-SUM($I796:J796),(('PTRM input'!$I$167+'PTRM input'!$I$133)*$I$7)/A25taxstdlife))</f>
        <v>0</v>
      </c>
      <c r="L796" s="107">
        <f>IF(A25taxstdlife="n/a","n/a",IF(L$3&gt;(A25taxstdlife+$E796),(('PTRM input'!$I$167+'PTRM input'!$I$133)*$I$7)-SUM($I796:K796),(('PTRM input'!$I$167+'PTRM input'!$I$133)*$I$7)/A25taxstdlife))</f>
        <v>0</v>
      </c>
      <c r="M796" s="107">
        <f>IF(A25taxstdlife="n/a","n/a",IF(M$3&gt;(A25taxstdlife+$E796),(('PTRM input'!$I$167+'PTRM input'!$I$133)*$I$7)-SUM($I796:L796),(('PTRM input'!$I$167+'PTRM input'!$I$133)*$I$7)/A25taxstdlife))</f>
        <v>0</v>
      </c>
      <c r="N796" s="107">
        <f>IF(A25taxstdlife="n/a","n/a",IF(N$3&gt;(A25taxstdlife+$E796),(('PTRM input'!$I$167+'PTRM input'!$I$133)*$I$7)-SUM($I796:M796),(('PTRM input'!$I$167+'PTRM input'!$I$133)*$I$7)/A25taxstdlife))</f>
        <v>0</v>
      </c>
      <c r="O796" s="107">
        <f>IF(A25taxstdlife="n/a","n/a",IF(O$3&gt;(A25taxstdlife+$E796),(('PTRM input'!$I$167+'PTRM input'!$I$133)*$I$7)-SUM($I796:N796),(('PTRM input'!$I$167+'PTRM input'!$I$133)*$I$7)/A25taxstdlife))</f>
        <v>0</v>
      </c>
      <c r="P796" s="107">
        <f>IF(A25taxstdlife="n/a","n/a",IF(P$3&gt;(A25taxstdlife+$E796),(('PTRM input'!$I$167+'PTRM input'!$I$133)*$I$7)-SUM($I796:O796),(('PTRM input'!$I$167+'PTRM input'!$I$133)*$I$7)/A25taxstdlife))</f>
        <v>0</v>
      </c>
      <c r="Q796" s="590">
        <f>IF(A25taxstdlife="n/a","n/a",IF(Q$3&gt;(A25taxstdlife+$E796),(('PTRM input'!$I$167+'PTRM input'!$I$133)*$I$7)-SUM($I796:P796),(('PTRM input'!$I$167+'PTRM input'!$I$133)*$I$7)/A25taxstdlife))</f>
        <v>0</v>
      </c>
      <c r="R796" s="590">
        <f>IF(A25taxstdlife="n/a","n/a",IF(R$3&gt;(A25taxstdlife+$E796),(('PTRM input'!$I$167+'PTRM input'!$I$133)*$I$7)-SUM($I796:Q796),(('PTRM input'!$I$167+'PTRM input'!$I$133)*$I$7)/A25taxstdlife))</f>
        <v>0</v>
      </c>
      <c r="S796" s="590">
        <f>IF(A25taxstdlife="n/a","n/a",IF(S$3&gt;(A25taxstdlife+$E796),(('PTRM input'!$I$167+'PTRM input'!$I$133)*$I$7)-SUM($I796:R796),(('PTRM input'!$I$167+'PTRM input'!$I$133)*$I$7)/A25taxstdlife))</f>
        <v>0</v>
      </c>
      <c r="T796" s="590">
        <f>IF(A25taxstdlife="n/a","n/a",IF(T$3&gt;(A25taxstdlife+$E796),(('PTRM input'!$I$167+'PTRM input'!$I$133)*$I$7)-SUM($I796:S796),(('PTRM input'!$I$167+'PTRM input'!$I$133)*$I$7)/A25taxstdlife))</f>
        <v>0</v>
      </c>
      <c r="U796" s="590">
        <f>IF(A25taxstdlife="n/a","n/a",IF(U$3&gt;(A25taxstdlife+$E796),(('PTRM input'!$I$167+'PTRM input'!$I$133)*$I$7)-SUM($I796:T796),(('PTRM input'!$I$167+'PTRM input'!$I$133)*$I$7)/A25taxstdlife))</f>
        <v>0</v>
      </c>
      <c r="V796" s="590">
        <f>IF(A25taxstdlife="n/a","n/a",IF(V$3&gt;(A25taxstdlife+$E796),(('PTRM input'!$I$167+'PTRM input'!$I$133)*$I$7)-SUM($I796:U796),(('PTRM input'!$I$167+'PTRM input'!$I$133)*$I$7)/A25taxstdlife))</f>
        <v>0</v>
      </c>
      <c r="W796" s="590">
        <f>IF(A25taxstdlife="n/a","n/a",IF(W$3&gt;(A25taxstdlife+$E796),(('PTRM input'!$I$167+'PTRM input'!$I$133)*$I$7)-SUM($I796:V796),(('PTRM input'!$I$167+'PTRM input'!$I$133)*$I$7)/A25taxstdlife))</f>
        <v>0</v>
      </c>
      <c r="X796" s="590">
        <f>IF(A25taxstdlife="n/a","n/a",IF(X$3&gt;(A25taxstdlife+$E796),(('PTRM input'!$I$167+'PTRM input'!$I$133)*$I$7)-SUM($I796:W796),(('PTRM input'!$I$167+'PTRM input'!$I$133)*$I$7)/A25taxstdlife))</f>
        <v>0</v>
      </c>
      <c r="Y796" s="590">
        <f>IF(A25taxstdlife="n/a","n/a",IF(Y$3&gt;(A25taxstdlife+$E796),(('PTRM input'!$I$167+'PTRM input'!$I$133)*$I$7)-SUM($I796:X796),(('PTRM input'!$I$167+'PTRM input'!$I$133)*$I$7)/A25taxstdlife))</f>
        <v>0</v>
      </c>
      <c r="Z796" s="590">
        <f>IF(A25taxstdlife="n/a","n/a",IF(Z$3&gt;(A25taxstdlife+$E796),(('PTRM input'!$I$167+'PTRM input'!$I$133)*$I$7)-SUM($I796:Y796),(('PTRM input'!$I$167+'PTRM input'!$I$133)*$I$7)/A25taxstdlife))</f>
        <v>0</v>
      </c>
      <c r="AA796" s="590">
        <f>IF(A25taxstdlife="n/a","n/a",IF(AA$3&gt;(A25taxstdlife+$E796),(('PTRM input'!$I$167+'PTRM input'!$I$133)*$I$7)-SUM($I796:Z796),(('PTRM input'!$I$167+'PTRM input'!$I$133)*$I$7)/A25taxstdlife))</f>
        <v>0</v>
      </c>
      <c r="AB796" s="590">
        <f>IF(A25taxstdlife="n/a","n/a",IF(AB$3&gt;(A25taxstdlife+$E796),(('PTRM input'!$I$167+'PTRM input'!$I$133)*$I$7)-SUM($I796:AA796),(('PTRM input'!$I$167+'PTRM input'!$I$133)*$I$7)/A25taxstdlife))</f>
        <v>0</v>
      </c>
      <c r="AC796" s="590">
        <f>IF(A25taxstdlife="n/a","n/a",IF(AC$3&gt;(A25taxstdlife+$E796),(('PTRM input'!$I$167+'PTRM input'!$I$133)*$I$7)-SUM($I796:AB796),(('PTRM input'!$I$167+'PTRM input'!$I$133)*$I$7)/A25taxstdlife))</f>
        <v>0</v>
      </c>
      <c r="AD796" s="590">
        <f>IF(A25taxstdlife="n/a","n/a",IF(AD$3&gt;(A25taxstdlife+$E796),(('PTRM input'!$I$167+'PTRM input'!$I$133)*$I$7)-SUM($I796:AC796),(('PTRM input'!$I$167+'PTRM input'!$I$133)*$I$7)/A25taxstdlife))</f>
        <v>0</v>
      </c>
      <c r="AE796" s="590">
        <f>IF(A25taxstdlife="n/a","n/a",IF(AE$3&gt;(A25taxstdlife+$E796),(('PTRM input'!$I$167+'PTRM input'!$I$133)*$I$7)-SUM($I796:AD796),(('PTRM input'!$I$167+'PTRM input'!$I$133)*$I$7)/A25taxstdlife))</f>
        <v>0</v>
      </c>
      <c r="AF796" s="590">
        <f>IF(A25taxstdlife="n/a","n/a",IF(AF$3&gt;(A25taxstdlife+$E796),(('PTRM input'!$I$167+'PTRM input'!$I$133)*$I$7)-SUM($I796:AE796),(('PTRM input'!$I$167+'PTRM input'!$I$133)*$I$7)/A25taxstdlife))</f>
        <v>0</v>
      </c>
      <c r="AG796" s="590">
        <f>IF(A25taxstdlife="n/a","n/a",IF(AG$3&gt;(A25taxstdlife+$E796),(('PTRM input'!$I$167+'PTRM input'!$I$133)*$I$7)-SUM($I796:AF796),(('PTRM input'!$I$167+'PTRM input'!$I$133)*$I$7)/A25taxstdlife))</f>
        <v>0</v>
      </c>
      <c r="AH796" s="590">
        <f>IF(A25taxstdlife="n/a","n/a",IF(AH$3&gt;(A25taxstdlife+$E796),(('PTRM input'!$I$167+'PTRM input'!$I$133)*$I$7)-SUM($I796:AG796),(('PTRM input'!$I$167+'PTRM input'!$I$133)*$I$7)/A25taxstdlife))</f>
        <v>0</v>
      </c>
      <c r="AI796" s="590">
        <f>IF(A25taxstdlife="n/a","n/a",IF(AI$3&gt;(A25taxstdlife+$E796),(('PTRM input'!$I$167+'PTRM input'!$I$133)*$I$7)-SUM($I796:AH796),(('PTRM input'!$I$167+'PTRM input'!$I$133)*$I$7)/A25taxstdlife))</f>
        <v>0</v>
      </c>
      <c r="AJ796" s="590">
        <f>IF(A25taxstdlife="n/a","n/a",IF(AJ$3&gt;(A25taxstdlife+$E796),(('PTRM input'!$I$167+'PTRM input'!$I$133)*$I$7)-SUM($I796:AI796),(('PTRM input'!$I$167+'PTRM input'!$I$133)*$I$7)/A25taxstdlife))</f>
        <v>0</v>
      </c>
      <c r="AK796" s="590">
        <f>IF(A25taxstdlife="n/a","n/a",IF(AK$3&gt;(A25taxstdlife+$E796),(('PTRM input'!$I$167+'PTRM input'!$I$133)*$I$7)-SUM($I796:AJ796),(('PTRM input'!$I$167+'PTRM input'!$I$133)*$I$7)/A25taxstdlife))</f>
        <v>0</v>
      </c>
      <c r="AL796" s="590">
        <f>IF(A25taxstdlife="n/a","n/a",IF(AL$3&gt;(A25taxstdlife+$E796),(('PTRM input'!$I$167+'PTRM input'!$I$133)*$I$7)-SUM($I796:AK796),(('PTRM input'!$I$167+'PTRM input'!$I$133)*$I$7)/A25taxstdlife))</f>
        <v>0</v>
      </c>
      <c r="AM796" s="590">
        <f>IF(A25taxstdlife="n/a","n/a",IF(AM$3&gt;(A25taxstdlife+$E796),(('PTRM input'!$I$167+'PTRM input'!$I$133)*$I$7)-SUM($I796:AL796),(('PTRM input'!$I$167+'PTRM input'!$I$133)*$I$7)/A25taxstdlife))</f>
        <v>0</v>
      </c>
      <c r="AN796" s="590">
        <f>IF(A25taxstdlife="n/a","n/a",IF(AN$3&gt;(A25taxstdlife+$E796),(('PTRM input'!$I$167+'PTRM input'!$I$133)*$I$7)-SUM($I796:AM796),(('PTRM input'!$I$167+'PTRM input'!$I$133)*$I$7)/A25taxstdlife))</f>
        <v>0</v>
      </c>
      <c r="AO796" s="590">
        <f>IF(A25taxstdlife="n/a","n/a",IF(AO$3&gt;(A25taxstdlife+$E796),(('PTRM input'!$I$167+'PTRM input'!$I$133)*$I$7)-SUM($I796:AN796),(('PTRM input'!$I$167+'PTRM input'!$I$133)*$I$7)/A25taxstdlife))</f>
        <v>0</v>
      </c>
      <c r="AP796" s="590">
        <f>IF(A25taxstdlife="n/a","n/a",IF(AP$3&gt;(A25taxstdlife+$E796),(('PTRM input'!$I$167+'PTRM input'!$I$133)*$I$7)-SUM($I796:AO796),(('PTRM input'!$I$167+'PTRM input'!$I$133)*$I$7)/A25taxstdlife))</f>
        <v>0</v>
      </c>
      <c r="AQ796" s="590">
        <f>IF(A25taxstdlife="n/a","n/a",IF(AQ$3&gt;(A25taxstdlife+$E796),(('PTRM input'!$I$167+'PTRM input'!$I$133)*$I$7)-SUM($I796:AP796),(('PTRM input'!$I$167+'PTRM input'!$I$133)*$I$7)/A25taxstdlife))</f>
        <v>0</v>
      </c>
      <c r="AR796" s="590">
        <f>IF(A25taxstdlife="n/a","n/a",IF(AR$3&gt;(A25taxstdlife+$E796),(('PTRM input'!$I$167+'PTRM input'!$I$133)*$I$7)-SUM($I796:AQ796),(('PTRM input'!$I$167+'PTRM input'!$I$133)*$I$7)/A25taxstdlife))</f>
        <v>0</v>
      </c>
      <c r="AS796" s="590">
        <f>IF(A25taxstdlife="n/a","n/a",IF(AS$3&gt;(A25taxstdlife+$E796),(('PTRM input'!$I$167+'PTRM input'!$I$133)*$I$7)-SUM($I796:AR796),(('PTRM input'!$I$167+'PTRM input'!$I$133)*$I$7)/A25taxstdlife))</f>
        <v>0</v>
      </c>
      <c r="AT796" s="590">
        <f>IF(A25taxstdlife="n/a","n/a",IF(AT$3&gt;(A25taxstdlife+$E796),(('PTRM input'!$I$167+'PTRM input'!$I$133)*$I$7)-SUM($I796:AS796),(('PTRM input'!$I$167+'PTRM input'!$I$133)*$I$7)/A25taxstdlife))</f>
        <v>0</v>
      </c>
      <c r="AU796" s="590">
        <f>IF(A25taxstdlife="n/a","n/a",IF(AU$3&gt;(A25taxstdlife+$E796),(('PTRM input'!$I$167+'PTRM input'!$I$133)*$I$7)-SUM($I796:AT796),(('PTRM input'!$I$167+'PTRM input'!$I$133)*$I$7)/A25taxstdlife))</f>
        <v>0</v>
      </c>
      <c r="AV796" s="590">
        <f>IF(A25taxstdlife="n/a","n/a",IF(AV$3&gt;(A25taxstdlife+$E796),(('PTRM input'!$I$167+'PTRM input'!$I$133)*$I$7)-SUM($I796:AU796),(('PTRM input'!$I$167+'PTRM input'!$I$133)*$I$7)/A25taxstdlife))</f>
        <v>0</v>
      </c>
      <c r="AW796" s="590">
        <f>IF(A25taxstdlife="n/a","n/a",IF(AW$3&gt;(A25taxstdlife+$E796),(('PTRM input'!$I$167+'PTRM input'!$I$133)*$I$7)-SUM($I796:AV796),(('PTRM input'!$I$167+'PTRM input'!$I$133)*$I$7)/A25taxstdlife))</f>
        <v>0</v>
      </c>
      <c r="AX796" s="590">
        <f>IF(A25taxstdlife="n/a","n/a",IF(AX$3&gt;(A25taxstdlife+$E796),(('PTRM input'!$I$167+'PTRM input'!$I$133)*$I$7)-SUM($I796:AW796),(('PTRM input'!$I$167+'PTRM input'!$I$133)*$I$7)/A25taxstdlife))</f>
        <v>0</v>
      </c>
      <c r="AY796" s="590">
        <f>IF(A25taxstdlife="n/a","n/a",IF(AY$3&gt;(A25taxstdlife+$E796),(('PTRM input'!$I$167+'PTRM input'!$I$133)*$I$7)-SUM($I796:AX796),(('PTRM input'!$I$167+'PTRM input'!$I$133)*$I$7)/A25taxstdlife))</f>
        <v>0</v>
      </c>
      <c r="AZ796" s="590">
        <f>IF(A25taxstdlife="n/a","n/a",IF(AZ$3&gt;(A25taxstdlife+$E796),(('PTRM input'!$I$167+'PTRM input'!$I$133)*$I$7)-SUM($I796:AY796),(('PTRM input'!$I$167+'PTRM input'!$I$133)*$I$7)/A25taxstdlife))</f>
        <v>0</v>
      </c>
      <c r="BA796" s="590">
        <f>IF(A25taxstdlife="n/a","n/a",IF(BA$3&gt;(A25taxstdlife+$E796),(('PTRM input'!$I$167+'PTRM input'!$I$133)*$I$7)-SUM($I796:AZ796),(('PTRM input'!$I$167+'PTRM input'!$I$133)*$I$7)/A25taxstdlife))</f>
        <v>0</v>
      </c>
      <c r="BB796" s="590">
        <f>IF(A25taxstdlife="n/a","n/a",IF(BB$3&gt;(A25taxstdlife+$E796),(('PTRM input'!$I$167+'PTRM input'!$I$133)*$I$7)-SUM($I796:BA796),(('PTRM input'!$I$167+'PTRM input'!$I$133)*$I$7)/A25taxstdlife))</f>
        <v>0</v>
      </c>
      <c r="BC796" s="590">
        <f>IF(A25taxstdlife="n/a","n/a",IF(BC$3&gt;(A25taxstdlife+$E796),(('PTRM input'!$I$167+'PTRM input'!$I$133)*$I$7)-SUM($I796:BB796),(('PTRM input'!$I$167+'PTRM input'!$I$133)*$I$7)/A25taxstdlife))</f>
        <v>0</v>
      </c>
      <c r="BD796" s="590">
        <f>IF(A25taxstdlife="n/a","n/a",IF(BD$3&gt;(A25taxstdlife+$E796),(('PTRM input'!$I$167+'PTRM input'!$I$133)*$I$7)-SUM($I796:BC796),(('PTRM input'!$I$167+'PTRM input'!$I$133)*$I$7)/A25taxstdlife))</f>
        <v>0</v>
      </c>
      <c r="BE796" s="590">
        <f>IF(A25taxstdlife="n/a","n/a",IF(BE$3&gt;(A25taxstdlife+$E796),(('PTRM input'!$I$167+'PTRM input'!$I$133)*$I$7)-SUM($I796:BD796),(('PTRM input'!$I$167+'PTRM input'!$I$133)*$I$7)/A25taxstdlife))</f>
        <v>0</v>
      </c>
      <c r="BF796" s="590">
        <f>IF(A25taxstdlife="n/a","n/a",IF(BF$3&gt;(A25taxstdlife+$E796),(('PTRM input'!$I$167+'PTRM input'!$I$133)*$I$7)-SUM($I796:BE796),(('PTRM input'!$I$167+'PTRM input'!$I$133)*$I$7)/A25taxstdlife))</f>
        <v>0</v>
      </c>
      <c r="BG796" s="590">
        <f>IF(A25taxstdlife="n/a","n/a",IF(BG$3&gt;(A25taxstdlife+$E796),(('PTRM input'!$I$167+'PTRM input'!$I$133)*$I$7)-SUM($I796:BF796),(('PTRM input'!$I$167+'PTRM input'!$I$133)*$I$7)/A25taxstdlife))</f>
        <v>0</v>
      </c>
      <c r="BH796" s="590">
        <f>IF(A25taxstdlife="n/a","n/a",IF(BH$3&gt;(A25taxstdlife+$E796),(('PTRM input'!$I$167+'PTRM input'!$I$133)*$I$7)-SUM($I796:BG796),(('PTRM input'!$I$167+'PTRM input'!$I$133)*$I$7)/A25taxstdlife))</f>
        <v>0</v>
      </c>
      <c r="BI796" s="590">
        <f>IF(A25taxstdlife="n/a","n/a",IF(BI$3&gt;(A25taxstdlife+$E796),(('PTRM input'!$I$167+'PTRM input'!$I$133)*$I$7)-SUM($I796:BH796),(('PTRM input'!$I$167+'PTRM input'!$I$133)*$I$7)/A25taxstdlife))</f>
        <v>0</v>
      </c>
      <c r="BJ796" s="590"/>
      <c r="BK796" s="240"/>
      <c r="BL796" s="240"/>
      <c r="BM796" s="240"/>
    </row>
    <row r="797" spans="1:65" s="4" customFormat="1" hidden="1" outlineLevel="2">
      <c r="A797" s="240"/>
      <c r="B797" s="240"/>
      <c r="C797" s="595"/>
      <c r="D797" s="1618"/>
      <c r="E797" s="169">
        <v>4</v>
      </c>
      <c r="F797" s="35"/>
      <c r="G797" s="184"/>
      <c r="H797" s="186"/>
      <c r="I797" s="186"/>
      <c r="J797" s="185"/>
      <c r="K797" s="107">
        <f>IF(A25taxstdlife="n/a","n/a",IF(K$3&gt;(A25taxstdlife+$E797),(('PTRM input'!$J$167+'PTRM input'!$J$133)*$J$7)-SUM($J797:J797),(('PTRM input'!$J$167+'PTRM input'!$J$133)*$J$7)/A25taxstdlife))</f>
        <v>0</v>
      </c>
      <c r="L797" s="107">
        <f>IF(A25taxstdlife="n/a","n/a",IF(L$3&gt;(A25taxstdlife+$E797),(('PTRM input'!$J$167+'PTRM input'!$J$133)*$J$7)-SUM($J797:K797),(('PTRM input'!$J$167+'PTRM input'!$J$133)*$J$7)/A25taxstdlife))</f>
        <v>0</v>
      </c>
      <c r="M797" s="107">
        <f>IF(A25taxstdlife="n/a","n/a",IF(M$3&gt;(A25taxstdlife+$E797),(('PTRM input'!$J$167+'PTRM input'!$J$133)*$J$7)-SUM($J797:L797),(('PTRM input'!$J$167+'PTRM input'!$J$133)*$J$7)/A25taxstdlife))</f>
        <v>0</v>
      </c>
      <c r="N797" s="107">
        <f>IF(A25taxstdlife="n/a","n/a",IF(N$3&gt;(A25taxstdlife+$E797),(('PTRM input'!$J$167+'PTRM input'!$J$133)*$J$7)-SUM($J797:M797),(('PTRM input'!$J$167+'PTRM input'!$J$133)*$J$7)/A25taxstdlife))</f>
        <v>0</v>
      </c>
      <c r="O797" s="107">
        <f>IF(A25taxstdlife="n/a","n/a",IF(O$3&gt;(A25taxstdlife+$E797),(('PTRM input'!$J$167+'PTRM input'!$J$133)*$J$7)-SUM($J797:N797),(('PTRM input'!$J$167+'PTRM input'!$J$133)*$J$7)/A25taxstdlife))</f>
        <v>0</v>
      </c>
      <c r="P797" s="107">
        <f>IF(A25taxstdlife="n/a","n/a",IF(P$3&gt;(A25taxstdlife+$E797),(('PTRM input'!$J$167+'PTRM input'!$J$133)*$J$7)-SUM($J797:O797),(('PTRM input'!$J$167+'PTRM input'!$J$133)*$J$7)/A25taxstdlife))</f>
        <v>0</v>
      </c>
      <c r="Q797" s="590">
        <f>IF(A25taxstdlife="n/a","n/a",IF(Q$3&gt;(A25taxstdlife+$E797),(('PTRM input'!$J$167+'PTRM input'!$J$133)*$J$7)-SUM($J797:P797),(('PTRM input'!$J$167+'PTRM input'!$J$133)*$J$7)/A25taxstdlife))</f>
        <v>0</v>
      </c>
      <c r="R797" s="590">
        <f>IF(A25taxstdlife="n/a","n/a",IF(R$3&gt;(A25taxstdlife+$E797),(('PTRM input'!$J$167+'PTRM input'!$J$133)*$J$7)-SUM($J797:Q797),(('PTRM input'!$J$167+'PTRM input'!$J$133)*$J$7)/A25taxstdlife))</f>
        <v>0</v>
      </c>
      <c r="S797" s="590">
        <f>IF(A25taxstdlife="n/a","n/a",IF(S$3&gt;(A25taxstdlife+$E797),(('PTRM input'!$J$167+'PTRM input'!$J$133)*$J$7)-SUM($J797:R797),(('PTRM input'!$J$167+'PTRM input'!$J$133)*$J$7)/A25taxstdlife))</f>
        <v>0</v>
      </c>
      <c r="T797" s="590">
        <f>IF(A25taxstdlife="n/a","n/a",IF(T$3&gt;(A25taxstdlife+$E797),(('PTRM input'!$J$167+'PTRM input'!$J$133)*$J$7)-SUM($J797:S797),(('PTRM input'!$J$167+'PTRM input'!$J$133)*$J$7)/A25taxstdlife))</f>
        <v>0</v>
      </c>
      <c r="U797" s="590">
        <f>IF(A25taxstdlife="n/a","n/a",IF(U$3&gt;(A25taxstdlife+$E797),(('PTRM input'!$J$167+'PTRM input'!$J$133)*$J$7)-SUM($J797:T797),(('PTRM input'!$J$167+'PTRM input'!$J$133)*$J$7)/A25taxstdlife))</f>
        <v>0</v>
      </c>
      <c r="V797" s="590">
        <f>IF(A25taxstdlife="n/a","n/a",IF(V$3&gt;(A25taxstdlife+$E797),(('PTRM input'!$J$167+'PTRM input'!$J$133)*$J$7)-SUM($J797:U797),(('PTRM input'!$J$167+'PTRM input'!$J$133)*$J$7)/A25taxstdlife))</f>
        <v>0</v>
      </c>
      <c r="W797" s="590">
        <f>IF(A25taxstdlife="n/a","n/a",IF(W$3&gt;(A25taxstdlife+$E797),(('PTRM input'!$J$167+'PTRM input'!$J$133)*$J$7)-SUM($J797:V797),(('PTRM input'!$J$167+'PTRM input'!$J$133)*$J$7)/A25taxstdlife))</f>
        <v>0</v>
      </c>
      <c r="X797" s="590">
        <f>IF(A25taxstdlife="n/a","n/a",IF(X$3&gt;(A25taxstdlife+$E797),(('PTRM input'!$J$167+'PTRM input'!$J$133)*$J$7)-SUM($J797:W797),(('PTRM input'!$J$167+'PTRM input'!$J$133)*$J$7)/A25taxstdlife))</f>
        <v>0</v>
      </c>
      <c r="Y797" s="590">
        <f>IF(A25taxstdlife="n/a","n/a",IF(Y$3&gt;(A25taxstdlife+$E797),(('PTRM input'!$J$167+'PTRM input'!$J$133)*$J$7)-SUM($J797:X797),(('PTRM input'!$J$167+'PTRM input'!$J$133)*$J$7)/A25taxstdlife))</f>
        <v>0</v>
      </c>
      <c r="Z797" s="590">
        <f>IF(A25taxstdlife="n/a","n/a",IF(Z$3&gt;(A25taxstdlife+$E797),(('PTRM input'!$J$167+'PTRM input'!$J$133)*$J$7)-SUM($J797:Y797),(('PTRM input'!$J$167+'PTRM input'!$J$133)*$J$7)/A25taxstdlife))</f>
        <v>0</v>
      </c>
      <c r="AA797" s="590">
        <f>IF(A25taxstdlife="n/a","n/a",IF(AA$3&gt;(A25taxstdlife+$E797),(('PTRM input'!$J$167+'PTRM input'!$J$133)*$J$7)-SUM($J797:Z797),(('PTRM input'!$J$167+'PTRM input'!$J$133)*$J$7)/A25taxstdlife))</f>
        <v>0</v>
      </c>
      <c r="AB797" s="590">
        <f>IF(A25taxstdlife="n/a","n/a",IF(AB$3&gt;(A25taxstdlife+$E797),(('PTRM input'!$J$167+'PTRM input'!$J$133)*$J$7)-SUM($J797:AA797),(('PTRM input'!$J$167+'PTRM input'!$J$133)*$J$7)/A25taxstdlife))</f>
        <v>0</v>
      </c>
      <c r="AC797" s="590">
        <f>IF(A25taxstdlife="n/a","n/a",IF(AC$3&gt;(A25taxstdlife+$E797),(('PTRM input'!$J$167+'PTRM input'!$J$133)*$J$7)-SUM($J797:AB797),(('PTRM input'!$J$167+'PTRM input'!$J$133)*$J$7)/A25taxstdlife))</f>
        <v>0</v>
      </c>
      <c r="AD797" s="590">
        <f>IF(A25taxstdlife="n/a","n/a",IF(AD$3&gt;(A25taxstdlife+$E797),(('PTRM input'!$J$167+'PTRM input'!$J$133)*$J$7)-SUM($J797:AC797),(('PTRM input'!$J$167+'PTRM input'!$J$133)*$J$7)/A25taxstdlife))</f>
        <v>0</v>
      </c>
      <c r="AE797" s="590">
        <f>IF(A25taxstdlife="n/a","n/a",IF(AE$3&gt;(A25taxstdlife+$E797),(('PTRM input'!$J$167+'PTRM input'!$J$133)*$J$7)-SUM($J797:AD797),(('PTRM input'!$J$167+'PTRM input'!$J$133)*$J$7)/A25taxstdlife))</f>
        <v>0</v>
      </c>
      <c r="AF797" s="590">
        <f>IF(A25taxstdlife="n/a","n/a",IF(AF$3&gt;(A25taxstdlife+$E797),(('PTRM input'!$J$167+'PTRM input'!$J$133)*$J$7)-SUM($J797:AE797),(('PTRM input'!$J$167+'PTRM input'!$J$133)*$J$7)/A25taxstdlife))</f>
        <v>0</v>
      </c>
      <c r="AG797" s="590">
        <f>IF(A25taxstdlife="n/a","n/a",IF(AG$3&gt;(A25taxstdlife+$E797),(('PTRM input'!$J$167+'PTRM input'!$J$133)*$J$7)-SUM($J797:AF797),(('PTRM input'!$J$167+'PTRM input'!$J$133)*$J$7)/A25taxstdlife))</f>
        <v>0</v>
      </c>
      <c r="AH797" s="590">
        <f>IF(A25taxstdlife="n/a","n/a",IF(AH$3&gt;(A25taxstdlife+$E797),(('PTRM input'!$J$167+'PTRM input'!$J$133)*$J$7)-SUM($J797:AG797),(('PTRM input'!$J$167+'PTRM input'!$J$133)*$J$7)/A25taxstdlife))</f>
        <v>0</v>
      </c>
      <c r="AI797" s="590">
        <f>IF(A25taxstdlife="n/a","n/a",IF(AI$3&gt;(A25taxstdlife+$E797),(('PTRM input'!$J$167+'PTRM input'!$J$133)*$J$7)-SUM($J797:AH797),(('PTRM input'!$J$167+'PTRM input'!$J$133)*$J$7)/A25taxstdlife))</f>
        <v>0</v>
      </c>
      <c r="AJ797" s="590">
        <f>IF(A25taxstdlife="n/a","n/a",IF(AJ$3&gt;(A25taxstdlife+$E797),(('PTRM input'!$J$167+'PTRM input'!$J$133)*$J$7)-SUM($J797:AI797),(('PTRM input'!$J$167+'PTRM input'!$J$133)*$J$7)/A25taxstdlife))</f>
        <v>0</v>
      </c>
      <c r="AK797" s="590">
        <f>IF(A25taxstdlife="n/a","n/a",IF(AK$3&gt;(A25taxstdlife+$E797),(('PTRM input'!$J$167+'PTRM input'!$J$133)*$J$7)-SUM($J797:AJ797),(('PTRM input'!$J$167+'PTRM input'!$J$133)*$J$7)/A25taxstdlife))</f>
        <v>0</v>
      </c>
      <c r="AL797" s="590">
        <f>IF(A25taxstdlife="n/a","n/a",IF(AL$3&gt;(A25taxstdlife+$E797),(('PTRM input'!$J$167+'PTRM input'!$J$133)*$J$7)-SUM($J797:AK797),(('PTRM input'!$J$167+'PTRM input'!$J$133)*$J$7)/A25taxstdlife))</f>
        <v>0</v>
      </c>
      <c r="AM797" s="590">
        <f>IF(A25taxstdlife="n/a","n/a",IF(AM$3&gt;(A25taxstdlife+$E797),(('PTRM input'!$J$167+'PTRM input'!$J$133)*$J$7)-SUM($J797:AL797),(('PTRM input'!$J$167+'PTRM input'!$J$133)*$J$7)/A25taxstdlife))</f>
        <v>0</v>
      </c>
      <c r="AN797" s="590">
        <f>IF(A25taxstdlife="n/a","n/a",IF(AN$3&gt;(A25taxstdlife+$E797),(('PTRM input'!$J$167+'PTRM input'!$J$133)*$J$7)-SUM($J797:AM797),(('PTRM input'!$J$167+'PTRM input'!$J$133)*$J$7)/A25taxstdlife))</f>
        <v>0</v>
      </c>
      <c r="AO797" s="590">
        <f>IF(A25taxstdlife="n/a","n/a",IF(AO$3&gt;(A25taxstdlife+$E797),(('PTRM input'!$J$167+'PTRM input'!$J$133)*$J$7)-SUM($J797:AN797),(('PTRM input'!$J$167+'PTRM input'!$J$133)*$J$7)/A25taxstdlife))</f>
        <v>0</v>
      </c>
      <c r="AP797" s="590">
        <f>IF(A25taxstdlife="n/a","n/a",IF(AP$3&gt;(A25taxstdlife+$E797),(('PTRM input'!$J$167+'PTRM input'!$J$133)*$J$7)-SUM($J797:AO797),(('PTRM input'!$J$167+'PTRM input'!$J$133)*$J$7)/A25taxstdlife))</f>
        <v>0</v>
      </c>
      <c r="AQ797" s="590">
        <f>IF(A25taxstdlife="n/a","n/a",IF(AQ$3&gt;(A25taxstdlife+$E797),(('PTRM input'!$J$167+'PTRM input'!$J$133)*$J$7)-SUM($J797:AP797),(('PTRM input'!$J$167+'PTRM input'!$J$133)*$J$7)/A25taxstdlife))</f>
        <v>0</v>
      </c>
      <c r="AR797" s="590">
        <f>IF(A25taxstdlife="n/a","n/a",IF(AR$3&gt;(A25taxstdlife+$E797),(('PTRM input'!$J$167+'PTRM input'!$J$133)*$J$7)-SUM($J797:AQ797),(('PTRM input'!$J$167+'PTRM input'!$J$133)*$J$7)/A25taxstdlife))</f>
        <v>0</v>
      </c>
      <c r="AS797" s="590">
        <f>IF(A25taxstdlife="n/a","n/a",IF(AS$3&gt;(A25taxstdlife+$E797),(('PTRM input'!$J$167+'PTRM input'!$J$133)*$J$7)-SUM($J797:AR797),(('PTRM input'!$J$167+'PTRM input'!$J$133)*$J$7)/A25taxstdlife))</f>
        <v>0</v>
      </c>
      <c r="AT797" s="590">
        <f>IF(A25taxstdlife="n/a","n/a",IF(AT$3&gt;(A25taxstdlife+$E797),(('PTRM input'!$J$167+'PTRM input'!$J$133)*$J$7)-SUM($J797:AS797),(('PTRM input'!$J$167+'PTRM input'!$J$133)*$J$7)/A25taxstdlife))</f>
        <v>0</v>
      </c>
      <c r="AU797" s="590">
        <f>IF(A25taxstdlife="n/a","n/a",IF(AU$3&gt;(A25taxstdlife+$E797),(('PTRM input'!$J$167+'PTRM input'!$J$133)*$J$7)-SUM($J797:AT797),(('PTRM input'!$J$167+'PTRM input'!$J$133)*$J$7)/A25taxstdlife))</f>
        <v>0</v>
      </c>
      <c r="AV797" s="590">
        <f>IF(A25taxstdlife="n/a","n/a",IF(AV$3&gt;(A25taxstdlife+$E797),(('PTRM input'!$J$167+'PTRM input'!$J$133)*$J$7)-SUM($J797:AU797),(('PTRM input'!$J$167+'PTRM input'!$J$133)*$J$7)/A25taxstdlife))</f>
        <v>0</v>
      </c>
      <c r="AW797" s="590">
        <f>IF(A25taxstdlife="n/a","n/a",IF(AW$3&gt;(A25taxstdlife+$E797),(('PTRM input'!$J$167+'PTRM input'!$J$133)*$J$7)-SUM($J797:AV797),(('PTRM input'!$J$167+'PTRM input'!$J$133)*$J$7)/A25taxstdlife))</f>
        <v>0</v>
      </c>
      <c r="AX797" s="590">
        <f>IF(A25taxstdlife="n/a","n/a",IF(AX$3&gt;(A25taxstdlife+$E797),(('PTRM input'!$J$167+'PTRM input'!$J$133)*$J$7)-SUM($J797:AW797),(('PTRM input'!$J$167+'PTRM input'!$J$133)*$J$7)/A25taxstdlife))</f>
        <v>0</v>
      </c>
      <c r="AY797" s="590">
        <f>IF(A25taxstdlife="n/a","n/a",IF(AY$3&gt;(A25taxstdlife+$E797),(('PTRM input'!$J$167+'PTRM input'!$J$133)*$J$7)-SUM($J797:AX797),(('PTRM input'!$J$167+'PTRM input'!$J$133)*$J$7)/A25taxstdlife))</f>
        <v>0</v>
      </c>
      <c r="AZ797" s="590">
        <f>IF(A25taxstdlife="n/a","n/a",IF(AZ$3&gt;(A25taxstdlife+$E797),(('PTRM input'!$J$167+'PTRM input'!$J$133)*$J$7)-SUM($J797:AY797),(('PTRM input'!$J$167+'PTRM input'!$J$133)*$J$7)/A25taxstdlife))</f>
        <v>0</v>
      </c>
      <c r="BA797" s="590">
        <f>IF(A25taxstdlife="n/a","n/a",IF(BA$3&gt;(A25taxstdlife+$E797),(('PTRM input'!$J$167+'PTRM input'!$J$133)*$J$7)-SUM($J797:AZ797),(('PTRM input'!$J$167+'PTRM input'!$J$133)*$J$7)/A25taxstdlife))</f>
        <v>0</v>
      </c>
      <c r="BB797" s="590">
        <f>IF(A25taxstdlife="n/a","n/a",IF(BB$3&gt;(A25taxstdlife+$E797),(('PTRM input'!$J$167+'PTRM input'!$J$133)*$J$7)-SUM($J797:BA797),(('PTRM input'!$J$167+'PTRM input'!$J$133)*$J$7)/A25taxstdlife))</f>
        <v>0</v>
      </c>
      <c r="BC797" s="590">
        <f>IF(A25taxstdlife="n/a","n/a",IF(BC$3&gt;(A25taxstdlife+$E797),(('PTRM input'!$J$167+'PTRM input'!$J$133)*$J$7)-SUM($J797:BB797),(('PTRM input'!$J$167+'PTRM input'!$J$133)*$J$7)/A25taxstdlife))</f>
        <v>0</v>
      </c>
      <c r="BD797" s="590">
        <f>IF(A25taxstdlife="n/a","n/a",IF(BD$3&gt;(A25taxstdlife+$E797),(('PTRM input'!$J$167+'PTRM input'!$J$133)*$J$7)-SUM($J797:BC797),(('PTRM input'!$J$167+'PTRM input'!$J$133)*$J$7)/A25taxstdlife))</f>
        <v>0</v>
      </c>
      <c r="BE797" s="590">
        <f>IF(A25taxstdlife="n/a","n/a",IF(BE$3&gt;(A25taxstdlife+$E797),(('PTRM input'!$J$167+'PTRM input'!$J$133)*$J$7)-SUM($J797:BD797),(('PTRM input'!$J$167+'PTRM input'!$J$133)*$J$7)/A25taxstdlife))</f>
        <v>0</v>
      </c>
      <c r="BF797" s="590">
        <f>IF(A25taxstdlife="n/a","n/a",IF(BF$3&gt;(A25taxstdlife+$E797),(('PTRM input'!$J$167+'PTRM input'!$J$133)*$J$7)-SUM($J797:BE797),(('PTRM input'!$J$167+'PTRM input'!$J$133)*$J$7)/A25taxstdlife))</f>
        <v>0</v>
      </c>
      <c r="BG797" s="590">
        <f>IF(A25taxstdlife="n/a","n/a",IF(BG$3&gt;(A25taxstdlife+$E797),(('PTRM input'!$J$167+'PTRM input'!$J$133)*$J$7)-SUM($J797:BF797),(('PTRM input'!$J$167+'PTRM input'!$J$133)*$J$7)/A25taxstdlife))</f>
        <v>0</v>
      </c>
      <c r="BH797" s="590">
        <f>IF(A25taxstdlife="n/a","n/a",IF(BH$3&gt;(A25taxstdlife+$E797),(('PTRM input'!$J$167+'PTRM input'!$J$133)*$J$7)-SUM($J797:BG797),(('PTRM input'!$J$167+'PTRM input'!$J$133)*$J$7)/A25taxstdlife))</f>
        <v>0</v>
      </c>
      <c r="BI797" s="590">
        <f>IF(A25taxstdlife="n/a","n/a",IF(BI$3&gt;(A25taxstdlife+$E797),(('PTRM input'!$J$167+'PTRM input'!$J$133)*$J$7)-SUM($J797:BH797),(('PTRM input'!$J$167+'PTRM input'!$J$133)*$J$7)/A25taxstdlife))</f>
        <v>0</v>
      </c>
      <c r="BJ797" s="240"/>
      <c r="BK797" s="240"/>
      <c r="BL797" s="240"/>
      <c r="BM797" s="240"/>
    </row>
    <row r="798" spans="1:65" s="4" customFormat="1" hidden="1" outlineLevel="2">
      <c r="A798" s="240"/>
      <c r="B798" s="240"/>
      <c r="C798" s="595"/>
      <c r="D798" s="1618"/>
      <c r="E798" s="169">
        <v>5</v>
      </c>
      <c r="F798" s="35"/>
      <c r="G798" s="184"/>
      <c r="H798" s="186"/>
      <c r="I798" s="186"/>
      <c r="J798" s="186"/>
      <c r="K798" s="185"/>
      <c r="L798" s="107">
        <f>IF(A25taxstdlife="n/a","n/a",IF(L$3&gt;(A25taxstdlife+$E798),(('PTRM input'!$K$167+'PTRM input'!$K$133)*$K$7)-SUM($K798:K798),(('PTRM input'!$K$167+'PTRM input'!$K$133)*$K$7)/A25taxstdlife))</f>
        <v>0</v>
      </c>
      <c r="M798" s="107">
        <f>IF(A25taxstdlife="n/a","n/a",IF(M$3&gt;(A25taxstdlife+$E798),(('PTRM input'!$K$167+'PTRM input'!$K$133)*$K$7)-SUM($K798:L798),(('PTRM input'!$K$167+'PTRM input'!$K$133)*$K$7)/A25taxstdlife))</f>
        <v>0</v>
      </c>
      <c r="N798" s="107">
        <f>IF(A25taxstdlife="n/a","n/a",IF(N$3&gt;(A25taxstdlife+$E798),(('PTRM input'!$K$167+'PTRM input'!$K$133)*$K$7)-SUM($K798:M798),(('PTRM input'!$K$167+'PTRM input'!$K$133)*$K$7)/A25taxstdlife))</f>
        <v>0</v>
      </c>
      <c r="O798" s="107">
        <f>IF(A25taxstdlife="n/a","n/a",IF(O$3&gt;(A25taxstdlife+$E798),(('PTRM input'!$K$167+'PTRM input'!$K$133)*$K$7)-SUM($K798:N798),(('PTRM input'!$K$167+'PTRM input'!$K$133)*$K$7)/A25taxstdlife))</f>
        <v>0</v>
      </c>
      <c r="P798" s="107">
        <f>IF(A25taxstdlife="n/a","n/a",IF(P$3&gt;(A25taxstdlife+$E798),(('PTRM input'!$K$167+'PTRM input'!$K$133)*$K$7)-SUM($K798:O798),(('PTRM input'!$K$167+'PTRM input'!$K$133)*$K$7)/A25taxstdlife))</f>
        <v>0</v>
      </c>
      <c r="Q798" s="590">
        <f>IF(A25taxstdlife="n/a","n/a",IF(Q$3&gt;(A25taxstdlife+$E798),(('PTRM input'!$K$167+'PTRM input'!$K$133)*$K$7)-SUM($K798:P798),(('PTRM input'!$K$167+'PTRM input'!$K$133)*$K$7)/A25taxstdlife))</f>
        <v>0</v>
      </c>
      <c r="R798" s="590">
        <f>IF(A25taxstdlife="n/a","n/a",IF(R$3&gt;(A25taxstdlife+$E798),(('PTRM input'!$K$167+'PTRM input'!$K$133)*$K$7)-SUM($K798:Q798),(('PTRM input'!$K$167+'PTRM input'!$K$133)*$K$7)/A25taxstdlife))</f>
        <v>0</v>
      </c>
      <c r="S798" s="590">
        <f>IF(A25taxstdlife="n/a","n/a",IF(S$3&gt;(A25taxstdlife+$E798),(('PTRM input'!$K$167+'PTRM input'!$K$133)*$K$7)-SUM($K798:R798),(('PTRM input'!$K$167+'PTRM input'!$K$133)*$K$7)/A25taxstdlife))</f>
        <v>0</v>
      </c>
      <c r="T798" s="590">
        <f>IF(A25taxstdlife="n/a","n/a",IF(T$3&gt;(A25taxstdlife+$E798),(('PTRM input'!$K$167+'PTRM input'!$K$133)*$K$7)-SUM($K798:S798),(('PTRM input'!$K$167+'PTRM input'!$K$133)*$K$7)/A25taxstdlife))</f>
        <v>0</v>
      </c>
      <c r="U798" s="590">
        <f>IF(A25taxstdlife="n/a","n/a",IF(U$3&gt;(A25taxstdlife+$E798),(('PTRM input'!$K$167+'PTRM input'!$K$133)*$K$7)-SUM($K798:T798),(('PTRM input'!$K$167+'PTRM input'!$K$133)*$K$7)/A25taxstdlife))</f>
        <v>0</v>
      </c>
      <c r="V798" s="590">
        <f>IF(A25taxstdlife="n/a","n/a",IF(V$3&gt;(A25taxstdlife+$E798),(('PTRM input'!$K$167+'PTRM input'!$K$133)*$K$7)-SUM($K798:U798),(('PTRM input'!$K$167+'PTRM input'!$K$133)*$K$7)/A25taxstdlife))</f>
        <v>0</v>
      </c>
      <c r="W798" s="590">
        <f>IF(A25taxstdlife="n/a","n/a",IF(W$3&gt;(A25taxstdlife+$E798),(('PTRM input'!$K$167+'PTRM input'!$K$133)*$K$7)-SUM($K798:V798),(('PTRM input'!$K$167+'PTRM input'!$K$133)*$K$7)/A25taxstdlife))</f>
        <v>0</v>
      </c>
      <c r="X798" s="590">
        <f>IF(A25taxstdlife="n/a","n/a",IF(X$3&gt;(A25taxstdlife+$E798),(('PTRM input'!$K$167+'PTRM input'!$K$133)*$K$7)-SUM($K798:W798),(('PTRM input'!$K$167+'PTRM input'!$K$133)*$K$7)/A25taxstdlife))</f>
        <v>0</v>
      </c>
      <c r="Y798" s="590">
        <f>IF(A25taxstdlife="n/a","n/a",IF(Y$3&gt;(A25taxstdlife+$E798),(('PTRM input'!$K$167+'PTRM input'!$K$133)*$K$7)-SUM($K798:X798),(('PTRM input'!$K$167+'PTRM input'!$K$133)*$K$7)/A25taxstdlife))</f>
        <v>0</v>
      </c>
      <c r="Z798" s="590">
        <f>IF(A25taxstdlife="n/a","n/a",IF(Z$3&gt;(A25taxstdlife+$E798),(('PTRM input'!$K$167+'PTRM input'!$K$133)*$K$7)-SUM($K798:Y798),(('PTRM input'!$K$167+'PTRM input'!$K$133)*$K$7)/A25taxstdlife))</f>
        <v>0</v>
      </c>
      <c r="AA798" s="590">
        <f>IF(A25taxstdlife="n/a","n/a",IF(AA$3&gt;(A25taxstdlife+$E798),(('PTRM input'!$K$167+'PTRM input'!$K$133)*$K$7)-SUM($K798:Z798),(('PTRM input'!$K$167+'PTRM input'!$K$133)*$K$7)/A25taxstdlife))</f>
        <v>0</v>
      </c>
      <c r="AB798" s="590">
        <f>IF(A25taxstdlife="n/a","n/a",IF(AB$3&gt;(A25taxstdlife+$E798),(('PTRM input'!$K$167+'PTRM input'!$K$133)*$K$7)-SUM($K798:AA798),(('PTRM input'!$K$167+'PTRM input'!$K$133)*$K$7)/A25taxstdlife))</f>
        <v>0</v>
      </c>
      <c r="AC798" s="590">
        <f>IF(A25taxstdlife="n/a","n/a",IF(AC$3&gt;(A25taxstdlife+$E798),(('PTRM input'!$K$167+'PTRM input'!$K$133)*$K$7)-SUM($K798:AB798),(('PTRM input'!$K$167+'PTRM input'!$K$133)*$K$7)/A25taxstdlife))</f>
        <v>0</v>
      </c>
      <c r="AD798" s="590">
        <f>IF(A25taxstdlife="n/a","n/a",IF(AD$3&gt;(A25taxstdlife+$E798),(('PTRM input'!$K$167+'PTRM input'!$K$133)*$K$7)-SUM($K798:AC798),(('PTRM input'!$K$167+'PTRM input'!$K$133)*$K$7)/A25taxstdlife))</f>
        <v>0</v>
      </c>
      <c r="AE798" s="590">
        <f>IF(A25taxstdlife="n/a","n/a",IF(AE$3&gt;(A25taxstdlife+$E798),(('PTRM input'!$K$167+'PTRM input'!$K$133)*$K$7)-SUM($K798:AD798),(('PTRM input'!$K$167+'PTRM input'!$K$133)*$K$7)/A25taxstdlife))</f>
        <v>0</v>
      </c>
      <c r="AF798" s="590">
        <f>IF(A25taxstdlife="n/a","n/a",IF(AF$3&gt;(A25taxstdlife+$E798),(('PTRM input'!$K$167+'PTRM input'!$K$133)*$K$7)-SUM($K798:AE798),(('PTRM input'!$K$167+'PTRM input'!$K$133)*$K$7)/A25taxstdlife))</f>
        <v>0</v>
      </c>
      <c r="AG798" s="590">
        <f>IF(A25taxstdlife="n/a","n/a",IF(AG$3&gt;(A25taxstdlife+$E798),(('PTRM input'!$K$167+'PTRM input'!$K$133)*$K$7)-SUM($K798:AF798),(('PTRM input'!$K$167+'PTRM input'!$K$133)*$K$7)/A25taxstdlife))</f>
        <v>0</v>
      </c>
      <c r="AH798" s="590">
        <f>IF(A25taxstdlife="n/a","n/a",IF(AH$3&gt;(A25taxstdlife+$E798),(('PTRM input'!$K$167+'PTRM input'!$K$133)*$K$7)-SUM($K798:AG798),(('PTRM input'!$K$167+'PTRM input'!$K$133)*$K$7)/A25taxstdlife))</f>
        <v>0</v>
      </c>
      <c r="AI798" s="590">
        <f>IF(A25taxstdlife="n/a","n/a",IF(AI$3&gt;(A25taxstdlife+$E798),(('PTRM input'!$K$167+'PTRM input'!$K$133)*$K$7)-SUM($K798:AH798),(('PTRM input'!$K$167+'PTRM input'!$K$133)*$K$7)/A25taxstdlife))</f>
        <v>0</v>
      </c>
      <c r="AJ798" s="590">
        <f>IF(A25taxstdlife="n/a","n/a",IF(AJ$3&gt;(A25taxstdlife+$E798),(('PTRM input'!$K$167+'PTRM input'!$K$133)*$K$7)-SUM($K798:AI798),(('PTRM input'!$K$167+'PTRM input'!$K$133)*$K$7)/A25taxstdlife))</f>
        <v>0</v>
      </c>
      <c r="AK798" s="590">
        <f>IF(A25taxstdlife="n/a","n/a",IF(AK$3&gt;(A25taxstdlife+$E798),(('PTRM input'!$K$167+'PTRM input'!$K$133)*$K$7)-SUM($K798:AJ798),(('PTRM input'!$K$167+'PTRM input'!$K$133)*$K$7)/A25taxstdlife))</f>
        <v>0</v>
      </c>
      <c r="AL798" s="590">
        <f>IF(A25taxstdlife="n/a","n/a",IF(AL$3&gt;(A25taxstdlife+$E798),(('PTRM input'!$K$167+'PTRM input'!$K$133)*$K$7)-SUM($K798:AK798),(('PTRM input'!$K$167+'PTRM input'!$K$133)*$K$7)/A25taxstdlife))</f>
        <v>0</v>
      </c>
      <c r="AM798" s="590">
        <f>IF(A25taxstdlife="n/a","n/a",IF(AM$3&gt;(A25taxstdlife+$E798),(('PTRM input'!$K$167+'PTRM input'!$K$133)*$K$7)-SUM($K798:AL798),(('PTRM input'!$K$167+'PTRM input'!$K$133)*$K$7)/A25taxstdlife))</f>
        <v>0</v>
      </c>
      <c r="AN798" s="590">
        <f>IF(A25taxstdlife="n/a","n/a",IF(AN$3&gt;(A25taxstdlife+$E798),(('PTRM input'!$K$167+'PTRM input'!$K$133)*$K$7)-SUM($K798:AM798),(('PTRM input'!$K$167+'PTRM input'!$K$133)*$K$7)/A25taxstdlife))</f>
        <v>0</v>
      </c>
      <c r="AO798" s="590">
        <f>IF(A25taxstdlife="n/a","n/a",IF(AO$3&gt;(A25taxstdlife+$E798),(('PTRM input'!$K$167+'PTRM input'!$K$133)*$K$7)-SUM($K798:AN798),(('PTRM input'!$K$167+'PTRM input'!$K$133)*$K$7)/A25taxstdlife))</f>
        <v>0</v>
      </c>
      <c r="AP798" s="590">
        <f>IF(A25taxstdlife="n/a","n/a",IF(AP$3&gt;(A25taxstdlife+$E798),(('PTRM input'!$K$167+'PTRM input'!$K$133)*$K$7)-SUM($K798:AO798),(('PTRM input'!$K$167+'PTRM input'!$K$133)*$K$7)/A25taxstdlife))</f>
        <v>0</v>
      </c>
      <c r="AQ798" s="590">
        <f>IF(A25taxstdlife="n/a","n/a",IF(AQ$3&gt;(A25taxstdlife+$E798),(('PTRM input'!$K$167+'PTRM input'!$K$133)*$K$7)-SUM($K798:AP798),(('PTRM input'!$K$167+'PTRM input'!$K$133)*$K$7)/A25taxstdlife))</f>
        <v>0</v>
      </c>
      <c r="AR798" s="590">
        <f>IF(A25taxstdlife="n/a","n/a",IF(AR$3&gt;(A25taxstdlife+$E798),(('PTRM input'!$K$167+'PTRM input'!$K$133)*$K$7)-SUM($K798:AQ798),(('PTRM input'!$K$167+'PTRM input'!$K$133)*$K$7)/A25taxstdlife))</f>
        <v>0</v>
      </c>
      <c r="AS798" s="590">
        <f>IF(A25taxstdlife="n/a","n/a",IF(AS$3&gt;(A25taxstdlife+$E798),(('PTRM input'!$K$167+'PTRM input'!$K$133)*$K$7)-SUM($K798:AR798),(('PTRM input'!$K$167+'PTRM input'!$K$133)*$K$7)/A25taxstdlife))</f>
        <v>0</v>
      </c>
      <c r="AT798" s="590">
        <f>IF(A25taxstdlife="n/a","n/a",IF(AT$3&gt;(A25taxstdlife+$E798),(('PTRM input'!$K$167+'PTRM input'!$K$133)*$K$7)-SUM($K798:AS798),(('PTRM input'!$K$167+'PTRM input'!$K$133)*$K$7)/A25taxstdlife))</f>
        <v>0</v>
      </c>
      <c r="AU798" s="590">
        <f>IF(A25taxstdlife="n/a","n/a",IF(AU$3&gt;(A25taxstdlife+$E798),(('PTRM input'!$K$167+'PTRM input'!$K$133)*$K$7)-SUM($K798:AT798),(('PTRM input'!$K$167+'PTRM input'!$K$133)*$K$7)/A25taxstdlife))</f>
        <v>0</v>
      </c>
      <c r="AV798" s="590">
        <f>IF(A25taxstdlife="n/a","n/a",IF(AV$3&gt;(A25taxstdlife+$E798),(('PTRM input'!$K$167+'PTRM input'!$K$133)*$K$7)-SUM($K798:AU798),(('PTRM input'!$K$167+'PTRM input'!$K$133)*$K$7)/A25taxstdlife))</f>
        <v>0</v>
      </c>
      <c r="AW798" s="590">
        <f>IF(A25taxstdlife="n/a","n/a",IF(AW$3&gt;(A25taxstdlife+$E798),(('PTRM input'!$K$167+'PTRM input'!$K$133)*$K$7)-SUM($K798:AV798),(('PTRM input'!$K$167+'PTRM input'!$K$133)*$K$7)/A25taxstdlife))</f>
        <v>0</v>
      </c>
      <c r="AX798" s="590">
        <f>IF(A25taxstdlife="n/a","n/a",IF(AX$3&gt;(A25taxstdlife+$E798),(('PTRM input'!$K$167+'PTRM input'!$K$133)*$K$7)-SUM($K798:AW798),(('PTRM input'!$K$167+'PTRM input'!$K$133)*$K$7)/A25taxstdlife))</f>
        <v>0</v>
      </c>
      <c r="AY798" s="590">
        <f>IF(A25taxstdlife="n/a","n/a",IF(AY$3&gt;(A25taxstdlife+$E798),(('PTRM input'!$K$167+'PTRM input'!$K$133)*$K$7)-SUM($K798:AX798),(('PTRM input'!$K$167+'PTRM input'!$K$133)*$K$7)/A25taxstdlife))</f>
        <v>0</v>
      </c>
      <c r="AZ798" s="590">
        <f>IF(A25taxstdlife="n/a","n/a",IF(AZ$3&gt;(A25taxstdlife+$E798),(('PTRM input'!$K$167+'PTRM input'!$K$133)*$K$7)-SUM($K798:AY798),(('PTRM input'!$K$167+'PTRM input'!$K$133)*$K$7)/A25taxstdlife))</f>
        <v>0</v>
      </c>
      <c r="BA798" s="590">
        <f>IF(A25taxstdlife="n/a","n/a",IF(BA$3&gt;(A25taxstdlife+$E798),(('PTRM input'!$K$167+'PTRM input'!$K$133)*$K$7)-SUM($K798:AZ798),(('PTRM input'!$K$167+'PTRM input'!$K$133)*$K$7)/A25taxstdlife))</f>
        <v>0</v>
      </c>
      <c r="BB798" s="590">
        <f>IF(A25taxstdlife="n/a","n/a",IF(BB$3&gt;(A25taxstdlife+$E798),(('PTRM input'!$K$167+'PTRM input'!$K$133)*$K$7)-SUM($K798:BA798),(('PTRM input'!$K$167+'PTRM input'!$K$133)*$K$7)/A25taxstdlife))</f>
        <v>0</v>
      </c>
      <c r="BC798" s="590">
        <f>IF(A25taxstdlife="n/a","n/a",IF(BC$3&gt;(A25taxstdlife+$E798),(('PTRM input'!$K$167+'PTRM input'!$K$133)*$K$7)-SUM($K798:BB798),(('PTRM input'!$K$167+'PTRM input'!$K$133)*$K$7)/A25taxstdlife))</f>
        <v>0</v>
      </c>
      <c r="BD798" s="590">
        <f>IF(A25taxstdlife="n/a","n/a",IF(BD$3&gt;(A25taxstdlife+$E798),(('PTRM input'!$K$167+'PTRM input'!$K$133)*$K$7)-SUM($K798:BC798),(('PTRM input'!$K$167+'PTRM input'!$K$133)*$K$7)/A25taxstdlife))</f>
        <v>0</v>
      </c>
      <c r="BE798" s="590">
        <f>IF(A25taxstdlife="n/a","n/a",IF(BE$3&gt;(A25taxstdlife+$E798),(('PTRM input'!$K$167+'PTRM input'!$K$133)*$K$7)-SUM($K798:BD798),(('PTRM input'!$K$167+'PTRM input'!$K$133)*$K$7)/A25taxstdlife))</f>
        <v>0</v>
      </c>
      <c r="BF798" s="590">
        <f>IF(A25taxstdlife="n/a","n/a",IF(BF$3&gt;(A25taxstdlife+$E798),(('PTRM input'!$K$167+'PTRM input'!$K$133)*$K$7)-SUM($K798:BE798),(('PTRM input'!$K$167+'PTRM input'!$K$133)*$K$7)/A25taxstdlife))</f>
        <v>0</v>
      </c>
      <c r="BG798" s="590">
        <f>IF(A25taxstdlife="n/a","n/a",IF(BG$3&gt;(A25taxstdlife+$E798),(('PTRM input'!$K$167+'PTRM input'!$K$133)*$K$7)-SUM($K798:BF798),(('PTRM input'!$K$167+'PTRM input'!$K$133)*$K$7)/A25taxstdlife))</f>
        <v>0</v>
      </c>
      <c r="BH798" s="590">
        <f>IF(A25taxstdlife="n/a","n/a",IF(BH$3&gt;(A25taxstdlife+$E798),(('PTRM input'!$K$167+'PTRM input'!$K$133)*$K$7)-SUM($K798:BG798),(('PTRM input'!$K$167+'PTRM input'!$K$133)*$K$7)/A25taxstdlife))</f>
        <v>0</v>
      </c>
      <c r="BI798" s="590">
        <f>IF(A25taxstdlife="n/a","n/a",IF(BI$3&gt;(A25taxstdlife+$E798),(('PTRM input'!$K$167+'PTRM input'!$K$133)*$K$7)-SUM($K798:BH798),(('PTRM input'!$K$167+'PTRM input'!$K$133)*$K$7)/A25taxstdlife))</f>
        <v>0</v>
      </c>
      <c r="BJ798" s="240"/>
      <c r="BK798" s="240"/>
      <c r="BL798" s="240"/>
      <c r="BM798" s="240"/>
    </row>
    <row r="799" spans="1:65" s="4" customFormat="1" hidden="1" outlineLevel="2">
      <c r="A799" s="240"/>
      <c r="B799" s="240"/>
      <c r="C799" s="595"/>
      <c r="D799" s="1618"/>
      <c r="E799" s="169">
        <v>6</v>
      </c>
      <c r="F799" s="35"/>
      <c r="G799" s="184"/>
      <c r="H799" s="186"/>
      <c r="I799" s="186"/>
      <c r="J799" s="186"/>
      <c r="K799" s="186"/>
      <c r="L799" s="185"/>
      <c r="M799" s="107">
        <f>IF(A25taxstdlife="n/a","n/a",IF(M$3&gt;(A25taxstdlife+$E799),(('PTRM input'!$L$167+'PTRM input'!$L$133)*$L$7)-SUM($L799:L799),(('PTRM input'!$L$167+'PTRM input'!$L$133)*$L$7)/A25taxstdlife))</f>
        <v>0</v>
      </c>
      <c r="N799" s="107">
        <f>IF(A25taxstdlife="n/a","n/a",IF(N$3&gt;(A25taxstdlife+$E799),(('PTRM input'!$L$167+'PTRM input'!$L$133)*$L$7)-SUM($L799:M799),(('PTRM input'!$L$167+'PTRM input'!$L$133)*$L$7)/A25taxstdlife))</f>
        <v>0</v>
      </c>
      <c r="O799" s="107">
        <f>IF(A25taxstdlife="n/a","n/a",IF(O$3&gt;(A25taxstdlife+$E799),(('PTRM input'!$L$167+'PTRM input'!$L$133)*$L$7)-SUM($L799:N799),(('PTRM input'!$L$167+'PTRM input'!$L$133)*$L$7)/A25taxstdlife))</f>
        <v>0</v>
      </c>
      <c r="P799" s="107">
        <f>IF(A25taxstdlife="n/a","n/a",IF(P$3&gt;(A25taxstdlife+$E799),(('PTRM input'!$L$167+'PTRM input'!$L$133)*$L$7)-SUM($L799:O799),(('PTRM input'!$L$167+'PTRM input'!$L$133)*$L$7)/A25taxstdlife))</f>
        <v>0</v>
      </c>
      <c r="Q799" s="590">
        <f>IF(A25taxstdlife="n/a","n/a",IF(Q$3&gt;(A25taxstdlife+$E799),(('PTRM input'!$L$167+'PTRM input'!$L$133)*$L$7)-SUM($L799:P799),(('PTRM input'!$L$167+'PTRM input'!$L$133)*$L$7)/A25taxstdlife))</f>
        <v>0</v>
      </c>
      <c r="R799" s="590">
        <f>IF(A25taxstdlife="n/a","n/a",IF(R$3&gt;(A25taxstdlife+$E799),(('PTRM input'!$L$167+'PTRM input'!$L$133)*$L$7)-SUM($L799:Q799),(('PTRM input'!$L$167+'PTRM input'!$L$133)*$L$7)/A25taxstdlife))</f>
        <v>0</v>
      </c>
      <c r="S799" s="590">
        <f>IF(A25taxstdlife="n/a","n/a",IF(S$3&gt;(A25taxstdlife+$E799),(('PTRM input'!$L$167+'PTRM input'!$L$133)*$L$7)-SUM($L799:R799),(('PTRM input'!$L$167+'PTRM input'!$L$133)*$L$7)/A25taxstdlife))</f>
        <v>0</v>
      </c>
      <c r="T799" s="590">
        <f>IF(A25taxstdlife="n/a","n/a",IF(T$3&gt;(A25taxstdlife+$E799),(('PTRM input'!$L$167+'PTRM input'!$L$133)*$L$7)-SUM($L799:S799),(('PTRM input'!$L$167+'PTRM input'!$L$133)*$L$7)/A25taxstdlife))</f>
        <v>0</v>
      </c>
      <c r="U799" s="590">
        <f>IF(A25taxstdlife="n/a","n/a",IF(U$3&gt;(A25taxstdlife+$E799),(('PTRM input'!$L$167+'PTRM input'!$L$133)*$L$7)-SUM($L799:T799),(('PTRM input'!$L$167+'PTRM input'!$L$133)*$L$7)/A25taxstdlife))</f>
        <v>0</v>
      </c>
      <c r="V799" s="590">
        <f>IF(A25taxstdlife="n/a","n/a",IF(V$3&gt;(A25taxstdlife+$E799),(('PTRM input'!$L$167+'PTRM input'!$L$133)*$L$7)-SUM($L799:U799),(('PTRM input'!$L$167+'PTRM input'!$L$133)*$L$7)/A25taxstdlife))</f>
        <v>0</v>
      </c>
      <c r="W799" s="590">
        <f>IF(A25taxstdlife="n/a","n/a",IF(W$3&gt;(A25taxstdlife+$E799),(('PTRM input'!$L$167+'PTRM input'!$L$133)*$L$7)-SUM($L799:V799),(('PTRM input'!$L$167+'PTRM input'!$L$133)*$L$7)/A25taxstdlife))</f>
        <v>0</v>
      </c>
      <c r="X799" s="590">
        <f>IF(A25taxstdlife="n/a","n/a",IF(X$3&gt;(A25taxstdlife+$E799),(('PTRM input'!$L$167+'PTRM input'!$L$133)*$L$7)-SUM($L799:W799),(('PTRM input'!$L$167+'PTRM input'!$L$133)*$L$7)/A25taxstdlife))</f>
        <v>0</v>
      </c>
      <c r="Y799" s="590">
        <f>IF(A25taxstdlife="n/a","n/a",IF(Y$3&gt;(A25taxstdlife+$E799),(('PTRM input'!$L$167+'PTRM input'!$L$133)*$L$7)-SUM($L799:X799),(('PTRM input'!$L$167+'PTRM input'!$L$133)*$L$7)/A25taxstdlife))</f>
        <v>0</v>
      </c>
      <c r="Z799" s="590">
        <f>IF(A25taxstdlife="n/a","n/a",IF(Z$3&gt;(A25taxstdlife+$E799),(('PTRM input'!$L$167+'PTRM input'!$L$133)*$L$7)-SUM($L799:Y799),(('PTRM input'!$L$167+'PTRM input'!$L$133)*$L$7)/A25taxstdlife))</f>
        <v>0</v>
      </c>
      <c r="AA799" s="590">
        <f>IF(A25taxstdlife="n/a","n/a",IF(AA$3&gt;(A25taxstdlife+$E799),(('PTRM input'!$L$167+'PTRM input'!$L$133)*$L$7)-SUM($L799:Z799),(('PTRM input'!$L$167+'PTRM input'!$L$133)*$L$7)/A25taxstdlife))</f>
        <v>0</v>
      </c>
      <c r="AB799" s="590">
        <f>IF(A25taxstdlife="n/a","n/a",IF(AB$3&gt;(A25taxstdlife+$E799),(('PTRM input'!$L$167+'PTRM input'!$L$133)*$L$7)-SUM($L799:AA799),(('PTRM input'!$L$167+'PTRM input'!$L$133)*$L$7)/A25taxstdlife))</f>
        <v>0</v>
      </c>
      <c r="AC799" s="590">
        <f>IF(A25taxstdlife="n/a","n/a",IF(AC$3&gt;(A25taxstdlife+$E799),(('PTRM input'!$L$167+'PTRM input'!$L$133)*$L$7)-SUM($L799:AB799),(('PTRM input'!$L$167+'PTRM input'!$L$133)*$L$7)/A25taxstdlife))</f>
        <v>0</v>
      </c>
      <c r="AD799" s="590">
        <f>IF(A25taxstdlife="n/a","n/a",IF(AD$3&gt;(A25taxstdlife+$E799),(('PTRM input'!$L$167+'PTRM input'!$L$133)*$L$7)-SUM($L799:AC799),(('PTRM input'!$L$167+'PTRM input'!$L$133)*$L$7)/A25taxstdlife))</f>
        <v>0</v>
      </c>
      <c r="AE799" s="590">
        <f>IF(A25taxstdlife="n/a","n/a",IF(AE$3&gt;(A25taxstdlife+$E799),(('PTRM input'!$L$167+'PTRM input'!$L$133)*$L$7)-SUM($L799:AD799),(('PTRM input'!$L$167+'PTRM input'!$L$133)*$L$7)/A25taxstdlife))</f>
        <v>0</v>
      </c>
      <c r="AF799" s="590">
        <f>IF(A25taxstdlife="n/a","n/a",IF(AF$3&gt;(A25taxstdlife+$E799),(('PTRM input'!$L$167+'PTRM input'!$L$133)*$L$7)-SUM($L799:AE799),(('PTRM input'!$L$167+'PTRM input'!$L$133)*$L$7)/A25taxstdlife))</f>
        <v>0</v>
      </c>
      <c r="AG799" s="590">
        <f>IF(A25taxstdlife="n/a","n/a",IF(AG$3&gt;(A25taxstdlife+$E799),(('PTRM input'!$L$167+'PTRM input'!$L$133)*$L$7)-SUM($L799:AF799),(('PTRM input'!$L$167+'PTRM input'!$L$133)*$L$7)/A25taxstdlife))</f>
        <v>0</v>
      </c>
      <c r="AH799" s="590">
        <f>IF(A25taxstdlife="n/a","n/a",IF(AH$3&gt;(A25taxstdlife+$E799),(('PTRM input'!$L$167+'PTRM input'!$L$133)*$L$7)-SUM($L799:AG799),(('PTRM input'!$L$167+'PTRM input'!$L$133)*$L$7)/A25taxstdlife))</f>
        <v>0</v>
      </c>
      <c r="AI799" s="590">
        <f>IF(A25taxstdlife="n/a","n/a",IF(AI$3&gt;(A25taxstdlife+$E799),(('PTRM input'!$L$167+'PTRM input'!$L$133)*$L$7)-SUM($L799:AH799),(('PTRM input'!$L$167+'PTRM input'!$L$133)*$L$7)/A25taxstdlife))</f>
        <v>0</v>
      </c>
      <c r="AJ799" s="590">
        <f>IF(A25taxstdlife="n/a","n/a",IF(AJ$3&gt;(A25taxstdlife+$E799),(('PTRM input'!$L$167+'PTRM input'!$L$133)*$L$7)-SUM($L799:AI799),(('PTRM input'!$L$167+'PTRM input'!$L$133)*$L$7)/A25taxstdlife))</f>
        <v>0</v>
      </c>
      <c r="AK799" s="590">
        <f>IF(A25taxstdlife="n/a","n/a",IF(AK$3&gt;(A25taxstdlife+$E799),(('PTRM input'!$L$167+'PTRM input'!$L$133)*$L$7)-SUM($L799:AJ799),(('PTRM input'!$L$167+'PTRM input'!$L$133)*$L$7)/A25taxstdlife))</f>
        <v>0</v>
      </c>
      <c r="AL799" s="590">
        <f>IF(A25taxstdlife="n/a","n/a",IF(AL$3&gt;(A25taxstdlife+$E799),(('PTRM input'!$L$167+'PTRM input'!$L$133)*$L$7)-SUM($L799:AK799),(('PTRM input'!$L$167+'PTRM input'!$L$133)*$L$7)/A25taxstdlife))</f>
        <v>0</v>
      </c>
      <c r="AM799" s="590">
        <f>IF(A25taxstdlife="n/a","n/a",IF(AM$3&gt;(A25taxstdlife+$E799),(('PTRM input'!$L$167+'PTRM input'!$L$133)*$L$7)-SUM($L799:AL799),(('PTRM input'!$L$167+'PTRM input'!$L$133)*$L$7)/A25taxstdlife))</f>
        <v>0</v>
      </c>
      <c r="AN799" s="590">
        <f>IF(A25taxstdlife="n/a","n/a",IF(AN$3&gt;(A25taxstdlife+$E799),(('PTRM input'!$L$167+'PTRM input'!$L$133)*$L$7)-SUM($L799:AM799),(('PTRM input'!$L$167+'PTRM input'!$L$133)*$L$7)/A25taxstdlife))</f>
        <v>0</v>
      </c>
      <c r="AO799" s="590">
        <f>IF(A25taxstdlife="n/a","n/a",IF(AO$3&gt;(A25taxstdlife+$E799),(('PTRM input'!$L$167+'PTRM input'!$L$133)*$L$7)-SUM($L799:AN799),(('PTRM input'!$L$167+'PTRM input'!$L$133)*$L$7)/A25taxstdlife))</f>
        <v>0</v>
      </c>
      <c r="AP799" s="590">
        <f>IF(A25taxstdlife="n/a","n/a",IF(AP$3&gt;(A25taxstdlife+$E799),(('PTRM input'!$L$167+'PTRM input'!$L$133)*$L$7)-SUM($L799:AO799),(('PTRM input'!$L$167+'PTRM input'!$L$133)*$L$7)/A25taxstdlife))</f>
        <v>0</v>
      </c>
      <c r="AQ799" s="590">
        <f>IF(A25taxstdlife="n/a","n/a",IF(AQ$3&gt;(A25taxstdlife+$E799),(('PTRM input'!$L$167+'PTRM input'!$L$133)*$L$7)-SUM($L799:AP799),(('PTRM input'!$L$167+'PTRM input'!$L$133)*$L$7)/A25taxstdlife))</f>
        <v>0</v>
      </c>
      <c r="AR799" s="590">
        <f>IF(A25taxstdlife="n/a","n/a",IF(AR$3&gt;(A25taxstdlife+$E799),(('PTRM input'!$L$167+'PTRM input'!$L$133)*$L$7)-SUM($L799:AQ799),(('PTRM input'!$L$167+'PTRM input'!$L$133)*$L$7)/A25taxstdlife))</f>
        <v>0</v>
      </c>
      <c r="AS799" s="590">
        <f>IF(A25taxstdlife="n/a","n/a",IF(AS$3&gt;(A25taxstdlife+$E799),(('PTRM input'!$L$167+'PTRM input'!$L$133)*$L$7)-SUM($L799:AR799),(('PTRM input'!$L$167+'PTRM input'!$L$133)*$L$7)/A25taxstdlife))</f>
        <v>0</v>
      </c>
      <c r="AT799" s="590">
        <f>IF(A25taxstdlife="n/a","n/a",IF(AT$3&gt;(A25taxstdlife+$E799),(('PTRM input'!$L$167+'PTRM input'!$L$133)*$L$7)-SUM($L799:AS799),(('PTRM input'!$L$167+'PTRM input'!$L$133)*$L$7)/A25taxstdlife))</f>
        <v>0</v>
      </c>
      <c r="AU799" s="590">
        <f>IF(A25taxstdlife="n/a","n/a",IF(AU$3&gt;(A25taxstdlife+$E799),(('PTRM input'!$L$167+'PTRM input'!$L$133)*$L$7)-SUM($L799:AT799),(('PTRM input'!$L$167+'PTRM input'!$L$133)*$L$7)/A25taxstdlife))</f>
        <v>0</v>
      </c>
      <c r="AV799" s="590">
        <f>IF(A25taxstdlife="n/a","n/a",IF(AV$3&gt;(A25taxstdlife+$E799),(('PTRM input'!$L$167+'PTRM input'!$L$133)*$L$7)-SUM($L799:AU799),(('PTRM input'!$L$167+'PTRM input'!$L$133)*$L$7)/A25taxstdlife))</f>
        <v>0</v>
      </c>
      <c r="AW799" s="590">
        <f>IF(A25taxstdlife="n/a","n/a",IF(AW$3&gt;(A25taxstdlife+$E799),(('PTRM input'!$L$167+'PTRM input'!$L$133)*$L$7)-SUM($L799:AV799),(('PTRM input'!$L$167+'PTRM input'!$L$133)*$L$7)/A25taxstdlife))</f>
        <v>0</v>
      </c>
      <c r="AX799" s="590">
        <f>IF(A25taxstdlife="n/a","n/a",IF(AX$3&gt;(A25taxstdlife+$E799),(('PTRM input'!$L$167+'PTRM input'!$L$133)*$L$7)-SUM($L799:AW799),(('PTRM input'!$L$167+'PTRM input'!$L$133)*$L$7)/A25taxstdlife))</f>
        <v>0</v>
      </c>
      <c r="AY799" s="590">
        <f>IF(A25taxstdlife="n/a","n/a",IF(AY$3&gt;(A25taxstdlife+$E799),(('PTRM input'!$L$167+'PTRM input'!$L$133)*$L$7)-SUM($L799:AX799),(('PTRM input'!$L$167+'PTRM input'!$L$133)*$L$7)/A25taxstdlife))</f>
        <v>0</v>
      </c>
      <c r="AZ799" s="590">
        <f>IF(A25taxstdlife="n/a","n/a",IF(AZ$3&gt;(A25taxstdlife+$E799),(('PTRM input'!$L$167+'PTRM input'!$L$133)*$L$7)-SUM($L799:AY799),(('PTRM input'!$L$167+'PTRM input'!$L$133)*$L$7)/A25taxstdlife))</f>
        <v>0</v>
      </c>
      <c r="BA799" s="590">
        <f>IF(A25taxstdlife="n/a","n/a",IF(BA$3&gt;(A25taxstdlife+$E799),(('PTRM input'!$L$167+'PTRM input'!$L$133)*$L$7)-SUM($L799:AZ799),(('PTRM input'!$L$167+'PTRM input'!$L$133)*$L$7)/A25taxstdlife))</f>
        <v>0</v>
      </c>
      <c r="BB799" s="590">
        <f>IF(A25taxstdlife="n/a","n/a",IF(BB$3&gt;(A25taxstdlife+$E799),(('PTRM input'!$L$167+'PTRM input'!$L$133)*$L$7)-SUM($L799:BA799),(('PTRM input'!$L$167+'PTRM input'!$L$133)*$L$7)/A25taxstdlife))</f>
        <v>0</v>
      </c>
      <c r="BC799" s="590">
        <f>IF(A25taxstdlife="n/a","n/a",IF(BC$3&gt;(A25taxstdlife+$E799),(('PTRM input'!$L$167+'PTRM input'!$L$133)*$L$7)-SUM($L799:BB799),(('PTRM input'!$L$167+'PTRM input'!$L$133)*$L$7)/A25taxstdlife))</f>
        <v>0</v>
      </c>
      <c r="BD799" s="590">
        <f>IF(A25taxstdlife="n/a","n/a",IF(BD$3&gt;(A25taxstdlife+$E799),(('PTRM input'!$L$167+'PTRM input'!$L$133)*$L$7)-SUM($L799:BC799),(('PTRM input'!$L$167+'PTRM input'!$L$133)*$L$7)/A25taxstdlife))</f>
        <v>0</v>
      </c>
      <c r="BE799" s="590">
        <f>IF(A25taxstdlife="n/a","n/a",IF(BE$3&gt;(A25taxstdlife+$E799),(('PTRM input'!$L$167+'PTRM input'!$L$133)*$L$7)-SUM($L799:BD799),(('PTRM input'!$L$167+'PTRM input'!$L$133)*$L$7)/A25taxstdlife))</f>
        <v>0</v>
      </c>
      <c r="BF799" s="590">
        <f>IF(A25taxstdlife="n/a","n/a",IF(BF$3&gt;(A25taxstdlife+$E799),(('PTRM input'!$L$167+'PTRM input'!$L$133)*$L$7)-SUM($L799:BE799),(('PTRM input'!$L$167+'PTRM input'!$L$133)*$L$7)/A25taxstdlife))</f>
        <v>0</v>
      </c>
      <c r="BG799" s="590">
        <f>IF(A25taxstdlife="n/a","n/a",IF(BG$3&gt;(A25taxstdlife+$E799),(('PTRM input'!$L$167+'PTRM input'!$L$133)*$L$7)-SUM($L799:BF799),(('PTRM input'!$L$167+'PTRM input'!$L$133)*$L$7)/A25taxstdlife))</f>
        <v>0</v>
      </c>
      <c r="BH799" s="590">
        <f>IF(A25taxstdlife="n/a","n/a",IF(BH$3&gt;(A25taxstdlife+$E799),(('PTRM input'!$L$167+'PTRM input'!$L$133)*$L$7)-SUM($L799:BG799),(('PTRM input'!$L$167+'PTRM input'!$L$133)*$L$7)/A25taxstdlife))</f>
        <v>0</v>
      </c>
      <c r="BI799" s="590">
        <f>IF(A25taxstdlife="n/a","n/a",IF(BI$3&gt;(A25taxstdlife+$E799),(('PTRM input'!$L$167+'PTRM input'!$L$133)*$L$7)-SUM($L799:BH799),(('PTRM input'!$L$167+'PTRM input'!$L$133)*$L$7)/A25taxstdlife))</f>
        <v>0</v>
      </c>
      <c r="BJ799" s="240"/>
      <c r="BK799" s="240"/>
      <c r="BL799" s="240"/>
      <c r="BM799" s="240"/>
    </row>
    <row r="800" spans="1:65" s="4" customFormat="1" hidden="1" outlineLevel="2">
      <c r="A800" s="240"/>
      <c r="B800" s="240"/>
      <c r="C800" s="595"/>
      <c r="D800" s="1618"/>
      <c r="E800" s="169">
        <v>7</v>
      </c>
      <c r="F800" s="35"/>
      <c r="G800" s="184"/>
      <c r="H800" s="186"/>
      <c r="I800" s="186"/>
      <c r="J800" s="186"/>
      <c r="K800" s="186"/>
      <c r="L800" s="186"/>
      <c r="M800" s="185"/>
      <c r="N800" s="107">
        <f>IF(A25taxstdlife="n/a","n/a",IF(N$3&gt;(A25taxstdlife+$E800),(('PTRM input'!$M$167+'PTRM input'!$M$133)*$M$7)-SUM($M800:M800),(('PTRM input'!$M$167+'PTRM input'!$M$133)*$M$7)/A25taxstdlife))</f>
        <v>0</v>
      </c>
      <c r="O800" s="107">
        <f>IF(A25taxstdlife="n/a","n/a",IF(O$3&gt;(A25taxstdlife+$E800),(('PTRM input'!$M$167+'PTRM input'!$M$133)*$M$7)-SUM($M800:N800),(('PTRM input'!$M$167+'PTRM input'!$M$133)*$M$7)/A25taxstdlife))</f>
        <v>0</v>
      </c>
      <c r="P800" s="107">
        <f>IF(A25taxstdlife="n/a","n/a",IF(P$3&gt;(A25taxstdlife+$E800),(('PTRM input'!$M$167+'PTRM input'!$M$133)*$M$7)-SUM($M800:O800),(('PTRM input'!$M$167+'PTRM input'!$M$133)*$M$7)/A25taxstdlife))</f>
        <v>0</v>
      </c>
      <c r="Q800" s="590">
        <f>IF(A25taxstdlife="n/a","n/a",IF(Q$3&gt;(A25taxstdlife+$E800),(('PTRM input'!$M$167+'PTRM input'!$M$133)*$M$7)-SUM($M800:P800),(('PTRM input'!$M$167+'PTRM input'!$M$133)*$M$7)/A25taxstdlife))</f>
        <v>0</v>
      </c>
      <c r="R800" s="590">
        <f>IF(A25taxstdlife="n/a","n/a",IF(R$3&gt;(A25taxstdlife+$E800),(('PTRM input'!$M$167+'PTRM input'!$M$133)*$M$7)-SUM($M800:Q800),(('PTRM input'!$M$167+'PTRM input'!$M$133)*$M$7)/A25taxstdlife))</f>
        <v>0</v>
      </c>
      <c r="S800" s="590">
        <f>IF(A25taxstdlife="n/a","n/a",IF(S$3&gt;(A25taxstdlife+$E800),(('PTRM input'!$M$167+'PTRM input'!$M$133)*$M$7)-SUM($M800:R800),(('PTRM input'!$M$167+'PTRM input'!$M$133)*$M$7)/A25taxstdlife))</f>
        <v>0</v>
      </c>
      <c r="T800" s="590">
        <f>IF(A25taxstdlife="n/a","n/a",IF(T$3&gt;(A25taxstdlife+$E800),(('PTRM input'!$M$167+'PTRM input'!$M$133)*$M$7)-SUM($M800:S800),(('PTRM input'!$M$167+'PTRM input'!$M$133)*$M$7)/A25taxstdlife))</f>
        <v>0</v>
      </c>
      <c r="U800" s="590">
        <f>IF(A25taxstdlife="n/a","n/a",IF(U$3&gt;(A25taxstdlife+$E800),(('PTRM input'!$M$167+'PTRM input'!$M$133)*$M$7)-SUM($M800:T800),(('PTRM input'!$M$167+'PTRM input'!$M$133)*$M$7)/A25taxstdlife))</f>
        <v>0</v>
      </c>
      <c r="V800" s="590">
        <f>IF(A25taxstdlife="n/a","n/a",IF(V$3&gt;(A25taxstdlife+$E800),(('PTRM input'!$M$167+'PTRM input'!$M$133)*$M$7)-SUM($M800:U800),(('PTRM input'!$M$167+'PTRM input'!$M$133)*$M$7)/A25taxstdlife))</f>
        <v>0</v>
      </c>
      <c r="W800" s="590">
        <f>IF(A25taxstdlife="n/a","n/a",IF(W$3&gt;(A25taxstdlife+$E800),(('PTRM input'!$M$167+'PTRM input'!$M$133)*$M$7)-SUM($M800:V800),(('PTRM input'!$M$167+'PTRM input'!$M$133)*$M$7)/A25taxstdlife))</f>
        <v>0</v>
      </c>
      <c r="X800" s="590">
        <f>IF(A25taxstdlife="n/a","n/a",IF(X$3&gt;(A25taxstdlife+$E800),(('PTRM input'!$M$167+'PTRM input'!$M$133)*$M$7)-SUM($M800:W800),(('PTRM input'!$M$167+'PTRM input'!$M$133)*$M$7)/A25taxstdlife))</f>
        <v>0</v>
      </c>
      <c r="Y800" s="590">
        <f>IF(A25taxstdlife="n/a","n/a",IF(Y$3&gt;(A25taxstdlife+$E800),(('PTRM input'!$M$167+'PTRM input'!$M$133)*$M$7)-SUM($M800:X800),(('PTRM input'!$M$167+'PTRM input'!$M$133)*$M$7)/A25taxstdlife))</f>
        <v>0</v>
      </c>
      <c r="Z800" s="590">
        <f>IF(A25taxstdlife="n/a","n/a",IF(Z$3&gt;(A25taxstdlife+$E800),(('PTRM input'!$M$167+'PTRM input'!$M$133)*$M$7)-SUM($M800:Y800),(('PTRM input'!$M$167+'PTRM input'!$M$133)*$M$7)/A25taxstdlife))</f>
        <v>0</v>
      </c>
      <c r="AA800" s="590">
        <f>IF(A25taxstdlife="n/a","n/a",IF(AA$3&gt;(A25taxstdlife+$E800),(('PTRM input'!$M$167+'PTRM input'!$M$133)*$M$7)-SUM($M800:Z800),(('PTRM input'!$M$167+'PTRM input'!$M$133)*$M$7)/A25taxstdlife))</f>
        <v>0</v>
      </c>
      <c r="AB800" s="590">
        <f>IF(A25taxstdlife="n/a","n/a",IF(AB$3&gt;(A25taxstdlife+$E800),(('PTRM input'!$M$167+'PTRM input'!$M$133)*$M$7)-SUM($M800:AA800),(('PTRM input'!$M$167+'PTRM input'!$M$133)*$M$7)/A25taxstdlife))</f>
        <v>0</v>
      </c>
      <c r="AC800" s="590">
        <f>IF(A25taxstdlife="n/a","n/a",IF(AC$3&gt;(A25taxstdlife+$E800),(('PTRM input'!$M$167+'PTRM input'!$M$133)*$M$7)-SUM($M800:AB800),(('PTRM input'!$M$167+'PTRM input'!$M$133)*$M$7)/A25taxstdlife))</f>
        <v>0</v>
      </c>
      <c r="AD800" s="590">
        <f>IF(A25taxstdlife="n/a","n/a",IF(AD$3&gt;(A25taxstdlife+$E800),(('PTRM input'!$M$167+'PTRM input'!$M$133)*$M$7)-SUM($M800:AC800),(('PTRM input'!$M$167+'PTRM input'!$M$133)*$M$7)/A25taxstdlife))</f>
        <v>0</v>
      </c>
      <c r="AE800" s="590">
        <f>IF(A25taxstdlife="n/a","n/a",IF(AE$3&gt;(A25taxstdlife+$E800),(('PTRM input'!$M$167+'PTRM input'!$M$133)*$M$7)-SUM($M800:AD800),(('PTRM input'!$M$167+'PTRM input'!$M$133)*$M$7)/A25taxstdlife))</f>
        <v>0</v>
      </c>
      <c r="AF800" s="590">
        <f>IF(A25taxstdlife="n/a","n/a",IF(AF$3&gt;(A25taxstdlife+$E800),(('PTRM input'!$M$167+'PTRM input'!$M$133)*$M$7)-SUM($M800:AE800),(('PTRM input'!$M$167+'PTRM input'!$M$133)*$M$7)/A25taxstdlife))</f>
        <v>0</v>
      </c>
      <c r="AG800" s="590">
        <f>IF(A25taxstdlife="n/a","n/a",IF(AG$3&gt;(A25taxstdlife+$E800),(('PTRM input'!$M$167+'PTRM input'!$M$133)*$M$7)-SUM($M800:AF800),(('PTRM input'!$M$167+'PTRM input'!$M$133)*$M$7)/A25taxstdlife))</f>
        <v>0</v>
      </c>
      <c r="AH800" s="590">
        <f>IF(A25taxstdlife="n/a","n/a",IF(AH$3&gt;(A25taxstdlife+$E800),(('PTRM input'!$M$167+'PTRM input'!$M$133)*$M$7)-SUM($M800:AG800),(('PTRM input'!$M$167+'PTRM input'!$M$133)*$M$7)/A25taxstdlife))</f>
        <v>0</v>
      </c>
      <c r="AI800" s="590">
        <f>IF(A25taxstdlife="n/a","n/a",IF(AI$3&gt;(A25taxstdlife+$E800),(('PTRM input'!$M$167+'PTRM input'!$M$133)*$M$7)-SUM($M800:AH800),(('PTRM input'!$M$167+'PTRM input'!$M$133)*$M$7)/A25taxstdlife))</f>
        <v>0</v>
      </c>
      <c r="AJ800" s="590">
        <f>IF(A25taxstdlife="n/a","n/a",IF(AJ$3&gt;(A25taxstdlife+$E800),(('PTRM input'!$M$167+'PTRM input'!$M$133)*$M$7)-SUM($M800:AI800),(('PTRM input'!$M$167+'PTRM input'!$M$133)*$M$7)/A25taxstdlife))</f>
        <v>0</v>
      </c>
      <c r="AK800" s="590">
        <f>IF(A25taxstdlife="n/a","n/a",IF(AK$3&gt;(A25taxstdlife+$E800),(('PTRM input'!$M$167+'PTRM input'!$M$133)*$M$7)-SUM($M800:AJ800),(('PTRM input'!$M$167+'PTRM input'!$M$133)*$M$7)/A25taxstdlife))</f>
        <v>0</v>
      </c>
      <c r="AL800" s="590">
        <f>IF(A25taxstdlife="n/a","n/a",IF(AL$3&gt;(A25taxstdlife+$E800),(('PTRM input'!$M$167+'PTRM input'!$M$133)*$M$7)-SUM($M800:AK800),(('PTRM input'!$M$167+'PTRM input'!$M$133)*$M$7)/A25taxstdlife))</f>
        <v>0</v>
      </c>
      <c r="AM800" s="590">
        <f>IF(A25taxstdlife="n/a","n/a",IF(AM$3&gt;(A25taxstdlife+$E800),(('PTRM input'!$M$167+'PTRM input'!$M$133)*$M$7)-SUM($M800:AL800),(('PTRM input'!$M$167+'PTRM input'!$M$133)*$M$7)/A25taxstdlife))</f>
        <v>0</v>
      </c>
      <c r="AN800" s="590">
        <f>IF(A25taxstdlife="n/a","n/a",IF(AN$3&gt;(A25taxstdlife+$E800),(('PTRM input'!$M$167+'PTRM input'!$M$133)*$M$7)-SUM($M800:AM800),(('PTRM input'!$M$167+'PTRM input'!$M$133)*$M$7)/A25taxstdlife))</f>
        <v>0</v>
      </c>
      <c r="AO800" s="590">
        <f>IF(A25taxstdlife="n/a","n/a",IF(AO$3&gt;(A25taxstdlife+$E800),(('PTRM input'!$M$167+'PTRM input'!$M$133)*$M$7)-SUM($M800:AN800),(('PTRM input'!$M$167+'PTRM input'!$M$133)*$M$7)/A25taxstdlife))</f>
        <v>0</v>
      </c>
      <c r="AP800" s="590">
        <f>IF(A25taxstdlife="n/a","n/a",IF(AP$3&gt;(A25taxstdlife+$E800),(('PTRM input'!$M$167+'PTRM input'!$M$133)*$M$7)-SUM($M800:AO800),(('PTRM input'!$M$167+'PTRM input'!$M$133)*$M$7)/A25taxstdlife))</f>
        <v>0</v>
      </c>
      <c r="AQ800" s="590">
        <f>IF(A25taxstdlife="n/a","n/a",IF(AQ$3&gt;(A25taxstdlife+$E800),(('PTRM input'!$M$167+'PTRM input'!$M$133)*$M$7)-SUM($M800:AP800),(('PTRM input'!$M$167+'PTRM input'!$M$133)*$M$7)/A25taxstdlife))</f>
        <v>0</v>
      </c>
      <c r="AR800" s="590">
        <f>IF(A25taxstdlife="n/a","n/a",IF(AR$3&gt;(A25taxstdlife+$E800),(('PTRM input'!$M$167+'PTRM input'!$M$133)*$M$7)-SUM($M800:AQ800),(('PTRM input'!$M$167+'PTRM input'!$M$133)*$M$7)/A25taxstdlife))</f>
        <v>0</v>
      </c>
      <c r="AS800" s="590">
        <f>IF(A25taxstdlife="n/a","n/a",IF(AS$3&gt;(A25taxstdlife+$E800),(('PTRM input'!$M$167+'PTRM input'!$M$133)*$M$7)-SUM($M800:AR800),(('PTRM input'!$M$167+'PTRM input'!$M$133)*$M$7)/A25taxstdlife))</f>
        <v>0</v>
      </c>
      <c r="AT800" s="590">
        <f>IF(A25taxstdlife="n/a","n/a",IF(AT$3&gt;(A25taxstdlife+$E800),(('PTRM input'!$M$167+'PTRM input'!$M$133)*$M$7)-SUM($M800:AS800),(('PTRM input'!$M$167+'PTRM input'!$M$133)*$M$7)/A25taxstdlife))</f>
        <v>0</v>
      </c>
      <c r="AU800" s="590">
        <f>IF(A25taxstdlife="n/a","n/a",IF(AU$3&gt;(A25taxstdlife+$E800),(('PTRM input'!$M$167+'PTRM input'!$M$133)*$M$7)-SUM($M800:AT800),(('PTRM input'!$M$167+'PTRM input'!$M$133)*$M$7)/A25taxstdlife))</f>
        <v>0</v>
      </c>
      <c r="AV800" s="590">
        <f>IF(A25taxstdlife="n/a","n/a",IF(AV$3&gt;(A25taxstdlife+$E800),(('PTRM input'!$M$167+'PTRM input'!$M$133)*$M$7)-SUM($M800:AU800),(('PTRM input'!$M$167+'PTRM input'!$M$133)*$M$7)/A25taxstdlife))</f>
        <v>0</v>
      </c>
      <c r="AW800" s="590">
        <f>IF(A25taxstdlife="n/a","n/a",IF(AW$3&gt;(A25taxstdlife+$E800),(('PTRM input'!$M$167+'PTRM input'!$M$133)*$M$7)-SUM($M800:AV800),(('PTRM input'!$M$167+'PTRM input'!$M$133)*$M$7)/A25taxstdlife))</f>
        <v>0</v>
      </c>
      <c r="AX800" s="590">
        <f>IF(A25taxstdlife="n/a","n/a",IF(AX$3&gt;(A25taxstdlife+$E800),(('PTRM input'!$M$167+'PTRM input'!$M$133)*$M$7)-SUM($M800:AW800),(('PTRM input'!$M$167+'PTRM input'!$M$133)*$M$7)/A25taxstdlife))</f>
        <v>0</v>
      </c>
      <c r="AY800" s="590">
        <f>IF(A25taxstdlife="n/a","n/a",IF(AY$3&gt;(A25taxstdlife+$E800),(('PTRM input'!$M$167+'PTRM input'!$M$133)*$M$7)-SUM($M800:AX800),(('PTRM input'!$M$167+'PTRM input'!$M$133)*$M$7)/A25taxstdlife))</f>
        <v>0</v>
      </c>
      <c r="AZ800" s="590">
        <f>IF(A25taxstdlife="n/a","n/a",IF(AZ$3&gt;(A25taxstdlife+$E800),(('PTRM input'!$M$167+'PTRM input'!$M$133)*$M$7)-SUM($M800:AY800),(('PTRM input'!$M$167+'PTRM input'!$M$133)*$M$7)/A25taxstdlife))</f>
        <v>0</v>
      </c>
      <c r="BA800" s="590">
        <f>IF(A25taxstdlife="n/a","n/a",IF(BA$3&gt;(A25taxstdlife+$E800),(('PTRM input'!$M$167+'PTRM input'!$M$133)*$M$7)-SUM($M800:AZ800),(('PTRM input'!$M$167+'PTRM input'!$M$133)*$M$7)/A25taxstdlife))</f>
        <v>0</v>
      </c>
      <c r="BB800" s="590">
        <f>IF(A25taxstdlife="n/a","n/a",IF(BB$3&gt;(A25taxstdlife+$E800),(('PTRM input'!$M$167+'PTRM input'!$M$133)*$M$7)-SUM($M800:BA800),(('PTRM input'!$M$167+'PTRM input'!$M$133)*$M$7)/A25taxstdlife))</f>
        <v>0</v>
      </c>
      <c r="BC800" s="590">
        <f>IF(A25taxstdlife="n/a","n/a",IF(BC$3&gt;(A25taxstdlife+$E800),(('PTRM input'!$M$167+'PTRM input'!$M$133)*$M$7)-SUM($M800:BB800),(('PTRM input'!$M$167+'PTRM input'!$M$133)*$M$7)/A25taxstdlife))</f>
        <v>0</v>
      </c>
      <c r="BD800" s="590">
        <f>IF(A25taxstdlife="n/a","n/a",IF(BD$3&gt;(A25taxstdlife+$E800),(('PTRM input'!$M$167+'PTRM input'!$M$133)*$M$7)-SUM($M800:BC800),(('PTRM input'!$M$167+'PTRM input'!$M$133)*$M$7)/A25taxstdlife))</f>
        <v>0</v>
      </c>
      <c r="BE800" s="590">
        <f>IF(A25taxstdlife="n/a","n/a",IF(BE$3&gt;(A25taxstdlife+$E800),(('PTRM input'!$M$167+'PTRM input'!$M$133)*$M$7)-SUM($M800:BD800),(('PTRM input'!$M$167+'PTRM input'!$M$133)*$M$7)/A25taxstdlife))</f>
        <v>0</v>
      </c>
      <c r="BF800" s="590">
        <f>IF(A25taxstdlife="n/a","n/a",IF(BF$3&gt;(A25taxstdlife+$E800),(('PTRM input'!$M$167+'PTRM input'!$M$133)*$M$7)-SUM($M800:BE800),(('PTRM input'!$M$167+'PTRM input'!$M$133)*$M$7)/A25taxstdlife))</f>
        <v>0</v>
      </c>
      <c r="BG800" s="590">
        <f>IF(A25taxstdlife="n/a","n/a",IF(BG$3&gt;(A25taxstdlife+$E800),(('PTRM input'!$M$167+'PTRM input'!$M$133)*$M$7)-SUM($M800:BF800),(('PTRM input'!$M$167+'PTRM input'!$M$133)*$M$7)/A25taxstdlife))</f>
        <v>0</v>
      </c>
      <c r="BH800" s="590">
        <f>IF(A25taxstdlife="n/a","n/a",IF(BH$3&gt;(A25taxstdlife+$E800),(('PTRM input'!$M$167+'PTRM input'!$M$133)*$M$7)-SUM($M800:BG800),(('PTRM input'!$M$167+'PTRM input'!$M$133)*$M$7)/A25taxstdlife))</f>
        <v>0</v>
      </c>
      <c r="BI800" s="590">
        <f>IF(A25taxstdlife="n/a","n/a",IF(BI$3&gt;(A25taxstdlife+$E800),(('PTRM input'!$M$167+'PTRM input'!$M$133)*$M$7)-SUM($M800:BH800),(('PTRM input'!$M$167+'PTRM input'!$M$133)*$M$7)/A25taxstdlife))</f>
        <v>0</v>
      </c>
      <c r="BJ800" s="240"/>
      <c r="BK800" s="240"/>
      <c r="BL800" s="240"/>
      <c r="BM800" s="240"/>
    </row>
    <row r="801" spans="1:65" s="4" customFormat="1" hidden="1" outlineLevel="2">
      <c r="A801" s="240"/>
      <c r="B801" s="240"/>
      <c r="C801" s="595"/>
      <c r="D801" s="1618"/>
      <c r="E801" s="169">
        <v>8</v>
      </c>
      <c r="F801" s="35"/>
      <c r="G801" s="184"/>
      <c r="H801" s="186"/>
      <c r="I801" s="186"/>
      <c r="J801" s="186"/>
      <c r="K801" s="186"/>
      <c r="L801" s="186"/>
      <c r="M801" s="186"/>
      <c r="N801" s="185"/>
      <c r="O801" s="107">
        <f>IF(A25taxstdlife="n/a","n/a",IF(O$3&gt;(A25taxstdlife+$E801),(('PTRM input'!$N$167+'PTRM input'!$N$133)*$N$7)-SUM($N801:N801),(('PTRM input'!$N$167+'PTRM input'!$N$133)*$N$7)/A25taxstdlife))</f>
        <v>0</v>
      </c>
      <c r="P801" s="107">
        <f>IF(A25taxstdlife="n/a","n/a",IF(P$3&gt;(A25taxstdlife+$E801),(('PTRM input'!$N$167+'PTRM input'!$N$133)*$N$7)-SUM($N801:O801),(('PTRM input'!$N$167+'PTRM input'!$N$133)*$N$7)/A25taxstdlife))</f>
        <v>0</v>
      </c>
      <c r="Q801" s="590">
        <f>IF(A25taxstdlife="n/a","n/a",IF(Q$3&gt;(A25taxstdlife+$E801),(('PTRM input'!$N$167+'PTRM input'!$N$133)*$N$7)-SUM($N801:P801),(('PTRM input'!$N$167+'PTRM input'!$N$133)*$N$7)/A25taxstdlife))</f>
        <v>0</v>
      </c>
      <c r="R801" s="590">
        <f>IF(A25taxstdlife="n/a","n/a",IF(R$3&gt;(A25taxstdlife+$E801),(('PTRM input'!$N$167+'PTRM input'!$N$133)*$N$7)-SUM($N801:Q801),(('PTRM input'!$N$167+'PTRM input'!$N$133)*$N$7)/A25taxstdlife))</f>
        <v>0</v>
      </c>
      <c r="S801" s="590">
        <f>IF(A25taxstdlife="n/a","n/a",IF(S$3&gt;(A25taxstdlife+$E801),(('PTRM input'!$N$167+'PTRM input'!$N$133)*$N$7)-SUM($N801:R801),(('PTRM input'!$N$167+'PTRM input'!$N$133)*$N$7)/A25taxstdlife))</f>
        <v>0</v>
      </c>
      <c r="T801" s="590">
        <f>IF(A25taxstdlife="n/a","n/a",IF(T$3&gt;(A25taxstdlife+$E801),(('PTRM input'!$N$167+'PTRM input'!$N$133)*$N$7)-SUM($N801:S801),(('PTRM input'!$N$167+'PTRM input'!$N$133)*$N$7)/A25taxstdlife))</f>
        <v>0</v>
      </c>
      <c r="U801" s="590">
        <f>IF(A25taxstdlife="n/a","n/a",IF(U$3&gt;(A25taxstdlife+$E801),(('PTRM input'!$N$167+'PTRM input'!$N$133)*$N$7)-SUM($N801:T801),(('PTRM input'!$N$167+'PTRM input'!$N$133)*$N$7)/A25taxstdlife))</f>
        <v>0</v>
      </c>
      <c r="V801" s="590">
        <f>IF(A25taxstdlife="n/a","n/a",IF(V$3&gt;(A25taxstdlife+$E801),(('PTRM input'!$N$167+'PTRM input'!$N$133)*$N$7)-SUM($N801:U801),(('PTRM input'!$N$167+'PTRM input'!$N$133)*$N$7)/A25taxstdlife))</f>
        <v>0</v>
      </c>
      <c r="W801" s="590">
        <f>IF(A25taxstdlife="n/a","n/a",IF(W$3&gt;(A25taxstdlife+$E801),(('PTRM input'!$N$167+'PTRM input'!$N$133)*$N$7)-SUM($N801:V801),(('PTRM input'!$N$167+'PTRM input'!$N$133)*$N$7)/A25taxstdlife))</f>
        <v>0</v>
      </c>
      <c r="X801" s="590">
        <f>IF(A25taxstdlife="n/a","n/a",IF(X$3&gt;(A25taxstdlife+$E801),(('PTRM input'!$N$167+'PTRM input'!$N$133)*$N$7)-SUM($N801:W801),(('PTRM input'!$N$167+'PTRM input'!$N$133)*$N$7)/A25taxstdlife))</f>
        <v>0</v>
      </c>
      <c r="Y801" s="590">
        <f>IF(A25taxstdlife="n/a","n/a",IF(Y$3&gt;(A25taxstdlife+$E801),(('PTRM input'!$N$167+'PTRM input'!$N$133)*$N$7)-SUM($N801:X801),(('PTRM input'!$N$167+'PTRM input'!$N$133)*$N$7)/A25taxstdlife))</f>
        <v>0</v>
      </c>
      <c r="Z801" s="590">
        <f>IF(A25taxstdlife="n/a","n/a",IF(Z$3&gt;(A25taxstdlife+$E801),(('PTRM input'!$N$167+'PTRM input'!$N$133)*$N$7)-SUM($N801:Y801),(('PTRM input'!$N$167+'PTRM input'!$N$133)*$N$7)/A25taxstdlife))</f>
        <v>0</v>
      </c>
      <c r="AA801" s="590">
        <f>IF(A25taxstdlife="n/a","n/a",IF(AA$3&gt;(A25taxstdlife+$E801),(('PTRM input'!$N$167+'PTRM input'!$N$133)*$N$7)-SUM($N801:Z801),(('PTRM input'!$N$167+'PTRM input'!$N$133)*$N$7)/A25taxstdlife))</f>
        <v>0</v>
      </c>
      <c r="AB801" s="590">
        <f>IF(A25taxstdlife="n/a","n/a",IF(AB$3&gt;(A25taxstdlife+$E801),(('PTRM input'!$N$167+'PTRM input'!$N$133)*$N$7)-SUM($N801:AA801),(('PTRM input'!$N$167+'PTRM input'!$N$133)*$N$7)/A25taxstdlife))</f>
        <v>0</v>
      </c>
      <c r="AC801" s="590">
        <f>IF(A25taxstdlife="n/a","n/a",IF(AC$3&gt;(A25taxstdlife+$E801),(('PTRM input'!$N$167+'PTRM input'!$N$133)*$N$7)-SUM($N801:AB801),(('PTRM input'!$N$167+'PTRM input'!$N$133)*$N$7)/A25taxstdlife))</f>
        <v>0</v>
      </c>
      <c r="AD801" s="590">
        <f>IF(A25taxstdlife="n/a","n/a",IF(AD$3&gt;(A25taxstdlife+$E801),(('PTRM input'!$N$167+'PTRM input'!$N$133)*$N$7)-SUM($N801:AC801),(('PTRM input'!$N$167+'PTRM input'!$N$133)*$N$7)/A25taxstdlife))</f>
        <v>0</v>
      </c>
      <c r="AE801" s="590">
        <f>IF(A25taxstdlife="n/a","n/a",IF(AE$3&gt;(A25taxstdlife+$E801),(('PTRM input'!$N$167+'PTRM input'!$N$133)*$N$7)-SUM($N801:AD801),(('PTRM input'!$N$167+'PTRM input'!$N$133)*$N$7)/A25taxstdlife))</f>
        <v>0</v>
      </c>
      <c r="AF801" s="590">
        <f>IF(A25taxstdlife="n/a","n/a",IF(AF$3&gt;(A25taxstdlife+$E801),(('PTRM input'!$N$167+'PTRM input'!$N$133)*$N$7)-SUM($N801:AE801),(('PTRM input'!$N$167+'PTRM input'!$N$133)*$N$7)/A25taxstdlife))</f>
        <v>0</v>
      </c>
      <c r="AG801" s="590">
        <f>IF(A25taxstdlife="n/a","n/a",IF(AG$3&gt;(A25taxstdlife+$E801),(('PTRM input'!$N$167+'PTRM input'!$N$133)*$N$7)-SUM($N801:AF801),(('PTRM input'!$N$167+'PTRM input'!$N$133)*$N$7)/A25taxstdlife))</f>
        <v>0</v>
      </c>
      <c r="AH801" s="590">
        <f>IF(A25taxstdlife="n/a","n/a",IF(AH$3&gt;(A25taxstdlife+$E801),(('PTRM input'!$N$167+'PTRM input'!$N$133)*$N$7)-SUM($N801:AG801),(('PTRM input'!$N$167+'PTRM input'!$N$133)*$N$7)/A25taxstdlife))</f>
        <v>0</v>
      </c>
      <c r="AI801" s="590">
        <f>IF(A25taxstdlife="n/a","n/a",IF(AI$3&gt;(A25taxstdlife+$E801),(('PTRM input'!$N$167+'PTRM input'!$N$133)*$N$7)-SUM($N801:AH801),(('PTRM input'!$N$167+'PTRM input'!$N$133)*$N$7)/A25taxstdlife))</f>
        <v>0</v>
      </c>
      <c r="AJ801" s="590">
        <f>IF(A25taxstdlife="n/a","n/a",IF(AJ$3&gt;(A25taxstdlife+$E801),(('PTRM input'!$N$167+'PTRM input'!$N$133)*$N$7)-SUM($N801:AI801),(('PTRM input'!$N$167+'PTRM input'!$N$133)*$N$7)/A25taxstdlife))</f>
        <v>0</v>
      </c>
      <c r="AK801" s="590">
        <f>IF(A25taxstdlife="n/a","n/a",IF(AK$3&gt;(A25taxstdlife+$E801),(('PTRM input'!$N$167+'PTRM input'!$N$133)*$N$7)-SUM($N801:AJ801),(('PTRM input'!$N$167+'PTRM input'!$N$133)*$N$7)/A25taxstdlife))</f>
        <v>0</v>
      </c>
      <c r="AL801" s="590">
        <f>IF(A25taxstdlife="n/a","n/a",IF(AL$3&gt;(A25taxstdlife+$E801),(('PTRM input'!$N$167+'PTRM input'!$N$133)*$N$7)-SUM($N801:AK801),(('PTRM input'!$N$167+'PTRM input'!$N$133)*$N$7)/A25taxstdlife))</f>
        <v>0</v>
      </c>
      <c r="AM801" s="590">
        <f>IF(A25taxstdlife="n/a","n/a",IF(AM$3&gt;(A25taxstdlife+$E801),(('PTRM input'!$N$167+'PTRM input'!$N$133)*$N$7)-SUM($N801:AL801),(('PTRM input'!$N$167+'PTRM input'!$N$133)*$N$7)/A25taxstdlife))</f>
        <v>0</v>
      </c>
      <c r="AN801" s="590">
        <f>IF(A25taxstdlife="n/a","n/a",IF(AN$3&gt;(A25taxstdlife+$E801),(('PTRM input'!$N$167+'PTRM input'!$N$133)*$N$7)-SUM($N801:AM801),(('PTRM input'!$N$167+'PTRM input'!$N$133)*$N$7)/A25taxstdlife))</f>
        <v>0</v>
      </c>
      <c r="AO801" s="590">
        <f>IF(A25taxstdlife="n/a","n/a",IF(AO$3&gt;(A25taxstdlife+$E801),(('PTRM input'!$N$167+'PTRM input'!$N$133)*$N$7)-SUM($N801:AN801),(('PTRM input'!$N$167+'PTRM input'!$N$133)*$N$7)/A25taxstdlife))</f>
        <v>0</v>
      </c>
      <c r="AP801" s="590">
        <f>IF(A25taxstdlife="n/a","n/a",IF(AP$3&gt;(A25taxstdlife+$E801),(('PTRM input'!$N$167+'PTRM input'!$N$133)*$N$7)-SUM($N801:AO801),(('PTRM input'!$N$167+'PTRM input'!$N$133)*$N$7)/A25taxstdlife))</f>
        <v>0</v>
      </c>
      <c r="AQ801" s="590">
        <f>IF(A25taxstdlife="n/a","n/a",IF(AQ$3&gt;(A25taxstdlife+$E801),(('PTRM input'!$N$167+'PTRM input'!$N$133)*$N$7)-SUM($N801:AP801),(('PTRM input'!$N$167+'PTRM input'!$N$133)*$N$7)/A25taxstdlife))</f>
        <v>0</v>
      </c>
      <c r="AR801" s="590">
        <f>IF(A25taxstdlife="n/a","n/a",IF(AR$3&gt;(A25taxstdlife+$E801),(('PTRM input'!$N$167+'PTRM input'!$N$133)*$N$7)-SUM($N801:AQ801),(('PTRM input'!$N$167+'PTRM input'!$N$133)*$N$7)/A25taxstdlife))</f>
        <v>0</v>
      </c>
      <c r="AS801" s="590">
        <f>IF(A25taxstdlife="n/a","n/a",IF(AS$3&gt;(A25taxstdlife+$E801),(('PTRM input'!$N$167+'PTRM input'!$N$133)*$N$7)-SUM($N801:AR801),(('PTRM input'!$N$167+'PTRM input'!$N$133)*$N$7)/A25taxstdlife))</f>
        <v>0</v>
      </c>
      <c r="AT801" s="590">
        <f>IF(A25taxstdlife="n/a","n/a",IF(AT$3&gt;(A25taxstdlife+$E801),(('PTRM input'!$N$167+'PTRM input'!$N$133)*$N$7)-SUM($N801:AS801),(('PTRM input'!$N$167+'PTRM input'!$N$133)*$N$7)/A25taxstdlife))</f>
        <v>0</v>
      </c>
      <c r="AU801" s="590">
        <f>IF(A25taxstdlife="n/a","n/a",IF(AU$3&gt;(A25taxstdlife+$E801),(('PTRM input'!$N$167+'PTRM input'!$N$133)*$N$7)-SUM($N801:AT801),(('PTRM input'!$N$167+'PTRM input'!$N$133)*$N$7)/A25taxstdlife))</f>
        <v>0</v>
      </c>
      <c r="AV801" s="590">
        <f>IF(A25taxstdlife="n/a","n/a",IF(AV$3&gt;(A25taxstdlife+$E801),(('PTRM input'!$N$167+'PTRM input'!$N$133)*$N$7)-SUM($N801:AU801),(('PTRM input'!$N$167+'PTRM input'!$N$133)*$N$7)/A25taxstdlife))</f>
        <v>0</v>
      </c>
      <c r="AW801" s="590">
        <f>IF(A25taxstdlife="n/a","n/a",IF(AW$3&gt;(A25taxstdlife+$E801),(('PTRM input'!$N$167+'PTRM input'!$N$133)*$N$7)-SUM($N801:AV801),(('PTRM input'!$N$167+'PTRM input'!$N$133)*$N$7)/A25taxstdlife))</f>
        <v>0</v>
      </c>
      <c r="AX801" s="590">
        <f>IF(A25taxstdlife="n/a","n/a",IF(AX$3&gt;(A25taxstdlife+$E801),(('PTRM input'!$N$167+'PTRM input'!$N$133)*$N$7)-SUM($N801:AW801),(('PTRM input'!$N$167+'PTRM input'!$N$133)*$N$7)/A25taxstdlife))</f>
        <v>0</v>
      </c>
      <c r="AY801" s="590">
        <f>IF(A25taxstdlife="n/a","n/a",IF(AY$3&gt;(A25taxstdlife+$E801),(('PTRM input'!$N$167+'PTRM input'!$N$133)*$N$7)-SUM($N801:AX801),(('PTRM input'!$N$167+'PTRM input'!$N$133)*$N$7)/A25taxstdlife))</f>
        <v>0</v>
      </c>
      <c r="AZ801" s="590">
        <f>IF(A25taxstdlife="n/a","n/a",IF(AZ$3&gt;(A25taxstdlife+$E801),(('PTRM input'!$N$167+'PTRM input'!$N$133)*$N$7)-SUM($N801:AY801),(('PTRM input'!$N$167+'PTRM input'!$N$133)*$N$7)/A25taxstdlife))</f>
        <v>0</v>
      </c>
      <c r="BA801" s="590">
        <f>IF(A25taxstdlife="n/a","n/a",IF(BA$3&gt;(A25taxstdlife+$E801),(('PTRM input'!$N$167+'PTRM input'!$N$133)*$N$7)-SUM($N801:AZ801),(('PTRM input'!$N$167+'PTRM input'!$N$133)*$N$7)/A25taxstdlife))</f>
        <v>0</v>
      </c>
      <c r="BB801" s="590">
        <f>IF(A25taxstdlife="n/a","n/a",IF(BB$3&gt;(A25taxstdlife+$E801),(('PTRM input'!$N$167+'PTRM input'!$N$133)*$N$7)-SUM($N801:BA801),(('PTRM input'!$N$167+'PTRM input'!$N$133)*$N$7)/A25taxstdlife))</f>
        <v>0</v>
      </c>
      <c r="BC801" s="590">
        <f>IF(A25taxstdlife="n/a","n/a",IF(BC$3&gt;(A25taxstdlife+$E801),(('PTRM input'!$N$167+'PTRM input'!$N$133)*$N$7)-SUM($N801:BB801),(('PTRM input'!$N$167+'PTRM input'!$N$133)*$N$7)/A25taxstdlife))</f>
        <v>0</v>
      </c>
      <c r="BD801" s="590">
        <f>IF(A25taxstdlife="n/a","n/a",IF(BD$3&gt;(A25taxstdlife+$E801),(('PTRM input'!$N$167+'PTRM input'!$N$133)*$N$7)-SUM($N801:BC801),(('PTRM input'!$N$167+'PTRM input'!$N$133)*$N$7)/A25taxstdlife))</f>
        <v>0</v>
      </c>
      <c r="BE801" s="590">
        <f>IF(A25taxstdlife="n/a","n/a",IF(BE$3&gt;(A25taxstdlife+$E801),(('PTRM input'!$N$167+'PTRM input'!$N$133)*$N$7)-SUM($N801:BD801),(('PTRM input'!$N$167+'PTRM input'!$N$133)*$N$7)/A25taxstdlife))</f>
        <v>0</v>
      </c>
      <c r="BF801" s="590">
        <f>IF(A25taxstdlife="n/a","n/a",IF(BF$3&gt;(A25taxstdlife+$E801),(('PTRM input'!$N$167+'PTRM input'!$N$133)*$N$7)-SUM($N801:BE801),(('PTRM input'!$N$167+'PTRM input'!$N$133)*$N$7)/A25taxstdlife))</f>
        <v>0</v>
      </c>
      <c r="BG801" s="590">
        <f>IF(A25taxstdlife="n/a","n/a",IF(BG$3&gt;(A25taxstdlife+$E801),(('PTRM input'!$N$167+'PTRM input'!$N$133)*$N$7)-SUM($N801:BF801),(('PTRM input'!$N$167+'PTRM input'!$N$133)*$N$7)/A25taxstdlife))</f>
        <v>0</v>
      </c>
      <c r="BH801" s="590">
        <f>IF(A25taxstdlife="n/a","n/a",IF(BH$3&gt;(A25taxstdlife+$E801),(('PTRM input'!$N$167+'PTRM input'!$N$133)*$N$7)-SUM($N801:BG801),(('PTRM input'!$N$167+'PTRM input'!$N$133)*$N$7)/A25taxstdlife))</f>
        <v>0</v>
      </c>
      <c r="BI801" s="590">
        <f>IF(A25taxstdlife="n/a","n/a",IF(BI$3&gt;(A25taxstdlife+$E801),(('PTRM input'!$N$167+'PTRM input'!$N$133)*$N$7)-SUM($N801:BH801),(('PTRM input'!$N$167+'PTRM input'!$N$133)*$N$7)/A25taxstdlife))</f>
        <v>0</v>
      </c>
      <c r="BJ801" s="240"/>
      <c r="BK801" s="240"/>
      <c r="BL801" s="240"/>
      <c r="BM801" s="240"/>
    </row>
    <row r="802" spans="1:65" s="4" customFormat="1" hidden="1" outlineLevel="2">
      <c r="A802" s="240"/>
      <c r="B802" s="240"/>
      <c r="C802" s="595"/>
      <c r="D802" s="1618"/>
      <c r="E802" s="169">
        <v>9</v>
      </c>
      <c r="F802" s="35"/>
      <c r="G802" s="184"/>
      <c r="H802" s="186"/>
      <c r="I802" s="186"/>
      <c r="J802" s="186"/>
      <c r="K802" s="186"/>
      <c r="L802" s="186"/>
      <c r="M802" s="186"/>
      <c r="N802" s="186"/>
      <c r="O802" s="185"/>
      <c r="P802" s="107">
        <f>IF(A25taxstdlife="n/a","n/a",IF(P$3&gt;(A25taxstdlife+$E802),(('PTRM input'!$O$167+'PTRM input'!$O$133)*$O$7)-SUM($O802:O802),(('PTRM input'!$O$167+'PTRM input'!$O$133)*$O$7)/A25taxstdlife))</f>
        <v>0</v>
      </c>
      <c r="Q802" s="590">
        <f>IF(A25taxstdlife="n/a","n/a",IF(Q$3&gt;(A25taxstdlife+$E802),(('PTRM input'!$O$167+'PTRM input'!$O$133)*$O$7)-SUM($O802:P802),(('PTRM input'!$O$167+'PTRM input'!$O$133)*$O$7)/A25taxstdlife))</f>
        <v>0</v>
      </c>
      <c r="R802" s="590">
        <f>IF(A25taxstdlife="n/a","n/a",IF(R$3&gt;(A25taxstdlife+$E802),(('PTRM input'!$O$167+'PTRM input'!$O$133)*$O$7)-SUM($O802:Q802),(('PTRM input'!$O$167+'PTRM input'!$O$133)*$O$7)/A25taxstdlife))</f>
        <v>0</v>
      </c>
      <c r="S802" s="590">
        <f>IF(A25taxstdlife="n/a","n/a",IF(S$3&gt;(A25taxstdlife+$E802),(('PTRM input'!$O$167+'PTRM input'!$O$133)*$O$7)-SUM($O802:R802),(('PTRM input'!$O$167+'PTRM input'!$O$133)*$O$7)/A25taxstdlife))</f>
        <v>0</v>
      </c>
      <c r="T802" s="590">
        <f>IF(A25taxstdlife="n/a","n/a",IF(T$3&gt;(A25taxstdlife+$E802),(('PTRM input'!$O$167+'PTRM input'!$O$133)*$O$7)-SUM($O802:S802),(('PTRM input'!$O$167+'PTRM input'!$O$133)*$O$7)/A25taxstdlife))</f>
        <v>0</v>
      </c>
      <c r="U802" s="590">
        <f>IF(A25taxstdlife="n/a","n/a",IF(U$3&gt;(A25taxstdlife+$E802),(('PTRM input'!$O$167+'PTRM input'!$O$133)*$O$7)-SUM($O802:T802),(('PTRM input'!$O$167+'PTRM input'!$O$133)*$O$7)/A25taxstdlife))</f>
        <v>0</v>
      </c>
      <c r="V802" s="590">
        <f>IF(A25taxstdlife="n/a","n/a",IF(V$3&gt;(A25taxstdlife+$E802),(('PTRM input'!$O$167+'PTRM input'!$O$133)*$O$7)-SUM($O802:U802),(('PTRM input'!$O$167+'PTRM input'!$O$133)*$O$7)/A25taxstdlife))</f>
        <v>0</v>
      </c>
      <c r="W802" s="590">
        <f>IF(A25taxstdlife="n/a","n/a",IF(W$3&gt;(A25taxstdlife+$E802),(('PTRM input'!$O$167+'PTRM input'!$O$133)*$O$7)-SUM($O802:V802),(('PTRM input'!$O$167+'PTRM input'!$O$133)*$O$7)/A25taxstdlife))</f>
        <v>0</v>
      </c>
      <c r="X802" s="590">
        <f>IF(A25taxstdlife="n/a","n/a",IF(X$3&gt;(A25taxstdlife+$E802),(('PTRM input'!$O$167+'PTRM input'!$O$133)*$O$7)-SUM($O802:W802),(('PTRM input'!$O$167+'PTRM input'!$O$133)*$O$7)/A25taxstdlife))</f>
        <v>0</v>
      </c>
      <c r="Y802" s="590">
        <f>IF(A25taxstdlife="n/a","n/a",IF(Y$3&gt;(A25taxstdlife+$E802),(('PTRM input'!$O$167+'PTRM input'!$O$133)*$O$7)-SUM($O802:X802),(('PTRM input'!$O$167+'PTRM input'!$O$133)*$O$7)/A25taxstdlife))</f>
        <v>0</v>
      </c>
      <c r="Z802" s="590">
        <f>IF(A25taxstdlife="n/a","n/a",IF(Z$3&gt;(A25taxstdlife+$E802),(('PTRM input'!$O$167+'PTRM input'!$O$133)*$O$7)-SUM($O802:Y802),(('PTRM input'!$O$167+'PTRM input'!$O$133)*$O$7)/A25taxstdlife))</f>
        <v>0</v>
      </c>
      <c r="AA802" s="590">
        <f>IF(A25taxstdlife="n/a","n/a",IF(AA$3&gt;(A25taxstdlife+$E802),(('PTRM input'!$O$167+'PTRM input'!$O$133)*$O$7)-SUM($O802:Z802),(('PTRM input'!$O$167+'PTRM input'!$O$133)*$O$7)/A25taxstdlife))</f>
        <v>0</v>
      </c>
      <c r="AB802" s="590">
        <f>IF(A25taxstdlife="n/a","n/a",IF(AB$3&gt;(A25taxstdlife+$E802),(('PTRM input'!$O$167+'PTRM input'!$O$133)*$O$7)-SUM($O802:AA802),(('PTRM input'!$O$167+'PTRM input'!$O$133)*$O$7)/A25taxstdlife))</f>
        <v>0</v>
      </c>
      <c r="AC802" s="590">
        <f>IF(A25taxstdlife="n/a","n/a",IF(AC$3&gt;(A25taxstdlife+$E802),(('PTRM input'!$O$167+'PTRM input'!$O$133)*$O$7)-SUM($O802:AB802),(('PTRM input'!$O$167+'PTRM input'!$O$133)*$O$7)/A25taxstdlife))</f>
        <v>0</v>
      </c>
      <c r="AD802" s="590">
        <f>IF(A25taxstdlife="n/a","n/a",IF(AD$3&gt;(A25taxstdlife+$E802),(('PTRM input'!$O$167+'PTRM input'!$O$133)*$O$7)-SUM($O802:AC802),(('PTRM input'!$O$167+'PTRM input'!$O$133)*$O$7)/A25taxstdlife))</f>
        <v>0</v>
      </c>
      <c r="AE802" s="590">
        <f>IF(A25taxstdlife="n/a","n/a",IF(AE$3&gt;(A25taxstdlife+$E802),(('PTRM input'!$O$167+'PTRM input'!$O$133)*$O$7)-SUM($O802:AD802),(('PTRM input'!$O$167+'PTRM input'!$O$133)*$O$7)/A25taxstdlife))</f>
        <v>0</v>
      </c>
      <c r="AF802" s="590">
        <f>IF(A25taxstdlife="n/a","n/a",IF(AF$3&gt;(A25taxstdlife+$E802),(('PTRM input'!$O$167+'PTRM input'!$O$133)*$O$7)-SUM($O802:AE802),(('PTRM input'!$O$167+'PTRM input'!$O$133)*$O$7)/A25taxstdlife))</f>
        <v>0</v>
      </c>
      <c r="AG802" s="590">
        <f>IF(A25taxstdlife="n/a","n/a",IF(AG$3&gt;(A25taxstdlife+$E802),(('PTRM input'!$O$167+'PTRM input'!$O$133)*$O$7)-SUM($O802:AF802),(('PTRM input'!$O$167+'PTRM input'!$O$133)*$O$7)/A25taxstdlife))</f>
        <v>0</v>
      </c>
      <c r="AH802" s="590">
        <f>IF(A25taxstdlife="n/a","n/a",IF(AH$3&gt;(A25taxstdlife+$E802),(('PTRM input'!$O$167+'PTRM input'!$O$133)*$O$7)-SUM($O802:AG802),(('PTRM input'!$O$167+'PTRM input'!$O$133)*$O$7)/A25taxstdlife))</f>
        <v>0</v>
      </c>
      <c r="AI802" s="590">
        <f>IF(A25taxstdlife="n/a","n/a",IF(AI$3&gt;(A25taxstdlife+$E802),(('PTRM input'!$O$167+'PTRM input'!$O$133)*$O$7)-SUM($O802:AH802),(('PTRM input'!$O$167+'PTRM input'!$O$133)*$O$7)/A25taxstdlife))</f>
        <v>0</v>
      </c>
      <c r="AJ802" s="590">
        <f>IF(A25taxstdlife="n/a","n/a",IF(AJ$3&gt;(A25taxstdlife+$E802),(('PTRM input'!$O$167+'PTRM input'!$O$133)*$O$7)-SUM($O802:AI802),(('PTRM input'!$O$167+'PTRM input'!$O$133)*$O$7)/A25taxstdlife))</f>
        <v>0</v>
      </c>
      <c r="AK802" s="590">
        <f>IF(A25taxstdlife="n/a","n/a",IF(AK$3&gt;(A25taxstdlife+$E802),(('PTRM input'!$O$167+'PTRM input'!$O$133)*$O$7)-SUM($O802:AJ802),(('PTRM input'!$O$167+'PTRM input'!$O$133)*$O$7)/A25taxstdlife))</f>
        <v>0</v>
      </c>
      <c r="AL802" s="590">
        <f>IF(A25taxstdlife="n/a","n/a",IF(AL$3&gt;(A25taxstdlife+$E802),(('PTRM input'!$O$167+'PTRM input'!$O$133)*$O$7)-SUM($O802:AK802),(('PTRM input'!$O$167+'PTRM input'!$O$133)*$O$7)/A25taxstdlife))</f>
        <v>0</v>
      </c>
      <c r="AM802" s="590">
        <f>IF(A25taxstdlife="n/a","n/a",IF(AM$3&gt;(A25taxstdlife+$E802),(('PTRM input'!$O$167+'PTRM input'!$O$133)*$O$7)-SUM($O802:AL802),(('PTRM input'!$O$167+'PTRM input'!$O$133)*$O$7)/A25taxstdlife))</f>
        <v>0</v>
      </c>
      <c r="AN802" s="590">
        <f>IF(A25taxstdlife="n/a","n/a",IF(AN$3&gt;(A25taxstdlife+$E802),(('PTRM input'!$O$167+'PTRM input'!$O$133)*$O$7)-SUM($O802:AM802),(('PTRM input'!$O$167+'PTRM input'!$O$133)*$O$7)/A25taxstdlife))</f>
        <v>0</v>
      </c>
      <c r="AO802" s="590">
        <f>IF(A25taxstdlife="n/a","n/a",IF(AO$3&gt;(A25taxstdlife+$E802),(('PTRM input'!$O$167+'PTRM input'!$O$133)*$O$7)-SUM($O802:AN802),(('PTRM input'!$O$167+'PTRM input'!$O$133)*$O$7)/A25taxstdlife))</f>
        <v>0</v>
      </c>
      <c r="AP802" s="590">
        <f>IF(A25taxstdlife="n/a","n/a",IF(AP$3&gt;(A25taxstdlife+$E802),(('PTRM input'!$O$167+'PTRM input'!$O$133)*$O$7)-SUM($O802:AO802),(('PTRM input'!$O$167+'PTRM input'!$O$133)*$O$7)/A25taxstdlife))</f>
        <v>0</v>
      </c>
      <c r="AQ802" s="590">
        <f>IF(A25taxstdlife="n/a","n/a",IF(AQ$3&gt;(A25taxstdlife+$E802),(('PTRM input'!$O$167+'PTRM input'!$O$133)*$O$7)-SUM($O802:AP802),(('PTRM input'!$O$167+'PTRM input'!$O$133)*$O$7)/A25taxstdlife))</f>
        <v>0</v>
      </c>
      <c r="AR802" s="590">
        <f>IF(A25taxstdlife="n/a","n/a",IF(AR$3&gt;(A25taxstdlife+$E802),(('PTRM input'!$O$167+'PTRM input'!$O$133)*$O$7)-SUM($O802:AQ802),(('PTRM input'!$O$167+'PTRM input'!$O$133)*$O$7)/A25taxstdlife))</f>
        <v>0</v>
      </c>
      <c r="AS802" s="590">
        <f>IF(A25taxstdlife="n/a","n/a",IF(AS$3&gt;(A25taxstdlife+$E802),(('PTRM input'!$O$167+'PTRM input'!$O$133)*$O$7)-SUM($O802:AR802),(('PTRM input'!$O$167+'PTRM input'!$O$133)*$O$7)/A25taxstdlife))</f>
        <v>0</v>
      </c>
      <c r="AT802" s="590">
        <f>IF(A25taxstdlife="n/a","n/a",IF(AT$3&gt;(A25taxstdlife+$E802),(('PTRM input'!$O$167+'PTRM input'!$O$133)*$O$7)-SUM($O802:AS802),(('PTRM input'!$O$167+'PTRM input'!$O$133)*$O$7)/A25taxstdlife))</f>
        <v>0</v>
      </c>
      <c r="AU802" s="590">
        <f>IF(A25taxstdlife="n/a","n/a",IF(AU$3&gt;(A25taxstdlife+$E802),(('PTRM input'!$O$167+'PTRM input'!$O$133)*$O$7)-SUM($O802:AT802),(('PTRM input'!$O$167+'PTRM input'!$O$133)*$O$7)/A25taxstdlife))</f>
        <v>0</v>
      </c>
      <c r="AV802" s="590">
        <f>IF(A25taxstdlife="n/a","n/a",IF(AV$3&gt;(A25taxstdlife+$E802),(('PTRM input'!$O$167+'PTRM input'!$O$133)*$O$7)-SUM($O802:AU802),(('PTRM input'!$O$167+'PTRM input'!$O$133)*$O$7)/A25taxstdlife))</f>
        <v>0</v>
      </c>
      <c r="AW802" s="590">
        <f>IF(A25taxstdlife="n/a","n/a",IF(AW$3&gt;(A25taxstdlife+$E802),(('PTRM input'!$O$167+'PTRM input'!$O$133)*$O$7)-SUM($O802:AV802),(('PTRM input'!$O$167+'PTRM input'!$O$133)*$O$7)/A25taxstdlife))</f>
        <v>0</v>
      </c>
      <c r="AX802" s="590">
        <f>IF(A25taxstdlife="n/a","n/a",IF(AX$3&gt;(A25taxstdlife+$E802),(('PTRM input'!$O$167+'PTRM input'!$O$133)*$O$7)-SUM($O802:AW802),(('PTRM input'!$O$167+'PTRM input'!$O$133)*$O$7)/A25taxstdlife))</f>
        <v>0</v>
      </c>
      <c r="AY802" s="590">
        <f>IF(A25taxstdlife="n/a","n/a",IF(AY$3&gt;(A25taxstdlife+$E802),(('PTRM input'!$O$167+'PTRM input'!$O$133)*$O$7)-SUM($O802:AX802),(('PTRM input'!$O$167+'PTRM input'!$O$133)*$O$7)/A25taxstdlife))</f>
        <v>0</v>
      </c>
      <c r="AZ802" s="590">
        <f>IF(A25taxstdlife="n/a","n/a",IF(AZ$3&gt;(A25taxstdlife+$E802),(('PTRM input'!$O$167+'PTRM input'!$O$133)*$O$7)-SUM($O802:AY802),(('PTRM input'!$O$167+'PTRM input'!$O$133)*$O$7)/A25taxstdlife))</f>
        <v>0</v>
      </c>
      <c r="BA802" s="590">
        <f>IF(A25taxstdlife="n/a","n/a",IF(BA$3&gt;(A25taxstdlife+$E802),(('PTRM input'!$O$167+'PTRM input'!$O$133)*$O$7)-SUM($O802:AZ802),(('PTRM input'!$O$167+'PTRM input'!$O$133)*$O$7)/A25taxstdlife))</f>
        <v>0</v>
      </c>
      <c r="BB802" s="590">
        <f>IF(A25taxstdlife="n/a","n/a",IF(BB$3&gt;(A25taxstdlife+$E802),(('PTRM input'!$O$167+'PTRM input'!$O$133)*$O$7)-SUM($O802:BA802),(('PTRM input'!$O$167+'PTRM input'!$O$133)*$O$7)/A25taxstdlife))</f>
        <v>0</v>
      </c>
      <c r="BC802" s="590">
        <f>IF(A25taxstdlife="n/a","n/a",IF(BC$3&gt;(A25taxstdlife+$E802),(('PTRM input'!$O$167+'PTRM input'!$O$133)*$O$7)-SUM($O802:BB802),(('PTRM input'!$O$167+'PTRM input'!$O$133)*$O$7)/A25taxstdlife))</f>
        <v>0</v>
      </c>
      <c r="BD802" s="590">
        <f>IF(A25taxstdlife="n/a","n/a",IF(BD$3&gt;(A25taxstdlife+$E802),(('PTRM input'!$O$167+'PTRM input'!$O$133)*$O$7)-SUM($O802:BC802),(('PTRM input'!$O$167+'PTRM input'!$O$133)*$O$7)/A25taxstdlife))</f>
        <v>0</v>
      </c>
      <c r="BE802" s="590">
        <f>IF(A25taxstdlife="n/a","n/a",IF(BE$3&gt;(A25taxstdlife+$E802),(('PTRM input'!$O$167+'PTRM input'!$O$133)*$O$7)-SUM($O802:BD802),(('PTRM input'!$O$167+'PTRM input'!$O$133)*$O$7)/A25taxstdlife))</f>
        <v>0</v>
      </c>
      <c r="BF802" s="590">
        <f>IF(A25taxstdlife="n/a","n/a",IF(BF$3&gt;(A25taxstdlife+$E802),(('PTRM input'!$O$167+'PTRM input'!$O$133)*$O$7)-SUM($O802:BE802),(('PTRM input'!$O$167+'PTRM input'!$O$133)*$O$7)/A25taxstdlife))</f>
        <v>0</v>
      </c>
      <c r="BG802" s="590">
        <f>IF(A25taxstdlife="n/a","n/a",IF(BG$3&gt;(A25taxstdlife+$E802),(('PTRM input'!$O$167+'PTRM input'!$O$133)*$O$7)-SUM($O802:BF802),(('PTRM input'!$O$167+'PTRM input'!$O$133)*$O$7)/A25taxstdlife))</f>
        <v>0</v>
      </c>
      <c r="BH802" s="590">
        <f>IF(A25taxstdlife="n/a","n/a",IF(BH$3&gt;(A25taxstdlife+$E802),(('PTRM input'!$O$167+'PTRM input'!$O$133)*$O$7)-SUM($O802:BG802),(('PTRM input'!$O$167+'PTRM input'!$O$133)*$O$7)/A25taxstdlife))</f>
        <v>0</v>
      </c>
      <c r="BI802" s="590">
        <f>IF(A25taxstdlife="n/a","n/a",IF(BI$3&gt;(A25taxstdlife+$E802),(('PTRM input'!$O$167+'PTRM input'!$O$133)*$O$7)-SUM($O802:BH802),(('PTRM input'!$O$167+'PTRM input'!$O$133)*$O$7)/A25taxstdlife))</f>
        <v>0</v>
      </c>
      <c r="BJ802" s="240"/>
      <c r="BK802" s="240"/>
      <c r="BL802" s="240"/>
      <c r="BM802" s="240"/>
    </row>
    <row r="803" spans="1:65" s="4" customFormat="1" hidden="1" outlineLevel="2">
      <c r="A803" s="240"/>
      <c r="B803" s="240"/>
      <c r="C803" s="595"/>
      <c r="D803" s="1618"/>
      <c r="E803" s="170">
        <v>10</v>
      </c>
      <c r="F803" s="35"/>
      <c r="G803" s="184"/>
      <c r="H803" s="186"/>
      <c r="I803" s="186"/>
      <c r="J803" s="186"/>
      <c r="K803" s="186"/>
      <c r="L803" s="186"/>
      <c r="M803" s="186"/>
      <c r="N803" s="186"/>
      <c r="O803" s="186"/>
      <c r="P803" s="185"/>
      <c r="Q803" s="590">
        <f>IF(A25taxstdlife="n/a","n/a",IF(Q$3&gt;(A25taxstdlife+$E803),(('PTRM input'!$P$167+'PTRM input'!$P$133)*$P$7)-SUM($P803:P803),(('PTRM input'!$P$167+'PTRM input'!$P$133)*$P$7)/A25taxstdlife))</f>
        <v>0</v>
      </c>
      <c r="R803" s="590">
        <f>IF(A25taxstdlife="n/a","n/a",IF(R$3&gt;(A25taxstdlife+$E803),(('PTRM input'!$P$167+'PTRM input'!$P$133)*$P$7)-SUM($P803:Q803),(('PTRM input'!$P$167+'PTRM input'!$P$133)*$P$7)/A25taxstdlife))</f>
        <v>0</v>
      </c>
      <c r="S803" s="590">
        <f>IF(A25taxstdlife="n/a","n/a",IF(S$3&gt;(A25taxstdlife+$E803),(('PTRM input'!$P$167+'PTRM input'!$P$133)*$P$7)-SUM($P803:R803),(('PTRM input'!$P$167+'PTRM input'!$P$133)*$P$7)/A25taxstdlife))</f>
        <v>0</v>
      </c>
      <c r="T803" s="590">
        <f>IF(A25taxstdlife="n/a","n/a",IF(T$3&gt;(A25taxstdlife+$E803),(('PTRM input'!$P$167+'PTRM input'!$P$133)*$P$7)-SUM($P803:S803),(('PTRM input'!$P$167+'PTRM input'!$P$133)*$P$7)/A25taxstdlife))</f>
        <v>0</v>
      </c>
      <c r="U803" s="590">
        <f>IF(A25taxstdlife="n/a","n/a",IF(U$3&gt;(A25taxstdlife+$E803),(('PTRM input'!$P$167+'PTRM input'!$P$133)*$P$7)-SUM($P803:T803),(('PTRM input'!$P$167+'PTRM input'!$P$133)*$P$7)/A25taxstdlife))</f>
        <v>0</v>
      </c>
      <c r="V803" s="590">
        <f>IF(A25taxstdlife="n/a","n/a",IF(V$3&gt;(A25taxstdlife+$E803),(('PTRM input'!$P$167+'PTRM input'!$P$133)*$P$7)-SUM($P803:U803),(('PTRM input'!$P$167+'PTRM input'!$P$133)*$P$7)/A25taxstdlife))</f>
        <v>0</v>
      </c>
      <c r="W803" s="590">
        <f>IF(A25taxstdlife="n/a","n/a",IF(W$3&gt;(A25taxstdlife+$E803),(('PTRM input'!$P$167+'PTRM input'!$P$133)*$P$7)-SUM($P803:V803),(('PTRM input'!$P$167+'PTRM input'!$P$133)*$P$7)/A25taxstdlife))</f>
        <v>0</v>
      </c>
      <c r="X803" s="590">
        <f>IF(A25taxstdlife="n/a","n/a",IF(X$3&gt;(A25taxstdlife+$E803),(('PTRM input'!$P$167+'PTRM input'!$P$133)*$P$7)-SUM($P803:W803),(('PTRM input'!$P$167+'PTRM input'!$P$133)*$P$7)/A25taxstdlife))</f>
        <v>0</v>
      </c>
      <c r="Y803" s="590">
        <f>IF(A25taxstdlife="n/a","n/a",IF(Y$3&gt;(A25taxstdlife+$E803),(('PTRM input'!$P$167+'PTRM input'!$P$133)*$P$7)-SUM($P803:X803),(('PTRM input'!$P$167+'PTRM input'!$P$133)*$P$7)/A25taxstdlife))</f>
        <v>0</v>
      </c>
      <c r="Z803" s="590">
        <f>IF(A25taxstdlife="n/a","n/a",IF(Z$3&gt;(A25taxstdlife+$E803),(('PTRM input'!$P$167+'PTRM input'!$P$133)*$P$7)-SUM($P803:Y803),(('PTRM input'!$P$167+'PTRM input'!$P$133)*$P$7)/A25taxstdlife))</f>
        <v>0</v>
      </c>
      <c r="AA803" s="590">
        <f>IF(A25taxstdlife="n/a","n/a",IF(AA$3&gt;(A25taxstdlife+$E803),(('PTRM input'!$P$167+'PTRM input'!$P$133)*$P$7)-SUM($P803:Z803),(('PTRM input'!$P$167+'PTRM input'!$P$133)*$P$7)/A25taxstdlife))</f>
        <v>0</v>
      </c>
      <c r="AB803" s="590">
        <f>IF(A25taxstdlife="n/a","n/a",IF(AB$3&gt;(A25taxstdlife+$E803),(('PTRM input'!$P$167+'PTRM input'!$P$133)*$P$7)-SUM($P803:AA803),(('PTRM input'!$P$167+'PTRM input'!$P$133)*$P$7)/A25taxstdlife))</f>
        <v>0</v>
      </c>
      <c r="AC803" s="590">
        <f>IF(A25taxstdlife="n/a","n/a",IF(AC$3&gt;(A25taxstdlife+$E803),(('PTRM input'!$P$167+'PTRM input'!$P$133)*$P$7)-SUM($P803:AB803),(('PTRM input'!$P$167+'PTRM input'!$P$133)*$P$7)/A25taxstdlife))</f>
        <v>0</v>
      </c>
      <c r="AD803" s="590">
        <f>IF(A25taxstdlife="n/a","n/a",IF(AD$3&gt;(A25taxstdlife+$E803),(('PTRM input'!$P$167+'PTRM input'!$P$133)*$P$7)-SUM($P803:AC803),(('PTRM input'!$P$167+'PTRM input'!$P$133)*$P$7)/A25taxstdlife))</f>
        <v>0</v>
      </c>
      <c r="AE803" s="590">
        <f>IF(A25taxstdlife="n/a","n/a",IF(AE$3&gt;(A25taxstdlife+$E803),(('PTRM input'!$P$167+'PTRM input'!$P$133)*$P$7)-SUM($P803:AD803),(('PTRM input'!$P$167+'PTRM input'!$P$133)*$P$7)/A25taxstdlife))</f>
        <v>0</v>
      </c>
      <c r="AF803" s="590">
        <f>IF(A25taxstdlife="n/a","n/a",IF(AF$3&gt;(A25taxstdlife+$E803),(('PTRM input'!$P$167+'PTRM input'!$P$133)*$P$7)-SUM($P803:AE803),(('PTRM input'!$P$167+'PTRM input'!$P$133)*$P$7)/A25taxstdlife))</f>
        <v>0</v>
      </c>
      <c r="AG803" s="590">
        <f>IF(A25taxstdlife="n/a","n/a",IF(AG$3&gt;(A25taxstdlife+$E803),(('PTRM input'!$P$167+'PTRM input'!$P$133)*$P$7)-SUM($P803:AF803),(('PTRM input'!$P$167+'PTRM input'!$P$133)*$P$7)/A25taxstdlife))</f>
        <v>0</v>
      </c>
      <c r="AH803" s="590">
        <f>IF(A25taxstdlife="n/a","n/a",IF(AH$3&gt;(A25taxstdlife+$E803),(('PTRM input'!$P$167+'PTRM input'!$P$133)*$P$7)-SUM($P803:AG803),(('PTRM input'!$P$167+'PTRM input'!$P$133)*$P$7)/A25taxstdlife))</f>
        <v>0</v>
      </c>
      <c r="AI803" s="590">
        <f>IF(A25taxstdlife="n/a","n/a",IF(AI$3&gt;(A25taxstdlife+$E803),(('PTRM input'!$P$167+'PTRM input'!$P$133)*$P$7)-SUM($P803:AH803),(('PTRM input'!$P$167+'PTRM input'!$P$133)*$P$7)/A25taxstdlife))</f>
        <v>0</v>
      </c>
      <c r="AJ803" s="590">
        <f>IF(A25taxstdlife="n/a","n/a",IF(AJ$3&gt;(A25taxstdlife+$E803),(('PTRM input'!$P$167+'PTRM input'!$P$133)*$P$7)-SUM($P803:AI803),(('PTRM input'!$P$167+'PTRM input'!$P$133)*$P$7)/A25taxstdlife))</f>
        <v>0</v>
      </c>
      <c r="AK803" s="590">
        <f>IF(A25taxstdlife="n/a","n/a",IF(AK$3&gt;(A25taxstdlife+$E803),(('PTRM input'!$P$167+'PTRM input'!$P$133)*$P$7)-SUM($P803:AJ803),(('PTRM input'!$P$167+'PTRM input'!$P$133)*$P$7)/A25taxstdlife))</f>
        <v>0</v>
      </c>
      <c r="AL803" s="590">
        <f>IF(A25taxstdlife="n/a","n/a",IF(AL$3&gt;(A25taxstdlife+$E803),(('PTRM input'!$P$167+'PTRM input'!$P$133)*$P$7)-SUM($P803:AK803),(('PTRM input'!$P$167+'PTRM input'!$P$133)*$P$7)/A25taxstdlife))</f>
        <v>0</v>
      </c>
      <c r="AM803" s="590">
        <f>IF(A25taxstdlife="n/a","n/a",IF(AM$3&gt;(A25taxstdlife+$E803),(('PTRM input'!$P$167+'PTRM input'!$P$133)*$P$7)-SUM($P803:AL803),(('PTRM input'!$P$167+'PTRM input'!$P$133)*$P$7)/A25taxstdlife))</f>
        <v>0</v>
      </c>
      <c r="AN803" s="590">
        <f>IF(A25taxstdlife="n/a","n/a",IF(AN$3&gt;(A25taxstdlife+$E803),(('PTRM input'!$P$167+'PTRM input'!$P$133)*$P$7)-SUM($P803:AM803),(('PTRM input'!$P$167+'PTRM input'!$P$133)*$P$7)/A25taxstdlife))</f>
        <v>0</v>
      </c>
      <c r="AO803" s="590">
        <f>IF(A25taxstdlife="n/a","n/a",IF(AO$3&gt;(A25taxstdlife+$E803),(('PTRM input'!$P$167+'PTRM input'!$P$133)*$P$7)-SUM($P803:AN803),(('PTRM input'!$P$167+'PTRM input'!$P$133)*$P$7)/A25taxstdlife))</f>
        <v>0</v>
      </c>
      <c r="AP803" s="590">
        <f>IF(A25taxstdlife="n/a","n/a",IF(AP$3&gt;(A25taxstdlife+$E803),(('PTRM input'!$P$167+'PTRM input'!$P$133)*$P$7)-SUM($P803:AO803),(('PTRM input'!$P$167+'PTRM input'!$P$133)*$P$7)/A25taxstdlife))</f>
        <v>0</v>
      </c>
      <c r="AQ803" s="590">
        <f>IF(A25taxstdlife="n/a","n/a",IF(AQ$3&gt;(A25taxstdlife+$E803),(('PTRM input'!$P$167+'PTRM input'!$P$133)*$P$7)-SUM($P803:AP803),(('PTRM input'!$P$167+'PTRM input'!$P$133)*$P$7)/A25taxstdlife))</f>
        <v>0</v>
      </c>
      <c r="AR803" s="590">
        <f>IF(A25taxstdlife="n/a","n/a",IF(AR$3&gt;(A25taxstdlife+$E803),(('PTRM input'!$P$167+'PTRM input'!$P$133)*$P$7)-SUM($P803:AQ803),(('PTRM input'!$P$167+'PTRM input'!$P$133)*$P$7)/A25taxstdlife))</f>
        <v>0</v>
      </c>
      <c r="AS803" s="590">
        <f>IF(A25taxstdlife="n/a","n/a",IF(AS$3&gt;(A25taxstdlife+$E803),(('PTRM input'!$P$167+'PTRM input'!$P$133)*$P$7)-SUM($P803:AR803),(('PTRM input'!$P$167+'PTRM input'!$P$133)*$P$7)/A25taxstdlife))</f>
        <v>0</v>
      </c>
      <c r="AT803" s="590">
        <f>IF(A25taxstdlife="n/a","n/a",IF(AT$3&gt;(A25taxstdlife+$E803),(('PTRM input'!$P$167+'PTRM input'!$P$133)*$P$7)-SUM($P803:AS803),(('PTRM input'!$P$167+'PTRM input'!$P$133)*$P$7)/A25taxstdlife))</f>
        <v>0</v>
      </c>
      <c r="AU803" s="590">
        <f>IF(A25taxstdlife="n/a","n/a",IF(AU$3&gt;(A25taxstdlife+$E803),(('PTRM input'!$P$167+'PTRM input'!$P$133)*$P$7)-SUM($P803:AT803),(('PTRM input'!$P$167+'PTRM input'!$P$133)*$P$7)/A25taxstdlife))</f>
        <v>0</v>
      </c>
      <c r="AV803" s="590">
        <f>IF(A25taxstdlife="n/a","n/a",IF(AV$3&gt;(A25taxstdlife+$E803),(('PTRM input'!$P$167+'PTRM input'!$P$133)*$P$7)-SUM($P803:AU803),(('PTRM input'!$P$167+'PTRM input'!$P$133)*$P$7)/A25taxstdlife))</f>
        <v>0</v>
      </c>
      <c r="AW803" s="590">
        <f>IF(A25taxstdlife="n/a","n/a",IF(AW$3&gt;(A25taxstdlife+$E803),(('PTRM input'!$P$167+'PTRM input'!$P$133)*$P$7)-SUM($P803:AV803),(('PTRM input'!$P$167+'PTRM input'!$P$133)*$P$7)/A25taxstdlife))</f>
        <v>0</v>
      </c>
      <c r="AX803" s="590">
        <f>IF(A25taxstdlife="n/a","n/a",IF(AX$3&gt;(A25taxstdlife+$E803),(('PTRM input'!$P$167+'PTRM input'!$P$133)*$P$7)-SUM($P803:AW803),(('PTRM input'!$P$167+'PTRM input'!$P$133)*$P$7)/A25taxstdlife))</f>
        <v>0</v>
      </c>
      <c r="AY803" s="590">
        <f>IF(A25taxstdlife="n/a","n/a",IF(AY$3&gt;(A25taxstdlife+$E803),(('PTRM input'!$P$167+'PTRM input'!$P$133)*$P$7)-SUM($P803:AX803),(('PTRM input'!$P$167+'PTRM input'!$P$133)*$P$7)/A25taxstdlife))</f>
        <v>0</v>
      </c>
      <c r="AZ803" s="590">
        <f>IF(A25taxstdlife="n/a","n/a",IF(AZ$3&gt;(A25taxstdlife+$E803),(('PTRM input'!$P$167+'PTRM input'!$P$133)*$P$7)-SUM($P803:AY803),(('PTRM input'!$P$167+'PTRM input'!$P$133)*$P$7)/A25taxstdlife))</f>
        <v>0</v>
      </c>
      <c r="BA803" s="590">
        <f>IF(A25taxstdlife="n/a","n/a",IF(BA$3&gt;(A25taxstdlife+$E803),(('PTRM input'!$P$167+'PTRM input'!$P$133)*$P$7)-SUM($P803:AZ803),(('PTRM input'!$P$167+'PTRM input'!$P$133)*$P$7)/A25taxstdlife))</f>
        <v>0</v>
      </c>
      <c r="BB803" s="590">
        <f>IF(A25taxstdlife="n/a","n/a",IF(BB$3&gt;(A25taxstdlife+$E803),(('PTRM input'!$P$167+'PTRM input'!$P$133)*$P$7)-SUM($P803:BA803),(('PTRM input'!$P$167+'PTRM input'!$P$133)*$P$7)/A25taxstdlife))</f>
        <v>0</v>
      </c>
      <c r="BC803" s="590">
        <f>IF(A25taxstdlife="n/a","n/a",IF(BC$3&gt;(A25taxstdlife+$E803),(('PTRM input'!$P$167+'PTRM input'!$P$133)*$P$7)-SUM($P803:BB803),(('PTRM input'!$P$167+'PTRM input'!$P$133)*$P$7)/A25taxstdlife))</f>
        <v>0</v>
      </c>
      <c r="BD803" s="590">
        <f>IF(A25taxstdlife="n/a","n/a",IF(BD$3&gt;(A25taxstdlife+$E803),(('PTRM input'!$P$167+'PTRM input'!$P$133)*$P$7)-SUM($P803:BC803),(('PTRM input'!$P$167+'PTRM input'!$P$133)*$P$7)/A25taxstdlife))</f>
        <v>0</v>
      </c>
      <c r="BE803" s="590">
        <f>IF(A25taxstdlife="n/a","n/a",IF(BE$3&gt;(A25taxstdlife+$E803),(('PTRM input'!$P$167+'PTRM input'!$P$133)*$P$7)-SUM($P803:BD803),(('PTRM input'!$P$167+'PTRM input'!$P$133)*$P$7)/A25taxstdlife))</f>
        <v>0</v>
      </c>
      <c r="BF803" s="590">
        <f>IF(A25taxstdlife="n/a","n/a",IF(BF$3&gt;(A25taxstdlife+$E803),(('PTRM input'!$P$167+'PTRM input'!$P$133)*$P$7)-SUM($P803:BE803),(('PTRM input'!$P$167+'PTRM input'!$P$133)*$P$7)/A25taxstdlife))</f>
        <v>0</v>
      </c>
      <c r="BG803" s="590">
        <f>IF(A25taxstdlife="n/a","n/a",IF(BG$3&gt;(A25taxstdlife+$E803),(('PTRM input'!$P$167+'PTRM input'!$P$133)*$P$7)-SUM($P803:BF803),(('PTRM input'!$P$167+'PTRM input'!$P$133)*$P$7)/A25taxstdlife))</f>
        <v>0</v>
      </c>
      <c r="BH803" s="590">
        <f>IF(A25taxstdlife="n/a","n/a",IF(BH$3&gt;(A25taxstdlife+$E803),(('PTRM input'!$P$167+'PTRM input'!$P$133)*$P$7)-SUM($P803:BG803),(('PTRM input'!$P$167+'PTRM input'!$P$133)*$P$7)/A25taxstdlife))</f>
        <v>0</v>
      </c>
      <c r="BI803" s="590">
        <f>IF(A25taxstdlife="n/a","n/a",IF(BI$3&gt;(A25taxstdlife+$E803),(('PTRM input'!$P$167+'PTRM input'!$P$133)*$P$7)-SUM($P803:BH803),(('PTRM input'!$P$167+'PTRM input'!$P$133)*$P$7)/A25taxstdlife))</f>
        <v>0</v>
      </c>
      <c r="BJ803" s="240"/>
      <c r="BK803" s="240"/>
      <c r="BL803" s="240"/>
      <c r="BM803" s="240"/>
    </row>
    <row r="804" spans="1:65" s="4" customFormat="1" hidden="1" outlineLevel="1">
      <c r="A804" s="240"/>
      <c r="B804" s="240"/>
      <c r="C804" s="595">
        <f>Asset25</f>
        <v>0</v>
      </c>
      <c r="D804" s="240"/>
      <c r="E804" s="240"/>
      <c r="F804" s="596"/>
      <c r="G804" s="591">
        <f t="shared" ref="G804:AL804" si="154">SUM(G792:G803)</f>
        <v>0</v>
      </c>
      <c r="H804" s="591">
        <f t="shared" si="154"/>
        <v>0</v>
      </c>
      <c r="I804" s="591">
        <f t="shared" si="154"/>
        <v>0</v>
      </c>
      <c r="J804" s="591">
        <f t="shared" si="154"/>
        <v>0</v>
      </c>
      <c r="K804" s="591">
        <f t="shared" si="154"/>
        <v>0</v>
      </c>
      <c r="L804" s="591">
        <f t="shared" si="154"/>
        <v>0</v>
      </c>
      <c r="M804" s="591">
        <f t="shared" si="154"/>
        <v>0</v>
      </c>
      <c r="N804" s="591">
        <f t="shared" si="154"/>
        <v>0</v>
      </c>
      <c r="O804" s="591">
        <f t="shared" si="154"/>
        <v>0</v>
      </c>
      <c r="P804" s="591">
        <f t="shared" si="154"/>
        <v>0</v>
      </c>
      <c r="Q804" s="591">
        <f t="shared" si="154"/>
        <v>0</v>
      </c>
      <c r="R804" s="591">
        <f t="shared" si="154"/>
        <v>0</v>
      </c>
      <c r="S804" s="591">
        <f t="shared" si="154"/>
        <v>0</v>
      </c>
      <c r="T804" s="591">
        <f t="shared" si="154"/>
        <v>0</v>
      </c>
      <c r="U804" s="591">
        <f t="shared" si="154"/>
        <v>0</v>
      </c>
      <c r="V804" s="591">
        <f t="shared" si="154"/>
        <v>0</v>
      </c>
      <c r="W804" s="591">
        <f t="shared" si="154"/>
        <v>0</v>
      </c>
      <c r="X804" s="591">
        <f t="shared" si="154"/>
        <v>0</v>
      </c>
      <c r="Y804" s="591">
        <f t="shared" si="154"/>
        <v>0</v>
      </c>
      <c r="Z804" s="591">
        <f t="shared" si="154"/>
        <v>0</v>
      </c>
      <c r="AA804" s="591">
        <f t="shared" si="154"/>
        <v>0</v>
      </c>
      <c r="AB804" s="591">
        <f t="shared" si="154"/>
        <v>0</v>
      </c>
      <c r="AC804" s="591">
        <f t="shared" si="154"/>
        <v>0</v>
      </c>
      <c r="AD804" s="591">
        <f t="shared" si="154"/>
        <v>0</v>
      </c>
      <c r="AE804" s="591">
        <f t="shared" si="154"/>
        <v>0</v>
      </c>
      <c r="AF804" s="591">
        <f t="shared" si="154"/>
        <v>0</v>
      </c>
      <c r="AG804" s="591">
        <f t="shared" si="154"/>
        <v>0</v>
      </c>
      <c r="AH804" s="591">
        <f t="shared" si="154"/>
        <v>0</v>
      </c>
      <c r="AI804" s="591">
        <f t="shared" si="154"/>
        <v>0</v>
      </c>
      <c r="AJ804" s="591">
        <f t="shared" si="154"/>
        <v>0</v>
      </c>
      <c r="AK804" s="591">
        <f t="shared" si="154"/>
        <v>0</v>
      </c>
      <c r="AL804" s="591">
        <f t="shared" si="154"/>
        <v>0</v>
      </c>
      <c r="AM804" s="591">
        <f t="shared" ref="AM804:BI804" si="155">SUM(AM792:AM803)</f>
        <v>0</v>
      </c>
      <c r="AN804" s="591">
        <f t="shared" si="155"/>
        <v>0</v>
      </c>
      <c r="AO804" s="591">
        <f t="shared" si="155"/>
        <v>0</v>
      </c>
      <c r="AP804" s="591">
        <f t="shared" si="155"/>
        <v>0</v>
      </c>
      <c r="AQ804" s="591">
        <f t="shared" si="155"/>
        <v>0</v>
      </c>
      <c r="AR804" s="591">
        <f t="shared" si="155"/>
        <v>0</v>
      </c>
      <c r="AS804" s="591">
        <f t="shared" si="155"/>
        <v>0</v>
      </c>
      <c r="AT804" s="591">
        <f t="shared" si="155"/>
        <v>0</v>
      </c>
      <c r="AU804" s="591">
        <f t="shared" si="155"/>
        <v>0</v>
      </c>
      <c r="AV804" s="591">
        <f t="shared" si="155"/>
        <v>0</v>
      </c>
      <c r="AW804" s="591">
        <f t="shared" si="155"/>
        <v>0</v>
      </c>
      <c r="AX804" s="591">
        <f t="shared" si="155"/>
        <v>0</v>
      </c>
      <c r="AY804" s="591">
        <f t="shared" si="155"/>
        <v>0</v>
      </c>
      <c r="AZ804" s="591">
        <f t="shared" si="155"/>
        <v>0</v>
      </c>
      <c r="BA804" s="591">
        <f t="shared" si="155"/>
        <v>0</v>
      </c>
      <c r="BB804" s="591">
        <f t="shared" si="155"/>
        <v>0</v>
      </c>
      <c r="BC804" s="591">
        <f t="shared" si="155"/>
        <v>0</v>
      </c>
      <c r="BD804" s="591">
        <f t="shared" si="155"/>
        <v>0</v>
      </c>
      <c r="BE804" s="591">
        <f t="shared" si="155"/>
        <v>0</v>
      </c>
      <c r="BF804" s="591">
        <f t="shared" si="155"/>
        <v>0</v>
      </c>
      <c r="BG804" s="591">
        <f t="shared" si="155"/>
        <v>0</v>
      </c>
      <c r="BH804" s="591">
        <f t="shared" si="155"/>
        <v>0</v>
      </c>
      <c r="BI804" s="591">
        <f t="shared" si="155"/>
        <v>0</v>
      </c>
      <c r="BJ804" s="240"/>
      <c r="BK804" s="240"/>
      <c r="BL804" s="240"/>
      <c r="BM804" s="240"/>
    </row>
    <row r="805" spans="1:65" s="4" customFormat="1" hidden="1" outlineLevel="2">
      <c r="A805" s="240"/>
      <c r="B805" s="597">
        <f>C817</f>
        <v>0</v>
      </c>
      <c r="C805" s="488"/>
      <c r="D805" s="598" t="s">
        <v>58</v>
      </c>
      <c r="E805" s="488"/>
      <c r="F805" s="599"/>
      <c r="G805" s="592">
        <f>IF(G$3&gt;A26taxremlife,A26taxvalue-SUM($F805:F805),IF(A26taxremlife="N/A","n/a",A26taxvalue/A26taxremlife))</f>
        <v>0</v>
      </c>
      <c r="H805" s="592">
        <f>IF(H$3&gt;A26taxremlife,A26taxvalue-SUM($F805:G805),IF(A26taxremlife="N/A","n/a",A26taxvalue/A26taxremlife))</f>
        <v>0</v>
      </c>
      <c r="I805" s="592">
        <f>IF(I$3&gt;A26taxremlife,A26taxvalue-SUM($F805:H805),IF(A26taxremlife="N/A","n/a",A26taxvalue/A26taxremlife))</f>
        <v>0</v>
      </c>
      <c r="J805" s="592">
        <f>IF(J$3&gt;A26taxremlife,A26taxvalue-SUM($F805:I805),IF(A26taxremlife="N/A","n/a",A26taxvalue/A26taxremlife))</f>
        <v>0</v>
      </c>
      <c r="K805" s="592">
        <f>IF(K$3&gt;A26taxremlife,A26taxvalue-SUM($F805:J805),IF(A26taxremlife="N/A","n/a",A26taxvalue/A26taxremlife))</f>
        <v>0</v>
      </c>
      <c r="L805" s="592">
        <f>IF(L$3&gt;A26taxremlife,A26taxvalue-SUM($F805:K805),IF(A26taxremlife="N/A","n/a",A26taxvalue/A26taxremlife))</f>
        <v>0</v>
      </c>
      <c r="M805" s="592">
        <f>IF(M$3&gt;A26taxremlife,A26taxvalue-SUM($F805:L805),IF(A26taxremlife="N/A","n/a",A26taxvalue/A26taxremlife))</f>
        <v>0</v>
      </c>
      <c r="N805" s="592">
        <f>IF(N$3&gt;A26taxremlife,A26taxvalue-SUM($F805:M805),IF(A26taxremlife="N/A","n/a",A26taxvalue/A26taxremlife))</f>
        <v>0</v>
      </c>
      <c r="O805" s="592">
        <f>IF(O$3&gt;A26taxremlife,A26taxvalue-SUM($F805:N805),IF(A26taxremlife="N/A","n/a",A26taxvalue/A26taxremlife))</f>
        <v>0</v>
      </c>
      <c r="P805" s="592">
        <f>IF(P$3&gt;A26taxremlife,A26taxvalue-SUM($F805:O805),IF(A26taxremlife="N/A","n/a",A26taxvalue/A26taxremlife))</f>
        <v>0</v>
      </c>
      <c r="Q805" s="592">
        <f>IF(Q$3&gt;A26taxremlife,A26taxvalue-SUM($F805:P805),IF(A26taxremlife="N/A","n/a",A26taxvalue/A26taxremlife))</f>
        <v>0</v>
      </c>
      <c r="R805" s="592">
        <f>IF(R$3&gt;A26taxremlife,A26taxvalue-SUM($F805:Q805),IF(A26taxremlife="N/A","n/a",A26taxvalue/A26taxremlife))</f>
        <v>0</v>
      </c>
      <c r="S805" s="592">
        <f>IF(S$3&gt;A26taxremlife,A26taxvalue-SUM($F805:R805),IF(A26taxremlife="N/A","n/a",A26taxvalue/A26taxremlife))</f>
        <v>0</v>
      </c>
      <c r="T805" s="592">
        <f>IF(T$3&gt;A26taxremlife,A26taxvalue-SUM($F805:S805),IF(A26taxremlife="N/A","n/a",A26taxvalue/A26taxremlife))</f>
        <v>0</v>
      </c>
      <c r="U805" s="592">
        <f>IF(U$3&gt;A26taxremlife,A26taxvalue-SUM($F805:T805),IF(A26taxremlife="N/A","n/a",A26taxvalue/A26taxremlife))</f>
        <v>0</v>
      </c>
      <c r="V805" s="592">
        <f>IF(V$3&gt;A26taxremlife,A26taxvalue-SUM($F805:U805),IF(A26taxremlife="N/A","n/a",A26taxvalue/A26taxremlife))</f>
        <v>0</v>
      </c>
      <c r="W805" s="592">
        <f>IF(W$3&gt;A26taxremlife,A26taxvalue-SUM($F805:V805),IF(A26taxremlife="N/A","n/a",A26taxvalue/A26taxremlife))</f>
        <v>0</v>
      </c>
      <c r="X805" s="592">
        <f>IF(X$3&gt;A26taxremlife,A26taxvalue-SUM($F805:W805),IF(A26taxremlife="N/A","n/a",A26taxvalue/A26taxremlife))</f>
        <v>0</v>
      </c>
      <c r="Y805" s="592">
        <f>IF(Y$3&gt;A26taxremlife,A26taxvalue-SUM($F805:X805),IF(A26taxremlife="N/A","n/a",A26taxvalue/A26taxremlife))</f>
        <v>0</v>
      </c>
      <c r="Z805" s="592">
        <f>IF(Z$3&gt;A26taxremlife,A26taxvalue-SUM($F805:Y805),IF(A26taxremlife="N/A","n/a",A26taxvalue/A26taxremlife))</f>
        <v>0</v>
      </c>
      <c r="AA805" s="592">
        <f>IF(AA$3&gt;A26taxremlife,A26taxvalue-SUM($F805:Z805),IF(A26taxremlife="N/A","n/a",A26taxvalue/A26taxremlife))</f>
        <v>0</v>
      </c>
      <c r="AB805" s="592">
        <f>IF(AB$3&gt;A26taxremlife,A26taxvalue-SUM($F805:AA805),IF(A26taxremlife="N/A","n/a",A26taxvalue/A26taxremlife))</f>
        <v>0</v>
      </c>
      <c r="AC805" s="592">
        <f>IF(AC$3&gt;A26taxremlife,A26taxvalue-SUM($F805:AB805),IF(A26taxremlife="N/A","n/a",A26taxvalue/A26taxremlife))</f>
        <v>0</v>
      </c>
      <c r="AD805" s="592">
        <f>IF(AD$3&gt;A26taxremlife,A26taxvalue-SUM($F805:AC805),IF(A26taxremlife="N/A","n/a",A26taxvalue/A26taxremlife))</f>
        <v>0</v>
      </c>
      <c r="AE805" s="592">
        <f>IF(AE$3&gt;A26taxremlife,A26taxvalue-SUM($F805:AD805),IF(A26taxremlife="N/A","n/a",A26taxvalue/A26taxremlife))</f>
        <v>0</v>
      </c>
      <c r="AF805" s="592">
        <f>IF(AF$3&gt;A26taxremlife,A26taxvalue-SUM($F805:AE805),IF(A26taxremlife="N/A","n/a",A26taxvalue/A26taxremlife))</f>
        <v>0</v>
      </c>
      <c r="AG805" s="592">
        <f>IF(AG$3&gt;A26taxremlife,A26taxvalue-SUM($F805:AF805),IF(A26taxremlife="N/A","n/a",A26taxvalue/A26taxremlife))</f>
        <v>0</v>
      </c>
      <c r="AH805" s="592">
        <f>IF(AH$3&gt;A26taxremlife,A26taxvalue-SUM($F805:AG805),IF(A26taxremlife="N/A","n/a",A26taxvalue/A26taxremlife))</f>
        <v>0</v>
      </c>
      <c r="AI805" s="592">
        <f>IF(AI$3&gt;A26taxremlife,A26taxvalue-SUM($F805:AH805),IF(A26taxremlife="N/A","n/a",A26taxvalue/A26taxremlife))</f>
        <v>0</v>
      </c>
      <c r="AJ805" s="592">
        <f>IF(AJ$3&gt;A26taxremlife,A26taxvalue-SUM($F805:AI805),IF(A26taxremlife="N/A","n/a",A26taxvalue/A26taxremlife))</f>
        <v>0</v>
      </c>
      <c r="AK805" s="592">
        <f>IF(AK$3&gt;A26taxremlife,A26taxvalue-SUM($F805:AJ805),IF(A26taxremlife="N/A","n/a",A26taxvalue/A26taxremlife))</f>
        <v>0</v>
      </c>
      <c r="AL805" s="592">
        <f>IF(AL$3&gt;A26taxremlife,A26taxvalue-SUM($F805:AK805),IF(A26taxremlife="N/A","n/a",A26taxvalue/A26taxremlife))</f>
        <v>0</v>
      </c>
      <c r="AM805" s="592">
        <f>IF(AM$3&gt;A26taxremlife,A26taxvalue-SUM($F805:AL805),IF(A26taxremlife="N/A","n/a",A26taxvalue/A26taxremlife))</f>
        <v>0</v>
      </c>
      <c r="AN805" s="592">
        <f>IF(AN$3&gt;A26taxremlife,A26taxvalue-SUM($F805:AM805),IF(A26taxremlife="N/A","n/a",A26taxvalue/A26taxremlife))</f>
        <v>0</v>
      </c>
      <c r="AO805" s="592">
        <f>IF(AO$3&gt;A26taxremlife,A26taxvalue-SUM($F805:AN805),IF(A26taxremlife="N/A","n/a",A26taxvalue/A26taxremlife))</f>
        <v>0</v>
      </c>
      <c r="AP805" s="592">
        <f>IF(AP$3&gt;A26taxremlife,A26taxvalue-SUM($F805:AO805),IF(A26taxremlife="N/A","n/a",A26taxvalue/A26taxremlife))</f>
        <v>0</v>
      </c>
      <c r="AQ805" s="592">
        <f>IF(AQ$3&gt;A26taxremlife,A26taxvalue-SUM($F805:AP805),IF(A26taxremlife="N/A","n/a",A26taxvalue/A26taxremlife))</f>
        <v>0</v>
      </c>
      <c r="AR805" s="592">
        <f>IF(AR$3&gt;A26taxremlife,A26taxvalue-SUM($F805:AQ805),IF(A26taxremlife="N/A","n/a",A26taxvalue/A26taxremlife))</f>
        <v>0</v>
      </c>
      <c r="AS805" s="592">
        <f>IF(AS$3&gt;A26taxremlife,A26taxvalue-SUM($F805:AR805),IF(A26taxremlife="N/A","n/a",A26taxvalue/A26taxremlife))</f>
        <v>0</v>
      </c>
      <c r="AT805" s="592">
        <f>IF(AT$3&gt;A26taxremlife,A26taxvalue-SUM($F805:AS805),IF(A26taxremlife="N/A","n/a",A26taxvalue/A26taxremlife))</f>
        <v>0</v>
      </c>
      <c r="AU805" s="592">
        <f>IF(AU$3&gt;A26taxremlife,A26taxvalue-SUM($F805:AT805),IF(A26taxremlife="N/A","n/a",A26taxvalue/A26taxremlife))</f>
        <v>0</v>
      </c>
      <c r="AV805" s="592">
        <f>IF(AV$3&gt;A26taxremlife,A26taxvalue-SUM($F805:AU805),IF(A26taxremlife="N/A","n/a",A26taxvalue/A26taxremlife))</f>
        <v>0</v>
      </c>
      <c r="AW805" s="592">
        <f>IF(AW$3&gt;A26taxremlife,A26taxvalue-SUM($F805:AV805),IF(A26taxremlife="N/A","n/a",A26taxvalue/A26taxremlife))</f>
        <v>0</v>
      </c>
      <c r="AX805" s="592">
        <f>IF(AX$3&gt;A26taxremlife,A26taxvalue-SUM($F805:AW805),IF(A26taxremlife="N/A","n/a",A26taxvalue/A26taxremlife))</f>
        <v>0</v>
      </c>
      <c r="AY805" s="592">
        <f>IF(AY$3&gt;A26taxremlife,A26taxvalue-SUM($F805:AX805),IF(A26taxremlife="N/A","n/a",A26taxvalue/A26taxremlife))</f>
        <v>0</v>
      </c>
      <c r="AZ805" s="592">
        <f>IF(AZ$3&gt;A26taxremlife,A26taxvalue-SUM($F805:AY805),IF(A26taxremlife="N/A","n/a",A26taxvalue/A26taxremlife))</f>
        <v>0</v>
      </c>
      <c r="BA805" s="592">
        <f>IF(BA$3&gt;A26taxremlife,A26taxvalue-SUM($F805:AZ805),IF(A26taxremlife="N/A","n/a",A26taxvalue/A26taxremlife))</f>
        <v>0</v>
      </c>
      <c r="BB805" s="592">
        <f>IF(BB$3&gt;A26taxremlife,A26taxvalue-SUM($F805:BA805),IF(A26taxremlife="N/A","n/a",A26taxvalue/A26taxremlife))</f>
        <v>0</v>
      </c>
      <c r="BC805" s="592">
        <f>IF(BC$3&gt;A26taxremlife,A26taxvalue-SUM($F805:BB805),IF(A26taxremlife="N/A","n/a",A26taxvalue/A26taxremlife))</f>
        <v>0</v>
      </c>
      <c r="BD805" s="592">
        <f>IF(BD$3&gt;A26taxremlife,A26taxvalue-SUM($F805:BC805),IF(A26taxremlife="N/A","n/a",A26taxvalue/A26taxremlife))</f>
        <v>0</v>
      </c>
      <c r="BE805" s="592">
        <f>IF(BE$3&gt;A26taxremlife,A26taxvalue-SUM($F805:BD805),IF(A26taxremlife="N/A","n/a",A26taxvalue/A26taxremlife))</f>
        <v>0</v>
      </c>
      <c r="BF805" s="592">
        <f>IF(BF$3&gt;A26taxremlife,A26taxvalue-SUM($F805:BE805),IF(A26taxremlife="N/A","n/a",A26taxvalue/A26taxremlife))</f>
        <v>0</v>
      </c>
      <c r="BG805" s="592">
        <f>IF(BG$3&gt;A26taxremlife,A26taxvalue-SUM($F805:BF805),IF(A26taxremlife="N/A","n/a",A26taxvalue/A26taxremlife))</f>
        <v>0</v>
      </c>
      <c r="BH805" s="592">
        <f>IF(BH$3&gt;A26taxremlife,A26taxvalue-SUM($F805:BG805),IF(A26taxremlife="N/A","n/a",A26taxvalue/A26taxremlife))</f>
        <v>0</v>
      </c>
      <c r="BI805" s="592">
        <f>IF(BI$3&gt;A26taxremlife,A26taxvalue-SUM($F805:BH805),IF(A26taxremlife="N/A","n/a",A26taxvalue/A26taxremlife))</f>
        <v>0</v>
      </c>
      <c r="BJ805" s="240"/>
      <c r="BK805" s="240"/>
      <c r="BL805" s="240"/>
      <c r="BM805" s="240"/>
    </row>
    <row r="806" spans="1:65" s="4" customFormat="1" ht="12.75" hidden="1" customHeight="1" outlineLevel="2">
      <c r="A806" s="240"/>
      <c r="B806" s="240"/>
      <c r="C806" s="595"/>
      <c r="D806" s="1618" t="s">
        <v>357</v>
      </c>
      <c r="E806" s="169">
        <v>0</v>
      </c>
      <c r="F806" s="35"/>
      <c r="G806" s="107"/>
      <c r="H806" s="107"/>
      <c r="I806" s="107"/>
      <c r="J806" s="107"/>
      <c r="K806" s="107"/>
      <c r="L806" s="107"/>
      <c r="M806" s="107"/>
      <c r="N806" s="107"/>
      <c r="O806" s="107"/>
      <c r="P806" s="107"/>
      <c r="Q806" s="590"/>
      <c r="R806" s="590"/>
      <c r="S806" s="590"/>
      <c r="T806" s="590"/>
      <c r="U806" s="590"/>
      <c r="V806" s="590"/>
      <c r="W806" s="590"/>
      <c r="X806" s="590"/>
      <c r="Y806" s="590"/>
      <c r="Z806" s="590"/>
      <c r="AA806" s="590"/>
      <c r="AB806" s="590"/>
      <c r="AC806" s="590"/>
      <c r="AD806" s="590"/>
      <c r="AE806" s="590"/>
      <c r="AF806" s="590"/>
      <c r="AG806" s="590"/>
      <c r="AH806" s="590"/>
      <c r="AI806" s="590"/>
      <c r="AJ806" s="590"/>
      <c r="AK806" s="590"/>
      <c r="AL806" s="590"/>
      <c r="AM806" s="590"/>
      <c r="AN806" s="590"/>
      <c r="AO806" s="590"/>
      <c r="AP806" s="590"/>
      <c r="AQ806" s="590"/>
      <c r="AR806" s="590"/>
      <c r="AS806" s="590"/>
      <c r="AT806" s="590"/>
      <c r="AU806" s="590"/>
      <c r="AV806" s="590"/>
      <c r="AW806" s="590"/>
      <c r="AX806" s="590"/>
      <c r="AY806" s="590"/>
      <c r="AZ806" s="590"/>
      <c r="BA806" s="590"/>
      <c r="BB806" s="590"/>
      <c r="BC806" s="590"/>
      <c r="BD806" s="590"/>
      <c r="BE806" s="590"/>
      <c r="BF806" s="590"/>
      <c r="BG806" s="590"/>
      <c r="BH806" s="590"/>
      <c r="BI806" s="590"/>
      <c r="BJ806" s="240"/>
      <c r="BK806" s="240"/>
      <c r="BL806" s="240"/>
      <c r="BM806" s="240"/>
    </row>
    <row r="807" spans="1:65" s="4" customFormat="1" hidden="1" outlineLevel="2">
      <c r="A807" s="240"/>
      <c r="B807" s="240"/>
      <c r="C807" s="595"/>
      <c r="D807" s="1618"/>
      <c r="E807" s="169">
        <v>1</v>
      </c>
      <c r="F807" s="35"/>
      <c r="G807" s="183"/>
      <c r="H807" s="107">
        <f>IF(A26taxstdlife="n/a","n/a",IF(H$3&gt;(A26taxstdlife+$E807),(('PTRM input'!$G$168+'PTRM input'!$G$134)*$G$7)-SUM($G807:G807),(('PTRM input'!$G$168+'PTRM input'!$G$134)*$G$7)/A26taxstdlife))</f>
        <v>0</v>
      </c>
      <c r="I807" s="107">
        <f>IF(A26taxstdlife="n/a","n/a",IF(I$3&gt;(A26taxstdlife+$E807),(('PTRM input'!$G$168+'PTRM input'!$G$134)*$G$7)-SUM($G807:H807),(('PTRM input'!$G$168+'PTRM input'!$G$134)*$G$7)/A26taxstdlife))</f>
        <v>0</v>
      </c>
      <c r="J807" s="107">
        <f>IF(A26taxstdlife="n/a","n/a",IF(J$3&gt;(A26taxstdlife+$E807),(('PTRM input'!$G$168+'PTRM input'!$G$134)*$G$7)-SUM($G807:I807),(('PTRM input'!$G$168+'PTRM input'!$G$134)*$G$7)/A26taxstdlife))</f>
        <v>0</v>
      </c>
      <c r="K807" s="107">
        <f>IF(A26taxstdlife="n/a","n/a",IF(K$3&gt;(A26taxstdlife+$E807),(('PTRM input'!$G$168+'PTRM input'!$G$134)*$G$7)-SUM($G807:J807),(('PTRM input'!$G$168+'PTRM input'!$G$134)*$G$7)/A26taxstdlife))</f>
        <v>0</v>
      </c>
      <c r="L807" s="107">
        <f>IF(A26taxstdlife="n/a","n/a",IF(L$3&gt;(A26taxstdlife+$E807),(('PTRM input'!$G$168+'PTRM input'!$G$134)*$G$7)-SUM($G807:K807),(('PTRM input'!$G$168+'PTRM input'!$G$134)*$G$7)/A26taxstdlife))</f>
        <v>0</v>
      </c>
      <c r="M807" s="107">
        <f>IF(A26taxstdlife="n/a","n/a",IF(M$3&gt;(A26taxstdlife+$E807),(('PTRM input'!$G$168+'PTRM input'!$G$134)*$G$7)-SUM($G807:L807),(('PTRM input'!$G$168+'PTRM input'!$G$134)*$G$7)/A26taxstdlife))</f>
        <v>0</v>
      </c>
      <c r="N807" s="107">
        <f>IF(A26taxstdlife="n/a","n/a",IF(N$3&gt;(A26taxstdlife+$E807),(('PTRM input'!$G$168+'PTRM input'!$G$134)*$G$7)-SUM($G807:M807),(('PTRM input'!$G$168+'PTRM input'!$G$134)*$G$7)/A26taxstdlife))</f>
        <v>0</v>
      </c>
      <c r="O807" s="107">
        <f>IF(A26taxstdlife="n/a","n/a",IF(O$3&gt;(A26taxstdlife+$E807),(('PTRM input'!$G$168+'PTRM input'!$G$134)*$G$7)-SUM($G807:N807),(('PTRM input'!$G$168+'PTRM input'!$G$134)*$G$7)/A26taxstdlife))</f>
        <v>0</v>
      </c>
      <c r="P807" s="107">
        <f>IF(A26taxstdlife="n/a","n/a",IF(P$3&gt;(A26taxstdlife+$E807),(('PTRM input'!$G$168+'PTRM input'!$G$134)*$G$7)-SUM($G807:O807),(('PTRM input'!$G$168+'PTRM input'!$G$134)*$G$7)/A26taxstdlife))</f>
        <v>0</v>
      </c>
      <c r="Q807" s="590">
        <f>IF(A26taxstdlife="n/a","n/a",IF(Q$3&gt;(A26taxstdlife+$E807),(('PTRM input'!$G$168+'PTRM input'!$G$134)*$G$7)-SUM($G807:P807),(('PTRM input'!$G$168+'PTRM input'!$G$134)*$G$7)/A26taxstdlife))</f>
        <v>0</v>
      </c>
      <c r="R807" s="590">
        <f>IF(A26taxstdlife="n/a","n/a",IF(R$3&gt;(A26taxstdlife+$E807),(('PTRM input'!$G$168+'PTRM input'!$G$134)*$G$7)-SUM($G807:Q807),(('PTRM input'!$G$168+'PTRM input'!$G$134)*$G$7)/A26taxstdlife))</f>
        <v>0</v>
      </c>
      <c r="S807" s="590">
        <f>IF(A26taxstdlife="n/a","n/a",IF(S$3&gt;(A26taxstdlife+$E807),(('PTRM input'!$G$168+'PTRM input'!$G$134)*$G$7)-SUM($G807:R807),(('PTRM input'!$G$168+'PTRM input'!$G$134)*$G$7)/A26taxstdlife))</f>
        <v>0</v>
      </c>
      <c r="T807" s="590">
        <f>IF(A26taxstdlife="n/a","n/a",IF(T$3&gt;(A26taxstdlife+$E807),(('PTRM input'!$G$168+'PTRM input'!$G$134)*$G$7)-SUM($G807:S807),(('PTRM input'!$G$168+'PTRM input'!$G$134)*$G$7)/A26taxstdlife))</f>
        <v>0</v>
      </c>
      <c r="U807" s="590">
        <f>IF(A26taxstdlife="n/a","n/a",IF(U$3&gt;(A26taxstdlife+$E807),(('PTRM input'!$G$168+'PTRM input'!$G$134)*$G$7)-SUM($G807:T807),(('PTRM input'!$G$168+'PTRM input'!$G$134)*$G$7)/A26taxstdlife))</f>
        <v>0</v>
      </c>
      <c r="V807" s="590">
        <f>IF(A26taxstdlife="n/a","n/a",IF(V$3&gt;(A26taxstdlife+$E807),(('PTRM input'!$G$168+'PTRM input'!$G$134)*$G$7)-SUM($G807:U807),(('PTRM input'!$G$168+'PTRM input'!$G$134)*$G$7)/A26taxstdlife))</f>
        <v>0</v>
      </c>
      <c r="W807" s="590">
        <f>IF(A26taxstdlife="n/a","n/a",IF(W$3&gt;(A26taxstdlife+$E807),(('PTRM input'!$G$168+'PTRM input'!$G$134)*$G$7)-SUM($G807:V807),(('PTRM input'!$G$168+'PTRM input'!$G$134)*$G$7)/A26taxstdlife))</f>
        <v>0</v>
      </c>
      <c r="X807" s="590">
        <f>IF(A26taxstdlife="n/a","n/a",IF(X$3&gt;(A26taxstdlife+$E807),(('PTRM input'!$G$168+'PTRM input'!$G$134)*$G$7)-SUM($G807:W807),(('PTRM input'!$G$168+'PTRM input'!$G$134)*$G$7)/A26taxstdlife))</f>
        <v>0</v>
      </c>
      <c r="Y807" s="590">
        <f>IF(A26taxstdlife="n/a","n/a",IF(Y$3&gt;(A26taxstdlife+$E807),(('PTRM input'!$G$168+'PTRM input'!$G$134)*$G$7)-SUM($G807:X807),(('PTRM input'!$G$168+'PTRM input'!$G$134)*$G$7)/A26taxstdlife))</f>
        <v>0</v>
      </c>
      <c r="Z807" s="590">
        <f>IF(A26taxstdlife="n/a","n/a",IF(Z$3&gt;(A26taxstdlife+$E807),(('PTRM input'!$G$168+'PTRM input'!$G$134)*$G$7)-SUM($G807:Y807),(('PTRM input'!$G$168+'PTRM input'!$G$134)*$G$7)/A26taxstdlife))</f>
        <v>0</v>
      </c>
      <c r="AA807" s="590">
        <f>IF(A26taxstdlife="n/a","n/a",IF(AA$3&gt;(A26taxstdlife+$E807),(('PTRM input'!$G$168+'PTRM input'!$G$134)*$G$7)-SUM($G807:Z807),(('PTRM input'!$G$168+'PTRM input'!$G$134)*$G$7)/A26taxstdlife))</f>
        <v>0</v>
      </c>
      <c r="AB807" s="590">
        <f>IF(A26taxstdlife="n/a","n/a",IF(AB$3&gt;(A26taxstdlife+$E807),(('PTRM input'!$G$168+'PTRM input'!$G$134)*$G$7)-SUM($G807:AA807),(('PTRM input'!$G$168+'PTRM input'!$G$134)*$G$7)/A26taxstdlife))</f>
        <v>0</v>
      </c>
      <c r="AC807" s="590">
        <f>IF(A26taxstdlife="n/a","n/a",IF(AC$3&gt;(A26taxstdlife+$E807),(('PTRM input'!$G$168+'PTRM input'!$G$134)*$G$7)-SUM($G807:AB807),(('PTRM input'!$G$168+'PTRM input'!$G$134)*$G$7)/A26taxstdlife))</f>
        <v>0</v>
      </c>
      <c r="AD807" s="590">
        <f>IF(A26taxstdlife="n/a","n/a",IF(AD$3&gt;(A26taxstdlife+$E807),(('PTRM input'!$G$168+'PTRM input'!$G$134)*$G$7)-SUM($G807:AC807),(('PTRM input'!$G$168+'PTRM input'!$G$134)*$G$7)/A26taxstdlife))</f>
        <v>0</v>
      </c>
      <c r="AE807" s="590">
        <f>IF(A26taxstdlife="n/a","n/a",IF(AE$3&gt;(A26taxstdlife+$E807),(('PTRM input'!$G$168+'PTRM input'!$G$134)*$G$7)-SUM($G807:AD807),(('PTRM input'!$G$168+'PTRM input'!$G$134)*$G$7)/A26taxstdlife))</f>
        <v>0</v>
      </c>
      <c r="AF807" s="590">
        <f>IF(A26taxstdlife="n/a","n/a",IF(AF$3&gt;(A26taxstdlife+$E807),(('PTRM input'!$G$168+'PTRM input'!$G$134)*$G$7)-SUM($G807:AE807),(('PTRM input'!$G$168+'PTRM input'!$G$134)*$G$7)/A26taxstdlife))</f>
        <v>0</v>
      </c>
      <c r="AG807" s="590">
        <f>IF(A26taxstdlife="n/a","n/a",IF(AG$3&gt;(A26taxstdlife+$E807),(('PTRM input'!$G$168+'PTRM input'!$G$134)*$G$7)-SUM($G807:AF807),(('PTRM input'!$G$168+'PTRM input'!$G$134)*$G$7)/A26taxstdlife))</f>
        <v>0</v>
      </c>
      <c r="AH807" s="590">
        <f>IF(A26taxstdlife="n/a","n/a",IF(AH$3&gt;(A26taxstdlife+$E807),(('PTRM input'!$G$168+'PTRM input'!$G$134)*$G$7)-SUM($G807:AG807),(('PTRM input'!$G$168+'PTRM input'!$G$134)*$G$7)/A26taxstdlife))</f>
        <v>0</v>
      </c>
      <c r="AI807" s="590">
        <f>IF(A26taxstdlife="n/a","n/a",IF(AI$3&gt;(A26taxstdlife+$E807),(('PTRM input'!$G$168+'PTRM input'!$G$134)*$G$7)-SUM($G807:AH807),(('PTRM input'!$G$168+'PTRM input'!$G$134)*$G$7)/A26taxstdlife))</f>
        <v>0</v>
      </c>
      <c r="AJ807" s="590">
        <f>IF(A26taxstdlife="n/a","n/a",IF(AJ$3&gt;(A26taxstdlife+$E807),(('PTRM input'!$G$168+'PTRM input'!$G$134)*$G$7)-SUM($G807:AI807),(('PTRM input'!$G$168+'PTRM input'!$G$134)*$G$7)/A26taxstdlife))</f>
        <v>0</v>
      </c>
      <c r="AK807" s="590">
        <f>IF(A26taxstdlife="n/a","n/a",IF(AK$3&gt;(A26taxstdlife+$E807),(('PTRM input'!$G$168+'PTRM input'!$G$134)*$G$7)-SUM($G807:AJ807),(('PTRM input'!$G$168+'PTRM input'!$G$134)*$G$7)/A26taxstdlife))</f>
        <v>0</v>
      </c>
      <c r="AL807" s="590">
        <f>IF(A26taxstdlife="n/a","n/a",IF(AL$3&gt;(A26taxstdlife+$E807),(('PTRM input'!$G$168+'PTRM input'!$G$134)*$G$7)-SUM($G807:AK807),(('PTRM input'!$G$168+'PTRM input'!$G$134)*$G$7)/A26taxstdlife))</f>
        <v>0</v>
      </c>
      <c r="AM807" s="590">
        <f>IF(A26taxstdlife="n/a","n/a",IF(AM$3&gt;(A26taxstdlife+$E807),(('PTRM input'!$G$168+'PTRM input'!$G$134)*$G$7)-SUM($G807:AL807),(('PTRM input'!$G$168+'PTRM input'!$G$134)*$G$7)/A26taxstdlife))</f>
        <v>0</v>
      </c>
      <c r="AN807" s="590">
        <f>IF(A26taxstdlife="n/a","n/a",IF(AN$3&gt;(A26taxstdlife+$E807),(('PTRM input'!$G$168+'PTRM input'!$G$134)*$G$7)-SUM($G807:AM807),(('PTRM input'!$G$168+'PTRM input'!$G$134)*$G$7)/A26taxstdlife))</f>
        <v>0</v>
      </c>
      <c r="AO807" s="590">
        <f>IF(A26taxstdlife="n/a","n/a",IF(AO$3&gt;(A26taxstdlife+$E807),(('PTRM input'!$G$168+'PTRM input'!$G$134)*$G$7)-SUM($G807:AN807),(('PTRM input'!$G$168+'PTRM input'!$G$134)*$G$7)/A26taxstdlife))</f>
        <v>0</v>
      </c>
      <c r="AP807" s="590">
        <f>IF(A26taxstdlife="n/a","n/a",IF(AP$3&gt;(A26taxstdlife+$E807),(('PTRM input'!$G$168+'PTRM input'!$G$134)*$G$7)-SUM($G807:AO807),(('PTRM input'!$G$168+'PTRM input'!$G$134)*$G$7)/A26taxstdlife))</f>
        <v>0</v>
      </c>
      <c r="AQ807" s="590">
        <f>IF(A26taxstdlife="n/a","n/a",IF(AQ$3&gt;(A26taxstdlife+$E807),(('PTRM input'!$G$168+'PTRM input'!$G$134)*$G$7)-SUM($G807:AP807),(('PTRM input'!$G$168+'PTRM input'!$G$134)*$G$7)/A26taxstdlife))</f>
        <v>0</v>
      </c>
      <c r="AR807" s="590">
        <f>IF(A26taxstdlife="n/a","n/a",IF(AR$3&gt;(A26taxstdlife+$E807),(('PTRM input'!$G$168+'PTRM input'!$G$134)*$G$7)-SUM($G807:AQ807),(('PTRM input'!$G$168+'PTRM input'!$G$134)*$G$7)/A26taxstdlife))</f>
        <v>0</v>
      </c>
      <c r="AS807" s="590">
        <f>IF(A26taxstdlife="n/a","n/a",IF(AS$3&gt;(A26taxstdlife+$E807),(('PTRM input'!$G$168+'PTRM input'!$G$134)*$G$7)-SUM($G807:AR807),(('PTRM input'!$G$168+'PTRM input'!$G$134)*$G$7)/A26taxstdlife))</f>
        <v>0</v>
      </c>
      <c r="AT807" s="590">
        <f>IF(A26taxstdlife="n/a","n/a",IF(AT$3&gt;(A26taxstdlife+$E807),(('PTRM input'!$G$168+'PTRM input'!$G$134)*$G$7)-SUM($G807:AS807),(('PTRM input'!$G$168+'PTRM input'!$G$134)*$G$7)/A26taxstdlife))</f>
        <v>0</v>
      </c>
      <c r="AU807" s="590">
        <f>IF(A26taxstdlife="n/a","n/a",IF(AU$3&gt;(A26taxstdlife+$E807),(('PTRM input'!$G$168+'PTRM input'!$G$134)*$G$7)-SUM($G807:AT807),(('PTRM input'!$G$168+'PTRM input'!$G$134)*$G$7)/A26taxstdlife))</f>
        <v>0</v>
      </c>
      <c r="AV807" s="590">
        <f>IF(A26taxstdlife="n/a","n/a",IF(AV$3&gt;(A26taxstdlife+$E807),(('PTRM input'!$G$168+'PTRM input'!$G$134)*$G$7)-SUM($G807:AU807),(('PTRM input'!$G$168+'PTRM input'!$G$134)*$G$7)/A26taxstdlife))</f>
        <v>0</v>
      </c>
      <c r="AW807" s="590">
        <f>IF(A26taxstdlife="n/a","n/a",IF(AW$3&gt;(A26taxstdlife+$E807),(('PTRM input'!$G$168+'PTRM input'!$G$134)*$G$7)-SUM($G807:AV807),(('PTRM input'!$G$168+'PTRM input'!$G$134)*$G$7)/A26taxstdlife))</f>
        <v>0</v>
      </c>
      <c r="AX807" s="590">
        <f>IF(A26taxstdlife="n/a","n/a",IF(AX$3&gt;(A26taxstdlife+$E807),(('PTRM input'!$G$168+'PTRM input'!$G$134)*$G$7)-SUM($G807:AW807),(('PTRM input'!$G$168+'PTRM input'!$G$134)*$G$7)/A26taxstdlife))</f>
        <v>0</v>
      </c>
      <c r="AY807" s="590">
        <f>IF(A26taxstdlife="n/a","n/a",IF(AY$3&gt;(A26taxstdlife+$E807),(('PTRM input'!$G$168+'PTRM input'!$G$134)*$G$7)-SUM($G807:AX807),(('PTRM input'!$G$168+'PTRM input'!$G$134)*$G$7)/A26taxstdlife))</f>
        <v>0</v>
      </c>
      <c r="AZ807" s="590">
        <f>IF(A26taxstdlife="n/a","n/a",IF(AZ$3&gt;(A26taxstdlife+$E807),(('PTRM input'!$G$168+'PTRM input'!$G$134)*$G$7)-SUM($G807:AY807),(('PTRM input'!$G$168+'PTRM input'!$G$134)*$G$7)/A26taxstdlife))</f>
        <v>0</v>
      </c>
      <c r="BA807" s="590">
        <f>IF(A26taxstdlife="n/a","n/a",IF(BA$3&gt;(A26taxstdlife+$E807),(('PTRM input'!$G$168+'PTRM input'!$G$134)*$G$7)-SUM($G807:AZ807),(('PTRM input'!$G$168+'PTRM input'!$G$134)*$G$7)/A26taxstdlife))</f>
        <v>0</v>
      </c>
      <c r="BB807" s="590">
        <f>IF(A26taxstdlife="n/a","n/a",IF(BB$3&gt;(A26taxstdlife+$E807),(('PTRM input'!$G$168+'PTRM input'!$G$134)*$G$7)-SUM($G807:BA807),(('PTRM input'!$G$168+'PTRM input'!$G$134)*$G$7)/A26taxstdlife))</f>
        <v>0</v>
      </c>
      <c r="BC807" s="590">
        <f>IF(A26taxstdlife="n/a","n/a",IF(BC$3&gt;(A26taxstdlife+$E807),(('PTRM input'!$G$168+'PTRM input'!$G$134)*$G$7)-SUM($G807:BB807),(('PTRM input'!$G$168+'PTRM input'!$G$134)*$G$7)/A26taxstdlife))</f>
        <v>0</v>
      </c>
      <c r="BD807" s="590">
        <f>IF(A26taxstdlife="n/a","n/a",IF(BD$3&gt;(A26taxstdlife+$E807),(('PTRM input'!$G$168+'PTRM input'!$G$134)*$G$7)-SUM($G807:BC807),(('PTRM input'!$G$168+'PTRM input'!$G$134)*$G$7)/A26taxstdlife))</f>
        <v>0</v>
      </c>
      <c r="BE807" s="590">
        <f>IF(A26taxstdlife="n/a","n/a",IF(BE$3&gt;(A26taxstdlife+$E807),(('PTRM input'!$G$168+'PTRM input'!$G$134)*$G$7)-SUM($G807:BD807),(('PTRM input'!$G$168+'PTRM input'!$G$134)*$G$7)/A26taxstdlife))</f>
        <v>0</v>
      </c>
      <c r="BF807" s="590">
        <f>IF(A26taxstdlife="n/a","n/a",IF(BF$3&gt;(A26taxstdlife+$E807),(('PTRM input'!$G$168+'PTRM input'!$G$134)*$G$7)-SUM($G807:BE807),(('PTRM input'!$G$168+'PTRM input'!$G$134)*$G$7)/A26taxstdlife))</f>
        <v>0</v>
      </c>
      <c r="BG807" s="590">
        <f>IF(A26taxstdlife="n/a","n/a",IF(BG$3&gt;(A26taxstdlife+$E807),(('PTRM input'!$G$168+'PTRM input'!$G$134)*$G$7)-SUM($G807:BF807),(('PTRM input'!$G$168+'PTRM input'!$G$134)*$G$7)/A26taxstdlife))</f>
        <v>0</v>
      </c>
      <c r="BH807" s="590">
        <f>IF(A26taxstdlife="n/a","n/a",IF(BH$3&gt;(A26taxstdlife+$E807),(('PTRM input'!$G$168+'PTRM input'!$G$134)*$G$7)-SUM($G807:BG807),(('PTRM input'!$G$168+'PTRM input'!$G$134)*$G$7)/A26taxstdlife))</f>
        <v>0</v>
      </c>
      <c r="BI807" s="590">
        <f>IF(A26taxstdlife="n/a","n/a",IF(BI$3&gt;(A26taxstdlife+$E807),(('PTRM input'!$G$168+'PTRM input'!$G$134)*$G$7)-SUM($G807:BH807),(('PTRM input'!$G$168+'PTRM input'!$G$134)*$G$7)/A26taxstdlife))</f>
        <v>0</v>
      </c>
      <c r="BJ807" s="240"/>
      <c r="BK807" s="240"/>
      <c r="BL807" s="240"/>
      <c r="BM807" s="240"/>
    </row>
    <row r="808" spans="1:65" s="4" customFormat="1" hidden="1" outlineLevel="2">
      <c r="A808" s="240"/>
      <c r="B808" s="240"/>
      <c r="C808" s="595"/>
      <c r="D808" s="1618"/>
      <c r="E808" s="169">
        <v>2</v>
      </c>
      <c r="F808" s="35"/>
      <c r="G808" s="184"/>
      <c r="H808" s="185"/>
      <c r="I808" s="107">
        <f>IF(A26taxstdlife="n/a","n/a",IF(I$3&gt;(A26taxstdlife+$E808),(('PTRM input'!$H$168+'PTRM input'!$H$134)*$H$7)-SUM($H808:H808),(('PTRM input'!$H$168+'PTRM input'!$H$134)*$H$7)/A26taxstdlife))</f>
        <v>0</v>
      </c>
      <c r="J808" s="107">
        <f>IF(A26taxstdlife="n/a","n/a",IF(J$3&gt;(A26taxstdlife+$E808),(('PTRM input'!$H$168+'PTRM input'!$H$134)*$H$7)-SUM($H808:I808),(('PTRM input'!$H$168+'PTRM input'!$H$134)*$H$7)/A26taxstdlife))</f>
        <v>0</v>
      </c>
      <c r="K808" s="107">
        <f>IF(A26taxstdlife="n/a","n/a",IF(K$3&gt;(A26taxstdlife+$E808),(('PTRM input'!$H$168+'PTRM input'!$H$134)*$H$7)-SUM($H808:J808),(('PTRM input'!$H$168+'PTRM input'!$H$134)*$H$7)/A26taxstdlife))</f>
        <v>0</v>
      </c>
      <c r="L808" s="107">
        <f>IF(A26taxstdlife="n/a","n/a",IF(L$3&gt;(A26taxstdlife+$E808),(('PTRM input'!$H$168+'PTRM input'!$H$134)*$H$7)-SUM($H808:K808),(('PTRM input'!$H$168+'PTRM input'!$H$134)*$H$7)/A26taxstdlife))</f>
        <v>0</v>
      </c>
      <c r="M808" s="107">
        <f>IF(A26taxstdlife="n/a","n/a",IF(M$3&gt;(A26taxstdlife+$E808),(('PTRM input'!$H$168+'PTRM input'!$H$134)*$H$7)-SUM($H808:L808),(('PTRM input'!$H$168+'PTRM input'!$H$134)*$H$7)/A26taxstdlife))</f>
        <v>0</v>
      </c>
      <c r="N808" s="107">
        <f>IF(A26taxstdlife="n/a","n/a",IF(N$3&gt;(A26taxstdlife+$E808),(('PTRM input'!$H$168+'PTRM input'!$H$134)*$H$7)-SUM($H808:M808),(('PTRM input'!$H$168+'PTRM input'!$H$134)*$H$7)/A26taxstdlife))</f>
        <v>0</v>
      </c>
      <c r="O808" s="107">
        <f>IF(A26taxstdlife="n/a","n/a",IF(O$3&gt;(A26taxstdlife+$E808),(('PTRM input'!$H$168+'PTRM input'!$H$134)*$H$7)-SUM($H808:N808),(('PTRM input'!$H$168+'PTRM input'!$H$134)*$H$7)/A26taxstdlife))</f>
        <v>0</v>
      </c>
      <c r="P808" s="107">
        <f>IF(A26taxstdlife="n/a","n/a",IF(P$3&gt;(A26taxstdlife+$E808),(('PTRM input'!$H$168+'PTRM input'!$H$134)*$H$7)-SUM($H808:O808),(('PTRM input'!$H$168+'PTRM input'!$H$134)*$H$7)/A26taxstdlife))</f>
        <v>0</v>
      </c>
      <c r="Q808" s="590">
        <f>IF(A26taxstdlife="n/a","n/a",IF(Q$3&gt;(A26taxstdlife+$E808),(('PTRM input'!$H$168+'PTRM input'!$H$134)*$H$7)-SUM($H808:P808),(('PTRM input'!$H$168+'PTRM input'!$H$134)*$H$7)/A26taxstdlife))</f>
        <v>0</v>
      </c>
      <c r="R808" s="590">
        <f>IF(A26taxstdlife="n/a","n/a",IF(R$3&gt;(A26taxstdlife+$E808),(('PTRM input'!$H$168+'PTRM input'!$H$134)*$H$7)-SUM($H808:Q808),(('PTRM input'!$H$168+'PTRM input'!$H$134)*$H$7)/A26taxstdlife))</f>
        <v>0</v>
      </c>
      <c r="S808" s="590">
        <f>IF(A26taxstdlife="n/a","n/a",IF(S$3&gt;(A26taxstdlife+$E808),(('PTRM input'!$H$168+'PTRM input'!$H$134)*$H$7)-SUM($H808:R808),(('PTRM input'!$H$168+'PTRM input'!$H$134)*$H$7)/A26taxstdlife))</f>
        <v>0</v>
      </c>
      <c r="T808" s="590">
        <f>IF(A26taxstdlife="n/a","n/a",IF(T$3&gt;(A26taxstdlife+$E808),(('PTRM input'!$H$168+'PTRM input'!$H$134)*$H$7)-SUM($H808:S808),(('PTRM input'!$H$168+'PTRM input'!$H$134)*$H$7)/A26taxstdlife))</f>
        <v>0</v>
      </c>
      <c r="U808" s="590">
        <f>IF(A26taxstdlife="n/a","n/a",IF(U$3&gt;(A26taxstdlife+$E808),(('PTRM input'!$H$168+'PTRM input'!$H$134)*$H$7)-SUM($H808:T808),(('PTRM input'!$H$168+'PTRM input'!$H$134)*$H$7)/A26taxstdlife))</f>
        <v>0</v>
      </c>
      <c r="V808" s="590">
        <f>IF(A26taxstdlife="n/a","n/a",IF(V$3&gt;(A26taxstdlife+$E808),(('PTRM input'!$H$168+'PTRM input'!$H$134)*$H$7)-SUM($H808:U808),(('PTRM input'!$H$168+'PTRM input'!$H$134)*$H$7)/A26taxstdlife))</f>
        <v>0</v>
      </c>
      <c r="W808" s="590">
        <f>IF(A26taxstdlife="n/a","n/a",IF(W$3&gt;(A26taxstdlife+$E808),(('PTRM input'!$H$168+'PTRM input'!$H$134)*$H$7)-SUM($H808:V808),(('PTRM input'!$H$168+'PTRM input'!$H$134)*$H$7)/A26taxstdlife))</f>
        <v>0</v>
      </c>
      <c r="X808" s="590">
        <f>IF(A26taxstdlife="n/a","n/a",IF(X$3&gt;(A26taxstdlife+$E808),(('PTRM input'!$H$168+'PTRM input'!$H$134)*$H$7)-SUM($H808:W808),(('PTRM input'!$H$168+'PTRM input'!$H$134)*$H$7)/A26taxstdlife))</f>
        <v>0</v>
      </c>
      <c r="Y808" s="590">
        <f>IF(A26taxstdlife="n/a","n/a",IF(Y$3&gt;(A26taxstdlife+$E808),(('PTRM input'!$H$168+'PTRM input'!$H$134)*$H$7)-SUM($H808:X808),(('PTRM input'!$H$168+'PTRM input'!$H$134)*$H$7)/A26taxstdlife))</f>
        <v>0</v>
      </c>
      <c r="Z808" s="590">
        <f>IF(A26taxstdlife="n/a","n/a",IF(Z$3&gt;(A26taxstdlife+$E808),(('PTRM input'!$H$168+'PTRM input'!$H$134)*$H$7)-SUM($H808:Y808),(('PTRM input'!$H$168+'PTRM input'!$H$134)*$H$7)/A26taxstdlife))</f>
        <v>0</v>
      </c>
      <c r="AA808" s="590">
        <f>IF(A26taxstdlife="n/a","n/a",IF(AA$3&gt;(A26taxstdlife+$E808),(('PTRM input'!$H$168+'PTRM input'!$H$134)*$H$7)-SUM($H808:Z808),(('PTRM input'!$H$168+'PTRM input'!$H$134)*$H$7)/A26taxstdlife))</f>
        <v>0</v>
      </c>
      <c r="AB808" s="590">
        <f>IF(A26taxstdlife="n/a","n/a",IF(AB$3&gt;(A26taxstdlife+$E808),(('PTRM input'!$H$168+'PTRM input'!$H$134)*$H$7)-SUM($H808:AA808),(('PTRM input'!$H$168+'PTRM input'!$H$134)*$H$7)/A26taxstdlife))</f>
        <v>0</v>
      </c>
      <c r="AC808" s="590">
        <f>IF(A26taxstdlife="n/a","n/a",IF(AC$3&gt;(A26taxstdlife+$E808),(('PTRM input'!$H$168+'PTRM input'!$H$134)*$H$7)-SUM($H808:AB808),(('PTRM input'!$H$168+'PTRM input'!$H$134)*$H$7)/A26taxstdlife))</f>
        <v>0</v>
      </c>
      <c r="AD808" s="590">
        <f>IF(A26taxstdlife="n/a","n/a",IF(AD$3&gt;(A26taxstdlife+$E808),(('PTRM input'!$H$168+'PTRM input'!$H$134)*$H$7)-SUM($H808:AC808),(('PTRM input'!$H$168+'PTRM input'!$H$134)*$H$7)/A26taxstdlife))</f>
        <v>0</v>
      </c>
      <c r="AE808" s="590">
        <f>IF(A26taxstdlife="n/a","n/a",IF(AE$3&gt;(A26taxstdlife+$E808),(('PTRM input'!$H$168+'PTRM input'!$H$134)*$H$7)-SUM($H808:AD808),(('PTRM input'!$H$168+'PTRM input'!$H$134)*$H$7)/A26taxstdlife))</f>
        <v>0</v>
      </c>
      <c r="AF808" s="590">
        <f>IF(A26taxstdlife="n/a","n/a",IF(AF$3&gt;(A26taxstdlife+$E808),(('PTRM input'!$H$168+'PTRM input'!$H$134)*$H$7)-SUM($H808:AE808),(('PTRM input'!$H$168+'PTRM input'!$H$134)*$H$7)/A26taxstdlife))</f>
        <v>0</v>
      </c>
      <c r="AG808" s="590">
        <f>IF(A26taxstdlife="n/a","n/a",IF(AG$3&gt;(A26taxstdlife+$E808),(('PTRM input'!$H$168+'PTRM input'!$H$134)*$H$7)-SUM($H808:AF808),(('PTRM input'!$H$168+'PTRM input'!$H$134)*$H$7)/A26taxstdlife))</f>
        <v>0</v>
      </c>
      <c r="AH808" s="590">
        <f>IF(A26taxstdlife="n/a","n/a",IF(AH$3&gt;(A26taxstdlife+$E808),(('PTRM input'!$H$168+'PTRM input'!$H$134)*$H$7)-SUM($H808:AG808),(('PTRM input'!$H$168+'PTRM input'!$H$134)*$H$7)/A26taxstdlife))</f>
        <v>0</v>
      </c>
      <c r="AI808" s="590">
        <f>IF(A26taxstdlife="n/a","n/a",IF(AI$3&gt;(A26taxstdlife+$E808),(('PTRM input'!$H$168+'PTRM input'!$H$134)*$H$7)-SUM($H808:AH808),(('PTRM input'!$H$168+'PTRM input'!$H$134)*$H$7)/A26taxstdlife))</f>
        <v>0</v>
      </c>
      <c r="AJ808" s="590">
        <f>IF(A26taxstdlife="n/a","n/a",IF(AJ$3&gt;(A26taxstdlife+$E808),(('PTRM input'!$H$168+'PTRM input'!$H$134)*$H$7)-SUM($H808:AI808),(('PTRM input'!$H$168+'PTRM input'!$H$134)*$H$7)/A26taxstdlife))</f>
        <v>0</v>
      </c>
      <c r="AK808" s="590">
        <f>IF(A26taxstdlife="n/a","n/a",IF(AK$3&gt;(A26taxstdlife+$E808),(('PTRM input'!$H$168+'PTRM input'!$H$134)*$H$7)-SUM($H808:AJ808),(('PTRM input'!$H$168+'PTRM input'!$H$134)*$H$7)/A26taxstdlife))</f>
        <v>0</v>
      </c>
      <c r="AL808" s="590">
        <f>IF(A26taxstdlife="n/a","n/a",IF(AL$3&gt;(A26taxstdlife+$E808),(('PTRM input'!$H$168+'PTRM input'!$H$134)*$H$7)-SUM($H808:AK808),(('PTRM input'!$H$168+'PTRM input'!$H$134)*$H$7)/A26taxstdlife))</f>
        <v>0</v>
      </c>
      <c r="AM808" s="590">
        <f>IF(A26taxstdlife="n/a","n/a",IF(AM$3&gt;(A26taxstdlife+$E808),(('PTRM input'!$H$168+'PTRM input'!$H$134)*$H$7)-SUM($H808:AL808),(('PTRM input'!$H$168+'PTRM input'!$H$134)*$H$7)/A26taxstdlife))</f>
        <v>0</v>
      </c>
      <c r="AN808" s="590">
        <f>IF(A26taxstdlife="n/a","n/a",IF(AN$3&gt;(A26taxstdlife+$E808),(('PTRM input'!$H$168+'PTRM input'!$H$134)*$H$7)-SUM($H808:AM808),(('PTRM input'!$H$168+'PTRM input'!$H$134)*$H$7)/A26taxstdlife))</f>
        <v>0</v>
      </c>
      <c r="AO808" s="590">
        <f>IF(A26taxstdlife="n/a","n/a",IF(AO$3&gt;(A26taxstdlife+$E808),(('PTRM input'!$H$168+'PTRM input'!$H$134)*$H$7)-SUM($H808:AN808),(('PTRM input'!$H$168+'PTRM input'!$H$134)*$H$7)/A26taxstdlife))</f>
        <v>0</v>
      </c>
      <c r="AP808" s="590">
        <f>IF(A26taxstdlife="n/a","n/a",IF(AP$3&gt;(A26taxstdlife+$E808),(('PTRM input'!$H$168+'PTRM input'!$H$134)*$H$7)-SUM($H808:AO808),(('PTRM input'!$H$168+'PTRM input'!$H$134)*$H$7)/A26taxstdlife))</f>
        <v>0</v>
      </c>
      <c r="AQ808" s="590">
        <f>IF(A26taxstdlife="n/a","n/a",IF(AQ$3&gt;(A26taxstdlife+$E808),(('PTRM input'!$H$168+'PTRM input'!$H$134)*$H$7)-SUM($H808:AP808),(('PTRM input'!$H$168+'PTRM input'!$H$134)*$H$7)/A26taxstdlife))</f>
        <v>0</v>
      </c>
      <c r="AR808" s="590">
        <f>IF(A26taxstdlife="n/a","n/a",IF(AR$3&gt;(A26taxstdlife+$E808),(('PTRM input'!$H$168+'PTRM input'!$H$134)*$H$7)-SUM($H808:AQ808),(('PTRM input'!$H$168+'PTRM input'!$H$134)*$H$7)/A26taxstdlife))</f>
        <v>0</v>
      </c>
      <c r="AS808" s="590">
        <f>IF(A26taxstdlife="n/a","n/a",IF(AS$3&gt;(A26taxstdlife+$E808),(('PTRM input'!$H$168+'PTRM input'!$H$134)*$H$7)-SUM($H808:AR808),(('PTRM input'!$H$168+'PTRM input'!$H$134)*$H$7)/A26taxstdlife))</f>
        <v>0</v>
      </c>
      <c r="AT808" s="590">
        <f>IF(A26taxstdlife="n/a","n/a",IF(AT$3&gt;(A26taxstdlife+$E808),(('PTRM input'!$H$168+'PTRM input'!$H$134)*$H$7)-SUM($H808:AS808),(('PTRM input'!$H$168+'PTRM input'!$H$134)*$H$7)/A26taxstdlife))</f>
        <v>0</v>
      </c>
      <c r="AU808" s="590">
        <f>IF(A26taxstdlife="n/a","n/a",IF(AU$3&gt;(A26taxstdlife+$E808),(('PTRM input'!$H$168+'PTRM input'!$H$134)*$H$7)-SUM($H808:AT808),(('PTRM input'!$H$168+'PTRM input'!$H$134)*$H$7)/A26taxstdlife))</f>
        <v>0</v>
      </c>
      <c r="AV808" s="590">
        <f>IF(A26taxstdlife="n/a","n/a",IF(AV$3&gt;(A26taxstdlife+$E808),(('PTRM input'!$H$168+'PTRM input'!$H$134)*$H$7)-SUM($H808:AU808),(('PTRM input'!$H$168+'PTRM input'!$H$134)*$H$7)/A26taxstdlife))</f>
        <v>0</v>
      </c>
      <c r="AW808" s="590">
        <f>IF(A26taxstdlife="n/a","n/a",IF(AW$3&gt;(A26taxstdlife+$E808),(('PTRM input'!$H$168+'PTRM input'!$H$134)*$H$7)-SUM($H808:AV808),(('PTRM input'!$H$168+'PTRM input'!$H$134)*$H$7)/A26taxstdlife))</f>
        <v>0</v>
      </c>
      <c r="AX808" s="590">
        <f>IF(A26taxstdlife="n/a","n/a",IF(AX$3&gt;(A26taxstdlife+$E808),(('PTRM input'!$H$168+'PTRM input'!$H$134)*$H$7)-SUM($H808:AW808),(('PTRM input'!$H$168+'PTRM input'!$H$134)*$H$7)/A26taxstdlife))</f>
        <v>0</v>
      </c>
      <c r="AY808" s="590">
        <f>IF(A26taxstdlife="n/a","n/a",IF(AY$3&gt;(A26taxstdlife+$E808),(('PTRM input'!$H$168+'PTRM input'!$H$134)*$H$7)-SUM($H808:AX808),(('PTRM input'!$H$168+'PTRM input'!$H$134)*$H$7)/A26taxstdlife))</f>
        <v>0</v>
      </c>
      <c r="AZ808" s="590">
        <f>IF(A26taxstdlife="n/a","n/a",IF(AZ$3&gt;(A26taxstdlife+$E808),(('PTRM input'!$H$168+'PTRM input'!$H$134)*$H$7)-SUM($H808:AY808),(('PTRM input'!$H$168+'PTRM input'!$H$134)*$H$7)/A26taxstdlife))</f>
        <v>0</v>
      </c>
      <c r="BA808" s="590">
        <f>IF(A26taxstdlife="n/a","n/a",IF(BA$3&gt;(A26taxstdlife+$E808),(('PTRM input'!$H$168+'PTRM input'!$H$134)*$H$7)-SUM($H808:AZ808),(('PTRM input'!$H$168+'PTRM input'!$H$134)*$H$7)/A26taxstdlife))</f>
        <v>0</v>
      </c>
      <c r="BB808" s="590">
        <f>IF(A26taxstdlife="n/a","n/a",IF(BB$3&gt;(A26taxstdlife+$E808),(('PTRM input'!$H$168+'PTRM input'!$H$134)*$H$7)-SUM($H808:BA808),(('PTRM input'!$H$168+'PTRM input'!$H$134)*$H$7)/A26taxstdlife))</f>
        <v>0</v>
      </c>
      <c r="BC808" s="590">
        <f>IF(A26taxstdlife="n/a","n/a",IF(BC$3&gt;(A26taxstdlife+$E808),(('PTRM input'!$H$168+'PTRM input'!$H$134)*$H$7)-SUM($H808:BB808),(('PTRM input'!$H$168+'PTRM input'!$H$134)*$H$7)/A26taxstdlife))</f>
        <v>0</v>
      </c>
      <c r="BD808" s="590">
        <f>IF(A26taxstdlife="n/a","n/a",IF(BD$3&gt;(A26taxstdlife+$E808),(('PTRM input'!$H$168+'PTRM input'!$H$134)*$H$7)-SUM($H808:BC808),(('PTRM input'!$H$168+'PTRM input'!$H$134)*$H$7)/A26taxstdlife))</f>
        <v>0</v>
      </c>
      <c r="BE808" s="590">
        <f>IF(A26taxstdlife="n/a","n/a",IF(BE$3&gt;(A26taxstdlife+$E808),(('PTRM input'!$H$168+'PTRM input'!$H$134)*$H$7)-SUM($H808:BD808),(('PTRM input'!$H$168+'PTRM input'!$H$134)*$H$7)/A26taxstdlife))</f>
        <v>0</v>
      </c>
      <c r="BF808" s="590">
        <f>IF(A26taxstdlife="n/a","n/a",IF(BF$3&gt;(A26taxstdlife+$E808),(('PTRM input'!$H$168+'PTRM input'!$H$134)*$H$7)-SUM($H808:BE808),(('PTRM input'!$H$168+'PTRM input'!$H$134)*$H$7)/A26taxstdlife))</f>
        <v>0</v>
      </c>
      <c r="BG808" s="590">
        <f>IF(A26taxstdlife="n/a","n/a",IF(BG$3&gt;(A26taxstdlife+$E808),(('PTRM input'!$H$168+'PTRM input'!$H$134)*$H$7)-SUM($H808:BF808),(('PTRM input'!$H$168+'PTRM input'!$H$134)*$H$7)/A26taxstdlife))</f>
        <v>0</v>
      </c>
      <c r="BH808" s="590">
        <f>IF(A26taxstdlife="n/a","n/a",IF(BH$3&gt;(A26taxstdlife+$E808),(('PTRM input'!$H$168+'PTRM input'!$H$134)*$H$7)-SUM($H808:BG808),(('PTRM input'!$H$168+'PTRM input'!$H$134)*$H$7)/A26taxstdlife))</f>
        <v>0</v>
      </c>
      <c r="BI808" s="590">
        <f>IF(A26taxstdlife="n/a","n/a",IF(BI$3&gt;(A26taxstdlife+$E808),(('PTRM input'!$H$168+'PTRM input'!$H$134)*$H$7)-SUM($H808:BH808),(('PTRM input'!$H$168+'PTRM input'!$H$134)*$H$7)/A26taxstdlife))</f>
        <v>0</v>
      </c>
      <c r="BJ808" s="240"/>
      <c r="BK808" s="240"/>
      <c r="BL808" s="240"/>
      <c r="BM808" s="240"/>
    </row>
    <row r="809" spans="1:65" s="4" customFormat="1" hidden="1" outlineLevel="2">
      <c r="A809" s="240"/>
      <c r="B809" s="240"/>
      <c r="C809" s="595"/>
      <c r="D809" s="1618"/>
      <c r="E809" s="169">
        <v>3</v>
      </c>
      <c r="F809" s="35"/>
      <c r="G809" s="184"/>
      <c r="H809" s="186"/>
      <c r="I809" s="185"/>
      <c r="J809" s="107">
        <f>IF(A26taxstdlife="n/a","n/a",IF(J$3&gt;(A26taxstdlife+$E809),(('PTRM input'!$I$168+'PTRM input'!$I$134)*$I$7)-SUM($I809:I809),(('PTRM input'!$I$168+'PTRM input'!$I$134)*$I$7)/A26taxstdlife))</f>
        <v>0</v>
      </c>
      <c r="K809" s="107">
        <f>IF(A26taxstdlife="n/a","n/a",IF(K$3&gt;(A26taxstdlife+$E809),(('PTRM input'!$I$168+'PTRM input'!$I$134)*$I$7)-SUM($I809:J809),(('PTRM input'!$I$168+'PTRM input'!$I$134)*$I$7)/A26taxstdlife))</f>
        <v>0</v>
      </c>
      <c r="L809" s="107">
        <f>IF(A26taxstdlife="n/a","n/a",IF(L$3&gt;(A26taxstdlife+$E809),(('PTRM input'!$I$168+'PTRM input'!$I$134)*$I$7)-SUM($I809:K809),(('PTRM input'!$I$168+'PTRM input'!$I$134)*$I$7)/A26taxstdlife))</f>
        <v>0</v>
      </c>
      <c r="M809" s="107">
        <f>IF(A26taxstdlife="n/a","n/a",IF(M$3&gt;(A26taxstdlife+$E809),(('PTRM input'!$I$168+'PTRM input'!$I$134)*$I$7)-SUM($I809:L809),(('PTRM input'!$I$168+'PTRM input'!$I$134)*$I$7)/A26taxstdlife))</f>
        <v>0</v>
      </c>
      <c r="N809" s="107">
        <f>IF(A26taxstdlife="n/a","n/a",IF(N$3&gt;(A26taxstdlife+$E809),(('PTRM input'!$I$168+'PTRM input'!$I$134)*$I$7)-SUM($I809:M809),(('PTRM input'!$I$168+'PTRM input'!$I$134)*$I$7)/A26taxstdlife))</f>
        <v>0</v>
      </c>
      <c r="O809" s="107">
        <f>IF(A26taxstdlife="n/a","n/a",IF(O$3&gt;(A26taxstdlife+$E809),(('PTRM input'!$I$168+'PTRM input'!$I$134)*$I$7)-SUM($I809:N809),(('PTRM input'!$I$168+'PTRM input'!$I$134)*$I$7)/A26taxstdlife))</f>
        <v>0</v>
      </c>
      <c r="P809" s="107">
        <f>IF(A26taxstdlife="n/a","n/a",IF(P$3&gt;(A26taxstdlife+$E809),(('PTRM input'!$I$168+'PTRM input'!$I$134)*$I$7)-SUM($I809:O809),(('PTRM input'!$I$168+'PTRM input'!$I$134)*$I$7)/A26taxstdlife))</f>
        <v>0</v>
      </c>
      <c r="Q809" s="590">
        <f>IF(A26taxstdlife="n/a","n/a",IF(Q$3&gt;(A26taxstdlife+$E809),(('PTRM input'!$I$168+'PTRM input'!$I$134)*$I$7)-SUM($I809:P809),(('PTRM input'!$I$168+'PTRM input'!$I$134)*$I$7)/A26taxstdlife))</f>
        <v>0</v>
      </c>
      <c r="R809" s="590">
        <f>IF(A26taxstdlife="n/a","n/a",IF(R$3&gt;(A26taxstdlife+$E809),(('PTRM input'!$I$168+'PTRM input'!$I$134)*$I$7)-SUM($I809:Q809),(('PTRM input'!$I$168+'PTRM input'!$I$134)*$I$7)/A26taxstdlife))</f>
        <v>0</v>
      </c>
      <c r="S809" s="590">
        <f>IF(A26taxstdlife="n/a","n/a",IF(S$3&gt;(A26taxstdlife+$E809),(('PTRM input'!$I$168+'PTRM input'!$I$134)*$I$7)-SUM($I809:R809),(('PTRM input'!$I$168+'PTRM input'!$I$134)*$I$7)/A26taxstdlife))</f>
        <v>0</v>
      </c>
      <c r="T809" s="590">
        <f>IF(A26taxstdlife="n/a","n/a",IF(T$3&gt;(A26taxstdlife+$E809),(('PTRM input'!$I$168+'PTRM input'!$I$134)*$I$7)-SUM($I809:S809),(('PTRM input'!$I$168+'PTRM input'!$I$134)*$I$7)/A26taxstdlife))</f>
        <v>0</v>
      </c>
      <c r="U809" s="590">
        <f>IF(A26taxstdlife="n/a","n/a",IF(U$3&gt;(A26taxstdlife+$E809),(('PTRM input'!$I$168+'PTRM input'!$I$134)*$I$7)-SUM($I809:T809),(('PTRM input'!$I$168+'PTRM input'!$I$134)*$I$7)/A26taxstdlife))</f>
        <v>0</v>
      </c>
      <c r="V809" s="590">
        <f>IF(A26taxstdlife="n/a","n/a",IF(V$3&gt;(A26taxstdlife+$E809),(('PTRM input'!$I$168+'PTRM input'!$I$134)*$I$7)-SUM($I809:U809),(('PTRM input'!$I$168+'PTRM input'!$I$134)*$I$7)/A26taxstdlife))</f>
        <v>0</v>
      </c>
      <c r="W809" s="590">
        <f>IF(A26taxstdlife="n/a","n/a",IF(W$3&gt;(A26taxstdlife+$E809),(('PTRM input'!$I$168+'PTRM input'!$I$134)*$I$7)-SUM($I809:V809),(('PTRM input'!$I$168+'PTRM input'!$I$134)*$I$7)/A26taxstdlife))</f>
        <v>0</v>
      </c>
      <c r="X809" s="590">
        <f>IF(A26taxstdlife="n/a","n/a",IF(X$3&gt;(A26taxstdlife+$E809),(('PTRM input'!$I$168+'PTRM input'!$I$134)*$I$7)-SUM($I809:W809),(('PTRM input'!$I$168+'PTRM input'!$I$134)*$I$7)/A26taxstdlife))</f>
        <v>0</v>
      </c>
      <c r="Y809" s="590">
        <f>IF(A26taxstdlife="n/a","n/a",IF(Y$3&gt;(A26taxstdlife+$E809),(('PTRM input'!$I$168+'PTRM input'!$I$134)*$I$7)-SUM($I809:X809),(('PTRM input'!$I$168+'PTRM input'!$I$134)*$I$7)/A26taxstdlife))</f>
        <v>0</v>
      </c>
      <c r="Z809" s="590">
        <f>IF(A26taxstdlife="n/a","n/a",IF(Z$3&gt;(A26taxstdlife+$E809),(('PTRM input'!$I$168+'PTRM input'!$I$134)*$I$7)-SUM($I809:Y809),(('PTRM input'!$I$168+'PTRM input'!$I$134)*$I$7)/A26taxstdlife))</f>
        <v>0</v>
      </c>
      <c r="AA809" s="590">
        <f>IF(A26taxstdlife="n/a","n/a",IF(AA$3&gt;(A26taxstdlife+$E809),(('PTRM input'!$I$168+'PTRM input'!$I$134)*$I$7)-SUM($I809:Z809),(('PTRM input'!$I$168+'PTRM input'!$I$134)*$I$7)/A26taxstdlife))</f>
        <v>0</v>
      </c>
      <c r="AB809" s="590">
        <f>IF(A26taxstdlife="n/a","n/a",IF(AB$3&gt;(A26taxstdlife+$E809),(('PTRM input'!$I$168+'PTRM input'!$I$134)*$I$7)-SUM($I809:AA809),(('PTRM input'!$I$168+'PTRM input'!$I$134)*$I$7)/A26taxstdlife))</f>
        <v>0</v>
      </c>
      <c r="AC809" s="590">
        <f>IF(A26taxstdlife="n/a","n/a",IF(AC$3&gt;(A26taxstdlife+$E809),(('PTRM input'!$I$168+'PTRM input'!$I$134)*$I$7)-SUM($I809:AB809),(('PTRM input'!$I$168+'PTRM input'!$I$134)*$I$7)/A26taxstdlife))</f>
        <v>0</v>
      </c>
      <c r="AD809" s="590">
        <f>IF(A26taxstdlife="n/a","n/a",IF(AD$3&gt;(A26taxstdlife+$E809),(('PTRM input'!$I$168+'PTRM input'!$I$134)*$I$7)-SUM($I809:AC809),(('PTRM input'!$I$168+'PTRM input'!$I$134)*$I$7)/A26taxstdlife))</f>
        <v>0</v>
      </c>
      <c r="AE809" s="590">
        <f>IF(A26taxstdlife="n/a","n/a",IF(AE$3&gt;(A26taxstdlife+$E809),(('PTRM input'!$I$168+'PTRM input'!$I$134)*$I$7)-SUM($I809:AD809),(('PTRM input'!$I$168+'PTRM input'!$I$134)*$I$7)/A26taxstdlife))</f>
        <v>0</v>
      </c>
      <c r="AF809" s="590">
        <f>IF(A26taxstdlife="n/a","n/a",IF(AF$3&gt;(A26taxstdlife+$E809),(('PTRM input'!$I$168+'PTRM input'!$I$134)*$I$7)-SUM($I809:AE809),(('PTRM input'!$I$168+'PTRM input'!$I$134)*$I$7)/A26taxstdlife))</f>
        <v>0</v>
      </c>
      <c r="AG809" s="590">
        <f>IF(A26taxstdlife="n/a","n/a",IF(AG$3&gt;(A26taxstdlife+$E809),(('PTRM input'!$I$168+'PTRM input'!$I$134)*$I$7)-SUM($I809:AF809),(('PTRM input'!$I$168+'PTRM input'!$I$134)*$I$7)/A26taxstdlife))</f>
        <v>0</v>
      </c>
      <c r="AH809" s="590">
        <f>IF(A26taxstdlife="n/a","n/a",IF(AH$3&gt;(A26taxstdlife+$E809),(('PTRM input'!$I$168+'PTRM input'!$I$134)*$I$7)-SUM($I809:AG809),(('PTRM input'!$I$168+'PTRM input'!$I$134)*$I$7)/A26taxstdlife))</f>
        <v>0</v>
      </c>
      <c r="AI809" s="590">
        <f>IF(A26taxstdlife="n/a","n/a",IF(AI$3&gt;(A26taxstdlife+$E809),(('PTRM input'!$I$168+'PTRM input'!$I$134)*$I$7)-SUM($I809:AH809),(('PTRM input'!$I$168+'PTRM input'!$I$134)*$I$7)/A26taxstdlife))</f>
        <v>0</v>
      </c>
      <c r="AJ809" s="590">
        <f>IF(A26taxstdlife="n/a","n/a",IF(AJ$3&gt;(A26taxstdlife+$E809),(('PTRM input'!$I$168+'PTRM input'!$I$134)*$I$7)-SUM($I809:AI809),(('PTRM input'!$I$168+'PTRM input'!$I$134)*$I$7)/A26taxstdlife))</f>
        <v>0</v>
      </c>
      <c r="AK809" s="590">
        <f>IF(A26taxstdlife="n/a","n/a",IF(AK$3&gt;(A26taxstdlife+$E809),(('PTRM input'!$I$168+'PTRM input'!$I$134)*$I$7)-SUM($I809:AJ809),(('PTRM input'!$I$168+'PTRM input'!$I$134)*$I$7)/A26taxstdlife))</f>
        <v>0</v>
      </c>
      <c r="AL809" s="590">
        <f>IF(A26taxstdlife="n/a","n/a",IF(AL$3&gt;(A26taxstdlife+$E809),(('PTRM input'!$I$168+'PTRM input'!$I$134)*$I$7)-SUM($I809:AK809),(('PTRM input'!$I$168+'PTRM input'!$I$134)*$I$7)/A26taxstdlife))</f>
        <v>0</v>
      </c>
      <c r="AM809" s="590">
        <f>IF(A26taxstdlife="n/a","n/a",IF(AM$3&gt;(A26taxstdlife+$E809),(('PTRM input'!$I$168+'PTRM input'!$I$134)*$I$7)-SUM($I809:AL809),(('PTRM input'!$I$168+'PTRM input'!$I$134)*$I$7)/A26taxstdlife))</f>
        <v>0</v>
      </c>
      <c r="AN809" s="590">
        <f>IF(A26taxstdlife="n/a","n/a",IF(AN$3&gt;(A26taxstdlife+$E809),(('PTRM input'!$I$168+'PTRM input'!$I$134)*$I$7)-SUM($I809:AM809),(('PTRM input'!$I$168+'PTRM input'!$I$134)*$I$7)/A26taxstdlife))</f>
        <v>0</v>
      </c>
      <c r="AO809" s="590">
        <f>IF(A26taxstdlife="n/a","n/a",IF(AO$3&gt;(A26taxstdlife+$E809),(('PTRM input'!$I$168+'PTRM input'!$I$134)*$I$7)-SUM($I809:AN809),(('PTRM input'!$I$168+'PTRM input'!$I$134)*$I$7)/A26taxstdlife))</f>
        <v>0</v>
      </c>
      <c r="AP809" s="590">
        <f>IF(A26taxstdlife="n/a","n/a",IF(AP$3&gt;(A26taxstdlife+$E809),(('PTRM input'!$I$168+'PTRM input'!$I$134)*$I$7)-SUM($I809:AO809),(('PTRM input'!$I$168+'PTRM input'!$I$134)*$I$7)/A26taxstdlife))</f>
        <v>0</v>
      </c>
      <c r="AQ809" s="590">
        <f>IF(A26taxstdlife="n/a","n/a",IF(AQ$3&gt;(A26taxstdlife+$E809),(('PTRM input'!$I$168+'PTRM input'!$I$134)*$I$7)-SUM($I809:AP809),(('PTRM input'!$I$168+'PTRM input'!$I$134)*$I$7)/A26taxstdlife))</f>
        <v>0</v>
      </c>
      <c r="AR809" s="590">
        <f>IF(A26taxstdlife="n/a","n/a",IF(AR$3&gt;(A26taxstdlife+$E809),(('PTRM input'!$I$168+'PTRM input'!$I$134)*$I$7)-SUM($I809:AQ809),(('PTRM input'!$I$168+'PTRM input'!$I$134)*$I$7)/A26taxstdlife))</f>
        <v>0</v>
      </c>
      <c r="AS809" s="590">
        <f>IF(A26taxstdlife="n/a","n/a",IF(AS$3&gt;(A26taxstdlife+$E809),(('PTRM input'!$I$168+'PTRM input'!$I$134)*$I$7)-SUM($I809:AR809),(('PTRM input'!$I$168+'PTRM input'!$I$134)*$I$7)/A26taxstdlife))</f>
        <v>0</v>
      </c>
      <c r="AT809" s="590">
        <f>IF(A26taxstdlife="n/a","n/a",IF(AT$3&gt;(A26taxstdlife+$E809),(('PTRM input'!$I$168+'PTRM input'!$I$134)*$I$7)-SUM($I809:AS809),(('PTRM input'!$I$168+'PTRM input'!$I$134)*$I$7)/A26taxstdlife))</f>
        <v>0</v>
      </c>
      <c r="AU809" s="590">
        <f>IF(A26taxstdlife="n/a","n/a",IF(AU$3&gt;(A26taxstdlife+$E809),(('PTRM input'!$I$168+'PTRM input'!$I$134)*$I$7)-SUM($I809:AT809),(('PTRM input'!$I$168+'PTRM input'!$I$134)*$I$7)/A26taxstdlife))</f>
        <v>0</v>
      </c>
      <c r="AV809" s="590">
        <f>IF(A26taxstdlife="n/a","n/a",IF(AV$3&gt;(A26taxstdlife+$E809),(('PTRM input'!$I$168+'PTRM input'!$I$134)*$I$7)-SUM($I809:AU809),(('PTRM input'!$I$168+'PTRM input'!$I$134)*$I$7)/A26taxstdlife))</f>
        <v>0</v>
      </c>
      <c r="AW809" s="590">
        <f>IF(A26taxstdlife="n/a","n/a",IF(AW$3&gt;(A26taxstdlife+$E809),(('PTRM input'!$I$168+'PTRM input'!$I$134)*$I$7)-SUM($I809:AV809),(('PTRM input'!$I$168+'PTRM input'!$I$134)*$I$7)/A26taxstdlife))</f>
        <v>0</v>
      </c>
      <c r="AX809" s="590">
        <f>IF(A26taxstdlife="n/a","n/a",IF(AX$3&gt;(A26taxstdlife+$E809),(('PTRM input'!$I$168+'PTRM input'!$I$134)*$I$7)-SUM($I809:AW809),(('PTRM input'!$I$168+'PTRM input'!$I$134)*$I$7)/A26taxstdlife))</f>
        <v>0</v>
      </c>
      <c r="AY809" s="590">
        <f>IF(A26taxstdlife="n/a","n/a",IF(AY$3&gt;(A26taxstdlife+$E809),(('PTRM input'!$I$168+'PTRM input'!$I$134)*$I$7)-SUM($I809:AX809),(('PTRM input'!$I$168+'PTRM input'!$I$134)*$I$7)/A26taxstdlife))</f>
        <v>0</v>
      </c>
      <c r="AZ809" s="590">
        <f>IF(A26taxstdlife="n/a","n/a",IF(AZ$3&gt;(A26taxstdlife+$E809),(('PTRM input'!$I$168+'PTRM input'!$I$134)*$I$7)-SUM($I809:AY809),(('PTRM input'!$I$168+'PTRM input'!$I$134)*$I$7)/A26taxstdlife))</f>
        <v>0</v>
      </c>
      <c r="BA809" s="590">
        <f>IF(A26taxstdlife="n/a","n/a",IF(BA$3&gt;(A26taxstdlife+$E809),(('PTRM input'!$I$168+'PTRM input'!$I$134)*$I$7)-SUM($I809:AZ809),(('PTRM input'!$I$168+'PTRM input'!$I$134)*$I$7)/A26taxstdlife))</f>
        <v>0</v>
      </c>
      <c r="BB809" s="590">
        <f>IF(A26taxstdlife="n/a","n/a",IF(BB$3&gt;(A26taxstdlife+$E809),(('PTRM input'!$I$168+'PTRM input'!$I$134)*$I$7)-SUM($I809:BA809),(('PTRM input'!$I$168+'PTRM input'!$I$134)*$I$7)/A26taxstdlife))</f>
        <v>0</v>
      </c>
      <c r="BC809" s="590">
        <f>IF(A26taxstdlife="n/a","n/a",IF(BC$3&gt;(A26taxstdlife+$E809),(('PTRM input'!$I$168+'PTRM input'!$I$134)*$I$7)-SUM($I809:BB809),(('PTRM input'!$I$168+'PTRM input'!$I$134)*$I$7)/A26taxstdlife))</f>
        <v>0</v>
      </c>
      <c r="BD809" s="590">
        <f>IF(A26taxstdlife="n/a","n/a",IF(BD$3&gt;(A26taxstdlife+$E809),(('PTRM input'!$I$168+'PTRM input'!$I$134)*$I$7)-SUM($I809:BC809),(('PTRM input'!$I$168+'PTRM input'!$I$134)*$I$7)/A26taxstdlife))</f>
        <v>0</v>
      </c>
      <c r="BE809" s="590">
        <f>IF(A26taxstdlife="n/a","n/a",IF(BE$3&gt;(A26taxstdlife+$E809),(('PTRM input'!$I$168+'PTRM input'!$I$134)*$I$7)-SUM($I809:BD809),(('PTRM input'!$I$168+'PTRM input'!$I$134)*$I$7)/A26taxstdlife))</f>
        <v>0</v>
      </c>
      <c r="BF809" s="590">
        <f>IF(A26taxstdlife="n/a","n/a",IF(BF$3&gt;(A26taxstdlife+$E809),(('PTRM input'!$I$168+'PTRM input'!$I$134)*$I$7)-SUM($I809:BE809),(('PTRM input'!$I$168+'PTRM input'!$I$134)*$I$7)/A26taxstdlife))</f>
        <v>0</v>
      </c>
      <c r="BG809" s="590">
        <f>IF(A26taxstdlife="n/a","n/a",IF(BG$3&gt;(A26taxstdlife+$E809),(('PTRM input'!$I$168+'PTRM input'!$I$134)*$I$7)-SUM($I809:BF809),(('PTRM input'!$I$168+'PTRM input'!$I$134)*$I$7)/A26taxstdlife))</f>
        <v>0</v>
      </c>
      <c r="BH809" s="590">
        <f>IF(A26taxstdlife="n/a","n/a",IF(BH$3&gt;(A26taxstdlife+$E809),(('PTRM input'!$I$168+'PTRM input'!$I$134)*$I$7)-SUM($I809:BG809),(('PTRM input'!$I$168+'PTRM input'!$I$134)*$I$7)/A26taxstdlife))</f>
        <v>0</v>
      </c>
      <c r="BI809" s="590">
        <f>IF(A26taxstdlife="n/a","n/a",IF(BI$3&gt;(A26taxstdlife+$E809),(('PTRM input'!$I$168+'PTRM input'!$I$134)*$I$7)-SUM($I809:BH809),(('PTRM input'!$I$168+'PTRM input'!$I$134)*$I$7)/A26taxstdlife))</f>
        <v>0</v>
      </c>
      <c r="BJ809" s="590"/>
      <c r="BK809" s="240"/>
      <c r="BL809" s="240"/>
      <c r="BM809" s="240"/>
    </row>
    <row r="810" spans="1:65" s="4" customFormat="1" hidden="1" outlineLevel="2">
      <c r="A810" s="240"/>
      <c r="B810" s="240"/>
      <c r="C810" s="595"/>
      <c r="D810" s="1618"/>
      <c r="E810" s="169">
        <v>4</v>
      </c>
      <c r="F810" s="35"/>
      <c r="G810" s="184"/>
      <c r="H810" s="186"/>
      <c r="I810" s="186"/>
      <c r="J810" s="185"/>
      <c r="K810" s="107">
        <f>IF(A26taxstdlife="n/a","n/a",IF(K$3&gt;(A26taxstdlife+$E810),(('PTRM input'!$J$168+'PTRM input'!$J$134)*$J$7)-SUM($J810:J810),(('PTRM input'!$J$168+'PTRM input'!$J$134)*$J$7)/A26taxstdlife))</f>
        <v>0</v>
      </c>
      <c r="L810" s="107">
        <f>IF(A26taxstdlife="n/a","n/a",IF(L$3&gt;(A26taxstdlife+$E810),(('PTRM input'!$J$168+'PTRM input'!$J$134)*$J$7)-SUM($J810:K810),(('PTRM input'!$J$168+'PTRM input'!$J$134)*$J$7)/A26taxstdlife))</f>
        <v>0</v>
      </c>
      <c r="M810" s="107">
        <f>IF(A26taxstdlife="n/a","n/a",IF(M$3&gt;(A26taxstdlife+$E810),(('PTRM input'!$J$168+'PTRM input'!$J$134)*$J$7)-SUM($J810:L810),(('PTRM input'!$J$168+'PTRM input'!$J$134)*$J$7)/A26taxstdlife))</f>
        <v>0</v>
      </c>
      <c r="N810" s="107">
        <f>IF(A26taxstdlife="n/a","n/a",IF(N$3&gt;(A26taxstdlife+$E810),(('PTRM input'!$J$168+'PTRM input'!$J$134)*$J$7)-SUM($J810:M810),(('PTRM input'!$J$168+'PTRM input'!$J$134)*$J$7)/A26taxstdlife))</f>
        <v>0</v>
      </c>
      <c r="O810" s="107">
        <f>IF(A26taxstdlife="n/a","n/a",IF(O$3&gt;(A26taxstdlife+$E810),(('PTRM input'!$J$168+'PTRM input'!$J$134)*$J$7)-SUM($J810:N810),(('PTRM input'!$J$168+'PTRM input'!$J$134)*$J$7)/A26taxstdlife))</f>
        <v>0</v>
      </c>
      <c r="P810" s="107">
        <f>IF(A26taxstdlife="n/a","n/a",IF(P$3&gt;(A26taxstdlife+$E810),(('PTRM input'!$J$168+'PTRM input'!$J$134)*$J$7)-SUM($J810:O810),(('PTRM input'!$J$168+'PTRM input'!$J$134)*$J$7)/A26taxstdlife))</f>
        <v>0</v>
      </c>
      <c r="Q810" s="590">
        <f>IF(A26taxstdlife="n/a","n/a",IF(Q$3&gt;(A26taxstdlife+$E810),(('PTRM input'!$J$168+'PTRM input'!$J$134)*$J$7)-SUM($J810:P810),(('PTRM input'!$J$168+'PTRM input'!$J$134)*$J$7)/A26taxstdlife))</f>
        <v>0</v>
      </c>
      <c r="R810" s="590">
        <f>IF(A26taxstdlife="n/a","n/a",IF(R$3&gt;(A26taxstdlife+$E810),(('PTRM input'!$J$168+'PTRM input'!$J$134)*$J$7)-SUM($J810:Q810),(('PTRM input'!$J$168+'PTRM input'!$J$134)*$J$7)/A26taxstdlife))</f>
        <v>0</v>
      </c>
      <c r="S810" s="590">
        <f>IF(A26taxstdlife="n/a","n/a",IF(S$3&gt;(A26taxstdlife+$E810),(('PTRM input'!$J$168+'PTRM input'!$J$134)*$J$7)-SUM($J810:R810),(('PTRM input'!$J$168+'PTRM input'!$J$134)*$J$7)/A26taxstdlife))</f>
        <v>0</v>
      </c>
      <c r="T810" s="590">
        <f>IF(A26taxstdlife="n/a","n/a",IF(T$3&gt;(A26taxstdlife+$E810),(('PTRM input'!$J$168+'PTRM input'!$J$134)*$J$7)-SUM($J810:S810),(('PTRM input'!$J$168+'PTRM input'!$J$134)*$J$7)/A26taxstdlife))</f>
        <v>0</v>
      </c>
      <c r="U810" s="590">
        <f>IF(A26taxstdlife="n/a","n/a",IF(U$3&gt;(A26taxstdlife+$E810),(('PTRM input'!$J$168+'PTRM input'!$J$134)*$J$7)-SUM($J810:T810),(('PTRM input'!$J$168+'PTRM input'!$J$134)*$J$7)/A26taxstdlife))</f>
        <v>0</v>
      </c>
      <c r="V810" s="590">
        <f>IF(A26taxstdlife="n/a","n/a",IF(V$3&gt;(A26taxstdlife+$E810),(('PTRM input'!$J$168+'PTRM input'!$J$134)*$J$7)-SUM($J810:U810),(('PTRM input'!$J$168+'PTRM input'!$J$134)*$J$7)/A26taxstdlife))</f>
        <v>0</v>
      </c>
      <c r="W810" s="590">
        <f>IF(A26taxstdlife="n/a","n/a",IF(W$3&gt;(A26taxstdlife+$E810),(('PTRM input'!$J$168+'PTRM input'!$J$134)*$J$7)-SUM($J810:V810),(('PTRM input'!$J$168+'PTRM input'!$J$134)*$J$7)/A26taxstdlife))</f>
        <v>0</v>
      </c>
      <c r="X810" s="590">
        <f>IF(A26taxstdlife="n/a","n/a",IF(X$3&gt;(A26taxstdlife+$E810),(('PTRM input'!$J$168+'PTRM input'!$J$134)*$J$7)-SUM($J810:W810),(('PTRM input'!$J$168+'PTRM input'!$J$134)*$J$7)/A26taxstdlife))</f>
        <v>0</v>
      </c>
      <c r="Y810" s="590">
        <f>IF(A26taxstdlife="n/a","n/a",IF(Y$3&gt;(A26taxstdlife+$E810),(('PTRM input'!$J$168+'PTRM input'!$J$134)*$J$7)-SUM($J810:X810),(('PTRM input'!$J$168+'PTRM input'!$J$134)*$J$7)/A26taxstdlife))</f>
        <v>0</v>
      </c>
      <c r="Z810" s="590">
        <f>IF(A26taxstdlife="n/a","n/a",IF(Z$3&gt;(A26taxstdlife+$E810),(('PTRM input'!$J$168+'PTRM input'!$J$134)*$J$7)-SUM($J810:Y810),(('PTRM input'!$J$168+'PTRM input'!$J$134)*$J$7)/A26taxstdlife))</f>
        <v>0</v>
      </c>
      <c r="AA810" s="590">
        <f>IF(A26taxstdlife="n/a","n/a",IF(AA$3&gt;(A26taxstdlife+$E810),(('PTRM input'!$J$168+'PTRM input'!$J$134)*$J$7)-SUM($J810:Z810),(('PTRM input'!$J$168+'PTRM input'!$J$134)*$J$7)/A26taxstdlife))</f>
        <v>0</v>
      </c>
      <c r="AB810" s="590">
        <f>IF(A26taxstdlife="n/a","n/a",IF(AB$3&gt;(A26taxstdlife+$E810),(('PTRM input'!$J$168+'PTRM input'!$J$134)*$J$7)-SUM($J810:AA810),(('PTRM input'!$J$168+'PTRM input'!$J$134)*$J$7)/A26taxstdlife))</f>
        <v>0</v>
      </c>
      <c r="AC810" s="590">
        <f>IF(A26taxstdlife="n/a","n/a",IF(AC$3&gt;(A26taxstdlife+$E810),(('PTRM input'!$J$168+'PTRM input'!$J$134)*$J$7)-SUM($J810:AB810),(('PTRM input'!$J$168+'PTRM input'!$J$134)*$J$7)/A26taxstdlife))</f>
        <v>0</v>
      </c>
      <c r="AD810" s="590">
        <f>IF(A26taxstdlife="n/a","n/a",IF(AD$3&gt;(A26taxstdlife+$E810),(('PTRM input'!$J$168+'PTRM input'!$J$134)*$J$7)-SUM($J810:AC810),(('PTRM input'!$J$168+'PTRM input'!$J$134)*$J$7)/A26taxstdlife))</f>
        <v>0</v>
      </c>
      <c r="AE810" s="590">
        <f>IF(A26taxstdlife="n/a","n/a",IF(AE$3&gt;(A26taxstdlife+$E810),(('PTRM input'!$J$168+'PTRM input'!$J$134)*$J$7)-SUM($J810:AD810),(('PTRM input'!$J$168+'PTRM input'!$J$134)*$J$7)/A26taxstdlife))</f>
        <v>0</v>
      </c>
      <c r="AF810" s="590">
        <f>IF(A26taxstdlife="n/a","n/a",IF(AF$3&gt;(A26taxstdlife+$E810),(('PTRM input'!$J$168+'PTRM input'!$J$134)*$J$7)-SUM($J810:AE810),(('PTRM input'!$J$168+'PTRM input'!$J$134)*$J$7)/A26taxstdlife))</f>
        <v>0</v>
      </c>
      <c r="AG810" s="590">
        <f>IF(A26taxstdlife="n/a","n/a",IF(AG$3&gt;(A26taxstdlife+$E810),(('PTRM input'!$J$168+'PTRM input'!$J$134)*$J$7)-SUM($J810:AF810),(('PTRM input'!$J$168+'PTRM input'!$J$134)*$J$7)/A26taxstdlife))</f>
        <v>0</v>
      </c>
      <c r="AH810" s="590">
        <f>IF(A26taxstdlife="n/a","n/a",IF(AH$3&gt;(A26taxstdlife+$E810),(('PTRM input'!$J$168+'PTRM input'!$J$134)*$J$7)-SUM($J810:AG810),(('PTRM input'!$J$168+'PTRM input'!$J$134)*$J$7)/A26taxstdlife))</f>
        <v>0</v>
      </c>
      <c r="AI810" s="590">
        <f>IF(A26taxstdlife="n/a","n/a",IF(AI$3&gt;(A26taxstdlife+$E810),(('PTRM input'!$J$168+'PTRM input'!$J$134)*$J$7)-SUM($J810:AH810),(('PTRM input'!$J$168+'PTRM input'!$J$134)*$J$7)/A26taxstdlife))</f>
        <v>0</v>
      </c>
      <c r="AJ810" s="590">
        <f>IF(A26taxstdlife="n/a","n/a",IF(AJ$3&gt;(A26taxstdlife+$E810),(('PTRM input'!$J$168+'PTRM input'!$J$134)*$J$7)-SUM($J810:AI810),(('PTRM input'!$J$168+'PTRM input'!$J$134)*$J$7)/A26taxstdlife))</f>
        <v>0</v>
      </c>
      <c r="AK810" s="590">
        <f>IF(A26taxstdlife="n/a","n/a",IF(AK$3&gt;(A26taxstdlife+$E810),(('PTRM input'!$J$168+'PTRM input'!$J$134)*$J$7)-SUM($J810:AJ810),(('PTRM input'!$J$168+'PTRM input'!$J$134)*$J$7)/A26taxstdlife))</f>
        <v>0</v>
      </c>
      <c r="AL810" s="590">
        <f>IF(A26taxstdlife="n/a","n/a",IF(AL$3&gt;(A26taxstdlife+$E810),(('PTRM input'!$J$168+'PTRM input'!$J$134)*$J$7)-SUM($J810:AK810),(('PTRM input'!$J$168+'PTRM input'!$J$134)*$J$7)/A26taxstdlife))</f>
        <v>0</v>
      </c>
      <c r="AM810" s="590">
        <f>IF(A26taxstdlife="n/a","n/a",IF(AM$3&gt;(A26taxstdlife+$E810),(('PTRM input'!$J$168+'PTRM input'!$J$134)*$J$7)-SUM($J810:AL810),(('PTRM input'!$J$168+'PTRM input'!$J$134)*$J$7)/A26taxstdlife))</f>
        <v>0</v>
      </c>
      <c r="AN810" s="590">
        <f>IF(A26taxstdlife="n/a","n/a",IF(AN$3&gt;(A26taxstdlife+$E810),(('PTRM input'!$J$168+'PTRM input'!$J$134)*$J$7)-SUM($J810:AM810),(('PTRM input'!$J$168+'PTRM input'!$J$134)*$J$7)/A26taxstdlife))</f>
        <v>0</v>
      </c>
      <c r="AO810" s="590">
        <f>IF(A26taxstdlife="n/a","n/a",IF(AO$3&gt;(A26taxstdlife+$E810),(('PTRM input'!$J$168+'PTRM input'!$J$134)*$J$7)-SUM($J810:AN810),(('PTRM input'!$J$168+'PTRM input'!$J$134)*$J$7)/A26taxstdlife))</f>
        <v>0</v>
      </c>
      <c r="AP810" s="590">
        <f>IF(A26taxstdlife="n/a","n/a",IF(AP$3&gt;(A26taxstdlife+$E810),(('PTRM input'!$J$168+'PTRM input'!$J$134)*$J$7)-SUM($J810:AO810),(('PTRM input'!$J$168+'PTRM input'!$J$134)*$J$7)/A26taxstdlife))</f>
        <v>0</v>
      </c>
      <c r="AQ810" s="590">
        <f>IF(A26taxstdlife="n/a","n/a",IF(AQ$3&gt;(A26taxstdlife+$E810),(('PTRM input'!$J$168+'PTRM input'!$J$134)*$J$7)-SUM($J810:AP810),(('PTRM input'!$J$168+'PTRM input'!$J$134)*$J$7)/A26taxstdlife))</f>
        <v>0</v>
      </c>
      <c r="AR810" s="590">
        <f>IF(A26taxstdlife="n/a","n/a",IF(AR$3&gt;(A26taxstdlife+$E810),(('PTRM input'!$J$168+'PTRM input'!$J$134)*$J$7)-SUM($J810:AQ810),(('PTRM input'!$J$168+'PTRM input'!$J$134)*$J$7)/A26taxstdlife))</f>
        <v>0</v>
      </c>
      <c r="AS810" s="590">
        <f>IF(A26taxstdlife="n/a","n/a",IF(AS$3&gt;(A26taxstdlife+$E810),(('PTRM input'!$J$168+'PTRM input'!$J$134)*$J$7)-SUM($J810:AR810),(('PTRM input'!$J$168+'PTRM input'!$J$134)*$J$7)/A26taxstdlife))</f>
        <v>0</v>
      </c>
      <c r="AT810" s="590">
        <f>IF(A26taxstdlife="n/a","n/a",IF(AT$3&gt;(A26taxstdlife+$E810),(('PTRM input'!$J$168+'PTRM input'!$J$134)*$J$7)-SUM($J810:AS810),(('PTRM input'!$J$168+'PTRM input'!$J$134)*$J$7)/A26taxstdlife))</f>
        <v>0</v>
      </c>
      <c r="AU810" s="590">
        <f>IF(A26taxstdlife="n/a","n/a",IF(AU$3&gt;(A26taxstdlife+$E810),(('PTRM input'!$J$168+'PTRM input'!$J$134)*$J$7)-SUM($J810:AT810),(('PTRM input'!$J$168+'PTRM input'!$J$134)*$J$7)/A26taxstdlife))</f>
        <v>0</v>
      </c>
      <c r="AV810" s="590">
        <f>IF(A26taxstdlife="n/a","n/a",IF(AV$3&gt;(A26taxstdlife+$E810),(('PTRM input'!$J$168+'PTRM input'!$J$134)*$J$7)-SUM($J810:AU810),(('PTRM input'!$J$168+'PTRM input'!$J$134)*$J$7)/A26taxstdlife))</f>
        <v>0</v>
      </c>
      <c r="AW810" s="590">
        <f>IF(A26taxstdlife="n/a","n/a",IF(AW$3&gt;(A26taxstdlife+$E810),(('PTRM input'!$J$168+'PTRM input'!$J$134)*$J$7)-SUM($J810:AV810),(('PTRM input'!$J$168+'PTRM input'!$J$134)*$J$7)/A26taxstdlife))</f>
        <v>0</v>
      </c>
      <c r="AX810" s="590">
        <f>IF(A26taxstdlife="n/a","n/a",IF(AX$3&gt;(A26taxstdlife+$E810),(('PTRM input'!$J$168+'PTRM input'!$J$134)*$J$7)-SUM($J810:AW810),(('PTRM input'!$J$168+'PTRM input'!$J$134)*$J$7)/A26taxstdlife))</f>
        <v>0</v>
      </c>
      <c r="AY810" s="590">
        <f>IF(A26taxstdlife="n/a","n/a",IF(AY$3&gt;(A26taxstdlife+$E810),(('PTRM input'!$J$168+'PTRM input'!$J$134)*$J$7)-SUM($J810:AX810),(('PTRM input'!$J$168+'PTRM input'!$J$134)*$J$7)/A26taxstdlife))</f>
        <v>0</v>
      </c>
      <c r="AZ810" s="590">
        <f>IF(A26taxstdlife="n/a","n/a",IF(AZ$3&gt;(A26taxstdlife+$E810),(('PTRM input'!$J$168+'PTRM input'!$J$134)*$J$7)-SUM($J810:AY810),(('PTRM input'!$J$168+'PTRM input'!$J$134)*$J$7)/A26taxstdlife))</f>
        <v>0</v>
      </c>
      <c r="BA810" s="590">
        <f>IF(A26taxstdlife="n/a","n/a",IF(BA$3&gt;(A26taxstdlife+$E810),(('PTRM input'!$J$168+'PTRM input'!$J$134)*$J$7)-SUM($J810:AZ810),(('PTRM input'!$J$168+'PTRM input'!$J$134)*$J$7)/A26taxstdlife))</f>
        <v>0</v>
      </c>
      <c r="BB810" s="590">
        <f>IF(A26taxstdlife="n/a","n/a",IF(BB$3&gt;(A26taxstdlife+$E810),(('PTRM input'!$J$168+'PTRM input'!$J$134)*$J$7)-SUM($J810:BA810),(('PTRM input'!$J$168+'PTRM input'!$J$134)*$J$7)/A26taxstdlife))</f>
        <v>0</v>
      </c>
      <c r="BC810" s="590">
        <f>IF(A26taxstdlife="n/a","n/a",IF(BC$3&gt;(A26taxstdlife+$E810),(('PTRM input'!$J$168+'PTRM input'!$J$134)*$J$7)-SUM($J810:BB810),(('PTRM input'!$J$168+'PTRM input'!$J$134)*$J$7)/A26taxstdlife))</f>
        <v>0</v>
      </c>
      <c r="BD810" s="590">
        <f>IF(A26taxstdlife="n/a","n/a",IF(BD$3&gt;(A26taxstdlife+$E810),(('PTRM input'!$J$168+'PTRM input'!$J$134)*$J$7)-SUM($J810:BC810),(('PTRM input'!$J$168+'PTRM input'!$J$134)*$J$7)/A26taxstdlife))</f>
        <v>0</v>
      </c>
      <c r="BE810" s="590">
        <f>IF(A26taxstdlife="n/a","n/a",IF(BE$3&gt;(A26taxstdlife+$E810),(('PTRM input'!$J$168+'PTRM input'!$J$134)*$J$7)-SUM($J810:BD810),(('PTRM input'!$J$168+'PTRM input'!$J$134)*$J$7)/A26taxstdlife))</f>
        <v>0</v>
      </c>
      <c r="BF810" s="590">
        <f>IF(A26taxstdlife="n/a","n/a",IF(BF$3&gt;(A26taxstdlife+$E810),(('PTRM input'!$J$168+'PTRM input'!$J$134)*$J$7)-SUM($J810:BE810),(('PTRM input'!$J$168+'PTRM input'!$J$134)*$J$7)/A26taxstdlife))</f>
        <v>0</v>
      </c>
      <c r="BG810" s="590">
        <f>IF(A26taxstdlife="n/a","n/a",IF(BG$3&gt;(A26taxstdlife+$E810),(('PTRM input'!$J$168+'PTRM input'!$J$134)*$J$7)-SUM($J810:BF810),(('PTRM input'!$J$168+'PTRM input'!$J$134)*$J$7)/A26taxstdlife))</f>
        <v>0</v>
      </c>
      <c r="BH810" s="590">
        <f>IF(A26taxstdlife="n/a","n/a",IF(BH$3&gt;(A26taxstdlife+$E810),(('PTRM input'!$J$168+'PTRM input'!$J$134)*$J$7)-SUM($J810:BG810),(('PTRM input'!$J$168+'PTRM input'!$J$134)*$J$7)/A26taxstdlife))</f>
        <v>0</v>
      </c>
      <c r="BI810" s="590">
        <f>IF(A26taxstdlife="n/a","n/a",IF(BI$3&gt;(A26taxstdlife+$E810),(('PTRM input'!$J$168+'PTRM input'!$J$134)*$J$7)-SUM($J810:BH810),(('PTRM input'!$J$168+'PTRM input'!$J$134)*$J$7)/A26taxstdlife))</f>
        <v>0</v>
      </c>
      <c r="BJ810" s="240"/>
      <c r="BK810" s="240"/>
      <c r="BL810" s="240"/>
      <c r="BM810" s="240"/>
    </row>
    <row r="811" spans="1:65" s="4" customFormat="1" hidden="1" outlineLevel="2">
      <c r="A811" s="240"/>
      <c r="B811" s="240"/>
      <c r="C811" s="595"/>
      <c r="D811" s="1618"/>
      <c r="E811" s="169">
        <v>5</v>
      </c>
      <c r="F811" s="35"/>
      <c r="G811" s="184"/>
      <c r="H811" s="186"/>
      <c r="I811" s="186"/>
      <c r="J811" s="186"/>
      <c r="K811" s="185"/>
      <c r="L811" s="107">
        <f>IF(A26taxstdlife="n/a","n/a",IF(L$3&gt;(A26taxstdlife+$E811),(('PTRM input'!$K$168+'PTRM input'!$K$134)*$K$7)-SUM($K811:K811),(('PTRM input'!$K$168+'PTRM input'!$K$134)*$K$7)/A26taxstdlife))</f>
        <v>0</v>
      </c>
      <c r="M811" s="107">
        <f>IF(A26taxstdlife="n/a","n/a",IF(M$3&gt;(A26taxstdlife+$E811),(('PTRM input'!$K$168+'PTRM input'!$K$134)*$K$7)-SUM($K811:L811),(('PTRM input'!$K$168+'PTRM input'!$K$134)*$K$7)/A26taxstdlife))</f>
        <v>0</v>
      </c>
      <c r="N811" s="107">
        <f>IF(A26taxstdlife="n/a","n/a",IF(N$3&gt;(A26taxstdlife+$E811),(('PTRM input'!$K$168+'PTRM input'!$K$134)*$K$7)-SUM($K811:M811),(('PTRM input'!$K$168+'PTRM input'!$K$134)*$K$7)/A26taxstdlife))</f>
        <v>0</v>
      </c>
      <c r="O811" s="107">
        <f>IF(A26taxstdlife="n/a","n/a",IF(O$3&gt;(A26taxstdlife+$E811),(('PTRM input'!$K$168+'PTRM input'!$K$134)*$K$7)-SUM($K811:N811),(('PTRM input'!$K$168+'PTRM input'!$K$134)*$K$7)/A26taxstdlife))</f>
        <v>0</v>
      </c>
      <c r="P811" s="107">
        <f>IF(A26taxstdlife="n/a","n/a",IF(P$3&gt;(A26taxstdlife+$E811),(('PTRM input'!$K$168+'PTRM input'!$K$134)*$K$7)-SUM($K811:O811),(('PTRM input'!$K$168+'PTRM input'!$K$134)*$K$7)/A26taxstdlife))</f>
        <v>0</v>
      </c>
      <c r="Q811" s="590">
        <f>IF(A26taxstdlife="n/a","n/a",IF(Q$3&gt;(A26taxstdlife+$E811),(('PTRM input'!$K$168+'PTRM input'!$K$134)*$K$7)-SUM($K811:P811),(('PTRM input'!$K$168+'PTRM input'!$K$134)*$K$7)/A26taxstdlife))</f>
        <v>0</v>
      </c>
      <c r="R811" s="590">
        <f>IF(A26taxstdlife="n/a","n/a",IF(R$3&gt;(A26taxstdlife+$E811),(('PTRM input'!$K$168+'PTRM input'!$K$134)*$K$7)-SUM($K811:Q811),(('PTRM input'!$K$168+'PTRM input'!$K$134)*$K$7)/A26taxstdlife))</f>
        <v>0</v>
      </c>
      <c r="S811" s="590">
        <f>IF(A26taxstdlife="n/a","n/a",IF(S$3&gt;(A26taxstdlife+$E811),(('PTRM input'!$K$168+'PTRM input'!$K$134)*$K$7)-SUM($K811:R811),(('PTRM input'!$K$168+'PTRM input'!$K$134)*$K$7)/A26taxstdlife))</f>
        <v>0</v>
      </c>
      <c r="T811" s="590">
        <f>IF(A26taxstdlife="n/a","n/a",IF(T$3&gt;(A26taxstdlife+$E811),(('PTRM input'!$K$168+'PTRM input'!$K$134)*$K$7)-SUM($K811:S811),(('PTRM input'!$K$168+'PTRM input'!$K$134)*$K$7)/A26taxstdlife))</f>
        <v>0</v>
      </c>
      <c r="U811" s="590">
        <f>IF(A26taxstdlife="n/a","n/a",IF(U$3&gt;(A26taxstdlife+$E811),(('PTRM input'!$K$168+'PTRM input'!$K$134)*$K$7)-SUM($K811:T811),(('PTRM input'!$K$168+'PTRM input'!$K$134)*$K$7)/A26taxstdlife))</f>
        <v>0</v>
      </c>
      <c r="V811" s="590">
        <f>IF(A26taxstdlife="n/a","n/a",IF(V$3&gt;(A26taxstdlife+$E811),(('PTRM input'!$K$168+'PTRM input'!$K$134)*$K$7)-SUM($K811:U811),(('PTRM input'!$K$168+'PTRM input'!$K$134)*$K$7)/A26taxstdlife))</f>
        <v>0</v>
      </c>
      <c r="W811" s="590">
        <f>IF(A26taxstdlife="n/a","n/a",IF(W$3&gt;(A26taxstdlife+$E811),(('PTRM input'!$K$168+'PTRM input'!$K$134)*$K$7)-SUM($K811:V811),(('PTRM input'!$K$168+'PTRM input'!$K$134)*$K$7)/A26taxstdlife))</f>
        <v>0</v>
      </c>
      <c r="X811" s="590">
        <f>IF(A26taxstdlife="n/a","n/a",IF(X$3&gt;(A26taxstdlife+$E811),(('PTRM input'!$K$168+'PTRM input'!$K$134)*$K$7)-SUM($K811:W811),(('PTRM input'!$K$168+'PTRM input'!$K$134)*$K$7)/A26taxstdlife))</f>
        <v>0</v>
      </c>
      <c r="Y811" s="590">
        <f>IF(A26taxstdlife="n/a","n/a",IF(Y$3&gt;(A26taxstdlife+$E811),(('PTRM input'!$K$168+'PTRM input'!$K$134)*$K$7)-SUM($K811:X811),(('PTRM input'!$K$168+'PTRM input'!$K$134)*$K$7)/A26taxstdlife))</f>
        <v>0</v>
      </c>
      <c r="Z811" s="590">
        <f>IF(A26taxstdlife="n/a","n/a",IF(Z$3&gt;(A26taxstdlife+$E811),(('PTRM input'!$K$168+'PTRM input'!$K$134)*$K$7)-SUM($K811:Y811),(('PTRM input'!$K$168+'PTRM input'!$K$134)*$K$7)/A26taxstdlife))</f>
        <v>0</v>
      </c>
      <c r="AA811" s="590">
        <f>IF(A26taxstdlife="n/a","n/a",IF(AA$3&gt;(A26taxstdlife+$E811),(('PTRM input'!$K$168+'PTRM input'!$K$134)*$K$7)-SUM($K811:Z811),(('PTRM input'!$K$168+'PTRM input'!$K$134)*$K$7)/A26taxstdlife))</f>
        <v>0</v>
      </c>
      <c r="AB811" s="590">
        <f>IF(A26taxstdlife="n/a","n/a",IF(AB$3&gt;(A26taxstdlife+$E811),(('PTRM input'!$K$168+'PTRM input'!$K$134)*$K$7)-SUM($K811:AA811),(('PTRM input'!$K$168+'PTRM input'!$K$134)*$K$7)/A26taxstdlife))</f>
        <v>0</v>
      </c>
      <c r="AC811" s="590">
        <f>IF(A26taxstdlife="n/a","n/a",IF(AC$3&gt;(A26taxstdlife+$E811),(('PTRM input'!$K$168+'PTRM input'!$K$134)*$K$7)-SUM($K811:AB811),(('PTRM input'!$K$168+'PTRM input'!$K$134)*$K$7)/A26taxstdlife))</f>
        <v>0</v>
      </c>
      <c r="AD811" s="590">
        <f>IF(A26taxstdlife="n/a","n/a",IF(AD$3&gt;(A26taxstdlife+$E811),(('PTRM input'!$K$168+'PTRM input'!$K$134)*$K$7)-SUM($K811:AC811),(('PTRM input'!$K$168+'PTRM input'!$K$134)*$K$7)/A26taxstdlife))</f>
        <v>0</v>
      </c>
      <c r="AE811" s="590">
        <f>IF(A26taxstdlife="n/a","n/a",IF(AE$3&gt;(A26taxstdlife+$E811),(('PTRM input'!$K$168+'PTRM input'!$K$134)*$K$7)-SUM($K811:AD811),(('PTRM input'!$K$168+'PTRM input'!$K$134)*$K$7)/A26taxstdlife))</f>
        <v>0</v>
      </c>
      <c r="AF811" s="590">
        <f>IF(A26taxstdlife="n/a","n/a",IF(AF$3&gt;(A26taxstdlife+$E811),(('PTRM input'!$K$168+'PTRM input'!$K$134)*$K$7)-SUM($K811:AE811),(('PTRM input'!$K$168+'PTRM input'!$K$134)*$K$7)/A26taxstdlife))</f>
        <v>0</v>
      </c>
      <c r="AG811" s="590">
        <f>IF(A26taxstdlife="n/a","n/a",IF(AG$3&gt;(A26taxstdlife+$E811),(('PTRM input'!$K$168+'PTRM input'!$K$134)*$K$7)-SUM($K811:AF811),(('PTRM input'!$K$168+'PTRM input'!$K$134)*$K$7)/A26taxstdlife))</f>
        <v>0</v>
      </c>
      <c r="AH811" s="590">
        <f>IF(A26taxstdlife="n/a","n/a",IF(AH$3&gt;(A26taxstdlife+$E811),(('PTRM input'!$K$168+'PTRM input'!$K$134)*$K$7)-SUM($K811:AG811),(('PTRM input'!$K$168+'PTRM input'!$K$134)*$K$7)/A26taxstdlife))</f>
        <v>0</v>
      </c>
      <c r="AI811" s="590">
        <f>IF(A26taxstdlife="n/a","n/a",IF(AI$3&gt;(A26taxstdlife+$E811),(('PTRM input'!$K$168+'PTRM input'!$K$134)*$K$7)-SUM($K811:AH811),(('PTRM input'!$K$168+'PTRM input'!$K$134)*$K$7)/A26taxstdlife))</f>
        <v>0</v>
      </c>
      <c r="AJ811" s="590">
        <f>IF(A26taxstdlife="n/a","n/a",IF(AJ$3&gt;(A26taxstdlife+$E811),(('PTRM input'!$K$168+'PTRM input'!$K$134)*$K$7)-SUM($K811:AI811),(('PTRM input'!$K$168+'PTRM input'!$K$134)*$K$7)/A26taxstdlife))</f>
        <v>0</v>
      </c>
      <c r="AK811" s="590">
        <f>IF(A26taxstdlife="n/a","n/a",IF(AK$3&gt;(A26taxstdlife+$E811),(('PTRM input'!$K$168+'PTRM input'!$K$134)*$K$7)-SUM($K811:AJ811),(('PTRM input'!$K$168+'PTRM input'!$K$134)*$K$7)/A26taxstdlife))</f>
        <v>0</v>
      </c>
      <c r="AL811" s="590">
        <f>IF(A26taxstdlife="n/a","n/a",IF(AL$3&gt;(A26taxstdlife+$E811),(('PTRM input'!$K$168+'PTRM input'!$K$134)*$K$7)-SUM($K811:AK811),(('PTRM input'!$K$168+'PTRM input'!$K$134)*$K$7)/A26taxstdlife))</f>
        <v>0</v>
      </c>
      <c r="AM811" s="590">
        <f>IF(A26taxstdlife="n/a","n/a",IF(AM$3&gt;(A26taxstdlife+$E811),(('PTRM input'!$K$168+'PTRM input'!$K$134)*$K$7)-SUM($K811:AL811),(('PTRM input'!$K$168+'PTRM input'!$K$134)*$K$7)/A26taxstdlife))</f>
        <v>0</v>
      </c>
      <c r="AN811" s="590">
        <f>IF(A26taxstdlife="n/a","n/a",IF(AN$3&gt;(A26taxstdlife+$E811),(('PTRM input'!$K$168+'PTRM input'!$K$134)*$K$7)-SUM($K811:AM811),(('PTRM input'!$K$168+'PTRM input'!$K$134)*$K$7)/A26taxstdlife))</f>
        <v>0</v>
      </c>
      <c r="AO811" s="590">
        <f>IF(A26taxstdlife="n/a","n/a",IF(AO$3&gt;(A26taxstdlife+$E811),(('PTRM input'!$K$168+'PTRM input'!$K$134)*$K$7)-SUM($K811:AN811),(('PTRM input'!$K$168+'PTRM input'!$K$134)*$K$7)/A26taxstdlife))</f>
        <v>0</v>
      </c>
      <c r="AP811" s="590">
        <f>IF(A26taxstdlife="n/a","n/a",IF(AP$3&gt;(A26taxstdlife+$E811),(('PTRM input'!$K$168+'PTRM input'!$K$134)*$K$7)-SUM($K811:AO811),(('PTRM input'!$K$168+'PTRM input'!$K$134)*$K$7)/A26taxstdlife))</f>
        <v>0</v>
      </c>
      <c r="AQ811" s="590">
        <f>IF(A26taxstdlife="n/a","n/a",IF(AQ$3&gt;(A26taxstdlife+$E811),(('PTRM input'!$K$168+'PTRM input'!$K$134)*$K$7)-SUM($K811:AP811),(('PTRM input'!$K$168+'PTRM input'!$K$134)*$K$7)/A26taxstdlife))</f>
        <v>0</v>
      </c>
      <c r="AR811" s="590">
        <f>IF(A26taxstdlife="n/a","n/a",IF(AR$3&gt;(A26taxstdlife+$E811),(('PTRM input'!$K$168+'PTRM input'!$K$134)*$K$7)-SUM($K811:AQ811),(('PTRM input'!$K$168+'PTRM input'!$K$134)*$K$7)/A26taxstdlife))</f>
        <v>0</v>
      </c>
      <c r="AS811" s="590">
        <f>IF(A26taxstdlife="n/a","n/a",IF(AS$3&gt;(A26taxstdlife+$E811),(('PTRM input'!$K$168+'PTRM input'!$K$134)*$K$7)-SUM($K811:AR811),(('PTRM input'!$K$168+'PTRM input'!$K$134)*$K$7)/A26taxstdlife))</f>
        <v>0</v>
      </c>
      <c r="AT811" s="590">
        <f>IF(A26taxstdlife="n/a","n/a",IF(AT$3&gt;(A26taxstdlife+$E811),(('PTRM input'!$K$168+'PTRM input'!$K$134)*$K$7)-SUM($K811:AS811),(('PTRM input'!$K$168+'PTRM input'!$K$134)*$K$7)/A26taxstdlife))</f>
        <v>0</v>
      </c>
      <c r="AU811" s="590">
        <f>IF(A26taxstdlife="n/a","n/a",IF(AU$3&gt;(A26taxstdlife+$E811),(('PTRM input'!$K$168+'PTRM input'!$K$134)*$K$7)-SUM($K811:AT811),(('PTRM input'!$K$168+'PTRM input'!$K$134)*$K$7)/A26taxstdlife))</f>
        <v>0</v>
      </c>
      <c r="AV811" s="590">
        <f>IF(A26taxstdlife="n/a","n/a",IF(AV$3&gt;(A26taxstdlife+$E811),(('PTRM input'!$K$168+'PTRM input'!$K$134)*$K$7)-SUM($K811:AU811),(('PTRM input'!$K$168+'PTRM input'!$K$134)*$K$7)/A26taxstdlife))</f>
        <v>0</v>
      </c>
      <c r="AW811" s="590">
        <f>IF(A26taxstdlife="n/a","n/a",IF(AW$3&gt;(A26taxstdlife+$E811),(('PTRM input'!$K$168+'PTRM input'!$K$134)*$K$7)-SUM($K811:AV811),(('PTRM input'!$K$168+'PTRM input'!$K$134)*$K$7)/A26taxstdlife))</f>
        <v>0</v>
      </c>
      <c r="AX811" s="590">
        <f>IF(A26taxstdlife="n/a","n/a",IF(AX$3&gt;(A26taxstdlife+$E811),(('PTRM input'!$K$168+'PTRM input'!$K$134)*$K$7)-SUM($K811:AW811),(('PTRM input'!$K$168+'PTRM input'!$K$134)*$K$7)/A26taxstdlife))</f>
        <v>0</v>
      </c>
      <c r="AY811" s="590">
        <f>IF(A26taxstdlife="n/a","n/a",IF(AY$3&gt;(A26taxstdlife+$E811),(('PTRM input'!$K$168+'PTRM input'!$K$134)*$K$7)-SUM($K811:AX811),(('PTRM input'!$K$168+'PTRM input'!$K$134)*$K$7)/A26taxstdlife))</f>
        <v>0</v>
      </c>
      <c r="AZ811" s="590">
        <f>IF(A26taxstdlife="n/a","n/a",IF(AZ$3&gt;(A26taxstdlife+$E811),(('PTRM input'!$K$168+'PTRM input'!$K$134)*$K$7)-SUM($K811:AY811),(('PTRM input'!$K$168+'PTRM input'!$K$134)*$K$7)/A26taxstdlife))</f>
        <v>0</v>
      </c>
      <c r="BA811" s="590">
        <f>IF(A26taxstdlife="n/a","n/a",IF(BA$3&gt;(A26taxstdlife+$E811),(('PTRM input'!$K$168+'PTRM input'!$K$134)*$K$7)-SUM($K811:AZ811),(('PTRM input'!$K$168+'PTRM input'!$K$134)*$K$7)/A26taxstdlife))</f>
        <v>0</v>
      </c>
      <c r="BB811" s="590">
        <f>IF(A26taxstdlife="n/a","n/a",IF(BB$3&gt;(A26taxstdlife+$E811),(('PTRM input'!$K$168+'PTRM input'!$K$134)*$K$7)-SUM($K811:BA811),(('PTRM input'!$K$168+'PTRM input'!$K$134)*$K$7)/A26taxstdlife))</f>
        <v>0</v>
      </c>
      <c r="BC811" s="590">
        <f>IF(A26taxstdlife="n/a","n/a",IF(BC$3&gt;(A26taxstdlife+$E811),(('PTRM input'!$K$168+'PTRM input'!$K$134)*$K$7)-SUM($K811:BB811),(('PTRM input'!$K$168+'PTRM input'!$K$134)*$K$7)/A26taxstdlife))</f>
        <v>0</v>
      </c>
      <c r="BD811" s="590">
        <f>IF(A26taxstdlife="n/a","n/a",IF(BD$3&gt;(A26taxstdlife+$E811),(('PTRM input'!$K$168+'PTRM input'!$K$134)*$K$7)-SUM($K811:BC811),(('PTRM input'!$K$168+'PTRM input'!$K$134)*$K$7)/A26taxstdlife))</f>
        <v>0</v>
      </c>
      <c r="BE811" s="590">
        <f>IF(A26taxstdlife="n/a","n/a",IF(BE$3&gt;(A26taxstdlife+$E811),(('PTRM input'!$K$168+'PTRM input'!$K$134)*$K$7)-SUM($K811:BD811),(('PTRM input'!$K$168+'PTRM input'!$K$134)*$K$7)/A26taxstdlife))</f>
        <v>0</v>
      </c>
      <c r="BF811" s="590">
        <f>IF(A26taxstdlife="n/a","n/a",IF(BF$3&gt;(A26taxstdlife+$E811),(('PTRM input'!$K$168+'PTRM input'!$K$134)*$K$7)-SUM($K811:BE811),(('PTRM input'!$K$168+'PTRM input'!$K$134)*$K$7)/A26taxstdlife))</f>
        <v>0</v>
      </c>
      <c r="BG811" s="590">
        <f>IF(A26taxstdlife="n/a","n/a",IF(BG$3&gt;(A26taxstdlife+$E811),(('PTRM input'!$K$168+'PTRM input'!$K$134)*$K$7)-SUM($K811:BF811),(('PTRM input'!$K$168+'PTRM input'!$K$134)*$K$7)/A26taxstdlife))</f>
        <v>0</v>
      </c>
      <c r="BH811" s="590">
        <f>IF(A26taxstdlife="n/a","n/a",IF(BH$3&gt;(A26taxstdlife+$E811),(('PTRM input'!$K$168+'PTRM input'!$K$134)*$K$7)-SUM($K811:BG811),(('PTRM input'!$K$168+'PTRM input'!$K$134)*$K$7)/A26taxstdlife))</f>
        <v>0</v>
      </c>
      <c r="BI811" s="590">
        <f>IF(A26taxstdlife="n/a","n/a",IF(BI$3&gt;(A26taxstdlife+$E811),(('PTRM input'!$K$168+'PTRM input'!$K$134)*$K$7)-SUM($K811:BH811),(('PTRM input'!$K$168+'PTRM input'!$K$134)*$K$7)/A26taxstdlife))</f>
        <v>0</v>
      </c>
      <c r="BJ811" s="240"/>
      <c r="BK811" s="240"/>
      <c r="BL811" s="240"/>
      <c r="BM811" s="240"/>
    </row>
    <row r="812" spans="1:65" s="4" customFormat="1" hidden="1" outlineLevel="2">
      <c r="A812" s="240"/>
      <c r="B812" s="240"/>
      <c r="C812" s="595"/>
      <c r="D812" s="1618"/>
      <c r="E812" s="169">
        <v>6</v>
      </c>
      <c r="F812" s="35"/>
      <c r="G812" s="184"/>
      <c r="H812" s="186"/>
      <c r="I812" s="186"/>
      <c r="J812" s="186"/>
      <c r="K812" s="186"/>
      <c r="L812" s="185"/>
      <c r="M812" s="107">
        <f>IF(A26taxstdlife="n/a","n/a",IF(M$3&gt;(A26taxstdlife+$E812),(('PTRM input'!$L$168+'PTRM input'!$L$134)*$L$7)-SUM($L812:L812),(('PTRM input'!$L$168+'PTRM input'!$L$134)*$L$7)/A26taxstdlife))</f>
        <v>0</v>
      </c>
      <c r="N812" s="107">
        <f>IF(A26taxstdlife="n/a","n/a",IF(N$3&gt;(A26taxstdlife+$E812),(('PTRM input'!$L$168+'PTRM input'!$L$134)*$L$7)-SUM($L812:M812),(('PTRM input'!$L$168+'PTRM input'!$L$134)*$L$7)/A26taxstdlife))</f>
        <v>0</v>
      </c>
      <c r="O812" s="107">
        <f>IF(A26taxstdlife="n/a","n/a",IF(O$3&gt;(A26taxstdlife+$E812),(('PTRM input'!$L$168+'PTRM input'!$L$134)*$L$7)-SUM($L812:N812),(('PTRM input'!$L$168+'PTRM input'!$L$134)*$L$7)/A26taxstdlife))</f>
        <v>0</v>
      </c>
      <c r="P812" s="107">
        <f>IF(A26taxstdlife="n/a","n/a",IF(P$3&gt;(A26taxstdlife+$E812),(('PTRM input'!$L$168+'PTRM input'!$L$134)*$L$7)-SUM($L812:O812),(('PTRM input'!$L$168+'PTRM input'!$L$134)*$L$7)/A26taxstdlife))</f>
        <v>0</v>
      </c>
      <c r="Q812" s="590">
        <f>IF(A26taxstdlife="n/a","n/a",IF(Q$3&gt;(A26taxstdlife+$E812),(('PTRM input'!$L$168+'PTRM input'!$L$134)*$L$7)-SUM($L812:P812),(('PTRM input'!$L$168+'PTRM input'!$L$134)*$L$7)/A26taxstdlife))</f>
        <v>0</v>
      </c>
      <c r="R812" s="590">
        <f>IF(A26taxstdlife="n/a","n/a",IF(R$3&gt;(A26taxstdlife+$E812),(('PTRM input'!$L$168+'PTRM input'!$L$134)*$L$7)-SUM($L812:Q812),(('PTRM input'!$L$168+'PTRM input'!$L$134)*$L$7)/A26taxstdlife))</f>
        <v>0</v>
      </c>
      <c r="S812" s="590">
        <f>IF(A26taxstdlife="n/a","n/a",IF(S$3&gt;(A26taxstdlife+$E812),(('PTRM input'!$L$168+'PTRM input'!$L$134)*$L$7)-SUM($L812:R812),(('PTRM input'!$L$168+'PTRM input'!$L$134)*$L$7)/A26taxstdlife))</f>
        <v>0</v>
      </c>
      <c r="T812" s="590">
        <f>IF(A26taxstdlife="n/a","n/a",IF(T$3&gt;(A26taxstdlife+$E812),(('PTRM input'!$L$168+'PTRM input'!$L$134)*$L$7)-SUM($L812:S812),(('PTRM input'!$L$168+'PTRM input'!$L$134)*$L$7)/A26taxstdlife))</f>
        <v>0</v>
      </c>
      <c r="U812" s="590">
        <f>IF(A26taxstdlife="n/a","n/a",IF(U$3&gt;(A26taxstdlife+$E812),(('PTRM input'!$L$168+'PTRM input'!$L$134)*$L$7)-SUM($L812:T812),(('PTRM input'!$L$168+'PTRM input'!$L$134)*$L$7)/A26taxstdlife))</f>
        <v>0</v>
      </c>
      <c r="V812" s="590">
        <f>IF(A26taxstdlife="n/a","n/a",IF(V$3&gt;(A26taxstdlife+$E812),(('PTRM input'!$L$168+'PTRM input'!$L$134)*$L$7)-SUM($L812:U812),(('PTRM input'!$L$168+'PTRM input'!$L$134)*$L$7)/A26taxstdlife))</f>
        <v>0</v>
      </c>
      <c r="W812" s="590">
        <f>IF(A26taxstdlife="n/a","n/a",IF(W$3&gt;(A26taxstdlife+$E812),(('PTRM input'!$L$168+'PTRM input'!$L$134)*$L$7)-SUM($L812:V812),(('PTRM input'!$L$168+'PTRM input'!$L$134)*$L$7)/A26taxstdlife))</f>
        <v>0</v>
      </c>
      <c r="X812" s="590">
        <f>IF(A26taxstdlife="n/a","n/a",IF(X$3&gt;(A26taxstdlife+$E812),(('PTRM input'!$L$168+'PTRM input'!$L$134)*$L$7)-SUM($L812:W812),(('PTRM input'!$L$168+'PTRM input'!$L$134)*$L$7)/A26taxstdlife))</f>
        <v>0</v>
      </c>
      <c r="Y812" s="590">
        <f>IF(A26taxstdlife="n/a","n/a",IF(Y$3&gt;(A26taxstdlife+$E812),(('PTRM input'!$L$168+'PTRM input'!$L$134)*$L$7)-SUM($L812:X812),(('PTRM input'!$L$168+'PTRM input'!$L$134)*$L$7)/A26taxstdlife))</f>
        <v>0</v>
      </c>
      <c r="Z812" s="590">
        <f>IF(A26taxstdlife="n/a","n/a",IF(Z$3&gt;(A26taxstdlife+$E812),(('PTRM input'!$L$168+'PTRM input'!$L$134)*$L$7)-SUM($L812:Y812),(('PTRM input'!$L$168+'PTRM input'!$L$134)*$L$7)/A26taxstdlife))</f>
        <v>0</v>
      </c>
      <c r="AA812" s="590">
        <f>IF(A26taxstdlife="n/a","n/a",IF(AA$3&gt;(A26taxstdlife+$E812),(('PTRM input'!$L$168+'PTRM input'!$L$134)*$L$7)-SUM($L812:Z812),(('PTRM input'!$L$168+'PTRM input'!$L$134)*$L$7)/A26taxstdlife))</f>
        <v>0</v>
      </c>
      <c r="AB812" s="590">
        <f>IF(A26taxstdlife="n/a","n/a",IF(AB$3&gt;(A26taxstdlife+$E812),(('PTRM input'!$L$168+'PTRM input'!$L$134)*$L$7)-SUM($L812:AA812),(('PTRM input'!$L$168+'PTRM input'!$L$134)*$L$7)/A26taxstdlife))</f>
        <v>0</v>
      </c>
      <c r="AC812" s="590">
        <f>IF(A26taxstdlife="n/a","n/a",IF(AC$3&gt;(A26taxstdlife+$E812),(('PTRM input'!$L$168+'PTRM input'!$L$134)*$L$7)-SUM($L812:AB812),(('PTRM input'!$L$168+'PTRM input'!$L$134)*$L$7)/A26taxstdlife))</f>
        <v>0</v>
      </c>
      <c r="AD812" s="590">
        <f>IF(A26taxstdlife="n/a","n/a",IF(AD$3&gt;(A26taxstdlife+$E812),(('PTRM input'!$L$168+'PTRM input'!$L$134)*$L$7)-SUM($L812:AC812),(('PTRM input'!$L$168+'PTRM input'!$L$134)*$L$7)/A26taxstdlife))</f>
        <v>0</v>
      </c>
      <c r="AE812" s="590">
        <f>IF(A26taxstdlife="n/a","n/a",IF(AE$3&gt;(A26taxstdlife+$E812),(('PTRM input'!$L$168+'PTRM input'!$L$134)*$L$7)-SUM($L812:AD812),(('PTRM input'!$L$168+'PTRM input'!$L$134)*$L$7)/A26taxstdlife))</f>
        <v>0</v>
      </c>
      <c r="AF812" s="590">
        <f>IF(A26taxstdlife="n/a","n/a",IF(AF$3&gt;(A26taxstdlife+$E812),(('PTRM input'!$L$168+'PTRM input'!$L$134)*$L$7)-SUM($L812:AE812),(('PTRM input'!$L$168+'PTRM input'!$L$134)*$L$7)/A26taxstdlife))</f>
        <v>0</v>
      </c>
      <c r="AG812" s="590">
        <f>IF(A26taxstdlife="n/a","n/a",IF(AG$3&gt;(A26taxstdlife+$E812),(('PTRM input'!$L$168+'PTRM input'!$L$134)*$L$7)-SUM($L812:AF812),(('PTRM input'!$L$168+'PTRM input'!$L$134)*$L$7)/A26taxstdlife))</f>
        <v>0</v>
      </c>
      <c r="AH812" s="590">
        <f>IF(A26taxstdlife="n/a","n/a",IF(AH$3&gt;(A26taxstdlife+$E812),(('PTRM input'!$L$168+'PTRM input'!$L$134)*$L$7)-SUM($L812:AG812),(('PTRM input'!$L$168+'PTRM input'!$L$134)*$L$7)/A26taxstdlife))</f>
        <v>0</v>
      </c>
      <c r="AI812" s="590">
        <f>IF(A26taxstdlife="n/a","n/a",IF(AI$3&gt;(A26taxstdlife+$E812),(('PTRM input'!$L$168+'PTRM input'!$L$134)*$L$7)-SUM($L812:AH812),(('PTRM input'!$L$168+'PTRM input'!$L$134)*$L$7)/A26taxstdlife))</f>
        <v>0</v>
      </c>
      <c r="AJ812" s="590">
        <f>IF(A26taxstdlife="n/a","n/a",IF(AJ$3&gt;(A26taxstdlife+$E812),(('PTRM input'!$L$168+'PTRM input'!$L$134)*$L$7)-SUM($L812:AI812),(('PTRM input'!$L$168+'PTRM input'!$L$134)*$L$7)/A26taxstdlife))</f>
        <v>0</v>
      </c>
      <c r="AK812" s="590">
        <f>IF(A26taxstdlife="n/a","n/a",IF(AK$3&gt;(A26taxstdlife+$E812),(('PTRM input'!$L$168+'PTRM input'!$L$134)*$L$7)-SUM($L812:AJ812),(('PTRM input'!$L$168+'PTRM input'!$L$134)*$L$7)/A26taxstdlife))</f>
        <v>0</v>
      </c>
      <c r="AL812" s="590">
        <f>IF(A26taxstdlife="n/a","n/a",IF(AL$3&gt;(A26taxstdlife+$E812),(('PTRM input'!$L$168+'PTRM input'!$L$134)*$L$7)-SUM($L812:AK812),(('PTRM input'!$L$168+'PTRM input'!$L$134)*$L$7)/A26taxstdlife))</f>
        <v>0</v>
      </c>
      <c r="AM812" s="590">
        <f>IF(A26taxstdlife="n/a","n/a",IF(AM$3&gt;(A26taxstdlife+$E812),(('PTRM input'!$L$168+'PTRM input'!$L$134)*$L$7)-SUM($L812:AL812),(('PTRM input'!$L$168+'PTRM input'!$L$134)*$L$7)/A26taxstdlife))</f>
        <v>0</v>
      </c>
      <c r="AN812" s="590">
        <f>IF(A26taxstdlife="n/a","n/a",IF(AN$3&gt;(A26taxstdlife+$E812),(('PTRM input'!$L$168+'PTRM input'!$L$134)*$L$7)-SUM($L812:AM812),(('PTRM input'!$L$168+'PTRM input'!$L$134)*$L$7)/A26taxstdlife))</f>
        <v>0</v>
      </c>
      <c r="AO812" s="590">
        <f>IF(A26taxstdlife="n/a","n/a",IF(AO$3&gt;(A26taxstdlife+$E812),(('PTRM input'!$L$168+'PTRM input'!$L$134)*$L$7)-SUM($L812:AN812),(('PTRM input'!$L$168+'PTRM input'!$L$134)*$L$7)/A26taxstdlife))</f>
        <v>0</v>
      </c>
      <c r="AP812" s="590">
        <f>IF(A26taxstdlife="n/a","n/a",IF(AP$3&gt;(A26taxstdlife+$E812),(('PTRM input'!$L$168+'PTRM input'!$L$134)*$L$7)-SUM($L812:AO812),(('PTRM input'!$L$168+'PTRM input'!$L$134)*$L$7)/A26taxstdlife))</f>
        <v>0</v>
      </c>
      <c r="AQ812" s="590">
        <f>IF(A26taxstdlife="n/a","n/a",IF(AQ$3&gt;(A26taxstdlife+$E812),(('PTRM input'!$L$168+'PTRM input'!$L$134)*$L$7)-SUM($L812:AP812),(('PTRM input'!$L$168+'PTRM input'!$L$134)*$L$7)/A26taxstdlife))</f>
        <v>0</v>
      </c>
      <c r="AR812" s="590">
        <f>IF(A26taxstdlife="n/a","n/a",IF(AR$3&gt;(A26taxstdlife+$E812),(('PTRM input'!$L$168+'PTRM input'!$L$134)*$L$7)-SUM($L812:AQ812),(('PTRM input'!$L$168+'PTRM input'!$L$134)*$L$7)/A26taxstdlife))</f>
        <v>0</v>
      </c>
      <c r="AS812" s="590">
        <f>IF(A26taxstdlife="n/a","n/a",IF(AS$3&gt;(A26taxstdlife+$E812),(('PTRM input'!$L$168+'PTRM input'!$L$134)*$L$7)-SUM($L812:AR812),(('PTRM input'!$L$168+'PTRM input'!$L$134)*$L$7)/A26taxstdlife))</f>
        <v>0</v>
      </c>
      <c r="AT812" s="590">
        <f>IF(A26taxstdlife="n/a","n/a",IF(AT$3&gt;(A26taxstdlife+$E812),(('PTRM input'!$L$168+'PTRM input'!$L$134)*$L$7)-SUM($L812:AS812),(('PTRM input'!$L$168+'PTRM input'!$L$134)*$L$7)/A26taxstdlife))</f>
        <v>0</v>
      </c>
      <c r="AU812" s="590">
        <f>IF(A26taxstdlife="n/a","n/a",IF(AU$3&gt;(A26taxstdlife+$E812),(('PTRM input'!$L$168+'PTRM input'!$L$134)*$L$7)-SUM($L812:AT812),(('PTRM input'!$L$168+'PTRM input'!$L$134)*$L$7)/A26taxstdlife))</f>
        <v>0</v>
      </c>
      <c r="AV812" s="590">
        <f>IF(A26taxstdlife="n/a","n/a",IF(AV$3&gt;(A26taxstdlife+$E812),(('PTRM input'!$L$168+'PTRM input'!$L$134)*$L$7)-SUM($L812:AU812),(('PTRM input'!$L$168+'PTRM input'!$L$134)*$L$7)/A26taxstdlife))</f>
        <v>0</v>
      </c>
      <c r="AW812" s="590">
        <f>IF(A26taxstdlife="n/a","n/a",IF(AW$3&gt;(A26taxstdlife+$E812),(('PTRM input'!$L$168+'PTRM input'!$L$134)*$L$7)-SUM($L812:AV812),(('PTRM input'!$L$168+'PTRM input'!$L$134)*$L$7)/A26taxstdlife))</f>
        <v>0</v>
      </c>
      <c r="AX812" s="590">
        <f>IF(A26taxstdlife="n/a","n/a",IF(AX$3&gt;(A26taxstdlife+$E812),(('PTRM input'!$L$168+'PTRM input'!$L$134)*$L$7)-SUM($L812:AW812),(('PTRM input'!$L$168+'PTRM input'!$L$134)*$L$7)/A26taxstdlife))</f>
        <v>0</v>
      </c>
      <c r="AY812" s="590">
        <f>IF(A26taxstdlife="n/a","n/a",IF(AY$3&gt;(A26taxstdlife+$E812),(('PTRM input'!$L$168+'PTRM input'!$L$134)*$L$7)-SUM($L812:AX812),(('PTRM input'!$L$168+'PTRM input'!$L$134)*$L$7)/A26taxstdlife))</f>
        <v>0</v>
      </c>
      <c r="AZ812" s="590">
        <f>IF(A26taxstdlife="n/a","n/a",IF(AZ$3&gt;(A26taxstdlife+$E812),(('PTRM input'!$L$168+'PTRM input'!$L$134)*$L$7)-SUM($L812:AY812),(('PTRM input'!$L$168+'PTRM input'!$L$134)*$L$7)/A26taxstdlife))</f>
        <v>0</v>
      </c>
      <c r="BA812" s="590">
        <f>IF(A26taxstdlife="n/a","n/a",IF(BA$3&gt;(A26taxstdlife+$E812),(('PTRM input'!$L$168+'PTRM input'!$L$134)*$L$7)-SUM($L812:AZ812),(('PTRM input'!$L$168+'PTRM input'!$L$134)*$L$7)/A26taxstdlife))</f>
        <v>0</v>
      </c>
      <c r="BB812" s="590">
        <f>IF(A26taxstdlife="n/a","n/a",IF(BB$3&gt;(A26taxstdlife+$E812),(('PTRM input'!$L$168+'PTRM input'!$L$134)*$L$7)-SUM($L812:BA812),(('PTRM input'!$L$168+'PTRM input'!$L$134)*$L$7)/A26taxstdlife))</f>
        <v>0</v>
      </c>
      <c r="BC812" s="590">
        <f>IF(A26taxstdlife="n/a","n/a",IF(BC$3&gt;(A26taxstdlife+$E812),(('PTRM input'!$L$168+'PTRM input'!$L$134)*$L$7)-SUM($L812:BB812),(('PTRM input'!$L$168+'PTRM input'!$L$134)*$L$7)/A26taxstdlife))</f>
        <v>0</v>
      </c>
      <c r="BD812" s="590">
        <f>IF(A26taxstdlife="n/a","n/a",IF(BD$3&gt;(A26taxstdlife+$E812),(('PTRM input'!$L$168+'PTRM input'!$L$134)*$L$7)-SUM($L812:BC812),(('PTRM input'!$L$168+'PTRM input'!$L$134)*$L$7)/A26taxstdlife))</f>
        <v>0</v>
      </c>
      <c r="BE812" s="590">
        <f>IF(A26taxstdlife="n/a","n/a",IF(BE$3&gt;(A26taxstdlife+$E812),(('PTRM input'!$L$168+'PTRM input'!$L$134)*$L$7)-SUM($L812:BD812),(('PTRM input'!$L$168+'PTRM input'!$L$134)*$L$7)/A26taxstdlife))</f>
        <v>0</v>
      </c>
      <c r="BF812" s="590">
        <f>IF(A26taxstdlife="n/a","n/a",IF(BF$3&gt;(A26taxstdlife+$E812),(('PTRM input'!$L$168+'PTRM input'!$L$134)*$L$7)-SUM($L812:BE812),(('PTRM input'!$L$168+'PTRM input'!$L$134)*$L$7)/A26taxstdlife))</f>
        <v>0</v>
      </c>
      <c r="BG812" s="590">
        <f>IF(A26taxstdlife="n/a","n/a",IF(BG$3&gt;(A26taxstdlife+$E812),(('PTRM input'!$L$168+'PTRM input'!$L$134)*$L$7)-SUM($L812:BF812),(('PTRM input'!$L$168+'PTRM input'!$L$134)*$L$7)/A26taxstdlife))</f>
        <v>0</v>
      </c>
      <c r="BH812" s="590">
        <f>IF(A26taxstdlife="n/a","n/a",IF(BH$3&gt;(A26taxstdlife+$E812),(('PTRM input'!$L$168+'PTRM input'!$L$134)*$L$7)-SUM($L812:BG812),(('PTRM input'!$L$168+'PTRM input'!$L$134)*$L$7)/A26taxstdlife))</f>
        <v>0</v>
      </c>
      <c r="BI812" s="590">
        <f>IF(A26taxstdlife="n/a","n/a",IF(BI$3&gt;(A26taxstdlife+$E812),(('PTRM input'!$L$168+'PTRM input'!$L$134)*$L$7)-SUM($L812:BH812),(('PTRM input'!$L$168+'PTRM input'!$L$134)*$L$7)/A26taxstdlife))</f>
        <v>0</v>
      </c>
      <c r="BJ812" s="240"/>
      <c r="BK812" s="240"/>
      <c r="BL812" s="240"/>
      <c r="BM812" s="240"/>
    </row>
    <row r="813" spans="1:65" s="4" customFormat="1" hidden="1" outlineLevel="2">
      <c r="A813" s="240"/>
      <c r="B813" s="240"/>
      <c r="C813" s="595"/>
      <c r="D813" s="1618"/>
      <c r="E813" s="169">
        <v>7</v>
      </c>
      <c r="F813" s="35"/>
      <c r="G813" s="184"/>
      <c r="H813" s="186"/>
      <c r="I813" s="186"/>
      <c r="J813" s="186"/>
      <c r="K813" s="186"/>
      <c r="L813" s="186"/>
      <c r="M813" s="185"/>
      <c r="N813" s="107">
        <f>IF(A26taxstdlife="n/a","n/a",IF(N$3&gt;(A26taxstdlife+$E813),(('PTRM input'!$M$168+'PTRM input'!$M$134)*$M$7)-SUM($M813:M813),(('PTRM input'!$M$168+'PTRM input'!$M$134)*$M$7)/A26taxstdlife))</f>
        <v>0</v>
      </c>
      <c r="O813" s="107">
        <f>IF(A26taxstdlife="n/a","n/a",IF(O$3&gt;(A26taxstdlife+$E813),(('PTRM input'!$M$168+'PTRM input'!$M$134)*$M$7)-SUM($M813:N813),(('PTRM input'!$M$168+'PTRM input'!$M$134)*$M$7)/A26taxstdlife))</f>
        <v>0</v>
      </c>
      <c r="P813" s="107">
        <f>IF(A26taxstdlife="n/a","n/a",IF(P$3&gt;(A26taxstdlife+$E813),(('PTRM input'!$M$168+'PTRM input'!$M$134)*$M$7)-SUM($M813:O813),(('PTRM input'!$M$168+'PTRM input'!$M$134)*$M$7)/A26taxstdlife))</f>
        <v>0</v>
      </c>
      <c r="Q813" s="590">
        <f>IF(A26taxstdlife="n/a","n/a",IF(Q$3&gt;(A26taxstdlife+$E813),(('PTRM input'!$M$168+'PTRM input'!$M$134)*$M$7)-SUM($M813:P813),(('PTRM input'!$M$168+'PTRM input'!$M$134)*$M$7)/A26taxstdlife))</f>
        <v>0</v>
      </c>
      <c r="R813" s="590">
        <f>IF(A26taxstdlife="n/a","n/a",IF(R$3&gt;(A26taxstdlife+$E813),(('PTRM input'!$M$168+'PTRM input'!$M$134)*$M$7)-SUM($M813:Q813),(('PTRM input'!$M$168+'PTRM input'!$M$134)*$M$7)/A26taxstdlife))</f>
        <v>0</v>
      </c>
      <c r="S813" s="590">
        <f>IF(A26taxstdlife="n/a","n/a",IF(S$3&gt;(A26taxstdlife+$E813),(('PTRM input'!$M$168+'PTRM input'!$M$134)*$M$7)-SUM($M813:R813),(('PTRM input'!$M$168+'PTRM input'!$M$134)*$M$7)/A26taxstdlife))</f>
        <v>0</v>
      </c>
      <c r="T813" s="590">
        <f>IF(A26taxstdlife="n/a","n/a",IF(T$3&gt;(A26taxstdlife+$E813),(('PTRM input'!$M$168+'PTRM input'!$M$134)*$M$7)-SUM($M813:S813),(('PTRM input'!$M$168+'PTRM input'!$M$134)*$M$7)/A26taxstdlife))</f>
        <v>0</v>
      </c>
      <c r="U813" s="590">
        <f>IF(A26taxstdlife="n/a","n/a",IF(U$3&gt;(A26taxstdlife+$E813),(('PTRM input'!$M$168+'PTRM input'!$M$134)*$M$7)-SUM($M813:T813),(('PTRM input'!$M$168+'PTRM input'!$M$134)*$M$7)/A26taxstdlife))</f>
        <v>0</v>
      </c>
      <c r="V813" s="590">
        <f>IF(A26taxstdlife="n/a","n/a",IF(V$3&gt;(A26taxstdlife+$E813),(('PTRM input'!$M$168+'PTRM input'!$M$134)*$M$7)-SUM($M813:U813),(('PTRM input'!$M$168+'PTRM input'!$M$134)*$M$7)/A26taxstdlife))</f>
        <v>0</v>
      </c>
      <c r="W813" s="590">
        <f>IF(A26taxstdlife="n/a","n/a",IF(W$3&gt;(A26taxstdlife+$E813),(('PTRM input'!$M$168+'PTRM input'!$M$134)*$M$7)-SUM($M813:V813),(('PTRM input'!$M$168+'PTRM input'!$M$134)*$M$7)/A26taxstdlife))</f>
        <v>0</v>
      </c>
      <c r="X813" s="590">
        <f>IF(A26taxstdlife="n/a","n/a",IF(X$3&gt;(A26taxstdlife+$E813),(('PTRM input'!$M$168+'PTRM input'!$M$134)*$M$7)-SUM($M813:W813),(('PTRM input'!$M$168+'PTRM input'!$M$134)*$M$7)/A26taxstdlife))</f>
        <v>0</v>
      </c>
      <c r="Y813" s="590">
        <f>IF(A26taxstdlife="n/a","n/a",IF(Y$3&gt;(A26taxstdlife+$E813),(('PTRM input'!$M$168+'PTRM input'!$M$134)*$M$7)-SUM($M813:X813),(('PTRM input'!$M$168+'PTRM input'!$M$134)*$M$7)/A26taxstdlife))</f>
        <v>0</v>
      </c>
      <c r="Z813" s="590">
        <f>IF(A26taxstdlife="n/a","n/a",IF(Z$3&gt;(A26taxstdlife+$E813),(('PTRM input'!$M$168+'PTRM input'!$M$134)*$M$7)-SUM($M813:Y813),(('PTRM input'!$M$168+'PTRM input'!$M$134)*$M$7)/A26taxstdlife))</f>
        <v>0</v>
      </c>
      <c r="AA813" s="590">
        <f>IF(A26taxstdlife="n/a","n/a",IF(AA$3&gt;(A26taxstdlife+$E813),(('PTRM input'!$M$168+'PTRM input'!$M$134)*$M$7)-SUM($M813:Z813),(('PTRM input'!$M$168+'PTRM input'!$M$134)*$M$7)/A26taxstdlife))</f>
        <v>0</v>
      </c>
      <c r="AB813" s="590">
        <f>IF(A26taxstdlife="n/a","n/a",IF(AB$3&gt;(A26taxstdlife+$E813),(('PTRM input'!$M$168+'PTRM input'!$M$134)*$M$7)-SUM($M813:AA813),(('PTRM input'!$M$168+'PTRM input'!$M$134)*$M$7)/A26taxstdlife))</f>
        <v>0</v>
      </c>
      <c r="AC813" s="590">
        <f>IF(A26taxstdlife="n/a","n/a",IF(AC$3&gt;(A26taxstdlife+$E813),(('PTRM input'!$M$168+'PTRM input'!$M$134)*$M$7)-SUM($M813:AB813),(('PTRM input'!$M$168+'PTRM input'!$M$134)*$M$7)/A26taxstdlife))</f>
        <v>0</v>
      </c>
      <c r="AD813" s="590">
        <f>IF(A26taxstdlife="n/a","n/a",IF(AD$3&gt;(A26taxstdlife+$E813),(('PTRM input'!$M$168+'PTRM input'!$M$134)*$M$7)-SUM($M813:AC813),(('PTRM input'!$M$168+'PTRM input'!$M$134)*$M$7)/A26taxstdlife))</f>
        <v>0</v>
      </c>
      <c r="AE813" s="590">
        <f>IF(A26taxstdlife="n/a","n/a",IF(AE$3&gt;(A26taxstdlife+$E813),(('PTRM input'!$M$168+'PTRM input'!$M$134)*$M$7)-SUM($M813:AD813),(('PTRM input'!$M$168+'PTRM input'!$M$134)*$M$7)/A26taxstdlife))</f>
        <v>0</v>
      </c>
      <c r="AF813" s="590">
        <f>IF(A26taxstdlife="n/a","n/a",IF(AF$3&gt;(A26taxstdlife+$E813),(('PTRM input'!$M$168+'PTRM input'!$M$134)*$M$7)-SUM($M813:AE813),(('PTRM input'!$M$168+'PTRM input'!$M$134)*$M$7)/A26taxstdlife))</f>
        <v>0</v>
      </c>
      <c r="AG813" s="590">
        <f>IF(A26taxstdlife="n/a","n/a",IF(AG$3&gt;(A26taxstdlife+$E813),(('PTRM input'!$M$168+'PTRM input'!$M$134)*$M$7)-SUM($M813:AF813),(('PTRM input'!$M$168+'PTRM input'!$M$134)*$M$7)/A26taxstdlife))</f>
        <v>0</v>
      </c>
      <c r="AH813" s="590">
        <f>IF(A26taxstdlife="n/a","n/a",IF(AH$3&gt;(A26taxstdlife+$E813),(('PTRM input'!$M$168+'PTRM input'!$M$134)*$M$7)-SUM($M813:AG813),(('PTRM input'!$M$168+'PTRM input'!$M$134)*$M$7)/A26taxstdlife))</f>
        <v>0</v>
      </c>
      <c r="AI813" s="590">
        <f>IF(A26taxstdlife="n/a","n/a",IF(AI$3&gt;(A26taxstdlife+$E813),(('PTRM input'!$M$168+'PTRM input'!$M$134)*$M$7)-SUM($M813:AH813),(('PTRM input'!$M$168+'PTRM input'!$M$134)*$M$7)/A26taxstdlife))</f>
        <v>0</v>
      </c>
      <c r="AJ813" s="590">
        <f>IF(A26taxstdlife="n/a","n/a",IF(AJ$3&gt;(A26taxstdlife+$E813),(('PTRM input'!$M$168+'PTRM input'!$M$134)*$M$7)-SUM($M813:AI813),(('PTRM input'!$M$168+'PTRM input'!$M$134)*$M$7)/A26taxstdlife))</f>
        <v>0</v>
      </c>
      <c r="AK813" s="590">
        <f>IF(A26taxstdlife="n/a","n/a",IF(AK$3&gt;(A26taxstdlife+$E813),(('PTRM input'!$M$168+'PTRM input'!$M$134)*$M$7)-SUM($M813:AJ813),(('PTRM input'!$M$168+'PTRM input'!$M$134)*$M$7)/A26taxstdlife))</f>
        <v>0</v>
      </c>
      <c r="AL813" s="590">
        <f>IF(A26taxstdlife="n/a","n/a",IF(AL$3&gt;(A26taxstdlife+$E813),(('PTRM input'!$M$168+'PTRM input'!$M$134)*$M$7)-SUM($M813:AK813),(('PTRM input'!$M$168+'PTRM input'!$M$134)*$M$7)/A26taxstdlife))</f>
        <v>0</v>
      </c>
      <c r="AM813" s="590">
        <f>IF(A26taxstdlife="n/a","n/a",IF(AM$3&gt;(A26taxstdlife+$E813),(('PTRM input'!$M$168+'PTRM input'!$M$134)*$M$7)-SUM($M813:AL813),(('PTRM input'!$M$168+'PTRM input'!$M$134)*$M$7)/A26taxstdlife))</f>
        <v>0</v>
      </c>
      <c r="AN813" s="590">
        <f>IF(A26taxstdlife="n/a","n/a",IF(AN$3&gt;(A26taxstdlife+$E813),(('PTRM input'!$M$168+'PTRM input'!$M$134)*$M$7)-SUM($M813:AM813),(('PTRM input'!$M$168+'PTRM input'!$M$134)*$M$7)/A26taxstdlife))</f>
        <v>0</v>
      </c>
      <c r="AO813" s="590">
        <f>IF(A26taxstdlife="n/a","n/a",IF(AO$3&gt;(A26taxstdlife+$E813),(('PTRM input'!$M$168+'PTRM input'!$M$134)*$M$7)-SUM($M813:AN813),(('PTRM input'!$M$168+'PTRM input'!$M$134)*$M$7)/A26taxstdlife))</f>
        <v>0</v>
      </c>
      <c r="AP813" s="590">
        <f>IF(A26taxstdlife="n/a","n/a",IF(AP$3&gt;(A26taxstdlife+$E813),(('PTRM input'!$M$168+'PTRM input'!$M$134)*$M$7)-SUM($M813:AO813),(('PTRM input'!$M$168+'PTRM input'!$M$134)*$M$7)/A26taxstdlife))</f>
        <v>0</v>
      </c>
      <c r="AQ813" s="590">
        <f>IF(A26taxstdlife="n/a","n/a",IF(AQ$3&gt;(A26taxstdlife+$E813),(('PTRM input'!$M$168+'PTRM input'!$M$134)*$M$7)-SUM($M813:AP813),(('PTRM input'!$M$168+'PTRM input'!$M$134)*$M$7)/A26taxstdlife))</f>
        <v>0</v>
      </c>
      <c r="AR813" s="590">
        <f>IF(A26taxstdlife="n/a","n/a",IF(AR$3&gt;(A26taxstdlife+$E813),(('PTRM input'!$M$168+'PTRM input'!$M$134)*$M$7)-SUM($M813:AQ813),(('PTRM input'!$M$168+'PTRM input'!$M$134)*$M$7)/A26taxstdlife))</f>
        <v>0</v>
      </c>
      <c r="AS813" s="590">
        <f>IF(A26taxstdlife="n/a","n/a",IF(AS$3&gt;(A26taxstdlife+$E813),(('PTRM input'!$M$168+'PTRM input'!$M$134)*$M$7)-SUM($M813:AR813),(('PTRM input'!$M$168+'PTRM input'!$M$134)*$M$7)/A26taxstdlife))</f>
        <v>0</v>
      </c>
      <c r="AT813" s="590">
        <f>IF(A26taxstdlife="n/a","n/a",IF(AT$3&gt;(A26taxstdlife+$E813),(('PTRM input'!$M$168+'PTRM input'!$M$134)*$M$7)-SUM($M813:AS813),(('PTRM input'!$M$168+'PTRM input'!$M$134)*$M$7)/A26taxstdlife))</f>
        <v>0</v>
      </c>
      <c r="AU813" s="590">
        <f>IF(A26taxstdlife="n/a","n/a",IF(AU$3&gt;(A26taxstdlife+$E813),(('PTRM input'!$M$168+'PTRM input'!$M$134)*$M$7)-SUM($M813:AT813),(('PTRM input'!$M$168+'PTRM input'!$M$134)*$M$7)/A26taxstdlife))</f>
        <v>0</v>
      </c>
      <c r="AV813" s="590">
        <f>IF(A26taxstdlife="n/a","n/a",IF(AV$3&gt;(A26taxstdlife+$E813),(('PTRM input'!$M$168+'PTRM input'!$M$134)*$M$7)-SUM($M813:AU813),(('PTRM input'!$M$168+'PTRM input'!$M$134)*$M$7)/A26taxstdlife))</f>
        <v>0</v>
      </c>
      <c r="AW813" s="590">
        <f>IF(A26taxstdlife="n/a","n/a",IF(AW$3&gt;(A26taxstdlife+$E813),(('PTRM input'!$M$168+'PTRM input'!$M$134)*$M$7)-SUM($M813:AV813),(('PTRM input'!$M$168+'PTRM input'!$M$134)*$M$7)/A26taxstdlife))</f>
        <v>0</v>
      </c>
      <c r="AX813" s="590">
        <f>IF(A26taxstdlife="n/a","n/a",IF(AX$3&gt;(A26taxstdlife+$E813),(('PTRM input'!$M$168+'PTRM input'!$M$134)*$M$7)-SUM($M813:AW813),(('PTRM input'!$M$168+'PTRM input'!$M$134)*$M$7)/A26taxstdlife))</f>
        <v>0</v>
      </c>
      <c r="AY813" s="590">
        <f>IF(A26taxstdlife="n/a","n/a",IF(AY$3&gt;(A26taxstdlife+$E813),(('PTRM input'!$M$168+'PTRM input'!$M$134)*$M$7)-SUM($M813:AX813),(('PTRM input'!$M$168+'PTRM input'!$M$134)*$M$7)/A26taxstdlife))</f>
        <v>0</v>
      </c>
      <c r="AZ813" s="590">
        <f>IF(A26taxstdlife="n/a","n/a",IF(AZ$3&gt;(A26taxstdlife+$E813),(('PTRM input'!$M$168+'PTRM input'!$M$134)*$M$7)-SUM($M813:AY813),(('PTRM input'!$M$168+'PTRM input'!$M$134)*$M$7)/A26taxstdlife))</f>
        <v>0</v>
      </c>
      <c r="BA813" s="590">
        <f>IF(A26taxstdlife="n/a","n/a",IF(BA$3&gt;(A26taxstdlife+$E813),(('PTRM input'!$M$168+'PTRM input'!$M$134)*$M$7)-SUM($M813:AZ813),(('PTRM input'!$M$168+'PTRM input'!$M$134)*$M$7)/A26taxstdlife))</f>
        <v>0</v>
      </c>
      <c r="BB813" s="590">
        <f>IF(A26taxstdlife="n/a","n/a",IF(BB$3&gt;(A26taxstdlife+$E813),(('PTRM input'!$M$168+'PTRM input'!$M$134)*$M$7)-SUM($M813:BA813),(('PTRM input'!$M$168+'PTRM input'!$M$134)*$M$7)/A26taxstdlife))</f>
        <v>0</v>
      </c>
      <c r="BC813" s="590">
        <f>IF(A26taxstdlife="n/a","n/a",IF(BC$3&gt;(A26taxstdlife+$E813),(('PTRM input'!$M$168+'PTRM input'!$M$134)*$M$7)-SUM($M813:BB813),(('PTRM input'!$M$168+'PTRM input'!$M$134)*$M$7)/A26taxstdlife))</f>
        <v>0</v>
      </c>
      <c r="BD813" s="590">
        <f>IF(A26taxstdlife="n/a","n/a",IF(BD$3&gt;(A26taxstdlife+$E813),(('PTRM input'!$M$168+'PTRM input'!$M$134)*$M$7)-SUM($M813:BC813),(('PTRM input'!$M$168+'PTRM input'!$M$134)*$M$7)/A26taxstdlife))</f>
        <v>0</v>
      </c>
      <c r="BE813" s="590">
        <f>IF(A26taxstdlife="n/a","n/a",IF(BE$3&gt;(A26taxstdlife+$E813),(('PTRM input'!$M$168+'PTRM input'!$M$134)*$M$7)-SUM($M813:BD813),(('PTRM input'!$M$168+'PTRM input'!$M$134)*$M$7)/A26taxstdlife))</f>
        <v>0</v>
      </c>
      <c r="BF813" s="590">
        <f>IF(A26taxstdlife="n/a","n/a",IF(BF$3&gt;(A26taxstdlife+$E813),(('PTRM input'!$M$168+'PTRM input'!$M$134)*$M$7)-SUM($M813:BE813),(('PTRM input'!$M$168+'PTRM input'!$M$134)*$M$7)/A26taxstdlife))</f>
        <v>0</v>
      </c>
      <c r="BG813" s="590">
        <f>IF(A26taxstdlife="n/a","n/a",IF(BG$3&gt;(A26taxstdlife+$E813),(('PTRM input'!$M$168+'PTRM input'!$M$134)*$M$7)-SUM($M813:BF813),(('PTRM input'!$M$168+'PTRM input'!$M$134)*$M$7)/A26taxstdlife))</f>
        <v>0</v>
      </c>
      <c r="BH813" s="590">
        <f>IF(A26taxstdlife="n/a","n/a",IF(BH$3&gt;(A26taxstdlife+$E813),(('PTRM input'!$M$168+'PTRM input'!$M$134)*$M$7)-SUM($M813:BG813),(('PTRM input'!$M$168+'PTRM input'!$M$134)*$M$7)/A26taxstdlife))</f>
        <v>0</v>
      </c>
      <c r="BI813" s="590">
        <f>IF(A26taxstdlife="n/a","n/a",IF(BI$3&gt;(A26taxstdlife+$E813),(('PTRM input'!$M$168+'PTRM input'!$M$134)*$M$7)-SUM($M813:BH813),(('PTRM input'!$M$168+'PTRM input'!$M$134)*$M$7)/A26taxstdlife))</f>
        <v>0</v>
      </c>
      <c r="BJ813" s="240"/>
      <c r="BK813" s="240"/>
      <c r="BL813" s="240"/>
      <c r="BM813" s="240"/>
    </row>
    <row r="814" spans="1:65" s="4" customFormat="1" hidden="1" outlineLevel="2">
      <c r="A814" s="240"/>
      <c r="B814" s="240"/>
      <c r="C814" s="595"/>
      <c r="D814" s="1618"/>
      <c r="E814" s="169">
        <v>8</v>
      </c>
      <c r="F814" s="35"/>
      <c r="G814" s="184"/>
      <c r="H814" s="186"/>
      <c r="I814" s="186"/>
      <c r="J814" s="186"/>
      <c r="K814" s="186"/>
      <c r="L814" s="186"/>
      <c r="M814" s="186"/>
      <c r="N814" s="185"/>
      <c r="O814" s="107">
        <f>IF(A26taxstdlife="n/a","n/a",IF(O$3&gt;(A26taxstdlife+$E814),(('PTRM input'!$N$168+'PTRM input'!$N$134)*$N$7)-SUM($N814:N814),(('PTRM input'!$N$168+'PTRM input'!$N$134)*$N$7)/A26taxstdlife))</f>
        <v>0</v>
      </c>
      <c r="P814" s="107">
        <f>IF(A26taxstdlife="n/a","n/a",IF(P$3&gt;(A26taxstdlife+$E814),(('PTRM input'!$N$168+'PTRM input'!$N$134)*$N$7)-SUM($N814:O814),(('PTRM input'!$N$168+'PTRM input'!$N$134)*$N$7)/A26taxstdlife))</f>
        <v>0</v>
      </c>
      <c r="Q814" s="590">
        <f>IF(A26taxstdlife="n/a","n/a",IF(Q$3&gt;(A26taxstdlife+$E814),(('PTRM input'!$N$168+'PTRM input'!$N$134)*$N$7)-SUM($N814:P814),(('PTRM input'!$N$168+'PTRM input'!$N$134)*$N$7)/A26taxstdlife))</f>
        <v>0</v>
      </c>
      <c r="R814" s="590">
        <f>IF(A26taxstdlife="n/a","n/a",IF(R$3&gt;(A26taxstdlife+$E814),(('PTRM input'!$N$168+'PTRM input'!$N$134)*$N$7)-SUM($N814:Q814),(('PTRM input'!$N$168+'PTRM input'!$N$134)*$N$7)/A26taxstdlife))</f>
        <v>0</v>
      </c>
      <c r="S814" s="590">
        <f>IF(A26taxstdlife="n/a","n/a",IF(S$3&gt;(A26taxstdlife+$E814),(('PTRM input'!$N$168+'PTRM input'!$N$134)*$N$7)-SUM($N814:R814),(('PTRM input'!$N$168+'PTRM input'!$N$134)*$N$7)/A26taxstdlife))</f>
        <v>0</v>
      </c>
      <c r="T814" s="590">
        <f>IF(A26taxstdlife="n/a","n/a",IF(T$3&gt;(A26taxstdlife+$E814),(('PTRM input'!$N$168+'PTRM input'!$N$134)*$N$7)-SUM($N814:S814),(('PTRM input'!$N$168+'PTRM input'!$N$134)*$N$7)/A26taxstdlife))</f>
        <v>0</v>
      </c>
      <c r="U814" s="590">
        <f>IF(A26taxstdlife="n/a","n/a",IF(U$3&gt;(A26taxstdlife+$E814),(('PTRM input'!$N$168+'PTRM input'!$N$134)*$N$7)-SUM($N814:T814),(('PTRM input'!$N$168+'PTRM input'!$N$134)*$N$7)/A26taxstdlife))</f>
        <v>0</v>
      </c>
      <c r="V814" s="590">
        <f>IF(A26taxstdlife="n/a","n/a",IF(V$3&gt;(A26taxstdlife+$E814),(('PTRM input'!$N$168+'PTRM input'!$N$134)*$N$7)-SUM($N814:U814),(('PTRM input'!$N$168+'PTRM input'!$N$134)*$N$7)/A26taxstdlife))</f>
        <v>0</v>
      </c>
      <c r="W814" s="590">
        <f>IF(A26taxstdlife="n/a","n/a",IF(W$3&gt;(A26taxstdlife+$E814),(('PTRM input'!$N$168+'PTRM input'!$N$134)*$N$7)-SUM($N814:V814),(('PTRM input'!$N$168+'PTRM input'!$N$134)*$N$7)/A26taxstdlife))</f>
        <v>0</v>
      </c>
      <c r="X814" s="590">
        <f>IF(A26taxstdlife="n/a","n/a",IF(X$3&gt;(A26taxstdlife+$E814),(('PTRM input'!$N$168+'PTRM input'!$N$134)*$N$7)-SUM($N814:W814),(('PTRM input'!$N$168+'PTRM input'!$N$134)*$N$7)/A26taxstdlife))</f>
        <v>0</v>
      </c>
      <c r="Y814" s="590">
        <f>IF(A26taxstdlife="n/a","n/a",IF(Y$3&gt;(A26taxstdlife+$E814),(('PTRM input'!$N$168+'PTRM input'!$N$134)*$N$7)-SUM($N814:X814),(('PTRM input'!$N$168+'PTRM input'!$N$134)*$N$7)/A26taxstdlife))</f>
        <v>0</v>
      </c>
      <c r="Z814" s="590">
        <f>IF(A26taxstdlife="n/a","n/a",IF(Z$3&gt;(A26taxstdlife+$E814),(('PTRM input'!$N$168+'PTRM input'!$N$134)*$N$7)-SUM($N814:Y814),(('PTRM input'!$N$168+'PTRM input'!$N$134)*$N$7)/A26taxstdlife))</f>
        <v>0</v>
      </c>
      <c r="AA814" s="590">
        <f>IF(A26taxstdlife="n/a","n/a",IF(AA$3&gt;(A26taxstdlife+$E814),(('PTRM input'!$N$168+'PTRM input'!$N$134)*$N$7)-SUM($N814:Z814),(('PTRM input'!$N$168+'PTRM input'!$N$134)*$N$7)/A26taxstdlife))</f>
        <v>0</v>
      </c>
      <c r="AB814" s="590">
        <f>IF(A26taxstdlife="n/a","n/a",IF(AB$3&gt;(A26taxstdlife+$E814),(('PTRM input'!$N$168+'PTRM input'!$N$134)*$N$7)-SUM($N814:AA814),(('PTRM input'!$N$168+'PTRM input'!$N$134)*$N$7)/A26taxstdlife))</f>
        <v>0</v>
      </c>
      <c r="AC814" s="590">
        <f>IF(A26taxstdlife="n/a","n/a",IF(AC$3&gt;(A26taxstdlife+$E814),(('PTRM input'!$N$168+'PTRM input'!$N$134)*$N$7)-SUM($N814:AB814),(('PTRM input'!$N$168+'PTRM input'!$N$134)*$N$7)/A26taxstdlife))</f>
        <v>0</v>
      </c>
      <c r="AD814" s="590">
        <f>IF(A26taxstdlife="n/a","n/a",IF(AD$3&gt;(A26taxstdlife+$E814),(('PTRM input'!$N$168+'PTRM input'!$N$134)*$N$7)-SUM($N814:AC814),(('PTRM input'!$N$168+'PTRM input'!$N$134)*$N$7)/A26taxstdlife))</f>
        <v>0</v>
      </c>
      <c r="AE814" s="590">
        <f>IF(A26taxstdlife="n/a","n/a",IF(AE$3&gt;(A26taxstdlife+$E814),(('PTRM input'!$N$168+'PTRM input'!$N$134)*$N$7)-SUM($N814:AD814),(('PTRM input'!$N$168+'PTRM input'!$N$134)*$N$7)/A26taxstdlife))</f>
        <v>0</v>
      </c>
      <c r="AF814" s="590">
        <f>IF(A26taxstdlife="n/a","n/a",IF(AF$3&gt;(A26taxstdlife+$E814),(('PTRM input'!$N$168+'PTRM input'!$N$134)*$N$7)-SUM($N814:AE814),(('PTRM input'!$N$168+'PTRM input'!$N$134)*$N$7)/A26taxstdlife))</f>
        <v>0</v>
      </c>
      <c r="AG814" s="590">
        <f>IF(A26taxstdlife="n/a","n/a",IF(AG$3&gt;(A26taxstdlife+$E814),(('PTRM input'!$N$168+'PTRM input'!$N$134)*$N$7)-SUM($N814:AF814),(('PTRM input'!$N$168+'PTRM input'!$N$134)*$N$7)/A26taxstdlife))</f>
        <v>0</v>
      </c>
      <c r="AH814" s="590">
        <f>IF(A26taxstdlife="n/a","n/a",IF(AH$3&gt;(A26taxstdlife+$E814),(('PTRM input'!$N$168+'PTRM input'!$N$134)*$N$7)-SUM($N814:AG814),(('PTRM input'!$N$168+'PTRM input'!$N$134)*$N$7)/A26taxstdlife))</f>
        <v>0</v>
      </c>
      <c r="AI814" s="590">
        <f>IF(A26taxstdlife="n/a","n/a",IF(AI$3&gt;(A26taxstdlife+$E814),(('PTRM input'!$N$168+'PTRM input'!$N$134)*$N$7)-SUM($N814:AH814),(('PTRM input'!$N$168+'PTRM input'!$N$134)*$N$7)/A26taxstdlife))</f>
        <v>0</v>
      </c>
      <c r="AJ814" s="590">
        <f>IF(A26taxstdlife="n/a","n/a",IF(AJ$3&gt;(A26taxstdlife+$E814),(('PTRM input'!$N$168+'PTRM input'!$N$134)*$N$7)-SUM($N814:AI814),(('PTRM input'!$N$168+'PTRM input'!$N$134)*$N$7)/A26taxstdlife))</f>
        <v>0</v>
      </c>
      <c r="AK814" s="590">
        <f>IF(A26taxstdlife="n/a","n/a",IF(AK$3&gt;(A26taxstdlife+$E814),(('PTRM input'!$N$168+'PTRM input'!$N$134)*$N$7)-SUM($N814:AJ814),(('PTRM input'!$N$168+'PTRM input'!$N$134)*$N$7)/A26taxstdlife))</f>
        <v>0</v>
      </c>
      <c r="AL814" s="590">
        <f>IF(A26taxstdlife="n/a","n/a",IF(AL$3&gt;(A26taxstdlife+$E814),(('PTRM input'!$N$168+'PTRM input'!$N$134)*$N$7)-SUM($N814:AK814),(('PTRM input'!$N$168+'PTRM input'!$N$134)*$N$7)/A26taxstdlife))</f>
        <v>0</v>
      </c>
      <c r="AM814" s="590">
        <f>IF(A26taxstdlife="n/a","n/a",IF(AM$3&gt;(A26taxstdlife+$E814),(('PTRM input'!$N$168+'PTRM input'!$N$134)*$N$7)-SUM($N814:AL814),(('PTRM input'!$N$168+'PTRM input'!$N$134)*$N$7)/A26taxstdlife))</f>
        <v>0</v>
      </c>
      <c r="AN814" s="590">
        <f>IF(A26taxstdlife="n/a","n/a",IF(AN$3&gt;(A26taxstdlife+$E814),(('PTRM input'!$N$168+'PTRM input'!$N$134)*$N$7)-SUM($N814:AM814),(('PTRM input'!$N$168+'PTRM input'!$N$134)*$N$7)/A26taxstdlife))</f>
        <v>0</v>
      </c>
      <c r="AO814" s="590">
        <f>IF(A26taxstdlife="n/a","n/a",IF(AO$3&gt;(A26taxstdlife+$E814),(('PTRM input'!$N$168+'PTRM input'!$N$134)*$N$7)-SUM($N814:AN814),(('PTRM input'!$N$168+'PTRM input'!$N$134)*$N$7)/A26taxstdlife))</f>
        <v>0</v>
      </c>
      <c r="AP814" s="590">
        <f>IF(A26taxstdlife="n/a","n/a",IF(AP$3&gt;(A26taxstdlife+$E814),(('PTRM input'!$N$168+'PTRM input'!$N$134)*$N$7)-SUM($N814:AO814),(('PTRM input'!$N$168+'PTRM input'!$N$134)*$N$7)/A26taxstdlife))</f>
        <v>0</v>
      </c>
      <c r="AQ814" s="590">
        <f>IF(A26taxstdlife="n/a","n/a",IF(AQ$3&gt;(A26taxstdlife+$E814),(('PTRM input'!$N$168+'PTRM input'!$N$134)*$N$7)-SUM($N814:AP814),(('PTRM input'!$N$168+'PTRM input'!$N$134)*$N$7)/A26taxstdlife))</f>
        <v>0</v>
      </c>
      <c r="AR814" s="590">
        <f>IF(A26taxstdlife="n/a","n/a",IF(AR$3&gt;(A26taxstdlife+$E814),(('PTRM input'!$N$168+'PTRM input'!$N$134)*$N$7)-SUM($N814:AQ814),(('PTRM input'!$N$168+'PTRM input'!$N$134)*$N$7)/A26taxstdlife))</f>
        <v>0</v>
      </c>
      <c r="AS814" s="590">
        <f>IF(A26taxstdlife="n/a","n/a",IF(AS$3&gt;(A26taxstdlife+$E814),(('PTRM input'!$N$168+'PTRM input'!$N$134)*$N$7)-SUM($N814:AR814),(('PTRM input'!$N$168+'PTRM input'!$N$134)*$N$7)/A26taxstdlife))</f>
        <v>0</v>
      </c>
      <c r="AT814" s="590">
        <f>IF(A26taxstdlife="n/a","n/a",IF(AT$3&gt;(A26taxstdlife+$E814),(('PTRM input'!$N$168+'PTRM input'!$N$134)*$N$7)-SUM($N814:AS814),(('PTRM input'!$N$168+'PTRM input'!$N$134)*$N$7)/A26taxstdlife))</f>
        <v>0</v>
      </c>
      <c r="AU814" s="590">
        <f>IF(A26taxstdlife="n/a","n/a",IF(AU$3&gt;(A26taxstdlife+$E814),(('PTRM input'!$N$168+'PTRM input'!$N$134)*$N$7)-SUM($N814:AT814),(('PTRM input'!$N$168+'PTRM input'!$N$134)*$N$7)/A26taxstdlife))</f>
        <v>0</v>
      </c>
      <c r="AV814" s="590">
        <f>IF(A26taxstdlife="n/a","n/a",IF(AV$3&gt;(A26taxstdlife+$E814),(('PTRM input'!$N$168+'PTRM input'!$N$134)*$N$7)-SUM($N814:AU814),(('PTRM input'!$N$168+'PTRM input'!$N$134)*$N$7)/A26taxstdlife))</f>
        <v>0</v>
      </c>
      <c r="AW814" s="590">
        <f>IF(A26taxstdlife="n/a","n/a",IF(AW$3&gt;(A26taxstdlife+$E814),(('PTRM input'!$N$168+'PTRM input'!$N$134)*$N$7)-SUM($N814:AV814),(('PTRM input'!$N$168+'PTRM input'!$N$134)*$N$7)/A26taxstdlife))</f>
        <v>0</v>
      </c>
      <c r="AX814" s="590">
        <f>IF(A26taxstdlife="n/a","n/a",IF(AX$3&gt;(A26taxstdlife+$E814),(('PTRM input'!$N$168+'PTRM input'!$N$134)*$N$7)-SUM($N814:AW814),(('PTRM input'!$N$168+'PTRM input'!$N$134)*$N$7)/A26taxstdlife))</f>
        <v>0</v>
      </c>
      <c r="AY814" s="590">
        <f>IF(A26taxstdlife="n/a","n/a",IF(AY$3&gt;(A26taxstdlife+$E814),(('PTRM input'!$N$168+'PTRM input'!$N$134)*$N$7)-SUM($N814:AX814),(('PTRM input'!$N$168+'PTRM input'!$N$134)*$N$7)/A26taxstdlife))</f>
        <v>0</v>
      </c>
      <c r="AZ814" s="590">
        <f>IF(A26taxstdlife="n/a","n/a",IF(AZ$3&gt;(A26taxstdlife+$E814),(('PTRM input'!$N$168+'PTRM input'!$N$134)*$N$7)-SUM($N814:AY814),(('PTRM input'!$N$168+'PTRM input'!$N$134)*$N$7)/A26taxstdlife))</f>
        <v>0</v>
      </c>
      <c r="BA814" s="590">
        <f>IF(A26taxstdlife="n/a","n/a",IF(BA$3&gt;(A26taxstdlife+$E814),(('PTRM input'!$N$168+'PTRM input'!$N$134)*$N$7)-SUM($N814:AZ814),(('PTRM input'!$N$168+'PTRM input'!$N$134)*$N$7)/A26taxstdlife))</f>
        <v>0</v>
      </c>
      <c r="BB814" s="590">
        <f>IF(A26taxstdlife="n/a","n/a",IF(BB$3&gt;(A26taxstdlife+$E814),(('PTRM input'!$N$168+'PTRM input'!$N$134)*$N$7)-SUM($N814:BA814),(('PTRM input'!$N$168+'PTRM input'!$N$134)*$N$7)/A26taxstdlife))</f>
        <v>0</v>
      </c>
      <c r="BC814" s="590">
        <f>IF(A26taxstdlife="n/a","n/a",IF(BC$3&gt;(A26taxstdlife+$E814),(('PTRM input'!$N$168+'PTRM input'!$N$134)*$N$7)-SUM($N814:BB814),(('PTRM input'!$N$168+'PTRM input'!$N$134)*$N$7)/A26taxstdlife))</f>
        <v>0</v>
      </c>
      <c r="BD814" s="590">
        <f>IF(A26taxstdlife="n/a","n/a",IF(BD$3&gt;(A26taxstdlife+$E814),(('PTRM input'!$N$168+'PTRM input'!$N$134)*$N$7)-SUM($N814:BC814),(('PTRM input'!$N$168+'PTRM input'!$N$134)*$N$7)/A26taxstdlife))</f>
        <v>0</v>
      </c>
      <c r="BE814" s="590">
        <f>IF(A26taxstdlife="n/a","n/a",IF(BE$3&gt;(A26taxstdlife+$E814),(('PTRM input'!$N$168+'PTRM input'!$N$134)*$N$7)-SUM($N814:BD814),(('PTRM input'!$N$168+'PTRM input'!$N$134)*$N$7)/A26taxstdlife))</f>
        <v>0</v>
      </c>
      <c r="BF814" s="590">
        <f>IF(A26taxstdlife="n/a","n/a",IF(BF$3&gt;(A26taxstdlife+$E814),(('PTRM input'!$N$168+'PTRM input'!$N$134)*$N$7)-SUM($N814:BE814),(('PTRM input'!$N$168+'PTRM input'!$N$134)*$N$7)/A26taxstdlife))</f>
        <v>0</v>
      </c>
      <c r="BG814" s="590">
        <f>IF(A26taxstdlife="n/a","n/a",IF(BG$3&gt;(A26taxstdlife+$E814),(('PTRM input'!$N$168+'PTRM input'!$N$134)*$N$7)-SUM($N814:BF814),(('PTRM input'!$N$168+'PTRM input'!$N$134)*$N$7)/A26taxstdlife))</f>
        <v>0</v>
      </c>
      <c r="BH814" s="590">
        <f>IF(A26taxstdlife="n/a","n/a",IF(BH$3&gt;(A26taxstdlife+$E814),(('PTRM input'!$N$168+'PTRM input'!$N$134)*$N$7)-SUM($N814:BG814),(('PTRM input'!$N$168+'PTRM input'!$N$134)*$N$7)/A26taxstdlife))</f>
        <v>0</v>
      </c>
      <c r="BI814" s="590">
        <f>IF(A26taxstdlife="n/a","n/a",IF(BI$3&gt;(A26taxstdlife+$E814),(('PTRM input'!$N$168+'PTRM input'!$N$134)*$N$7)-SUM($N814:BH814),(('PTRM input'!$N$168+'PTRM input'!$N$134)*$N$7)/A26taxstdlife))</f>
        <v>0</v>
      </c>
      <c r="BJ814" s="240"/>
      <c r="BK814" s="240"/>
      <c r="BL814" s="240"/>
      <c r="BM814" s="240"/>
    </row>
    <row r="815" spans="1:65" s="4" customFormat="1" hidden="1" outlineLevel="2">
      <c r="A815" s="240"/>
      <c r="B815" s="240"/>
      <c r="C815" s="595"/>
      <c r="D815" s="1618"/>
      <c r="E815" s="169">
        <v>9</v>
      </c>
      <c r="F815" s="35"/>
      <c r="G815" s="184"/>
      <c r="H815" s="186"/>
      <c r="I815" s="186"/>
      <c r="J815" s="186"/>
      <c r="K815" s="186"/>
      <c r="L815" s="186"/>
      <c r="M815" s="186"/>
      <c r="N815" s="186"/>
      <c r="O815" s="185"/>
      <c r="P815" s="107">
        <f>IF(A26taxstdlife="n/a","n/a",IF(P$3&gt;(A26taxstdlife+$E815),(('PTRM input'!$O$168+'PTRM input'!$O$134)*$O$7)-SUM($O815:O815),(('PTRM input'!$O$168+'PTRM input'!$O$134)*$O$7)/A26taxstdlife))</f>
        <v>0</v>
      </c>
      <c r="Q815" s="590">
        <f>IF(A26taxstdlife="n/a","n/a",IF(Q$3&gt;(A26taxstdlife+$E815),(('PTRM input'!$O$168+'PTRM input'!$O$134)*$O$7)-SUM($O815:P815),(('PTRM input'!$O$168+'PTRM input'!$O$134)*$O$7)/A26taxstdlife))</f>
        <v>0</v>
      </c>
      <c r="R815" s="590">
        <f>IF(A26taxstdlife="n/a","n/a",IF(R$3&gt;(A26taxstdlife+$E815),(('PTRM input'!$O$168+'PTRM input'!$O$134)*$O$7)-SUM($O815:Q815),(('PTRM input'!$O$168+'PTRM input'!$O$134)*$O$7)/A26taxstdlife))</f>
        <v>0</v>
      </c>
      <c r="S815" s="590">
        <f>IF(A26taxstdlife="n/a","n/a",IF(S$3&gt;(A26taxstdlife+$E815),(('PTRM input'!$O$168+'PTRM input'!$O$134)*$O$7)-SUM($O815:R815),(('PTRM input'!$O$168+'PTRM input'!$O$134)*$O$7)/A26taxstdlife))</f>
        <v>0</v>
      </c>
      <c r="T815" s="590">
        <f>IF(A26taxstdlife="n/a","n/a",IF(T$3&gt;(A26taxstdlife+$E815),(('PTRM input'!$O$168+'PTRM input'!$O$134)*$O$7)-SUM($O815:S815),(('PTRM input'!$O$168+'PTRM input'!$O$134)*$O$7)/A26taxstdlife))</f>
        <v>0</v>
      </c>
      <c r="U815" s="590">
        <f>IF(A26taxstdlife="n/a","n/a",IF(U$3&gt;(A26taxstdlife+$E815),(('PTRM input'!$O$168+'PTRM input'!$O$134)*$O$7)-SUM($O815:T815),(('PTRM input'!$O$168+'PTRM input'!$O$134)*$O$7)/A26taxstdlife))</f>
        <v>0</v>
      </c>
      <c r="V815" s="590">
        <f>IF(A26taxstdlife="n/a","n/a",IF(V$3&gt;(A26taxstdlife+$E815),(('PTRM input'!$O$168+'PTRM input'!$O$134)*$O$7)-SUM($O815:U815),(('PTRM input'!$O$168+'PTRM input'!$O$134)*$O$7)/A26taxstdlife))</f>
        <v>0</v>
      </c>
      <c r="W815" s="590">
        <f>IF(A26taxstdlife="n/a","n/a",IF(W$3&gt;(A26taxstdlife+$E815),(('PTRM input'!$O$168+'PTRM input'!$O$134)*$O$7)-SUM($O815:V815),(('PTRM input'!$O$168+'PTRM input'!$O$134)*$O$7)/A26taxstdlife))</f>
        <v>0</v>
      </c>
      <c r="X815" s="590">
        <f>IF(A26taxstdlife="n/a","n/a",IF(X$3&gt;(A26taxstdlife+$E815),(('PTRM input'!$O$168+'PTRM input'!$O$134)*$O$7)-SUM($O815:W815),(('PTRM input'!$O$168+'PTRM input'!$O$134)*$O$7)/A26taxstdlife))</f>
        <v>0</v>
      </c>
      <c r="Y815" s="590">
        <f>IF(A26taxstdlife="n/a","n/a",IF(Y$3&gt;(A26taxstdlife+$E815),(('PTRM input'!$O$168+'PTRM input'!$O$134)*$O$7)-SUM($O815:X815),(('PTRM input'!$O$168+'PTRM input'!$O$134)*$O$7)/A26taxstdlife))</f>
        <v>0</v>
      </c>
      <c r="Z815" s="590">
        <f>IF(A26taxstdlife="n/a","n/a",IF(Z$3&gt;(A26taxstdlife+$E815),(('PTRM input'!$O$168+'PTRM input'!$O$134)*$O$7)-SUM($O815:Y815),(('PTRM input'!$O$168+'PTRM input'!$O$134)*$O$7)/A26taxstdlife))</f>
        <v>0</v>
      </c>
      <c r="AA815" s="590">
        <f>IF(A26taxstdlife="n/a","n/a",IF(AA$3&gt;(A26taxstdlife+$E815),(('PTRM input'!$O$168+'PTRM input'!$O$134)*$O$7)-SUM($O815:Z815),(('PTRM input'!$O$168+'PTRM input'!$O$134)*$O$7)/A26taxstdlife))</f>
        <v>0</v>
      </c>
      <c r="AB815" s="590">
        <f>IF(A26taxstdlife="n/a","n/a",IF(AB$3&gt;(A26taxstdlife+$E815),(('PTRM input'!$O$168+'PTRM input'!$O$134)*$O$7)-SUM($O815:AA815),(('PTRM input'!$O$168+'PTRM input'!$O$134)*$O$7)/A26taxstdlife))</f>
        <v>0</v>
      </c>
      <c r="AC815" s="590">
        <f>IF(A26taxstdlife="n/a","n/a",IF(AC$3&gt;(A26taxstdlife+$E815),(('PTRM input'!$O$168+'PTRM input'!$O$134)*$O$7)-SUM($O815:AB815),(('PTRM input'!$O$168+'PTRM input'!$O$134)*$O$7)/A26taxstdlife))</f>
        <v>0</v>
      </c>
      <c r="AD815" s="590">
        <f>IF(A26taxstdlife="n/a","n/a",IF(AD$3&gt;(A26taxstdlife+$E815),(('PTRM input'!$O$168+'PTRM input'!$O$134)*$O$7)-SUM($O815:AC815),(('PTRM input'!$O$168+'PTRM input'!$O$134)*$O$7)/A26taxstdlife))</f>
        <v>0</v>
      </c>
      <c r="AE815" s="590">
        <f>IF(A26taxstdlife="n/a","n/a",IF(AE$3&gt;(A26taxstdlife+$E815),(('PTRM input'!$O$168+'PTRM input'!$O$134)*$O$7)-SUM($O815:AD815),(('PTRM input'!$O$168+'PTRM input'!$O$134)*$O$7)/A26taxstdlife))</f>
        <v>0</v>
      </c>
      <c r="AF815" s="590">
        <f>IF(A26taxstdlife="n/a","n/a",IF(AF$3&gt;(A26taxstdlife+$E815),(('PTRM input'!$O$168+'PTRM input'!$O$134)*$O$7)-SUM($O815:AE815),(('PTRM input'!$O$168+'PTRM input'!$O$134)*$O$7)/A26taxstdlife))</f>
        <v>0</v>
      </c>
      <c r="AG815" s="590">
        <f>IF(A26taxstdlife="n/a","n/a",IF(AG$3&gt;(A26taxstdlife+$E815),(('PTRM input'!$O$168+'PTRM input'!$O$134)*$O$7)-SUM($O815:AF815),(('PTRM input'!$O$168+'PTRM input'!$O$134)*$O$7)/A26taxstdlife))</f>
        <v>0</v>
      </c>
      <c r="AH815" s="590">
        <f>IF(A26taxstdlife="n/a","n/a",IF(AH$3&gt;(A26taxstdlife+$E815),(('PTRM input'!$O$168+'PTRM input'!$O$134)*$O$7)-SUM($O815:AG815),(('PTRM input'!$O$168+'PTRM input'!$O$134)*$O$7)/A26taxstdlife))</f>
        <v>0</v>
      </c>
      <c r="AI815" s="590">
        <f>IF(A26taxstdlife="n/a","n/a",IF(AI$3&gt;(A26taxstdlife+$E815),(('PTRM input'!$O$168+'PTRM input'!$O$134)*$O$7)-SUM($O815:AH815),(('PTRM input'!$O$168+'PTRM input'!$O$134)*$O$7)/A26taxstdlife))</f>
        <v>0</v>
      </c>
      <c r="AJ815" s="590">
        <f>IF(A26taxstdlife="n/a","n/a",IF(AJ$3&gt;(A26taxstdlife+$E815),(('PTRM input'!$O$168+'PTRM input'!$O$134)*$O$7)-SUM($O815:AI815),(('PTRM input'!$O$168+'PTRM input'!$O$134)*$O$7)/A26taxstdlife))</f>
        <v>0</v>
      </c>
      <c r="AK815" s="590">
        <f>IF(A26taxstdlife="n/a","n/a",IF(AK$3&gt;(A26taxstdlife+$E815),(('PTRM input'!$O$168+'PTRM input'!$O$134)*$O$7)-SUM($O815:AJ815),(('PTRM input'!$O$168+'PTRM input'!$O$134)*$O$7)/A26taxstdlife))</f>
        <v>0</v>
      </c>
      <c r="AL815" s="590">
        <f>IF(A26taxstdlife="n/a","n/a",IF(AL$3&gt;(A26taxstdlife+$E815),(('PTRM input'!$O$168+'PTRM input'!$O$134)*$O$7)-SUM($O815:AK815),(('PTRM input'!$O$168+'PTRM input'!$O$134)*$O$7)/A26taxstdlife))</f>
        <v>0</v>
      </c>
      <c r="AM815" s="590">
        <f>IF(A26taxstdlife="n/a","n/a",IF(AM$3&gt;(A26taxstdlife+$E815),(('PTRM input'!$O$168+'PTRM input'!$O$134)*$O$7)-SUM($O815:AL815),(('PTRM input'!$O$168+'PTRM input'!$O$134)*$O$7)/A26taxstdlife))</f>
        <v>0</v>
      </c>
      <c r="AN815" s="590">
        <f>IF(A26taxstdlife="n/a","n/a",IF(AN$3&gt;(A26taxstdlife+$E815),(('PTRM input'!$O$168+'PTRM input'!$O$134)*$O$7)-SUM($O815:AM815),(('PTRM input'!$O$168+'PTRM input'!$O$134)*$O$7)/A26taxstdlife))</f>
        <v>0</v>
      </c>
      <c r="AO815" s="590">
        <f>IF(A26taxstdlife="n/a","n/a",IF(AO$3&gt;(A26taxstdlife+$E815),(('PTRM input'!$O$168+'PTRM input'!$O$134)*$O$7)-SUM($O815:AN815),(('PTRM input'!$O$168+'PTRM input'!$O$134)*$O$7)/A26taxstdlife))</f>
        <v>0</v>
      </c>
      <c r="AP815" s="590">
        <f>IF(A26taxstdlife="n/a","n/a",IF(AP$3&gt;(A26taxstdlife+$E815),(('PTRM input'!$O$168+'PTRM input'!$O$134)*$O$7)-SUM($O815:AO815),(('PTRM input'!$O$168+'PTRM input'!$O$134)*$O$7)/A26taxstdlife))</f>
        <v>0</v>
      </c>
      <c r="AQ815" s="590">
        <f>IF(A26taxstdlife="n/a","n/a",IF(AQ$3&gt;(A26taxstdlife+$E815),(('PTRM input'!$O$168+'PTRM input'!$O$134)*$O$7)-SUM($O815:AP815),(('PTRM input'!$O$168+'PTRM input'!$O$134)*$O$7)/A26taxstdlife))</f>
        <v>0</v>
      </c>
      <c r="AR815" s="590">
        <f>IF(A26taxstdlife="n/a","n/a",IF(AR$3&gt;(A26taxstdlife+$E815),(('PTRM input'!$O$168+'PTRM input'!$O$134)*$O$7)-SUM($O815:AQ815),(('PTRM input'!$O$168+'PTRM input'!$O$134)*$O$7)/A26taxstdlife))</f>
        <v>0</v>
      </c>
      <c r="AS815" s="590">
        <f>IF(A26taxstdlife="n/a","n/a",IF(AS$3&gt;(A26taxstdlife+$E815),(('PTRM input'!$O$168+'PTRM input'!$O$134)*$O$7)-SUM($O815:AR815),(('PTRM input'!$O$168+'PTRM input'!$O$134)*$O$7)/A26taxstdlife))</f>
        <v>0</v>
      </c>
      <c r="AT815" s="590">
        <f>IF(A26taxstdlife="n/a","n/a",IF(AT$3&gt;(A26taxstdlife+$E815),(('PTRM input'!$O$168+'PTRM input'!$O$134)*$O$7)-SUM($O815:AS815),(('PTRM input'!$O$168+'PTRM input'!$O$134)*$O$7)/A26taxstdlife))</f>
        <v>0</v>
      </c>
      <c r="AU815" s="590">
        <f>IF(A26taxstdlife="n/a","n/a",IF(AU$3&gt;(A26taxstdlife+$E815),(('PTRM input'!$O$168+'PTRM input'!$O$134)*$O$7)-SUM($O815:AT815),(('PTRM input'!$O$168+'PTRM input'!$O$134)*$O$7)/A26taxstdlife))</f>
        <v>0</v>
      </c>
      <c r="AV815" s="590">
        <f>IF(A26taxstdlife="n/a","n/a",IF(AV$3&gt;(A26taxstdlife+$E815),(('PTRM input'!$O$168+'PTRM input'!$O$134)*$O$7)-SUM($O815:AU815),(('PTRM input'!$O$168+'PTRM input'!$O$134)*$O$7)/A26taxstdlife))</f>
        <v>0</v>
      </c>
      <c r="AW815" s="590">
        <f>IF(A26taxstdlife="n/a","n/a",IF(AW$3&gt;(A26taxstdlife+$E815),(('PTRM input'!$O$168+'PTRM input'!$O$134)*$O$7)-SUM($O815:AV815),(('PTRM input'!$O$168+'PTRM input'!$O$134)*$O$7)/A26taxstdlife))</f>
        <v>0</v>
      </c>
      <c r="AX815" s="590">
        <f>IF(A26taxstdlife="n/a","n/a",IF(AX$3&gt;(A26taxstdlife+$E815),(('PTRM input'!$O$168+'PTRM input'!$O$134)*$O$7)-SUM($O815:AW815),(('PTRM input'!$O$168+'PTRM input'!$O$134)*$O$7)/A26taxstdlife))</f>
        <v>0</v>
      </c>
      <c r="AY815" s="590">
        <f>IF(A26taxstdlife="n/a","n/a",IF(AY$3&gt;(A26taxstdlife+$E815),(('PTRM input'!$O$168+'PTRM input'!$O$134)*$O$7)-SUM($O815:AX815),(('PTRM input'!$O$168+'PTRM input'!$O$134)*$O$7)/A26taxstdlife))</f>
        <v>0</v>
      </c>
      <c r="AZ815" s="590">
        <f>IF(A26taxstdlife="n/a","n/a",IF(AZ$3&gt;(A26taxstdlife+$E815),(('PTRM input'!$O$168+'PTRM input'!$O$134)*$O$7)-SUM($O815:AY815),(('PTRM input'!$O$168+'PTRM input'!$O$134)*$O$7)/A26taxstdlife))</f>
        <v>0</v>
      </c>
      <c r="BA815" s="590">
        <f>IF(A26taxstdlife="n/a","n/a",IF(BA$3&gt;(A26taxstdlife+$E815),(('PTRM input'!$O$168+'PTRM input'!$O$134)*$O$7)-SUM($O815:AZ815),(('PTRM input'!$O$168+'PTRM input'!$O$134)*$O$7)/A26taxstdlife))</f>
        <v>0</v>
      </c>
      <c r="BB815" s="590">
        <f>IF(A26taxstdlife="n/a","n/a",IF(BB$3&gt;(A26taxstdlife+$E815),(('PTRM input'!$O$168+'PTRM input'!$O$134)*$O$7)-SUM($O815:BA815),(('PTRM input'!$O$168+'PTRM input'!$O$134)*$O$7)/A26taxstdlife))</f>
        <v>0</v>
      </c>
      <c r="BC815" s="590">
        <f>IF(A26taxstdlife="n/a","n/a",IF(BC$3&gt;(A26taxstdlife+$E815),(('PTRM input'!$O$168+'PTRM input'!$O$134)*$O$7)-SUM($O815:BB815),(('PTRM input'!$O$168+'PTRM input'!$O$134)*$O$7)/A26taxstdlife))</f>
        <v>0</v>
      </c>
      <c r="BD815" s="590">
        <f>IF(A26taxstdlife="n/a","n/a",IF(BD$3&gt;(A26taxstdlife+$E815),(('PTRM input'!$O$168+'PTRM input'!$O$134)*$O$7)-SUM($O815:BC815),(('PTRM input'!$O$168+'PTRM input'!$O$134)*$O$7)/A26taxstdlife))</f>
        <v>0</v>
      </c>
      <c r="BE815" s="590">
        <f>IF(A26taxstdlife="n/a","n/a",IF(BE$3&gt;(A26taxstdlife+$E815),(('PTRM input'!$O$168+'PTRM input'!$O$134)*$O$7)-SUM($O815:BD815),(('PTRM input'!$O$168+'PTRM input'!$O$134)*$O$7)/A26taxstdlife))</f>
        <v>0</v>
      </c>
      <c r="BF815" s="590">
        <f>IF(A26taxstdlife="n/a","n/a",IF(BF$3&gt;(A26taxstdlife+$E815),(('PTRM input'!$O$168+'PTRM input'!$O$134)*$O$7)-SUM($O815:BE815),(('PTRM input'!$O$168+'PTRM input'!$O$134)*$O$7)/A26taxstdlife))</f>
        <v>0</v>
      </c>
      <c r="BG815" s="590">
        <f>IF(A26taxstdlife="n/a","n/a",IF(BG$3&gt;(A26taxstdlife+$E815),(('PTRM input'!$O$168+'PTRM input'!$O$134)*$O$7)-SUM($O815:BF815),(('PTRM input'!$O$168+'PTRM input'!$O$134)*$O$7)/A26taxstdlife))</f>
        <v>0</v>
      </c>
      <c r="BH815" s="590">
        <f>IF(A26taxstdlife="n/a","n/a",IF(BH$3&gt;(A26taxstdlife+$E815),(('PTRM input'!$O$168+'PTRM input'!$O$134)*$O$7)-SUM($O815:BG815),(('PTRM input'!$O$168+'PTRM input'!$O$134)*$O$7)/A26taxstdlife))</f>
        <v>0</v>
      </c>
      <c r="BI815" s="590">
        <f>IF(A26taxstdlife="n/a","n/a",IF(BI$3&gt;(A26taxstdlife+$E815),(('PTRM input'!$O$168+'PTRM input'!$O$134)*$O$7)-SUM($O815:BH815),(('PTRM input'!$O$168+'PTRM input'!$O$134)*$O$7)/A26taxstdlife))</f>
        <v>0</v>
      </c>
      <c r="BJ815" s="240"/>
      <c r="BK815" s="240"/>
      <c r="BL815" s="240"/>
      <c r="BM815" s="240"/>
    </row>
    <row r="816" spans="1:65" s="4" customFormat="1" hidden="1" outlineLevel="2">
      <c r="A816" s="240"/>
      <c r="B816" s="240"/>
      <c r="C816" s="595"/>
      <c r="D816" s="1618"/>
      <c r="E816" s="170">
        <v>10</v>
      </c>
      <c r="F816" s="35"/>
      <c r="G816" s="184"/>
      <c r="H816" s="186"/>
      <c r="I816" s="186"/>
      <c r="J816" s="186"/>
      <c r="K816" s="186"/>
      <c r="L816" s="186"/>
      <c r="M816" s="186"/>
      <c r="N816" s="186"/>
      <c r="O816" s="186"/>
      <c r="P816" s="185"/>
      <c r="Q816" s="590">
        <f>IF(A26taxstdlife="n/a","n/a",IF(Q$3&gt;(A26taxstdlife+$E816),(('PTRM input'!$P$168+'PTRM input'!$P$134)*$P$7)-SUM($P816:P816),(('PTRM input'!$P$168+'PTRM input'!$P$134)*$P$7)/A26taxstdlife))</f>
        <v>0</v>
      </c>
      <c r="R816" s="590">
        <f>IF(A26taxstdlife="n/a","n/a",IF(R$3&gt;(A26taxstdlife+$E816),(('PTRM input'!$P$168+'PTRM input'!$P$134)*$P$7)-SUM($P816:Q816),(('PTRM input'!$P$168+'PTRM input'!$P$134)*$P$7)/A26taxstdlife))</f>
        <v>0</v>
      </c>
      <c r="S816" s="590">
        <f>IF(A26taxstdlife="n/a","n/a",IF(S$3&gt;(A26taxstdlife+$E816),(('PTRM input'!$P$168+'PTRM input'!$P$134)*$P$7)-SUM($P816:R816),(('PTRM input'!$P$168+'PTRM input'!$P$134)*$P$7)/A26taxstdlife))</f>
        <v>0</v>
      </c>
      <c r="T816" s="590">
        <f>IF(A26taxstdlife="n/a","n/a",IF(T$3&gt;(A26taxstdlife+$E816),(('PTRM input'!$P$168+'PTRM input'!$P$134)*$P$7)-SUM($P816:S816),(('PTRM input'!$P$168+'PTRM input'!$P$134)*$P$7)/A26taxstdlife))</f>
        <v>0</v>
      </c>
      <c r="U816" s="590">
        <f>IF(A26taxstdlife="n/a","n/a",IF(U$3&gt;(A26taxstdlife+$E816),(('PTRM input'!$P$168+'PTRM input'!$P$134)*$P$7)-SUM($P816:T816),(('PTRM input'!$P$168+'PTRM input'!$P$134)*$P$7)/A26taxstdlife))</f>
        <v>0</v>
      </c>
      <c r="V816" s="590">
        <f>IF(A26taxstdlife="n/a","n/a",IF(V$3&gt;(A26taxstdlife+$E816),(('PTRM input'!$P$168+'PTRM input'!$P$134)*$P$7)-SUM($P816:U816),(('PTRM input'!$P$168+'PTRM input'!$P$134)*$P$7)/A26taxstdlife))</f>
        <v>0</v>
      </c>
      <c r="W816" s="590">
        <f>IF(A26taxstdlife="n/a","n/a",IF(W$3&gt;(A26taxstdlife+$E816),(('PTRM input'!$P$168+'PTRM input'!$P$134)*$P$7)-SUM($P816:V816),(('PTRM input'!$P$168+'PTRM input'!$P$134)*$P$7)/A26taxstdlife))</f>
        <v>0</v>
      </c>
      <c r="X816" s="590">
        <f>IF(A26taxstdlife="n/a","n/a",IF(X$3&gt;(A26taxstdlife+$E816),(('PTRM input'!$P$168+'PTRM input'!$P$134)*$P$7)-SUM($P816:W816),(('PTRM input'!$P$168+'PTRM input'!$P$134)*$P$7)/A26taxstdlife))</f>
        <v>0</v>
      </c>
      <c r="Y816" s="590">
        <f>IF(A26taxstdlife="n/a","n/a",IF(Y$3&gt;(A26taxstdlife+$E816),(('PTRM input'!$P$168+'PTRM input'!$P$134)*$P$7)-SUM($P816:X816),(('PTRM input'!$P$168+'PTRM input'!$P$134)*$P$7)/A26taxstdlife))</f>
        <v>0</v>
      </c>
      <c r="Z816" s="590">
        <f>IF(A26taxstdlife="n/a","n/a",IF(Z$3&gt;(A26taxstdlife+$E816),(('PTRM input'!$P$168+'PTRM input'!$P$134)*$P$7)-SUM($P816:Y816),(('PTRM input'!$P$168+'PTRM input'!$P$134)*$P$7)/A26taxstdlife))</f>
        <v>0</v>
      </c>
      <c r="AA816" s="590">
        <f>IF(A26taxstdlife="n/a","n/a",IF(AA$3&gt;(A26taxstdlife+$E816),(('PTRM input'!$P$168+'PTRM input'!$P$134)*$P$7)-SUM($P816:Z816),(('PTRM input'!$P$168+'PTRM input'!$P$134)*$P$7)/A26taxstdlife))</f>
        <v>0</v>
      </c>
      <c r="AB816" s="590">
        <f>IF(A26taxstdlife="n/a","n/a",IF(AB$3&gt;(A26taxstdlife+$E816),(('PTRM input'!$P$168+'PTRM input'!$P$134)*$P$7)-SUM($P816:AA816),(('PTRM input'!$P$168+'PTRM input'!$P$134)*$P$7)/A26taxstdlife))</f>
        <v>0</v>
      </c>
      <c r="AC816" s="590">
        <f>IF(A26taxstdlife="n/a","n/a",IF(AC$3&gt;(A26taxstdlife+$E816),(('PTRM input'!$P$168+'PTRM input'!$P$134)*$P$7)-SUM($P816:AB816),(('PTRM input'!$P$168+'PTRM input'!$P$134)*$P$7)/A26taxstdlife))</f>
        <v>0</v>
      </c>
      <c r="AD816" s="590">
        <f>IF(A26taxstdlife="n/a","n/a",IF(AD$3&gt;(A26taxstdlife+$E816),(('PTRM input'!$P$168+'PTRM input'!$P$134)*$P$7)-SUM($P816:AC816),(('PTRM input'!$P$168+'PTRM input'!$P$134)*$P$7)/A26taxstdlife))</f>
        <v>0</v>
      </c>
      <c r="AE816" s="590">
        <f>IF(A26taxstdlife="n/a","n/a",IF(AE$3&gt;(A26taxstdlife+$E816),(('PTRM input'!$P$168+'PTRM input'!$P$134)*$P$7)-SUM($P816:AD816),(('PTRM input'!$P$168+'PTRM input'!$P$134)*$P$7)/A26taxstdlife))</f>
        <v>0</v>
      </c>
      <c r="AF816" s="590">
        <f>IF(A26taxstdlife="n/a","n/a",IF(AF$3&gt;(A26taxstdlife+$E816),(('PTRM input'!$P$168+'PTRM input'!$P$134)*$P$7)-SUM($P816:AE816),(('PTRM input'!$P$168+'PTRM input'!$P$134)*$P$7)/A26taxstdlife))</f>
        <v>0</v>
      </c>
      <c r="AG816" s="590">
        <f>IF(A26taxstdlife="n/a","n/a",IF(AG$3&gt;(A26taxstdlife+$E816),(('PTRM input'!$P$168+'PTRM input'!$P$134)*$P$7)-SUM($P816:AF816),(('PTRM input'!$P$168+'PTRM input'!$P$134)*$P$7)/A26taxstdlife))</f>
        <v>0</v>
      </c>
      <c r="AH816" s="590">
        <f>IF(A26taxstdlife="n/a","n/a",IF(AH$3&gt;(A26taxstdlife+$E816),(('PTRM input'!$P$168+'PTRM input'!$P$134)*$P$7)-SUM($P816:AG816),(('PTRM input'!$P$168+'PTRM input'!$P$134)*$P$7)/A26taxstdlife))</f>
        <v>0</v>
      </c>
      <c r="AI816" s="590">
        <f>IF(A26taxstdlife="n/a","n/a",IF(AI$3&gt;(A26taxstdlife+$E816),(('PTRM input'!$P$168+'PTRM input'!$P$134)*$P$7)-SUM($P816:AH816),(('PTRM input'!$P$168+'PTRM input'!$P$134)*$P$7)/A26taxstdlife))</f>
        <v>0</v>
      </c>
      <c r="AJ816" s="590">
        <f>IF(A26taxstdlife="n/a","n/a",IF(AJ$3&gt;(A26taxstdlife+$E816),(('PTRM input'!$P$168+'PTRM input'!$P$134)*$P$7)-SUM($P816:AI816),(('PTRM input'!$P$168+'PTRM input'!$P$134)*$P$7)/A26taxstdlife))</f>
        <v>0</v>
      </c>
      <c r="AK816" s="590">
        <f>IF(A26taxstdlife="n/a","n/a",IF(AK$3&gt;(A26taxstdlife+$E816),(('PTRM input'!$P$168+'PTRM input'!$P$134)*$P$7)-SUM($P816:AJ816),(('PTRM input'!$P$168+'PTRM input'!$P$134)*$P$7)/A26taxstdlife))</f>
        <v>0</v>
      </c>
      <c r="AL816" s="590">
        <f>IF(A26taxstdlife="n/a","n/a",IF(AL$3&gt;(A26taxstdlife+$E816),(('PTRM input'!$P$168+'PTRM input'!$P$134)*$P$7)-SUM($P816:AK816),(('PTRM input'!$P$168+'PTRM input'!$P$134)*$P$7)/A26taxstdlife))</f>
        <v>0</v>
      </c>
      <c r="AM816" s="590">
        <f>IF(A26taxstdlife="n/a","n/a",IF(AM$3&gt;(A26taxstdlife+$E816),(('PTRM input'!$P$168+'PTRM input'!$P$134)*$P$7)-SUM($P816:AL816),(('PTRM input'!$P$168+'PTRM input'!$P$134)*$P$7)/A26taxstdlife))</f>
        <v>0</v>
      </c>
      <c r="AN816" s="590">
        <f>IF(A26taxstdlife="n/a","n/a",IF(AN$3&gt;(A26taxstdlife+$E816),(('PTRM input'!$P$168+'PTRM input'!$P$134)*$P$7)-SUM($P816:AM816),(('PTRM input'!$P$168+'PTRM input'!$P$134)*$P$7)/A26taxstdlife))</f>
        <v>0</v>
      </c>
      <c r="AO816" s="590">
        <f>IF(A26taxstdlife="n/a","n/a",IF(AO$3&gt;(A26taxstdlife+$E816),(('PTRM input'!$P$168+'PTRM input'!$P$134)*$P$7)-SUM($P816:AN816),(('PTRM input'!$P$168+'PTRM input'!$P$134)*$P$7)/A26taxstdlife))</f>
        <v>0</v>
      </c>
      <c r="AP816" s="590">
        <f>IF(A26taxstdlife="n/a","n/a",IF(AP$3&gt;(A26taxstdlife+$E816),(('PTRM input'!$P$168+'PTRM input'!$P$134)*$P$7)-SUM($P816:AO816),(('PTRM input'!$P$168+'PTRM input'!$P$134)*$P$7)/A26taxstdlife))</f>
        <v>0</v>
      </c>
      <c r="AQ816" s="590">
        <f>IF(A26taxstdlife="n/a","n/a",IF(AQ$3&gt;(A26taxstdlife+$E816),(('PTRM input'!$P$168+'PTRM input'!$P$134)*$P$7)-SUM($P816:AP816),(('PTRM input'!$P$168+'PTRM input'!$P$134)*$P$7)/A26taxstdlife))</f>
        <v>0</v>
      </c>
      <c r="AR816" s="590">
        <f>IF(A26taxstdlife="n/a","n/a",IF(AR$3&gt;(A26taxstdlife+$E816),(('PTRM input'!$P$168+'PTRM input'!$P$134)*$P$7)-SUM($P816:AQ816),(('PTRM input'!$P$168+'PTRM input'!$P$134)*$P$7)/A26taxstdlife))</f>
        <v>0</v>
      </c>
      <c r="AS816" s="590">
        <f>IF(A26taxstdlife="n/a","n/a",IF(AS$3&gt;(A26taxstdlife+$E816),(('PTRM input'!$P$168+'PTRM input'!$P$134)*$P$7)-SUM($P816:AR816),(('PTRM input'!$P$168+'PTRM input'!$P$134)*$P$7)/A26taxstdlife))</f>
        <v>0</v>
      </c>
      <c r="AT816" s="590">
        <f>IF(A26taxstdlife="n/a","n/a",IF(AT$3&gt;(A26taxstdlife+$E816),(('PTRM input'!$P$168+'PTRM input'!$P$134)*$P$7)-SUM($P816:AS816),(('PTRM input'!$P$168+'PTRM input'!$P$134)*$P$7)/A26taxstdlife))</f>
        <v>0</v>
      </c>
      <c r="AU816" s="590">
        <f>IF(A26taxstdlife="n/a","n/a",IF(AU$3&gt;(A26taxstdlife+$E816),(('PTRM input'!$P$168+'PTRM input'!$P$134)*$P$7)-SUM($P816:AT816),(('PTRM input'!$P$168+'PTRM input'!$P$134)*$P$7)/A26taxstdlife))</f>
        <v>0</v>
      </c>
      <c r="AV816" s="590">
        <f>IF(A26taxstdlife="n/a","n/a",IF(AV$3&gt;(A26taxstdlife+$E816),(('PTRM input'!$P$168+'PTRM input'!$P$134)*$P$7)-SUM($P816:AU816),(('PTRM input'!$P$168+'PTRM input'!$P$134)*$P$7)/A26taxstdlife))</f>
        <v>0</v>
      </c>
      <c r="AW816" s="590">
        <f>IF(A26taxstdlife="n/a","n/a",IF(AW$3&gt;(A26taxstdlife+$E816),(('PTRM input'!$P$168+'PTRM input'!$P$134)*$P$7)-SUM($P816:AV816),(('PTRM input'!$P$168+'PTRM input'!$P$134)*$P$7)/A26taxstdlife))</f>
        <v>0</v>
      </c>
      <c r="AX816" s="590">
        <f>IF(A26taxstdlife="n/a","n/a",IF(AX$3&gt;(A26taxstdlife+$E816),(('PTRM input'!$P$168+'PTRM input'!$P$134)*$P$7)-SUM($P816:AW816),(('PTRM input'!$P$168+'PTRM input'!$P$134)*$P$7)/A26taxstdlife))</f>
        <v>0</v>
      </c>
      <c r="AY816" s="590">
        <f>IF(A26taxstdlife="n/a","n/a",IF(AY$3&gt;(A26taxstdlife+$E816),(('PTRM input'!$P$168+'PTRM input'!$P$134)*$P$7)-SUM($P816:AX816),(('PTRM input'!$P$168+'PTRM input'!$P$134)*$P$7)/A26taxstdlife))</f>
        <v>0</v>
      </c>
      <c r="AZ816" s="590">
        <f>IF(A26taxstdlife="n/a","n/a",IF(AZ$3&gt;(A26taxstdlife+$E816),(('PTRM input'!$P$168+'PTRM input'!$P$134)*$P$7)-SUM($P816:AY816),(('PTRM input'!$P$168+'PTRM input'!$P$134)*$P$7)/A26taxstdlife))</f>
        <v>0</v>
      </c>
      <c r="BA816" s="590">
        <f>IF(A26taxstdlife="n/a","n/a",IF(BA$3&gt;(A26taxstdlife+$E816),(('PTRM input'!$P$168+'PTRM input'!$P$134)*$P$7)-SUM($P816:AZ816),(('PTRM input'!$P$168+'PTRM input'!$P$134)*$P$7)/A26taxstdlife))</f>
        <v>0</v>
      </c>
      <c r="BB816" s="590">
        <f>IF(A26taxstdlife="n/a","n/a",IF(BB$3&gt;(A26taxstdlife+$E816),(('PTRM input'!$P$168+'PTRM input'!$P$134)*$P$7)-SUM($P816:BA816),(('PTRM input'!$P$168+'PTRM input'!$P$134)*$P$7)/A26taxstdlife))</f>
        <v>0</v>
      </c>
      <c r="BC816" s="590">
        <f>IF(A26taxstdlife="n/a","n/a",IF(BC$3&gt;(A26taxstdlife+$E816),(('PTRM input'!$P$168+'PTRM input'!$P$134)*$P$7)-SUM($P816:BB816),(('PTRM input'!$P$168+'PTRM input'!$P$134)*$P$7)/A26taxstdlife))</f>
        <v>0</v>
      </c>
      <c r="BD816" s="590">
        <f>IF(A26taxstdlife="n/a","n/a",IF(BD$3&gt;(A26taxstdlife+$E816),(('PTRM input'!$P$168+'PTRM input'!$P$134)*$P$7)-SUM($P816:BC816),(('PTRM input'!$P$168+'PTRM input'!$P$134)*$P$7)/A26taxstdlife))</f>
        <v>0</v>
      </c>
      <c r="BE816" s="590">
        <f>IF(A26taxstdlife="n/a","n/a",IF(BE$3&gt;(A26taxstdlife+$E816),(('PTRM input'!$P$168+'PTRM input'!$P$134)*$P$7)-SUM($P816:BD816),(('PTRM input'!$P$168+'PTRM input'!$P$134)*$P$7)/A26taxstdlife))</f>
        <v>0</v>
      </c>
      <c r="BF816" s="590">
        <f>IF(A26taxstdlife="n/a","n/a",IF(BF$3&gt;(A26taxstdlife+$E816),(('PTRM input'!$P$168+'PTRM input'!$P$134)*$P$7)-SUM($P816:BE816),(('PTRM input'!$P$168+'PTRM input'!$P$134)*$P$7)/A26taxstdlife))</f>
        <v>0</v>
      </c>
      <c r="BG816" s="590">
        <f>IF(A26taxstdlife="n/a","n/a",IF(BG$3&gt;(A26taxstdlife+$E816),(('PTRM input'!$P$168+'PTRM input'!$P$134)*$P$7)-SUM($P816:BF816),(('PTRM input'!$P$168+'PTRM input'!$P$134)*$P$7)/A26taxstdlife))</f>
        <v>0</v>
      </c>
      <c r="BH816" s="590">
        <f>IF(A26taxstdlife="n/a","n/a",IF(BH$3&gt;(A26taxstdlife+$E816),(('PTRM input'!$P$168+'PTRM input'!$P$134)*$P$7)-SUM($P816:BG816),(('PTRM input'!$P$168+'PTRM input'!$P$134)*$P$7)/A26taxstdlife))</f>
        <v>0</v>
      </c>
      <c r="BI816" s="590">
        <f>IF(A26taxstdlife="n/a","n/a",IF(BI$3&gt;(A26taxstdlife+$E816),(('PTRM input'!$P$168+'PTRM input'!$P$134)*$P$7)-SUM($P816:BH816),(('PTRM input'!$P$168+'PTRM input'!$P$134)*$P$7)/A26taxstdlife))</f>
        <v>0</v>
      </c>
      <c r="BJ816" s="240"/>
      <c r="BK816" s="240"/>
      <c r="BL816" s="240"/>
      <c r="BM816" s="240"/>
    </row>
    <row r="817" spans="1:65" s="4" customFormat="1" hidden="1" outlineLevel="1">
      <c r="A817" s="240"/>
      <c r="B817" s="240"/>
      <c r="C817" s="595">
        <f>Asset26</f>
        <v>0</v>
      </c>
      <c r="D817" s="240"/>
      <c r="E817" s="240"/>
      <c r="F817" s="596"/>
      <c r="G817" s="591">
        <f t="shared" ref="G817:AL817" si="156">SUM(G805:G816)</f>
        <v>0</v>
      </c>
      <c r="H817" s="591">
        <f t="shared" si="156"/>
        <v>0</v>
      </c>
      <c r="I817" s="591">
        <f t="shared" si="156"/>
        <v>0</v>
      </c>
      <c r="J817" s="591">
        <f t="shared" si="156"/>
        <v>0</v>
      </c>
      <c r="K817" s="591">
        <f t="shared" si="156"/>
        <v>0</v>
      </c>
      <c r="L817" s="591">
        <f t="shared" si="156"/>
        <v>0</v>
      </c>
      <c r="M817" s="591">
        <f t="shared" si="156"/>
        <v>0</v>
      </c>
      <c r="N817" s="591">
        <f t="shared" si="156"/>
        <v>0</v>
      </c>
      <c r="O817" s="591">
        <f t="shared" si="156"/>
        <v>0</v>
      </c>
      <c r="P817" s="591">
        <f t="shared" si="156"/>
        <v>0</v>
      </c>
      <c r="Q817" s="591">
        <f t="shared" si="156"/>
        <v>0</v>
      </c>
      <c r="R817" s="591">
        <f t="shared" si="156"/>
        <v>0</v>
      </c>
      <c r="S817" s="591">
        <f t="shared" si="156"/>
        <v>0</v>
      </c>
      <c r="T817" s="591">
        <f t="shared" si="156"/>
        <v>0</v>
      </c>
      <c r="U817" s="591">
        <f t="shared" si="156"/>
        <v>0</v>
      </c>
      <c r="V817" s="591">
        <f t="shared" si="156"/>
        <v>0</v>
      </c>
      <c r="W817" s="591">
        <f t="shared" si="156"/>
        <v>0</v>
      </c>
      <c r="X817" s="591">
        <f t="shared" si="156"/>
        <v>0</v>
      </c>
      <c r="Y817" s="591">
        <f t="shared" si="156"/>
        <v>0</v>
      </c>
      <c r="Z817" s="591">
        <f t="shared" si="156"/>
        <v>0</v>
      </c>
      <c r="AA817" s="591">
        <f t="shared" si="156"/>
        <v>0</v>
      </c>
      <c r="AB817" s="591">
        <f t="shared" si="156"/>
        <v>0</v>
      </c>
      <c r="AC817" s="591">
        <f t="shared" si="156"/>
        <v>0</v>
      </c>
      <c r="AD817" s="591">
        <f t="shared" si="156"/>
        <v>0</v>
      </c>
      <c r="AE817" s="591">
        <f t="shared" si="156"/>
        <v>0</v>
      </c>
      <c r="AF817" s="591">
        <f t="shared" si="156"/>
        <v>0</v>
      </c>
      <c r="AG817" s="591">
        <f t="shared" si="156"/>
        <v>0</v>
      </c>
      <c r="AH817" s="591">
        <f t="shared" si="156"/>
        <v>0</v>
      </c>
      <c r="AI817" s="591">
        <f t="shared" si="156"/>
        <v>0</v>
      </c>
      <c r="AJ817" s="591">
        <f t="shared" si="156"/>
        <v>0</v>
      </c>
      <c r="AK817" s="591">
        <f t="shared" si="156"/>
        <v>0</v>
      </c>
      <c r="AL817" s="591">
        <f t="shared" si="156"/>
        <v>0</v>
      </c>
      <c r="AM817" s="591">
        <f t="shared" ref="AM817:BI817" si="157">SUM(AM805:AM816)</f>
        <v>0</v>
      </c>
      <c r="AN817" s="591">
        <f t="shared" si="157"/>
        <v>0</v>
      </c>
      <c r="AO817" s="591">
        <f t="shared" si="157"/>
        <v>0</v>
      </c>
      <c r="AP817" s="591">
        <f t="shared" si="157"/>
        <v>0</v>
      </c>
      <c r="AQ817" s="591">
        <f t="shared" si="157"/>
        <v>0</v>
      </c>
      <c r="AR817" s="591">
        <f t="shared" si="157"/>
        <v>0</v>
      </c>
      <c r="AS817" s="591">
        <f t="shared" si="157"/>
        <v>0</v>
      </c>
      <c r="AT817" s="591">
        <f t="shared" si="157"/>
        <v>0</v>
      </c>
      <c r="AU817" s="591">
        <f t="shared" si="157"/>
        <v>0</v>
      </c>
      <c r="AV817" s="591">
        <f t="shared" si="157"/>
        <v>0</v>
      </c>
      <c r="AW817" s="591">
        <f t="shared" si="157"/>
        <v>0</v>
      </c>
      <c r="AX817" s="591">
        <f t="shared" si="157"/>
        <v>0</v>
      </c>
      <c r="AY817" s="591">
        <f t="shared" si="157"/>
        <v>0</v>
      </c>
      <c r="AZ817" s="591">
        <f t="shared" si="157"/>
        <v>0</v>
      </c>
      <c r="BA817" s="591">
        <f t="shared" si="157"/>
        <v>0</v>
      </c>
      <c r="BB817" s="591">
        <f t="shared" si="157"/>
        <v>0</v>
      </c>
      <c r="BC817" s="591">
        <f t="shared" si="157"/>
        <v>0</v>
      </c>
      <c r="BD817" s="591">
        <f t="shared" si="157"/>
        <v>0</v>
      </c>
      <c r="BE817" s="591">
        <f t="shared" si="157"/>
        <v>0</v>
      </c>
      <c r="BF817" s="591">
        <f t="shared" si="157"/>
        <v>0</v>
      </c>
      <c r="BG817" s="591">
        <f t="shared" si="157"/>
        <v>0</v>
      </c>
      <c r="BH817" s="591">
        <f t="shared" si="157"/>
        <v>0</v>
      </c>
      <c r="BI817" s="591">
        <f t="shared" si="157"/>
        <v>0</v>
      </c>
      <c r="BJ817" s="240"/>
      <c r="BK817" s="240"/>
      <c r="BL817" s="240"/>
      <c r="BM817" s="240"/>
    </row>
    <row r="818" spans="1:65" s="4" customFormat="1" hidden="1" outlineLevel="2">
      <c r="A818" s="240"/>
      <c r="B818" s="597">
        <f>C830</f>
        <v>0</v>
      </c>
      <c r="C818" s="488"/>
      <c r="D818" s="598" t="s">
        <v>58</v>
      </c>
      <c r="E818" s="488"/>
      <c r="F818" s="599"/>
      <c r="G818" s="592">
        <f>IF(G$3&gt;A27taxremlife,A27taxvalue-SUM($F818:F818),IF(A27taxremlife="N/A","n/a",A27taxvalue/A27taxremlife))</f>
        <v>0</v>
      </c>
      <c r="H818" s="592">
        <f>IF(H$3&gt;A27taxremlife,A27taxvalue-SUM($F818:G818),IF(A27taxremlife="N/A","n/a",A27taxvalue/A27taxremlife))</f>
        <v>0</v>
      </c>
      <c r="I818" s="592">
        <f>IF(I$3&gt;A27taxremlife,A27taxvalue-SUM($F818:H818),IF(A27taxremlife="N/A","n/a",A27taxvalue/A27taxremlife))</f>
        <v>0</v>
      </c>
      <c r="J818" s="592">
        <f>IF(J$3&gt;A27taxremlife,A27taxvalue-SUM($F818:I818),IF(A27taxremlife="N/A","n/a",A27taxvalue/A27taxremlife))</f>
        <v>0</v>
      </c>
      <c r="K818" s="592">
        <f>IF(K$3&gt;A27taxremlife,A27taxvalue-SUM($F818:J818),IF(A27taxremlife="N/A","n/a",A27taxvalue/A27taxremlife))</f>
        <v>0</v>
      </c>
      <c r="L818" s="592">
        <f>IF(L$3&gt;A27taxremlife,A27taxvalue-SUM($F818:K818),IF(A27taxremlife="N/A","n/a",A27taxvalue/A27taxremlife))</f>
        <v>0</v>
      </c>
      <c r="M818" s="592">
        <f>IF(M$3&gt;A27taxremlife,A27taxvalue-SUM($F818:L818),IF(A27taxremlife="N/A","n/a",A27taxvalue/A27taxremlife))</f>
        <v>0</v>
      </c>
      <c r="N818" s="592">
        <f>IF(N$3&gt;A27taxremlife,A27taxvalue-SUM($F818:M818),IF(A27taxremlife="N/A","n/a",A27taxvalue/A27taxremlife))</f>
        <v>0</v>
      </c>
      <c r="O818" s="592">
        <f>IF(O$3&gt;A27taxremlife,A27taxvalue-SUM($F818:N818),IF(A27taxremlife="N/A","n/a",A27taxvalue/A27taxremlife))</f>
        <v>0</v>
      </c>
      <c r="P818" s="592">
        <f>IF(P$3&gt;A27taxremlife,A27taxvalue-SUM($F818:O818),IF(A27taxremlife="N/A","n/a",A27taxvalue/A27taxremlife))</f>
        <v>0</v>
      </c>
      <c r="Q818" s="592">
        <f>IF(Q$3&gt;A27taxremlife,A27taxvalue-SUM($F818:P818),IF(A27taxremlife="N/A","n/a",A27taxvalue/A27taxremlife))</f>
        <v>0</v>
      </c>
      <c r="R818" s="592">
        <f>IF(R$3&gt;A27taxremlife,A27taxvalue-SUM($F818:Q818),IF(A27taxremlife="N/A","n/a",A27taxvalue/A27taxremlife))</f>
        <v>0</v>
      </c>
      <c r="S818" s="592">
        <f>IF(S$3&gt;A27taxremlife,A27taxvalue-SUM($F818:R818),IF(A27taxremlife="N/A","n/a",A27taxvalue/A27taxremlife))</f>
        <v>0</v>
      </c>
      <c r="T818" s="592">
        <f>IF(T$3&gt;A27taxremlife,A27taxvalue-SUM($F818:S818),IF(A27taxremlife="N/A","n/a",A27taxvalue/A27taxremlife))</f>
        <v>0</v>
      </c>
      <c r="U818" s="592">
        <f>IF(U$3&gt;A27taxremlife,A27taxvalue-SUM($F818:T818),IF(A27taxremlife="N/A","n/a",A27taxvalue/A27taxremlife))</f>
        <v>0</v>
      </c>
      <c r="V818" s="592">
        <f>IF(V$3&gt;A27taxremlife,A27taxvalue-SUM($F818:U818),IF(A27taxremlife="N/A","n/a",A27taxvalue/A27taxremlife))</f>
        <v>0</v>
      </c>
      <c r="W818" s="592">
        <f>IF(W$3&gt;A27taxremlife,A27taxvalue-SUM($F818:V818),IF(A27taxremlife="N/A","n/a",A27taxvalue/A27taxremlife))</f>
        <v>0</v>
      </c>
      <c r="X818" s="592">
        <f>IF(X$3&gt;A27taxremlife,A27taxvalue-SUM($F818:W818),IF(A27taxremlife="N/A","n/a",A27taxvalue/A27taxremlife))</f>
        <v>0</v>
      </c>
      <c r="Y818" s="592">
        <f>IF(Y$3&gt;A27taxremlife,A27taxvalue-SUM($F818:X818),IF(A27taxremlife="N/A","n/a",A27taxvalue/A27taxremlife))</f>
        <v>0</v>
      </c>
      <c r="Z818" s="592">
        <f>IF(Z$3&gt;A27taxremlife,A27taxvalue-SUM($F818:Y818),IF(A27taxremlife="N/A","n/a",A27taxvalue/A27taxremlife))</f>
        <v>0</v>
      </c>
      <c r="AA818" s="592">
        <f>IF(AA$3&gt;A27taxremlife,A27taxvalue-SUM($F818:Z818),IF(A27taxremlife="N/A","n/a",A27taxvalue/A27taxremlife))</f>
        <v>0</v>
      </c>
      <c r="AB818" s="592">
        <f>IF(AB$3&gt;A27taxremlife,A27taxvalue-SUM($F818:AA818),IF(A27taxremlife="N/A","n/a",A27taxvalue/A27taxremlife))</f>
        <v>0</v>
      </c>
      <c r="AC818" s="592">
        <f>IF(AC$3&gt;A27taxremlife,A27taxvalue-SUM($F818:AB818),IF(A27taxremlife="N/A","n/a",A27taxvalue/A27taxremlife))</f>
        <v>0</v>
      </c>
      <c r="AD818" s="592">
        <f>IF(AD$3&gt;A27taxremlife,A27taxvalue-SUM($F818:AC818),IF(A27taxremlife="N/A","n/a",A27taxvalue/A27taxremlife))</f>
        <v>0</v>
      </c>
      <c r="AE818" s="592">
        <f>IF(AE$3&gt;A27taxremlife,A27taxvalue-SUM($F818:AD818),IF(A27taxremlife="N/A","n/a",A27taxvalue/A27taxremlife))</f>
        <v>0</v>
      </c>
      <c r="AF818" s="592">
        <f>IF(AF$3&gt;A27taxremlife,A27taxvalue-SUM($F818:AE818),IF(A27taxremlife="N/A","n/a",A27taxvalue/A27taxremlife))</f>
        <v>0</v>
      </c>
      <c r="AG818" s="592">
        <f>IF(AG$3&gt;A27taxremlife,A27taxvalue-SUM($F818:AF818),IF(A27taxremlife="N/A","n/a",A27taxvalue/A27taxremlife))</f>
        <v>0</v>
      </c>
      <c r="AH818" s="592">
        <f>IF(AH$3&gt;A27taxremlife,A27taxvalue-SUM($F818:AG818),IF(A27taxremlife="N/A","n/a",A27taxvalue/A27taxremlife))</f>
        <v>0</v>
      </c>
      <c r="AI818" s="592">
        <f>IF(AI$3&gt;A27taxremlife,A27taxvalue-SUM($F818:AH818),IF(A27taxremlife="N/A","n/a",A27taxvalue/A27taxremlife))</f>
        <v>0</v>
      </c>
      <c r="AJ818" s="592">
        <f>IF(AJ$3&gt;A27taxremlife,A27taxvalue-SUM($F818:AI818),IF(A27taxremlife="N/A","n/a",A27taxvalue/A27taxremlife))</f>
        <v>0</v>
      </c>
      <c r="AK818" s="592">
        <f>IF(AK$3&gt;A27taxremlife,A27taxvalue-SUM($F818:AJ818),IF(A27taxremlife="N/A","n/a",A27taxvalue/A27taxremlife))</f>
        <v>0</v>
      </c>
      <c r="AL818" s="592">
        <f>IF(AL$3&gt;A27taxremlife,A27taxvalue-SUM($F818:AK818),IF(A27taxremlife="N/A","n/a",A27taxvalue/A27taxremlife))</f>
        <v>0</v>
      </c>
      <c r="AM818" s="592">
        <f>IF(AM$3&gt;A27taxremlife,A27taxvalue-SUM($F818:AL818),IF(A27taxremlife="N/A","n/a",A27taxvalue/A27taxremlife))</f>
        <v>0</v>
      </c>
      <c r="AN818" s="592">
        <f>IF(AN$3&gt;A27taxremlife,A27taxvalue-SUM($F818:AM818),IF(A27taxremlife="N/A","n/a",A27taxvalue/A27taxremlife))</f>
        <v>0</v>
      </c>
      <c r="AO818" s="592">
        <f>IF(AO$3&gt;A27taxremlife,A27taxvalue-SUM($F818:AN818),IF(A27taxremlife="N/A","n/a",A27taxvalue/A27taxremlife))</f>
        <v>0</v>
      </c>
      <c r="AP818" s="592">
        <f>IF(AP$3&gt;A27taxremlife,A27taxvalue-SUM($F818:AO818),IF(A27taxremlife="N/A","n/a",A27taxvalue/A27taxremlife))</f>
        <v>0</v>
      </c>
      <c r="AQ818" s="592">
        <f>IF(AQ$3&gt;A27taxremlife,A27taxvalue-SUM($F818:AP818),IF(A27taxremlife="N/A","n/a",A27taxvalue/A27taxremlife))</f>
        <v>0</v>
      </c>
      <c r="AR818" s="592">
        <f>IF(AR$3&gt;A27taxremlife,A27taxvalue-SUM($F818:AQ818),IF(A27taxremlife="N/A","n/a",A27taxvalue/A27taxremlife))</f>
        <v>0</v>
      </c>
      <c r="AS818" s="592">
        <f>IF(AS$3&gt;A27taxremlife,A27taxvalue-SUM($F818:AR818),IF(A27taxremlife="N/A","n/a",A27taxvalue/A27taxremlife))</f>
        <v>0</v>
      </c>
      <c r="AT818" s="592">
        <f>IF(AT$3&gt;A27taxremlife,A27taxvalue-SUM($F818:AS818),IF(A27taxremlife="N/A","n/a",A27taxvalue/A27taxremlife))</f>
        <v>0</v>
      </c>
      <c r="AU818" s="592">
        <f>IF(AU$3&gt;A27taxremlife,A27taxvalue-SUM($F818:AT818),IF(A27taxremlife="N/A","n/a",A27taxvalue/A27taxremlife))</f>
        <v>0</v>
      </c>
      <c r="AV818" s="592">
        <f>IF(AV$3&gt;A27taxremlife,A27taxvalue-SUM($F818:AU818),IF(A27taxremlife="N/A","n/a",A27taxvalue/A27taxremlife))</f>
        <v>0</v>
      </c>
      <c r="AW818" s="592">
        <f>IF(AW$3&gt;A27taxremlife,A27taxvalue-SUM($F818:AV818),IF(A27taxremlife="N/A","n/a",A27taxvalue/A27taxremlife))</f>
        <v>0</v>
      </c>
      <c r="AX818" s="592">
        <f>IF(AX$3&gt;A27taxremlife,A27taxvalue-SUM($F818:AW818),IF(A27taxremlife="N/A","n/a",A27taxvalue/A27taxremlife))</f>
        <v>0</v>
      </c>
      <c r="AY818" s="592">
        <f>IF(AY$3&gt;A27taxremlife,A27taxvalue-SUM($F818:AX818),IF(A27taxremlife="N/A","n/a",A27taxvalue/A27taxremlife))</f>
        <v>0</v>
      </c>
      <c r="AZ818" s="592">
        <f>IF(AZ$3&gt;A27taxremlife,A27taxvalue-SUM($F818:AY818),IF(A27taxremlife="N/A","n/a",A27taxvalue/A27taxremlife))</f>
        <v>0</v>
      </c>
      <c r="BA818" s="592">
        <f>IF(BA$3&gt;A27taxremlife,A27taxvalue-SUM($F818:AZ818),IF(A27taxremlife="N/A","n/a",A27taxvalue/A27taxremlife))</f>
        <v>0</v>
      </c>
      <c r="BB818" s="592">
        <f>IF(BB$3&gt;A27taxremlife,A27taxvalue-SUM($F818:BA818),IF(A27taxremlife="N/A","n/a",A27taxvalue/A27taxremlife))</f>
        <v>0</v>
      </c>
      <c r="BC818" s="592">
        <f>IF(BC$3&gt;A27taxremlife,A27taxvalue-SUM($F818:BB818),IF(A27taxremlife="N/A","n/a",A27taxvalue/A27taxremlife))</f>
        <v>0</v>
      </c>
      <c r="BD818" s="592">
        <f>IF(BD$3&gt;A27taxremlife,A27taxvalue-SUM($F818:BC818),IF(A27taxremlife="N/A","n/a",A27taxvalue/A27taxremlife))</f>
        <v>0</v>
      </c>
      <c r="BE818" s="592">
        <f>IF(BE$3&gt;A27taxremlife,A27taxvalue-SUM($F818:BD818),IF(A27taxremlife="N/A","n/a",A27taxvalue/A27taxremlife))</f>
        <v>0</v>
      </c>
      <c r="BF818" s="592">
        <f>IF(BF$3&gt;A27taxremlife,A27taxvalue-SUM($F818:BE818),IF(A27taxremlife="N/A","n/a",A27taxvalue/A27taxremlife))</f>
        <v>0</v>
      </c>
      <c r="BG818" s="592">
        <f>IF(BG$3&gt;A27taxremlife,A27taxvalue-SUM($F818:BF818),IF(A27taxremlife="N/A","n/a",A27taxvalue/A27taxremlife))</f>
        <v>0</v>
      </c>
      <c r="BH818" s="592">
        <f>IF(BH$3&gt;A27taxremlife,A27taxvalue-SUM($F818:BG818),IF(A27taxremlife="N/A","n/a",A27taxvalue/A27taxremlife))</f>
        <v>0</v>
      </c>
      <c r="BI818" s="592">
        <f>IF(BI$3&gt;A27taxremlife,A27taxvalue-SUM($F818:BH818),IF(A27taxremlife="N/A","n/a",A27taxvalue/A27taxremlife))</f>
        <v>0</v>
      </c>
      <c r="BJ818" s="240"/>
      <c r="BK818" s="240"/>
      <c r="BL818" s="240"/>
      <c r="BM818" s="240"/>
    </row>
    <row r="819" spans="1:65" s="4" customFormat="1" ht="12.75" hidden="1" customHeight="1" outlineLevel="2">
      <c r="A819" s="240"/>
      <c r="B819" s="240"/>
      <c r="C819" s="595"/>
      <c r="D819" s="1618" t="s">
        <v>357</v>
      </c>
      <c r="E819" s="169">
        <v>0</v>
      </c>
      <c r="F819" s="35"/>
      <c r="G819" s="107"/>
      <c r="H819" s="107"/>
      <c r="I819" s="107"/>
      <c r="J819" s="107"/>
      <c r="K819" s="107"/>
      <c r="L819" s="107"/>
      <c r="M819" s="107"/>
      <c r="N819" s="107"/>
      <c r="O819" s="107"/>
      <c r="P819" s="107"/>
      <c r="Q819" s="590"/>
      <c r="R819" s="590"/>
      <c r="S819" s="590"/>
      <c r="T819" s="590"/>
      <c r="U819" s="590"/>
      <c r="V819" s="590"/>
      <c r="W819" s="590"/>
      <c r="X819" s="590"/>
      <c r="Y819" s="590"/>
      <c r="Z819" s="590"/>
      <c r="AA819" s="590"/>
      <c r="AB819" s="590"/>
      <c r="AC819" s="590"/>
      <c r="AD819" s="590"/>
      <c r="AE819" s="590"/>
      <c r="AF819" s="590"/>
      <c r="AG819" s="590"/>
      <c r="AH819" s="590"/>
      <c r="AI819" s="590"/>
      <c r="AJ819" s="590"/>
      <c r="AK819" s="590"/>
      <c r="AL819" s="590"/>
      <c r="AM819" s="590"/>
      <c r="AN819" s="590"/>
      <c r="AO819" s="590"/>
      <c r="AP819" s="590"/>
      <c r="AQ819" s="590"/>
      <c r="AR819" s="590"/>
      <c r="AS819" s="590"/>
      <c r="AT819" s="590"/>
      <c r="AU819" s="590"/>
      <c r="AV819" s="590"/>
      <c r="AW819" s="590"/>
      <c r="AX819" s="590"/>
      <c r="AY819" s="590"/>
      <c r="AZ819" s="590"/>
      <c r="BA819" s="590"/>
      <c r="BB819" s="590"/>
      <c r="BC819" s="590"/>
      <c r="BD819" s="590"/>
      <c r="BE819" s="590"/>
      <c r="BF819" s="590"/>
      <c r="BG819" s="590"/>
      <c r="BH819" s="590"/>
      <c r="BI819" s="590"/>
      <c r="BJ819" s="240"/>
      <c r="BK819" s="240"/>
      <c r="BL819" s="240"/>
      <c r="BM819" s="240"/>
    </row>
    <row r="820" spans="1:65" s="4" customFormat="1" hidden="1" outlineLevel="2">
      <c r="A820" s="240"/>
      <c r="B820" s="240"/>
      <c r="C820" s="595"/>
      <c r="D820" s="1618"/>
      <c r="E820" s="169">
        <v>1</v>
      </c>
      <c r="F820" s="35"/>
      <c r="G820" s="183"/>
      <c r="H820" s="107">
        <f>IF(A27taxstdlife="n/a","n/a",IF(H$3&gt;(A27taxstdlife+$E820),(('PTRM input'!$G$169+'PTRM input'!$G$135)*$G$7)-SUM($G820:G820),(('PTRM input'!$G$169+'PTRM input'!$G$135)*$G$7)/A27taxstdlife))</f>
        <v>0</v>
      </c>
      <c r="I820" s="107">
        <f>IF(A27taxstdlife="n/a","n/a",IF(I$3&gt;(A27taxstdlife+$E820),(('PTRM input'!$G$169+'PTRM input'!$G$135)*$G$7)-SUM($G820:H820),(('PTRM input'!$G$169+'PTRM input'!$G$135)*$G$7)/A27taxstdlife))</f>
        <v>0</v>
      </c>
      <c r="J820" s="107">
        <f>IF(A27taxstdlife="n/a","n/a",IF(J$3&gt;(A27taxstdlife+$E820),(('PTRM input'!$G$169+'PTRM input'!$G$135)*$G$7)-SUM($G820:I820),(('PTRM input'!$G$169+'PTRM input'!$G$135)*$G$7)/A27taxstdlife))</f>
        <v>0</v>
      </c>
      <c r="K820" s="107">
        <f>IF(A27taxstdlife="n/a","n/a",IF(K$3&gt;(A27taxstdlife+$E820),(('PTRM input'!$G$169+'PTRM input'!$G$135)*$G$7)-SUM($G820:J820),(('PTRM input'!$G$169+'PTRM input'!$G$135)*$G$7)/A27taxstdlife))</f>
        <v>0</v>
      </c>
      <c r="L820" s="107">
        <f>IF(A27taxstdlife="n/a","n/a",IF(L$3&gt;(A27taxstdlife+$E820),(('PTRM input'!$G$169+'PTRM input'!$G$135)*$G$7)-SUM($G820:K820),(('PTRM input'!$G$169+'PTRM input'!$G$135)*$G$7)/A27taxstdlife))</f>
        <v>0</v>
      </c>
      <c r="M820" s="107">
        <f>IF(A27taxstdlife="n/a","n/a",IF(M$3&gt;(A27taxstdlife+$E820),(('PTRM input'!$G$169+'PTRM input'!$G$135)*$G$7)-SUM($G820:L820),(('PTRM input'!$G$169+'PTRM input'!$G$135)*$G$7)/A27taxstdlife))</f>
        <v>0</v>
      </c>
      <c r="N820" s="107">
        <f>IF(A27taxstdlife="n/a","n/a",IF(N$3&gt;(A27taxstdlife+$E820),(('PTRM input'!$G$169+'PTRM input'!$G$135)*$G$7)-SUM($G820:M820),(('PTRM input'!$G$169+'PTRM input'!$G$135)*$G$7)/A27taxstdlife))</f>
        <v>0</v>
      </c>
      <c r="O820" s="107">
        <f>IF(A27taxstdlife="n/a","n/a",IF(O$3&gt;(A27taxstdlife+$E820),(('PTRM input'!$G$169+'PTRM input'!$G$135)*$G$7)-SUM($G820:N820),(('PTRM input'!$G$169+'PTRM input'!$G$135)*$G$7)/A27taxstdlife))</f>
        <v>0</v>
      </c>
      <c r="P820" s="107">
        <f>IF(A27taxstdlife="n/a","n/a",IF(P$3&gt;(A27taxstdlife+$E820),(('PTRM input'!$G$169+'PTRM input'!$G$135)*$G$7)-SUM($G820:O820),(('PTRM input'!$G$169+'PTRM input'!$G$135)*$G$7)/A27taxstdlife))</f>
        <v>0</v>
      </c>
      <c r="Q820" s="590">
        <f>IF(A27taxstdlife="n/a","n/a",IF(Q$3&gt;(A27taxstdlife+$E820),(('PTRM input'!$G$169+'PTRM input'!$G$135)*$G$7)-SUM($G820:P820),(('PTRM input'!$G$169+'PTRM input'!$G$135)*$G$7)/A27taxstdlife))</f>
        <v>0</v>
      </c>
      <c r="R820" s="590">
        <f>IF(A27taxstdlife="n/a","n/a",IF(R$3&gt;(A27taxstdlife+$E820),(('PTRM input'!$G$169+'PTRM input'!$G$135)*$G$7)-SUM($G820:Q820),(('PTRM input'!$G$169+'PTRM input'!$G$135)*$G$7)/A27taxstdlife))</f>
        <v>0</v>
      </c>
      <c r="S820" s="590">
        <f>IF(A27taxstdlife="n/a","n/a",IF(S$3&gt;(A27taxstdlife+$E820),(('PTRM input'!$G$169+'PTRM input'!$G$135)*$G$7)-SUM($G820:R820),(('PTRM input'!$G$169+'PTRM input'!$G$135)*$G$7)/A27taxstdlife))</f>
        <v>0</v>
      </c>
      <c r="T820" s="590">
        <f>IF(A27taxstdlife="n/a","n/a",IF(T$3&gt;(A27taxstdlife+$E820),(('PTRM input'!$G$169+'PTRM input'!$G$135)*$G$7)-SUM($G820:S820),(('PTRM input'!$G$169+'PTRM input'!$G$135)*$G$7)/A27taxstdlife))</f>
        <v>0</v>
      </c>
      <c r="U820" s="590">
        <f>IF(A27taxstdlife="n/a","n/a",IF(U$3&gt;(A27taxstdlife+$E820),(('PTRM input'!$G$169+'PTRM input'!$G$135)*$G$7)-SUM($G820:T820),(('PTRM input'!$G$169+'PTRM input'!$G$135)*$G$7)/A27taxstdlife))</f>
        <v>0</v>
      </c>
      <c r="V820" s="590">
        <f>IF(A27taxstdlife="n/a","n/a",IF(V$3&gt;(A27taxstdlife+$E820),(('PTRM input'!$G$169+'PTRM input'!$G$135)*$G$7)-SUM($G820:U820),(('PTRM input'!$G$169+'PTRM input'!$G$135)*$G$7)/A27taxstdlife))</f>
        <v>0</v>
      </c>
      <c r="W820" s="590">
        <f>IF(A27taxstdlife="n/a","n/a",IF(W$3&gt;(A27taxstdlife+$E820),(('PTRM input'!$G$169+'PTRM input'!$G$135)*$G$7)-SUM($G820:V820),(('PTRM input'!$G$169+'PTRM input'!$G$135)*$G$7)/A27taxstdlife))</f>
        <v>0</v>
      </c>
      <c r="X820" s="590">
        <f>IF(A27taxstdlife="n/a","n/a",IF(X$3&gt;(A27taxstdlife+$E820),(('PTRM input'!$G$169+'PTRM input'!$G$135)*$G$7)-SUM($G820:W820),(('PTRM input'!$G$169+'PTRM input'!$G$135)*$G$7)/A27taxstdlife))</f>
        <v>0</v>
      </c>
      <c r="Y820" s="590">
        <f>IF(A27taxstdlife="n/a","n/a",IF(Y$3&gt;(A27taxstdlife+$E820),(('PTRM input'!$G$169+'PTRM input'!$G$135)*$G$7)-SUM($G820:X820),(('PTRM input'!$G$169+'PTRM input'!$G$135)*$G$7)/A27taxstdlife))</f>
        <v>0</v>
      </c>
      <c r="Z820" s="590">
        <f>IF(A27taxstdlife="n/a","n/a",IF(Z$3&gt;(A27taxstdlife+$E820),(('PTRM input'!$G$169+'PTRM input'!$G$135)*$G$7)-SUM($G820:Y820),(('PTRM input'!$G$169+'PTRM input'!$G$135)*$G$7)/A27taxstdlife))</f>
        <v>0</v>
      </c>
      <c r="AA820" s="590">
        <f>IF(A27taxstdlife="n/a","n/a",IF(AA$3&gt;(A27taxstdlife+$E820),(('PTRM input'!$G$169+'PTRM input'!$G$135)*$G$7)-SUM($G820:Z820),(('PTRM input'!$G$169+'PTRM input'!$G$135)*$G$7)/A27taxstdlife))</f>
        <v>0</v>
      </c>
      <c r="AB820" s="590">
        <f>IF(A27taxstdlife="n/a","n/a",IF(AB$3&gt;(A27taxstdlife+$E820),(('PTRM input'!$G$169+'PTRM input'!$G$135)*$G$7)-SUM($G820:AA820),(('PTRM input'!$G$169+'PTRM input'!$G$135)*$G$7)/A27taxstdlife))</f>
        <v>0</v>
      </c>
      <c r="AC820" s="590">
        <f>IF(A27taxstdlife="n/a","n/a",IF(AC$3&gt;(A27taxstdlife+$E820),(('PTRM input'!$G$169+'PTRM input'!$G$135)*$G$7)-SUM($G820:AB820),(('PTRM input'!$G$169+'PTRM input'!$G$135)*$G$7)/A27taxstdlife))</f>
        <v>0</v>
      </c>
      <c r="AD820" s="590">
        <f>IF(A27taxstdlife="n/a","n/a",IF(AD$3&gt;(A27taxstdlife+$E820),(('PTRM input'!$G$169+'PTRM input'!$G$135)*$G$7)-SUM($G820:AC820),(('PTRM input'!$G$169+'PTRM input'!$G$135)*$G$7)/A27taxstdlife))</f>
        <v>0</v>
      </c>
      <c r="AE820" s="590">
        <f>IF(A27taxstdlife="n/a","n/a",IF(AE$3&gt;(A27taxstdlife+$E820),(('PTRM input'!$G$169+'PTRM input'!$G$135)*$G$7)-SUM($G820:AD820),(('PTRM input'!$G$169+'PTRM input'!$G$135)*$G$7)/A27taxstdlife))</f>
        <v>0</v>
      </c>
      <c r="AF820" s="590">
        <f>IF(A27taxstdlife="n/a","n/a",IF(AF$3&gt;(A27taxstdlife+$E820),(('PTRM input'!$G$169+'PTRM input'!$G$135)*$G$7)-SUM($G820:AE820),(('PTRM input'!$G$169+'PTRM input'!$G$135)*$G$7)/A27taxstdlife))</f>
        <v>0</v>
      </c>
      <c r="AG820" s="590">
        <f>IF(A27taxstdlife="n/a","n/a",IF(AG$3&gt;(A27taxstdlife+$E820),(('PTRM input'!$G$169+'PTRM input'!$G$135)*$G$7)-SUM($G820:AF820),(('PTRM input'!$G$169+'PTRM input'!$G$135)*$G$7)/A27taxstdlife))</f>
        <v>0</v>
      </c>
      <c r="AH820" s="590">
        <f>IF(A27taxstdlife="n/a","n/a",IF(AH$3&gt;(A27taxstdlife+$E820),(('PTRM input'!$G$169+'PTRM input'!$G$135)*$G$7)-SUM($G820:AG820),(('PTRM input'!$G$169+'PTRM input'!$G$135)*$G$7)/A27taxstdlife))</f>
        <v>0</v>
      </c>
      <c r="AI820" s="590">
        <f>IF(A27taxstdlife="n/a","n/a",IF(AI$3&gt;(A27taxstdlife+$E820),(('PTRM input'!$G$169+'PTRM input'!$G$135)*$G$7)-SUM($G820:AH820),(('PTRM input'!$G$169+'PTRM input'!$G$135)*$G$7)/A27taxstdlife))</f>
        <v>0</v>
      </c>
      <c r="AJ820" s="590">
        <f>IF(A27taxstdlife="n/a","n/a",IF(AJ$3&gt;(A27taxstdlife+$E820),(('PTRM input'!$G$169+'PTRM input'!$G$135)*$G$7)-SUM($G820:AI820),(('PTRM input'!$G$169+'PTRM input'!$G$135)*$G$7)/A27taxstdlife))</f>
        <v>0</v>
      </c>
      <c r="AK820" s="590">
        <f>IF(A27taxstdlife="n/a","n/a",IF(AK$3&gt;(A27taxstdlife+$E820),(('PTRM input'!$G$169+'PTRM input'!$G$135)*$G$7)-SUM($G820:AJ820),(('PTRM input'!$G$169+'PTRM input'!$G$135)*$G$7)/A27taxstdlife))</f>
        <v>0</v>
      </c>
      <c r="AL820" s="590">
        <f>IF(A27taxstdlife="n/a","n/a",IF(AL$3&gt;(A27taxstdlife+$E820),(('PTRM input'!$G$169+'PTRM input'!$G$135)*$G$7)-SUM($G820:AK820),(('PTRM input'!$G$169+'PTRM input'!$G$135)*$G$7)/A27taxstdlife))</f>
        <v>0</v>
      </c>
      <c r="AM820" s="590">
        <f>IF(A27taxstdlife="n/a","n/a",IF(AM$3&gt;(A27taxstdlife+$E820),(('PTRM input'!$G$169+'PTRM input'!$G$135)*$G$7)-SUM($G820:AL820),(('PTRM input'!$G$169+'PTRM input'!$G$135)*$G$7)/A27taxstdlife))</f>
        <v>0</v>
      </c>
      <c r="AN820" s="590">
        <f>IF(A27taxstdlife="n/a","n/a",IF(AN$3&gt;(A27taxstdlife+$E820),(('PTRM input'!$G$169+'PTRM input'!$G$135)*$G$7)-SUM($G820:AM820),(('PTRM input'!$G$169+'PTRM input'!$G$135)*$G$7)/A27taxstdlife))</f>
        <v>0</v>
      </c>
      <c r="AO820" s="590">
        <f>IF(A27taxstdlife="n/a","n/a",IF(AO$3&gt;(A27taxstdlife+$E820),(('PTRM input'!$G$169+'PTRM input'!$G$135)*$G$7)-SUM($G820:AN820),(('PTRM input'!$G$169+'PTRM input'!$G$135)*$G$7)/A27taxstdlife))</f>
        <v>0</v>
      </c>
      <c r="AP820" s="590">
        <f>IF(A27taxstdlife="n/a","n/a",IF(AP$3&gt;(A27taxstdlife+$E820),(('PTRM input'!$G$169+'PTRM input'!$G$135)*$G$7)-SUM($G820:AO820),(('PTRM input'!$G$169+'PTRM input'!$G$135)*$G$7)/A27taxstdlife))</f>
        <v>0</v>
      </c>
      <c r="AQ820" s="590">
        <f>IF(A27taxstdlife="n/a","n/a",IF(AQ$3&gt;(A27taxstdlife+$E820),(('PTRM input'!$G$169+'PTRM input'!$G$135)*$G$7)-SUM($G820:AP820),(('PTRM input'!$G$169+'PTRM input'!$G$135)*$G$7)/A27taxstdlife))</f>
        <v>0</v>
      </c>
      <c r="AR820" s="590">
        <f>IF(A27taxstdlife="n/a","n/a",IF(AR$3&gt;(A27taxstdlife+$E820),(('PTRM input'!$G$169+'PTRM input'!$G$135)*$G$7)-SUM($G820:AQ820),(('PTRM input'!$G$169+'PTRM input'!$G$135)*$G$7)/A27taxstdlife))</f>
        <v>0</v>
      </c>
      <c r="AS820" s="590">
        <f>IF(A27taxstdlife="n/a","n/a",IF(AS$3&gt;(A27taxstdlife+$E820),(('PTRM input'!$G$169+'PTRM input'!$G$135)*$G$7)-SUM($G820:AR820),(('PTRM input'!$G$169+'PTRM input'!$G$135)*$G$7)/A27taxstdlife))</f>
        <v>0</v>
      </c>
      <c r="AT820" s="590">
        <f>IF(A27taxstdlife="n/a","n/a",IF(AT$3&gt;(A27taxstdlife+$E820),(('PTRM input'!$G$169+'PTRM input'!$G$135)*$G$7)-SUM($G820:AS820),(('PTRM input'!$G$169+'PTRM input'!$G$135)*$G$7)/A27taxstdlife))</f>
        <v>0</v>
      </c>
      <c r="AU820" s="590">
        <f>IF(A27taxstdlife="n/a","n/a",IF(AU$3&gt;(A27taxstdlife+$E820),(('PTRM input'!$G$169+'PTRM input'!$G$135)*$G$7)-SUM($G820:AT820),(('PTRM input'!$G$169+'PTRM input'!$G$135)*$G$7)/A27taxstdlife))</f>
        <v>0</v>
      </c>
      <c r="AV820" s="590">
        <f>IF(A27taxstdlife="n/a","n/a",IF(AV$3&gt;(A27taxstdlife+$E820),(('PTRM input'!$G$169+'PTRM input'!$G$135)*$G$7)-SUM($G820:AU820),(('PTRM input'!$G$169+'PTRM input'!$G$135)*$G$7)/A27taxstdlife))</f>
        <v>0</v>
      </c>
      <c r="AW820" s="590">
        <f>IF(A27taxstdlife="n/a","n/a",IF(AW$3&gt;(A27taxstdlife+$E820),(('PTRM input'!$G$169+'PTRM input'!$G$135)*$G$7)-SUM($G820:AV820),(('PTRM input'!$G$169+'PTRM input'!$G$135)*$G$7)/A27taxstdlife))</f>
        <v>0</v>
      </c>
      <c r="AX820" s="590">
        <f>IF(A27taxstdlife="n/a","n/a",IF(AX$3&gt;(A27taxstdlife+$E820),(('PTRM input'!$G$169+'PTRM input'!$G$135)*$G$7)-SUM($G820:AW820),(('PTRM input'!$G$169+'PTRM input'!$G$135)*$G$7)/A27taxstdlife))</f>
        <v>0</v>
      </c>
      <c r="AY820" s="590">
        <f>IF(A27taxstdlife="n/a","n/a",IF(AY$3&gt;(A27taxstdlife+$E820),(('PTRM input'!$G$169+'PTRM input'!$G$135)*$G$7)-SUM($G820:AX820),(('PTRM input'!$G$169+'PTRM input'!$G$135)*$G$7)/A27taxstdlife))</f>
        <v>0</v>
      </c>
      <c r="AZ820" s="590">
        <f>IF(A27taxstdlife="n/a","n/a",IF(AZ$3&gt;(A27taxstdlife+$E820),(('PTRM input'!$G$169+'PTRM input'!$G$135)*$G$7)-SUM($G820:AY820),(('PTRM input'!$G$169+'PTRM input'!$G$135)*$G$7)/A27taxstdlife))</f>
        <v>0</v>
      </c>
      <c r="BA820" s="590">
        <f>IF(A27taxstdlife="n/a","n/a",IF(BA$3&gt;(A27taxstdlife+$E820),(('PTRM input'!$G$169+'PTRM input'!$G$135)*$G$7)-SUM($G820:AZ820),(('PTRM input'!$G$169+'PTRM input'!$G$135)*$G$7)/A27taxstdlife))</f>
        <v>0</v>
      </c>
      <c r="BB820" s="590">
        <f>IF(A27taxstdlife="n/a","n/a",IF(BB$3&gt;(A27taxstdlife+$E820),(('PTRM input'!$G$169+'PTRM input'!$G$135)*$G$7)-SUM($G820:BA820),(('PTRM input'!$G$169+'PTRM input'!$G$135)*$G$7)/A27taxstdlife))</f>
        <v>0</v>
      </c>
      <c r="BC820" s="590">
        <f>IF(A27taxstdlife="n/a","n/a",IF(BC$3&gt;(A27taxstdlife+$E820),(('PTRM input'!$G$169+'PTRM input'!$G$135)*$G$7)-SUM($G820:BB820),(('PTRM input'!$G$169+'PTRM input'!$G$135)*$G$7)/A27taxstdlife))</f>
        <v>0</v>
      </c>
      <c r="BD820" s="590">
        <f>IF(A27taxstdlife="n/a","n/a",IF(BD$3&gt;(A27taxstdlife+$E820),(('PTRM input'!$G$169+'PTRM input'!$G$135)*$G$7)-SUM($G820:BC820),(('PTRM input'!$G$169+'PTRM input'!$G$135)*$G$7)/A27taxstdlife))</f>
        <v>0</v>
      </c>
      <c r="BE820" s="590">
        <f>IF(A27taxstdlife="n/a","n/a",IF(BE$3&gt;(A27taxstdlife+$E820),(('PTRM input'!$G$169+'PTRM input'!$G$135)*$G$7)-SUM($G820:BD820),(('PTRM input'!$G$169+'PTRM input'!$G$135)*$G$7)/A27taxstdlife))</f>
        <v>0</v>
      </c>
      <c r="BF820" s="590">
        <f>IF(A27taxstdlife="n/a","n/a",IF(BF$3&gt;(A27taxstdlife+$E820),(('PTRM input'!$G$169+'PTRM input'!$G$135)*$G$7)-SUM($G820:BE820),(('PTRM input'!$G$169+'PTRM input'!$G$135)*$G$7)/A27taxstdlife))</f>
        <v>0</v>
      </c>
      <c r="BG820" s="590">
        <f>IF(A27taxstdlife="n/a","n/a",IF(BG$3&gt;(A27taxstdlife+$E820),(('PTRM input'!$G$169+'PTRM input'!$G$135)*$G$7)-SUM($G820:BF820),(('PTRM input'!$G$169+'PTRM input'!$G$135)*$G$7)/A27taxstdlife))</f>
        <v>0</v>
      </c>
      <c r="BH820" s="590">
        <f>IF(A27taxstdlife="n/a","n/a",IF(BH$3&gt;(A27taxstdlife+$E820),(('PTRM input'!$G$169+'PTRM input'!$G$135)*$G$7)-SUM($G820:BG820),(('PTRM input'!$G$169+'PTRM input'!$G$135)*$G$7)/A27taxstdlife))</f>
        <v>0</v>
      </c>
      <c r="BI820" s="590">
        <f>IF(A27taxstdlife="n/a","n/a",IF(BI$3&gt;(A27taxstdlife+$E820),(('PTRM input'!$G$169+'PTRM input'!$G$135)*$G$7)-SUM($G820:BH820),(('PTRM input'!$G$169+'PTRM input'!$G$135)*$G$7)/A27taxstdlife))</f>
        <v>0</v>
      </c>
      <c r="BJ820" s="240"/>
      <c r="BK820" s="240"/>
      <c r="BL820" s="240"/>
      <c r="BM820" s="240"/>
    </row>
    <row r="821" spans="1:65" s="4" customFormat="1" hidden="1" outlineLevel="2">
      <c r="A821" s="240"/>
      <c r="B821" s="240"/>
      <c r="C821" s="595"/>
      <c r="D821" s="1618"/>
      <c r="E821" s="169">
        <v>2</v>
      </c>
      <c r="F821" s="35"/>
      <c r="G821" s="184"/>
      <c r="H821" s="185"/>
      <c r="I821" s="107">
        <f>IF(A27taxstdlife="n/a","n/a",IF(I$3&gt;(A27taxstdlife+$E821),(('PTRM input'!$H$169+'PTRM input'!$H$135)*$H$7)-SUM($H821:H821),(('PTRM input'!$H$169+'PTRM input'!$H$135)*$H$7)/A27taxstdlife))</f>
        <v>0</v>
      </c>
      <c r="J821" s="107">
        <f>IF(A27taxstdlife="n/a","n/a",IF(J$3&gt;(A27taxstdlife+$E821),(('PTRM input'!$H$169+'PTRM input'!$H$135)*$H$7)-SUM($H821:I821),(('PTRM input'!$H$169+'PTRM input'!$H$135)*$H$7)/A27taxstdlife))</f>
        <v>0</v>
      </c>
      <c r="K821" s="107">
        <f>IF(A27taxstdlife="n/a","n/a",IF(K$3&gt;(A27taxstdlife+$E821),(('PTRM input'!$H$169+'PTRM input'!$H$135)*$H$7)-SUM($H821:J821),(('PTRM input'!$H$169+'PTRM input'!$H$135)*$H$7)/A27taxstdlife))</f>
        <v>0</v>
      </c>
      <c r="L821" s="107">
        <f>IF(A27taxstdlife="n/a","n/a",IF(L$3&gt;(A27taxstdlife+$E821),(('PTRM input'!$H$169+'PTRM input'!$H$135)*$H$7)-SUM($H821:K821),(('PTRM input'!$H$169+'PTRM input'!$H$135)*$H$7)/A27taxstdlife))</f>
        <v>0</v>
      </c>
      <c r="M821" s="107">
        <f>IF(A27taxstdlife="n/a","n/a",IF(M$3&gt;(A27taxstdlife+$E821),(('PTRM input'!$H$169+'PTRM input'!$H$135)*$H$7)-SUM($H821:L821),(('PTRM input'!$H$169+'PTRM input'!$H$135)*$H$7)/A27taxstdlife))</f>
        <v>0</v>
      </c>
      <c r="N821" s="107">
        <f>IF(A27taxstdlife="n/a","n/a",IF(N$3&gt;(A27taxstdlife+$E821),(('PTRM input'!$H$169+'PTRM input'!$H$135)*$H$7)-SUM($H821:M821),(('PTRM input'!$H$169+'PTRM input'!$H$135)*$H$7)/A27taxstdlife))</f>
        <v>0</v>
      </c>
      <c r="O821" s="107">
        <f>IF(A27taxstdlife="n/a","n/a",IF(O$3&gt;(A27taxstdlife+$E821),(('PTRM input'!$H$169+'PTRM input'!$H$135)*$H$7)-SUM($H821:N821),(('PTRM input'!$H$169+'PTRM input'!$H$135)*$H$7)/A27taxstdlife))</f>
        <v>0</v>
      </c>
      <c r="P821" s="107">
        <f>IF(A27taxstdlife="n/a","n/a",IF(P$3&gt;(A27taxstdlife+$E821),(('PTRM input'!$H$169+'PTRM input'!$H$135)*$H$7)-SUM($H821:O821),(('PTRM input'!$H$169+'PTRM input'!$H$135)*$H$7)/A27taxstdlife))</f>
        <v>0</v>
      </c>
      <c r="Q821" s="590">
        <f>IF(A27taxstdlife="n/a","n/a",IF(Q$3&gt;(A27taxstdlife+$E821),(('PTRM input'!$H$169+'PTRM input'!$H$135)*$H$7)-SUM($H821:P821),(('PTRM input'!$H$169+'PTRM input'!$H$135)*$H$7)/A27taxstdlife))</f>
        <v>0</v>
      </c>
      <c r="R821" s="590">
        <f>IF(A27taxstdlife="n/a","n/a",IF(R$3&gt;(A27taxstdlife+$E821),(('PTRM input'!$H$169+'PTRM input'!$H$135)*$H$7)-SUM($H821:Q821),(('PTRM input'!$H$169+'PTRM input'!$H$135)*$H$7)/A27taxstdlife))</f>
        <v>0</v>
      </c>
      <c r="S821" s="590">
        <f>IF(A27taxstdlife="n/a","n/a",IF(S$3&gt;(A27taxstdlife+$E821),(('PTRM input'!$H$169+'PTRM input'!$H$135)*$H$7)-SUM($H821:R821),(('PTRM input'!$H$169+'PTRM input'!$H$135)*$H$7)/A27taxstdlife))</f>
        <v>0</v>
      </c>
      <c r="T821" s="590">
        <f>IF(A27taxstdlife="n/a","n/a",IF(T$3&gt;(A27taxstdlife+$E821),(('PTRM input'!$H$169+'PTRM input'!$H$135)*$H$7)-SUM($H821:S821),(('PTRM input'!$H$169+'PTRM input'!$H$135)*$H$7)/A27taxstdlife))</f>
        <v>0</v>
      </c>
      <c r="U821" s="590">
        <f>IF(A27taxstdlife="n/a","n/a",IF(U$3&gt;(A27taxstdlife+$E821),(('PTRM input'!$H$169+'PTRM input'!$H$135)*$H$7)-SUM($H821:T821),(('PTRM input'!$H$169+'PTRM input'!$H$135)*$H$7)/A27taxstdlife))</f>
        <v>0</v>
      </c>
      <c r="V821" s="590">
        <f>IF(A27taxstdlife="n/a","n/a",IF(V$3&gt;(A27taxstdlife+$E821),(('PTRM input'!$H$169+'PTRM input'!$H$135)*$H$7)-SUM($H821:U821),(('PTRM input'!$H$169+'PTRM input'!$H$135)*$H$7)/A27taxstdlife))</f>
        <v>0</v>
      </c>
      <c r="W821" s="590">
        <f>IF(A27taxstdlife="n/a","n/a",IF(W$3&gt;(A27taxstdlife+$E821),(('PTRM input'!$H$169+'PTRM input'!$H$135)*$H$7)-SUM($H821:V821),(('PTRM input'!$H$169+'PTRM input'!$H$135)*$H$7)/A27taxstdlife))</f>
        <v>0</v>
      </c>
      <c r="X821" s="590">
        <f>IF(A27taxstdlife="n/a","n/a",IF(X$3&gt;(A27taxstdlife+$E821),(('PTRM input'!$H$169+'PTRM input'!$H$135)*$H$7)-SUM($H821:W821),(('PTRM input'!$H$169+'PTRM input'!$H$135)*$H$7)/A27taxstdlife))</f>
        <v>0</v>
      </c>
      <c r="Y821" s="590">
        <f>IF(A27taxstdlife="n/a","n/a",IF(Y$3&gt;(A27taxstdlife+$E821),(('PTRM input'!$H$169+'PTRM input'!$H$135)*$H$7)-SUM($H821:X821),(('PTRM input'!$H$169+'PTRM input'!$H$135)*$H$7)/A27taxstdlife))</f>
        <v>0</v>
      </c>
      <c r="Z821" s="590">
        <f>IF(A27taxstdlife="n/a","n/a",IF(Z$3&gt;(A27taxstdlife+$E821),(('PTRM input'!$H$169+'PTRM input'!$H$135)*$H$7)-SUM($H821:Y821),(('PTRM input'!$H$169+'PTRM input'!$H$135)*$H$7)/A27taxstdlife))</f>
        <v>0</v>
      </c>
      <c r="AA821" s="590">
        <f>IF(A27taxstdlife="n/a","n/a",IF(AA$3&gt;(A27taxstdlife+$E821),(('PTRM input'!$H$169+'PTRM input'!$H$135)*$H$7)-SUM($H821:Z821),(('PTRM input'!$H$169+'PTRM input'!$H$135)*$H$7)/A27taxstdlife))</f>
        <v>0</v>
      </c>
      <c r="AB821" s="590">
        <f>IF(A27taxstdlife="n/a","n/a",IF(AB$3&gt;(A27taxstdlife+$E821),(('PTRM input'!$H$169+'PTRM input'!$H$135)*$H$7)-SUM($H821:AA821),(('PTRM input'!$H$169+'PTRM input'!$H$135)*$H$7)/A27taxstdlife))</f>
        <v>0</v>
      </c>
      <c r="AC821" s="590">
        <f>IF(A27taxstdlife="n/a","n/a",IF(AC$3&gt;(A27taxstdlife+$E821),(('PTRM input'!$H$169+'PTRM input'!$H$135)*$H$7)-SUM($H821:AB821),(('PTRM input'!$H$169+'PTRM input'!$H$135)*$H$7)/A27taxstdlife))</f>
        <v>0</v>
      </c>
      <c r="AD821" s="590">
        <f>IF(A27taxstdlife="n/a","n/a",IF(AD$3&gt;(A27taxstdlife+$E821),(('PTRM input'!$H$169+'PTRM input'!$H$135)*$H$7)-SUM($H821:AC821),(('PTRM input'!$H$169+'PTRM input'!$H$135)*$H$7)/A27taxstdlife))</f>
        <v>0</v>
      </c>
      <c r="AE821" s="590">
        <f>IF(A27taxstdlife="n/a","n/a",IF(AE$3&gt;(A27taxstdlife+$E821),(('PTRM input'!$H$169+'PTRM input'!$H$135)*$H$7)-SUM($H821:AD821),(('PTRM input'!$H$169+'PTRM input'!$H$135)*$H$7)/A27taxstdlife))</f>
        <v>0</v>
      </c>
      <c r="AF821" s="590">
        <f>IF(A27taxstdlife="n/a","n/a",IF(AF$3&gt;(A27taxstdlife+$E821),(('PTRM input'!$H$169+'PTRM input'!$H$135)*$H$7)-SUM($H821:AE821),(('PTRM input'!$H$169+'PTRM input'!$H$135)*$H$7)/A27taxstdlife))</f>
        <v>0</v>
      </c>
      <c r="AG821" s="590">
        <f>IF(A27taxstdlife="n/a","n/a",IF(AG$3&gt;(A27taxstdlife+$E821),(('PTRM input'!$H$169+'PTRM input'!$H$135)*$H$7)-SUM($H821:AF821),(('PTRM input'!$H$169+'PTRM input'!$H$135)*$H$7)/A27taxstdlife))</f>
        <v>0</v>
      </c>
      <c r="AH821" s="590">
        <f>IF(A27taxstdlife="n/a","n/a",IF(AH$3&gt;(A27taxstdlife+$E821),(('PTRM input'!$H$169+'PTRM input'!$H$135)*$H$7)-SUM($H821:AG821),(('PTRM input'!$H$169+'PTRM input'!$H$135)*$H$7)/A27taxstdlife))</f>
        <v>0</v>
      </c>
      <c r="AI821" s="590">
        <f>IF(A27taxstdlife="n/a","n/a",IF(AI$3&gt;(A27taxstdlife+$E821),(('PTRM input'!$H$169+'PTRM input'!$H$135)*$H$7)-SUM($H821:AH821),(('PTRM input'!$H$169+'PTRM input'!$H$135)*$H$7)/A27taxstdlife))</f>
        <v>0</v>
      </c>
      <c r="AJ821" s="590">
        <f>IF(A27taxstdlife="n/a","n/a",IF(AJ$3&gt;(A27taxstdlife+$E821),(('PTRM input'!$H$169+'PTRM input'!$H$135)*$H$7)-SUM($H821:AI821),(('PTRM input'!$H$169+'PTRM input'!$H$135)*$H$7)/A27taxstdlife))</f>
        <v>0</v>
      </c>
      <c r="AK821" s="590">
        <f>IF(A27taxstdlife="n/a","n/a",IF(AK$3&gt;(A27taxstdlife+$E821),(('PTRM input'!$H$169+'PTRM input'!$H$135)*$H$7)-SUM($H821:AJ821),(('PTRM input'!$H$169+'PTRM input'!$H$135)*$H$7)/A27taxstdlife))</f>
        <v>0</v>
      </c>
      <c r="AL821" s="590">
        <f>IF(A27taxstdlife="n/a","n/a",IF(AL$3&gt;(A27taxstdlife+$E821),(('PTRM input'!$H$169+'PTRM input'!$H$135)*$H$7)-SUM($H821:AK821),(('PTRM input'!$H$169+'PTRM input'!$H$135)*$H$7)/A27taxstdlife))</f>
        <v>0</v>
      </c>
      <c r="AM821" s="590">
        <f>IF(A27taxstdlife="n/a","n/a",IF(AM$3&gt;(A27taxstdlife+$E821),(('PTRM input'!$H$169+'PTRM input'!$H$135)*$H$7)-SUM($H821:AL821),(('PTRM input'!$H$169+'PTRM input'!$H$135)*$H$7)/A27taxstdlife))</f>
        <v>0</v>
      </c>
      <c r="AN821" s="590">
        <f>IF(A27taxstdlife="n/a","n/a",IF(AN$3&gt;(A27taxstdlife+$E821),(('PTRM input'!$H$169+'PTRM input'!$H$135)*$H$7)-SUM($H821:AM821),(('PTRM input'!$H$169+'PTRM input'!$H$135)*$H$7)/A27taxstdlife))</f>
        <v>0</v>
      </c>
      <c r="AO821" s="590">
        <f>IF(A27taxstdlife="n/a","n/a",IF(AO$3&gt;(A27taxstdlife+$E821),(('PTRM input'!$H$169+'PTRM input'!$H$135)*$H$7)-SUM($H821:AN821),(('PTRM input'!$H$169+'PTRM input'!$H$135)*$H$7)/A27taxstdlife))</f>
        <v>0</v>
      </c>
      <c r="AP821" s="590">
        <f>IF(A27taxstdlife="n/a","n/a",IF(AP$3&gt;(A27taxstdlife+$E821),(('PTRM input'!$H$169+'PTRM input'!$H$135)*$H$7)-SUM($H821:AO821),(('PTRM input'!$H$169+'PTRM input'!$H$135)*$H$7)/A27taxstdlife))</f>
        <v>0</v>
      </c>
      <c r="AQ821" s="590">
        <f>IF(A27taxstdlife="n/a","n/a",IF(AQ$3&gt;(A27taxstdlife+$E821),(('PTRM input'!$H$169+'PTRM input'!$H$135)*$H$7)-SUM($H821:AP821),(('PTRM input'!$H$169+'PTRM input'!$H$135)*$H$7)/A27taxstdlife))</f>
        <v>0</v>
      </c>
      <c r="AR821" s="590">
        <f>IF(A27taxstdlife="n/a","n/a",IF(AR$3&gt;(A27taxstdlife+$E821),(('PTRM input'!$H$169+'PTRM input'!$H$135)*$H$7)-SUM($H821:AQ821),(('PTRM input'!$H$169+'PTRM input'!$H$135)*$H$7)/A27taxstdlife))</f>
        <v>0</v>
      </c>
      <c r="AS821" s="590">
        <f>IF(A27taxstdlife="n/a","n/a",IF(AS$3&gt;(A27taxstdlife+$E821),(('PTRM input'!$H$169+'PTRM input'!$H$135)*$H$7)-SUM($H821:AR821),(('PTRM input'!$H$169+'PTRM input'!$H$135)*$H$7)/A27taxstdlife))</f>
        <v>0</v>
      </c>
      <c r="AT821" s="590">
        <f>IF(A27taxstdlife="n/a","n/a",IF(AT$3&gt;(A27taxstdlife+$E821),(('PTRM input'!$H$169+'PTRM input'!$H$135)*$H$7)-SUM($H821:AS821),(('PTRM input'!$H$169+'PTRM input'!$H$135)*$H$7)/A27taxstdlife))</f>
        <v>0</v>
      </c>
      <c r="AU821" s="590">
        <f>IF(A27taxstdlife="n/a","n/a",IF(AU$3&gt;(A27taxstdlife+$E821),(('PTRM input'!$H$169+'PTRM input'!$H$135)*$H$7)-SUM($H821:AT821),(('PTRM input'!$H$169+'PTRM input'!$H$135)*$H$7)/A27taxstdlife))</f>
        <v>0</v>
      </c>
      <c r="AV821" s="590">
        <f>IF(A27taxstdlife="n/a","n/a",IF(AV$3&gt;(A27taxstdlife+$E821),(('PTRM input'!$H$169+'PTRM input'!$H$135)*$H$7)-SUM($H821:AU821),(('PTRM input'!$H$169+'PTRM input'!$H$135)*$H$7)/A27taxstdlife))</f>
        <v>0</v>
      </c>
      <c r="AW821" s="590">
        <f>IF(A27taxstdlife="n/a","n/a",IF(AW$3&gt;(A27taxstdlife+$E821),(('PTRM input'!$H$169+'PTRM input'!$H$135)*$H$7)-SUM($H821:AV821),(('PTRM input'!$H$169+'PTRM input'!$H$135)*$H$7)/A27taxstdlife))</f>
        <v>0</v>
      </c>
      <c r="AX821" s="590">
        <f>IF(A27taxstdlife="n/a","n/a",IF(AX$3&gt;(A27taxstdlife+$E821),(('PTRM input'!$H$169+'PTRM input'!$H$135)*$H$7)-SUM($H821:AW821),(('PTRM input'!$H$169+'PTRM input'!$H$135)*$H$7)/A27taxstdlife))</f>
        <v>0</v>
      </c>
      <c r="AY821" s="590">
        <f>IF(A27taxstdlife="n/a","n/a",IF(AY$3&gt;(A27taxstdlife+$E821),(('PTRM input'!$H$169+'PTRM input'!$H$135)*$H$7)-SUM($H821:AX821),(('PTRM input'!$H$169+'PTRM input'!$H$135)*$H$7)/A27taxstdlife))</f>
        <v>0</v>
      </c>
      <c r="AZ821" s="590">
        <f>IF(A27taxstdlife="n/a","n/a",IF(AZ$3&gt;(A27taxstdlife+$E821),(('PTRM input'!$H$169+'PTRM input'!$H$135)*$H$7)-SUM($H821:AY821),(('PTRM input'!$H$169+'PTRM input'!$H$135)*$H$7)/A27taxstdlife))</f>
        <v>0</v>
      </c>
      <c r="BA821" s="590">
        <f>IF(A27taxstdlife="n/a","n/a",IF(BA$3&gt;(A27taxstdlife+$E821),(('PTRM input'!$H$169+'PTRM input'!$H$135)*$H$7)-SUM($H821:AZ821),(('PTRM input'!$H$169+'PTRM input'!$H$135)*$H$7)/A27taxstdlife))</f>
        <v>0</v>
      </c>
      <c r="BB821" s="590">
        <f>IF(A27taxstdlife="n/a","n/a",IF(BB$3&gt;(A27taxstdlife+$E821),(('PTRM input'!$H$169+'PTRM input'!$H$135)*$H$7)-SUM($H821:BA821),(('PTRM input'!$H$169+'PTRM input'!$H$135)*$H$7)/A27taxstdlife))</f>
        <v>0</v>
      </c>
      <c r="BC821" s="590">
        <f>IF(A27taxstdlife="n/a","n/a",IF(BC$3&gt;(A27taxstdlife+$E821),(('PTRM input'!$H$169+'PTRM input'!$H$135)*$H$7)-SUM($H821:BB821),(('PTRM input'!$H$169+'PTRM input'!$H$135)*$H$7)/A27taxstdlife))</f>
        <v>0</v>
      </c>
      <c r="BD821" s="590">
        <f>IF(A27taxstdlife="n/a","n/a",IF(BD$3&gt;(A27taxstdlife+$E821),(('PTRM input'!$H$169+'PTRM input'!$H$135)*$H$7)-SUM($H821:BC821),(('PTRM input'!$H$169+'PTRM input'!$H$135)*$H$7)/A27taxstdlife))</f>
        <v>0</v>
      </c>
      <c r="BE821" s="590">
        <f>IF(A27taxstdlife="n/a","n/a",IF(BE$3&gt;(A27taxstdlife+$E821),(('PTRM input'!$H$169+'PTRM input'!$H$135)*$H$7)-SUM($H821:BD821),(('PTRM input'!$H$169+'PTRM input'!$H$135)*$H$7)/A27taxstdlife))</f>
        <v>0</v>
      </c>
      <c r="BF821" s="590">
        <f>IF(A27taxstdlife="n/a","n/a",IF(BF$3&gt;(A27taxstdlife+$E821),(('PTRM input'!$H$169+'PTRM input'!$H$135)*$H$7)-SUM($H821:BE821),(('PTRM input'!$H$169+'PTRM input'!$H$135)*$H$7)/A27taxstdlife))</f>
        <v>0</v>
      </c>
      <c r="BG821" s="590">
        <f>IF(A27taxstdlife="n/a","n/a",IF(BG$3&gt;(A27taxstdlife+$E821),(('PTRM input'!$H$169+'PTRM input'!$H$135)*$H$7)-SUM($H821:BF821),(('PTRM input'!$H$169+'PTRM input'!$H$135)*$H$7)/A27taxstdlife))</f>
        <v>0</v>
      </c>
      <c r="BH821" s="590">
        <f>IF(A27taxstdlife="n/a","n/a",IF(BH$3&gt;(A27taxstdlife+$E821),(('PTRM input'!$H$169+'PTRM input'!$H$135)*$H$7)-SUM($H821:BG821),(('PTRM input'!$H$169+'PTRM input'!$H$135)*$H$7)/A27taxstdlife))</f>
        <v>0</v>
      </c>
      <c r="BI821" s="590">
        <f>IF(A27taxstdlife="n/a","n/a",IF(BI$3&gt;(A27taxstdlife+$E821),(('PTRM input'!$H$169+'PTRM input'!$H$135)*$H$7)-SUM($H821:BH821),(('PTRM input'!$H$169+'PTRM input'!$H$135)*$H$7)/A27taxstdlife))</f>
        <v>0</v>
      </c>
      <c r="BJ821" s="240"/>
      <c r="BK821" s="240"/>
      <c r="BL821" s="240"/>
      <c r="BM821" s="240"/>
    </row>
    <row r="822" spans="1:65" s="4" customFormat="1" hidden="1" outlineLevel="2">
      <c r="A822" s="240"/>
      <c r="B822" s="240"/>
      <c r="C822" s="595"/>
      <c r="D822" s="1618"/>
      <c r="E822" s="169">
        <v>3</v>
      </c>
      <c r="F822" s="35"/>
      <c r="G822" s="184"/>
      <c r="H822" s="186"/>
      <c r="I822" s="185"/>
      <c r="J822" s="107">
        <f>IF(A27taxstdlife="n/a","n/a",IF(J$3&gt;(A27taxstdlife+$E822),(('PTRM input'!$I$169+'PTRM input'!$I$135)*$I$7)-SUM($I822:I822),(('PTRM input'!$I$169+'PTRM input'!$I$135)*$I$7)/A27taxstdlife))</f>
        <v>0</v>
      </c>
      <c r="K822" s="107">
        <f>IF(A27taxstdlife="n/a","n/a",IF(K$3&gt;(A27taxstdlife+$E822),(('PTRM input'!$I$169+'PTRM input'!$I$135)*$I$7)-SUM($I822:J822),(('PTRM input'!$I$169+'PTRM input'!$I$135)*$I$7)/A27taxstdlife))</f>
        <v>0</v>
      </c>
      <c r="L822" s="107">
        <f>IF(A27taxstdlife="n/a","n/a",IF(L$3&gt;(A27taxstdlife+$E822),(('PTRM input'!$I$169+'PTRM input'!$I$135)*$I$7)-SUM($I822:K822),(('PTRM input'!$I$169+'PTRM input'!$I$135)*$I$7)/A27taxstdlife))</f>
        <v>0</v>
      </c>
      <c r="M822" s="107">
        <f>IF(A27taxstdlife="n/a","n/a",IF(M$3&gt;(A27taxstdlife+$E822),(('PTRM input'!$I$169+'PTRM input'!$I$135)*$I$7)-SUM($I822:L822),(('PTRM input'!$I$169+'PTRM input'!$I$135)*$I$7)/A27taxstdlife))</f>
        <v>0</v>
      </c>
      <c r="N822" s="107">
        <f>IF(A27taxstdlife="n/a","n/a",IF(N$3&gt;(A27taxstdlife+$E822),(('PTRM input'!$I$169+'PTRM input'!$I$135)*$I$7)-SUM($I822:M822),(('PTRM input'!$I$169+'PTRM input'!$I$135)*$I$7)/A27taxstdlife))</f>
        <v>0</v>
      </c>
      <c r="O822" s="107">
        <f>IF(A27taxstdlife="n/a","n/a",IF(O$3&gt;(A27taxstdlife+$E822),(('PTRM input'!$I$169+'PTRM input'!$I$135)*$I$7)-SUM($I822:N822),(('PTRM input'!$I$169+'PTRM input'!$I$135)*$I$7)/A27taxstdlife))</f>
        <v>0</v>
      </c>
      <c r="P822" s="107">
        <f>IF(A27taxstdlife="n/a","n/a",IF(P$3&gt;(A27taxstdlife+$E822),(('PTRM input'!$I$169+'PTRM input'!$I$135)*$I$7)-SUM($I822:O822),(('PTRM input'!$I$169+'PTRM input'!$I$135)*$I$7)/A27taxstdlife))</f>
        <v>0</v>
      </c>
      <c r="Q822" s="590">
        <f>IF(A27taxstdlife="n/a","n/a",IF(Q$3&gt;(A27taxstdlife+$E822),(('PTRM input'!$I$169+'PTRM input'!$I$135)*$I$7)-SUM($I822:P822),(('PTRM input'!$I$169+'PTRM input'!$I$135)*$I$7)/A27taxstdlife))</f>
        <v>0</v>
      </c>
      <c r="R822" s="590">
        <f>IF(A27taxstdlife="n/a","n/a",IF(R$3&gt;(A27taxstdlife+$E822),(('PTRM input'!$I$169+'PTRM input'!$I$135)*$I$7)-SUM($I822:Q822),(('PTRM input'!$I$169+'PTRM input'!$I$135)*$I$7)/A27taxstdlife))</f>
        <v>0</v>
      </c>
      <c r="S822" s="590">
        <f>IF(A27taxstdlife="n/a","n/a",IF(S$3&gt;(A27taxstdlife+$E822),(('PTRM input'!$I$169+'PTRM input'!$I$135)*$I$7)-SUM($I822:R822),(('PTRM input'!$I$169+'PTRM input'!$I$135)*$I$7)/A27taxstdlife))</f>
        <v>0</v>
      </c>
      <c r="T822" s="590">
        <f>IF(A27taxstdlife="n/a","n/a",IF(T$3&gt;(A27taxstdlife+$E822),(('PTRM input'!$I$169+'PTRM input'!$I$135)*$I$7)-SUM($I822:S822),(('PTRM input'!$I$169+'PTRM input'!$I$135)*$I$7)/A27taxstdlife))</f>
        <v>0</v>
      </c>
      <c r="U822" s="590">
        <f>IF(A27taxstdlife="n/a","n/a",IF(U$3&gt;(A27taxstdlife+$E822),(('PTRM input'!$I$169+'PTRM input'!$I$135)*$I$7)-SUM($I822:T822),(('PTRM input'!$I$169+'PTRM input'!$I$135)*$I$7)/A27taxstdlife))</f>
        <v>0</v>
      </c>
      <c r="V822" s="590">
        <f>IF(A27taxstdlife="n/a","n/a",IF(V$3&gt;(A27taxstdlife+$E822),(('PTRM input'!$I$169+'PTRM input'!$I$135)*$I$7)-SUM($I822:U822),(('PTRM input'!$I$169+'PTRM input'!$I$135)*$I$7)/A27taxstdlife))</f>
        <v>0</v>
      </c>
      <c r="W822" s="590">
        <f>IF(A27taxstdlife="n/a","n/a",IF(W$3&gt;(A27taxstdlife+$E822),(('PTRM input'!$I$169+'PTRM input'!$I$135)*$I$7)-SUM($I822:V822),(('PTRM input'!$I$169+'PTRM input'!$I$135)*$I$7)/A27taxstdlife))</f>
        <v>0</v>
      </c>
      <c r="X822" s="590">
        <f>IF(A27taxstdlife="n/a","n/a",IF(X$3&gt;(A27taxstdlife+$E822),(('PTRM input'!$I$169+'PTRM input'!$I$135)*$I$7)-SUM($I822:W822),(('PTRM input'!$I$169+'PTRM input'!$I$135)*$I$7)/A27taxstdlife))</f>
        <v>0</v>
      </c>
      <c r="Y822" s="590">
        <f>IF(A27taxstdlife="n/a","n/a",IF(Y$3&gt;(A27taxstdlife+$E822),(('PTRM input'!$I$169+'PTRM input'!$I$135)*$I$7)-SUM($I822:X822),(('PTRM input'!$I$169+'PTRM input'!$I$135)*$I$7)/A27taxstdlife))</f>
        <v>0</v>
      </c>
      <c r="Z822" s="590">
        <f>IF(A27taxstdlife="n/a","n/a",IF(Z$3&gt;(A27taxstdlife+$E822),(('PTRM input'!$I$169+'PTRM input'!$I$135)*$I$7)-SUM($I822:Y822),(('PTRM input'!$I$169+'PTRM input'!$I$135)*$I$7)/A27taxstdlife))</f>
        <v>0</v>
      </c>
      <c r="AA822" s="590">
        <f>IF(A27taxstdlife="n/a","n/a",IF(AA$3&gt;(A27taxstdlife+$E822),(('PTRM input'!$I$169+'PTRM input'!$I$135)*$I$7)-SUM($I822:Z822),(('PTRM input'!$I$169+'PTRM input'!$I$135)*$I$7)/A27taxstdlife))</f>
        <v>0</v>
      </c>
      <c r="AB822" s="590">
        <f>IF(A27taxstdlife="n/a","n/a",IF(AB$3&gt;(A27taxstdlife+$E822),(('PTRM input'!$I$169+'PTRM input'!$I$135)*$I$7)-SUM($I822:AA822),(('PTRM input'!$I$169+'PTRM input'!$I$135)*$I$7)/A27taxstdlife))</f>
        <v>0</v>
      </c>
      <c r="AC822" s="590">
        <f>IF(A27taxstdlife="n/a","n/a",IF(AC$3&gt;(A27taxstdlife+$E822),(('PTRM input'!$I$169+'PTRM input'!$I$135)*$I$7)-SUM($I822:AB822),(('PTRM input'!$I$169+'PTRM input'!$I$135)*$I$7)/A27taxstdlife))</f>
        <v>0</v>
      </c>
      <c r="AD822" s="590">
        <f>IF(A27taxstdlife="n/a","n/a",IF(AD$3&gt;(A27taxstdlife+$E822),(('PTRM input'!$I$169+'PTRM input'!$I$135)*$I$7)-SUM($I822:AC822),(('PTRM input'!$I$169+'PTRM input'!$I$135)*$I$7)/A27taxstdlife))</f>
        <v>0</v>
      </c>
      <c r="AE822" s="590">
        <f>IF(A27taxstdlife="n/a","n/a",IF(AE$3&gt;(A27taxstdlife+$E822),(('PTRM input'!$I$169+'PTRM input'!$I$135)*$I$7)-SUM($I822:AD822),(('PTRM input'!$I$169+'PTRM input'!$I$135)*$I$7)/A27taxstdlife))</f>
        <v>0</v>
      </c>
      <c r="AF822" s="590">
        <f>IF(A27taxstdlife="n/a","n/a",IF(AF$3&gt;(A27taxstdlife+$E822),(('PTRM input'!$I$169+'PTRM input'!$I$135)*$I$7)-SUM($I822:AE822),(('PTRM input'!$I$169+'PTRM input'!$I$135)*$I$7)/A27taxstdlife))</f>
        <v>0</v>
      </c>
      <c r="AG822" s="590">
        <f>IF(A27taxstdlife="n/a","n/a",IF(AG$3&gt;(A27taxstdlife+$E822),(('PTRM input'!$I$169+'PTRM input'!$I$135)*$I$7)-SUM($I822:AF822),(('PTRM input'!$I$169+'PTRM input'!$I$135)*$I$7)/A27taxstdlife))</f>
        <v>0</v>
      </c>
      <c r="AH822" s="590">
        <f>IF(A27taxstdlife="n/a","n/a",IF(AH$3&gt;(A27taxstdlife+$E822),(('PTRM input'!$I$169+'PTRM input'!$I$135)*$I$7)-SUM($I822:AG822),(('PTRM input'!$I$169+'PTRM input'!$I$135)*$I$7)/A27taxstdlife))</f>
        <v>0</v>
      </c>
      <c r="AI822" s="590">
        <f>IF(A27taxstdlife="n/a","n/a",IF(AI$3&gt;(A27taxstdlife+$E822),(('PTRM input'!$I$169+'PTRM input'!$I$135)*$I$7)-SUM($I822:AH822),(('PTRM input'!$I$169+'PTRM input'!$I$135)*$I$7)/A27taxstdlife))</f>
        <v>0</v>
      </c>
      <c r="AJ822" s="590">
        <f>IF(A27taxstdlife="n/a","n/a",IF(AJ$3&gt;(A27taxstdlife+$E822),(('PTRM input'!$I$169+'PTRM input'!$I$135)*$I$7)-SUM($I822:AI822),(('PTRM input'!$I$169+'PTRM input'!$I$135)*$I$7)/A27taxstdlife))</f>
        <v>0</v>
      </c>
      <c r="AK822" s="590">
        <f>IF(A27taxstdlife="n/a","n/a",IF(AK$3&gt;(A27taxstdlife+$E822),(('PTRM input'!$I$169+'PTRM input'!$I$135)*$I$7)-SUM($I822:AJ822),(('PTRM input'!$I$169+'PTRM input'!$I$135)*$I$7)/A27taxstdlife))</f>
        <v>0</v>
      </c>
      <c r="AL822" s="590">
        <f>IF(A27taxstdlife="n/a","n/a",IF(AL$3&gt;(A27taxstdlife+$E822),(('PTRM input'!$I$169+'PTRM input'!$I$135)*$I$7)-SUM($I822:AK822),(('PTRM input'!$I$169+'PTRM input'!$I$135)*$I$7)/A27taxstdlife))</f>
        <v>0</v>
      </c>
      <c r="AM822" s="590">
        <f>IF(A27taxstdlife="n/a","n/a",IF(AM$3&gt;(A27taxstdlife+$E822),(('PTRM input'!$I$169+'PTRM input'!$I$135)*$I$7)-SUM($I822:AL822),(('PTRM input'!$I$169+'PTRM input'!$I$135)*$I$7)/A27taxstdlife))</f>
        <v>0</v>
      </c>
      <c r="AN822" s="590">
        <f>IF(A27taxstdlife="n/a","n/a",IF(AN$3&gt;(A27taxstdlife+$E822),(('PTRM input'!$I$169+'PTRM input'!$I$135)*$I$7)-SUM($I822:AM822),(('PTRM input'!$I$169+'PTRM input'!$I$135)*$I$7)/A27taxstdlife))</f>
        <v>0</v>
      </c>
      <c r="AO822" s="590">
        <f>IF(A27taxstdlife="n/a","n/a",IF(AO$3&gt;(A27taxstdlife+$E822),(('PTRM input'!$I$169+'PTRM input'!$I$135)*$I$7)-SUM($I822:AN822),(('PTRM input'!$I$169+'PTRM input'!$I$135)*$I$7)/A27taxstdlife))</f>
        <v>0</v>
      </c>
      <c r="AP822" s="590">
        <f>IF(A27taxstdlife="n/a","n/a",IF(AP$3&gt;(A27taxstdlife+$E822),(('PTRM input'!$I$169+'PTRM input'!$I$135)*$I$7)-SUM($I822:AO822),(('PTRM input'!$I$169+'PTRM input'!$I$135)*$I$7)/A27taxstdlife))</f>
        <v>0</v>
      </c>
      <c r="AQ822" s="590">
        <f>IF(A27taxstdlife="n/a","n/a",IF(AQ$3&gt;(A27taxstdlife+$E822),(('PTRM input'!$I$169+'PTRM input'!$I$135)*$I$7)-SUM($I822:AP822),(('PTRM input'!$I$169+'PTRM input'!$I$135)*$I$7)/A27taxstdlife))</f>
        <v>0</v>
      </c>
      <c r="AR822" s="590">
        <f>IF(A27taxstdlife="n/a","n/a",IF(AR$3&gt;(A27taxstdlife+$E822),(('PTRM input'!$I$169+'PTRM input'!$I$135)*$I$7)-SUM($I822:AQ822),(('PTRM input'!$I$169+'PTRM input'!$I$135)*$I$7)/A27taxstdlife))</f>
        <v>0</v>
      </c>
      <c r="AS822" s="590">
        <f>IF(A27taxstdlife="n/a","n/a",IF(AS$3&gt;(A27taxstdlife+$E822),(('PTRM input'!$I$169+'PTRM input'!$I$135)*$I$7)-SUM($I822:AR822),(('PTRM input'!$I$169+'PTRM input'!$I$135)*$I$7)/A27taxstdlife))</f>
        <v>0</v>
      </c>
      <c r="AT822" s="590">
        <f>IF(A27taxstdlife="n/a","n/a",IF(AT$3&gt;(A27taxstdlife+$E822),(('PTRM input'!$I$169+'PTRM input'!$I$135)*$I$7)-SUM($I822:AS822),(('PTRM input'!$I$169+'PTRM input'!$I$135)*$I$7)/A27taxstdlife))</f>
        <v>0</v>
      </c>
      <c r="AU822" s="590">
        <f>IF(A27taxstdlife="n/a","n/a",IF(AU$3&gt;(A27taxstdlife+$E822),(('PTRM input'!$I$169+'PTRM input'!$I$135)*$I$7)-SUM($I822:AT822),(('PTRM input'!$I$169+'PTRM input'!$I$135)*$I$7)/A27taxstdlife))</f>
        <v>0</v>
      </c>
      <c r="AV822" s="590">
        <f>IF(A27taxstdlife="n/a","n/a",IF(AV$3&gt;(A27taxstdlife+$E822),(('PTRM input'!$I$169+'PTRM input'!$I$135)*$I$7)-SUM($I822:AU822),(('PTRM input'!$I$169+'PTRM input'!$I$135)*$I$7)/A27taxstdlife))</f>
        <v>0</v>
      </c>
      <c r="AW822" s="590">
        <f>IF(A27taxstdlife="n/a","n/a",IF(AW$3&gt;(A27taxstdlife+$E822),(('PTRM input'!$I$169+'PTRM input'!$I$135)*$I$7)-SUM($I822:AV822),(('PTRM input'!$I$169+'PTRM input'!$I$135)*$I$7)/A27taxstdlife))</f>
        <v>0</v>
      </c>
      <c r="AX822" s="590">
        <f>IF(A27taxstdlife="n/a","n/a",IF(AX$3&gt;(A27taxstdlife+$E822),(('PTRM input'!$I$169+'PTRM input'!$I$135)*$I$7)-SUM($I822:AW822),(('PTRM input'!$I$169+'PTRM input'!$I$135)*$I$7)/A27taxstdlife))</f>
        <v>0</v>
      </c>
      <c r="AY822" s="590">
        <f>IF(A27taxstdlife="n/a","n/a",IF(AY$3&gt;(A27taxstdlife+$E822),(('PTRM input'!$I$169+'PTRM input'!$I$135)*$I$7)-SUM($I822:AX822),(('PTRM input'!$I$169+'PTRM input'!$I$135)*$I$7)/A27taxstdlife))</f>
        <v>0</v>
      </c>
      <c r="AZ822" s="590">
        <f>IF(A27taxstdlife="n/a","n/a",IF(AZ$3&gt;(A27taxstdlife+$E822),(('PTRM input'!$I$169+'PTRM input'!$I$135)*$I$7)-SUM($I822:AY822),(('PTRM input'!$I$169+'PTRM input'!$I$135)*$I$7)/A27taxstdlife))</f>
        <v>0</v>
      </c>
      <c r="BA822" s="590">
        <f>IF(A27taxstdlife="n/a","n/a",IF(BA$3&gt;(A27taxstdlife+$E822),(('PTRM input'!$I$169+'PTRM input'!$I$135)*$I$7)-SUM($I822:AZ822),(('PTRM input'!$I$169+'PTRM input'!$I$135)*$I$7)/A27taxstdlife))</f>
        <v>0</v>
      </c>
      <c r="BB822" s="590">
        <f>IF(A27taxstdlife="n/a","n/a",IF(BB$3&gt;(A27taxstdlife+$E822),(('PTRM input'!$I$169+'PTRM input'!$I$135)*$I$7)-SUM($I822:BA822),(('PTRM input'!$I$169+'PTRM input'!$I$135)*$I$7)/A27taxstdlife))</f>
        <v>0</v>
      </c>
      <c r="BC822" s="590">
        <f>IF(A27taxstdlife="n/a","n/a",IF(BC$3&gt;(A27taxstdlife+$E822),(('PTRM input'!$I$169+'PTRM input'!$I$135)*$I$7)-SUM($I822:BB822),(('PTRM input'!$I$169+'PTRM input'!$I$135)*$I$7)/A27taxstdlife))</f>
        <v>0</v>
      </c>
      <c r="BD822" s="590">
        <f>IF(A27taxstdlife="n/a","n/a",IF(BD$3&gt;(A27taxstdlife+$E822),(('PTRM input'!$I$169+'PTRM input'!$I$135)*$I$7)-SUM($I822:BC822),(('PTRM input'!$I$169+'PTRM input'!$I$135)*$I$7)/A27taxstdlife))</f>
        <v>0</v>
      </c>
      <c r="BE822" s="590">
        <f>IF(A27taxstdlife="n/a","n/a",IF(BE$3&gt;(A27taxstdlife+$E822),(('PTRM input'!$I$169+'PTRM input'!$I$135)*$I$7)-SUM($I822:BD822),(('PTRM input'!$I$169+'PTRM input'!$I$135)*$I$7)/A27taxstdlife))</f>
        <v>0</v>
      </c>
      <c r="BF822" s="590">
        <f>IF(A27taxstdlife="n/a","n/a",IF(BF$3&gt;(A27taxstdlife+$E822),(('PTRM input'!$I$169+'PTRM input'!$I$135)*$I$7)-SUM($I822:BE822),(('PTRM input'!$I$169+'PTRM input'!$I$135)*$I$7)/A27taxstdlife))</f>
        <v>0</v>
      </c>
      <c r="BG822" s="590">
        <f>IF(A27taxstdlife="n/a","n/a",IF(BG$3&gt;(A27taxstdlife+$E822),(('PTRM input'!$I$169+'PTRM input'!$I$135)*$I$7)-SUM($I822:BF822),(('PTRM input'!$I$169+'PTRM input'!$I$135)*$I$7)/A27taxstdlife))</f>
        <v>0</v>
      </c>
      <c r="BH822" s="590">
        <f>IF(A27taxstdlife="n/a","n/a",IF(BH$3&gt;(A27taxstdlife+$E822),(('PTRM input'!$I$169+'PTRM input'!$I$135)*$I$7)-SUM($I822:BG822),(('PTRM input'!$I$169+'PTRM input'!$I$135)*$I$7)/A27taxstdlife))</f>
        <v>0</v>
      </c>
      <c r="BI822" s="590">
        <f>IF(A27taxstdlife="n/a","n/a",IF(BI$3&gt;(A27taxstdlife+$E822),(('PTRM input'!$I$169+'PTRM input'!$I$135)*$I$7)-SUM($I822:BH822),(('PTRM input'!$I$169+'PTRM input'!$I$135)*$I$7)/A27taxstdlife))</f>
        <v>0</v>
      </c>
      <c r="BJ822" s="590"/>
      <c r="BK822" s="240"/>
      <c r="BL822" s="240"/>
      <c r="BM822" s="240"/>
    </row>
    <row r="823" spans="1:65" s="4" customFormat="1" hidden="1" outlineLevel="2">
      <c r="A823" s="240"/>
      <c r="B823" s="240"/>
      <c r="C823" s="595"/>
      <c r="D823" s="1618"/>
      <c r="E823" s="169">
        <v>4</v>
      </c>
      <c r="F823" s="35"/>
      <c r="G823" s="184"/>
      <c r="H823" s="186"/>
      <c r="I823" s="186"/>
      <c r="J823" s="185"/>
      <c r="K823" s="107">
        <f>IF(A27taxstdlife="n/a","n/a",IF(K$3&gt;(A27taxstdlife+$E823),(('PTRM input'!$J$169+'PTRM input'!$J$135)*$J$7)-SUM($J823:J823),(('PTRM input'!$J$169+'PTRM input'!$J$135)*$J$7)/A27taxstdlife))</f>
        <v>0</v>
      </c>
      <c r="L823" s="107">
        <f>IF(A27taxstdlife="n/a","n/a",IF(L$3&gt;(A27taxstdlife+$E823),(('PTRM input'!$J$169+'PTRM input'!$J$135)*$J$7)-SUM($J823:K823),(('PTRM input'!$J$169+'PTRM input'!$J$135)*$J$7)/A27taxstdlife))</f>
        <v>0</v>
      </c>
      <c r="M823" s="107">
        <f>IF(A27taxstdlife="n/a","n/a",IF(M$3&gt;(A27taxstdlife+$E823),(('PTRM input'!$J$169+'PTRM input'!$J$135)*$J$7)-SUM($J823:L823),(('PTRM input'!$J$169+'PTRM input'!$J$135)*$J$7)/A27taxstdlife))</f>
        <v>0</v>
      </c>
      <c r="N823" s="107">
        <f>IF(A27taxstdlife="n/a","n/a",IF(N$3&gt;(A27taxstdlife+$E823),(('PTRM input'!$J$169+'PTRM input'!$J$135)*$J$7)-SUM($J823:M823),(('PTRM input'!$J$169+'PTRM input'!$J$135)*$J$7)/A27taxstdlife))</f>
        <v>0</v>
      </c>
      <c r="O823" s="107">
        <f>IF(A27taxstdlife="n/a","n/a",IF(O$3&gt;(A27taxstdlife+$E823),(('PTRM input'!$J$169+'PTRM input'!$J$135)*$J$7)-SUM($J823:N823),(('PTRM input'!$J$169+'PTRM input'!$J$135)*$J$7)/A27taxstdlife))</f>
        <v>0</v>
      </c>
      <c r="P823" s="107">
        <f>IF(A27taxstdlife="n/a","n/a",IF(P$3&gt;(A27taxstdlife+$E823),(('PTRM input'!$J$169+'PTRM input'!$J$135)*$J$7)-SUM($J823:O823),(('PTRM input'!$J$169+'PTRM input'!$J$135)*$J$7)/A27taxstdlife))</f>
        <v>0</v>
      </c>
      <c r="Q823" s="590">
        <f>IF(A27taxstdlife="n/a","n/a",IF(Q$3&gt;(A27taxstdlife+$E823),(('PTRM input'!$J$169+'PTRM input'!$J$135)*$J$7)-SUM($J823:P823),(('PTRM input'!$J$169+'PTRM input'!$J$135)*$J$7)/A27taxstdlife))</f>
        <v>0</v>
      </c>
      <c r="R823" s="590">
        <f>IF(A27taxstdlife="n/a","n/a",IF(R$3&gt;(A27taxstdlife+$E823),(('PTRM input'!$J$169+'PTRM input'!$J$135)*$J$7)-SUM($J823:Q823),(('PTRM input'!$J$169+'PTRM input'!$J$135)*$J$7)/A27taxstdlife))</f>
        <v>0</v>
      </c>
      <c r="S823" s="590">
        <f>IF(A27taxstdlife="n/a","n/a",IF(S$3&gt;(A27taxstdlife+$E823),(('PTRM input'!$J$169+'PTRM input'!$J$135)*$J$7)-SUM($J823:R823),(('PTRM input'!$J$169+'PTRM input'!$J$135)*$J$7)/A27taxstdlife))</f>
        <v>0</v>
      </c>
      <c r="T823" s="590">
        <f>IF(A27taxstdlife="n/a","n/a",IF(T$3&gt;(A27taxstdlife+$E823),(('PTRM input'!$J$169+'PTRM input'!$J$135)*$J$7)-SUM($J823:S823),(('PTRM input'!$J$169+'PTRM input'!$J$135)*$J$7)/A27taxstdlife))</f>
        <v>0</v>
      </c>
      <c r="U823" s="590">
        <f>IF(A27taxstdlife="n/a","n/a",IF(U$3&gt;(A27taxstdlife+$E823),(('PTRM input'!$J$169+'PTRM input'!$J$135)*$J$7)-SUM($J823:T823),(('PTRM input'!$J$169+'PTRM input'!$J$135)*$J$7)/A27taxstdlife))</f>
        <v>0</v>
      </c>
      <c r="V823" s="590">
        <f>IF(A27taxstdlife="n/a","n/a",IF(V$3&gt;(A27taxstdlife+$E823),(('PTRM input'!$J$169+'PTRM input'!$J$135)*$J$7)-SUM($J823:U823),(('PTRM input'!$J$169+'PTRM input'!$J$135)*$J$7)/A27taxstdlife))</f>
        <v>0</v>
      </c>
      <c r="W823" s="590">
        <f>IF(A27taxstdlife="n/a","n/a",IF(W$3&gt;(A27taxstdlife+$E823),(('PTRM input'!$J$169+'PTRM input'!$J$135)*$J$7)-SUM($J823:V823),(('PTRM input'!$J$169+'PTRM input'!$J$135)*$J$7)/A27taxstdlife))</f>
        <v>0</v>
      </c>
      <c r="X823" s="590">
        <f>IF(A27taxstdlife="n/a","n/a",IF(X$3&gt;(A27taxstdlife+$E823),(('PTRM input'!$J$169+'PTRM input'!$J$135)*$J$7)-SUM($J823:W823),(('PTRM input'!$J$169+'PTRM input'!$J$135)*$J$7)/A27taxstdlife))</f>
        <v>0</v>
      </c>
      <c r="Y823" s="590">
        <f>IF(A27taxstdlife="n/a","n/a",IF(Y$3&gt;(A27taxstdlife+$E823),(('PTRM input'!$J$169+'PTRM input'!$J$135)*$J$7)-SUM($J823:X823),(('PTRM input'!$J$169+'PTRM input'!$J$135)*$J$7)/A27taxstdlife))</f>
        <v>0</v>
      </c>
      <c r="Z823" s="590">
        <f>IF(A27taxstdlife="n/a","n/a",IF(Z$3&gt;(A27taxstdlife+$E823),(('PTRM input'!$J$169+'PTRM input'!$J$135)*$J$7)-SUM($J823:Y823),(('PTRM input'!$J$169+'PTRM input'!$J$135)*$J$7)/A27taxstdlife))</f>
        <v>0</v>
      </c>
      <c r="AA823" s="590">
        <f>IF(A27taxstdlife="n/a","n/a",IF(AA$3&gt;(A27taxstdlife+$E823),(('PTRM input'!$J$169+'PTRM input'!$J$135)*$J$7)-SUM($J823:Z823),(('PTRM input'!$J$169+'PTRM input'!$J$135)*$J$7)/A27taxstdlife))</f>
        <v>0</v>
      </c>
      <c r="AB823" s="590">
        <f>IF(A27taxstdlife="n/a","n/a",IF(AB$3&gt;(A27taxstdlife+$E823),(('PTRM input'!$J$169+'PTRM input'!$J$135)*$J$7)-SUM($J823:AA823),(('PTRM input'!$J$169+'PTRM input'!$J$135)*$J$7)/A27taxstdlife))</f>
        <v>0</v>
      </c>
      <c r="AC823" s="590">
        <f>IF(A27taxstdlife="n/a","n/a",IF(AC$3&gt;(A27taxstdlife+$E823),(('PTRM input'!$J$169+'PTRM input'!$J$135)*$J$7)-SUM($J823:AB823),(('PTRM input'!$J$169+'PTRM input'!$J$135)*$J$7)/A27taxstdlife))</f>
        <v>0</v>
      </c>
      <c r="AD823" s="590">
        <f>IF(A27taxstdlife="n/a","n/a",IF(AD$3&gt;(A27taxstdlife+$E823),(('PTRM input'!$J$169+'PTRM input'!$J$135)*$J$7)-SUM($J823:AC823),(('PTRM input'!$J$169+'PTRM input'!$J$135)*$J$7)/A27taxstdlife))</f>
        <v>0</v>
      </c>
      <c r="AE823" s="590">
        <f>IF(A27taxstdlife="n/a","n/a",IF(AE$3&gt;(A27taxstdlife+$E823),(('PTRM input'!$J$169+'PTRM input'!$J$135)*$J$7)-SUM($J823:AD823),(('PTRM input'!$J$169+'PTRM input'!$J$135)*$J$7)/A27taxstdlife))</f>
        <v>0</v>
      </c>
      <c r="AF823" s="590">
        <f>IF(A27taxstdlife="n/a","n/a",IF(AF$3&gt;(A27taxstdlife+$E823),(('PTRM input'!$J$169+'PTRM input'!$J$135)*$J$7)-SUM($J823:AE823),(('PTRM input'!$J$169+'PTRM input'!$J$135)*$J$7)/A27taxstdlife))</f>
        <v>0</v>
      </c>
      <c r="AG823" s="590">
        <f>IF(A27taxstdlife="n/a","n/a",IF(AG$3&gt;(A27taxstdlife+$E823),(('PTRM input'!$J$169+'PTRM input'!$J$135)*$J$7)-SUM($J823:AF823),(('PTRM input'!$J$169+'PTRM input'!$J$135)*$J$7)/A27taxstdlife))</f>
        <v>0</v>
      </c>
      <c r="AH823" s="590">
        <f>IF(A27taxstdlife="n/a","n/a",IF(AH$3&gt;(A27taxstdlife+$E823),(('PTRM input'!$J$169+'PTRM input'!$J$135)*$J$7)-SUM($J823:AG823),(('PTRM input'!$J$169+'PTRM input'!$J$135)*$J$7)/A27taxstdlife))</f>
        <v>0</v>
      </c>
      <c r="AI823" s="590">
        <f>IF(A27taxstdlife="n/a","n/a",IF(AI$3&gt;(A27taxstdlife+$E823),(('PTRM input'!$J$169+'PTRM input'!$J$135)*$J$7)-SUM($J823:AH823),(('PTRM input'!$J$169+'PTRM input'!$J$135)*$J$7)/A27taxstdlife))</f>
        <v>0</v>
      </c>
      <c r="AJ823" s="590">
        <f>IF(A27taxstdlife="n/a","n/a",IF(AJ$3&gt;(A27taxstdlife+$E823),(('PTRM input'!$J$169+'PTRM input'!$J$135)*$J$7)-SUM($J823:AI823),(('PTRM input'!$J$169+'PTRM input'!$J$135)*$J$7)/A27taxstdlife))</f>
        <v>0</v>
      </c>
      <c r="AK823" s="590">
        <f>IF(A27taxstdlife="n/a","n/a",IF(AK$3&gt;(A27taxstdlife+$E823),(('PTRM input'!$J$169+'PTRM input'!$J$135)*$J$7)-SUM($J823:AJ823),(('PTRM input'!$J$169+'PTRM input'!$J$135)*$J$7)/A27taxstdlife))</f>
        <v>0</v>
      </c>
      <c r="AL823" s="590">
        <f>IF(A27taxstdlife="n/a","n/a",IF(AL$3&gt;(A27taxstdlife+$E823),(('PTRM input'!$J$169+'PTRM input'!$J$135)*$J$7)-SUM($J823:AK823),(('PTRM input'!$J$169+'PTRM input'!$J$135)*$J$7)/A27taxstdlife))</f>
        <v>0</v>
      </c>
      <c r="AM823" s="590">
        <f>IF(A27taxstdlife="n/a","n/a",IF(AM$3&gt;(A27taxstdlife+$E823),(('PTRM input'!$J$169+'PTRM input'!$J$135)*$J$7)-SUM($J823:AL823),(('PTRM input'!$J$169+'PTRM input'!$J$135)*$J$7)/A27taxstdlife))</f>
        <v>0</v>
      </c>
      <c r="AN823" s="590">
        <f>IF(A27taxstdlife="n/a","n/a",IF(AN$3&gt;(A27taxstdlife+$E823),(('PTRM input'!$J$169+'PTRM input'!$J$135)*$J$7)-SUM($J823:AM823),(('PTRM input'!$J$169+'PTRM input'!$J$135)*$J$7)/A27taxstdlife))</f>
        <v>0</v>
      </c>
      <c r="AO823" s="590">
        <f>IF(A27taxstdlife="n/a","n/a",IF(AO$3&gt;(A27taxstdlife+$E823),(('PTRM input'!$J$169+'PTRM input'!$J$135)*$J$7)-SUM($J823:AN823),(('PTRM input'!$J$169+'PTRM input'!$J$135)*$J$7)/A27taxstdlife))</f>
        <v>0</v>
      </c>
      <c r="AP823" s="590">
        <f>IF(A27taxstdlife="n/a","n/a",IF(AP$3&gt;(A27taxstdlife+$E823),(('PTRM input'!$J$169+'PTRM input'!$J$135)*$J$7)-SUM($J823:AO823),(('PTRM input'!$J$169+'PTRM input'!$J$135)*$J$7)/A27taxstdlife))</f>
        <v>0</v>
      </c>
      <c r="AQ823" s="590">
        <f>IF(A27taxstdlife="n/a","n/a",IF(AQ$3&gt;(A27taxstdlife+$E823),(('PTRM input'!$J$169+'PTRM input'!$J$135)*$J$7)-SUM($J823:AP823),(('PTRM input'!$J$169+'PTRM input'!$J$135)*$J$7)/A27taxstdlife))</f>
        <v>0</v>
      </c>
      <c r="AR823" s="590">
        <f>IF(A27taxstdlife="n/a","n/a",IF(AR$3&gt;(A27taxstdlife+$E823),(('PTRM input'!$J$169+'PTRM input'!$J$135)*$J$7)-SUM($J823:AQ823),(('PTRM input'!$J$169+'PTRM input'!$J$135)*$J$7)/A27taxstdlife))</f>
        <v>0</v>
      </c>
      <c r="AS823" s="590">
        <f>IF(A27taxstdlife="n/a","n/a",IF(AS$3&gt;(A27taxstdlife+$E823),(('PTRM input'!$J$169+'PTRM input'!$J$135)*$J$7)-SUM($J823:AR823),(('PTRM input'!$J$169+'PTRM input'!$J$135)*$J$7)/A27taxstdlife))</f>
        <v>0</v>
      </c>
      <c r="AT823" s="590">
        <f>IF(A27taxstdlife="n/a","n/a",IF(AT$3&gt;(A27taxstdlife+$E823),(('PTRM input'!$J$169+'PTRM input'!$J$135)*$J$7)-SUM($J823:AS823),(('PTRM input'!$J$169+'PTRM input'!$J$135)*$J$7)/A27taxstdlife))</f>
        <v>0</v>
      </c>
      <c r="AU823" s="590">
        <f>IF(A27taxstdlife="n/a","n/a",IF(AU$3&gt;(A27taxstdlife+$E823),(('PTRM input'!$J$169+'PTRM input'!$J$135)*$J$7)-SUM($J823:AT823),(('PTRM input'!$J$169+'PTRM input'!$J$135)*$J$7)/A27taxstdlife))</f>
        <v>0</v>
      </c>
      <c r="AV823" s="590">
        <f>IF(A27taxstdlife="n/a","n/a",IF(AV$3&gt;(A27taxstdlife+$E823),(('PTRM input'!$J$169+'PTRM input'!$J$135)*$J$7)-SUM($J823:AU823),(('PTRM input'!$J$169+'PTRM input'!$J$135)*$J$7)/A27taxstdlife))</f>
        <v>0</v>
      </c>
      <c r="AW823" s="590">
        <f>IF(A27taxstdlife="n/a","n/a",IF(AW$3&gt;(A27taxstdlife+$E823),(('PTRM input'!$J$169+'PTRM input'!$J$135)*$J$7)-SUM($J823:AV823),(('PTRM input'!$J$169+'PTRM input'!$J$135)*$J$7)/A27taxstdlife))</f>
        <v>0</v>
      </c>
      <c r="AX823" s="590">
        <f>IF(A27taxstdlife="n/a","n/a",IF(AX$3&gt;(A27taxstdlife+$E823),(('PTRM input'!$J$169+'PTRM input'!$J$135)*$J$7)-SUM($J823:AW823),(('PTRM input'!$J$169+'PTRM input'!$J$135)*$J$7)/A27taxstdlife))</f>
        <v>0</v>
      </c>
      <c r="AY823" s="590">
        <f>IF(A27taxstdlife="n/a","n/a",IF(AY$3&gt;(A27taxstdlife+$E823),(('PTRM input'!$J$169+'PTRM input'!$J$135)*$J$7)-SUM($J823:AX823),(('PTRM input'!$J$169+'PTRM input'!$J$135)*$J$7)/A27taxstdlife))</f>
        <v>0</v>
      </c>
      <c r="AZ823" s="590">
        <f>IF(A27taxstdlife="n/a","n/a",IF(AZ$3&gt;(A27taxstdlife+$E823),(('PTRM input'!$J$169+'PTRM input'!$J$135)*$J$7)-SUM($J823:AY823),(('PTRM input'!$J$169+'PTRM input'!$J$135)*$J$7)/A27taxstdlife))</f>
        <v>0</v>
      </c>
      <c r="BA823" s="590">
        <f>IF(A27taxstdlife="n/a","n/a",IF(BA$3&gt;(A27taxstdlife+$E823),(('PTRM input'!$J$169+'PTRM input'!$J$135)*$J$7)-SUM($J823:AZ823),(('PTRM input'!$J$169+'PTRM input'!$J$135)*$J$7)/A27taxstdlife))</f>
        <v>0</v>
      </c>
      <c r="BB823" s="590">
        <f>IF(A27taxstdlife="n/a","n/a",IF(BB$3&gt;(A27taxstdlife+$E823),(('PTRM input'!$J$169+'PTRM input'!$J$135)*$J$7)-SUM($J823:BA823),(('PTRM input'!$J$169+'PTRM input'!$J$135)*$J$7)/A27taxstdlife))</f>
        <v>0</v>
      </c>
      <c r="BC823" s="590">
        <f>IF(A27taxstdlife="n/a","n/a",IF(BC$3&gt;(A27taxstdlife+$E823),(('PTRM input'!$J$169+'PTRM input'!$J$135)*$J$7)-SUM($J823:BB823),(('PTRM input'!$J$169+'PTRM input'!$J$135)*$J$7)/A27taxstdlife))</f>
        <v>0</v>
      </c>
      <c r="BD823" s="590">
        <f>IF(A27taxstdlife="n/a","n/a",IF(BD$3&gt;(A27taxstdlife+$E823),(('PTRM input'!$J$169+'PTRM input'!$J$135)*$J$7)-SUM($J823:BC823),(('PTRM input'!$J$169+'PTRM input'!$J$135)*$J$7)/A27taxstdlife))</f>
        <v>0</v>
      </c>
      <c r="BE823" s="590">
        <f>IF(A27taxstdlife="n/a","n/a",IF(BE$3&gt;(A27taxstdlife+$E823),(('PTRM input'!$J$169+'PTRM input'!$J$135)*$J$7)-SUM($J823:BD823),(('PTRM input'!$J$169+'PTRM input'!$J$135)*$J$7)/A27taxstdlife))</f>
        <v>0</v>
      </c>
      <c r="BF823" s="590">
        <f>IF(A27taxstdlife="n/a","n/a",IF(BF$3&gt;(A27taxstdlife+$E823),(('PTRM input'!$J$169+'PTRM input'!$J$135)*$J$7)-SUM($J823:BE823),(('PTRM input'!$J$169+'PTRM input'!$J$135)*$J$7)/A27taxstdlife))</f>
        <v>0</v>
      </c>
      <c r="BG823" s="590">
        <f>IF(A27taxstdlife="n/a","n/a",IF(BG$3&gt;(A27taxstdlife+$E823),(('PTRM input'!$J$169+'PTRM input'!$J$135)*$J$7)-SUM($J823:BF823),(('PTRM input'!$J$169+'PTRM input'!$J$135)*$J$7)/A27taxstdlife))</f>
        <v>0</v>
      </c>
      <c r="BH823" s="590">
        <f>IF(A27taxstdlife="n/a","n/a",IF(BH$3&gt;(A27taxstdlife+$E823),(('PTRM input'!$J$169+'PTRM input'!$J$135)*$J$7)-SUM($J823:BG823),(('PTRM input'!$J$169+'PTRM input'!$J$135)*$J$7)/A27taxstdlife))</f>
        <v>0</v>
      </c>
      <c r="BI823" s="590">
        <f>IF(A27taxstdlife="n/a","n/a",IF(BI$3&gt;(A27taxstdlife+$E823),(('PTRM input'!$J$169+'PTRM input'!$J$135)*$J$7)-SUM($J823:BH823),(('PTRM input'!$J$169+'PTRM input'!$J$135)*$J$7)/A27taxstdlife))</f>
        <v>0</v>
      </c>
      <c r="BJ823" s="240"/>
      <c r="BK823" s="240"/>
      <c r="BL823" s="240"/>
      <c r="BM823" s="240"/>
    </row>
    <row r="824" spans="1:65" s="4" customFormat="1" hidden="1" outlineLevel="2">
      <c r="A824" s="240"/>
      <c r="B824" s="240"/>
      <c r="C824" s="595"/>
      <c r="D824" s="1618"/>
      <c r="E824" s="169">
        <v>5</v>
      </c>
      <c r="F824" s="35"/>
      <c r="G824" s="184"/>
      <c r="H824" s="186"/>
      <c r="I824" s="186"/>
      <c r="J824" s="186"/>
      <c r="K824" s="185"/>
      <c r="L824" s="107">
        <f>IF(A27taxstdlife="n/a","n/a",IF(L$3&gt;(A27taxstdlife+$E824),(('PTRM input'!$K$169+'PTRM input'!$K$135)*$K$7)-SUM($K824:K824),(('PTRM input'!$K$169+'PTRM input'!$K$135)*$K$7)/A27taxstdlife))</f>
        <v>0</v>
      </c>
      <c r="M824" s="107">
        <f>IF(A27taxstdlife="n/a","n/a",IF(M$3&gt;(A27taxstdlife+$E824),(('PTRM input'!$K$169+'PTRM input'!$K$135)*$K$7)-SUM($K824:L824),(('PTRM input'!$K$169+'PTRM input'!$K$135)*$K$7)/A27taxstdlife))</f>
        <v>0</v>
      </c>
      <c r="N824" s="107">
        <f>IF(A27taxstdlife="n/a","n/a",IF(N$3&gt;(A27taxstdlife+$E824),(('PTRM input'!$K$169+'PTRM input'!$K$135)*$K$7)-SUM($K824:M824),(('PTRM input'!$K$169+'PTRM input'!$K$135)*$K$7)/A27taxstdlife))</f>
        <v>0</v>
      </c>
      <c r="O824" s="107">
        <f>IF(A27taxstdlife="n/a","n/a",IF(O$3&gt;(A27taxstdlife+$E824),(('PTRM input'!$K$169+'PTRM input'!$K$135)*$K$7)-SUM($K824:N824),(('PTRM input'!$K$169+'PTRM input'!$K$135)*$K$7)/A27taxstdlife))</f>
        <v>0</v>
      </c>
      <c r="P824" s="107">
        <f>IF(A27taxstdlife="n/a","n/a",IF(P$3&gt;(A27taxstdlife+$E824),(('PTRM input'!$K$169+'PTRM input'!$K$135)*$K$7)-SUM($K824:O824),(('PTRM input'!$K$169+'PTRM input'!$K$135)*$K$7)/A27taxstdlife))</f>
        <v>0</v>
      </c>
      <c r="Q824" s="590">
        <f>IF(A27taxstdlife="n/a","n/a",IF(Q$3&gt;(A27taxstdlife+$E824),(('PTRM input'!$K$169+'PTRM input'!$K$135)*$K$7)-SUM($K824:P824),(('PTRM input'!$K$169+'PTRM input'!$K$135)*$K$7)/A27taxstdlife))</f>
        <v>0</v>
      </c>
      <c r="R824" s="590">
        <f>IF(A27taxstdlife="n/a","n/a",IF(R$3&gt;(A27taxstdlife+$E824),(('PTRM input'!$K$169+'PTRM input'!$K$135)*$K$7)-SUM($K824:Q824),(('PTRM input'!$K$169+'PTRM input'!$K$135)*$K$7)/A27taxstdlife))</f>
        <v>0</v>
      </c>
      <c r="S824" s="590">
        <f>IF(A27taxstdlife="n/a","n/a",IF(S$3&gt;(A27taxstdlife+$E824),(('PTRM input'!$K$169+'PTRM input'!$K$135)*$K$7)-SUM($K824:R824),(('PTRM input'!$K$169+'PTRM input'!$K$135)*$K$7)/A27taxstdlife))</f>
        <v>0</v>
      </c>
      <c r="T824" s="590">
        <f>IF(A27taxstdlife="n/a","n/a",IF(T$3&gt;(A27taxstdlife+$E824),(('PTRM input'!$K$169+'PTRM input'!$K$135)*$K$7)-SUM($K824:S824),(('PTRM input'!$K$169+'PTRM input'!$K$135)*$K$7)/A27taxstdlife))</f>
        <v>0</v>
      </c>
      <c r="U824" s="590">
        <f>IF(A27taxstdlife="n/a","n/a",IF(U$3&gt;(A27taxstdlife+$E824),(('PTRM input'!$K$169+'PTRM input'!$K$135)*$K$7)-SUM($K824:T824),(('PTRM input'!$K$169+'PTRM input'!$K$135)*$K$7)/A27taxstdlife))</f>
        <v>0</v>
      </c>
      <c r="V824" s="590">
        <f>IF(A27taxstdlife="n/a","n/a",IF(V$3&gt;(A27taxstdlife+$E824),(('PTRM input'!$K$169+'PTRM input'!$K$135)*$K$7)-SUM($K824:U824),(('PTRM input'!$K$169+'PTRM input'!$K$135)*$K$7)/A27taxstdlife))</f>
        <v>0</v>
      </c>
      <c r="W824" s="590">
        <f>IF(A27taxstdlife="n/a","n/a",IF(W$3&gt;(A27taxstdlife+$E824),(('PTRM input'!$K$169+'PTRM input'!$K$135)*$K$7)-SUM($K824:V824),(('PTRM input'!$K$169+'PTRM input'!$K$135)*$K$7)/A27taxstdlife))</f>
        <v>0</v>
      </c>
      <c r="X824" s="590">
        <f>IF(A27taxstdlife="n/a","n/a",IF(X$3&gt;(A27taxstdlife+$E824),(('PTRM input'!$K$169+'PTRM input'!$K$135)*$K$7)-SUM($K824:W824),(('PTRM input'!$K$169+'PTRM input'!$K$135)*$K$7)/A27taxstdlife))</f>
        <v>0</v>
      </c>
      <c r="Y824" s="590">
        <f>IF(A27taxstdlife="n/a","n/a",IF(Y$3&gt;(A27taxstdlife+$E824),(('PTRM input'!$K$169+'PTRM input'!$K$135)*$K$7)-SUM($K824:X824),(('PTRM input'!$K$169+'PTRM input'!$K$135)*$K$7)/A27taxstdlife))</f>
        <v>0</v>
      </c>
      <c r="Z824" s="590">
        <f>IF(A27taxstdlife="n/a","n/a",IF(Z$3&gt;(A27taxstdlife+$E824),(('PTRM input'!$K$169+'PTRM input'!$K$135)*$K$7)-SUM($K824:Y824),(('PTRM input'!$K$169+'PTRM input'!$K$135)*$K$7)/A27taxstdlife))</f>
        <v>0</v>
      </c>
      <c r="AA824" s="590">
        <f>IF(A27taxstdlife="n/a","n/a",IF(AA$3&gt;(A27taxstdlife+$E824),(('PTRM input'!$K$169+'PTRM input'!$K$135)*$K$7)-SUM($K824:Z824),(('PTRM input'!$K$169+'PTRM input'!$K$135)*$K$7)/A27taxstdlife))</f>
        <v>0</v>
      </c>
      <c r="AB824" s="590">
        <f>IF(A27taxstdlife="n/a","n/a",IF(AB$3&gt;(A27taxstdlife+$E824),(('PTRM input'!$K$169+'PTRM input'!$K$135)*$K$7)-SUM($K824:AA824),(('PTRM input'!$K$169+'PTRM input'!$K$135)*$K$7)/A27taxstdlife))</f>
        <v>0</v>
      </c>
      <c r="AC824" s="590">
        <f>IF(A27taxstdlife="n/a","n/a",IF(AC$3&gt;(A27taxstdlife+$E824),(('PTRM input'!$K$169+'PTRM input'!$K$135)*$K$7)-SUM($K824:AB824),(('PTRM input'!$K$169+'PTRM input'!$K$135)*$K$7)/A27taxstdlife))</f>
        <v>0</v>
      </c>
      <c r="AD824" s="590">
        <f>IF(A27taxstdlife="n/a","n/a",IF(AD$3&gt;(A27taxstdlife+$E824),(('PTRM input'!$K$169+'PTRM input'!$K$135)*$K$7)-SUM($K824:AC824),(('PTRM input'!$K$169+'PTRM input'!$K$135)*$K$7)/A27taxstdlife))</f>
        <v>0</v>
      </c>
      <c r="AE824" s="590">
        <f>IF(A27taxstdlife="n/a","n/a",IF(AE$3&gt;(A27taxstdlife+$E824),(('PTRM input'!$K$169+'PTRM input'!$K$135)*$K$7)-SUM($K824:AD824),(('PTRM input'!$K$169+'PTRM input'!$K$135)*$K$7)/A27taxstdlife))</f>
        <v>0</v>
      </c>
      <c r="AF824" s="590">
        <f>IF(A27taxstdlife="n/a","n/a",IF(AF$3&gt;(A27taxstdlife+$E824),(('PTRM input'!$K$169+'PTRM input'!$K$135)*$K$7)-SUM($K824:AE824),(('PTRM input'!$K$169+'PTRM input'!$K$135)*$K$7)/A27taxstdlife))</f>
        <v>0</v>
      </c>
      <c r="AG824" s="590">
        <f>IF(A27taxstdlife="n/a","n/a",IF(AG$3&gt;(A27taxstdlife+$E824),(('PTRM input'!$K$169+'PTRM input'!$K$135)*$K$7)-SUM($K824:AF824),(('PTRM input'!$K$169+'PTRM input'!$K$135)*$K$7)/A27taxstdlife))</f>
        <v>0</v>
      </c>
      <c r="AH824" s="590">
        <f>IF(A27taxstdlife="n/a","n/a",IF(AH$3&gt;(A27taxstdlife+$E824),(('PTRM input'!$K$169+'PTRM input'!$K$135)*$K$7)-SUM($K824:AG824),(('PTRM input'!$K$169+'PTRM input'!$K$135)*$K$7)/A27taxstdlife))</f>
        <v>0</v>
      </c>
      <c r="AI824" s="590">
        <f>IF(A27taxstdlife="n/a","n/a",IF(AI$3&gt;(A27taxstdlife+$E824),(('PTRM input'!$K$169+'PTRM input'!$K$135)*$K$7)-SUM($K824:AH824),(('PTRM input'!$K$169+'PTRM input'!$K$135)*$K$7)/A27taxstdlife))</f>
        <v>0</v>
      </c>
      <c r="AJ824" s="590">
        <f>IF(A27taxstdlife="n/a","n/a",IF(AJ$3&gt;(A27taxstdlife+$E824),(('PTRM input'!$K$169+'PTRM input'!$K$135)*$K$7)-SUM($K824:AI824),(('PTRM input'!$K$169+'PTRM input'!$K$135)*$K$7)/A27taxstdlife))</f>
        <v>0</v>
      </c>
      <c r="AK824" s="590">
        <f>IF(A27taxstdlife="n/a","n/a",IF(AK$3&gt;(A27taxstdlife+$E824),(('PTRM input'!$K$169+'PTRM input'!$K$135)*$K$7)-SUM($K824:AJ824),(('PTRM input'!$K$169+'PTRM input'!$K$135)*$K$7)/A27taxstdlife))</f>
        <v>0</v>
      </c>
      <c r="AL824" s="590">
        <f>IF(A27taxstdlife="n/a","n/a",IF(AL$3&gt;(A27taxstdlife+$E824),(('PTRM input'!$K$169+'PTRM input'!$K$135)*$K$7)-SUM($K824:AK824),(('PTRM input'!$K$169+'PTRM input'!$K$135)*$K$7)/A27taxstdlife))</f>
        <v>0</v>
      </c>
      <c r="AM824" s="590">
        <f>IF(A27taxstdlife="n/a","n/a",IF(AM$3&gt;(A27taxstdlife+$E824),(('PTRM input'!$K$169+'PTRM input'!$K$135)*$K$7)-SUM($K824:AL824),(('PTRM input'!$K$169+'PTRM input'!$K$135)*$K$7)/A27taxstdlife))</f>
        <v>0</v>
      </c>
      <c r="AN824" s="590">
        <f>IF(A27taxstdlife="n/a","n/a",IF(AN$3&gt;(A27taxstdlife+$E824),(('PTRM input'!$K$169+'PTRM input'!$K$135)*$K$7)-SUM($K824:AM824),(('PTRM input'!$K$169+'PTRM input'!$K$135)*$K$7)/A27taxstdlife))</f>
        <v>0</v>
      </c>
      <c r="AO824" s="590">
        <f>IF(A27taxstdlife="n/a","n/a",IF(AO$3&gt;(A27taxstdlife+$E824),(('PTRM input'!$K$169+'PTRM input'!$K$135)*$K$7)-SUM($K824:AN824),(('PTRM input'!$K$169+'PTRM input'!$K$135)*$K$7)/A27taxstdlife))</f>
        <v>0</v>
      </c>
      <c r="AP824" s="590">
        <f>IF(A27taxstdlife="n/a","n/a",IF(AP$3&gt;(A27taxstdlife+$E824),(('PTRM input'!$K$169+'PTRM input'!$K$135)*$K$7)-SUM($K824:AO824),(('PTRM input'!$K$169+'PTRM input'!$K$135)*$K$7)/A27taxstdlife))</f>
        <v>0</v>
      </c>
      <c r="AQ824" s="590">
        <f>IF(A27taxstdlife="n/a","n/a",IF(AQ$3&gt;(A27taxstdlife+$E824),(('PTRM input'!$K$169+'PTRM input'!$K$135)*$K$7)-SUM($K824:AP824),(('PTRM input'!$K$169+'PTRM input'!$K$135)*$K$7)/A27taxstdlife))</f>
        <v>0</v>
      </c>
      <c r="AR824" s="590">
        <f>IF(A27taxstdlife="n/a","n/a",IF(AR$3&gt;(A27taxstdlife+$E824),(('PTRM input'!$K$169+'PTRM input'!$K$135)*$K$7)-SUM($K824:AQ824),(('PTRM input'!$K$169+'PTRM input'!$K$135)*$K$7)/A27taxstdlife))</f>
        <v>0</v>
      </c>
      <c r="AS824" s="590">
        <f>IF(A27taxstdlife="n/a","n/a",IF(AS$3&gt;(A27taxstdlife+$E824),(('PTRM input'!$K$169+'PTRM input'!$K$135)*$K$7)-SUM($K824:AR824),(('PTRM input'!$K$169+'PTRM input'!$K$135)*$K$7)/A27taxstdlife))</f>
        <v>0</v>
      </c>
      <c r="AT824" s="590">
        <f>IF(A27taxstdlife="n/a","n/a",IF(AT$3&gt;(A27taxstdlife+$E824),(('PTRM input'!$K$169+'PTRM input'!$K$135)*$K$7)-SUM($K824:AS824),(('PTRM input'!$K$169+'PTRM input'!$K$135)*$K$7)/A27taxstdlife))</f>
        <v>0</v>
      </c>
      <c r="AU824" s="590">
        <f>IF(A27taxstdlife="n/a","n/a",IF(AU$3&gt;(A27taxstdlife+$E824),(('PTRM input'!$K$169+'PTRM input'!$K$135)*$K$7)-SUM($K824:AT824),(('PTRM input'!$K$169+'PTRM input'!$K$135)*$K$7)/A27taxstdlife))</f>
        <v>0</v>
      </c>
      <c r="AV824" s="590">
        <f>IF(A27taxstdlife="n/a","n/a",IF(AV$3&gt;(A27taxstdlife+$E824),(('PTRM input'!$K$169+'PTRM input'!$K$135)*$K$7)-SUM($K824:AU824),(('PTRM input'!$K$169+'PTRM input'!$K$135)*$K$7)/A27taxstdlife))</f>
        <v>0</v>
      </c>
      <c r="AW824" s="590">
        <f>IF(A27taxstdlife="n/a","n/a",IF(AW$3&gt;(A27taxstdlife+$E824),(('PTRM input'!$K$169+'PTRM input'!$K$135)*$K$7)-SUM($K824:AV824),(('PTRM input'!$K$169+'PTRM input'!$K$135)*$K$7)/A27taxstdlife))</f>
        <v>0</v>
      </c>
      <c r="AX824" s="590">
        <f>IF(A27taxstdlife="n/a","n/a",IF(AX$3&gt;(A27taxstdlife+$E824),(('PTRM input'!$K$169+'PTRM input'!$K$135)*$K$7)-SUM($K824:AW824),(('PTRM input'!$K$169+'PTRM input'!$K$135)*$K$7)/A27taxstdlife))</f>
        <v>0</v>
      </c>
      <c r="AY824" s="590">
        <f>IF(A27taxstdlife="n/a","n/a",IF(AY$3&gt;(A27taxstdlife+$E824),(('PTRM input'!$K$169+'PTRM input'!$K$135)*$K$7)-SUM($K824:AX824),(('PTRM input'!$K$169+'PTRM input'!$K$135)*$K$7)/A27taxstdlife))</f>
        <v>0</v>
      </c>
      <c r="AZ824" s="590">
        <f>IF(A27taxstdlife="n/a","n/a",IF(AZ$3&gt;(A27taxstdlife+$E824),(('PTRM input'!$K$169+'PTRM input'!$K$135)*$K$7)-SUM($K824:AY824),(('PTRM input'!$K$169+'PTRM input'!$K$135)*$K$7)/A27taxstdlife))</f>
        <v>0</v>
      </c>
      <c r="BA824" s="590">
        <f>IF(A27taxstdlife="n/a","n/a",IF(BA$3&gt;(A27taxstdlife+$E824),(('PTRM input'!$K$169+'PTRM input'!$K$135)*$K$7)-SUM($K824:AZ824),(('PTRM input'!$K$169+'PTRM input'!$K$135)*$K$7)/A27taxstdlife))</f>
        <v>0</v>
      </c>
      <c r="BB824" s="590">
        <f>IF(A27taxstdlife="n/a","n/a",IF(BB$3&gt;(A27taxstdlife+$E824),(('PTRM input'!$K$169+'PTRM input'!$K$135)*$K$7)-SUM($K824:BA824),(('PTRM input'!$K$169+'PTRM input'!$K$135)*$K$7)/A27taxstdlife))</f>
        <v>0</v>
      </c>
      <c r="BC824" s="590">
        <f>IF(A27taxstdlife="n/a","n/a",IF(BC$3&gt;(A27taxstdlife+$E824),(('PTRM input'!$K$169+'PTRM input'!$K$135)*$K$7)-SUM($K824:BB824),(('PTRM input'!$K$169+'PTRM input'!$K$135)*$K$7)/A27taxstdlife))</f>
        <v>0</v>
      </c>
      <c r="BD824" s="590">
        <f>IF(A27taxstdlife="n/a","n/a",IF(BD$3&gt;(A27taxstdlife+$E824),(('PTRM input'!$K$169+'PTRM input'!$K$135)*$K$7)-SUM($K824:BC824),(('PTRM input'!$K$169+'PTRM input'!$K$135)*$K$7)/A27taxstdlife))</f>
        <v>0</v>
      </c>
      <c r="BE824" s="590">
        <f>IF(A27taxstdlife="n/a","n/a",IF(BE$3&gt;(A27taxstdlife+$E824),(('PTRM input'!$K$169+'PTRM input'!$K$135)*$K$7)-SUM($K824:BD824),(('PTRM input'!$K$169+'PTRM input'!$K$135)*$K$7)/A27taxstdlife))</f>
        <v>0</v>
      </c>
      <c r="BF824" s="590">
        <f>IF(A27taxstdlife="n/a","n/a",IF(BF$3&gt;(A27taxstdlife+$E824),(('PTRM input'!$K$169+'PTRM input'!$K$135)*$K$7)-SUM($K824:BE824),(('PTRM input'!$K$169+'PTRM input'!$K$135)*$K$7)/A27taxstdlife))</f>
        <v>0</v>
      </c>
      <c r="BG824" s="590">
        <f>IF(A27taxstdlife="n/a","n/a",IF(BG$3&gt;(A27taxstdlife+$E824),(('PTRM input'!$K$169+'PTRM input'!$K$135)*$K$7)-SUM($K824:BF824),(('PTRM input'!$K$169+'PTRM input'!$K$135)*$K$7)/A27taxstdlife))</f>
        <v>0</v>
      </c>
      <c r="BH824" s="590">
        <f>IF(A27taxstdlife="n/a","n/a",IF(BH$3&gt;(A27taxstdlife+$E824),(('PTRM input'!$K$169+'PTRM input'!$K$135)*$K$7)-SUM($K824:BG824),(('PTRM input'!$K$169+'PTRM input'!$K$135)*$K$7)/A27taxstdlife))</f>
        <v>0</v>
      </c>
      <c r="BI824" s="590">
        <f>IF(A27taxstdlife="n/a","n/a",IF(BI$3&gt;(A27taxstdlife+$E824),(('PTRM input'!$K$169+'PTRM input'!$K$135)*$K$7)-SUM($K824:BH824),(('PTRM input'!$K$169+'PTRM input'!$K$135)*$K$7)/A27taxstdlife))</f>
        <v>0</v>
      </c>
      <c r="BJ824" s="240"/>
      <c r="BK824" s="240"/>
      <c r="BL824" s="240"/>
      <c r="BM824" s="240"/>
    </row>
    <row r="825" spans="1:65" s="4" customFormat="1" hidden="1" outlineLevel="2">
      <c r="A825" s="240"/>
      <c r="B825" s="240"/>
      <c r="C825" s="595"/>
      <c r="D825" s="1618"/>
      <c r="E825" s="169">
        <v>6</v>
      </c>
      <c r="F825" s="35"/>
      <c r="G825" s="184"/>
      <c r="H825" s="186"/>
      <c r="I825" s="186"/>
      <c r="J825" s="186"/>
      <c r="K825" s="186"/>
      <c r="L825" s="185"/>
      <c r="M825" s="107">
        <f>IF(A27taxstdlife="n/a","n/a",IF(M$3&gt;(A27taxstdlife+$E825),(('PTRM input'!$L$169+'PTRM input'!$L$135)*$L$7)-SUM($L825:L825),(('PTRM input'!$L$169+'PTRM input'!$L$135)*$L$7)/A27taxstdlife))</f>
        <v>0</v>
      </c>
      <c r="N825" s="107">
        <f>IF(A27taxstdlife="n/a","n/a",IF(N$3&gt;(A27taxstdlife+$E825),(('PTRM input'!$L$169+'PTRM input'!$L$135)*$L$7)-SUM($L825:M825),(('PTRM input'!$L$169+'PTRM input'!$L$135)*$L$7)/A27taxstdlife))</f>
        <v>0</v>
      </c>
      <c r="O825" s="107">
        <f>IF(A27taxstdlife="n/a","n/a",IF(O$3&gt;(A27taxstdlife+$E825),(('PTRM input'!$L$169+'PTRM input'!$L$135)*$L$7)-SUM($L825:N825),(('PTRM input'!$L$169+'PTRM input'!$L$135)*$L$7)/A27taxstdlife))</f>
        <v>0</v>
      </c>
      <c r="P825" s="107">
        <f>IF(A27taxstdlife="n/a","n/a",IF(P$3&gt;(A27taxstdlife+$E825),(('PTRM input'!$L$169+'PTRM input'!$L$135)*$L$7)-SUM($L825:O825),(('PTRM input'!$L$169+'PTRM input'!$L$135)*$L$7)/A27taxstdlife))</f>
        <v>0</v>
      </c>
      <c r="Q825" s="590">
        <f>IF(A27taxstdlife="n/a","n/a",IF(Q$3&gt;(A27taxstdlife+$E825),(('PTRM input'!$L$169+'PTRM input'!$L$135)*$L$7)-SUM($L825:P825),(('PTRM input'!$L$169+'PTRM input'!$L$135)*$L$7)/A27taxstdlife))</f>
        <v>0</v>
      </c>
      <c r="R825" s="590">
        <f>IF(A27taxstdlife="n/a","n/a",IF(R$3&gt;(A27taxstdlife+$E825),(('PTRM input'!$L$169+'PTRM input'!$L$135)*$L$7)-SUM($L825:Q825),(('PTRM input'!$L$169+'PTRM input'!$L$135)*$L$7)/A27taxstdlife))</f>
        <v>0</v>
      </c>
      <c r="S825" s="590">
        <f>IF(A27taxstdlife="n/a","n/a",IF(S$3&gt;(A27taxstdlife+$E825),(('PTRM input'!$L$169+'PTRM input'!$L$135)*$L$7)-SUM($L825:R825),(('PTRM input'!$L$169+'PTRM input'!$L$135)*$L$7)/A27taxstdlife))</f>
        <v>0</v>
      </c>
      <c r="T825" s="590">
        <f>IF(A27taxstdlife="n/a","n/a",IF(T$3&gt;(A27taxstdlife+$E825),(('PTRM input'!$L$169+'PTRM input'!$L$135)*$L$7)-SUM($L825:S825),(('PTRM input'!$L$169+'PTRM input'!$L$135)*$L$7)/A27taxstdlife))</f>
        <v>0</v>
      </c>
      <c r="U825" s="590">
        <f>IF(A27taxstdlife="n/a","n/a",IF(U$3&gt;(A27taxstdlife+$E825),(('PTRM input'!$L$169+'PTRM input'!$L$135)*$L$7)-SUM($L825:T825),(('PTRM input'!$L$169+'PTRM input'!$L$135)*$L$7)/A27taxstdlife))</f>
        <v>0</v>
      </c>
      <c r="V825" s="590">
        <f>IF(A27taxstdlife="n/a","n/a",IF(V$3&gt;(A27taxstdlife+$E825),(('PTRM input'!$L$169+'PTRM input'!$L$135)*$L$7)-SUM($L825:U825),(('PTRM input'!$L$169+'PTRM input'!$L$135)*$L$7)/A27taxstdlife))</f>
        <v>0</v>
      </c>
      <c r="W825" s="590">
        <f>IF(A27taxstdlife="n/a","n/a",IF(W$3&gt;(A27taxstdlife+$E825),(('PTRM input'!$L$169+'PTRM input'!$L$135)*$L$7)-SUM($L825:V825),(('PTRM input'!$L$169+'PTRM input'!$L$135)*$L$7)/A27taxstdlife))</f>
        <v>0</v>
      </c>
      <c r="X825" s="590">
        <f>IF(A27taxstdlife="n/a","n/a",IF(X$3&gt;(A27taxstdlife+$E825),(('PTRM input'!$L$169+'PTRM input'!$L$135)*$L$7)-SUM($L825:W825),(('PTRM input'!$L$169+'PTRM input'!$L$135)*$L$7)/A27taxstdlife))</f>
        <v>0</v>
      </c>
      <c r="Y825" s="590">
        <f>IF(A27taxstdlife="n/a","n/a",IF(Y$3&gt;(A27taxstdlife+$E825),(('PTRM input'!$L$169+'PTRM input'!$L$135)*$L$7)-SUM($L825:X825),(('PTRM input'!$L$169+'PTRM input'!$L$135)*$L$7)/A27taxstdlife))</f>
        <v>0</v>
      </c>
      <c r="Z825" s="590">
        <f>IF(A27taxstdlife="n/a","n/a",IF(Z$3&gt;(A27taxstdlife+$E825),(('PTRM input'!$L$169+'PTRM input'!$L$135)*$L$7)-SUM($L825:Y825),(('PTRM input'!$L$169+'PTRM input'!$L$135)*$L$7)/A27taxstdlife))</f>
        <v>0</v>
      </c>
      <c r="AA825" s="590">
        <f>IF(A27taxstdlife="n/a","n/a",IF(AA$3&gt;(A27taxstdlife+$E825),(('PTRM input'!$L$169+'PTRM input'!$L$135)*$L$7)-SUM($L825:Z825),(('PTRM input'!$L$169+'PTRM input'!$L$135)*$L$7)/A27taxstdlife))</f>
        <v>0</v>
      </c>
      <c r="AB825" s="590">
        <f>IF(A27taxstdlife="n/a","n/a",IF(AB$3&gt;(A27taxstdlife+$E825),(('PTRM input'!$L$169+'PTRM input'!$L$135)*$L$7)-SUM($L825:AA825),(('PTRM input'!$L$169+'PTRM input'!$L$135)*$L$7)/A27taxstdlife))</f>
        <v>0</v>
      </c>
      <c r="AC825" s="590">
        <f>IF(A27taxstdlife="n/a","n/a",IF(AC$3&gt;(A27taxstdlife+$E825),(('PTRM input'!$L$169+'PTRM input'!$L$135)*$L$7)-SUM($L825:AB825),(('PTRM input'!$L$169+'PTRM input'!$L$135)*$L$7)/A27taxstdlife))</f>
        <v>0</v>
      </c>
      <c r="AD825" s="590">
        <f>IF(A27taxstdlife="n/a","n/a",IF(AD$3&gt;(A27taxstdlife+$E825),(('PTRM input'!$L$169+'PTRM input'!$L$135)*$L$7)-SUM($L825:AC825),(('PTRM input'!$L$169+'PTRM input'!$L$135)*$L$7)/A27taxstdlife))</f>
        <v>0</v>
      </c>
      <c r="AE825" s="590">
        <f>IF(A27taxstdlife="n/a","n/a",IF(AE$3&gt;(A27taxstdlife+$E825),(('PTRM input'!$L$169+'PTRM input'!$L$135)*$L$7)-SUM($L825:AD825),(('PTRM input'!$L$169+'PTRM input'!$L$135)*$L$7)/A27taxstdlife))</f>
        <v>0</v>
      </c>
      <c r="AF825" s="590">
        <f>IF(A27taxstdlife="n/a","n/a",IF(AF$3&gt;(A27taxstdlife+$E825),(('PTRM input'!$L$169+'PTRM input'!$L$135)*$L$7)-SUM($L825:AE825),(('PTRM input'!$L$169+'PTRM input'!$L$135)*$L$7)/A27taxstdlife))</f>
        <v>0</v>
      </c>
      <c r="AG825" s="590">
        <f>IF(A27taxstdlife="n/a","n/a",IF(AG$3&gt;(A27taxstdlife+$E825),(('PTRM input'!$L$169+'PTRM input'!$L$135)*$L$7)-SUM($L825:AF825),(('PTRM input'!$L$169+'PTRM input'!$L$135)*$L$7)/A27taxstdlife))</f>
        <v>0</v>
      </c>
      <c r="AH825" s="590">
        <f>IF(A27taxstdlife="n/a","n/a",IF(AH$3&gt;(A27taxstdlife+$E825),(('PTRM input'!$L$169+'PTRM input'!$L$135)*$L$7)-SUM($L825:AG825),(('PTRM input'!$L$169+'PTRM input'!$L$135)*$L$7)/A27taxstdlife))</f>
        <v>0</v>
      </c>
      <c r="AI825" s="590">
        <f>IF(A27taxstdlife="n/a","n/a",IF(AI$3&gt;(A27taxstdlife+$E825),(('PTRM input'!$L$169+'PTRM input'!$L$135)*$L$7)-SUM($L825:AH825),(('PTRM input'!$L$169+'PTRM input'!$L$135)*$L$7)/A27taxstdlife))</f>
        <v>0</v>
      </c>
      <c r="AJ825" s="590">
        <f>IF(A27taxstdlife="n/a","n/a",IF(AJ$3&gt;(A27taxstdlife+$E825),(('PTRM input'!$L$169+'PTRM input'!$L$135)*$L$7)-SUM($L825:AI825),(('PTRM input'!$L$169+'PTRM input'!$L$135)*$L$7)/A27taxstdlife))</f>
        <v>0</v>
      </c>
      <c r="AK825" s="590">
        <f>IF(A27taxstdlife="n/a","n/a",IF(AK$3&gt;(A27taxstdlife+$E825),(('PTRM input'!$L$169+'PTRM input'!$L$135)*$L$7)-SUM($L825:AJ825),(('PTRM input'!$L$169+'PTRM input'!$L$135)*$L$7)/A27taxstdlife))</f>
        <v>0</v>
      </c>
      <c r="AL825" s="590">
        <f>IF(A27taxstdlife="n/a","n/a",IF(AL$3&gt;(A27taxstdlife+$E825),(('PTRM input'!$L$169+'PTRM input'!$L$135)*$L$7)-SUM($L825:AK825),(('PTRM input'!$L$169+'PTRM input'!$L$135)*$L$7)/A27taxstdlife))</f>
        <v>0</v>
      </c>
      <c r="AM825" s="590">
        <f>IF(A27taxstdlife="n/a","n/a",IF(AM$3&gt;(A27taxstdlife+$E825),(('PTRM input'!$L$169+'PTRM input'!$L$135)*$L$7)-SUM($L825:AL825),(('PTRM input'!$L$169+'PTRM input'!$L$135)*$L$7)/A27taxstdlife))</f>
        <v>0</v>
      </c>
      <c r="AN825" s="590">
        <f>IF(A27taxstdlife="n/a","n/a",IF(AN$3&gt;(A27taxstdlife+$E825),(('PTRM input'!$L$169+'PTRM input'!$L$135)*$L$7)-SUM($L825:AM825),(('PTRM input'!$L$169+'PTRM input'!$L$135)*$L$7)/A27taxstdlife))</f>
        <v>0</v>
      </c>
      <c r="AO825" s="590">
        <f>IF(A27taxstdlife="n/a","n/a",IF(AO$3&gt;(A27taxstdlife+$E825),(('PTRM input'!$L$169+'PTRM input'!$L$135)*$L$7)-SUM($L825:AN825),(('PTRM input'!$L$169+'PTRM input'!$L$135)*$L$7)/A27taxstdlife))</f>
        <v>0</v>
      </c>
      <c r="AP825" s="590">
        <f>IF(A27taxstdlife="n/a","n/a",IF(AP$3&gt;(A27taxstdlife+$E825),(('PTRM input'!$L$169+'PTRM input'!$L$135)*$L$7)-SUM($L825:AO825),(('PTRM input'!$L$169+'PTRM input'!$L$135)*$L$7)/A27taxstdlife))</f>
        <v>0</v>
      </c>
      <c r="AQ825" s="590">
        <f>IF(A27taxstdlife="n/a","n/a",IF(AQ$3&gt;(A27taxstdlife+$E825),(('PTRM input'!$L$169+'PTRM input'!$L$135)*$L$7)-SUM($L825:AP825),(('PTRM input'!$L$169+'PTRM input'!$L$135)*$L$7)/A27taxstdlife))</f>
        <v>0</v>
      </c>
      <c r="AR825" s="590">
        <f>IF(A27taxstdlife="n/a","n/a",IF(AR$3&gt;(A27taxstdlife+$E825),(('PTRM input'!$L$169+'PTRM input'!$L$135)*$L$7)-SUM($L825:AQ825),(('PTRM input'!$L$169+'PTRM input'!$L$135)*$L$7)/A27taxstdlife))</f>
        <v>0</v>
      </c>
      <c r="AS825" s="590">
        <f>IF(A27taxstdlife="n/a","n/a",IF(AS$3&gt;(A27taxstdlife+$E825),(('PTRM input'!$L$169+'PTRM input'!$L$135)*$L$7)-SUM($L825:AR825),(('PTRM input'!$L$169+'PTRM input'!$L$135)*$L$7)/A27taxstdlife))</f>
        <v>0</v>
      </c>
      <c r="AT825" s="590">
        <f>IF(A27taxstdlife="n/a","n/a",IF(AT$3&gt;(A27taxstdlife+$E825),(('PTRM input'!$L$169+'PTRM input'!$L$135)*$L$7)-SUM($L825:AS825),(('PTRM input'!$L$169+'PTRM input'!$L$135)*$L$7)/A27taxstdlife))</f>
        <v>0</v>
      </c>
      <c r="AU825" s="590">
        <f>IF(A27taxstdlife="n/a","n/a",IF(AU$3&gt;(A27taxstdlife+$E825),(('PTRM input'!$L$169+'PTRM input'!$L$135)*$L$7)-SUM($L825:AT825),(('PTRM input'!$L$169+'PTRM input'!$L$135)*$L$7)/A27taxstdlife))</f>
        <v>0</v>
      </c>
      <c r="AV825" s="590">
        <f>IF(A27taxstdlife="n/a","n/a",IF(AV$3&gt;(A27taxstdlife+$E825),(('PTRM input'!$L$169+'PTRM input'!$L$135)*$L$7)-SUM($L825:AU825),(('PTRM input'!$L$169+'PTRM input'!$L$135)*$L$7)/A27taxstdlife))</f>
        <v>0</v>
      </c>
      <c r="AW825" s="590">
        <f>IF(A27taxstdlife="n/a","n/a",IF(AW$3&gt;(A27taxstdlife+$E825),(('PTRM input'!$L$169+'PTRM input'!$L$135)*$L$7)-SUM($L825:AV825),(('PTRM input'!$L$169+'PTRM input'!$L$135)*$L$7)/A27taxstdlife))</f>
        <v>0</v>
      </c>
      <c r="AX825" s="590">
        <f>IF(A27taxstdlife="n/a","n/a",IF(AX$3&gt;(A27taxstdlife+$E825),(('PTRM input'!$L$169+'PTRM input'!$L$135)*$L$7)-SUM($L825:AW825),(('PTRM input'!$L$169+'PTRM input'!$L$135)*$L$7)/A27taxstdlife))</f>
        <v>0</v>
      </c>
      <c r="AY825" s="590">
        <f>IF(A27taxstdlife="n/a","n/a",IF(AY$3&gt;(A27taxstdlife+$E825),(('PTRM input'!$L$169+'PTRM input'!$L$135)*$L$7)-SUM($L825:AX825),(('PTRM input'!$L$169+'PTRM input'!$L$135)*$L$7)/A27taxstdlife))</f>
        <v>0</v>
      </c>
      <c r="AZ825" s="590">
        <f>IF(A27taxstdlife="n/a","n/a",IF(AZ$3&gt;(A27taxstdlife+$E825),(('PTRM input'!$L$169+'PTRM input'!$L$135)*$L$7)-SUM($L825:AY825),(('PTRM input'!$L$169+'PTRM input'!$L$135)*$L$7)/A27taxstdlife))</f>
        <v>0</v>
      </c>
      <c r="BA825" s="590">
        <f>IF(A27taxstdlife="n/a","n/a",IF(BA$3&gt;(A27taxstdlife+$E825),(('PTRM input'!$L$169+'PTRM input'!$L$135)*$L$7)-SUM($L825:AZ825),(('PTRM input'!$L$169+'PTRM input'!$L$135)*$L$7)/A27taxstdlife))</f>
        <v>0</v>
      </c>
      <c r="BB825" s="590">
        <f>IF(A27taxstdlife="n/a","n/a",IF(BB$3&gt;(A27taxstdlife+$E825),(('PTRM input'!$L$169+'PTRM input'!$L$135)*$L$7)-SUM($L825:BA825),(('PTRM input'!$L$169+'PTRM input'!$L$135)*$L$7)/A27taxstdlife))</f>
        <v>0</v>
      </c>
      <c r="BC825" s="590">
        <f>IF(A27taxstdlife="n/a","n/a",IF(BC$3&gt;(A27taxstdlife+$E825),(('PTRM input'!$L$169+'PTRM input'!$L$135)*$L$7)-SUM($L825:BB825),(('PTRM input'!$L$169+'PTRM input'!$L$135)*$L$7)/A27taxstdlife))</f>
        <v>0</v>
      </c>
      <c r="BD825" s="590">
        <f>IF(A27taxstdlife="n/a","n/a",IF(BD$3&gt;(A27taxstdlife+$E825),(('PTRM input'!$L$169+'PTRM input'!$L$135)*$L$7)-SUM($L825:BC825),(('PTRM input'!$L$169+'PTRM input'!$L$135)*$L$7)/A27taxstdlife))</f>
        <v>0</v>
      </c>
      <c r="BE825" s="590">
        <f>IF(A27taxstdlife="n/a","n/a",IF(BE$3&gt;(A27taxstdlife+$E825),(('PTRM input'!$L$169+'PTRM input'!$L$135)*$L$7)-SUM($L825:BD825),(('PTRM input'!$L$169+'PTRM input'!$L$135)*$L$7)/A27taxstdlife))</f>
        <v>0</v>
      </c>
      <c r="BF825" s="590">
        <f>IF(A27taxstdlife="n/a","n/a",IF(BF$3&gt;(A27taxstdlife+$E825),(('PTRM input'!$L$169+'PTRM input'!$L$135)*$L$7)-SUM($L825:BE825),(('PTRM input'!$L$169+'PTRM input'!$L$135)*$L$7)/A27taxstdlife))</f>
        <v>0</v>
      </c>
      <c r="BG825" s="590">
        <f>IF(A27taxstdlife="n/a","n/a",IF(BG$3&gt;(A27taxstdlife+$E825),(('PTRM input'!$L$169+'PTRM input'!$L$135)*$L$7)-SUM($L825:BF825),(('PTRM input'!$L$169+'PTRM input'!$L$135)*$L$7)/A27taxstdlife))</f>
        <v>0</v>
      </c>
      <c r="BH825" s="590">
        <f>IF(A27taxstdlife="n/a","n/a",IF(BH$3&gt;(A27taxstdlife+$E825),(('PTRM input'!$L$169+'PTRM input'!$L$135)*$L$7)-SUM($L825:BG825),(('PTRM input'!$L$169+'PTRM input'!$L$135)*$L$7)/A27taxstdlife))</f>
        <v>0</v>
      </c>
      <c r="BI825" s="590">
        <f>IF(A27taxstdlife="n/a","n/a",IF(BI$3&gt;(A27taxstdlife+$E825),(('PTRM input'!$L$169+'PTRM input'!$L$135)*$L$7)-SUM($L825:BH825),(('PTRM input'!$L$169+'PTRM input'!$L$135)*$L$7)/A27taxstdlife))</f>
        <v>0</v>
      </c>
      <c r="BJ825" s="240"/>
      <c r="BK825" s="240"/>
      <c r="BL825" s="240"/>
      <c r="BM825" s="240"/>
    </row>
    <row r="826" spans="1:65" s="4" customFormat="1" hidden="1" outlineLevel="2">
      <c r="A826" s="240"/>
      <c r="B826" s="240"/>
      <c r="C826" s="595"/>
      <c r="D826" s="1618"/>
      <c r="E826" s="169">
        <v>7</v>
      </c>
      <c r="F826" s="35"/>
      <c r="G826" s="184"/>
      <c r="H826" s="186"/>
      <c r="I826" s="186"/>
      <c r="J826" s="186"/>
      <c r="K826" s="186"/>
      <c r="L826" s="186"/>
      <c r="M826" s="185"/>
      <c r="N826" s="107">
        <f>IF(A27taxstdlife="n/a","n/a",IF(N$3&gt;(A27taxstdlife+$E826),(('PTRM input'!$M$169+'PTRM input'!$M$135)*$M$7)-SUM($M826:M826),(('PTRM input'!$M$169+'PTRM input'!$M$135)*$M$7)/A27taxstdlife))</f>
        <v>0</v>
      </c>
      <c r="O826" s="107">
        <f>IF(A27taxstdlife="n/a","n/a",IF(O$3&gt;(A27taxstdlife+$E826),(('PTRM input'!$M$169+'PTRM input'!$M$135)*$M$7)-SUM($M826:N826),(('PTRM input'!$M$169+'PTRM input'!$M$135)*$M$7)/A27taxstdlife))</f>
        <v>0</v>
      </c>
      <c r="P826" s="107">
        <f>IF(A27taxstdlife="n/a","n/a",IF(P$3&gt;(A27taxstdlife+$E826),(('PTRM input'!$M$169+'PTRM input'!$M$135)*$M$7)-SUM($M826:O826),(('PTRM input'!$M$169+'PTRM input'!$M$135)*$M$7)/A27taxstdlife))</f>
        <v>0</v>
      </c>
      <c r="Q826" s="590">
        <f>IF(A27taxstdlife="n/a","n/a",IF(Q$3&gt;(A27taxstdlife+$E826),(('PTRM input'!$M$169+'PTRM input'!$M$135)*$M$7)-SUM($M826:P826),(('PTRM input'!$M$169+'PTRM input'!$M$135)*$M$7)/A27taxstdlife))</f>
        <v>0</v>
      </c>
      <c r="R826" s="590">
        <f>IF(A27taxstdlife="n/a","n/a",IF(R$3&gt;(A27taxstdlife+$E826),(('PTRM input'!$M$169+'PTRM input'!$M$135)*$M$7)-SUM($M826:Q826),(('PTRM input'!$M$169+'PTRM input'!$M$135)*$M$7)/A27taxstdlife))</f>
        <v>0</v>
      </c>
      <c r="S826" s="590">
        <f>IF(A27taxstdlife="n/a","n/a",IF(S$3&gt;(A27taxstdlife+$E826),(('PTRM input'!$M$169+'PTRM input'!$M$135)*$M$7)-SUM($M826:R826),(('PTRM input'!$M$169+'PTRM input'!$M$135)*$M$7)/A27taxstdlife))</f>
        <v>0</v>
      </c>
      <c r="T826" s="590">
        <f>IF(A27taxstdlife="n/a","n/a",IF(T$3&gt;(A27taxstdlife+$E826),(('PTRM input'!$M$169+'PTRM input'!$M$135)*$M$7)-SUM($M826:S826),(('PTRM input'!$M$169+'PTRM input'!$M$135)*$M$7)/A27taxstdlife))</f>
        <v>0</v>
      </c>
      <c r="U826" s="590">
        <f>IF(A27taxstdlife="n/a","n/a",IF(U$3&gt;(A27taxstdlife+$E826),(('PTRM input'!$M$169+'PTRM input'!$M$135)*$M$7)-SUM($M826:T826),(('PTRM input'!$M$169+'PTRM input'!$M$135)*$M$7)/A27taxstdlife))</f>
        <v>0</v>
      </c>
      <c r="V826" s="590">
        <f>IF(A27taxstdlife="n/a","n/a",IF(V$3&gt;(A27taxstdlife+$E826),(('PTRM input'!$M$169+'PTRM input'!$M$135)*$M$7)-SUM($M826:U826),(('PTRM input'!$M$169+'PTRM input'!$M$135)*$M$7)/A27taxstdlife))</f>
        <v>0</v>
      </c>
      <c r="W826" s="590">
        <f>IF(A27taxstdlife="n/a","n/a",IF(W$3&gt;(A27taxstdlife+$E826),(('PTRM input'!$M$169+'PTRM input'!$M$135)*$M$7)-SUM($M826:V826),(('PTRM input'!$M$169+'PTRM input'!$M$135)*$M$7)/A27taxstdlife))</f>
        <v>0</v>
      </c>
      <c r="X826" s="590">
        <f>IF(A27taxstdlife="n/a","n/a",IF(X$3&gt;(A27taxstdlife+$E826),(('PTRM input'!$M$169+'PTRM input'!$M$135)*$M$7)-SUM($M826:W826),(('PTRM input'!$M$169+'PTRM input'!$M$135)*$M$7)/A27taxstdlife))</f>
        <v>0</v>
      </c>
      <c r="Y826" s="590">
        <f>IF(A27taxstdlife="n/a","n/a",IF(Y$3&gt;(A27taxstdlife+$E826),(('PTRM input'!$M$169+'PTRM input'!$M$135)*$M$7)-SUM($M826:X826),(('PTRM input'!$M$169+'PTRM input'!$M$135)*$M$7)/A27taxstdlife))</f>
        <v>0</v>
      </c>
      <c r="Z826" s="590">
        <f>IF(A27taxstdlife="n/a","n/a",IF(Z$3&gt;(A27taxstdlife+$E826),(('PTRM input'!$M$169+'PTRM input'!$M$135)*$M$7)-SUM($M826:Y826),(('PTRM input'!$M$169+'PTRM input'!$M$135)*$M$7)/A27taxstdlife))</f>
        <v>0</v>
      </c>
      <c r="AA826" s="590">
        <f>IF(A27taxstdlife="n/a","n/a",IF(AA$3&gt;(A27taxstdlife+$E826),(('PTRM input'!$M$169+'PTRM input'!$M$135)*$M$7)-SUM($M826:Z826),(('PTRM input'!$M$169+'PTRM input'!$M$135)*$M$7)/A27taxstdlife))</f>
        <v>0</v>
      </c>
      <c r="AB826" s="590">
        <f>IF(A27taxstdlife="n/a","n/a",IF(AB$3&gt;(A27taxstdlife+$E826),(('PTRM input'!$M$169+'PTRM input'!$M$135)*$M$7)-SUM($M826:AA826),(('PTRM input'!$M$169+'PTRM input'!$M$135)*$M$7)/A27taxstdlife))</f>
        <v>0</v>
      </c>
      <c r="AC826" s="590">
        <f>IF(A27taxstdlife="n/a","n/a",IF(AC$3&gt;(A27taxstdlife+$E826),(('PTRM input'!$M$169+'PTRM input'!$M$135)*$M$7)-SUM($M826:AB826),(('PTRM input'!$M$169+'PTRM input'!$M$135)*$M$7)/A27taxstdlife))</f>
        <v>0</v>
      </c>
      <c r="AD826" s="590">
        <f>IF(A27taxstdlife="n/a","n/a",IF(AD$3&gt;(A27taxstdlife+$E826),(('PTRM input'!$M$169+'PTRM input'!$M$135)*$M$7)-SUM($M826:AC826),(('PTRM input'!$M$169+'PTRM input'!$M$135)*$M$7)/A27taxstdlife))</f>
        <v>0</v>
      </c>
      <c r="AE826" s="590">
        <f>IF(A27taxstdlife="n/a","n/a",IF(AE$3&gt;(A27taxstdlife+$E826),(('PTRM input'!$M$169+'PTRM input'!$M$135)*$M$7)-SUM($M826:AD826),(('PTRM input'!$M$169+'PTRM input'!$M$135)*$M$7)/A27taxstdlife))</f>
        <v>0</v>
      </c>
      <c r="AF826" s="590">
        <f>IF(A27taxstdlife="n/a","n/a",IF(AF$3&gt;(A27taxstdlife+$E826),(('PTRM input'!$M$169+'PTRM input'!$M$135)*$M$7)-SUM($M826:AE826),(('PTRM input'!$M$169+'PTRM input'!$M$135)*$M$7)/A27taxstdlife))</f>
        <v>0</v>
      </c>
      <c r="AG826" s="590">
        <f>IF(A27taxstdlife="n/a","n/a",IF(AG$3&gt;(A27taxstdlife+$E826),(('PTRM input'!$M$169+'PTRM input'!$M$135)*$M$7)-SUM($M826:AF826),(('PTRM input'!$M$169+'PTRM input'!$M$135)*$M$7)/A27taxstdlife))</f>
        <v>0</v>
      </c>
      <c r="AH826" s="590">
        <f>IF(A27taxstdlife="n/a","n/a",IF(AH$3&gt;(A27taxstdlife+$E826),(('PTRM input'!$M$169+'PTRM input'!$M$135)*$M$7)-SUM($M826:AG826),(('PTRM input'!$M$169+'PTRM input'!$M$135)*$M$7)/A27taxstdlife))</f>
        <v>0</v>
      </c>
      <c r="AI826" s="590">
        <f>IF(A27taxstdlife="n/a","n/a",IF(AI$3&gt;(A27taxstdlife+$E826),(('PTRM input'!$M$169+'PTRM input'!$M$135)*$M$7)-SUM($M826:AH826),(('PTRM input'!$M$169+'PTRM input'!$M$135)*$M$7)/A27taxstdlife))</f>
        <v>0</v>
      </c>
      <c r="AJ826" s="590">
        <f>IF(A27taxstdlife="n/a","n/a",IF(AJ$3&gt;(A27taxstdlife+$E826),(('PTRM input'!$M$169+'PTRM input'!$M$135)*$M$7)-SUM($M826:AI826),(('PTRM input'!$M$169+'PTRM input'!$M$135)*$M$7)/A27taxstdlife))</f>
        <v>0</v>
      </c>
      <c r="AK826" s="590">
        <f>IF(A27taxstdlife="n/a","n/a",IF(AK$3&gt;(A27taxstdlife+$E826),(('PTRM input'!$M$169+'PTRM input'!$M$135)*$M$7)-SUM($M826:AJ826),(('PTRM input'!$M$169+'PTRM input'!$M$135)*$M$7)/A27taxstdlife))</f>
        <v>0</v>
      </c>
      <c r="AL826" s="590">
        <f>IF(A27taxstdlife="n/a","n/a",IF(AL$3&gt;(A27taxstdlife+$E826),(('PTRM input'!$M$169+'PTRM input'!$M$135)*$M$7)-SUM($M826:AK826),(('PTRM input'!$M$169+'PTRM input'!$M$135)*$M$7)/A27taxstdlife))</f>
        <v>0</v>
      </c>
      <c r="AM826" s="590">
        <f>IF(A27taxstdlife="n/a","n/a",IF(AM$3&gt;(A27taxstdlife+$E826),(('PTRM input'!$M$169+'PTRM input'!$M$135)*$M$7)-SUM($M826:AL826),(('PTRM input'!$M$169+'PTRM input'!$M$135)*$M$7)/A27taxstdlife))</f>
        <v>0</v>
      </c>
      <c r="AN826" s="590">
        <f>IF(A27taxstdlife="n/a","n/a",IF(AN$3&gt;(A27taxstdlife+$E826),(('PTRM input'!$M$169+'PTRM input'!$M$135)*$M$7)-SUM($M826:AM826),(('PTRM input'!$M$169+'PTRM input'!$M$135)*$M$7)/A27taxstdlife))</f>
        <v>0</v>
      </c>
      <c r="AO826" s="590">
        <f>IF(A27taxstdlife="n/a","n/a",IF(AO$3&gt;(A27taxstdlife+$E826),(('PTRM input'!$M$169+'PTRM input'!$M$135)*$M$7)-SUM($M826:AN826),(('PTRM input'!$M$169+'PTRM input'!$M$135)*$M$7)/A27taxstdlife))</f>
        <v>0</v>
      </c>
      <c r="AP826" s="590">
        <f>IF(A27taxstdlife="n/a","n/a",IF(AP$3&gt;(A27taxstdlife+$E826),(('PTRM input'!$M$169+'PTRM input'!$M$135)*$M$7)-SUM($M826:AO826),(('PTRM input'!$M$169+'PTRM input'!$M$135)*$M$7)/A27taxstdlife))</f>
        <v>0</v>
      </c>
      <c r="AQ826" s="590">
        <f>IF(A27taxstdlife="n/a","n/a",IF(AQ$3&gt;(A27taxstdlife+$E826),(('PTRM input'!$M$169+'PTRM input'!$M$135)*$M$7)-SUM($M826:AP826),(('PTRM input'!$M$169+'PTRM input'!$M$135)*$M$7)/A27taxstdlife))</f>
        <v>0</v>
      </c>
      <c r="AR826" s="590">
        <f>IF(A27taxstdlife="n/a","n/a",IF(AR$3&gt;(A27taxstdlife+$E826),(('PTRM input'!$M$169+'PTRM input'!$M$135)*$M$7)-SUM($M826:AQ826),(('PTRM input'!$M$169+'PTRM input'!$M$135)*$M$7)/A27taxstdlife))</f>
        <v>0</v>
      </c>
      <c r="AS826" s="590">
        <f>IF(A27taxstdlife="n/a","n/a",IF(AS$3&gt;(A27taxstdlife+$E826),(('PTRM input'!$M$169+'PTRM input'!$M$135)*$M$7)-SUM($M826:AR826),(('PTRM input'!$M$169+'PTRM input'!$M$135)*$M$7)/A27taxstdlife))</f>
        <v>0</v>
      </c>
      <c r="AT826" s="590">
        <f>IF(A27taxstdlife="n/a","n/a",IF(AT$3&gt;(A27taxstdlife+$E826),(('PTRM input'!$M$169+'PTRM input'!$M$135)*$M$7)-SUM($M826:AS826),(('PTRM input'!$M$169+'PTRM input'!$M$135)*$M$7)/A27taxstdlife))</f>
        <v>0</v>
      </c>
      <c r="AU826" s="590">
        <f>IF(A27taxstdlife="n/a","n/a",IF(AU$3&gt;(A27taxstdlife+$E826),(('PTRM input'!$M$169+'PTRM input'!$M$135)*$M$7)-SUM($M826:AT826),(('PTRM input'!$M$169+'PTRM input'!$M$135)*$M$7)/A27taxstdlife))</f>
        <v>0</v>
      </c>
      <c r="AV826" s="590">
        <f>IF(A27taxstdlife="n/a","n/a",IF(AV$3&gt;(A27taxstdlife+$E826),(('PTRM input'!$M$169+'PTRM input'!$M$135)*$M$7)-SUM($M826:AU826),(('PTRM input'!$M$169+'PTRM input'!$M$135)*$M$7)/A27taxstdlife))</f>
        <v>0</v>
      </c>
      <c r="AW826" s="590">
        <f>IF(A27taxstdlife="n/a","n/a",IF(AW$3&gt;(A27taxstdlife+$E826),(('PTRM input'!$M$169+'PTRM input'!$M$135)*$M$7)-SUM($M826:AV826),(('PTRM input'!$M$169+'PTRM input'!$M$135)*$M$7)/A27taxstdlife))</f>
        <v>0</v>
      </c>
      <c r="AX826" s="590">
        <f>IF(A27taxstdlife="n/a","n/a",IF(AX$3&gt;(A27taxstdlife+$E826),(('PTRM input'!$M$169+'PTRM input'!$M$135)*$M$7)-SUM($M826:AW826),(('PTRM input'!$M$169+'PTRM input'!$M$135)*$M$7)/A27taxstdlife))</f>
        <v>0</v>
      </c>
      <c r="AY826" s="590">
        <f>IF(A27taxstdlife="n/a","n/a",IF(AY$3&gt;(A27taxstdlife+$E826),(('PTRM input'!$M$169+'PTRM input'!$M$135)*$M$7)-SUM($M826:AX826),(('PTRM input'!$M$169+'PTRM input'!$M$135)*$M$7)/A27taxstdlife))</f>
        <v>0</v>
      </c>
      <c r="AZ826" s="590">
        <f>IF(A27taxstdlife="n/a","n/a",IF(AZ$3&gt;(A27taxstdlife+$E826),(('PTRM input'!$M$169+'PTRM input'!$M$135)*$M$7)-SUM($M826:AY826),(('PTRM input'!$M$169+'PTRM input'!$M$135)*$M$7)/A27taxstdlife))</f>
        <v>0</v>
      </c>
      <c r="BA826" s="590">
        <f>IF(A27taxstdlife="n/a","n/a",IF(BA$3&gt;(A27taxstdlife+$E826),(('PTRM input'!$M$169+'PTRM input'!$M$135)*$M$7)-SUM($M826:AZ826),(('PTRM input'!$M$169+'PTRM input'!$M$135)*$M$7)/A27taxstdlife))</f>
        <v>0</v>
      </c>
      <c r="BB826" s="590">
        <f>IF(A27taxstdlife="n/a","n/a",IF(BB$3&gt;(A27taxstdlife+$E826),(('PTRM input'!$M$169+'PTRM input'!$M$135)*$M$7)-SUM($M826:BA826),(('PTRM input'!$M$169+'PTRM input'!$M$135)*$M$7)/A27taxstdlife))</f>
        <v>0</v>
      </c>
      <c r="BC826" s="590">
        <f>IF(A27taxstdlife="n/a","n/a",IF(BC$3&gt;(A27taxstdlife+$E826),(('PTRM input'!$M$169+'PTRM input'!$M$135)*$M$7)-SUM($M826:BB826),(('PTRM input'!$M$169+'PTRM input'!$M$135)*$M$7)/A27taxstdlife))</f>
        <v>0</v>
      </c>
      <c r="BD826" s="590">
        <f>IF(A27taxstdlife="n/a","n/a",IF(BD$3&gt;(A27taxstdlife+$E826),(('PTRM input'!$M$169+'PTRM input'!$M$135)*$M$7)-SUM($M826:BC826),(('PTRM input'!$M$169+'PTRM input'!$M$135)*$M$7)/A27taxstdlife))</f>
        <v>0</v>
      </c>
      <c r="BE826" s="590">
        <f>IF(A27taxstdlife="n/a","n/a",IF(BE$3&gt;(A27taxstdlife+$E826),(('PTRM input'!$M$169+'PTRM input'!$M$135)*$M$7)-SUM($M826:BD826),(('PTRM input'!$M$169+'PTRM input'!$M$135)*$M$7)/A27taxstdlife))</f>
        <v>0</v>
      </c>
      <c r="BF826" s="590">
        <f>IF(A27taxstdlife="n/a","n/a",IF(BF$3&gt;(A27taxstdlife+$E826),(('PTRM input'!$M$169+'PTRM input'!$M$135)*$M$7)-SUM($M826:BE826),(('PTRM input'!$M$169+'PTRM input'!$M$135)*$M$7)/A27taxstdlife))</f>
        <v>0</v>
      </c>
      <c r="BG826" s="590">
        <f>IF(A27taxstdlife="n/a","n/a",IF(BG$3&gt;(A27taxstdlife+$E826),(('PTRM input'!$M$169+'PTRM input'!$M$135)*$M$7)-SUM($M826:BF826),(('PTRM input'!$M$169+'PTRM input'!$M$135)*$M$7)/A27taxstdlife))</f>
        <v>0</v>
      </c>
      <c r="BH826" s="590">
        <f>IF(A27taxstdlife="n/a","n/a",IF(BH$3&gt;(A27taxstdlife+$E826),(('PTRM input'!$M$169+'PTRM input'!$M$135)*$M$7)-SUM($M826:BG826),(('PTRM input'!$M$169+'PTRM input'!$M$135)*$M$7)/A27taxstdlife))</f>
        <v>0</v>
      </c>
      <c r="BI826" s="590">
        <f>IF(A27taxstdlife="n/a","n/a",IF(BI$3&gt;(A27taxstdlife+$E826),(('PTRM input'!$M$169+'PTRM input'!$M$135)*$M$7)-SUM($M826:BH826),(('PTRM input'!$M$169+'PTRM input'!$M$135)*$M$7)/A27taxstdlife))</f>
        <v>0</v>
      </c>
      <c r="BJ826" s="240"/>
      <c r="BK826" s="240"/>
      <c r="BL826" s="240"/>
      <c r="BM826" s="240"/>
    </row>
    <row r="827" spans="1:65" s="4" customFormat="1" hidden="1" outlineLevel="2">
      <c r="A827" s="240"/>
      <c r="B827" s="240"/>
      <c r="C827" s="595"/>
      <c r="D827" s="1618"/>
      <c r="E827" s="169">
        <v>8</v>
      </c>
      <c r="F827" s="35"/>
      <c r="G827" s="184"/>
      <c r="H827" s="186"/>
      <c r="I827" s="186"/>
      <c r="J827" s="186"/>
      <c r="K827" s="186"/>
      <c r="L827" s="186"/>
      <c r="M827" s="186"/>
      <c r="N827" s="185"/>
      <c r="O827" s="107">
        <f>IF(A27taxstdlife="n/a","n/a",IF(O$3&gt;(A27taxstdlife+$E827),(('PTRM input'!$N$169+'PTRM input'!$N$135)*$N$7)-SUM($N827:N827),(('PTRM input'!$N$169+'PTRM input'!$N$135)*$N$7)/A27taxstdlife))</f>
        <v>0</v>
      </c>
      <c r="P827" s="107">
        <f>IF(A27taxstdlife="n/a","n/a",IF(P$3&gt;(A27taxstdlife+$E827),(('PTRM input'!$N$169+'PTRM input'!$N$135)*$N$7)-SUM($N827:O827),(('PTRM input'!$N$169+'PTRM input'!$N$135)*$N$7)/A27taxstdlife))</f>
        <v>0</v>
      </c>
      <c r="Q827" s="590">
        <f>IF(A27taxstdlife="n/a","n/a",IF(Q$3&gt;(A27taxstdlife+$E827),(('PTRM input'!$N$169+'PTRM input'!$N$135)*$N$7)-SUM($N827:P827),(('PTRM input'!$N$169+'PTRM input'!$N$135)*$N$7)/A27taxstdlife))</f>
        <v>0</v>
      </c>
      <c r="R827" s="590">
        <f>IF(A27taxstdlife="n/a","n/a",IF(R$3&gt;(A27taxstdlife+$E827),(('PTRM input'!$N$169+'PTRM input'!$N$135)*$N$7)-SUM($N827:Q827),(('PTRM input'!$N$169+'PTRM input'!$N$135)*$N$7)/A27taxstdlife))</f>
        <v>0</v>
      </c>
      <c r="S827" s="590">
        <f>IF(A27taxstdlife="n/a","n/a",IF(S$3&gt;(A27taxstdlife+$E827),(('PTRM input'!$N$169+'PTRM input'!$N$135)*$N$7)-SUM($N827:R827),(('PTRM input'!$N$169+'PTRM input'!$N$135)*$N$7)/A27taxstdlife))</f>
        <v>0</v>
      </c>
      <c r="T827" s="590">
        <f>IF(A27taxstdlife="n/a","n/a",IF(T$3&gt;(A27taxstdlife+$E827),(('PTRM input'!$N$169+'PTRM input'!$N$135)*$N$7)-SUM($N827:S827),(('PTRM input'!$N$169+'PTRM input'!$N$135)*$N$7)/A27taxstdlife))</f>
        <v>0</v>
      </c>
      <c r="U827" s="590">
        <f>IF(A27taxstdlife="n/a","n/a",IF(U$3&gt;(A27taxstdlife+$E827),(('PTRM input'!$N$169+'PTRM input'!$N$135)*$N$7)-SUM($N827:T827),(('PTRM input'!$N$169+'PTRM input'!$N$135)*$N$7)/A27taxstdlife))</f>
        <v>0</v>
      </c>
      <c r="V827" s="590">
        <f>IF(A27taxstdlife="n/a","n/a",IF(V$3&gt;(A27taxstdlife+$E827),(('PTRM input'!$N$169+'PTRM input'!$N$135)*$N$7)-SUM($N827:U827),(('PTRM input'!$N$169+'PTRM input'!$N$135)*$N$7)/A27taxstdlife))</f>
        <v>0</v>
      </c>
      <c r="W827" s="590">
        <f>IF(A27taxstdlife="n/a","n/a",IF(W$3&gt;(A27taxstdlife+$E827),(('PTRM input'!$N$169+'PTRM input'!$N$135)*$N$7)-SUM($N827:V827),(('PTRM input'!$N$169+'PTRM input'!$N$135)*$N$7)/A27taxstdlife))</f>
        <v>0</v>
      </c>
      <c r="X827" s="590">
        <f>IF(A27taxstdlife="n/a","n/a",IF(X$3&gt;(A27taxstdlife+$E827),(('PTRM input'!$N$169+'PTRM input'!$N$135)*$N$7)-SUM($N827:W827),(('PTRM input'!$N$169+'PTRM input'!$N$135)*$N$7)/A27taxstdlife))</f>
        <v>0</v>
      </c>
      <c r="Y827" s="590">
        <f>IF(A27taxstdlife="n/a","n/a",IF(Y$3&gt;(A27taxstdlife+$E827),(('PTRM input'!$N$169+'PTRM input'!$N$135)*$N$7)-SUM($N827:X827),(('PTRM input'!$N$169+'PTRM input'!$N$135)*$N$7)/A27taxstdlife))</f>
        <v>0</v>
      </c>
      <c r="Z827" s="590">
        <f>IF(A27taxstdlife="n/a","n/a",IF(Z$3&gt;(A27taxstdlife+$E827),(('PTRM input'!$N$169+'PTRM input'!$N$135)*$N$7)-SUM($N827:Y827),(('PTRM input'!$N$169+'PTRM input'!$N$135)*$N$7)/A27taxstdlife))</f>
        <v>0</v>
      </c>
      <c r="AA827" s="590">
        <f>IF(A27taxstdlife="n/a","n/a",IF(AA$3&gt;(A27taxstdlife+$E827),(('PTRM input'!$N$169+'PTRM input'!$N$135)*$N$7)-SUM($N827:Z827),(('PTRM input'!$N$169+'PTRM input'!$N$135)*$N$7)/A27taxstdlife))</f>
        <v>0</v>
      </c>
      <c r="AB827" s="590">
        <f>IF(A27taxstdlife="n/a","n/a",IF(AB$3&gt;(A27taxstdlife+$E827),(('PTRM input'!$N$169+'PTRM input'!$N$135)*$N$7)-SUM($N827:AA827),(('PTRM input'!$N$169+'PTRM input'!$N$135)*$N$7)/A27taxstdlife))</f>
        <v>0</v>
      </c>
      <c r="AC827" s="590">
        <f>IF(A27taxstdlife="n/a","n/a",IF(AC$3&gt;(A27taxstdlife+$E827),(('PTRM input'!$N$169+'PTRM input'!$N$135)*$N$7)-SUM($N827:AB827),(('PTRM input'!$N$169+'PTRM input'!$N$135)*$N$7)/A27taxstdlife))</f>
        <v>0</v>
      </c>
      <c r="AD827" s="590">
        <f>IF(A27taxstdlife="n/a","n/a",IF(AD$3&gt;(A27taxstdlife+$E827),(('PTRM input'!$N$169+'PTRM input'!$N$135)*$N$7)-SUM($N827:AC827),(('PTRM input'!$N$169+'PTRM input'!$N$135)*$N$7)/A27taxstdlife))</f>
        <v>0</v>
      </c>
      <c r="AE827" s="590">
        <f>IF(A27taxstdlife="n/a","n/a",IF(AE$3&gt;(A27taxstdlife+$E827),(('PTRM input'!$N$169+'PTRM input'!$N$135)*$N$7)-SUM($N827:AD827),(('PTRM input'!$N$169+'PTRM input'!$N$135)*$N$7)/A27taxstdlife))</f>
        <v>0</v>
      </c>
      <c r="AF827" s="590">
        <f>IF(A27taxstdlife="n/a","n/a",IF(AF$3&gt;(A27taxstdlife+$E827),(('PTRM input'!$N$169+'PTRM input'!$N$135)*$N$7)-SUM($N827:AE827),(('PTRM input'!$N$169+'PTRM input'!$N$135)*$N$7)/A27taxstdlife))</f>
        <v>0</v>
      </c>
      <c r="AG827" s="590">
        <f>IF(A27taxstdlife="n/a","n/a",IF(AG$3&gt;(A27taxstdlife+$E827),(('PTRM input'!$N$169+'PTRM input'!$N$135)*$N$7)-SUM($N827:AF827),(('PTRM input'!$N$169+'PTRM input'!$N$135)*$N$7)/A27taxstdlife))</f>
        <v>0</v>
      </c>
      <c r="AH827" s="590">
        <f>IF(A27taxstdlife="n/a","n/a",IF(AH$3&gt;(A27taxstdlife+$E827),(('PTRM input'!$N$169+'PTRM input'!$N$135)*$N$7)-SUM($N827:AG827),(('PTRM input'!$N$169+'PTRM input'!$N$135)*$N$7)/A27taxstdlife))</f>
        <v>0</v>
      </c>
      <c r="AI827" s="590">
        <f>IF(A27taxstdlife="n/a","n/a",IF(AI$3&gt;(A27taxstdlife+$E827),(('PTRM input'!$N$169+'PTRM input'!$N$135)*$N$7)-SUM($N827:AH827),(('PTRM input'!$N$169+'PTRM input'!$N$135)*$N$7)/A27taxstdlife))</f>
        <v>0</v>
      </c>
      <c r="AJ827" s="590">
        <f>IF(A27taxstdlife="n/a","n/a",IF(AJ$3&gt;(A27taxstdlife+$E827),(('PTRM input'!$N$169+'PTRM input'!$N$135)*$N$7)-SUM($N827:AI827),(('PTRM input'!$N$169+'PTRM input'!$N$135)*$N$7)/A27taxstdlife))</f>
        <v>0</v>
      </c>
      <c r="AK827" s="590">
        <f>IF(A27taxstdlife="n/a","n/a",IF(AK$3&gt;(A27taxstdlife+$E827),(('PTRM input'!$N$169+'PTRM input'!$N$135)*$N$7)-SUM($N827:AJ827),(('PTRM input'!$N$169+'PTRM input'!$N$135)*$N$7)/A27taxstdlife))</f>
        <v>0</v>
      </c>
      <c r="AL827" s="590">
        <f>IF(A27taxstdlife="n/a","n/a",IF(AL$3&gt;(A27taxstdlife+$E827),(('PTRM input'!$N$169+'PTRM input'!$N$135)*$N$7)-SUM($N827:AK827),(('PTRM input'!$N$169+'PTRM input'!$N$135)*$N$7)/A27taxstdlife))</f>
        <v>0</v>
      </c>
      <c r="AM827" s="590">
        <f>IF(A27taxstdlife="n/a","n/a",IF(AM$3&gt;(A27taxstdlife+$E827),(('PTRM input'!$N$169+'PTRM input'!$N$135)*$N$7)-SUM($N827:AL827),(('PTRM input'!$N$169+'PTRM input'!$N$135)*$N$7)/A27taxstdlife))</f>
        <v>0</v>
      </c>
      <c r="AN827" s="590">
        <f>IF(A27taxstdlife="n/a","n/a",IF(AN$3&gt;(A27taxstdlife+$E827),(('PTRM input'!$N$169+'PTRM input'!$N$135)*$N$7)-SUM($N827:AM827),(('PTRM input'!$N$169+'PTRM input'!$N$135)*$N$7)/A27taxstdlife))</f>
        <v>0</v>
      </c>
      <c r="AO827" s="590">
        <f>IF(A27taxstdlife="n/a","n/a",IF(AO$3&gt;(A27taxstdlife+$E827),(('PTRM input'!$N$169+'PTRM input'!$N$135)*$N$7)-SUM($N827:AN827),(('PTRM input'!$N$169+'PTRM input'!$N$135)*$N$7)/A27taxstdlife))</f>
        <v>0</v>
      </c>
      <c r="AP827" s="590">
        <f>IF(A27taxstdlife="n/a","n/a",IF(AP$3&gt;(A27taxstdlife+$E827),(('PTRM input'!$N$169+'PTRM input'!$N$135)*$N$7)-SUM($N827:AO827),(('PTRM input'!$N$169+'PTRM input'!$N$135)*$N$7)/A27taxstdlife))</f>
        <v>0</v>
      </c>
      <c r="AQ827" s="590">
        <f>IF(A27taxstdlife="n/a","n/a",IF(AQ$3&gt;(A27taxstdlife+$E827),(('PTRM input'!$N$169+'PTRM input'!$N$135)*$N$7)-SUM($N827:AP827),(('PTRM input'!$N$169+'PTRM input'!$N$135)*$N$7)/A27taxstdlife))</f>
        <v>0</v>
      </c>
      <c r="AR827" s="590">
        <f>IF(A27taxstdlife="n/a","n/a",IF(AR$3&gt;(A27taxstdlife+$E827),(('PTRM input'!$N$169+'PTRM input'!$N$135)*$N$7)-SUM($N827:AQ827),(('PTRM input'!$N$169+'PTRM input'!$N$135)*$N$7)/A27taxstdlife))</f>
        <v>0</v>
      </c>
      <c r="AS827" s="590">
        <f>IF(A27taxstdlife="n/a","n/a",IF(AS$3&gt;(A27taxstdlife+$E827),(('PTRM input'!$N$169+'PTRM input'!$N$135)*$N$7)-SUM($N827:AR827),(('PTRM input'!$N$169+'PTRM input'!$N$135)*$N$7)/A27taxstdlife))</f>
        <v>0</v>
      </c>
      <c r="AT827" s="590">
        <f>IF(A27taxstdlife="n/a","n/a",IF(AT$3&gt;(A27taxstdlife+$E827),(('PTRM input'!$N$169+'PTRM input'!$N$135)*$N$7)-SUM($N827:AS827),(('PTRM input'!$N$169+'PTRM input'!$N$135)*$N$7)/A27taxstdlife))</f>
        <v>0</v>
      </c>
      <c r="AU827" s="590">
        <f>IF(A27taxstdlife="n/a","n/a",IF(AU$3&gt;(A27taxstdlife+$E827),(('PTRM input'!$N$169+'PTRM input'!$N$135)*$N$7)-SUM($N827:AT827),(('PTRM input'!$N$169+'PTRM input'!$N$135)*$N$7)/A27taxstdlife))</f>
        <v>0</v>
      </c>
      <c r="AV827" s="590">
        <f>IF(A27taxstdlife="n/a","n/a",IF(AV$3&gt;(A27taxstdlife+$E827),(('PTRM input'!$N$169+'PTRM input'!$N$135)*$N$7)-SUM($N827:AU827),(('PTRM input'!$N$169+'PTRM input'!$N$135)*$N$7)/A27taxstdlife))</f>
        <v>0</v>
      </c>
      <c r="AW827" s="590">
        <f>IF(A27taxstdlife="n/a","n/a",IF(AW$3&gt;(A27taxstdlife+$E827),(('PTRM input'!$N$169+'PTRM input'!$N$135)*$N$7)-SUM($N827:AV827),(('PTRM input'!$N$169+'PTRM input'!$N$135)*$N$7)/A27taxstdlife))</f>
        <v>0</v>
      </c>
      <c r="AX827" s="590">
        <f>IF(A27taxstdlife="n/a","n/a",IF(AX$3&gt;(A27taxstdlife+$E827),(('PTRM input'!$N$169+'PTRM input'!$N$135)*$N$7)-SUM($N827:AW827),(('PTRM input'!$N$169+'PTRM input'!$N$135)*$N$7)/A27taxstdlife))</f>
        <v>0</v>
      </c>
      <c r="AY827" s="590">
        <f>IF(A27taxstdlife="n/a","n/a",IF(AY$3&gt;(A27taxstdlife+$E827),(('PTRM input'!$N$169+'PTRM input'!$N$135)*$N$7)-SUM($N827:AX827),(('PTRM input'!$N$169+'PTRM input'!$N$135)*$N$7)/A27taxstdlife))</f>
        <v>0</v>
      </c>
      <c r="AZ827" s="590">
        <f>IF(A27taxstdlife="n/a","n/a",IF(AZ$3&gt;(A27taxstdlife+$E827),(('PTRM input'!$N$169+'PTRM input'!$N$135)*$N$7)-SUM($N827:AY827),(('PTRM input'!$N$169+'PTRM input'!$N$135)*$N$7)/A27taxstdlife))</f>
        <v>0</v>
      </c>
      <c r="BA827" s="590">
        <f>IF(A27taxstdlife="n/a","n/a",IF(BA$3&gt;(A27taxstdlife+$E827),(('PTRM input'!$N$169+'PTRM input'!$N$135)*$N$7)-SUM($N827:AZ827),(('PTRM input'!$N$169+'PTRM input'!$N$135)*$N$7)/A27taxstdlife))</f>
        <v>0</v>
      </c>
      <c r="BB827" s="590">
        <f>IF(A27taxstdlife="n/a","n/a",IF(BB$3&gt;(A27taxstdlife+$E827),(('PTRM input'!$N$169+'PTRM input'!$N$135)*$N$7)-SUM($N827:BA827),(('PTRM input'!$N$169+'PTRM input'!$N$135)*$N$7)/A27taxstdlife))</f>
        <v>0</v>
      </c>
      <c r="BC827" s="590">
        <f>IF(A27taxstdlife="n/a","n/a",IF(BC$3&gt;(A27taxstdlife+$E827),(('PTRM input'!$N$169+'PTRM input'!$N$135)*$N$7)-SUM($N827:BB827),(('PTRM input'!$N$169+'PTRM input'!$N$135)*$N$7)/A27taxstdlife))</f>
        <v>0</v>
      </c>
      <c r="BD827" s="590">
        <f>IF(A27taxstdlife="n/a","n/a",IF(BD$3&gt;(A27taxstdlife+$E827),(('PTRM input'!$N$169+'PTRM input'!$N$135)*$N$7)-SUM($N827:BC827),(('PTRM input'!$N$169+'PTRM input'!$N$135)*$N$7)/A27taxstdlife))</f>
        <v>0</v>
      </c>
      <c r="BE827" s="590">
        <f>IF(A27taxstdlife="n/a","n/a",IF(BE$3&gt;(A27taxstdlife+$E827),(('PTRM input'!$N$169+'PTRM input'!$N$135)*$N$7)-SUM($N827:BD827),(('PTRM input'!$N$169+'PTRM input'!$N$135)*$N$7)/A27taxstdlife))</f>
        <v>0</v>
      </c>
      <c r="BF827" s="590">
        <f>IF(A27taxstdlife="n/a","n/a",IF(BF$3&gt;(A27taxstdlife+$E827),(('PTRM input'!$N$169+'PTRM input'!$N$135)*$N$7)-SUM($N827:BE827),(('PTRM input'!$N$169+'PTRM input'!$N$135)*$N$7)/A27taxstdlife))</f>
        <v>0</v>
      </c>
      <c r="BG827" s="590">
        <f>IF(A27taxstdlife="n/a","n/a",IF(BG$3&gt;(A27taxstdlife+$E827),(('PTRM input'!$N$169+'PTRM input'!$N$135)*$N$7)-SUM($N827:BF827),(('PTRM input'!$N$169+'PTRM input'!$N$135)*$N$7)/A27taxstdlife))</f>
        <v>0</v>
      </c>
      <c r="BH827" s="590">
        <f>IF(A27taxstdlife="n/a","n/a",IF(BH$3&gt;(A27taxstdlife+$E827),(('PTRM input'!$N$169+'PTRM input'!$N$135)*$N$7)-SUM($N827:BG827),(('PTRM input'!$N$169+'PTRM input'!$N$135)*$N$7)/A27taxstdlife))</f>
        <v>0</v>
      </c>
      <c r="BI827" s="590">
        <f>IF(A27taxstdlife="n/a","n/a",IF(BI$3&gt;(A27taxstdlife+$E827),(('PTRM input'!$N$169+'PTRM input'!$N$135)*$N$7)-SUM($N827:BH827),(('PTRM input'!$N$169+'PTRM input'!$N$135)*$N$7)/A27taxstdlife))</f>
        <v>0</v>
      </c>
      <c r="BJ827" s="240"/>
      <c r="BK827" s="240"/>
      <c r="BL827" s="240"/>
      <c r="BM827" s="240"/>
    </row>
    <row r="828" spans="1:65" s="4" customFormat="1" hidden="1" outlineLevel="2">
      <c r="A828" s="240"/>
      <c r="B828" s="240"/>
      <c r="C828" s="595"/>
      <c r="D828" s="1618"/>
      <c r="E828" s="169">
        <v>9</v>
      </c>
      <c r="F828" s="35"/>
      <c r="G828" s="184"/>
      <c r="H828" s="186"/>
      <c r="I828" s="186"/>
      <c r="J828" s="186"/>
      <c r="K828" s="186"/>
      <c r="L828" s="186"/>
      <c r="M828" s="186"/>
      <c r="N828" s="186"/>
      <c r="O828" s="185"/>
      <c r="P828" s="107">
        <f>IF(A27taxstdlife="n/a","n/a",IF(P$3&gt;(A27taxstdlife+$E828),(('PTRM input'!$O$169+'PTRM input'!$O$135)*$O$7)-SUM($O828:O828),(('PTRM input'!$O$169+'PTRM input'!$O$135)*$O$7)/A27taxstdlife))</f>
        <v>0</v>
      </c>
      <c r="Q828" s="590">
        <f>IF(A27taxstdlife="n/a","n/a",IF(Q$3&gt;(A27taxstdlife+$E828),(('PTRM input'!$O$169+'PTRM input'!$O$135)*$O$7)-SUM($O828:P828),(('PTRM input'!$O$169+'PTRM input'!$O$135)*$O$7)/A27taxstdlife))</f>
        <v>0</v>
      </c>
      <c r="R828" s="590">
        <f>IF(A27taxstdlife="n/a","n/a",IF(R$3&gt;(A27taxstdlife+$E828),(('PTRM input'!$O$169+'PTRM input'!$O$135)*$O$7)-SUM($O828:Q828),(('PTRM input'!$O$169+'PTRM input'!$O$135)*$O$7)/A27taxstdlife))</f>
        <v>0</v>
      </c>
      <c r="S828" s="590">
        <f>IF(A27taxstdlife="n/a","n/a",IF(S$3&gt;(A27taxstdlife+$E828),(('PTRM input'!$O$169+'PTRM input'!$O$135)*$O$7)-SUM($O828:R828),(('PTRM input'!$O$169+'PTRM input'!$O$135)*$O$7)/A27taxstdlife))</f>
        <v>0</v>
      </c>
      <c r="T828" s="590">
        <f>IF(A27taxstdlife="n/a","n/a",IF(T$3&gt;(A27taxstdlife+$E828),(('PTRM input'!$O$169+'PTRM input'!$O$135)*$O$7)-SUM($O828:S828),(('PTRM input'!$O$169+'PTRM input'!$O$135)*$O$7)/A27taxstdlife))</f>
        <v>0</v>
      </c>
      <c r="U828" s="590">
        <f>IF(A27taxstdlife="n/a","n/a",IF(U$3&gt;(A27taxstdlife+$E828),(('PTRM input'!$O$169+'PTRM input'!$O$135)*$O$7)-SUM($O828:T828),(('PTRM input'!$O$169+'PTRM input'!$O$135)*$O$7)/A27taxstdlife))</f>
        <v>0</v>
      </c>
      <c r="V828" s="590">
        <f>IF(A27taxstdlife="n/a","n/a",IF(V$3&gt;(A27taxstdlife+$E828),(('PTRM input'!$O$169+'PTRM input'!$O$135)*$O$7)-SUM($O828:U828),(('PTRM input'!$O$169+'PTRM input'!$O$135)*$O$7)/A27taxstdlife))</f>
        <v>0</v>
      </c>
      <c r="W828" s="590">
        <f>IF(A27taxstdlife="n/a","n/a",IF(W$3&gt;(A27taxstdlife+$E828),(('PTRM input'!$O$169+'PTRM input'!$O$135)*$O$7)-SUM($O828:V828),(('PTRM input'!$O$169+'PTRM input'!$O$135)*$O$7)/A27taxstdlife))</f>
        <v>0</v>
      </c>
      <c r="X828" s="590">
        <f>IF(A27taxstdlife="n/a","n/a",IF(X$3&gt;(A27taxstdlife+$E828),(('PTRM input'!$O$169+'PTRM input'!$O$135)*$O$7)-SUM($O828:W828),(('PTRM input'!$O$169+'PTRM input'!$O$135)*$O$7)/A27taxstdlife))</f>
        <v>0</v>
      </c>
      <c r="Y828" s="590">
        <f>IF(A27taxstdlife="n/a","n/a",IF(Y$3&gt;(A27taxstdlife+$E828),(('PTRM input'!$O$169+'PTRM input'!$O$135)*$O$7)-SUM($O828:X828),(('PTRM input'!$O$169+'PTRM input'!$O$135)*$O$7)/A27taxstdlife))</f>
        <v>0</v>
      </c>
      <c r="Z828" s="590">
        <f>IF(A27taxstdlife="n/a","n/a",IF(Z$3&gt;(A27taxstdlife+$E828),(('PTRM input'!$O$169+'PTRM input'!$O$135)*$O$7)-SUM($O828:Y828),(('PTRM input'!$O$169+'PTRM input'!$O$135)*$O$7)/A27taxstdlife))</f>
        <v>0</v>
      </c>
      <c r="AA828" s="590">
        <f>IF(A27taxstdlife="n/a","n/a",IF(AA$3&gt;(A27taxstdlife+$E828),(('PTRM input'!$O$169+'PTRM input'!$O$135)*$O$7)-SUM($O828:Z828),(('PTRM input'!$O$169+'PTRM input'!$O$135)*$O$7)/A27taxstdlife))</f>
        <v>0</v>
      </c>
      <c r="AB828" s="590">
        <f>IF(A27taxstdlife="n/a","n/a",IF(AB$3&gt;(A27taxstdlife+$E828),(('PTRM input'!$O$169+'PTRM input'!$O$135)*$O$7)-SUM($O828:AA828),(('PTRM input'!$O$169+'PTRM input'!$O$135)*$O$7)/A27taxstdlife))</f>
        <v>0</v>
      </c>
      <c r="AC828" s="590">
        <f>IF(A27taxstdlife="n/a","n/a",IF(AC$3&gt;(A27taxstdlife+$E828),(('PTRM input'!$O$169+'PTRM input'!$O$135)*$O$7)-SUM($O828:AB828),(('PTRM input'!$O$169+'PTRM input'!$O$135)*$O$7)/A27taxstdlife))</f>
        <v>0</v>
      </c>
      <c r="AD828" s="590">
        <f>IF(A27taxstdlife="n/a","n/a",IF(AD$3&gt;(A27taxstdlife+$E828),(('PTRM input'!$O$169+'PTRM input'!$O$135)*$O$7)-SUM($O828:AC828),(('PTRM input'!$O$169+'PTRM input'!$O$135)*$O$7)/A27taxstdlife))</f>
        <v>0</v>
      </c>
      <c r="AE828" s="590">
        <f>IF(A27taxstdlife="n/a","n/a",IF(AE$3&gt;(A27taxstdlife+$E828),(('PTRM input'!$O$169+'PTRM input'!$O$135)*$O$7)-SUM($O828:AD828),(('PTRM input'!$O$169+'PTRM input'!$O$135)*$O$7)/A27taxstdlife))</f>
        <v>0</v>
      </c>
      <c r="AF828" s="590">
        <f>IF(A27taxstdlife="n/a","n/a",IF(AF$3&gt;(A27taxstdlife+$E828),(('PTRM input'!$O$169+'PTRM input'!$O$135)*$O$7)-SUM($O828:AE828),(('PTRM input'!$O$169+'PTRM input'!$O$135)*$O$7)/A27taxstdlife))</f>
        <v>0</v>
      </c>
      <c r="AG828" s="590">
        <f>IF(A27taxstdlife="n/a","n/a",IF(AG$3&gt;(A27taxstdlife+$E828),(('PTRM input'!$O$169+'PTRM input'!$O$135)*$O$7)-SUM($O828:AF828),(('PTRM input'!$O$169+'PTRM input'!$O$135)*$O$7)/A27taxstdlife))</f>
        <v>0</v>
      </c>
      <c r="AH828" s="590">
        <f>IF(A27taxstdlife="n/a","n/a",IF(AH$3&gt;(A27taxstdlife+$E828),(('PTRM input'!$O$169+'PTRM input'!$O$135)*$O$7)-SUM($O828:AG828),(('PTRM input'!$O$169+'PTRM input'!$O$135)*$O$7)/A27taxstdlife))</f>
        <v>0</v>
      </c>
      <c r="AI828" s="590">
        <f>IF(A27taxstdlife="n/a","n/a",IF(AI$3&gt;(A27taxstdlife+$E828),(('PTRM input'!$O$169+'PTRM input'!$O$135)*$O$7)-SUM($O828:AH828),(('PTRM input'!$O$169+'PTRM input'!$O$135)*$O$7)/A27taxstdlife))</f>
        <v>0</v>
      </c>
      <c r="AJ828" s="590">
        <f>IF(A27taxstdlife="n/a","n/a",IF(AJ$3&gt;(A27taxstdlife+$E828),(('PTRM input'!$O$169+'PTRM input'!$O$135)*$O$7)-SUM($O828:AI828),(('PTRM input'!$O$169+'PTRM input'!$O$135)*$O$7)/A27taxstdlife))</f>
        <v>0</v>
      </c>
      <c r="AK828" s="590">
        <f>IF(A27taxstdlife="n/a","n/a",IF(AK$3&gt;(A27taxstdlife+$E828),(('PTRM input'!$O$169+'PTRM input'!$O$135)*$O$7)-SUM($O828:AJ828),(('PTRM input'!$O$169+'PTRM input'!$O$135)*$O$7)/A27taxstdlife))</f>
        <v>0</v>
      </c>
      <c r="AL828" s="590">
        <f>IF(A27taxstdlife="n/a","n/a",IF(AL$3&gt;(A27taxstdlife+$E828),(('PTRM input'!$O$169+'PTRM input'!$O$135)*$O$7)-SUM($O828:AK828),(('PTRM input'!$O$169+'PTRM input'!$O$135)*$O$7)/A27taxstdlife))</f>
        <v>0</v>
      </c>
      <c r="AM828" s="590">
        <f>IF(A27taxstdlife="n/a","n/a",IF(AM$3&gt;(A27taxstdlife+$E828),(('PTRM input'!$O$169+'PTRM input'!$O$135)*$O$7)-SUM($O828:AL828),(('PTRM input'!$O$169+'PTRM input'!$O$135)*$O$7)/A27taxstdlife))</f>
        <v>0</v>
      </c>
      <c r="AN828" s="590">
        <f>IF(A27taxstdlife="n/a","n/a",IF(AN$3&gt;(A27taxstdlife+$E828),(('PTRM input'!$O$169+'PTRM input'!$O$135)*$O$7)-SUM($O828:AM828),(('PTRM input'!$O$169+'PTRM input'!$O$135)*$O$7)/A27taxstdlife))</f>
        <v>0</v>
      </c>
      <c r="AO828" s="590">
        <f>IF(A27taxstdlife="n/a","n/a",IF(AO$3&gt;(A27taxstdlife+$E828),(('PTRM input'!$O$169+'PTRM input'!$O$135)*$O$7)-SUM($O828:AN828),(('PTRM input'!$O$169+'PTRM input'!$O$135)*$O$7)/A27taxstdlife))</f>
        <v>0</v>
      </c>
      <c r="AP828" s="590">
        <f>IF(A27taxstdlife="n/a","n/a",IF(AP$3&gt;(A27taxstdlife+$E828),(('PTRM input'!$O$169+'PTRM input'!$O$135)*$O$7)-SUM($O828:AO828),(('PTRM input'!$O$169+'PTRM input'!$O$135)*$O$7)/A27taxstdlife))</f>
        <v>0</v>
      </c>
      <c r="AQ828" s="590">
        <f>IF(A27taxstdlife="n/a","n/a",IF(AQ$3&gt;(A27taxstdlife+$E828),(('PTRM input'!$O$169+'PTRM input'!$O$135)*$O$7)-SUM($O828:AP828),(('PTRM input'!$O$169+'PTRM input'!$O$135)*$O$7)/A27taxstdlife))</f>
        <v>0</v>
      </c>
      <c r="AR828" s="590">
        <f>IF(A27taxstdlife="n/a","n/a",IF(AR$3&gt;(A27taxstdlife+$E828),(('PTRM input'!$O$169+'PTRM input'!$O$135)*$O$7)-SUM($O828:AQ828),(('PTRM input'!$O$169+'PTRM input'!$O$135)*$O$7)/A27taxstdlife))</f>
        <v>0</v>
      </c>
      <c r="AS828" s="590">
        <f>IF(A27taxstdlife="n/a","n/a",IF(AS$3&gt;(A27taxstdlife+$E828),(('PTRM input'!$O$169+'PTRM input'!$O$135)*$O$7)-SUM($O828:AR828),(('PTRM input'!$O$169+'PTRM input'!$O$135)*$O$7)/A27taxstdlife))</f>
        <v>0</v>
      </c>
      <c r="AT828" s="590">
        <f>IF(A27taxstdlife="n/a","n/a",IF(AT$3&gt;(A27taxstdlife+$E828),(('PTRM input'!$O$169+'PTRM input'!$O$135)*$O$7)-SUM($O828:AS828),(('PTRM input'!$O$169+'PTRM input'!$O$135)*$O$7)/A27taxstdlife))</f>
        <v>0</v>
      </c>
      <c r="AU828" s="590">
        <f>IF(A27taxstdlife="n/a","n/a",IF(AU$3&gt;(A27taxstdlife+$E828),(('PTRM input'!$O$169+'PTRM input'!$O$135)*$O$7)-SUM($O828:AT828),(('PTRM input'!$O$169+'PTRM input'!$O$135)*$O$7)/A27taxstdlife))</f>
        <v>0</v>
      </c>
      <c r="AV828" s="590">
        <f>IF(A27taxstdlife="n/a","n/a",IF(AV$3&gt;(A27taxstdlife+$E828),(('PTRM input'!$O$169+'PTRM input'!$O$135)*$O$7)-SUM($O828:AU828),(('PTRM input'!$O$169+'PTRM input'!$O$135)*$O$7)/A27taxstdlife))</f>
        <v>0</v>
      </c>
      <c r="AW828" s="590">
        <f>IF(A27taxstdlife="n/a","n/a",IF(AW$3&gt;(A27taxstdlife+$E828),(('PTRM input'!$O$169+'PTRM input'!$O$135)*$O$7)-SUM($O828:AV828),(('PTRM input'!$O$169+'PTRM input'!$O$135)*$O$7)/A27taxstdlife))</f>
        <v>0</v>
      </c>
      <c r="AX828" s="590">
        <f>IF(A27taxstdlife="n/a","n/a",IF(AX$3&gt;(A27taxstdlife+$E828),(('PTRM input'!$O$169+'PTRM input'!$O$135)*$O$7)-SUM($O828:AW828),(('PTRM input'!$O$169+'PTRM input'!$O$135)*$O$7)/A27taxstdlife))</f>
        <v>0</v>
      </c>
      <c r="AY828" s="590">
        <f>IF(A27taxstdlife="n/a","n/a",IF(AY$3&gt;(A27taxstdlife+$E828),(('PTRM input'!$O$169+'PTRM input'!$O$135)*$O$7)-SUM($O828:AX828),(('PTRM input'!$O$169+'PTRM input'!$O$135)*$O$7)/A27taxstdlife))</f>
        <v>0</v>
      </c>
      <c r="AZ828" s="590">
        <f>IF(A27taxstdlife="n/a","n/a",IF(AZ$3&gt;(A27taxstdlife+$E828),(('PTRM input'!$O$169+'PTRM input'!$O$135)*$O$7)-SUM($O828:AY828),(('PTRM input'!$O$169+'PTRM input'!$O$135)*$O$7)/A27taxstdlife))</f>
        <v>0</v>
      </c>
      <c r="BA828" s="590">
        <f>IF(A27taxstdlife="n/a","n/a",IF(BA$3&gt;(A27taxstdlife+$E828),(('PTRM input'!$O$169+'PTRM input'!$O$135)*$O$7)-SUM($O828:AZ828),(('PTRM input'!$O$169+'PTRM input'!$O$135)*$O$7)/A27taxstdlife))</f>
        <v>0</v>
      </c>
      <c r="BB828" s="590">
        <f>IF(A27taxstdlife="n/a","n/a",IF(BB$3&gt;(A27taxstdlife+$E828),(('PTRM input'!$O$169+'PTRM input'!$O$135)*$O$7)-SUM($O828:BA828),(('PTRM input'!$O$169+'PTRM input'!$O$135)*$O$7)/A27taxstdlife))</f>
        <v>0</v>
      </c>
      <c r="BC828" s="590">
        <f>IF(A27taxstdlife="n/a","n/a",IF(BC$3&gt;(A27taxstdlife+$E828),(('PTRM input'!$O$169+'PTRM input'!$O$135)*$O$7)-SUM($O828:BB828),(('PTRM input'!$O$169+'PTRM input'!$O$135)*$O$7)/A27taxstdlife))</f>
        <v>0</v>
      </c>
      <c r="BD828" s="590">
        <f>IF(A27taxstdlife="n/a","n/a",IF(BD$3&gt;(A27taxstdlife+$E828),(('PTRM input'!$O$169+'PTRM input'!$O$135)*$O$7)-SUM($O828:BC828),(('PTRM input'!$O$169+'PTRM input'!$O$135)*$O$7)/A27taxstdlife))</f>
        <v>0</v>
      </c>
      <c r="BE828" s="590">
        <f>IF(A27taxstdlife="n/a","n/a",IF(BE$3&gt;(A27taxstdlife+$E828),(('PTRM input'!$O$169+'PTRM input'!$O$135)*$O$7)-SUM($O828:BD828),(('PTRM input'!$O$169+'PTRM input'!$O$135)*$O$7)/A27taxstdlife))</f>
        <v>0</v>
      </c>
      <c r="BF828" s="590">
        <f>IF(A27taxstdlife="n/a","n/a",IF(BF$3&gt;(A27taxstdlife+$E828),(('PTRM input'!$O$169+'PTRM input'!$O$135)*$O$7)-SUM($O828:BE828),(('PTRM input'!$O$169+'PTRM input'!$O$135)*$O$7)/A27taxstdlife))</f>
        <v>0</v>
      </c>
      <c r="BG828" s="590">
        <f>IF(A27taxstdlife="n/a","n/a",IF(BG$3&gt;(A27taxstdlife+$E828),(('PTRM input'!$O$169+'PTRM input'!$O$135)*$O$7)-SUM($O828:BF828),(('PTRM input'!$O$169+'PTRM input'!$O$135)*$O$7)/A27taxstdlife))</f>
        <v>0</v>
      </c>
      <c r="BH828" s="590">
        <f>IF(A27taxstdlife="n/a","n/a",IF(BH$3&gt;(A27taxstdlife+$E828),(('PTRM input'!$O$169+'PTRM input'!$O$135)*$O$7)-SUM($O828:BG828),(('PTRM input'!$O$169+'PTRM input'!$O$135)*$O$7)/A27taxstdlife))</f>
        <v>0</v>
      </c>
      <c r="BI828" s="590">
        <f>IF(A27taxstdlife="n/a","n/a",IF(BI$3&gt;(A27taxstdlife+$E828),(('PTRM input'!$O$169+'PTRM input'!$O$135)*$O$7)-SUM($O828:BH828),(('PTRM input'!$O$169+'PTRM input'!$O$135)*$O$7)/A27taxstdlife))</f>
        <v>0</v>
      </c>
      <c r="BJ828" s="240"/>
      <c r="BK828" s="240"/>
      <c r="BL828" s="240"/>
      <c r="BM828" s="240"/>
    </row>
    <row r="829" spans="1:65" s="4" customFormat="1" hidden="1" outlineLevel="2">
      <c r="A829" s="240"/>
      <c r="B829" s="240"/>
      <c r="C829" s="595"/>
      <c r="D829" s="1618"/>
      <c r="E829" s="170">
        <v>10</v>
      </c>
      <c r="F829" s="35"/>
      <c r="G829" s="184"/>
      <c r="H829" s="186"/>
      <c r="I829" s="186"/>
      <c r="J829" s="186"/>
      <c r="K829" s="186"/>
      <c r="L829" s="186"/>
      <c r="M829" s="186"/>
      <c r="N829" s="186"/>
      <c r="O829" s="186"/>
      <c r="P829" s="185"/>
      <c r="Q829" s="590">
        <f>IF(A27taxstdlife="n/a","n/a",IF(Q$3&gt;(A27taxstdlife+$E829),(('PTRM input'!$P$169+'PTRM input'!$P$135)*$P$7)-SUM($P829:P829),(('PTRM input'!$P$169+'PTRM input'!$P$135)*$P$7)/A27taxstdlife))</f>
        <v>0</v>
      </c>
      <c r="R829" s="590">
        <f>IF(A27taxstdlife="n/a","n/a",IF(R$3&gt;(A27taxstdlife+$E829),(('PTRM input'!$P$169+'PTRM input'!$P$135)*$P$7)-SUM($P829:Q829),(('PTRM input'!$P$169+'PTRM input'!$P$135)*$P$7)/A27taxstdlife))</f>
        <v>0</v>
      </c>
      <c r="S829" s="590">
        <f>IF(A27taxstdlife="n/a","n/a",IF(S$3&gt;(A27taxstdlife+$E829),(('PTRM input'!$P$169+'PTRM input'!$P$135)*$P$7)-SUM($P829:R829),(('PTRM input'!$P$169+'PTRM input'!$P$135)*$P$7)/A27taxstdlife))</f>
        <v>0</v>
      </c>
      <c r="T829" s="590">
        <f>IF(A27taxstdlife="n/a","n/a",IF(T$3&gt;(A27taxstdlife+$E829),(('PTRM input'!$P$169+'PTRM input'!$P$135)*$P$7)-SUM($P829:S829),(('PTRM input'!$P$169+'PTRM input'!$P$135)*$P$7)/A27taxstdlife))</f>
        <v>0</v>
      </c>
      <c r="U829" s="590">
        <f>IF(A27taxstdlife="n/a","n/a",IF(U$3&gt;(A27taxstdlife+$E829),(('PTRM input'!$P$169+'PTRM input'!$P$135)*$P$7)-SUM($P829:T829),(('PTRM input'!$P$169+'PTRM input'!$P$135)*$P$7)/A27taxstdlife))</f>
        <v>0</v>
      </c>
      <c r="V829" s="590">
        <f>IF(A27taxstdlife="n/a","n/a",IF(V$3&gt;(A27taxstdlife+$E829),(('PTRM input'!$P$169+'PTRM input'!$P$135)*$P$7)-SUM($P829:U829),(('PTRM input'!$P$169+'PTRM input'!$P$135)*$P$7)/A27taxstdlife))</f>
        <v>0</v>
      </c>
      <c r="W829" s="590">
        <f>IF(A27taxstdlife="n/a","n/a",IF(W$3&gt;(A27taxstdlife+$E829),(('PTRM input'!$P$169+'PTRM input'!$P$135)*$P$7)-SUM($P829:V829),(('PTRM input'!$P$169+'PTRM input'!$P$135)*$P$7)/A27taxstdlife))</f>
        <v>0</v>
      </c>
      <c r="X829" s="590">
        <f>IF(A27taxstdlife="n/a","n/a",IF(X$3&gt;(A27taxstdlife+$E829),(('PTRM input'!$P$169+'PTRM input'!$P$135)*$P$7)-SUM($P829:W829),(('PTRM input'!$P$169+'PTRM input'!$P$135)*$P$7)/A27taxstdlife))</f>
        <v>0</v>
      </c>
      <c r="Y829" s="590">
        <f>IF(A27taxstdlife="n/a","n/a",IF(Y$3&gt;(A27taxstdlife+$E829),(('PTRM input'!$P$169+'PTRM input'!$P$135)*$P$7)-SUM($P829:X829),(('PTRM input'!$P$169+'PTRM input'!$P$135)*$P$7)/A27taxstdlife))</f>
        <v>0</v>
      </c>
      <c r="Z829" s="590">
        <f>IF(A27taxstdlife="n/a","n/a",IF(Z$3&gt;(A27taxstdlife+$E829),(('PTRM input'!$P$169+'PTRM input'!$P$135)*$P$7)-SUM($P829:Y829),(('PTRM input'!$P$169+'PTRM input'!$P$135)*$P$7)/A27taxstdlife))</f>
        <v>0</v>
      </c>
      <c r="AA829" s="590">
        <f>IF(A27taxstdlife="n/a","n/a",IF(AA$3&gt;(A27taxstdlife+$E829),(('PTRM input'!$P$169+'PTRM input'!$P$135)*$P$7)-SUM($P829:Z829),(('PTRM input'!$P$169+'PTRM input'!$P$135)*$P$7)/A27taxstdlife))</f>
        <v>0</v>
      </c>
      <c r="AB829" s="590">
        <f>IF(A27taxstdlife="n/a","n/a",IF(AB$3&gt;(A27taxstdlife+$E829),(('PTRM input'!$P$169+'PTRM input'!$P$135)*$P$7)-SUM($P829:AA829),(('PTRM input'!$P$169+'PTRM input'!$P$135)*$P$7)/A27taxstdlife))</f>
        <v>0</v>
      </c>
      <c r="AC829" s="590">
        <f>IF(A27taxstdlife="n/a","n/a",IF(AC$3&gt;(A27taxstdlife+$E829),(('PTRM input'!$P$169+'PTRM input'!$P$135)*$P$7)-SUM($P829:AB829),(('PTRM input'!$P$169+'PTRM input'!$P$135)*$P$7)/A27taxstdlife))</f>
        <v>0</v>
      </c>
      <c r="AD829" s="590">
        <f>IF(A27taxstdlife="n/a","n/a",IF(AD$3&gt;(A27taxstdlife+$E829),(('PTRM input'!$P$169+'PTRM input'!$P$135)*$P$7)-SUM($P829:AC829),(('PTRM input'!$P$169+'PTRM input'!$P$135)*$P$7)/A27taxstdlife))</f>
        <v>0</v>
      </c>
      <c r="AE829" s="590">
        <f>IF(A27taxstdlife="n/a","n/a",IF(AE$3&gt;(A27taxstdlife+$E829),(('PTRM input'!$P$169+'PTRM input'!$P$135)*$P$7)-SUM($P829:AD829),(('PTRM input'!$P$169+'PTRM input'!$P$135)*$P$7)/A27taxstdlife))</f>
        <v>0</v>
      </c>
      <c r="AF829" s="590">
        <f>IF(A27taxstdlife="n/a","n/a",IF(AF$3&gt;(A27taxstdlife+$E829),(('PTRM input'!$P$169+'PTRM input'!$P$135)*$P$7)-SUM($P829:AE829),(('PTRM input'!$P$169+'PTRM input'!$P$135)*$P$7)/A27taxstdlife))</f>
        <v>0</v>
      </c>
      <c r="AG829" s="590">
        <f>IF(A27taxstdlife="n/a","n/a",IF(AG$3&gt;(A27taxstdlife+$E829),(('PTRM input'!$P$169+'PTRM input'!$P$135)*$P$7)-SUM($P829:AF829),(('PTRM input'!$P$169+'PTRM input'!$P$135)*$P$7)/A27taxstdlife))</f>
        <v>0</v>
      </c>
      <c r="AH829" s="590">
        <f>IF(A27taxstdlife="n/a","n/a",IF(AH$3&gt;(A27taxstdlife+$E829),(('PTRM input'!$P$169+'PTRM input'!$P$135)*$P$7)-SUM($P829:AG829),(('PTRM input'!$P$169+'PTRM input'!$P$135)*$P$7)/A27taxstdlife))</f>
        <v>0</v>
      </c>
      <c r="AI829" s="590">
        <f>IF(A27taxstdlife="n/a","n/a",IF(AI$3&gt;(A27taxstdlife+$E829),(('PTRM input'!$P$169+'PTRM input'!$P$135)*$P$7)-SUM($P829:AH829),(('PTRM input'!$P$169+'PTRM input'!$P$135)*$P$7)/A27taxstdlife))</f>
        <v>0</v>
      </c>
      <c r="AJ829" s="590">
        <f>IF(A27taxstdlife="n/a","n/a",IF(AJ$3&gt;(A27taxstdlife+$E829),(('PTRM input'!$P$169+'PTRM input'!$P$135)*$P$7)-SUM($P829:AI829),(('PTRM input'!$P$169+'PTRM input'!$P$135)*$P$7)/A27taxstdlife))</f>
        <v>0</v>
      </c>
      <c r="AK829" s="590">
        <f>IF(A27taxstdlife="n/a","n/a",IF(AK$3&gt;(A27taxstdlife+$E829),(('PTRM input'!$P$169+'PTRM input'!$P$135)*$P$7)-SUM($P829:AJ829),(('PTRM input'!$P$169+'PTRM input'!$P$135)*$P$7)/A27taxstdlife))</f>
        <v>0</v>
      </c>
      <c r="AL829" s="590">
        <f>IF(A27taxstdlife="n/a","n/a",IF(AL$3&gt;(A27taxstdlife+$E829),(('PTRM input'!$P$169+'PTRM input'!$P$135)*$P$7)-SUM($P829:AK829),(('PTRM input'!$P$169+'PTRM input'!$P$135)*$P$7)/A27taxstdlife))</f>
        <v>0</v>
      </c>
      <c r="AM829" s="590">
        <f>IF(A27taxstdlife="n/a","n/a",IF(AM$3&gt;(A27taxstdlife+$E829),(('PTRM input'!$P$169+'PTRM input'!$P$135)*$P$7)-SUM($P829:AL829),(('PTRM input'!$P$169+'PTRM input'!$P$135)*$P$7)/A27taxstdlife))</f>
        <v>0</v>
      </c>
      <c r="AN829" s="590">
        <f>IF(A27taxstdlife="n/a","n/a",IF(AN$3&gt;(A27taxstdlife+$E829),(('PTRM input'!$P$169+'PTRM input'!$P$135)*$P$7)-SUM($P829:AM829),(('PTRM input'!$P$169+'PTRM input'!$P$135)*$P$7)/A27taxstdlife))</f>
        <v>0</v>
      </c>
      <c r="AO829" s="590">
        <f>IF(A27taxstdlife="n/a","n/a",IF(AO$3&gt;(A27taxstdlife+$E829),(('PTRM input'!$P$169+'PTRM input'!$P$135)*$P$7)-SUM($P829:AN829),(('PTRM input'!$P$169+'PTRM input'!$P$135)*$P$7)/A27taxstdlife))</f>
        <v>0</v>
      </c>
      <c r="AP829" s="590">
        <f>IF(A27taxstdlife="n/a","n/a",IF(AP$3&gt;(A27taxstdlife+$E829),(('PTRM input'!$P$169+'PTRM input'!$P$135)*$P$7)-SUM($P829:AO829),(('PTRM input'!$P$169+'PTRM input'!$P$135)*$P$7)/A27taxstdlife))</f>
        <v>0</v>
      </c>
      <c r="AQ829" s="590">
        <f>IF(A27taxstdlife="n/a","n/a",IF(AQ$3&gt;(A27taxstdlife+$E829),(('PTRM input'!$P$169+'PTRM input'!$P$135)*$P$7)-SUM($P829:AP829),(('PTRM input'!$P$169+'PTRM input'!$P$135)*$P$7)/A27taxstdlife))</f>
        <v>0</v>
      </c>
      <c r="AR829" s="590">
        <f>IF(A27taxstdlife="n/a","n/a",IF(AR$3&gt;(A27taxstdlife+$E829),(('PTRM input'!$P$169+'PTRM input'!$P$135)*$P$7)-SUM($P829:AQ829),(('PTRM input'!$P$169+'PTRM input'!$P$135)*$P$7)/A27taxstdlife))</f>
        <v>0</v>
      </c>
      <c r="AS829" s="590">
        <f>IF(A27taxstdlife="n/a","n/a",IF(AS$3&gt;(A27taxstdlife+$E829),(('PTRM input'!$P$169+'PTRM input'!$P$135)*$P$7)-SUM($P829:AR829),(('PTRM input'!$P$169+'PTRM input'!$P$135)*$P$7)/A27taxstdlife))</f>
        <v>0</v>
      </c>
      <c r="AT829" s="590">
        <f>IF(A27taxstdlife="n/a","n/a",IF(AT$3&gt;(A27taxstdlife+$E829),(('PTRM input'!$P$169+'PTRM input'!$P$135)*$P$7)-SUM($P829:AS829),(('PTRM input'!$P$169+'PTRM input'!$P$135)*$P$7)/A27taxstdlife))</f>
        <v>0</v>
      </c>
      <c r="AU829" s="590">
        <f>IF(A27taxstdlife="n/a","n/a",IF(AU$3&gt;(A27taxstdlife+$E829),(('PTRM input'!$P$169+'PTRM input'!$P$135)*$P$7)-SUM($P829:AT829),(('PTRM input'!$P$169+'PTRM input'!$P$135)*$P$7)/A27taxstdlife))</f>
        <v>0</v>
      </c>
      <c r="AV829" s="590">
        <f>IF(A27taxstdlife="n/a","n/a",IF(AV$3&gt;(A27taxstdlife+$E829),(('PTRM input'!$P$169+'PTRM input'!$P$135)*$P$7)-SUM($P829:AU829),(('PTRM input'!$P$169+'PTRM input'!$P$135)*$P$7)/A27taxstdlife))</f>
        <v>0</v>
      </c>
      <c r="AW829" s="590">
        <f>IF(A27taxstdlife="n/a","n/a",IF(AW$3&gt;(A27taxstdlife+$E829),(('PTRM input'!$P$169+'PTRM input'!$P$135)*$P$7)-SUM($P829:AV829),(('PTRM input'!$P$169+'PTRM input'!$P$135)*$P$7)/A27taxstdlife))</f>
        <v>0</v>
      </c>
      <c r="AX829" s="590">
        <f>IF(A27taxstdlife="n/a","n/a",IF(AX$3&gt;(A27taxstdlife+$E829),(('PTRM input'!$P$169+'PTRM input'!$P$135)*$P$7)-SUM($P829:AW829),(('PTRM input'!$P$169+'PTRM input'!$P$135)*$P$7)/A27taxstdlife))</f>
        <v>0</v>
      </c>
      <c r="AY829" s="590">
        <f>IF(A27taxstdlife="n/a","n/a",IF(AY$3&gt;(A27taxstdlife+$E829),(('PTRM input'!$P$169+'PTRM input'!$P$135)*$P$7)-SUM($P829:AX829),(('PTRM input'!$P$169+'PTRM input'!$P$135)*$P$7)/A27taxstdlife))</f>
        <v>0</v>
      </c>
      <c r="AZ829" s="590">
        <f>IF(A27taxstdlife="n/a","n/a",IF(AZ$3&gt;(A27taxstdlife+$E829),(('PTRM input'!$P$169+'PTRM input'!$P$135)*$P$7)-SUM($P829:AY829),(('PTRM input'!$P$169+'PTRM input'!$P$135)*$P$7)/A27taxstdlife))</f>
        <v>0</v>
      </c>
      <c r="BA829" s="590">
        <f>IF(A27taxstdlife="n/a","n/a",IF(BA$3&gt;(A27taxstdlife+$E829),(('PTRM input'!$P$169+'PTRM input'!$P$135)*$P$7)-SUM($P829:AZ829),(('PTRM input'!$P$169+'PTRM input'!$P$135)*$P$7)/A27taxstdlife))</f>
        <v>0</v>
      </c>
      <c r="BB829" s="590">
        <f>IF(A27taxstdlife="n/a","n/a",IF(BB$3&gt;(A27taxstdlife+$E829),(('PTRM input'!$P$169+'PTRM input'!$P$135)*$P$7)-SUM($P829:BA829),(('PTRM input'!$P$169+'PTRM input'!$P$135)*$P$7)/A27taxstdlife))</f>
        <v>0</v>
      </c>
      <c r="BC829" s="590">
        <f>IF(A27taxstdlife="n/a","n/a",IF(BC$3&gt;(A27taxstdlife+$E829),(('PTRM input'!$P$169+'PTRM input'!$P$135)*$P$7)-SUM($P829:BB829),(('PTRM input'!$P$169+'PTRM input'!$P$135)*$P$7)/A27taxstdlife))</f>
        <v>0</v>
      </c>
      <c r="BD829" s="590">
        <f>IF(A27taxstdlife="n/a","n/a",IF(BD$3&gt;(A27taxstdlife+$E829),(('PTRM input'!$P$169+'PTRM input'!$P$135)*$P$7)-SUM($P829:BC829),(('PTRM input'!$P$169+'PTRM input'!$P$135)*$P$7)/A27taxstdlife))</f>
        <v>0</v>
      </c>
      <c r="BE829" s="590">
        <f>IF(A27taxstdlife="n/a","n/a",IF(BE$3&gt;(A27taxstdlife+$E829),(('PTRM input'!$P$169+'PTRM input'!$P$135)*$P$7)-SUM($P829:BD829),(('PTRM input'!$P$169+'PTRM input'!$P$135)*$P$7)/A27taxstdlife))</f>
        <v>0</v>
      </c>
      <c r="BF829" s="590">
        <f>IF(A27taxstdlife="n/a","n/a",IF(BF$3&gt;(A27taxstdlife+$E829),(('PTRM input'!$P$169+'PTRM input'!$P$135)*$P$7)-SUM($P829:BE829),(('PTRM input'!$P$169+'PTRM input'!$P$135)*$P$7)/A27taxstdlife))</f>
        <v>0</v>
      </c>
      <c r="BG829" s="590">
        <f>IF(A27taxstdlife="n/a","n/a",IF(BG$3&gt;(A27taxstdlife+$E829),(('PTRM input'!$P$169+'PTRM input'!$P$135)*$P$7)-SUM($P829:BF829),(('PTRM input'!$P$169+'PTRM input'!$P$135)*$P$7)/A27taxstdlife))</f>
        <v>0</v>
      </c>
      <c r="BH829" s="590">
        <f>IF(A27taxstdlife="n/a","n/a",IF(BH$3&gt;(A27taxstdlife+$E829),(('PTRM input'!$P$169+'PTRM input'!$P$135)*$P$7)-SUM($P829:BG829),(('PTRM input'!$P$169+'PTRM input'!$P$135)*$P$7)/A27taxstdlife))</f>
        <v>0</v>
      </c>
      <c r="BI829" s="590">
        <f>IF(A27taxstdlife="n/a","n/a",IF(BI$3&gt;(A27taxstdlife+$E829),(('PTRM input'!$P$169+'PTRM input'!$P$135)*$P$7)-SUM($P829:BH829),(('PTRM input'!$P$169+'PTRM input'!$P$135)*$P$7)/A27taxstdlife))</f>
        <v>0</v>
      </c>
      <c r="BJ829" s="240"/>
      <c r="BK829" s="240"/>
      <c r="BL829" s="240"/>
      <c r="BM829" s="240"/>
    </row>
    <row r="830" spans="1:65" s="4" customFormat="1" hidden="1" outlineLevel="1">
      <c r="A830" s="240"/>
      <c r="B830" s="240"/>
      <c r="C830" s="595">
        <f>Asset27</f>
        <v>0</v>
      </c>
      <c r="D830" s="240"/>
      <c r="E830" s="240"/>
      <c r="F830" s="596"/>
      <c r="G830" s="591">
        <f t="shared" ref="G830:AL830" si="158">SUM(G818:G829)</f>
        <v>0</v>
      </c>
      <c r="H830" s="591">
        <f t="shared" si="158"/>
        <v>0</v>
      </c>
      <c r="I830" s="591">
        <f t="shared" si="158"/>
        <v>0</v>
      </c>
      <c r="J830" s="591">
        <f t="shared" si="158"/>
        <v>0</v>
      </c>
      <c r="K830" s="591">
        <f t="shared" si="158"/>
        <v>0</v>
      </c>
      <c r="L830" s="591">
        <f t="shared" si="158"/>
        <v>0</v>
      </c>
      <c r="M830" s="591">
        <f t="shared" si="158"/>
        <v>0</v>
      </c>
      <c r="N830" s="591">
        <f t="shared" si="158"/>
        <v>0</v>
      </c>
      <c r="O830" s="591">
        <f t="shared" si="158"/>
        <v>0</v>
      </c>
      <c r="P830" s="591">
        <f t="shared" si="158"/>
        <v>0</v>
      </c>
      <c r="Q830" s="591">
        <f t="shared" si="158"/>
        <v>0</v>
      </c>
      <c r="R830" s="591">
        <f t="shared" si="158"/>
        <v>0</v>
      </c>
      <c r="S830" s="591">
        <f t="shared" si="158"/>
        <v>0</v>
      </c>
      <c r="T830" s="591">
        <f t="shared" si="158"/>
        <v>0</v>
      </c>
      <c r="U830" s="591">
        <f t="shared" si="158"/>
        <v>0</v>
      </c>
      <c r="V830" s="591">
        <f t="shared" si="158"/>
        <v>0</v>
      </c>
      <c r="W830" s="591">
        <f t="shared" si="158"/>
        <v>0</v>
      </c>
      <c r="X830" s="591">
        <f t="shared" si="158"/>
        <v>0</v>
      </c>
      <c r="Y830" s="591">
        <f t="shared" si="158"/>
        <v>0</v>
      </c>
      <c r="Z830" s="591">
        <f t="shared" si="158"/>
        <v>0</v>
      </c>
      <c r="AA830" s="591">
        <f t="shared" si="158"/>
        <v>0</v>
      </c>
      <c r="AB830" s="591">
        <f t="shared" si="158"/>
        <v>0</v>
      </c>
      <c r="AC830" s="591">
        <f t="shared" si="158"/>
        <v>0</v>
      </c>
      <c r="AD830" s="591">
        <f t="shared" si="158"/>
        <v>0</v>
      </c>
      <c r="AE830" s="591">
        <f t="shared" si="158"/>
        <v>0</v>
      </c>
      <c r="AF830" s="591">
        <f t="shared" si="158"/>
        <v>0</v>
      </c>
      <c r="AG830" s="591">
        <f t="shared" si="158"/>
        <v>0</v>
      </c>
      <c r="AH830" s="591">
        <f t="shared" si="158"/>
        <v>0</v>
      </c>
      <c r="AI830" s="591">
        <f t="shared" si="158"/>
        <v>0</v>
      </c>
      <c r="AJ830" s="591">
        <f t="shared" si="158"/>
        <v>0</v>
      </c>
      <c r="AK830" s="591">
        <f t="shared" si="158"/>
        <v>0</v>
      </c>
      <c r="AL830" s="591">
        <f t="shared" si="158"/>
        <v>0</v>
      </c>
      <c r="AM830" s="591">
        <f t="shared" ref="AM830:BI830" si="159">SUM(AM818:AM829)</f>
        <v>0</v>
      </c>
      <c r="AN830" s="591">
        <f t="shared" si="159"/>
        <v>0</v>
      </c>
      <c r="AO830" s="591">
        <f t="shared" si="159"/>
        <v>0</v>
      </c>
      <c r="AP830" s="591">
        <f t="shared" si="159"/>
        <v>0</v>
      </c>
      <c r="AQ830" s="591">
        <f t="shared" si="159"/>
        <v>0</v>
      </c>
      <c r="AR830" s="591">
        <f t="shared" si="159"/>
        <v>0</v>
      </c>
      <c r="AS830" s="591">
        <f t="shared" si="159"/>
        <v>0</v>
      </c>
      <c r="AT830" s="591">
        <f t="shared" si="159"/>
        <v>0</v>
      </c>
      <c r="AU830" s="591">
        <f t="shared" si="159"/>
        <v>0</v>
      </c>
      <c r="AV830" s="591">
        <f t="shared" si="159"/>
        <v>0</v>
      </c>
      <c r="AW830" s="591">
        <f t="shared" si="159"/>
        <v>0</v>
      </c>
      <c r="AX830" s="591">
        <f t="shared" si="159"/>
        <v>0</v>
      </c>
      <c r="AY830" s="591">
        <f t="shared" si="159"/>
        <v>0</v>
      </c>
      <c r="AZ830" s="591">
        <f t="shared" si="159"/>
        <v>0</v>
      </c>
      <c r="BA830" s="591">
        <f t="shared" si="159"/>
        <v>0</v>
      </c>
      <c r="BB830" s="591">
        <f t="shared" si="159"/>
        <v>0</v>
      </c>
      <c r="BC830" s="591">
        <f t="shared" si="159"/>
        <v>0</v>
      </c>
      <c r="BD830" s="591">
        <f t="shared" si="159"/>
        <v>0</v>
      </c>
      <c r="BE830" s="591">
        <f t="shared" si="159"/>
        <v>0</v>
      </c>
      <c r="BF830" s="591">
        <f t="shared" si="159"/>
        <v>0</v>
      </c>
      <c r="BG830" s="591">
        <f t="shared" si="159"/>
        <v>0</v>
      </c>
      <c r="BH830" s="591">
        <f t="shared" si="159"/>
        <v>0</v>
      </c>
      <c r="BI830" s="591">
        <f t="shared" si="159"/>
        <v>0</v>
      </c>
      <c r="BJ830" s="240"/>
      <c r="BK830" s="240"/>
      <c r="BL830" s="240"/>
      <c r="BM830" s="240"/>
    </row>
    <row r="831" spans="1:65" s="4" customFormat="1" hidden="1" outlineLevel="2">
      <c r="A831" s="240"/>
      <c r="B831" s="597">
        <f>C843</f>
        <v>0</v>
      </c>
      <c r="C831" s="488"/>
      <c r="D831" s="598" t="s">
        <v>58</v>
      </c>
      <c r="E831" s="488"/>
      <c r="F831" s="599"/>
      <c r="G831" s="592">
        <f>IF(G$3&gt;A28taxremlife,A28taxvalue-SUM($F831:F831),IF(A28taxremlife="N/A","n/a",A28taxvalue/A28taxremlife))</f>
        <v>0</v>
      </c>
      <c r="H831" s="592">
        <f>IF(H$3&gt;A28taxremlife,A28taxvalue-SUM($F831:G831),IF(A28taxremlife="N/A","n/a",A28taxvalue/A28taxremlife))</f>
        <v>0</v>
      </c>
      <c r="I831" s="592">
        <f>IF(I$3&gt;A28taxremlife,A28taxvalue-SUM($F831:H831),IF(A28taxremlife="N/A","n/a",A28taxvalue/A28taxremlife))</f>
        <v>0</v>
      </c>
      <c r="J831" s="592">
        <f>IF(J$3&gt;A28taxremlife,A28taxvalue-SUM($F831:I831),IF(A28taxremlife="N/A","n/a",A28taxvalue/A28taxremlife))</f>
        <v>0</v>
      </c>
      <c r="K831" s="592">
        <f>IF(K$3&gt;A28taxremlife,A28taxvalue-SUM($F831:J831),IF(A28taxremlife="N/A","n/a",A28taxvalue/A28taxremlife))</f>
        <v>0</v>
      </c>
      <c r="L831" s="592">
        <f>IF(L$3&gt;A28taxremlife,A28taxvalue-SUM($F831:K831),IF(A28taxremlife="N/A","n/a",A28taxvalue/A28taxremlife))</f>
        <v>0</v>
      </c>
      <c r="M831" s="592">
        <f>IF(M$3&gt;A28taxremlife,A28taxvalue-SUM($F831:L831),IF(A28taxremlife="N/A","n/a",A28taxvalue/A28taxremlife))</f>
        <v>0</v>
      </c>
      <c r="N831" s="592">
        <f>IF(N$3&gt;A28taxremlife,A28taxvalue-SUM($F831:M831),IF(A28taxremlife="N/A","n/a",A28taxvalue/A28taxremlife))</f>
        <v>0</v>
      </c>
      <c r="O831" s="592">
        <f>IF(O$3&gt;A28taxremlife,A28taxvalue-SUM($F831:N831),IF(A28taxremlife="N/A","n/a",A28taxvalue/A28taxremlife))</f>
        <v>0</v>
      </c>
      <c r="P831" s="592">
        <f>IF(P$3&gt;A28taxremlife,A28taxvalue-SUM($F831:O831),IF(A28taxremlife="N/A","n/a",A28taxvalue/A28taxremlife))</f>
        <v>0</v>
      </c>
      <c r="Q831" s="592">
        <f>IF(Q$3&gt;A28taxremlife,A28taxvalue-SUM($F831:P831),IF(A28taxremlife="N/A","n/a",A28taxvalue/A28taxremlife))</f>
        <v>0</v>
      </c>
      <c r="R831" s="592">
        <f>IF(R$3&gt;A28taxremlife,A28taxvalue-SUM($F831:Q831),IF(A28taxremlife="N/A","n/a",A28taxvalue/A28taxremlife))</f>
        <v>0</v>
      </c>
      <c r="S831" s="592">
        <f>IF(S$3&gt;A28taxremlife,A28taxvalue-SUM($F831:R831),IF(A28taxremlife="N/A","n/a",A28taxvalue/A28taxremlife))</f>
        <v>0</v>
      </c>
      <c r="T831" s="592">
        <f>IF(T$3&gt;A28taxremlife,A28taxvalue-SUM($F831:S831),IF(A28taxremlife="N/A","n/a",A28taxvalue/A28taxremlife))</f>
        <v>0</v>
      </c>
      <c r="U831" s="592">
        <f>IF(U$3&gt;A28taxremlife,A28taxvalue-SUM($F831:T831),IF(A28taxremlife="N/A","n/a",A28taxvalue/A28taxremlife))</f>
        <v>0</v>
      </c>
      <c r="V831" s="592">
        <f>IF(V$3&gt;A28taxremlife,A28taxvalue-SUM($F831:U831),IF(A28taxremlife="N/A","n/a",A28taxvalue/A28taxremlife))</f>
        <v>0</v>
      </c>
      <c r="W831" s="592">
        <f>IF(W$3&gt;A28taxremlife,A28taxvalue-SUM($F831:V831),IF(A28taxremlife="N/A","n/a",A28taxvalue/A28taxremlife))</f>
        <v>0</v>
      </c>
      <c r="X831" s="592">
        <f>IF(X$3&gt;A28taxremlife,A28taxvalue-SUM($F831:W831),IF(A28taxremlife="N/A","n/a",A28taxvalue/A28taxremlife))</f>
        <v>0</v>
      </c>
      <c r="Y831" s="592">
        <f>IF(Y$3&gt;A28taxremlife,A28taxvalue-SUM($F831:X831),IF(A28taxremlife="N/A","n/a",A28taxvalue/A28taxremlife))</f>
        <v>0</v>
      </c>
      <c r="Z831" s="592">
        <f>IF(Z$3&gt;A28taxremlife,A28taxvalue-SUM($F831:Y831),IF(A28taxremlife="N/A","n/a",A28taxvalue/A28taxremlife))</f>
        <v>0</v>
      </c>
      <c r="AA831" s="592">
        <f>IF(AA$3&gt;A28taxremlife,A28taxvalue-SUM($F831:Z831),IF(A28taxremlife="N/A","n/a",A28taxvalue/A28taxremlife))</f>
        <v>0</v>
      </c>
      <c r="AB831" s="592">
        <f>IF(AB$3&gt;A28taxremlife,A28taxvalue-SUM($F831:AA831),IF(A28taxremlife="N/A","n/a",A28taxvalue/A28taxremlife))</f>
        <v>0</v>
      </c>
      <c r="AC831" s="592">
        <f>IF(AC$3&gt;A28taxremlife,A28taxvalue-SUM($F831:AB831),IF(A28taxremlife="N/A","n/a",A28taxvalue/A28taxremlife))</f>
        <v>0</v>
      </c>
      <c r="AD831" s="592">
        <f>IF(AD$3&gt;A28taxremlife,A28taxvalue-SUM($F831:AC831),IF(A28taxremlife="N/A","n/a",A28taxvalue/A28taxremlife))</f>
        <v>0</v>
      </c>
      <c r="AE831" s="592">
        <f>IF(AE$3&gt;A28taxremlife,A28taxvalue-SUM($F831:AD831),IF(A28taxremlife="N/A","n/a",A28taxvalue/A28taxremlife))</f>
        <v>0</v>
      </c>
      <c r="AF831" s="592">
        <f>IF(AF$3&gt;A28taxremlife,A28taxvalue-SUM($F831:AE831),IF(A28taxremlife="N/A","n/a",A28taxvalue/A28taxremlife))</f>
        <v>0</v>
      </c>
      <c r="AG831" s="592">
        <f>IF(AG$3&gt;A28taxremlife,A28taxvalue-SUM($F831:AF831),IF(A28taxremlife="N/A","n/a",A28taxvalue/A28taxremlife))</f>
        <v>0</v>
      </c>
      <c r="AH831" s="592">
        <f>IF(AH$3&gt;A28taxremlife,A28taxvalue-SUM($F831:AG831),IF(A28taxremlife="N/A","n/a",A28taxvalue/A28taxremlife))</f>
        <v>0</v>
      </c>
      <c r="AI831" s="592">
        <f>IF(AI$3&gt;A28taxremlife,A28taxvalue-SUM($F831:AH831),IF(A28taxremlife="N/A","n/a",A28taxvalue/A28taxremlife))</f>
        <v>0</v>
      </c>
      <c r="AJ831" s="592">
        <f>IF(AJ$3&gt;A28taxremlife,A28taxvalue-SUM($F831:AI831),IF(A28taxremlife="N/A","n/a",A28taxvalue/A28taxremlife))</f>
        <v>0</v>
      </c>
      <c r="AK831" s="592">
        <f>IF(AK$3&gt;A28taxremlife,A28taxvalue-SUM($F831:AJ831),IF(A28taxremlife="N/A","n/a",A28taxvalue/A28taxremlife))</f>
        <v>0</v>
      </c>
      <c r="AL831" s="592">
        <f>IF(AL$3&gt;A28taxremlife,A28taxvalue-SUM($F831:AK831),IF(A28taxremlife="N/A","n/a",A28taxvalue/A28taxremlife))</f>
        <v>0</v>
      </c>
      <c r="AM831" s="592">
        <f>IF(AM$3&gt;A28taxremlife,A28taxvalue-SUM($F831:AL831),IF(A28taxremlife="N/A","n/a",A28taxvalue/A28taxremlife))</f>
        <v>0</v>
      </c>
      <c r="AN831" s="592">
        <f>IF(AN$3&gt;A28taxremlife,A28taxvalue-SUM($F831:AM831),IF(A28taxremlife="N/A","n/a",A28taxvalue/A28taxremlife))</f>
        <v>0</v>
      </c>
      <c r="AO831" s="592">
        <f>IF(AO$3&gt;A28taxremlife,A28taxvalue-SUM($F831:AN831),IF(A28taxremlife="N/A","n/a",A28taxvalue/A28taxremlife))</f>
        <v>0</v>
      </c>
      <c r="AP831" s="592">
        <f>IF(AP$3&gt;A28taxremlife,A28taxvalue-SUM($F831:AO831),IF(A28taxremlife="N/A","n/a",A28taxvalue/A28taxremlife))</f>
        <v>0</v>
      </c>
      <c r="AQ831" s="592">
        <f>IF(AQ$3&gt;A28taxremlife,A28taxvalue-SUM($F831:AP831),IF(A28taxremlife="N/A","n/a",A28taxvalue/A28taxremlife))</f>
        <v>0</v>
      </c>
      <c r="AR831" s="592">
        <f>IF(AR$3&gt;A28taxremlife,A28taxvalue-SUM($F831:AQ831),IF(A28taxremlife="N/A","n/a",A28taxvalue/A28taxremlife))</f>
        <v>0</v>
      </c>
      <c r="AS831" s="592">
        <f>IF(AS$3&gt;A28taxremlife,A28taxvalue-SUM($F831:AR831),IF(A28taxremlife="N/A","n/a",A28taxvalue/A28taxremlife))</f>
        <v>0</v>
      </c>
      <c r="AT831" s="592">
        <f>IF(AT$3&gt;A28taxremlife,A28taxvalue-SUM($F831:AS831),IF(A28taxremlife="N/A","n/a",A28taxvalue/A28taxremlife))</f>
        <v>0</v>
      </c>
      <c r="AU831" s="592">
        <f>IF(AU$3&gt;A28taxremlife,A28taxvalue-SUM($F831:AT831),IF(A28taxremlife="N/A","n/a",A28taxvalue/A28taxremlife))</f>
        <v>0</v>
      </c>
      <c r="AV831" s="592">
        <f>IF(AV$3&gt;A28taxremlife,A28taxvalue-SUM($F831:AU831),IF(A28taxremlife="N/A","n/a",A28taxvalue/A28taxremlife))</f>
        <v>0</v>
      </c>
      <c r="AW831" s="592">
        <f>IF(AW$3&gt;A28taxremlife,A28taxvalue-SUM($F831:AV831),IF(A28taxremlife="N/A","n/a",A28taxvalue/A28taxremlife))</f>
        <v>0</v>
      </c>
      <c r="AX831" s="592">
        <f>IF(AX$3&gt;A28taxremlife,A28taxvalue-SUM($F831:AW831),IF(A28taxremlife="N/A","n/a",A28taxvalue/A28taxremlife))</f>
        <v>0</v>
      </c>
      <c r="AY831" s="592">
        <f>IF(AY$3&gt;A28taxremlife,A28taxvalue-SUM($F831:AX831),IF(A28taxremlife="N/A","n/a",A28taxvalue/A28taxremlife))</f>
        <v>0</v>
      </c>
      <c r="AZ831" s="592">
        <f>IF(AZ$3&gt;A28taxremlife,A28taxvalue-SUM($F831:AY831),IF(A28taxremlife="N/A","n/a",A28taxvalue/A28taxremlife))</f>
        <v>0</v>
      </c>
      <c r="BA831" s="592">
        <f>IF(BA$3&gt;A28taxremlife,A28taxvalue-SUM($F831:AZ831),IF(A28taxremlife="N/A","n/a",A28taxvalue/A28taxremlife))</f>
        <v>0</v>
      </c>
      <c r="BB831" s="592">
        <f>IF(BB$3&gt;A28taxremlife,A28taxvalue-SUM($F831:BA831),IF(A28taxremlife="N/A","n/a",A28taxvalue/A28taxremlife))</f>
        <v>0</v>
      </c>
      <c r="BC831" s="592">
        <f>IF(BC$3&gt;A28taxremlife,A28taxvalue-SUM($F831:BB831),IF(A28taxremlife="N/A","n/a",A28taxvalue/A28taxremlife))</f>
        <v>0</v>
      </c>
      <c r="BD831" s="592">
        <f>IF(BD$3&gt;A28taxremlife,A28taxvalue-SUM($F831:BC831),IF(A28taxremlife="N/A","n/a",A28taxvalue/A28taxremlife))</f>
        <v>0</v>
      </c>
      <c r="BE831" s="592">
        <f>IF(BE$3&gt;A28taxremlife,A28taxvalue-SUM($F831:BD831),IF(A28taxremlife="N/A","n/a",A28taxvalue/A28taxremlife))</f>
        <v>0</v>
      </c>
      <c r="BF831" s="592">
        <f>IF(BF$3&gt;A28taxremlife,A28taxvalue-SUM($F831:BE831),IF(A28taxremlife="N/A","n/a",A28taxvalue/A28taxremlife))</f>
        <v>0</v>
      </c>
      <c r="BG831" s="592">
        <f>IF(BG$3&gt;A28taxremlife,A28taxvalue-SUM($F831:BF831),IF(A28taxremlife="N/A","n/a",A28taxvalue/A28taxremlife))</f>
        <v>0</v>
      </c>
      <c r="BH831" s="592">
        <f>IF(BH$3&gt;A28taxremlife,A28taxvalue-SUM($F831:BG831),IF(A28taxremlife="N/A","n/a",A28taxvalue/A28taxremlife))</f>
        <v>0</v>
      </c>
      <c r="BI831" s="592">
        <f>IF(BI$3&gt;A28taxremlife,A28taxvalue-SUM($F831:BH831),IF(A28taxremlife="N/A","n/a",A28taxvalue/A28taxremlife))</f>
        <v>0</v>
      </c>
      <c r="BJ831" s="240"/>
      <c r="BK831" s="240"/>
      <c r="BL831" s="240"/>
      <c r="BM831" s="240"/>
    </row>
    <row r="832" spans="1:65" s="4" customFormat="1" ht="12.75" hidden="1" customHeight="1" outlineLevel="2">
      <c r="A832" s="240"/>
      <c r="B832" s="240"/>
      <c r="C832" s="595"/>
      <c r="D832" s="1618" t="s">
        <v>357</v>
      </c>
      <c r="E832" s="169">
        <v>0</v>
      </c>
      <c r="F832" s="35"/>
      <c r="G832" s="107"/>
      <c r="H832" s="107"/>
      <c r="I832" s="107"/>
      <c r="J832" s="107"/>
      <c r="K832" s="107"/>
      <c r="L832" s="107"/>
      <c r="M832" s="107"/>
      <c r="N832" s="107"/>
      <c r="O832" s="107"/>
      <c r="P832" s="107"/>
      <c r="Q832" s="590"/>
      <c r="R832" s="590"/>
      <c r="S832" s="590"/>
      <c r="T832" s="590"/>
      <c r="U832" s="590"/>
      <c r="V832" s="590"/>
      <c r="W832" s="590"/>
      <c r="X832" s="590"/>
      <c r="Y832" s="590"/>
      <c r="Z832" s="590"/>
      <c r="AA832" s="590"/>
      <c r="AB832" s="590"/>
      <c r="AC832" s="590"/>
      <c r="AD832" s="590"/>
      <c r="AE832" s="590"/>
      <c r="AF832" s="590"/>
      <c r="AG832" s="590"/>
      <c r="AH832" s="590"/>
      <c r="AI832" s="590"/>
      <c r="AJ832" s="590"/>
      <c r="AK832" s="590"/>
      <c r="AL832" s="590"/>
      <c r="AM832" s="590"/>
      <c r="AN832" s="590"/>
      <c r="AO832" s="590"/>
      <c r="AP832" s="590"/>
      <c r="AQ832" s="590"/>
      <c r="AR832" s="590"/>
      <c r="AS832" s="590"/>
      <c r="AT832" s="590"/>
      <c r="AU832" s="590"/>
      <c r="AV832" s="590"/>
      <c r="AW832" s="590"/>
      <c r="AX832" s="590"/>
      <c r="AY832" s="590"/>
      <c r="AZ832" s="590"/>
      <c r="BA832" s="590"/>
      <c r="BB832" s="590"/>
      <c r="BC832" s="590"/>
      <c r="BD832" s="590"/>
      <c r="BE832" s="590"/>
      <c r="BF832" s="590"/>
      <c r="BG832" s="590"/>
      <c r="BH832" s="590"/>
      <c r="BI832" s="590"/>
      <c r="BJ832" s="240"/>
      <c r="BK832" s="240"/>
      <c r="BL832" s="240"/>
      <c r="BM832" s="240"/>
    </row>
    <row r="833" spans="1:65" s="4" customFormat="1" hidden="1" outlineLevel="2">
      <c r="A833" s="240"/>
      <c r="B833" s="240"/>
      <c r="C833" s="595"/>
      <c r="D833" s="1618"/>
      <c r="E833" s="169">
        <v>1</v>
      </c>
      <c r="F833" s="35"/>
      <c r="G833" s="183"/>
      <c r="H833" s="107">
        <f>IF(A28taxstdlife="n/a","n/a",IF(H$3&gt;(A28taxstdlife+$E833),(('PTRM input'!$G$170+'PTRM input'!$G$136)*$G$7)-SUM($G833:G833),(('PTRM input'!$G$170+'PTRM input'!$G$136)*$G$7)/A28taxstdlife))</f>
        <v>0</v>
      </c>
      <c r="I833" s="107">
        <f>IF(A28taxstdlife="n/a","n/a",IF(I$3&gt;(A28taxstdlife+$E833),(('PTRM input'!$G$170+'PTRM input'!$G$136)*$G$7)-SUM($G833:H833),(('PTRM input'!$G$170+'PTRM input'!$G$136)*$G$7)/A28taxstdlife))</f>
        <v>0</v>
      </c>
      <c r="J833" s="107">
        <f>IF(A28taxstdlife="n/a","n/a",IF(J$3&gt;(A28taxstdlife+$E833),(('PTRM input'!$G$170+'PTRM input'!$G$136)*$G$7)-SUM($G833:I833),(('PTRM input'!$G$170+'PTRM input'!$G$136)*$G$7)/A28taxstdlife))</f>
        <v>0</v>
      </c>
      <c r="K833" s="107">
        <f>IF(A28taxstdlife="n/a","n/a",IF(K$3&gt;(A28taxstdlife+$E833),(('PTRM input'!$G$170+'PTRM input'!$G$136)*$G$7)-SUM($G833:J833),(('PTRM input'!$G$170+'PTRM input'!$G$136)*$G$7)/A28taxstdlife))</f>
        <v>0</v>
      </c>
      <c r="L833" s="107">
        <f>IF(A28taxstdlife="n/a","n/a",IF(L$3&gt;(A28taxstdlife+$E833),(('PTRM input'!$G$170+'PTRM input'!$G$136)*$G$7)-SUM($G833:K833),(('PTRM input'!$G$170+'PTRM input'!$G$136)*$G$7)/A28taxstdlife))</f>
        <v>0</v>
      </c>
      <c r="M833" s="107">
        <f>IF(A28taxstdlife="n/a","n/a",IF(M$3&gt;(A28taxstdlife+$E833),(('PTRM input'!$G$170+'PTRM input'!$G$136)*$G$7)-SUM($G833:L833),(('PTRM input'!$G$170+'PTRM input'!$G$136)*$G$7)/A28taxstdlife))</f>
        <v>0</v>
      </c>
      <c r="N833" s="107">
        <f>IF(A28taxstdlife="n/a","n/a",IF(N$3&gt;(A28taxstdlife+$E833),(('PTRM input'!$G$170+'PTRM input'!$G$136)*$G$7)-SUM($G833:M833),(('PTRM input'!$G$170+'PTRM input'!$G$136)*$G$7)/A28taxstdlife))</f>
        <v>0</v>
      </c>
      <c r="O833" s="107">
        <f>IF(A28taxstdlife="n/a","n/a",IF(O$3&gt;(A28taxstdlife+$E833),(('PTRM input'!$G$170+'PTRM input'!$G$136)*$G$7)-SUM($G833:N833),(('PTRM input'!$G$170+'PTRM input'!$G$136)*$G$7)/A28taxstdlife))</f>
        <v>0</v>
      </c>
      <c r="P833" s="107">
        <f>IF(A28taxstdlife="n/a","n/a",IF(P$3&gt;(A28taxstdlife+$E833),(('PTRM input'!$G$170+'PTRM input'!$G$136)*$G$7)-SUM($G833:O833),(('PTRM input'!$G$170+'PTRM input'!$G$136)*$G$7)/A28taxstdlife))</f>
        <v>0</v>
      </c>
      <c r="Q833" s="590">
        <f>IF(A28taxstdlife="n/a","n/a",IF(Q$3&gt;(A28taxstdlife+$E833),(('PTRM input'!$G$170+'PTRM input'!$G$136)*$G$7)-SUM($G833:P833),(('PTRM input'!$G$170+'PTRM input'!$G$136)*$G$7)/A28taxstdlife))</f>
        <v>0</v>
      </c>
      <c r="R833" s="590">
        <f>IF(A28taxstdlife="n/a","n/a",IF(R$3&gt;(A28taxstdlife+$E833),(('PTRM input'!$G$170+'PTRM input'!$G$136)*$G$7)-SUM($G833:Q833),(('PTRM input'!$G$170+'PTRM input'!$G$136)*$G$7)/A28taxstdlife))</f>
        <v>0</v>
      </c>
      <c r="S833" s="590">
        <f>IF(A28taxstdlife="n/a","n/a",IF(S$3&gt;(A28taxstdlife+$E833),(('PTRM input'!$G$170+'PTRM input'!$G$136)*$G$7)-SUM($G833:R833),(('PTRM input'!$G$170+'PTRM input'!$G$136)*$G$7)/A28taxstdlife))</f>
        <v>0</v>
      </c>
      <c r="T833" s="590">
        <f>IF(A28taxstdlife="n/a","n/a",IF(T$3&gt;(A28taxstdlife+$E833),(('PTRM input'!$G$170+'PTRM input'!$G$136)*$G$7)-SUM($G833:S833),(('PTRM input'!$G$170+'PTRM input'!$G$136)*$G$7)/A28taxstdlife))</f>
        <v>0</v>
      </c>
      <c r="U833" s="590">
        <f>IF(A28taxstdlife="n/a","n/a",IF(U$3&gt;(A28taxstdlife+$E833),(('PTRM input'!$G$170+'PTRM input'!$G$136)*$G$7)-SUM($G833:T833),(('PTRM input'!$G$170+'PTRM input'!$G$136)*$G$7)/A28taxstdlife))</f>
        <v>0</v>
      </c>
      <c r="V833" s="590">
        <f>IF(A28taxstdlife="n/a","n/a",IF(V$3&gt;(A28taxstdlife+$E833),(('PTRM input'!$G$170+'PTRM input'!$G$136)*$G$7)-SUM($G833:U833),(('PTRM input'!$G$170+'PTRM input'!$G$136)*$G$7)/A28taxstdlife))</f>
        <v>0</v>
      </c>
      <c r="W833" s="590">
        <f>IF(A28taxstdlife="n/a","n/a",IF(W$3&gt;(A28taxstdlife+$E833),(('PTRM input'!$G$170+'PTRM input'!$G$136)*$G$7)-SUM($G833:V833),(('PTRM input'!$G$170+'PTRM input'!$G$136)*$G$7)/A28taxstdlife))</f>
        <v>0</v>
      </c>
      <c r="X833" s="590">
        <f>IF(A28taxstdlife="n/a","n/a",IF(X$3&gt;(A28taxstdlife+$E833),(('PTRM input'!$G$170+'PTRM input'!$G$136)*$G$7)-SUM($G833:W833),(('PTRM input'!$G$170+'PTRM input'!$G$136)*$G$7)/A28taxstdlife))</f>
        <v>0</v>
      </c>
      <c r="Y833" s="590">
        <f>IF(A28taxstdlife="n/a","n/a",IF(Y$3&gt;(A28taxstdlife+$E833),(('PTRM input'!$G$170+'PTRM input'!$G$136)*$G$7)-SUM($G833:X833),(('PTRM input'!$G$170+'PTRM input'!$G$136)*$G$7)/A28taxstdlife))</f>
        <v>0</v>
      </c>
      <c r="Z833" s="590">
        <f>IF(A28taxstdlife="n/a","n/a",IF(Z$3&gt;(A28taxstdlife+$E833),(('PTRM input'!$G$170+'PTRM input'!$G$136)*$G$7)-SUM($G833:Y833),(('PTRM input'!$G$170+'PTRM input'!$G$136)*$G$7)/A28taxstdlife))</f>
        <v>0</v>
      </c>
      <c r="AA833" s="590">
        <f>IF(A28taxstdlife="n/a","n/a",IF(AA$3&gt;(A28taxstdlife+$E833),(('PTRM input'!$G$170+'PTRM input'!$G$136)*$G$7)-SUM($G833:Z833),(('PTRM input'!$G$170+'PTRM input'!$G$136)*$G$7)/A28taxstdlife))</f>
        <v>0</v>
      </c>
      <c r="AB833" s="590">
        <f>IF(A28taxstdlife="n/a","n/a",IF(AB$3&gt;(A28taxstdlife+$E833),(('PTRM input'!$G$170+'PTRM input'!$G$136)*$G$7)-SUM($G833:AA833),(('PTRM input'!$G$170+'PTRM input'!$G$136)*$G$7)/A28taxstdlife))</f>
        <v>0</v>
      </c>
      <c r="AC833" s="590">
        <f>IF(A28taxstdlife="n/a","n/a",IF(AC$3&gt;(A28taxstdlife+$E833),(('PTRM input'!$G$170+'PTRM input'!$G$136)*$G$7)-SUM($G833:AB833),(('PTRM input'!$G$170+'PTRM input'!$G$136)*$G$7)/A28taxstdlife))</f>
        <v>0</v>
      </c>
      <c r="AD833" s="590">
        <f>IF(A28taxstdlife="n/a","n/a",IF(AD$3&gt;(A28taxstdlife+$E833),(('PTRM input'!$G$170+'PTRM input'!$G$136)*$G$7)-SUM($G833:AC833),(('PTRM input'!$G$170+'PTRM input'!$G$136)*$G$7)/A28taxstdlife))</f>
        <v>0</v>
      </c>
      <c r="AE833" s="590">
        <f>IF(A28taxstdlife="n/a","n/a",IF(AE$3&gt;(A28taxstdlife+$E833),(('PTRM input'!$G$170+'PTRM input'!$G$136)*$G$7)-SUM($G833:AD833),(('PTRM input'!$G$170+'PTRM input'!$G$136)*$G$7)/A28taxstdlife))</f>
        <v>0</v>
      </c>
      <c r="AF833" s="590">
        <f>IF(A28taxstdlife="n/a","n/a",IF(AF$3&gt;(A28taxstdlife+$E833),(('PTRM input'!$G$170+'PTRM input'!$G$136)*$G$7)-SUM($G833:AE833),(('PTRM input'!$G$170+'PTRM input'!$G$136)*$G$7)/A28taxstdlife))</f>
        <v>0</v>
      </c>
      <c r="AG833" s="590">
        <f>IF(A28taxstdlife="n/a","n/a",IF(AG$3&gt;(A28taxstdlife+$E833),(('PTRM input'!$G$170+'PTRM input'!$G$136)*$G$7)-SUM($G833:AF833),(('PTRM input'!$G$170+'PTRM input'!$G$136)*$G$7)/A28taxstdlife))</f>
        <v>0</v>
      </c>
      <c r="AH833" s="590">
        <f>IF(A28taxstdlife="n/a","n/a",IF(AH$3&gt;(A28taxstdlife+$E833),(('PTRM input'!$G$170+'PTRM input'!$G$136)*$G$7)-SUM($G833:AG833),(('PTRM input'!$G$170+'PTRM input'!$G$136)*$G$7)/A28taxstdlife))</f>
        <v>0</v>
      </c>
      <c r="AI833" s="590">
        <f>IF(A28taxstdlife="n/a","n/a",IF(AI$3&gt;(A28taxstdlife+$E833),(('PTRM input'!$G$170+'PTRM input'!$G$136)*$G$7)-SUM($G833:AH833),(('PTRM input'!$G$170+'PTRM input'!$G$136)*$G$7)/A28taxstdlife))</f>
        <v>0</v>
      </c>
      <c r="AJ833" s="590">
        <f>IF(A28taxstdlife="n/a","n/a",IF(AJ$3&gt;(A28taxstdlife+$E833),(('PTRM input'!$G$170+'PTRM input'!$G$136)*$G$7)-SUM($G833:AI833),(('PTRM input'!$G$170+'PTRM input'!$G$136)*$G$7)/A28taxstdlife))</f>
        <v>0</v>
      </c>
      <c r="AK833" s="590">
        <f>IF(A28taxstdlife="n/a","n/a",IF(AK$3&gt;(A28taxstdlife+$E833),(('PTRM input'!$G$170+'PTRM input'!$G$136)*$G$7)-SUM($G833:AJ833),(('PTRM input'!$G$170+'PTRM input'!$G$136)*$G$7)/A28taxstdlife))</f>
        <v>0</v>
      </c>
      <c r="AL833" s="590">
        <f>IF(A28taxstdlife="n/a","n/a",IF(AL$3&gt;(A28taxstdlife+$E833),(('PTRM input'!$G$170+'PTRM input'!$G$136)*$G$7)-SUM($G833:AK833),(('PTRM input'!$G$170+'PTRM input'!$G$136)*$G$7)/A28taxstdlife))</f>
        <v>0</v>
      </c>
      <c r="AM833" s="590">
        <f>IF(A28taxstdlife="n/a","n/a",IF(AM$3&gt;(A28taxstdlife+$E833),(('PTRM input'!$G$170+'PTRM input'!$G$136)*$G$7)-SUM($G833:AL833),(('PTRM input'!$G$170+'PTRM input'!$G$136)*$G$7)/A28taxstdlife))</f>
        <v>0</v>
      </c>
      <c r="AN833" s="590">
        <f>IF(A28taxstdlife="n/a","n/a",IF(AN$3&gt;(A28taxstdlife+$E833),(('PTRM input'!$G$170+'PTRM input'!$G$136)*$G$7)-SUM($G833:AM833),(('PTRM input'!$G$170+'PTRM input'!$G$136)*$G$7)/A28taxstdlife))</f>
        <v>0</v>
      </c>
      <c r="AO833" s="590">
        <f>IF(A28taxstdlife="n/a","n/a",IF(AO$3&gt;(A28taxstdlife+$E833),(('PTRM input'!$G$170+'PTRM input'!$G$136)*$G$7)-SUM($G833:AN833),(('PTRM input'!$G$170+'PTRM input'!$G$136)*$G$7)/A28taxstdlife))</f>
        <v>0</v>
      </c>
      <c r="AP833" s="590">
        <f>IF(A28taxstdlife="n/a","n/a",IF(AP$3&gt;(A28taxstdlife+$E833),(('PTRM input'!$G$170+'PTRM input'!$G$136)*$G$7)-SUM($G833:AO833),(('PTRM input'!$G$170+'PTRM input'!$G$136)*$G$7)/A28taxstdlife))</f>
        <v>0</v>
      </c>
      <c r="AQ833" s="590">
        <f>IF(A28taxstdlife="n/a","n/a",IF(AQ$3&gt;(A28taxstdlife+$E833),(('PTRM input'!$G$170+'PTRM input'!$G$136)*$G$7)-SUM($G833:AP833),(('PTRM input'!$G$170+'PTRM input'!$G$136)*$G$7)/A28taxstdlife))</f>
        <v>0</v>
      </c>
      <c r="AR833" s="590">
        <f>IF(A28taxstdlife="n/a","n/a",IF(AR$3&gt;(A28taxstdlife+$E833),(('PTRM input'!$G$170+'PTRM input'!$G$136)*$G$7)-SUM($G833:AQ833),(('PTRM input'!$G$170+'PTRM input'!$G$136)*$G$7)/A28taxstdlife))</f>
        <v>0</v>
      </c>
      <c r="AS833" s="590">
        <f>IF(A28taxstdlife="n/a","n/a",IF(AS$3&gt;(A28taxstdlife+$E833),(('PTRM input'!$G$170+'PTRM input'!$G$136)*$G$7)-SUM($G833:AR833),(('PTRM input'!$G$170+'PTRM input'!$G$136)*$G$7)/A28taxstdlife))</f>
        <v>0</v>
      </c>
      <c r="AT833" s="590">
        <f>IF(A28taxstdlife="n/a","n/a",IF(AT$3&gt;(A28taxstdlife+$E833),(('PTRM input'!$G$170+'PTRM input'!$G$136)*$G$7)-SUM($G833:AS833),(('PTRM input'!$G$170+'PTRM input'!$G$136)*$G$7)/A28taxstdlife))</f>
        <v>0</v>
      </c>
      <c r="AU833" s="590">
        <f>IF(A28taxstdlife="n/a","n/a",IF(AU$3&gt;(A28taxstdlife+$E833),(('PTRM input'!$G$170+'PTRM input'!$G$136)*$G$7)-SUM($G833:AT833),(('PTRM input'!$G$170+'PTRM input'!$G$136)*$G$7)/A28taxstdlife))</f>
        <v>0</v>
      </c>
      <c r="AV833" s="590">
        <f>IF(A28taxstdlife="n/a","n/a",IF(AV$3&gt;(A28taxstdlife+$E833),(('PTRM input'!$G$170+'PTRM input'!$G$136)*$G$7)-SUM($G833:AU833),(('PTRM input'!$G$170+'PTRM input'!$G$136)*$G$7)/A28taxstdlife))</f>
        <v>0</v>
      </c>
      <c r="AW833" s="590">
        <f>IF(A28taxstdlife="n/a","n/a",IF(AW$3&gt;(A28taxstdlife+$E833),(('PTRM input'!$G$170+'PTRM input'!$G$136)*$G$7)-SUM($G833:AV833),(('PTRM input'!$G$170+'PTRM input'!$G$136)*$G$7)/A28taxstdlife))</f>
        <v>0</v>
      </c>
      <c r="AX833" s="590">
        <f>IF(A28taxstdlife="n/a","n/a",IF(AX$3&gt;(A28taxstdlife+$E833),(('PTRM input'!$G$170+'PTRM input'!$G$136)*$G$7)-SUM($G833:AW833),(('PTRM input'!$G$170+'PTRM input'!$G$136)*$G$7)/A28taxstdlife))</f>
        <v>0</v>
      </c>
      <c r="AY833" s="590">
        <f>IF(A28taxstdlife="n/a","n/a",IF(AY$3&gt;(A28taxstdlife+$E833),(('PTRM input'!$G$170+'PTRM input'!$G$136)*$G$7)-SUM($G833:AX833),(('PTRM input'!$G$170+'PTRM input'!$G$136)*$G$7)/A28taxstdlife))</f>
        <v>0</v>
      </c>
      <c r="AZ833" s="590">
        <f>IF(A28taxstdlife="n/a","n/a",IF(AZ$3&gt;(A28taxstdlife+$E833),(('PTRM input'!$G$170+'PTRM input'!$G$136)*$G$7)-SUM($G833:AY833),(('PTRM input'!$G$170+'PTRM input'!$G$136)*$G$7)/A28taxstdlife))</f>
        <v>0</v>
      </c>
      <c r="BA833" s="590">
        <f>IF(A28taxstdlife="n/a","n/a",IF(BA$3&gt;(A28taxstdlife+$E833),(('PTRM input'!$G$170+'PTRM input'!$G$136)*$G$7)-SUM($G833:AZ833),(('PTRM input'!$G$170+'PTRM input'!$G$136)*$G$7)/A28taxstdlife))</f>
        <v>0</v>
      </c>
      <c r="BB833" s="590">
        <f>IF(A28taxstdlife="n/a","n/a",IF(BB$3&gt;(A28taxstdlife+$E833),(('PTRM input'!$G$170+'PTRM input'!$G$136)*$G$7)-SUM($G833:BA833),(('PTRM input'!$G$170+'PTRM input'!$G$136)*$G$7)/A28taxstdlife))</f>
        <v>0</v>
      </c>
      <c r="BC833" s="590">
        <f>IF(A28taxstdlife="n/a","n/a",IF(BC$3&gt;(A28taxstdlife+$E833),(('PTRM input'!$G$170+'PTRM input'!$G$136)*$G$7)-SUM($G833:BB833),(('PTRM input'!$G$170+'PTRM input'!$G$136)*$G$7)/A28taxstdlife))</f>
        <v>0</v>
      </c>
      <c r="BD833" s="590">
        <f>IF(A28taxstdlife="n/a","n/a",IF(BD$3&gt;(A28taxstdlife+$E833),(('PTRM input'!$G$170+'PTRM input'!$G$136)*$G$7)-SUM($G833:BC833),(('PTRM input'!$G$170+'PTRM input'!$G$136)*$G$7)/A28taxstdlife))</f>
        <v>0</v>
      </c>
      <c r="BE833" s="590">
        <f>IF(A28taxstdlife="n/a","n/a",IF(BE$3&gt;(A28taxstdlife+$E833),(('PTRM input'!$G$170+'PTRM input'!$G$136)*$G$7)-SUM($G833:BD833),(('PTRM input'!$G$170+'PTRM input'!$G$136)*$G$7)/A28taxstdlife))</f>
        <v>0</v>
      </c>
      <c r="BF833" s="590">
        <f>IF(A28taxstdlife="n/a","n/a",IF(BF$3&gt;(A28taxstdlife+$E833),(('PTRM input'!$G$170+'PTRM input'!$G$136)*$G$7)-SUM($G833:BE833),(('PTRM input'!$G$170+'PTRM input'!$G$136)*$G$7)/A28taxstdlife))</f>
        <v>0</v>
      </c>
      <c r="BG833" s="590">
        <f>IF(A28taxstdlife="n/a","n/a",IF(BG$3&gt;(A28taxstdlife+$E833),(('PTRM input'!$G$170+'PTRM input'!$G$136)*$G$7)-SUM($G833:BF833),(('PTRM input'!$G$170+'PTRM input'!$G$136)*$G$7)/A28taxstdlife))</f>
        <v>0</v>
      </c>
      <c r="BH833" s="590">
        <f>IF(A28taxstdlife="n/a","n/a",IF(BH$3&gt;(A28taxstdlife+$E833),(('PTRM input'!$G$170+'PTRM input'!$G$136)*$G$7)-SUM($G833:BG833),(('PTRM input'!$G$170+'PTRM input'!$G$136)*$G$7)/A28taxstdlife))</f>
        <v>0</v>
      </c>
      <c r="BI833" s="590">
        <f>IF(A28taxstdlife="n/a","n/a",IF(BI$3&gt;(A28taxstdlife+$E833),(('PTRM input'!$G$170+'PTRM input'!$G$136)*$G$7)-SUM($G833:BH833),(('PTRM input'!$G$170+'PTRM input'!$G$136)*$G$7)/A28taxstdlife))</f>
        <v>0</v>
      </c>
      <c r="BJ833" s="240"/>
      <c r="BK833" s="240"/>
      <c r="BL833" s="240"/>
      <c r="BM833" s="240"/>
    </row>
    <row r="834" spans="1:65" s="4" customFormat="1" hidden="1" outlineLevel="2">
      <c r="A834" s="240"/>
      <c r="B834" s="240"/>
      <c r="C834" s="595"/>
      <c r="D834" s="1618"/>
      <c r="E834" s="169">
        <v>2</v>
      </c>
      <c r="F834" s="35"/>
      <c r="G834" s="184"/>
      <c r="H834" s="185"/>
      <c r="I834" s="107">
        <f>IF(A28taxstdlife="n/a","n/a",IF(I$3&gt;(A28taxstdlife+$E834),(('PTRM input'!$H$170+'PTRM input'!$H$136)*$H$7)-SUM($H834:H834),(('PTRM input'!$H$170+'PTRM input'!$H$136)*$H$7)/A28taxstdlife))</f>
        <v>0</v>
      </c>
      <c r="J834" s="107">
        <f>IF(A28taxstdlife="n/a","n/a",IF(J$3&gt;(A28taxstdlife+$E834),(('PTRM input'!$H$170+'PTRM input'!$H$136)*$H$7)-SUM($H834:I834),(('PTRM input'!$H$170+'PTRM input'!$H$136)*$H$7)/A28taxstdlife))</f>
        <v>0</v>
      </c>
      <c r="K834" s="107">
        <f>IF(A28taxstdlife="n/a","n/a",IF(K$3&gt;(A28taxstdlife+$E834),(('PTRM input'!$H$170+'PTRM input'!$H$136)*$H$7)-SUM($H834:J834),(('PTRM input'!$H$170+'PTRM input'!$H$136)*$H$7)/A28taxstdlife))</f>
        <v>0</v>
      </c>
      <c r="L834" s="107">
        <f>IF(A28taxstdlife="n/a","n/a",IF(L$3&gt;(A28taxstdlife+$E834),(('PTRM input'!$H$170+'PTRM input'!$H$136)*$H$7)-SUM($H834:K834),(('PTRM input'!$H$170+'PTRM input'!$H$136)*$H$7)/A28taxstdlife))</f>
        <v>0</v>
      </c>
      <c r="M834" s="107">
        <f>IF(A28taxstdlife="n/a","n/a",IF(M$3&gt;(A28taxstdlife+$E834),(('PTRM input'!$H$170+'PTRM input'!$H$136)*$H$7)-SUM($H834:L834),(('PTRM input'!$H$170+'PTRM input'!$H$136)*$H$7)/A28taxstdlife))</f>
        <v>0</v>
      </c>
      <c r="N834" s="107">
        <f>IF(A28taxstdlife="n/a","n/a",IF(N$3&gt;(A28taxstdlife+$E834),(('PTRM input'!$H$170+'PTRM input'!$H$136)*$H$7)-SUM($H834:M834),(('PTRM input'!$H$170+'PTRM input'!$H$136)*$H$7)/A28taxstdlife))</f>
        <v>0</v>
      </c>
      <c r="O834" s="107">
        <f>IF(A28taxstdlife="n/a","n/a",IF(O$3&gt;(A28taxstdlife+$E834),(('PTRM input'!$H$170+'PTRM input'!$H$136)*$H$7)-SUM($H834:N834),(('PTRM input'!$H$170+'PTRM input'!$H$136)*$H$7)/A28taxstdlife))</f>
        <v>0</v>
      </c>
      <c r="P834" s="107">
        <f>IF(A28taxstdlife="n/a","n/a",IF(P$3&gt;(A28taxstdlife+$E834),(('PTRM input'!$H$170+'PTRM input'!$H$136)*$H$7)-SUM($H834:O834),(('PTRM input'!$H$170+'PTRM input'!$H$136)*$H$7)/A28taxstdlife))</f>
        <v>0</v>
      </c>
      <c r="Q834" s="590">
        <f>IF(A28taxstdlife="n/a","n/a",IF(Q$3&gt;(A28taxstdlife+$E834),(('PTRM input'!$H$170+'PTRM input'!$H$136)*$H$7)-SUM($H834:P834),(('PTRM input'!$H$170+'PTRM input'!$H$136)*$H$7)/A28taxstdlife))</f>
        <v>0</v>
      </c>
      <c r="R834" s="590">
        <f>IF(A28taxstdlife="n/a","n/a",IF(R$3&gt;(A28taxstdlife+$E834),(('PTRM input'!$H$170+'PTRM input'!$H$136)*$H$7)-SUM($H834:Q834),(('PTRM input'!$H$170+'PTRM input'!$H$136)*$H$7)/A28taxstdlife))</f>
        <v>0</v>
      </c>
      <c r="S834" s="590">
        <f>IF(A28taxstdlife="n/a","n/a",IF(S$3&gt;(A28taxstdlife+$E834),(('PTRM input'!$H$170+'PTRM input'!$H$136)*$H$7)-SUM($H834:R834),(('PTRM input'!$H$170+'PTRM input'!$H$136)*$H$7)/A28taxstdlife))</f>
        <v>0</v>
      </c>
      <c r="T834" s="590">
        <f>IF(A28taxstdlife="n/a","n/a",IF(T$3&gt;(A28taxstdlife+$E834),(('PTRM input'!$H$170+'PTRM input'!$H$136)*$H$7)-SUM($H834:S834),(('PTRM input'!$H$170+'PTRM input'!$H$136)*$H$7)/A28taxstdlife))</f>
        <v>0</v>
      </c>
      <c r="U834" s="590">
        <f>IF(A28taxstdlife="n/a","n/a",IF(U$3&gt;(A28taxstdlife+$E834),(('PTRM input'!$H$170+'PTRM input'!$H$136)*$H$7)-SUM($H834:T834),(('PTRM input'!$H$170+'PTRM input'!$H$136)*$H$7)/A28taxstdlife))</f>
        <v>0</v>
      </c>
      <c r="V834" s="590">
        <f>IF(A28taxstdlife="n/a","n/a",IF(V$3&gt;(A28taxstdlife+$E834),(('PTRM input'!$H$170+'PTRM input'!$H$136)*$H$7)-SUM($H834:U834),(('PTRM input'!$H$170+'PTRM input'!$H$136)*$H$7)/A28taxstdlife))</f>
        <v>0</v>
      </c>
      <c r="W834" s="590">
        <f>IF(A28taxstdlife="n/a","n/a",IF(W$3&gt;(A28taxstdlife+$E834),(('PTRM input'!$H$170+'PTRM input'!$H$136)*$H$7)-SUM($H834:V834),(('PTRM input'!$H$170+'PTRM input'!$H$136)*$H$7)/A28taxstdlife))</f>
        <v>0</v>
      </c>
      <c r="X834" s="590">
        <f>IF(A28taxstdlife="n/a","n/a",IF(X$3&gt;(A28taxstdlife+$E834),(('PTRM input'!$H$170+'PTRM input'!$H$136)*$H$7)-SUM($H834:W834),(('PTRM input'!$H$170+'PTRM input'!$H$136)*$H$7)/A28taxstdlife))</f>
        <v>0</v>
      </c>
      <c r="Y834" s="590">
        <f>IF(A28taxstdlife="n/a","n/a",IF(Y$3&gt;(A28taxstdlife+$E834),(('PTRM input'!$H$170+'PTRM input'!$H$136)*$H$7)-SUM($H834:X834),(('PTRM input'!$H$170+'PTRM input'!$H$136)*$H$7)/A28taxstdlife))</f>
        <v>0</v>
      </c>
      <c r="Z834" s="590">
        <f>IF(A28taxstdlife="n/a","n/a",IF(Z$3&gt;(A28taxstdlife+$E834),(('PTRM input'!$H$170+'PTRM input'!$H$136)*$H$7)-SUM($H834:Y834),(('PTRM input'!$H$170+'PTRM input'!$H$136)*$H$7)/A28taxstdlife))</f>
        <v>0</v>
      </c>
      <c r="AA834" s="590">
        <f>IF(A28taxstdlife="n/a","n/a",IF(AA$3&gt;(A28taxstdlife+$E834),(('PTRM input'!$H$170+'PTRM input'!$H$136)*$H$7)-SUM($H834:Z834),(('PTRM input'!$H$170+'PTRM input'!$H$136)*$H$7)/A28taxstdlife))</f>
        <v>0</v>
      </c>
      <c r="AB834" s="590">
        <f>IF(A28taxstdlife="n/a","n/a",IF(AB$3&gt;(A28taxstdlife+$E834),(('PTRM input'!$H$170+'PTRM input'!$H$136)*$H$7)-SUM($H834:AA834),(('PTRM input'!$H$170+'PTRM input'!$H$136)*$H$7)/A28taxstdlife))</f>
        <v>0</v>
      </c>
      <c r="AC834" s="590">
        <f>IF(A28taxstdlife="n/a","n/a",IF(AC$3&gt;(A28taxstdlife+$E834),(('PTRM input'!$H$170+'PTRM input'!$H$136)*$H$7)-SUM($H834:AB834),(('PTRM input'!$H$170+'PTRM input'!$H$136)*$H$7)/A28taxstdlife))</f>
        <v>0</v>
      </c>
      <c r="AD834" s="590">
        <f>IF(A28taxstdlife="n/a","n/a",IF(AD$3&gt;(A28taxstdlife+$E834),(('PTRM input'!$H$170+'PTRM input'!$H$136)*$H$7)-SUM($H834:AC834),(('PTRM input'!$H$170+'PTRM input'!$H$136)*$H$7)/A28taxstdlife))</f>
        <v>0</v>
      </c>
      <c r="AE834" s="590">
        <f>IF(A28taxstdlife="n/a","n/a",IF(AE$3&gt;(A28taxstdlife+$E834),(('PTRM input'!$H$170+'PTRM input'!$H$136)*$H$7)-SUM($H834:AD834),(('PTRM input'!$H$170+'PTRM input'!$H$136)*$H$7)/A28taxstdlife))</f>
        <v>0</v>
      </c>
      <c r="AF834" s="590">
        <f>IF(A28taxstdlife="n/a","n/a",IF(AF$3&gt;(A28taxstdlife+$E834),(('PTRM input'!$H$170+'PTRM input'!$H$136)*$H$7)-SUM($H834:AE834),(('PTRM input'!$H$170+'PTRM input'!$H$136)*$H$7)/A28taxstdlife))</f>
        <v>0</v>
      </c>
      <c r="AG834" s="590">
        <f>IF(A28taxstdlife="n/a","n/a",IF(AG$3&gt;(A28taxstdlife+$E834),(('PTRM input'!$H$170+'PTRM input'!$H$136)*$H$7)-SUM($H834:AF834),(('PTRM input'!$H$170+'PTRM input'!$H$136)*$H$7)/A28taxstdlife))</f>
        <v>0</v>
      </c>
      <c r="AH834" s="590">
        <f>IF(A28taxstdlife="n/a","n/a",IF(AH$3&gt;(A28taxstdlife+$E834),(('PTRM input'!$H$170+'PTRM input'!$H$136)*$H$7)-SUM($H834:AG834),(('PTRM input'!$H$170+'PTRM input'!$H$136)*$H$7)/A28taxstdlife))</f>
        <v>0</v>
      </c>
      <c r="AI834" s="590">
        <f>IF(A28taxstdlife="n/a","n/a",IF(AI$3&gt;(A28taxstdlife+$E834),(('PTRM input'!$H$170+'PTRM input'!$H$136)*$H$7)-SUM($H834:AH834),(('PTRM input'!$H$170+'PTRM input'!$H$136)*$H$7)/A28taxstdlife))</f>
        <v>0</v>
      </c>
      <c r="AJ834" s="590">
        <f>IF(A28taxstdlife="n/a","n/a",IF(AJ$3&gt;(A28taxstdlife+$E834),(('PTRM input'!$H$170+'PTRM input'!$H$136)*$H$7)-SUM($H834:AI834),(('PTRM input'!$H$170+'PTRM input'!$H$136)*$H$7)/A28taxstdlife))</f>
        <v>0</v>
      </c>
      <c r="AK834" s="590">
        <f>IF(A28taxstdlife="n/a","n/a",IF(AK$3&gt;(A28taxstdlife+$E834),(('PTRM input'!$H$170+'PTRM input'!$H$136)*$H$7)-SUM($H834:AJ834),(('PTRM input'!$H$170+'PTRM input'!$H$136)*$H$7)/A28taxstdlife))</f>
        <v>0</v>
      </c>
      <c r="AL834" s="590">
        <f>IF(A28taxstdlife="n/a","n/a",IF(AL$3&gt;(A28taxstdlife+$E834),(('PTRM input'!$H$170+'PTRM input'!$H$136)*$H$7)-SUM($H834:AK834),(('PTRM input'!$H$170+'PTRM input'!$H$136)*$H$7)/A28taxstdlife))</f>
        <v>0</v>
      </c>
      <c r="AM834" s="590">
        <f>IF(A28taxstdlife="n/a","n/a",IF(AM$3&gt;(A28taxstdlife+$E834),(('PTRM input'!$H$170+'PTRM input'!$H$136)*$H$7)-SUM($H834:AL834),(('PTRM input'!$H$170+'PTRM input'!$H$136)*$H$7)/A28taxstdlife))</f>
        <v>0</v>
      </c>
      <c r="AN834" s="590">
        <f>IF(A28taxstdlife="n/a","n/a",IF(AN$3&gt;(A28taxstdlife+$E834),(('PTRM input'!$H$170+'PTRM input'!$H$136)*$H$7)-SUM($H834:AM834),(('PTRM input'!$H$170+'PTRM input'!$H$136)*$H$7)/A28taxstdlife))</f>
        <v>0</v>
      </c>
      <c r="AO834" s="590">
        <f>IF(A28taxstdlife="n/a","n/a",IF(AO$3&gt;(A28taxstdlife+$E834),(('PTRM input'!$H$170+'PTRM input'!$H$136)*$H$7)-SUM($H834:AN834),(('PTRM input'!$H$170+'PTRM input'!$H$136)*$H$7)/A28taxstdlife))</f>
        <v>0</v>
      </c>
      <c r="AP834" s="590">
        <f>IF(A28taxstdlife="n/a","n/a",IF(AP$3&gt;(A28taxstdlife+$E834),(('PTRM input'!$H$170+'PTRM input'!$H$136)*$H$7)-SUM($H834:AO834),(('PTRM input'!$H$170+'PTRM input'!$H$136)*$H$7)/A28taxstdlife))</f>
        <v>0</v>
      </c>
      <c r="AQ834" s="590">
        <f>IF(A28taxstdlife="n/a","n/a",IF(AQ$3&gt;(A28taxstdlife+$E834),(('PTRM input'!$H$170+'PTRM input'!$H$136)*$H$7)-SUM($H834:AP834),(('PTRM input'!$H$170+'PTRM input'!$H$136)*$H$7)/A28taxstdlife))</f>
        <v>0</v>
      </c>
      <c r="AR834" s="590">
        <f>IF(A28taxstdlife="n/a","n/a",IF(AR$3&gt;(A28taxstdlife+$E834),(('PTRM input'!$H$170+'PTRM input'!$H$136)*$H$7)-SUM($H834:AQ834),(('PTRM input'!$H$170+'PTRM input'!$H$136)*$H$7)/A28taxstdlife))</f>
        <v>0</v>
      </c>
      <c r="AS834" s="590">
        <f>IF(A28taxstdlife="n/a","n/a",IF(AS$3&gt;(A28taxstdlife+$E834),(('PTRM input'!$H$170+'PTRM input'!$H$136)*$H$7)-SUM($H834:AR834),(('PTRM input'!$H$170+'PTRM input'!$H$136)*$H$7)/A28taxstdlife))</f>
        <v>0</v>
      </c>
      <c r="AT834" s="590">
        <f>IF(A28taxstdlife="n/a","n/a",IF(AT$3&gt;(A28taxstdlife+$E834),(('PTRM input'!$H$170+'PTRM input'!$H$136)*$H$7)-SUM($H834:AS834),(('PTRM input'!$H$170+'PTRM input'!$H$136)*$H$7)/A28taxstdlife))</f>
        <v>0</v>
      </c>
      <c r="AU834" s="590">
        <f>IF(A28taxstdlife="n/a","n/a",IF(AU$3&gt;(A28taxstdlife+$E834),(('PTRM input'!$H$170+'PTRM input'!$H$136)*$H$7)-SUM($H834:AT834),(('PTRM input'!$H$170+'PTRM input'!$H$136)*$H$7)/A28taxstdlife))</f>
        <v>0</v>
      </c>
      <c r="AV834" s="590">
        <f>IF(A28taxstdlife="n/a","n/a",IF(AV$3&gt;(A28taxstdlife+$E834),(('PTRM input'!$H$170+'PTRM input'!$H$136)*$H$7)-SUM($H834:AU834),(('PTRM input'!$H$170+'PTRM input'!$H$136)*$H$7)/A28taxstdlife))</f>
        <v>0</v>
      </c>
      <c r="AW834" s="590">
        <f>IF(A28taxstdlife="n/a","n/a",IF(AW$3&gt;(A28taxstdlife+$E834),(('PTRM input'!$H$170+'PTRM input'!$H$136)*$H$7)-SUM($H834:AV834),(('PTRM input'!$H$170+'PTRM input'!$H$136)*$H$7)/A28taxstdlife))</f>
        <v>0</v>
      </c>
      <c r="AX834" s="590">
        <f>IF(A28taxstdlife="n/a","n/a",IF(AX$3&gt;(A28taxstdlife+$E834),(('PTRM input'!$H$170+'PTRM input'!$H$136)*$H$7)-SUM($H834:AW834),(('PTRM input'!$H$170+'PTRM input'!$H$136)*$H$7)/A28taxstdlife))</f>
        <v>0</v>
      </c>
      <c r="AY834" s="590">
        <f>IF(A28taxstdlife="n/a","n/a",IF(AY$3&gt;(A28taxstdlife+$E834),(('PTRM input'!$H$170+'PTRM input'!$H$136)*$H$7)-SUM($H834:AX834),(('PTRM input'!$H$170+'PTRM input'!$H$136)*$H$7)/A28taxstdlife))</f>
        <v>0</v>
      </c>
      <c r="AZ834" s="590">
        <f>IF(A28taxstdlife="n/a","n/a",IF(AZ$3&gt;(A28taxstdlife+$E834),(('PTRM input'!$H$170+'PTRM input'!$H$136)*$H$7)-SUM($H834:AY834),(('PTRM input'!$H$170+'PTRM input'!$H$136)*$H$7)/A28taxstdlife))</f>
        <v>0</v>
      </c>
      <c r="BA834" s="590">
        <f>IF(A28taxstdlife="n/a","n/a",IF(BA$3&gt;(A28taxstdlife+$E834),(('PTRM input'!$H$170+'PTRM input'!$H$136)*$H$7)-SUM($H834:AZ834),(('PTRM input'!$H$170+'PTRM input'!$H$136)*$H$7)/A28taxstdlife))</f>
        <v>0</v>
      </c>
      <c r="BB834" s="590">
        <f>IF(A28taxstdlife="n/a","n/a",IF(BB$3&gt;(A28taxstdlife+$E834),(('PTRM input'!$H$170+'PTRM input'!$H$136)*$H$7)-SUM($H834:BA834),(('PTRM input'!$H$170+'PTRM input'!$H$136)*$H$7)/A28taxstdlife))</f>
        <v>0</v>
      </c>
      <c r="BC834" s="590">
        <f>IF(A28taxstdlife="n/a","n/a",IF(BC$3&gt;(A28taxstdlife+$E834),(('PTRM input'!$H$170+'PTRM input'!$H$136)*$H$7)-SUM($H834:BB834),(('PTRM input'!$H$170+'PTRM input'!$H$136)*$H$7)/A28taxstdlife))</f>
        <v>0</v>
      </c>
      <c r="BD834" s="590">
        <f>IF(A28taxstdlife="n/a","n/a",IF(BD$3&gt;(A28taxstdlife+$E834),(('PTRM input'!$H$170+'PTRM input'!$H$136)*$H$7)-SUM($H834:BC834),(('PTRM input'!$H$170+'PTRM input'!$H$136)*$H$7)/A28taxstdlife))</f>
        <v>0</v>
      </c>
      <c r="BE834" s="590">
        <f>IF(A28taxstdlife="n/a","n/a",IF(BE$3&gt;(A28taxstdlife+$E834),(('PTRM input'!$H$170+'PTRM input'!$H$136)*$H$7)-SUM($H834:BD834),(('PTRM input'!$H$170+'PTRM input'!$H$136)*$H$7)/A28taxstdlife))</f>
        <v>0</v>
      </c>
      <c r="BF834" s="590">
        <f>IF(A28taxstdlife="n/a","n/a",IF(BF$3&gt;(A28taxstdlife+$E834),(('PTRM input'!$H$170+'PTRM input'!$H$136)*$H$7)-SUM($H834:BE834),(('PTRM input'!$H$170+'PTRM input'!$H$136)*$H$7)/A28taxstdlife))</f>
        <v>0</v>
      </c>
      <c r="BG834" s="590">
        <f>IF(A28taxstdlife="n/a","n/a",IF(BG$3&gt;(A28taxstdlife+$E834),(('PTRM input'!$H$170+'PTRM input'!$H$136)*$H$7)-SUM($H834:BF834),(('PTRM input'!$H$170+'PTRM input'!$H$136)*$H$7)/A28taxstdlife))</f>
        <v>0</v>
      </c>
      <c r="BH834" s="590">
        <f>IF(A28taxstdlife="n/a","n/a",IF(BH$3&gt;(A28taxstdlife+$E834),(('PTRM input'!$H$170+'PTRM input'!$H$136)*$H$7)-SUM($H834:BG834),(('PTRM input'!$H$170+'PTRM input'!$H$136)*$H$7)/A28taxstdlife))</f>
        <v>0</v>
      </c>
      <c r="BI834" s="590">
        <f>IF(A28taxstdlife="n/a","n/a",IF(BI$3&gt;(A28taxstdlife+$E834),(('PTRM input'!$H$170+'PTRM input'!$H$136)*$H$7)-SUM($H834:BH834),(('PTRM input'!$H$170+'PTRM input'!$H$136)*$H$7)/A28taxstdlife))</f>
        <v>0</v>
      </c>
      <c r="BJ834" s="240"/>
      <c r="BK834" s="240"/>
      <c r="BL834" s="240"/>
      <c r="BM834" s="240"/>
    </row>
    <row r="835" spans="1:65" s="4" customFormat="1" hidden="1" outlineLevel="2">
      <c r="A835" s="240"/>
      <c r="B835" s="240"/>
      <c r="C835" s="595"/>
      <c r="D835" s="1618"/>
      <c r="E835" s="169">
        <v>3</v>
      </c>
      <c r="F835" s="35"/>
      <c r="G835" s="184"/>
      <c r="H835" s="186"/>
      <c r="I835" s="185"/>
      <c r="J835" s="107">
        <f>IF(A28taxstdlife="n/a","n/a",IF(J$3&gt;(A28taxstdlife+$E835),(('PTRM input'!$I$170+'PTRM input'!$I$136)*$I$7)-SUM($I835:I835),(('PTRM input'!$I$170+'PTRM input'!$I$136)*$I$7)/A28taxstdlife))</f>
        <v>0</v>
      </c>
      <c r="K835" s="107">
        <f>IF(A28taxstdlife="n/a","n/a",IF(K$3&gt;(A28taxstdlife+$E835),(('PTRM input'!$I$170+'PTRM input'!$I$136)*$I$7)-SUM($I835:J835),(('PTRM input'!$I$170+'PTRM input'!$I$136)*$I$7)/A28taxstdlife))</f>
        <v>0</v>
      </c>
      <c r="L835" s="107">
        <f>IF(A28taxstdlife="n/a","n/a",IF(L$3&gt;(A28taxstdlife+$E835),(('PTRM input'!$I$170+'PTRM input'!$I$136)*$I$7)-SUM($I835:K835),(('PTRM input'!$I$170+'PTRM input'!$I$136)*$I$7)/A28taxstdlife))</f>
        <v>0</v>
      </c>
      <c r="M835" s="107">
        <f>IF(A28taxstdlife="n/a","n/a",IF(M$3&gt;(A28taxstdlife+$E835),(('PTRM input'!$I$170+'PTRM input'!$I$136)*$I$7)-SUM($I835:L835),(('PTRM input'!$I$170+'PTRM input'!$I$136)*$I$7)/A28taxstdlife))</f>
        <v>0</v>
      </c>
      <c r="N835" s="107">
        <f>IF(A28taxstdlife="n/a","n/a",IF(N$3&gt;(A28taxstdlife+$E835),(('PTRM input'!$I$170+'PTRM input'!$I$136)*$I$7)-SUM($I835:M835),(('PTRM input'!$I$170+'PTRM input'!$I$136)*$I$7)/A28taxstdlife))</f>
        <v>0</v>
      </c>
      <c r="O835" s="107">
        <f>IF(A28taxstdlife="n/a","n/a",IF(O$3&gt;(A28taxstdlife+$E835),(('PTRM input'!$I$170+'PTRM input'!$I$136)*$I$7)-SUM($I835:N835),(('PTRM input'!$I$170+'PTRM input'!$I$136)*$I$7)/A28taxstdlife))</f>
        <v>0</v>
      </c>
      <c r="P835" s="107">
        <f>IF(A28taxstdlife="n/a","n/a",IF(P$3&gt;(A28taxstdlife+$E835),(('PTRM input'!$I$170+'PTRM input'!$I$136)*$I$7)-SUM($I835:O835),(('PTRM input'!$I$170+'PTRM input'!$I$136)*$I$7)/A28taxstdlife))</f>
        <v>0</v>
      </c>
      <c r="Q835" s="590">
        <f>IF(A28taxstdlife="n/a","n/a",IF(Q$3&gt;(A28taxstdlife+$E835),(('PTRM input'!$I$170+'PTRM input'!$I$136)*$I$7)-SUM($I835:P835),(('PTRM input'!$I$170+'PTRM input'!$I$136)*$I$7)/A28taxstdlife))</f>
        <v>0</v>
      </c>
      <c r="R835" s="590">
        <f>IF(A28taxstdlife="n/a","n/a",IF(R$3&gt;(A28taxstdlife+$E835),(('PTRM input'!$I$170+'PTRM input'!$I$136)*$I$7)-SUM($I835:Q835),(('PTRM input'!$I$170+'PTRM input'!$I$136)*$I$7)/A28taxstdlife))</f>
        <v>0</v>
      </c>
      <c r="S835" s="590">
        <f>IF(A28taxstdlife="n/a","n/a",IF(S$3&gt;(A28taxstdlife+$E835),(('PTRM input'!$I$170+'PTRM input'!$I$136)*$I$7)-SUM($I835:R835),(('PTRM input'!$I$170+'PTRM input'!$I$136)*$I$7)/A28taxstdlife))</f>
        <v>0</v>
      </c>
      <c r="T835" s="590">
        <f>IF(A28taxstdlife="n/a","n/a",IF(T$3&gt;(A28taxstdlife+$E835),(('PTRM input'!$I$170+'PTRM input'!$I$136)*$I$7)-SUM($I835:S835),(('PTRM input'!$I$170+'PTRM input'!$I$136)*$I$7)/A28taxstdlife))</f>
        <v>0</v>
      </c>
      <c r="U835" s="590">
        <f>IF(A28taxstdlife="n/a","n/a",IF(U$3&gt;(A28taxstdlife+$E835),(('PTRM input'!$I$170+'PTRM input'!$I$136)*$I$7)-SUM($I835:T835),(('PTRM input'!$I$170+'PTRM input'!$I$136)*$I$7)/A28taxstdlife))</f>
        <v>0</v>
      </c>
      <c r="V835" s="590">
        <f>IF(A28taxstdlife="n/a","n/a",IF(V$3&gt;(A28taxstdlife+$E835),(('PTRM input'!$I$170+'PTRM input'!$I$136)*$I$7)-SUM($I835:U835),(('PTRM input'!$I$170+'PTRM input'!$I$136)*$I$7)/A28taxstdlife))</f>
        <v>0</v>
      </c>
      <c r="W835" s="590">
        <f>IF(A28taxstdlife="n/a","n/a",IF(W$3&gt;(A28taxstdlife+$E835),(('PTRM input'!$I$170+'PTRM input'!$I$136)*$I$7)-SUM($I835:V835),(('PTRM input'!$I$170+'PTRM input'!$I$136)*$I$7)/A28taxstdlife))</f>
        <v>0</v>
      </c>
      <c r="X835" s="590">
        <f>IF(A28taxstdlife="n/a","n/a",IF(X$3&gt;(A28taxstdlife+$E835),(('PTRM input'!$I$170+'PTRM input'!$I$136)*$I$7)-SUM($I835:W835),(('PTRM input'!$I$170+'PTRM input'!$I$136)*$I$7)/A28taxstdlife))</f>
        <v>0</v>
      </c>
      <c r="Y835" s="590">
        <f>IF(A28taxstdlife="n/a","n/a",IF(Y$3&gt;(A28taxstdlife+$E835),(('PTRM input'!$I$170+'PTRM input'!$I$136)*$I$7)-SUM($I835:X835),(('PTRM input'!$I$170+'PTRM input'!$I$136)*$I$7)/A28taxstdlife))</f>
        <v>0</v>
      </c>
      <c r="Z835" s="590">
        <f>IF(A28taxstdlife="n/a","n/a",IF(Z$3&gt;(A28taxstdlife+$E835),(('PTRM input'!$I$170+'PTRM input'!$I$136)*$I$7)-SUM($I835:Y835),(('PTRM input'!$I$170+'PTRM input'!$I$136)*$I$7)/A28taxstdlife))</f>
        <v>0</v>
      </c>
      <c r="AA835" s="590">
        <f>IF(A28taxstdlife="n/a","n/a",IF(AA$3&gt;(A28taxstdlife+$E835),(('PTRM input'!$I$170+'PTRM input'!$I$136)*$I$7)-SUM($I835:Z835),(('PTRM input'!$I$170+'PTRM input'!$I$136)*$I$7)/A28taxstdlife))</f>
        <v>0</v>
      </c>
      <c r="AB835" s="590">
        <f>IF(A28taxstdlife="n/a","n/a",IF(AB$3&gt;(A28taxstdlife+$E835),(('PTRM input'!$I$170+'PTRM input'!$I$136)*$I$7)-SUM($I835:AA835),(('PTRM input'!$I$170+'PTRM input'!$I$136)*$I$7)/A28taxstdlife))</f>
        <v>0</v>
      </c>
      <c r="AC835" s="590">
        <f>IF(A28taxstdlife="n/a","n/a",IF(AC$3&gt;(A28taxstdlife+$E835),(('PTRM input'!$I$170+'PTRM input'!$I$136)*$I$7)-SUM($I835:AB835),(('PTRM input'!$I$170+'PTRM input'!$I$136)*$I$7)/A28taxstdlife))</f>
        <v>0</v>
      </c>
      <c r="AD835" s="590">
        <f>IF(A28taxstdlife="n/a","n/a",IF(AD$3&gt;(A28taxstdlife+$E835),(('PTRM input'!$I$170+'PTRM input'!$I$136)*$I$7)-SUM($I835:AC835),(('PTRM input'!$I$170+'PTRM input'!$I$136)*$I$7)/A28taxstdlife))</f>
        <v>0</v>
      </c>
      <c r="AE835" s="590">
        <f>IF(A28taxstdlife="n/a","n/a",IF(AE$3&gt;(A28taxstdlife+$E835),(('PTRM input'!$I$170+'PTRM input'!$I$136)*$I$7)-SUM($I835:AD835),(('PTRM input'!$I$170+'PTRM input'!$I$136)*$I$7)/A28taxstdlife))</f>
        <v>0</v>
      </c>
      <c r="AF835" s="590">
        <f>IF(A28taxstdlife="n/a","n/a",IF(AF$3&gt;(A28taxstdlife+$E835),(('PTRM input'!$I$170+'PTRM input'!$I$136)*$I$7)-SUM($I835:AE835),(('PTRM input'!$I$170+'PTRM input'!$I$136)*$I$7)/A28taxstdlife))</f>
        <v>0</v>
      </c>
      <c r="AG835" s="590">
        <f>IF(A28taxstdlife="n/a","n/a",IF(AG$3&gt;(A28taxstdlife+$E835),(('PTRM input'!$I$170+'PTRM input'!$I$136)*$I$7)-SUM($I835:AF835),(('PTRM input'!$I$170+'PTRM input'!$I$136)*$I$7)/A28taxstdlife))</f>
        <v>0</v>
      </c>
      <c r="AH835" s="590">
        <f>IF(A28taxstdlife="n/a","n/a",IF(AH$3&gt;(A28taxstdlife+$E835),(('PTRM input'!$I$170+'PTRM input'!$I$136)*$I$7)-SUM($I835:AG835),(('PTRM input'!$I$170+'PTRM input'!$I$136)*$I$7)/A28taxstdlife))</f>
        <v>0</v>
      </c>
      <c r="AI835" s="590">
        <f>IF(A28taxstdlife="n/a","n/a",IF(AI$3&gt;(A28taxstdlife+$E835),(('PTRM input'!$I$170+'PTRM input'!$I$136)*$I$7)-SUM($I835:AH835),(('PTRM input'!$I$170+'PTRM input'!$I$136)*$I$7)/A28taxstdlife))</f>
        <v>0</v>
      </c>
      <c r="AJ835" s="590">
        <f>IF(A28taxstdlife="n/a","n/a",IF(AJ$3&gt;(A28taxstdlife+$E835),(('PTRM input'!$I$170+'PTRM input'!$I$136)*$I$7)-SUM($I835:AI835),(('PTRM input'!$I$170+'PTRM input'!$I$136)*$I$7)/A28taxstdlife))</f>
        <v>0</v>
      </c>
      <c r="AK835" s="590">
        <f>IF(A28taxstdlife="n/a","n/a",IF(AK$3&gt;(A28taxstdlife+$E835),(('PTRM input'!$I$170+'PTRM input'!$I$136)*$I$7)-SUM($I835:AJ835),(('PTRM input'!$I$170+'PTRM input'!$I$136)*$I$7)/A28taxstdlife))</f>
        <v>0</v>
      </c>
      <c r="AL835" s="590">
        <f>IF(A28taxstdlife="n/a","n/a",IF(AL$3&gt;(A28taxstdlife+$E835),(('PTRM input'!$I$170+'PTRM input'!$I$136)*$I$7)-SUM($I835:AK835),(('PTRM input'!$I$170+'PTRM input'!$I$136)*$I$7)/A28taxstdlife))</f>
        <v>0</v>
      </c>
      <c r="AM835" s="590">
        <f>IF(A28taxstdlife="n/a","n/a",IF(AM$3&gt;(A28taxstdlife+$E835),(('PTRM input'!$I$170+'PTRM input'!$I$136)*$I$7)-SUM($I835:AL835),(('PTRM input'!$I$170+'PTRM input'!$I$136)*$I$7)/A28taxstdlife))</f>
        <v>0</v>
      </c>
      <c r="AN835" s="590">
        <f>IF(A28taxstdlife="n/a","n/a",IF(AN$3&gt;(A28taxstdlife+$E835),(('PTRM input'!$I$170+'PTRM input'!$I$136)*$I$7)-SUM($I835:AM835),(('PTRM input'!$I$170+'PTRM input'!$I$136)*$I$7)/A28taxstdlife))</f>
        <v>0</v>
      </c>
      <c r="AO835" s="590">
        <f>IF(A28taxstdlife="n/a","n/a",IF(AO$3&gt;(A28taxstdlife+$E835),(('PTRM input'!$I$170+'PTRM input'!$I$136)*$I$7)-SUM($I835:AN835),(('PTRM input'!$I$170+'PTRM input'!$I$136)*$I$7)/A28taxstdlife))</f>
        <v>0</v>
      </c>
      <c r="AP835" s="590">
        <f>IF(A28taxstdlife="n/a","n/a",IF(AP$3&gt;(A28taxstdlife+$E835),(('PTRM input'!$I$170+'PTRM input'!$I$136)*$I$7)-SUM($I835:AO835),(('PTRM input'!$I$170+'PTRM input'!$I$136)*$I$7)/A28taxstdlife))</f>
        <v>0</v>
      </c>
      <c r="AQ835" s="590">
        <f>IF(A28taxstdlife="n/a","n/a",IF(AQ$3&gt;(A28taxstdlife+$E835),(('PTRM input'!$I$170+'PTRM input'!$I$136)*$I$7)-SUM($I835:AP835),(('PTRM input'!$I$170+'PTRM input'!$I$136)*$I$7)/A28taxstdlife))</f>
        <v>0</v>
      </c>
      <c r="AR835" s="590">
        <f>IF(A28taxstdlife="n/a","n/a",IF(AR$3&gt;(A28taxstdlife+$E835),(('PTRM input'!$I$170+'PTRM input'!$I$136)*$I$7)-SUM($I835:AQ835),(('PTRM input'!$I$170+'PTRM input'!$I$136)*$I$7)/A28taxstdlife))</f>
        <v>0</v>
      </c>
      <c r="AS835" s="590">
        <f>IF(A28taxstdlife="n/a","n/a",IF(AS$3&gt;(A28taxstdlife+$E835),(('PTRM input'!$I$170+'PTRM input'!$I$136)*$I$7)-SUM($I835:AR835),(('PTRM input'!$I$170+'PTRM input'!$I$136)*$I$7)/A28taxstdlife))</f>
        <v>0</v>
      </c>
      <c r="AT835" s="590">
        <f>IF(A28taxstdlife="n/a","n/a",IF(AT$3&gt;(A28taxstdlife+$E835),(('PTRM input'!$I$170+'PTRM input'!$I$136)*$I$7)-SUM($I835:AS835),(('PTRM input'!$I$170+'PTRM input'!$I$136)*$I$7)/A28taxstdlife))</f>
        <v>0</v>
      </c>
      <c r="AU835" s="590">
        <f>IF(A28taxstdlife="n/a","n/a",IF(AU$3&gt;(A28taxstdlife+$E835),(('PTRM input'!$I$170+'PTRM input'!$I$136)*$I$7)-SUM($I835:AT835),(('PTRM input'!$I$170+'PTRM input'!$I$136)*$I$7)/A28taxstdlife))</f>
        <v>0</v>
      </c>
      <c r="AV835" s="590">
        <f>IF(A28taxstdlife="n/a","n/a",IF(AV$3&gt;(A28taxstdlife+$E835),(('PTRM input'!$I$170+'PTRM input'!$I$136)*$I$7)-SUM($I835:AU835),(('PTRM input'!$I$170+'PTRM input'!$I$136)*$I$7)/A28taxstdlife))</f>
        <v>0</v>
      </c>
      <c r="AW835" s="590">
        <f>IF(A28taxstdlife="n/a","n/a",IF(AW$3&gt;(A28taxstdlife+$E835),(('PTRM input'!$I$170+'PTRM input'!$I$136)*$I$7)-SUM($I835:AV835),(('PTRM input'!$I$170+'PTRM input'!$I$136)*$I$7)/A28taxstdlife))</f>
        <v>0</v>
      </c>
      <c r="AX835" s="590">
        <f>IF(A28taxstdlife="n/a","n/a",IF(AX$3&gt;(A28taxstdlife+$E835),(('PTRM input'!$I$170+'PTRM input'!$I$136)*$I$7)-SUM($I835:AW835),(('PTRM input'!$I$170+'PTRM input'!$I$136)*$I$7)/A28taxstdlife))</f>
        <v>0</v>
      </c>
      <c r="AY835" s="590">
        <f>IF(A28taxstdlife="n/a","n/a",IF(AY$3&gt;(A28taxstdlife+$E835),(('PTRM input'!$I$170+'PTRM input'!$I$136)*$I$7)-SUM($I835:AX835),(('PTRM input'!$I$170+'PTRM input'!$I$136)*$I$7)/A28taxstdlife))</f>
        <v>0</v>
      </c>
      <c r="AZ835" s="590">
        <f>IF(A28taxstdlife="n/a","n/a",IF(AZ$3&gt;(A28taxstdlife+$E835),(('PTRM input'!$I$170+'PTRM input'!$I$136)*$I$7)-SUM($I835:AY835),(('PTRM input'!$I$170+'PTRM input'!$I$136)*$I$7)/A28taxstdlife))</f>
        <v>0</v>
      </c>
      <c r="BA835" s="590">
        <f>IF(A28taxstdlife="n/a","n/a",IF(BA$3&gt;(A28taxstdlife+$E835),(('PTRM input'!$I$170+'PTRM input'!$I$136)*$I$7)-SUM($I835:AZ835),(('PTRM input'!$I$170+'PTRM input'!$I$136)*$I$7)/A28taxstdlife))</f>
        <v>0</v>
      </c>
      <c r="BB835" s="590">
        <f>IF(A28taxstdlife="n/a","n/a",IF(BB$3&gt;(A28taxstdlife+$E835),(('PTRM input'!$I$170+'PTRM input'!$I$136)*$I$7)-SUM($I835:BA835),(('PTRM input'!$I$170+'PTRM input'!$I$136)*$I$7)/A28taxstdlife))</f>
        <v>0</v>
      </c>
      <c r="BC835" s="590">
        <f>IF(A28taxstdlife="n/a","n/a",IF(BC$3&gt;(A28taxstdlife+$E835),(('PTRM input'!$I$170+'PTRM input'!$I$136)*$I$7)-SUM($I835:BB835),(('PTRM input'!$I$170+'PTRM input'!$I$136)*$I$7)/A28taxstdlife))</f>
        <v>0</v>
      </c>
      <c r="BD835" s="590">
        <f>IF(A28taxstdlife="n/a","n/a",IF(BD$3&gt;(A28taxstdlife+$E835),(('PTRM input'!$I$170+'PTRM input'!$I$136)*$I$7)-SUM($I835:BC835),(('PTRM input'!$I$170+'PTRM input'!$I$136)*$I$7)/A28taxstdlife))</f>
        <v>0</v>
      </c>
      <c r="BE835" s="590">
        <f>IF(A28taxstdlife="n/a","n/a",IF(BE$3&gt;(A28taxstdlife+$E835),(('PTRM input'!$I$170+'PTRM input'!$I$136)*$I$7)-SUM($I835:BD835),(('PTRM input'!$I$170+'PTRM input'!$I$136)*$I$7)/A28taxstdlife))</f>
        <v>0</v>
      </c>
      <c r="BF835" s="590">
        <f>IF(A28taxstdlife="n/a","n/a",IF(BF$3&gt;(A28taxstdlife+$E835),(('PTRM input'!$I$170+'PTRM input'!$I$136)*$I$7)-SUM($I835:BE835),(('PTRM input'!$I$170+'PTRM input'!$I$136)*$I$7)/A28taxstdlife))</f>
        <v>0</v>
      </c>
      <c r="BG835" s="590">
        <f>IF(A28taxstdlife="n/a","n/a",IF(BG$3&gt;(A28taxstdlife+$E835),(('PTRM input'!$I$170+'PTRM input'!$I$136)*$I$7)-SUM($I835:BF835),(('PTRM input'!$I$170+'PTRM input'!$I$136)*$I$7)/A28taxstdlife))</f>
        <v>0</v>
      </c>
      <c r="BH835" s="590">
        <f>IF(A28taxstdlife="n/a","n/a",IF(BH$3&gt;(A28taxstdlife+$E835),(('PTRM input'!$I$170+'PTRM input'!$I$136)*$I$7)-SUM($I835:BG835),(('PTRM input'!$I$170+'PTRM input'!$I$136)*$I$7)/A28taxstdlife))</f>
        <v>0</v>
      </c>
      <c r="BI835" s="590">
        <f>IF(A28taxstdlife="n/a","n/a",IF(BI$3&gt;(A28taxstdlife+$E835),(('PTRM input'!$I$170+'PTRM input'!$I$136)*$I$7)-SUM($I835:BH835),(('PTRM input'!$I$170+'PTRM input'!$I$136)*$I$7)/A28taxstdlife))</f>
        <v>0</v>
      </c>
      <c r="BJ835" s="590"/>
      <c r="BK835" s="240"/>
      <c r="BL835" s="240"/>
      <c r="BM835" s="240"/>
    </row>
    <row r="836" spans="1:65" s="4" customFormat="1" hidden="1" outlineLevel="2">
      <c r="A836" s="240"/>
      <c r="B836" s="240"/>
      <c r="C836" s="595"/>
      <c r="D836" s="1618"/>
      <c r="E836" s="169">
        <v>4</v>
      </c>
      <c r="F836" s="35"/>
      <c r="G836" s="184"/>
      <c r="H836" s="186"/>
      <c r="I836" s="186"/>
      <c r="J836" s="185"/>
      <c r="K836" s="107">
        <f>IF(A28taxstdlife="n/a","n/a",IF(K$3&gt;(A28taxstdlife+$E836),(('PTRM input'!$J$170+'PTRM input'!$J$136)*$J$7)-SUM($J836:J836),(('PTRM input'!$J$170+'PTRM input'!$J$136)*$J$7)/A28taxstdlife))</f>
        <v>0</v>
      </c>
      <c r="L836" s="107">
        <f>IF(A28taxstdlife="n/a","n/a",IF(L$3&gt;(A28taxstdlife+$E836),(('PTRM input'!$J$170+'PTRM input'!$J$136)*$J$7)-SUM($J836:K836),(('PTRM input'!$J$170+'PTRM input'!$J$136)*$J$7)/A28taxstdlife))</f>
        <v>0</v>
      </c>
      <c r="M836" s="107">
        <f>IF(A28taxstdlife="n/a","n/a",IF(M$3&gt;(A28taxstdlife+$E836),(('PTRM input'!$J$170+'PTRM input'!$J$136)*$J$7)-SUM($J836:L836),(('PTRM input'!$J$170+'PTRM input'!$J$136)*$J$7)/A28taxstdlife))</f>
        <v>0</v>
      </c>
      <c r="N836" s="107">
        <f>IF(A28taxstdlife="n/a","n/a",IF(N$3&gt;(A28taxstdlife+$E836),(('PTRM input'!$J$170+'PTRM input'!$J$136)*$J$7)-SUM($J836:M836),(('PTRM input'!$J$170+'PTRM input'!$J$136)*$J$7)/A28taxstdlife))</f>
        <v>0</v>
      </c>
      <c r="O836" s="107">
        <f>IF(A28taxstdlife="n/a","n/a",IF(O$3&gt;(A28taxstdlife+$E836),(('PTRM input'!$J$170+'PTRM input'!$J$136)*$J$7)-SUM($J836:N836),(('PTRM input'!$J$170+'PTRM input'!$J$136)*$J$7)/A28taxstdlife))</f>
        <v>0</v>
      </c>
      <c r="P836" s="107">
        <f>IF(A28taxstdlife="n/a","n/a",IF(P$3&gt;(A28taxstdlife+$E836),(('PTRM input'!$J$170+'PTRM input'!$J$136)*$J$7)-SUM($J836:O836),(('PTRM input'!$J$170+'PTRM input'!$J$136)*$J$7)/A28taxstdlife))</f>
        <v>0</v>
      </c>
      <c r="Q836" s="590">
        <f>IF(A28taxstdlife="n/a","n/a",IF(Q$3&gt;(A28taxstdlife+$E836),(('PTRM input'!$J$170+'PTRM input'!$J$136)*$J$7)-SUM($J836:P836),(('PTRM input'!$J$170+'PTRM input'!$J$136)*$J$7)/A28taxstdlife))</f>
        <v>0</v>
      </c>
      <c r="R836" s="590">
        <f>IF(A28taxstdlife="n/a","n/a",IF(R$3&gt;(A28taxstdlife+$E836),(('PTRM input'!$J$170+'PTRM input'!$J$136)*$J$7)-SUM($J836:Q836),(('PTRM input'!$J$170+'PTRM input'!$J$136)*$J$7)/A28taxstdlife))</f>
        <v>0</v>
      </c>
      <c r="S836" s="590">
        <f>IF(A28taxstdlife="n/a","n/a",IF(S$3&gt;(A28taxstdlife+$E836),(('PTRM input'!$J$170+'PTRM input'!$J$136)*$J$7)-SUM($J836:R836),(('PTRM input'!$J$170+'PTRM input'!$J$136)*$J$7)/A28taxstdlife))</f>
        <v>0</v>
      </c>
      <c r="T836" s="590">
        <f>IF(A28taxstdlife="n/a","n/a",IF(T$3&gt;(A28taxstdlife+$E836),(('PTRM input'!$J$170+'PTRM input'!$J$136)*$J$7)-SUM($J836:S836),(('PTRM input'!$J$170+'PTRM input'!$J$136)*$J$7)/A28taxstdlife))</f>
        <v>0</v>
      </c>
      <c r="U836" s="590">
        <f>IF(A28taxstdlife="n/a","n/a",IF(U$3&gt;(A28taxstdlife+$E836),(('PTRM input'!$J$170+'PTRM input'!$J$136)*$J$7)-SUM($J836:T836),(('PTRM input'!$J$170+'PTRM input'!$J$136)*$J$7)/A28taxstdlife))</f>
        <v>0</v>
      </c>
      <c r="V836" s="590">
        <f>IF(A28taxstdlife="n/a","n/a",IF(V$3&gt;(A28taxstdlife+$E836),(('PTRM input'!$J$170+'PTRM input'!$J$136)*$J$7)-SUM($J836:U836),(('PTRM input'!$J$170+'PTRM input'!$J$136)*$J$7)/A28taxstdlife))</f>
        <v>0</v>
      </c>
      <c r="W836" s="590">
        <f>IF(A28taxstdlife="n/a","n/a",IF(W$3&gt;(A28taxstdlife+$E836),(('PTRM input'!$J$170+'PTRM input'!$J$136)*$J$7)-SUM($J836:V836),(('PTRM input'!$J$170+'PTRM input'!$J$136)*$J$7)/A28taxstdlife))</f>
        <v>0</v>
      </c>
      <c r="X836" s="590">
        <f>IF(A28taxstdlife="n/a","n/a",IF(X$3&gt;(A28taxstdlife+$E836),(('PTRM input'!$J$170+'PTRM input'!$J$136)*$J$7)-SUM($J836:W836),(('PTRM input'!$J$170+'PTRM input'!$J$136)*$J$7)/A28taxstdlife))</f>
        <v>0</v>
      </c>
      <c r="Y836" s="590">
        <f>IF(A28taxstdlife="n/a","n/a",IF(Y$3&gt;(A28taxstdlife+$E836),(('PTRM input'!$J$170+'PTRM input'!$J$136)*$J$7)-SUM($J836:X836),(('PTRM input'!$J$170+'PTRM input'!$J$136)*$J$7)/A28taxstdlife))</f>
        <v>0</v>
      </c>
      <c r="Z836" s="590">
        <f>IF(A28taxstdlife="n/a","n/a",IF(Z$3&gt;(A28taxstdlife+$E836),(('PTRM input'!$J$170+'PTRM input'!$J$136)*$J$7)-SUM($J836:Y836),(('PTRM input'!$J$170+'PTRM input'!$J$136)*$J$7)/A28taxstdlife))</f>
        <v>0</v>
      </c>
      <c r="AA836" s="590">
        <f>IF(A28taxstdlife="n/a","n/a",IF(AA$3&gt;(A28taxstdlife+$E836),(('PTRM input'!$J$170+'PTRM input'!$J$136)*$J$7)-SUM($J836:Z836),(('PTRM input'!$J$170+'PTRM input'!$J$136)*$J$7)/A28taxstdlife))</f>
        <v>0</v>
      </c>
      <c r="AB836" s="590">
        <f>IF(A28taxstdlife="n/a","n/a",IF(AB$3&gt;(A28taxstdlife+$E836),(('PTRM input'!$J$170+'PTRM input'!$J$136)*$J$7)-SUM($J836:AA836),(('PTRM input'!$J$170+'PTRM input'!$J$136)*$J$7)/A28taxstdlife))</f>
        <v>0</v>
      </c>
      <c r="AC836" s="590">
        <f>IF(A28taxstdlife="n/a","n/a",IF(AC$3&gt;(A28taxstdlife+$E836),(('PTRM input'!$J$170+'PTRM input'!$J$136)*$J$7)-SUM($J836:AB836),(('PTRM input'!$J$170+'PTRM input'!$J$136)*$J$7)/A28taxstdlife))</f>
        <v>0</v>
      </c>
      <c r="AD836" s="590">
        <f>IF(A28taxstdlife="n/a","n/a",IF(AD$3&gt;(A28taxstdlife+$E836),(('PTRM input'!$J$170+'PTRM input'!$J$136)*$J$7)-SUM($J836:AC836),(('PTRM input'!$J$170+'PTRM input'!$J$136)*$J$7)/A28taxstdlife))</f>
        <v>0</v>
      </c>
      <c r="AE836" s="590">
        <f>IF(A28taxstdlife="n/a","n/a",IF(AE$3&gt;(A28taxstdlife+$E836),(('PTRM input'!$J$170+'PTRM input'!$J$136)*$J$7)-SUM($J836:AD836),(('PTRM input'!$J$170+'PTRM input'!$J$136)*$J$7)/A28taxstdlife))</f>
        <v>0</v>
      </c>
      <c r="AF836" s="590">
        <f>IF(A28taxstdlife="n/a","n/a",IF(AF$3&gt;(A28taxstdlife+$E836),(('PTRM input'!$J$170+'PTRM input'!$J$136)*$J$7)-SUM($J836:AE836),(('PTRM input'!$J$170+'PTRM input'!$J$136)*$J$7)/A28taxstdlife))</f>
        <v>0</v>
      </c>
      <c r="AG836" s="590">
        <f>IF(A28taxstdlife="n/a","n/a",IF(AG$3&gt;(A28taxstdlife+$E836),(('PTRM input'!$J$170+'PTRM input'!$J$136)*$J$7)-SUM($J836:AF836),(('PTRM input'!$J$170+'PTRM input'!$J$136)*$J$7)/A28taxstdlife))</f>
        <v>0</v>
      </c>
      <c r="AH836" s="590">
        <f>IF(A28taxstdlife="n/a","n/a",IF(AH$3&gt;(A28taxstdlife+$E836),(('PTRM input'!$J$170+'PTRM input'!$J$136)*$J$7)-SUM($J836:AG836),(('PTRM input'!$J$170+'PTRM input'!$J$136)*$J$7)/A28taxstdlife))</f>
        <v>0</v>
      </c>
      <c r="AI836" s="590">
        <f>IF(A28taxstdlife="n/a","n/a",IF(AI$3&gt;(A28taxstdlife+$E836),(('PTRM input'!$J$170+'PTRM input'!$J$136)*$J$7)-SUM($J836:AH836),(('PTRM input'!$J$170+'PTRM input'!$J$136)*$J$7)/A28taxstdlife))</f>
        <v>0</v>
      </c>
      <c r="AJ836" s="590">
        <f>IF(A28taxstdlife="n/a","n/a",IF(AJ$3&gt;(A28taxstdlife+$E836),(('PTRM input'!$J$170+'PTRM input'!$J$136)*$J$7)-SUM($J836:AI836),(('PTRM input'!$J$170+'PTRM input'!$J$136)*$J$7)/A28taxstdlife))</f>
        <v>0</v>
      </c>
      <c r="AK836" s="590">
        <f>IF(A28taxstdlife="n/a","n/a",IF(AK$3&gt;(A28taxstdlife+$E836),(('PTRM input'!$J$170+'PTRM input'!$J$136)*$J$7)-SUM($J836:AJ836),(('PTRM input'!$J$170+'PTRM input'!$J$136)*$J$7)/A28taxstdlife))</f>
        <v>0</v>
      </c>
      <c r="AL836" s="590">
        <f>IF(A28taxstdlife="n/a","n/a",IF(AL$3&gt;(A28taxstdlife+$E836),(('PTRM input'!$J$170+'PTRM input'!$J$136)*$J$7)-SUM($J836:AK836),(('PTRM input'!$J$170+'PTRM input'!$J$136)*$J$7)/A28taxstdlife))</f>
        <v>0</v>
      </c>
      <c r="AM836" s="590">
        <f>IF(A28taxstdlife="n/a","n/a",IF(AM$3&gt;(A28taxstdlife+$E836),(('PTRM input'!$J$170+'PTRM input'!$J$136)*$J$7)-SUM($J836:AL836),(('PTRM input'!$J$170+'PTRM input'!$J$136)*$J$7)/A28taxstdlife))</f>
        <v>0</v>
      </c>
      <c r="AN836" s="590">
        <f>IF(A28taxstdlife="n/a","n/a",IF(AN$3&gt;(A28taxstdlife+$E836),(('PTRM input'!$J$170+'PTRM input'!$J$136)*$J$7)-SUM($J836:AM836),(('PTRM input'!$J$170+'PTRM input'!$J$136)*$J$7)/A28taxstdlife))</f>
        <v>0</v>
      </c>
      <c r="AO836" s="590">
        <f>IF(A28taxstdlife="n/a","n/a",IF(AO$3&gt;(A28taxstdlife+$E836),(('PTRM input'!$J$170+'PTRM input'!$J$136)*$J$7)-SUM($J836:AN836),(('PTRM input'!$J$170+'PTRM input'!$J$136)*$J$7)/A28taxstdlife))</f>
        <v>0</v>
      </c>
      <c r="AP836" s="590">
        <f>IF(A28taxstdlife="n/a","n/a",IF(AP$3&gt;(A28taxstdlife+$E836),(('PTRM input'!$J$170+'PTRM input'!$J$136)*$J$7)-SUM($J836:AO836),(('PTRM input'!$J$170+'PTRM input'!$J$136)*$J$7)/A28taxstdlife))</f>
        <v>0</v>
      </c>
      <c r="AQ836" s="590">
        <f>IF(A28taxstdlife="n/a","n/a",IF(AQ$3&gt;(A28taxstdlife+$E836),(('PTRM input'!$J$170+'PTRM input'!$J$136)*$J$7)-SUM($J836:AP836),(('PTRM input'!$J$170+'PTRM input'!$J$136)*$J$7)/A28taxstdlife))</f>
        <v>0</v>
      </c>
      <c r="AR836" s="590">
        <f>IF(A28taxstdlife="n/a","n/a",IF(AR$3&gt;(A28taxstdlife+$E836),(('PTRM input'!$J$170+'PTRM input'!$J$136)*$J$7)-SUM($J836:AQ836),(('PTRM input'!$J$170+'PTRM input'!$J$136)*$J$7)/A28taxstdlife))</f>
        <v>0</v>
      </c>
      <c r="AS836" s="590">
        <f>IF(A28taxstdlife="n/a","n/a",IF(AS$3&gt;(A28taxstdlife+$E836),(('PTRM input'!$J$170+'PTRM input'!$J$136)*$J$7)-SUM($J836:AR836),(('PTRM input'!$J$170+'PTRM input'!$J$136)*$J$7)/A28taxstdlife))</f>
        <v>0</v>
      </c>
      <c r="AT836" s="590">
        <f>IF(A28taxstdlife="n/a","n/a",IF(AT$3&gt;(A28taxstdlife+$E836),(('PTRM input'!$J$170+'PTRM input'!$J$136)*$J$7)-SUM($J836:AS836),(('PTRM input'!$J$170+'PTRM input'!$J$136)*$J$7)/A28taxstdlife))</f>
        <v>0</v>
      </c>
      <c r="AU836" s="590">
        <f>IF(A28taxstdlife="n/a","n/a",IF(AU$3&gt;(A28taxstdlife+$E836),(('PTRM input'!$J$170+'PTRM input'!$J$136)*$J$7)-SUM($J836:AT836),(('PTRM input'!$J$170+'PTRM input'!$J$136)*$J$7)/A28taxstdlife))</f>
        <v>0</v>
      </c>
      <c r="AV836" s="590">
        <f>IF(A28taxstdlife="n/a","n/a",IF(AV$3&gt;(A28taxstdlife+$E836),(('PTRM input'!$J$170+'PTRM input'!$J$136)*$J$7)-SUM($J836:AU836),(('PTRM input'!$J$170+'PTRM input'!$J$136)*$J$7)/A28taxstdlife))</f>
        <v>0</v>
      </c>
      <c r="AW836" s="590">
        <f>IF(A28taxstdlife="n/a","n/a",IF(AW$3&gt;(A28taxstdlife+$E836),(('PTRM input'!$J$170+'PTRM input'!$J$136)*$J$7)-SUM($J836:AV836),(('PTRM input'!$J$170+'PTRM input'!$J$136)*$J$7)/A28taxstdlife))</f>
        <v>0</v>
      </c>
      <c r="AX836" s="590">
        <f>IF(A28taxstdlife="n/a","n/a",IF(AX$3&gt;(A28taxstdlife+$E836),(('PTRM input'!$J$170+'PTRM input'!$J$136)*$J$7)-SUM($J836:AW836),(('PTRM input'!$J$170+'PTRM input'!$J$136)*$J$7)/A28taxstdlife))</f>
        <v>0</v>
      </c>
      <c r="AY836" s="590">
        <f>IF(A28taxstdlife="n/a","n/a",IF(AY$3&gt;(A28taxstdlife+$E836),(('PTRM input'!$J$170+'PTRM input'!$J$136)*$J$7)-SUM($J836:AX836),(('PTRM input'!$J$170+'PTRM input'!$J$136)*$J$7)/A28taxstdlife))</f>
        <v>0</v>
      </c>
      <c r="AZ836" s="590">
        <f>IF(A28taxstdlife="n/a","n/a",IF(AZ$3&gt;(A28taxstdlife+$E836),(('PTRM input'!$J$170+'PTRM input'!$J$136)*$J$7)-SUM($J836:AY836),(('PTRM input'!$J$170+'PTRM input'!$J$136)*$J$7)/A28taxstdlife))</f>
        <v>0</v>
      </c>
      <c r="BA836" s="590">
        <f>IF(A28taxstdlife="n/a","n/a",IF(BA$3&gt;(A28taxstdlife+$E836),(('PTRM input'!$J$170+'PTRM input'!$J$136)*$J$7)-SUM($J836:AZ836),(('PTRM input'!$J$170+'PTRM input'!$J$136)*$J$7)/A28taxstdlife))</f>
        <v>0</v>
      </c>
      <c r="BB836" s="590">
        <f>IF(A28taxstdlife="n/a","n/a",IF(BB$3&gt;(A28taxstdlife+$E836),(('PTRM input'!$J$170+'PTRM input'!$J$136)*$J$7)-SUM($J836:BA836),(('PTRM input'!$J$170+'PTRM input'!$J$136)*$J$7)/A28taxstdlife))</f>
        <v>0</v>
      </c>
      <c r="BC836" s="590">
        <f>IF(A28taxstdlife="n/a","n/a",IF(BC$3&gt;(A28taxstdlife+$E836),(('PTRM input'!$J$170+'PTRM input'!$J$136)*$J$7)-SUM($J836:BB836),(('PTRM input'!$J$170+'PTRM input'!$J$136)*$J$7)/A28taxstdlife))</f>
        <v>0</v>
      </c>
      <c r="BD836" s="590">
        <f>IF(A28taxstdlife="n/a","n/a",IF(BD$3&gt;(A28taxstdlife+$E836),(('PTRM input'!$J$170+'PTRM input'!$J$136)*$J$7)-SUM($J836:BC836),(('PTRM input'!$J$170+'PTRM input'!$J$136)*$J$7)/A28taxstdlife))</f>
        <v>0</v>
      </c>
      <c r="BE836" s="590">
        <f>IF(A28taxstdlife="n/a","n/a",IF(BE$3&gt;(A28taxstdlife+$E836),(('PTRM input'!$J$170+'PTRM input'!$J$136)*$J$7)-SUM($J836:BD836),(('PTRM input'!$J$170+'PTRM input'!$J$136)*$J$7)/A28taxstdlife))</f>
        <v>0</v>
      </c>
      <c r="BF836" s="590">
        <f>IF(A28taxstdlife="n/a","n/a",IF(BF$3&gt;(A28taxstdlife+$E836),(('PTRM input'!$J$170+'PTRM input'!$J$136)*$J$7)-SUM($J836:BE836),(('PTRM input'!$J$170+'PTRM input'!$J$136)*$J$7)/A28taxstdlife))</f>
        <v>0</v>
      </c>
      <c r="BG836" s="590">
        <f>IF(A28taxstdlife="n/a","n/a",IF(BG$3&gt;(A28taxstdlife+$E836),(('PTRM input'!$J$170+'PTRM input'!$J$136)*$J$7)-SUM($J836:BF836),(('PTRM input'!$J$170+'PTRM input'!$J$136)*$J$7)/A28taxstdlife))</f>
        <v>0</v>
      </c>
      <c r="BH836" s="590">
        <f>IF(A28taxstdlife="n/a","n/a",IF(BH$3&gt;(A28taxstdlife+$E836),(('PTRM input'!$J$170+'PTRM input'!$J$136)*$J$7)-SUM($J836:BG836),(('PTRM input'!$J$170+'PTRM input'!$J$136)*$J$7)/A28taxstdlife))</f>
        <v>0</v>
      </c>
      <c r="BI836" s="590">
        <f>IF(A28taxstdlife="n/a","n/a",IF(BI$3&gt;(A28taxstdlife+$E836),(('PTRM input'!$J$170+'PTRM input'!$J$136)*$J$7)-SUM($J836:BH836),(('PTRM input'!$J$170+'PTRM input'!$J$136)*$J$7)/A28taxstdlife))</f>
        <v>0</v>
      </c>
      <c r="BJ836" s="240"/>
      <c r="BK836" s="240"/>
      <c r="BL836" s="240"/>
      <c r="BM836" s="240"/>
    </row>
    <row r="837" spans="1:65" s="4" customFormat="1" hidden="1" outlineLevel="2">
      <c r="A837" s="240"/>
      <c r="B837" s="240"/>
      <c r="C837" s="595"/>
      <c r="D837" s="1618"/>
      <c r="E837" s="169">
        <v>5</v>
      </c>
      <c r="F837" s="35"/>
      <c r="G837" s="184"/>
      <c r="H837" s="186"/>
      <c r="I837" s="186"/>
      <c r="J837" s="186"/>
      <c r="K837" s="185"/>
      <c r="L837" s="107">
        <f>IF(A28taxstdlife="n/a","n/a",IF(L$3&gt;(A28taxstdlife+$E837),(('PTRM input'!$K$170+'PTRM input'!$K$136)*$K$7)-SUM($K837:K837),(('PTRM input'!$K$170+'PTRM input'!$K$136)*$K$7)/A28taxstdlife))</f>
        <v>0</v>
      </c>
      <c r="M837" s="107">
        <f>IF(A28taxstdlife="n/a","n/a",IF(M$3&gt;(A28taxstdlife+$E837),(('PTRM input'!$K$170+'PTRM input'!$K$136)*$K$7)-SUM($K837:L837),(('PTRM input'!$K$170+'PTRM input'!$K$136)*$K$7)/A28taxstdlife))</f>
        <v>0</v>
      </c>
      <c r="N837" s="107">
        <f>IF(A28taxstdlife="n/a","n/a",IF(N$3&gt;(A28taxstdlife+$E837),(('PTRM input'!$K$170+'PTRM input'!$K$136)*$K$7)-SUM($K837:M837),(('PTRM input'!$K$170+'PTRM input'!$K$136)*$K$7)/A28taxstdlife))</f>
        <v>0</v>
      </c>
      <c r="O837" s="107">
        <f>IF(A28taxstdlife="n/a","n/a",IF(O$3&gt;(A28taxstdlife+$E837),(('PTRM input'!$K$170+'PTRM input'!$K$136)*$K$7)-SUM($K837:N837),(('PTRM input'!$K$170+'PTRM input'!$K$136)*$K$7)/A28taxstdlife))</f>
        <v>0</v>
      </c>
      <c r="P837" s="107">
        <f>IF(A28taxstdlife="n/a","n/a",IF(P$3&gt;(A28taxstdlife+$E837),(('PTRM input'!$K$170+'PTRM input'!$K$136)*$K$7)-SUM($K837:O837),(('PTRM input'!$K$170+'PTRM input'!$K$136)*$K$7)/A28taxstdlife))</f>
        <v>0</v>
      </c>
      <c r="Q837" s="590">
        <f>IF(A28taxstdlife="n/a","n/a",IF(Q$3&gt;(A28taxstdlife+$E837),(('PTRM input'!$K$170+'PTRM input'!$K$136)*$K$7)-SUM($K837:P837),(('PTRM input'!$K$170+'PTRM input'!$K$136)*$K$7)/A28taxstdlife))</f>
        <v>0</v>
      </c>
      <c r="R837" s="590">
        <f>IF(A28taxstdlife="n/a","n/a",IF(R$3&gt;(A28taxstdlife+$E837),(('PTRM input'!$K$170+'PTRM input'!$K$136)*$K$7)-SUM($K837:Q837),(('PTRM input'!$K$170+'PTRM input'!$K$136)*$K$7)/A28taxstdlife))</f>
        <v>0</v>
      </c>
      <c r="S837" s="590">
        <f>IF(A28taxstdlife="n/a","n/a",IF(S$3&gt;(A28taxstdlife+$E837),(('PTRM input'!$K$170+'PTRM input'!$K$136)*$K$7)-SUM($K837:R837),(('PTRM input'!$K$170+'PTRM input'!$K$136)*$K$7)/A28taxstdlife))</f>
        <v>0</v>
      </c>
      <c r="T837" s="590">
        <f>IF(A28taxstdlife="n/a","n/a",IF(T$3&gt;(A28taxstdlife+$E837),(('PTRM input'!$K$170+'PTRM input'!$K$136)*$K$7)-SUM($K837:S837),(('PTRM input'!$K$170+'PTRM input'!$K$136)*$K$7)/A28taxstdlife))</f>
        <v>0</v>
      </c>
      <c r="U837" s="590">
        <f>IF(A28taxstdlife="n/a","n/a",IF(U$3&gt;(A28taxstdlife+$E837),(('PTRM input'!$K$170+'PTRM input'!$K$136)*$K$7)-SUM($K837:T837),(('PTRM input'!$K$170+'PTRM input'!$K$136)*$K$7)/A28taxstdlife))</f>
        <v>0</v>
      </c>
      <c r="V837" s="590">
        <f>IF(A28taxstdlife="n/a","n/a",IF(V$3&gt;(A28taxstdlife+$E837),(('PTRM input'!$K$170+'PTRM input'!$K$136)*$K$7)-SUM($K837:U837),(('PTRM input'!$K$170+'PTRM input'!$K$136)*$K$7)/A28taxstdlife))</f>
        <v>0</v>
      </c>
      <c r="W837" s="590">
        <f>IF(A28taxstdlife="n/a","n/a",IF(W$3&gt;(A28taxstdlife+$E837),(('PTRM input'!$K$170+'PTRM input'!$K$136)*$K$7)-SUM($K837:V837),(('PTRM input'!$K$170+'PTRM input'!$K$136)*$K$7)/A28taxstdlife))</f>
        <v>0</v>
      </c>
      <c r="X837" s="590">
        <f>IF(A28taxstdlife="n/a","n/a",IF(X$3&gt;(A28taxstdlife+$E837),(('PTRM input'!$K$170+'PTRM input'!$K$136)*$K$7)-SUM($K837:W837),(('PTRM input'!$K$170+'PTRM input'!$K$136)*$K$7)/A28taxstdlife))</f>
        <v>0</v>
      </c>
      <c r="Y837" s="590">
        <f>IF(A28taxstdlife="n/a","n/a",IF(Y$3&gt;(A28taxstdlife+$E837),(('PTRM input'!$K$170+'PTRM input'!$K$136)*$K$7)-SUM($K837:X837),(('PTRM input'!$K$170+'PTRM input'!$K$136)*$K$7)/A28taxstdlife))</f>
        <v>0</v>
      </c>
      <c r="Z837" s="590">
        <f>IF(A28taxstdlife="n/a","n/a",IF(Z$3&gt;(A28taxstdlife+$E837),(('PTRM input'!$K$170+'PTRM input'!$K$136)*$K$7)-SUM($K837:Y837),(('PTRM input'!$K$170+'PTRM input'!$K$136)*$K$7)/A28taxstdlife))</f>
        <v>0</v>
      </c>
      <c r="AA837" s="590">
        <f>IF(A28taxstdlife="n/a","n/a",IF(AA$3&gt;(A28taxstdlife+$E837),(('PTRM input'!$K$170+'PTRM input'!$K$136)*$K$7)-SUM($K837:Z837),(('PTRM input'!$K$170+'PTRM input'!$K$136)*$K$7)/A28taxstdlife))</f>
        <v>0</v>
      </c>
      <c r="AB837" s="590">
        <f>IF(A28taxstdlife="n/a","n/a",IF(AB$3&gt;(A28taxstdlife+$E837),(('PTRM input'!$K$170+'PTRM input'!$K$136)*$K$7)-SUM($K837:AA837),(('PTRM input'!$K$170+'PTRM input'!$K$136)*$K$7)/A28taxstdlife))</f>
        <v>0</v>
      </c>
      <c r="AC837" s="590">
        <f>IF(A28taxstdlife="n/a","n/a",IF(AC$3&gt;(A28taxstdlife+$E837),(('PTRM input'!$K$170+'PTRM input'!$K$136)*$K$7)-SUM($K837:AB837),(('PTRM input'!$K$170+'PTRM input'!$K$136)*$K$7)/A28taxstdlife))</f>
        <v>0</v>
      </c>
      <c r="AD837" s="590">
        <f>IF(A28taxstdlife="n/a","n/a",IF(AD$3&gt;(A28taxstdlife+$E837),(('PTRM input'!$K$170+'PTRM input'!$K$136)*$K$7)-SUM($K837:AC837),(('PTRM input'!$K$170+'PTRM input'!$K$136)*$K$7)/A28taxstdlife))</f>
        <v>0</v>
      </c>
      <c r="AE837" s="590">
        <f>IF(A28taxstdlife="n/a","n/a",IF(AE$3&gt;(A28taxstdlife+$E837),(('PTRM input'!$K$170+'PTRM input'!$K$136)*$K$7)-SUM($K837:AD837),(('PTRM input'!$K$170+'PTRM input'!$K$136)*$K$7)/A28taxstdlife))</f>
        <v>0</v>
      </c>
      <c r="AF837" s="590">
        <f>IF(A28taxstdlife="n/a","n/a",IF(AF$3&gt;(A28taxstdlife+$E837),(('PTRM input'!$K$170+'PTRM input'!$K$136)*$K$7)-SUM($K837:AE837),(('PTRM input'!$K$170+'PTRM input'!$K$136)*$K$7)/A28taxstdlife))</f>
        <v>0</v>
      </c>
      <c r="AG837" s="590">
        <f>IF(A28taxstdlife="n/a","n/a",IF(AG$3&gt;(A28taxstdlife+$E837),(('PTRM input'!$K$170+'PTRM input'!$K$136)*$K$7)-SUM($K837:AF837),(('PTRM input'!$K$170+'PTRM input'!$K$136)*$K$7)/A28taxstdlife))</f>
        <v>0</v>
      </c>
      <c r="AH837" s="590">
        <f>IF(A28taxstdlife="n/a","n/a",IF(AH$3&gt;(A28taxstdlife+$E837),(('PTRM input'!$K$170+'PTRM input'!$K$136)*$K$7)-SUM($K837:AG837),(('PTRM input'!$K$170+'PTRM input'!$K$136)*$K$7)/A28taxstdlife))</f>
        <v>0</v>
      </c>
      <c r="AI837" s="590">
        <f>IF(A28taxstdlife="n/a","n/a",IF(AI$3&gt;(A28taxstdlife+$E837),(('PTRM input'!$K$170+'PTRM input'!$K$136)*$K$7)-SUM($K837:AH837),(('PTRM input'!$K$170+'PTRM input'!$K$136)*$K$7)/A28taxstdlife))</f>
        <v>0</v>
      </c>
      <c r="AJ837" s="590">
        <f>IF(A28taxstdlife="n/a","n/a",IF(AJ$3&gt;(A28taxstdlife+$E837),(('PTRM input'!$K$170+'PTRM input'!$K$136)*$K$7)-SUM($K837:AI837),(('PTRM input'!$K$170+'PTRM input'!$K$136)*$K$7)/A28taxstdlife))</f>
        <v>0</v>
      </c>
      <c r="AK837" s="590">
        <f>IF(A28taxstdlife="n/a","n/a",IF(AK$3&gt;(A28taxstdlife+$E837),(('PTRM input'!$K$170+'PTRM input'!$K$136)*$K$7)-SUM($K837:AJ837),(('PTRM input'!$K$170+'PTRM input'!$K$136)*$K$7)/A28taxstdlife))</f>
        <v>0</v>
      </c>
      <c r="AL837" s="590">
        <f>IF(A28taxstdlife="n/a","n/a",IF(AL$3&gt;(A28taxstdlife+$E837),(('PTRM input'!$K$170+'PTRM input'!$K$136)*$K$7)-SUM($K837:AK837),(('PTRM input'!$K$170+'PTRM input'!$K$136)*$K$7)/A28taxstdlife))</f>
        <v>0</v>
      </c>
      <c r="AM837" s="590">
        <f>IF(A28taxstdlife="n/a","n/a",IF(AM$3&gt;(A28taxstdlife+$E837),(('PTRM input'!$K$170+'PTRM input'!$K$136)*$K$7)-SUM($K837:AL837),(('PTRM input'!$K$170+'PTRM input'!$K$136)*$K$7)/A28taxstdlife))</f>
        <v>0</v>
      </c>
      <c r="AN837" s="590">
        <f>IF(A28taxstdlife="n/a","n/a",IF(AN$3&gt;(A28taxstdlife+$E837),(('PTRM input'!$K$170+'PTRM input'!$K$136)*$K$7)-SUM($K837:AM837),(('PTRM input'!$K$170+'PTRM input'!$K$136)*$K$7)/A28taxstdlife))</f>
        <v>0</v>
      </c>
      <c r="AO837" s="590">
        <f>IF(A28taxstdlife="n/a","n/a",IF(AO$3&gt;(A28taxstdlife+$E837),(('PTRM input'!$K$170+'PTRM input'!$K$136)*$K$7)-SUM($K837:AN837),(('PTRM input'!$K$170+'PTRM input'!$K$136)*$K$7)/A28taxstdlife))</f>
        <v>0</v>
      </c>
      <c r="AP837" s="590">
        <f>IF(A28taxstdlife="n/a","n/a",IF(AP$3&gt;(A28taxstdlife+$E837),(('PTRM input'!$K$170+'PTRM input'!$K$136)*$K$7)-SUM($K837:AO837),(('PTRM input'!$K$170+'PTRM input'!$K$136)*$K$7)/A28taxstdlife))</f>
        <v>0</v>
      </c>
      <c r="AQ837" s="590">
        <f>IF(A28taxstdlife="n/a","n/a",IF(AQ$3&gt;(A28taxstdlife+$E837),(('PTRM input'!$K$170+'PTRM input'!$K$136)*$K$7)-SUM($K837:AP837),(('PTRM input'!$K$170+'PTRM input'!$K$136)*$K$7)/A28taxstdlife))</f>
        <v>0</v>
      </c>
      <c r="AR837" s="590">
        <f>IF(A28taxstdlife="n/a","n/a",IF(AR$3&gt;(A28taxstdlife+$E837),(('PTRM input'!$K$170+'PTRM input'!$K$136)*$K$7)-SUM($K837:AQ837),(('PTRM input'!$K$170+'PTRM input'!$K$136)*$K$7)/A28taxstdlife))</f>
        <v>0</v>
      </c>
      <c r="AS837" s="590">
        <f>IF(A28taxstdlife="n/a","n/a",IF(AS$3&gt;(A28taxstdlife+$E837),(('PTRM input'!$K$170+'PTRM input'!$K$136)*$K$7)-SUM($K837:AR837),(('PTRM input'!$K$170+'PTRM input'!$K$136)*$K$7)/A28taxstdlife))</f>
        <v>0</v>
      </c>
      <c r="AT837" s="590">
        <f>IF(A28taxstdlife="n/a","n/a",IF(AT$3&gt;(A28taxstdlife+$E837),(('PTRM input'!$K$170+'PTRM input'!$K$136)*$K$7)-SUM($K837:AS837),(('PTRM input'!$K$170+'PTRM input'!$K$136)*$K$7)/A28taxstdlife))</f>
        <v>0</v>
      </c>
      <c r="AU837" s="590">
        <f>IF(A28taxstdlife="n/a","n/a",IF(AU$3&gt;(A28taxstdlife+$E837),(('PTRM input'!$K$170+'PTRM input'!$K$136)*$K$7)-SUM($K837:AT837),(('PTRM input'!$K$170+'PTRM input'!$K$136)*$K$7)/A28taxstdlife))</f>
        <v>0</v>
      </c>
      <c r="AV837" s="590">
        <f>IF(A28taxstdlife="n/a","n/a",IF(AV$3&gt;(A28taxstdlife+$E837),(('PTRM input'!$K$170+'PTRM input'!$K$136)*$K$7)-SUM($K837:AU837),(('PTRM input'!$K$170+'PTRM input'!$K$136)*$K$7)/A28taxstdlife))</f>
        <v>0</v>
      </c>
      <c r="AW837" s="590">
        <f>IF(A28taxstdlife="n/a","n/a",IF(AW$3&gt;(A28taxstdlife+$E837),(('PTRM input'!$K$170+'PTRM input'!$K$136)*$K$7)-SUM($K837:AV837),(('PTRM input'!$K$170+'PTRM input'!$K$136)*$K$7)/A28taxstdlife))</f>
        <v>0</v>
      </c>
      <c r="AX837" s="590">
        <f>IF(A28taxstdlife="n/a","n/a",IF(AX$3&gt;(A28taxstdlife+$E837),(('PTRM input'!$K$170+'PTRM input'!$K$136)*$K$7)-SUM($K837:AW837),(('PTRM input'!$K$170+'PTRM input'!$K$136)*$K$7)/A28taxstdlife))</f>
        <v>0</v>
      </c>
      <c r="AY837" s="590">
        <f>IF(A28taxstdlife="n/a","n/a",IF(AY$3&gt;(A28taxstdlife+$E837),(('PTRM input'!$K$170+'PTRM input'!$K$136)*$K$7)-SUM($K837:AX837),(('PTRM input'!$K$170+'PTRM input'!$K$136)*$K$7)/A28taxstdlife))</f>
        <v>0</v>
      </c>
      <c r="AZ837" s="590">
        <f>IF(A28taxstdlife="n/a","n/a",IF(AZ$3&gt;(A28taxstdlife+$E837),(('PTRM input'!$K$170+'PTRM input'!$K$136)*$K$7)-SUM($K837:AY837),(('PTRM input'!$K$170+'PTRM input'!$K$136)*$K$7)/A28taxstdlife))</f>
        <v>0</v>
      </c>
      <c r="BA837" s="590">
        <f>IF(A28taxstdlife="n/a","n/a",IF(BA$3&gt;(A28taxstdlife+$E837),(('PTRM input'!$K$170+'PTRM input'!$K$136)*$K$7)-SUM($K837:AZ837),(('PTRM input'!$K$170+'PTRM input'!$K$136)*$K$7)/A28taxstdlife))</f>
        <v>0</v>
      </c>
      <c r="BB837" s="590">
        <f>IF(A28taxstdlife="n/a","n/a",IF(BB$3&gt;(A28taxstdlife+$E837),(('PTRM input'!$K$170+'PTRM input'!$K$136)*$K$7)-SUM($K837:BA837),(('PTRM input'!$K$170+'PTRM input'!$K$136)*$K$7)/A28taxstdlife))</f>
        <v>0</v>
      </c>
      <c r="BC837" s="590">
        <f>IF(A28taxstdlife="n/a","n/a",IF(BC$3&gt;(A28taxstdlife+$E837),(('PTRM input'!$K$170+'PTRM input'!$K$136)*$K$7)-SUM($K837:BB837),(('PTRM input'!$K$170+'PTRM input'!$K$136)*$K$7)/A28taxstdlife))</f>
        <v>0</v>
      </c>
      <c r="BD837" s="590">
        <f>IF(A28taxstdlife="n/a","n/a",IF(BD$3&gt;(A28taxstdlife+$E837),(('PTRM input'!$K$170+'PTRM input'!$K$136)*$K$7)-SUM($K837:BC837),(('PTRM input'!$K$170+'PTRM input'!$K$136)*$K$7)/A28taxstdlife))</f>
        <v>0</v>
      </c>
      <c r="BE837" s="590">
        <f>IF(A28taxstdlife="n/a","n/a",IF(BE$3&gt;(A28taxstdlife+$E837),(('PTRM input'!$K$170+'PTRM input'!$K$136)*$K$7)-SUM($K837:BD837),(('PTRM input'!$K$170+'PTRM input'!$K$136)*$K$7)/A28taxstdlife))</f>
        <v>0</v>
      </c>
      <c r="BF837" s="590">
        <f>IF(A28taxstdlife="n/a","n/a",IF(BF$3&gt;(A28taxstdlife+$E837),(('PTRM input'!$K$170+'PTRM input'!$K$136)*$K$7)-SUM($K837:BE837),(('PTRM input'!$K$170+'PTRM input'!$K$136)*$K$7)/A28taxstdlife))</f>
        <v>0</v>
      </c>
      <c r="BG837" s="590">
        <f>IF(A28taxstdlife="n/a","n/a",IF(BG$3&gt;(A28taxstdlife+$E837),(('PTRM input'!$K$170+'PTRM input'!$K$136)*$K$7)-SUM($K837:BF837),(('PTRM input'!$K$170+'PTRM input'!$K$136)*$K$7)/A28taxstdlife))</f>
        <v>0</v>
      </c>
      <c r="BH837" s="590">
        <f>IF(A28taxstdlife="n/a","n/a",IF(BH$3&gt;(A28taxstdlife+$E837),(('PTRM input'!$K$170+'PTRM input'!$K$136)*$K$7)-SUM($K837:BG837),(('PTRM input'!$K$170+'PTRM input'!$K$136)*$K$7)/A28taxstdlife))</f>
        <v>0</v>
      </c>
      <c r="BI837" s="590">
        <f>IF(A28taxstdlife="n/a","n/a",IF(BI$3&gt;(A28taxstdlife+$E837),(('PTRM input'!$K$170+'PTRM input'!$K$136)*$K$7)-SUM($K837:BH837),(('PTRM input'!$K$170+'PTRM input'!$K$136)*$K$7)/A28taxstdlife))</f>
        <v>0</v>
      </c>
      <c r="BJ837" s="240"/>
      <c r="BK837" s="240"/>
      <c r="BL837" s="240"/>
      <c r="BM837" s="240"/>
    </row>
    <row r="838" spans="1:65" s="4" customFormat="1" hidden="1" outlineLevel="2">
      <c r="A838" s="240"/>
      <c r="B838" s="240"/>
      <c r="C838" s="595"/>
      <c r="D838" s="1618"/>
      <c r="E838" s="169">
        <v>6</v>
      </c>
      <c r="F838" s="35"/>
      <c r="G838" s="184"/>
      <c r="H838" s="186"/>
      <c r="I838" s="186"/>
      <c r="J838" s="186"/>
      <c r="K838" s="186"/>
      <c r="L838" s="185"/>
      <c r="M838" s="107">
        <f>IF(A28taxstdlife="n/a","n/a",IF(M$3&gt;(A28taxstdlife+$E838),(('PTRM input'!$L$170+'PTRM input'!$L$136)*$L$7)-SUM($L838:L838),(('PTRM input'!$L$170+'PTRM input'!$L$136)*$L$7)/A28taxstdlife))</f>
        <v>0</v>
      </c>
      <c r="N838" s="107">
        <f>IF(A28taxstdlife="n/a","n/a",IF(N$3&gt;(A28taxstdlife+$E838),(('PTRM input'!$L$170+'PTRM input'!$L$136)*$L$7)-SUM($L838:M838),(('PTRM input'!$L$170+'PTRM input'!$L$136)*$L$7)/A28taxstdlife))</f>
        <v>0</v>
      </c>
      <c r="O838" s="107">
        <f>IF(A28taxstdlife="n/a","n/a",IF(O$3&gt;(A28taxstdlife+$E838),(('PTRM input'!$L$170+'PTRM input'!$L$136)*$L$7)-SUM($L838:N838),(('PTRM input'!$L$170+'PTRM input'!$L$136)*$L$7)/A28taxstdlife))</f>
        <v>0</v>
      </c>
      <c r="P838" s="107">
        <f>IF(A28taxstdlife="n/a","n/a",IF(P$3&gt;(A28taxstdlife+$E838),(('PTRM input'!$L$170+'PTRM input'!$L$136)*$L$7)-SUM($L838:O838),(('PTRM input'!$L$170+'PTRM input'!$L$136)*$L$7)/A28taxstdlife))</f>
        <v>0</v>
      </c>
      <c r="Q838" s="590">
        <f>IF(A28taxstdlife="n/a","n/a",IF(Q$3&gt;(A28taxstdlife+$E838),(('PTRM input'!$L$170+'PTRM input'!$L$136)*$L$7)-SUM($L838:P838),(('PTRM input'!$L$170+'PTRM input'!$L$136)*$L$7)/A28taxstdlife))</f>
        <v>0</v>
      </c>
      <c r="R838" s="590">
        <f>IF(A28taxstdlife="n/a","n/a",IF(R$3&gt;(A28taxstdlife+$E838),(('PTRM input'!$L$170+'PTRM input'!$L$136)*$L$7)-SUM($L838:Q838),(('PTRM input'!$L$170+'PTRM input'!$L$136)*$L$7)/A28taxstdlife))</f>
        <v>0</v>
      </c>
      <c r="S838" s="590">
        <f>IF(A28taxstdlife="n/a","n/a",IF(S$3&gt;(A28taxstdlife+$E838),(('PTRM input'!$L$170+'PTRM input'!$L$136)*$L$7)-SUM($L838:R838),(('PTRM input'!$L$170+'PTRM input'!$L$136)*$L$7)/A28taxstdlife))</f>
        <v>0</v>
      </c>
      <c r="T838" s="590">
        <f>IF(A28taxstdlife="n/a","n/a",IF(T$3&gt;(A28taxstdlife+$E838),(('PTRM input'!$L$170+'PTRM input'!$L$136)*$L$7)-SUM($L838:S838),(('PTRM input'!$L$170+'PTRM input'!$L$136)*$L$7)/A28taxstdlife))</f>
        <v>0</v>
      </c>
      <c r="U838" s="590">
        <f>IF(A28taxstdlife="n/a","n/a",IF(U$3&gt;(A28taxstdlife+$E838),(('PTRM input'!$L$170+'PTRM input'!$L$136)*$L$7)-SUM($L838:T838),(('PTRM input'!$L$170+'PTRM input'!$L$136)*$L$7)/A28taxstdlife))</f>
        <v>0</v>
      </c>
      <c r="V838" s="590">
        <f>IF(A28taxstdlife="n/a","n/a",IF(V$3&gt;(A28taxstdlife+$E838),(('PTRM input'!$L$170+'PTRM input'!$L$136)*$L$7)-SUM($L838:U838),(('PTRM input'!$L$170+'PTRM input'!$L$136)*$L$7)/A28taxstdlife))</f>
        <v>0</v>
      </c>
      <c r="W838" s="590">
        <f>IF(A28taxstdlife="n/a","n/a",IF(W$3&gt;(A28taxstdlife+$E838),(('PTRM input'!$L$170+'PTRM input'!$L$136)*$L$7)-SUM($L838:V838),(('PTRM input'!$L$170+'PTRM input'!$L$136)*$L$7)/A28taxstdlife))</f>
        <v>0</v>
      </c>
      <c r="X838" s="590">
        <f>IF(A28taxstdlife="n/a","n/a",IF(X$3&gt;(A28taxstdlife+$E838),(('PTRM input'!$L$170+'PTRM input'!$L$136)*$L$7)-SUM($L838:W838),(('PTRM input'!$L$170+'PTRM input'!$L$136)*$L$7)/A28taxstdlife))</f>
        <v>0</v>
      </c>
      <c r="Y838" s="590">
        <f>IF(A28taxstdlife="n/a","n/a",IF(Y$3&gt;(A28taxstdlife+$E838),(('PTRM input'!$L$170+'PTRM input'!$L$136)*$L$7)-SUM($L838:X838),(('PTRM input'!$L$170+'PTRM input'!$L$136)*$L$7)/A28taxstdlife))</f>
        <v>0</v>
      </c>
      <c r="Z838" s="590">
        <f>IF(A28taxstdlife="n/a","n/a",IF(Z$3&gt;(A28taxstdlife+$E838),(('PTRM input'!$L$170+'PTRM input'!$L$136)*$L$7)-SUM($L838:Y838),(('PTRM input'!$L$170+'PTRM input'!$L$136)*$L$7)/A28taxstdlife))</f>
        <v>0</v>
      </c>
      <c r="AA838" s="590">
        <f>IF(A28taxstdlife="n/a","n/a",IF(AA$3&gt;(A28taxstdlife+$E838),(('PTRM input'!$L$170+'PTRM input'!$L$136)*$L$7)-SUM($L838:Z838),(('PTRM input'!$L$170+'PTRM input'!$L$136)*$L$7)/A28taxstdlife))</f>
        <v>0</v>
      </c>
      <c r="AB838" s="590">
        <f>IF(A28taxstdlife="n/a","n/a",IF(AB$3&gt;(A28taxstdlife+$E838),(('PTRM input'!$L$170+'PTRM input'!$L$136)*$L$7)-SUM($L838:AA838),(('PTRM input'!$L$170+'PTRM input'!$L$136)*$L$7)/A28taxstdlife))</f>
        <v>0</v>
      </c>
      <c r="AC838" s="590">
        <f>IF(A28taxstdlife="n/a","n/a",IF(AC$3&gt;(A28taxstdlife+$E838),(('PTRM input'!$L$170+'PTRM input'!$L$136)*$L$7)-SUM($L838:AB838),(('PTRM input'!$L$170+'PTRM input'!$L$136)*$L$7)/A28taxstdlife))</f>
        <v>0</v>
      </c>
      <c r="AD838" s="590">
        <f>IF(A28taxstdlife="n/a","n/a",IF(AD$3&gt;(A28taxstdlife+$E838),(('PTRM input'!$L$170+'PTRM input'!$L$136)*$L$7)-SUM($L838:AC838),(('PTRM input'!$L$170+'PTRM input'!$L$136)*$L$7)/A28taxstdlife))</f>
        <v>0</v>
      </c>
      <c r="AE838" s="590">
        <f>IF(A28taxstdlife="n/a","n/a",IF(AE$3&gt;(A28taxstdlife+$E838),(('PTRM input'!$L$170+'PTRM input'!$L$136)*$L$7)-SUM($L838:AD838),(('PTRM input'!$L$170+'PTRM input'!$L$136)*$L$7)/A28taxstdlife))</f>
        <v>0</v>
      </c>
      <c r="AF838" s="590">
        <f>IF(A28taxstdlife="n/a","n/a",IF(AF$3&gt;(A28taxstdlife+$E838),(('PTRM input'!$L$170+'PTRM input'!$L$136)*$L$7)-SUM($L838:AE838),(('PTRM input'!$L$170+'PTRM input'!$L$136)*$L$7)/A28taxstdlife))</f>
        <v>0</v>
      </c>
      <c r="AG838" s="590">
        <f>IF(A28taxstdlife="n/a","n/a",IF(AG$3&gt;(A28taxstdlife+$E838),(('PTRM input'!$L$170+'PTRM input'!$L$136)*$L$7)-SUM($L838:AF838),(('PTRM input'!$L$170+'PTRM input'!$L$136)*$L$7)/A28taxstdlife))</f>
        <v>0</v>
      </c>
      <c r="AH838" s="590">
        <f>IF(A28taxstdlife="n/a","n/a",IF(AH$3&gt;(A28taxstdlife+$E838),(('PTRM input'!$L$170+'PTRM input'!$L$136)*$L$7)-SUM($L838:AG838),(('PTRM input'!$L$170+'PTRM input'!$L$136)*$L$7)/A28taxstdlife))</f>
        <v>0</v>
      </c>
      <c r="AI838" s="590">
        <f>IF(A28taxstdlife="n/a","n/a",IF(AI$3&gt;(A28taxstdlife+$E838),(('PTRM input'!$L$170+'PTRM input'!$L$136)*$L$7)-SUM($L838:AH838),(('PTRM input'!$L$170+'PTRM input'!$L$136)*$L$7)/A28taxstdlife))</f>
        <v>0</v>
      </c>
      <c r="AJ838" s="590">
        <f>IF(A28taxstdlife="n/a","n/a",IF(AJ$3&gt;(A28taxstdlife+$E838),(('PTRM input'!$L$170+'PTRM input'!$L$136)*$L$7)-SUM($L838:AI838),(('PTRM input'!$L$170+'PTRM input'!$L$136)*$L$7)/A28taxstdlife))</f>
        <v>0</v>
      </c>
      <c r="AK838" s="590">
        <f>IF(A28taxstdlife="n/a","n/a",IF(AK$3&gt;(A28taxstdlife+$E838),(('PTRM input'!$L$170+'PTRM input'!$L$136)*$L$7)-SUM($L838:AJ838),(('PTRM input'!$L$170+'PTRM input'!$L$136)*$L$7)/A28taxstdlife))</f>
        <v>0</v>
      </c>
      <c r="AL838" s="590">
        <f>IF(A28taxstdlife="n/a","n/a",IF(AL$3&gt;(A28taxstdlife+$E838),(('PTRM input'!$L$170+'PTRM input'!$L$136)*$L$7)-SUM($L838:AK838),(('PTRM input'!$L$170+'PTRM input'!$L$136)*$L$7)/A28taxstdlife))</f>
        <v>0</v>
      </c>
      <c r="AM838" s="590">
        <f>IF(A28taxstdlife="n/a","n/a",IF(AM$3&gt;(A28taxstdlife+$E838),(('PTRM input'!$L$170+'PTRM input'!$L$136)*$L$7)-SUM($L838:AL838),(('PTRM input'!$L$170+'PTRM input'!$L$136)*$L$7)/A28taxstdlife))</f>
        <v>0</v>
      </c>
      <c r="AN838" s="590">
        <f>IF(A28taxstdlife="n/a","n/a",IF(AN$3&gt;(A28taxstdlife+$E838),(('PTRM input'!$L$170+'PTRM input'!$L$136)*$L$7)-SUM($L838:AM838),(('PTRM input'!$L$170+'PTRM input'!$L$136)*$L$7)/A28taxstdlife))</f>
        <v>0</v>
      </c>
      <c r="AO838" s="590">
        <f>IF(A28taxstdlife="n/a","n/a",IF(AO$3&gt;(A28taxstdlife+$E838),(('PTRM input'!$L$170+'PTRM input'!$L$136)*$L$7)-SUM($L838:AN838),(('PTRM input'!$L$170+'PTRM input'!$L$136)*$L$7)/A28taxstdlife))</f>
        <v>0</v>
      </c>
      <c r="AP838" s="590">
        <f>IF(A28taxstdlife="n/a","n/a",IF(AP$3&gt;(A28taxstdlife+$E838),(('PTRM input'!$L$170+'PTRM input'!$L$136)*$L$7)-SUM($L838:AO838),(('PTRM input'!$L$170+'PTRM input'!$L$136)*$L$7)/A28taxstdlife))</f>
        <v>0</v>
      </c>
      <c r="AQ838" s="590">
        <f>IF(A28taxstdlife="n/a","n/a",IF(AQ$3&gt;(A28taxstdlife+$E838),(('PTRM input'!$L$170+'PTRM input'!$L$136)*$L$7)-SUM($L838:AP838),(('PTRM input'!$L$170+'PTRM input'!$L$136)*$L$7)/A28taxstdlife))</f>
        <v>0</v>
      </c>
      <c r="AR838" s="590">
        <f>IF(A28taxstdlife="n/a","n/a",IF(AR$3&gt;(A28taxstdlife+$E838),(('PTRM input'!$L$170+'PTRM input'!$L$136)*$L$7)-SUM($L838:AQ838),(('PTRM input'!$L$170+'PTRM input'!$L$136)*$L$7)/A28taxstdlife))</f>
        <v>0</v>
      </c>
      <c r="AS838" s="590">
        <f>IF(A28taxstdlife="n/a","n/a",IF(AS$3&gt;(A28taxstdlife+$E838),(('PTRM input'!$L$170+'PTRM input'!$L$136)*$L$7)-SUM($L838:AR838),(('PTRM input'!$L$170+'PTRM input'!$L$136)*$L$7)/A28taxstdlife))</f>
        <v>0</v>
      </c>
      <c r="AT838" s="590">
        <f>IF(A28taxstdlife="n/a","n/a",IF(AT$3&gt;(A28taxstdlife+$E838),(('PTRM input'!$L$170+'PTRM input'!$L$136)*$L$7)-SUM($L838:AS838),(('PTRM input'!$L$170+'PTRM input'!$L$136)*$L$7)/A28taxstdlife))</f>
        <v>0</v>
      </c>
      <c r="AU838" s="590">
        <f>IF(A28taxstdlife="n/a","n/a",IF(AU$3&gt;(A28taxstdlife+$E838),(('PTRM input'!$L$170+'PTRM input'!$L$136)*$L$7)-SUM($L838:AT838),(('PTRM input'!$L$170+'PTRM input'!$L$136)*$L$7)/A28taxstdlife))</f>
        <v>0</v>
      </c>
      <c r="AV838" s="590">
        <f>IF(A28taxstdlife="n/a","n/a",IF(AV$3&gt;(A28taxstdlife+$E838),(('PTRM input'!$L$170+'PTRM input'!$L$136)*$L$7)-SUM($L838:AU838),(('PTRM input'!$L$170+'PTRM input'!$L$136)*$L$7)/A28taxstdlife))</f>
        <v>0</v>
      </c>
      <c r="AW838" s="590">
        <f>IF(A28taxstdlife="n/a","n/a",IF(AW$3&gt;(A28taxstdlife+$E838),(('PTRM input'!$L$170+'PTRM input'!$L$136)*$L$7)-SUM($L838:AV838),(('PTRM input'!$L$170+'PTRM input'!$L$136)*$L$7)/A28taxstdlife))</f>
        <v>0</v>
      </c>
      <c r="AX838" s="590">
        <f>IF(A28taxstdlife="n/a","n/a",IF(AX$3&gt;(A28taxstdlife+$E838),(('PTRM input'!$L$170+'PTRM input'!$L$136)*$L$7)-SUM($L838:AW838),(('PTRM input'!$L$170+'PTRM input'!$L$136)*$L$7)/A28taxstdlife))</f>
        <v>0</v>
      </c>
      <c r="AY838" s="590">
        <f>IF(A28taxstdlife="n/a","n/a",IF(AY$3&gt;(A28taxstdlife+$E838),(('PTRM input'!$L$170+'PTRM input'!$L$136)*$L$7)-SUM($L838:AX838),(('PTRM input'!$L$170+'PTRM input'!$L$136)*$L$7)/A28taxstdlife))</f>
        <v>0</v>
      </c>
      <c r="AZ838" s="590">
        <f>IF(A28taxstdlife="n/a","n/a",IF(AZ$3&gt;(A28taxstdlife+$E838),(('PTRM input'!$L$170+'PTRM input'!$L$136)*$L$7)-SUM($L838:AY838),(('PTRM input'!$L$170+'PTRM input'!$L$136)*$L$7)/A28taxstdlife))</f>
        <v>0</v>
      </c>
      <c r="BA838" s="590">
        <f>IF(A28taxstdlife="n/a","n/a",IF(BA$3&gt;(A28taxstdlife+$E838),(('PTRM input'!$L$170+'PTRM input'!$L$136)*$L$7)-SUM($L838:AZ838),(('PTRM input'!$L$170+'PTRM input'!$L$136)*$L$7)/A28taxstdlife))</f>
        <v>0</v>
      </c>
      <c r="BB838" s="590">
        <f>IF(A28taxstdlife="n/a","n/a",IF(BB$3&gt;(A28taxstdlife+$E838),(('PTRM input'!$L$170+'PTRM input'!$L$136)*$L$7)-SUM($L838:BA838),(('PTRM input'!$L$170+'PTRM input'!$L$136)*$L$7)/A28taxstdlife))</f>
        <v>0</v>
      </c>
      <c r="BC838" s="590">
        <f>IF(A28taxstdlife="n/a","n/a",IF(BC$3&gt;(A28taxstdlife+$E838),(('PTRM input'!$L$170+'PTRM input'!$L$136)*$L$7)-SUM($L838:BB838),(('PTRM input'!$L$170+'PTRM input'!$L$136)*$L$7)/A28taxstdlife))</f>
        <v>0</v>
      </c>
      <c r="BD838" s="590">
        <f>IF(A28taxstdlife="n/a","n/a",IF(BD$3&gt;(A28taxstdlife+$E838),(('PTRM input'!$L$170+'PTRM input'!$L$136)*$L$7)-SUM($L838:BC838),(('PTRM input'!$L$170+'PTRM input'!$L$136)*$L$7)/A28taxstdlife))</f>
        <v>0</v>
      </c>
      <c r="BE838" s="590">
        <f>IF(A28taxstdlife="n/a","n/a",IF(BE$3&gt;(A28taxstdlife+$E838),(('PTRM input'!$L$170+'PTRM input'!$L$136)*$L$7)-SUM($L838:BD838),(('PTRM input'!$L$170+'PTRM input'!$L$136)*$L$7)/A28taxstdlife))</f>
        <v>0</v>
      </c>
      <c r="BF838" s="590">
        <f>IF(A28taxstdlife="n/a","n/a",IF(BF$3&gt;(A28taxstdlife+$E838),(('PTRM input'!$L$170+'PTRM input'!$L$136)*$L$7)-SUM($L838:BE838),(('PTRM input'!$L$170+'PTRM input'!$L$136)*$L$7)/A28taxstdlife))</f>
        <v>0</v>
      </c>
      <c r="BG838" s="590">
        <f>IF(A28taxstdlife="n/a","n/a",IF(BG$3&gt;(A28taxstdlife+$E838),(('PTRM input'!$L$170+'PTRM input'!$L$136)*$L$7)-SUM($L838:BF838),(('PTRM input'!$L$170+'PTRM input'!$L$136)*$L$7)/A28taxstdlife))</f>
        <v>0</v>
      </c>
      <c r="BH838" s="590">
        <f>IF(A28taxstdlife="n/a","n/a",IF(BH$3&gt;(A28taxstdlife+$E838),(('PTRM input'!$L$170+'PTRM input'!$L$136)*$L$7)-SUM($L838:BG838),(('PTRM input'!$L$170+'PTRM input'!$L$136)*$L$7)/A28taxstdlife))</f>
        <v>0</v>
      </c>
      <c r="BI838" s="590">
        <f>IF(A28taxstdlife="n/a","n/a",IF(BI$3&gt;(A28taxstdlife+$E838),(('PTRM input'!$L$170+'PTRM input'!$L$136)*$L$7)-SUM($L838:BH838),(('PTRM input'!$L$170+'PTRM input'!$L$136)*$L$7)/A28taxstdlife))</f>
        <v>0</v>
      </c>
      <c r="BJ838" s="240"/>
      <c r="BK838" s="240"/>
      <c r="BL838" s="240"/>
      <c r="BM838" s="240"/>
    </row>
    <row r="839" spans="1:65" s="4" customFormat="1" hidden="1" outlineLevel="2">
      <c r="A839" s="240"/>
      <c r="B839" s="240"/>
      <c r="C839" s="595"/>
      <c r="D839" s="1618"/>
      <c r="E839" s="169">
        <v>7</v>
      </c>
      <c r="F839" s="35"/>
      <c r="G839" s="184"/>
      <c r="H839" s="186"/>
      <c r="I839" s="186"/>
      <c r="J839" s="186"/>
      <c r="K839" s="186"/>
      <c r="L839" s="186"/>
      <c r="M839" s="185"/>
      <c r="N839" s="107">
        <f>IF(A28taxstdlife="n/a","n/a",IF(N$3&gt;(A28taxstdlife+$E839),(('PTRM input'!$M$170+'PTRM input'!$M$136)*$M$7)-SUM($M839:M839),(('PTRM input'!$M$170+'PTRM input'!$M$136)*$M$7)/A28taxstdlife))</f>
        <v>0</v>
      </c>
      <c r="O839" s="107">
        <f>IF(A28taxstdlife="n/a","n/a",IF(O$3&gt;(A28taxstdlife+$E839),(('PTRM input'!$M$170+'PTRM input'!$M$136)*$M$7)-SUM($M839:N839),(('PTRM input'!$M$170+'PTRM input'!$M$136)*$M$7)/A28taxstdlife))</f>
        <v>0</v>
      </c>
      <c r="P839" s="107">
        <f>IF(A28taxstdlife="n/a","n/a",IF(P$3&gt;(A28taxstdlife+$E839),(('PTRM input'!$M$170+'PTRM input'!$M$136)*$M$7)-SUM($M839:O839),(('PTRM input'!$M$170+'PTRM input'!$M$136)*$M$7)/A28taxstdlife))</f>
        <v>0</v>
      </c>
      <c r="Q839" s="590">
        <f>IF(A28taxstdlife="n/a","n/a",IF(Q$3&gt;(A28taxstdlife+$E839),(('PTRM input'!$M$170+'PTRM input'!$M$136)*$M$7)-SUM($M839:P839),(('PTRM input'!$M$170+'PTRM input'!$M$136)*$M$7)/A28taxstdlife))</f>
        <v>0</v>
      </c>
      <c r="R839" s="590">
        <f>IF(A28taxstdlife="n/a","n/a",IF(R$3&gt;(A28taxstdlife+$E839),(('PTRM input'!$M$170+'PTRM input'!$M$136)*$M$7)-SUM($M839:Q839),(('PTRM input'!$M$170+'PTRM input'!$M$136)*$M$7)/A28taxstdlife))</f>
        <v>0</v>
      </c>
      <c r="S839" s="590">
        <f>IF(A28taxstdlife="n/a","n/a",IF(S$3&gt;(A28taxstdlife+$E839),(('PTRM input'!$M$170+'PTRM input'!$M$136)*$M$7)-SUM($M839:R839),(('PTRM input'!$M$170+'PTRM input'!$M$136)*$M$7)/A28taxstdlife))</f>
        <v>0</v>
      </c>
      <c r="T839" s="590">
        <f>IF(A28taxstdlife="n/a","n/a",IF(T$3&gt;(A28taxstdlife+$E839),(('PTRM input'!$M$170+'PTRM input'!$M$136)*$M$7)-SUM($M839:S839),(('PTRM input'!$M$170+'PTRM input'!$M$136)*$M$7)/A28taxstdlife))</f>
        <v>0</v>
      </c>
      <c r="U839" s="590">
        <f>IF(A28taxstdlife="n/a","n/a",IF(U$3&gt;(A28taxstdlife+$E839),(('PTRM input'!$M$170+'PTRM input'!$M$136)*$M$7)-SUM($M839:T839),(('PTRM input'!$M$170+'PTRM input'!$M$136)*$M$7)/A28taxstdlife))</f>
        <v>0</v>
      </c>
      <c r="V839" s="590">
        <f>IF(A28taxstdlife="n/a","n/a",IF(V$3&gt;(A28taxstdlife+$E839),(('PTRM input'!$M$170+'PTRM input'!$M$136)*$M$7)-SUM($M839:U839),(('PTRM input'!$M$170+'PTRM input'!$M$136)*$M$7)/A28taxstdlife))</f>
        <v>0</v>
      </c>
      <c r="W839" s="590">
        <f>IF(A28taxstdlife="n/a","n/a",IF(W$3&gt;(A28taxstdlife+$E839),(('PTRM input'!$M$170+'PTRM input'!$M$136)*$M$7)-SUM($M839:V839),(('PTRM input'!$M$170+'PTRM input'!$M$136)*$M$7)/A28taxstdlife))</f>
        <v>0</v>
      </c>
      <c r="X839" s="590">
        <f>IF(A28taxstdlife="n/a","n/a",IF(X$3&gt;(A28taxstdlife+$E839),(('PTRM input'!$M$170+'PTRM input'!$M$136)*$M$7)-SUM($M839:W839),(('PTRM input'!$M$170+'PTRM input'!$M$136)*$M$7)/A28taxstdlife))</f>
        <v>0</v>
      </c>
      <c r="Y839" s="590">
        <f>IF(A28taxstdlife="n/a","n/a",IF(Y$3&gt;(A28taxstdlife+$E839),(('PTRM input'!$M$170+'PTRM input'!$M$136)*$M$7)-SUM($M839:X839),(('PTRM input'!$M$170+'PTRM input'!$M$136)*$M$7)/A28taxstdlife))</f>
        <v>0</v>
      </c>
      <c r="Z839" s="590">
        <f>IF(A28taxstdlife="n/a","n/a",IF(Z$3&gt;(A28taxstdlife+$E839),(('PTRM input'!$M$170+'PTRM input'!$M$136)*$M$7)-SUM($M839:Y839),(('PTRM input'!$M$170+'PTRM input'!$M$136)*$M$7)/A28taxstdlife))</f>
        <v>0</v>
      </c>
      <c r="AA839" s="590">
        <f>IF(A28taxstdlife="n/a","n/a",IF(AA$3&gt;(A28taxstdlife+$E839),(('PTRM input'!$M$170+'PTRM input'!$M$136)*$M$7)-SUM($M839:Z839),(('PTRM input'!$M$170+'PTRM input'!$M$136)*$M$7)/A28taxstdlife))</f>
        <v>0</v>
      </c>
      <c r="AB839" s="590">
        <f>IF(A28taxstdlife="n/a","n/a",IF(AB$3&gt;(A28taxstdlife+$E839),(('PTRM input'!$M$170+'PTRM input'!$M$136)*$M$7)-SUM($M839:AA839),(('PTRM input'!$M$170+'PTRM input'!$M$136)*$M$7)/A28taxstdlife))</f>
        <v>0</v>
      </c>
      <c r="AC839" s="590">
        <f>IF(A28taxstdlife="n/a","n/a",IF(AC$3&gt;(A28taxstdlife+$E839),(('PTRM input'!$M$170+'PTRM input'!$M$136)*$M$7)-SUM($M839:AB839),(('PTRM input'!$M$170+'PTRM input'!$M$136)*$M$7)/A28taxstdlife))</f>
        <v>0</v>
      </c>
      <c r="AD839" s="590">
        <f>IF(A28taxstdlife="n/a","n/a",IF(AD$3&gt;(A28taxstdlife+$E839),(('PTRM input'!$M$170+'PTRM input'!$M$136)*$M$7)-SUM($M839:AC839),(('PTRM input'!$M$170+'PTRM input'!$M$136)*$M$7)/A28taxstdlife))</f>
        <v>0</v>
      </c>
      <c r="AE839" s="590">
        <f>IF(A28taxstdlife="n/a","n/a",IF(AE$3&gt;(A28taxstdlife+$E839),(('PTRM input'!$M$170+'PTRM input'!$M$136)*$M$7)-SUM($M839:AD839),(('PTRM input'!$M$170+'PTRM input'!$M$136)*$M$7)/A28taxstdlife))</f>
        <v>0</v>
      </c>
      <c r="AF839" s="590">
        <f>IF(A28taxstdlife="n/a","n/a",IF(AF$3&gt;(A28taxstdlife+$E839),(('PTRM input'!$M$170+'PTRM input'!$M$136)*$M$7)-SUM($M839:AE839),(('PTRM input'!$M$170+'PTRM input'!$M$136)*$M$7)/A28taxstdlife))</f>
        <v>0</v>
      </c>
      <c r="AG839" s="590">
        <f>IF(A28taxstdlife="n/a","n/a",IF(AG$3&gt;(A28taxstdlife+$E839),(('PTRM input'!$M$170+'PTRM input'!$M$136)*$M$7)-SUM($M839:AF839),(('PTRM input'!$M$170+'PTRM input'!$M$136)*$M$7)/A28taxstdlife))</f>
        <v>0</v>
      </c>
      <c r="AH839" s="590">
        <f>IF(A28taxstdlife="n/a","n/a",IF(AH$3&gt;(A28taxstdlife+$E839),(('PTRM input'!$M$170+'PTRM input'!$M$136)*$M$7)-SUM($M839:AG839),(('PTRM input'!$M$170+'PTRM input'!$M$136)*$M$7)/A28taxstdlife))</f>
        <v>0</v>
      </c>
      <c r="AI839" s="590">
        <f>IF(A28taxstdlife="n/a","n/a",IF(AI$3&gt;(A28taxstdlife+$E839),(('PTRM input'!$M$170+'PTRM input'!$M$136)*$M$7)-SUM($M839:AH839),(('PTRM input'!$M$170+'PTRM input'!$M$136)*$M$7)/A28taxstdlife))</f>
        <v>0</v>
      </c>
      <c r="AJ839" s="590">
        <f>IF(A28taxstdlife="n/a","n/a",IF(AJ$3&gt;(A28taxstdlife+$E839),(('PTRM input'!$M$170+'PTRM input'!$M$136)*$M$7)-SUM($M839:AI839),(('PTRM input'!$M$170+'PTRM input'!$M$136)*$M$7)/A28taxstdlife))</f>
        <v>0</v>
      </c>
      <c r="AK839" s="590">
        <f>IF(A28taxstdlife="n/a","n/a",IF(AK$3&gt;(A28taxstdlife+$E839),(('PTRM input'!$M$170+'PTRM input'!$M$136)*$M$7)-SUM($M839:AJ839),(('PTRM input'!$M$170+'PTRM input'!$M$136)*$M$7)/A28taxstdlife))</f>
        <v>0</v>
      </c>
      <c r="AL839" s="590">
        <f>IF(A28taxstdlife="n/a","n/a",IF(AL$3&gt;(A28taxstdlife+$E839),(('PTRM input'!$M$170+'PTRM input'!$M$136)*$M$7)-SUM($M839:AK839),(('PTRM input'!$M$170+'PTRM input'!$M$136)*$M$7)/A28taxstdlife))</f>
        <v>0</v>
      </c>
      <c r="AM839" s="590">
        <f>IF(A28taxstdlife="n/a","n/a",IF(AM$3&gt;(A28taxstdlife+$E839),(('PTRM input'!$M$170+'PTRM input'!$M$136)*$M$7)-SUM($M839:AL839),(('PTRM input'!$M$170+'PTRM input'!$M$136)*$M$7)/A28taxstdlife))</f>
        <v>0</v>
      </c>
      <c r="AN839" s="590">
        <f>IF(A28taxstdlife="n/a","n/a",IF(AN$3&gt;(A28taxstdlife+$E839),(('PTRM input'!$M$170+'PTRM input'!$M$136)*$M$7)-SUM($M839:AM839),(('PTRM input'!$M$170+'PTRM input'!$M$136)*$M$7)/A28taxstdlife))</f>
        <v>0</v>
      </c>
      <c r="AO839" s="590">
        <f>IF(A28taxstdlife="n/a","n/a",IF(AO$3&gt;(A28taxstdlife+$E839),(('PTRM input'!$M$170+'PTRM input'!$M$136)*$M$7)-SUM($M839:AN839),(('PTRM input'!$M$170+'PTRM input'!$M$136)*$M$7)/A28taxstdlife))</f>
        <v>0</v>
      </c>
      <c r="AP839" s="590">
        <f>IF(A28taxstdlife="n/a","n/a",IF(AP$3&gt;(A28taxstdlife+$E839),(('PTRM input'!$M$170+'PTRM input'!$M$136)*$M$7)-SUM($M839:AO839),(('PTRM input'!$M$170+'PTRM input'!$M$136)*$M$7)/A28taxstdlife))</f>
        <v>0</v>
      </c>
      <c r="AQ839" s="590">
        <f>IF(A28taxstdlife="n/a","n/a",IF(AQ$3&gt;(A28taxstdlife+$E839),(('PTRM input'!$M$170+'PTRM input'!$M$136)*$M$7)-SUM($M839:AP839),(('PTRM input'!$M$170+'PTRM input'!$M$136)*$M$7)/A28taxstdlife))</f>
        <v>0</v>
      </c>
      <c r="AR839" s="590">
        <f>IF(A28taxstdlife="n/a","n/a",IF(AR$3&gt;(A28taxstdlife+$E839),(('PTRM input'!$M$170+'PTRM input'!$M$136)*$M$7)-SUM($M839:AQ839),(('PTRM input'!$M$170+'PTRM input'!$M$136)*$M$7)/A28taxstdlife))</f>
        <v>0</v>
      </c>
      <c r="AS839" s="590">
        <f>IF(A28taxstdlife="n/a","n/a",IF(AS$3&gt;(A28taxstdlife+$E839),(('PTRM input'!$M$170+'PTRM input'!$M$136)*$M$7)-SUM($M839:AR839),(('PTRM input'!$M$170+'PTRM input'!$M$136)*$M$7)/A28taxstdlife))</f>
        <v>0</v>
      </c>
      <c r="AT839" s="590">
        <f>IF(A28taxstdlife="n/a","n/a",IF(AT$3&gt;(A28taxstdlife+$E839),(('PTRM input'!$M$170+'PTRM input'!$M$136)*$M$7)-SUM($M839:AS839),(('PTRM input'!$M$170+'PTRM input'!$M$136)*$M$7)/A28taxstdlife))</f>
        <v>0</v>
      </c>
      <c r="AU839" s="590">
        <f>IF(A28taxstdlife="n/a","n/a",IF(AU$3&gt;(A28taxstdlife+$E839),(('PTRM input'!$M$170+'PTRM input'!$M$136)*$M$7)-SUM($M839:AT839),(('PTRM input'!$M$170+'PTRM input'!$M$136)*$M$7)/A28taxstdlife))</f>
        <v>0</v>
      </c>
      <c r="AV839" s="590">
        <f>IF(A28taxstdlife="n/a","n/a",IF(AV$3&gt;(A28taxstdlife+$E839),(('PTRM input'!$M$170+'PTRM input'!$M$136)*$M$7)-SUM($M839:AU839),(('PTRM input'!$M$170+'PTRM input'!$M$136)*$M$7)/A28taxstdlife))</f>
        <v>0</v>
      </c>
      <c r="AW839" s="590">
        <f>IF(A28taxstdlife="n/a","n/a",IF(AW$3&gt;(A28taxstdlife+$E839),(('PTRM input'!$M$170+'PTRM input'!$M$136)*$M$7)-SUM($M839:AV839),(('PTRM input'!$M$170+'PTRM input'!$M$136)*$M$7)/A28taxstdlife))</f>
        <v>0</v>
      </c>
      <c r="AX839" s="590">
        <f>IF(A28taxstdlife="n/a","n/a",IF(AX$3&gt;(A28taxstdlife+$E839),(('PTRM input'!$M$170+'PTRM input'!$M$136)*$M$7)-SUM($M839:AW839),(('PTRM input'!$M$170+'PTRM input'!$M$136)*$M$7)/A28taxstdlife))</f>
        <v>0</v>
      </c>
      <c r="AY839" s="590">
        <f>IF(A28taxstdlife="n/a","n/a",IF(AY$3&gt;(A28taxstdlife+$E839),(('PTRM input'!$M$170+'PTRM input'!$M$136)*$M$7)-SUM($M839:AX839),(('PTRM input'!$M$170+'PTRM input'!$M$136)*$M$7)/A28taxstdlife))</f>
        <v>0</v>
      </c>
      <c r="AZ839" s="590">
        <f>IF(A28taxstdlife="n/a","n/a",IF(AZ$3&gt;(A28taxstdlife+$E839),(('PTRM input'!$M$170+'PTRM input'!$M$136)*$M$7)-SUM($M839:AY839),(('PTRM input'!$M$170+'PTRM input'!$M$136)*$M$7)/A28taxstdlife))</f>
        <v>0</v>
      </c>
      <c r="BA839" s="590">
        <f>IF(A28taxstdlife="n/a","n/a",IF(BA$3&gt;(A28taxstdlife+$E839),(('PTRM input'!$M$170+'PTRM input'!$M$136)*$M$7)-SUM($M839:AZ839),(('PTRM input'!$M$170+'PTRM input'!$M$136)*$M$7)/A28taxstdlife))</f>
        <v>0</v>
      </c>
      <c r="BB839" s="590">
        <f>IF(A28taxstdlife="n/a","n/a",IF(BB$3&gt;(A28taxstdlife+$E839),(('PTRM input'!$M$170+'PTRM input'!$M$136)*$M$7)-SUM($M839:BA839),(('PTRM input'!$M$170+'PTRM input'!$M$136)*$M$7)/A28taxstdlife))</f>
        <v>0</v>
      </c>
      <c r="BC839" s="590">
        <f>IF(A28taxstdlife="n/a","n/a",IF(BC$3&gt;(A28taxstdlife+$E839),(('PTRM input'!$M$170+'PTRM input'!$M$136)*$M$7)-SUM($M839:BB839),(('PTRM input'!$M$170+'PTRM input'!$M$136)*$M$7)/A28taxstdlife))</f>
        <v>0</v>
      </c>
      <c r="BD839" s="590">
        <f>IF(A28taxstdlife="n/a","n/a",IF(BD$3&gt;(A28taxstdlife+$E839),(('PTRM input'!$M$170+'PTRM input'!$M$136)*$M$7)-SUM($M839:BC839),(('PTRM input'!$M$170+'PTRM input'!$M$136)*$M$7)/A28taxstdlife))</f>
        <v>0</v>
      </c>
      <c r="BE839" s="590">
        <f>IF(A28taxstdlife="n/a","n/a",IF(BE$3&gt;(A28taxstdlife+$E839),(('PTRM input'!$M$170+'PTRM input'!$M$136)*$M$7)-SUM($M839:BD839),(('PTRM input'!$M$170+'PTRM input'!$M$136)*$M$7)/A28taxstdlife))</f>
        <v>0</v>
      </c>
      <c r="BF839" s="590">
        <f>IF(A28taxstdlife="n/a","n/a",IF(BF$3&gt;(A28taxstdlife+$E839),(('PTRM input'!$M$170+'PTRM input'!$M$136)*$M$7)-SUM($M839:BE839),(('PTRM input'!$M$170+'PTRM input'!$M$136)*$M$7)/A28taxstdlife))</f>
        <v>0</v>
      </c>
      <c r="BG839" s="590">
        <f>IF(A28taxstdlife="n/a","n/a",IF(BG$3&gt;(A28taxstdlife+$E839),(('PTRM input'!$M$170+'PTRM input'!$M$136)*$M$7)-SUM($M839:BF839),(('PTRM input'!$M$170+'PTRM input'!$M$136)*$M$7)/A28taxstdlife))</f>
        <v>0</v>
      </c>
      <c r="BH839" s="590">
        <f>IF(A28taxstdlife="n/a","n/a",IF(BH$3&gt;(A28taxstdlife+$E839),(('PTRM input'!$M$170+'PTRM input'!$M$136)*$M$7)-SUM($M839:BG839),(('PTRM input'!$M$170+'PTRM input'!$M$136)*$M$7)/A28taxstdlife))</f>
        <v>0</v>
      </c>
      <c r="BI839" s="590">
        <f>IF(A28taxstdlife="n/a","n/a",IF(BI$3&gt;(A28taxstdlife+$E839),(('PTRM input'!$M$170+'PTRM input'!$M$136)*$M$7)-SUM($M839:BH839),(('PTRM input'!$M$170+'PTRM input'!$M$136)*$M$7)/A28taxstdlife))</f>
        <v>0</v>
      </c>
      <c r="BJ839" s="240"/>
      <c r="BK839" s="240"/>
      <c r="BL839" s="240"/>
      <c r="BM839" s="240"/>
    </row>
    <row r="840" spans="1:65" s="4" customFormat="1" hidden="1" outlineLevel="2">
      <c r="A840" s="240"/>
      <c r="B840" s="240"/>
      <c r="C840" s="595"/>
      <c r="D840" s="1618"/>
      <c r="E840" s="169">
        <v>8</v>
      </c>
      <c r="F840" s="35"/>
      <c r="G840" s="184"/>
      <c r="H840" s="186"/>
      <c r="I840" s="186"/>
      <c r="J840" s="186"/>
      <c r="K840" s="186"/>
      <c r="L840" s="186"/>
      <c r="M840" s="186"/>
      <c r="N840" s="185"/>
      <c r="O840" s="107">
        <f>IF(A28taxstdlife="n/a","n/a",IF(O$3&gt;(A28taxstdlife+$E840),(('PTRM input'!$N$170+'PTRM input'!$N$136)*$N$7)-SUM($N840:N840),(('PTRM input'!$N$170+'PTRM input'!$N$136)*$N$7)/A28taxstdlife))</f>
        <v>0</v>
      </c>
      <c r="P840" s="107">
        <f>IF(A28taxstdlife="n/a","n/a",IF(P$3&gt;(A28taxstdlife+$E840),(('PTRM input'!$N$170+'PTRM input'!$N$136)*$N$7)-SUM($N840:O840),(('PTRM input'!$N$170+'PTRM input'!$N$136)*$N$7)/A28taxstdlife))</f>
        <v>0</v>
      </c>
      <c r="Q840" s="590">
        <f>IF(A28taxstdlife="n/a","n/a",IF(Q$3&gt;(A28taxstdlife+$E840),(('PTRM input'!$N$170+'PTRM input'!$N$136)*$N$7)-SUM($N840:P840),(('PTRM input'!$N$170+'PTRM input'!$N$136)*$N$7)/A28taxstdlife))</f>
        <v>0</v>
      </c>
      <c r="R840" s="590">
        <f>IF(A28taxstdlife="n/a","n/a",IF(R$3&gt;(A28taxstdlife+$E840),(('PTRM input'!$N$170+'PTRM input'!$N$136)*$N$7)-SUM($N840:Q840),(('PTRM input'!$N$170+'PTRM input'!$N$136)*$N$7)/A28taxstdlife))</f>
        <v>0</v>
      </c>
      <c r="S840" s="590">
        <f>IF(A28taxstdlife="n/a","n/a",IF(S$3&gt;(A28taxstdlife+$E840),(('PTRM input'!$N$170+'PTRM input'!$N$136)*$N$7)-SUM($N840:R840),(('PTRM input'!$N$170+'PTRM input'!$N$136)*$N$7)/A28taxstdlife))</f>
        <v>0</v>
      </c>
      <c r="T840" s="590">
        <f>IF(A28taxstdlife="n/a","n/a",IF(T$3&gt;(A28taxstdlife+$E840),(('PTRM input'!$N$170+'PTRM input'!$N$136)*$N$7)-SUM($N840:S840),(('PTRM input'!$N$170+'PTRM input'!$N$136)*$N$7)/A28taxstdlife))</f>
        <v>0</v>
      </c>
      <c r="U840" s="590">
        <f>IF(A28taxstdlife="n/a","n/a",IF(U$3&gt;(A28taxstdlife+$E840),(('PTRM input'!$N$170+'PTRM input'!$N$136)*$N$7)-SUM($N840:T840),(('PTRM input'!$N$170+'PTRM input'!$N$136)*$N$7)/A28taxstdlife))</f>
        <v>0</v>
      </c>
      <c r="V840" s="590">
        <f>IF(A28taxstdlife="n/a","n/a",IF(V$3&gt;(A28taxstdlife+$E840),(('PTRM input'!$N$170+'PTRM input'!$N$136)*$N$7)-SUM($N840:U840),(('PTRM input'!$N$170+'PTRM input'!$N$136)*$N$7)/A28taxstdlife))</f>
        <v>0</v>
      </c>
      <c r="W840" s="590">
        <f>IF(A28taxstdlife="n/a","n/a",IF(W$3&gt;(A28taxstdlife+$E840),(('PTRM input'!$N$170+'PTRM input'!$N$136)*$N$7)-SUM($N840:V840),(('PTRM input'!$N$170+'PTRM input'!$N$136)*$N$7)/A28taxstdlife))</f>
        <v>0</v>
      </c>
      <c r="X840" s="590">
        <f>IF(A28taxstdlife="n/a","n/a",IF(X$3&gt;(A28taxstdlife+$E840),(('PTRM input'!$N$170+'PTRM input'!$N$136)*$N$7)-SUM($N840:W840),(('PTRM input'!$N$170+'PTRM input'!$N$136)*$N$7)/A28taxstdlife))</f>
        <v>0</v>
      </c>
      <c r="Y840" s="590">
        <f>IF(A28taxstdlife="n/a","n/a",IF(Y$3&gt;(A28taxstdlife+$E840),(('PTRM input'!$N$170+'PTRM input'!$N$136)*$N$7)-SUM($N840:X840),(('PTRM input'!$N$170+'PTRM input'!$N$136)*$N$7)/A28taxstdlife))</f>
        <v>0</v>
      </c>
      <c r="Z840" s="590">
        <f>IF(A28taxstdlife="n/a","n/a",IF(Z$3&gt;(A28taxstdlife+$E840),(('PTRM input'!$N$170+'PTRM input'!$N$136)*$N$7)-SUM($N840:Y840),(('PTRM input'!$N$170+'PTRM input'!$N$136)*$N$7)/A28taxstdlife))</f>
        <v>0</v>
      </c>
      <c r="AA840" s="590">
        <f>IF(A28taxstdlife="n/a","n/a",IF(AA$3&gt;(A28taxstdlife+$E840),(('PTRM input'!$N$170+'PTRM input'!$N$136)*$N$7)-SUM($N840:Z840),(('PTRM input'!$N$170+'PTRM input'!$N$136)*$N$7)/A28taxstdlife))</f>
        <v>0</v>
      </c>
      <c r="AB840" s="590">
        <f>IF(A28taxstdlife="n/a","n/a",IF(AB$3&gt;(A28taxstdlife+$E840),(('PTRM input'!$N$170+'PTRM input'!$N$136)*$N$7)-SUM($N840:AA840),(('PTRM input'!$N$170+'PTRM input'!$N$136)*$N$7)/A28taxstdlife))</f>
        <v>0</v>
      </c>
      <c r="AC840" s="590">
        <f>IF(A28taxstdlife="n/a","n/a",IF(AC$3&gt;(A28taxstdlife+$E840),(('PTRM input'!$N$170+'PTRM input'!$N$136)*$N$7)-SUM($N840:AB840),(('PTRM input'!$N$170+'PTRM input'!$N$136)*$N$7)/A28taxstdlife))</f>
        <v>0</v>
      </c>
      <c r="AD840" s="590">
        <f>IF(A28taxstdlife="n/a","n/a",IF(AD$3&gt;(A28taxstdlife+$E840),(('PTRM input'!$N$170+'PTRM input'!$N$136)*$N$7)-SUM($N840:AC840),(('PTRM input'!$N$170+'PTRM input'!$N$136)*$N$7)/A28taxstdlife))</f>
        <v>0</v>
      </c>
      <c r="AE840" s="590">
        <f>IF(A28taxstdlife="n/a","n/a",IF(AE$3&gt;(A28taxstdlife+$E840),(('PTRM input'!$N$170+'PTRM input'!$N$136)*$N$7)-SUM($N840:AD840),(('PTRM input'!$N$170+'PTRM input'!$N$136)*$N$7)/A28taxstdlife))</f>
        <v>0</v>
      </c>
      <c r="AF840" s="590">
        <f>IF(A28taxstdlife="n/a","n/a",IF(AF$3&gt;(A28taxstdlife+$E840),(('PTRM input'!$N$170+'PTRM input'!$N$136)*$N$7)-SUM($N840:AE840),(('PTRM input'!$N$170+'PTRM input'!$N$136)*$N$7)/A28taxstdlife))</f>
        <v>0</v>
      </c>
      <c r="AG840" s="590">
        <f>IF(A28taxstdlife="n/a","n/a",IF(AG$3&gt;(A28taxstdlife+$E840),(('PTRM input'!$N$170+'PTRM input'!$N$136)*$N$7)-SUM($N840:AF840),(('PTRM input'!$N$170+'PTRM input'!$N$136)*$N$7)/A28taxstdlife))</f>
        <v>0</v>
      </c>
      <c r="AH840" s="590">
        <f>IF(A28taxstdlife="n/a","n/a",IF(AH$3&gt;(A28taxstdlife+$E840),(('PTRM input'!$N$170+'PTRM input'!$N$136)*$N$7)-SUM($N840:AG840),(('PTRM input'!$N$170+'PTRM input'!$N$136)*$N$7)/A28taxstdlife))</f>
        <v>0</v>
      </c>
      <c r="AI840" s="590">
        <f>IF(A28taxstdlife="n/a","n/a",IF(AI$3&gt;(A28taxstdlife+$E840),(('PTRM input'!$N$170+'PTRM input'!$N$136)*$N$7)-SUM($N840:AH840),(('PTRM input'!$N$170+'PTRM input'!$N$136)*$N$7)/A28taxstdlife))</f>
        <v>0</v>
      </c>
      <c r="AJ840" s="590">
        <f>IF(A28taxstdlife="n/a","n/a",IF(AJ$3&gt;(A28taxstdlife+$E840),(('PTRM input'!$N$170+'PTRM input'!$N$136)*$N$7)-SUM($N840:AI840),(('PTRM input'!$N$170+'PTRM input'!$N$136)*$N$7)/A28taxstdlife))</f>
        <v>0</v>
      </c>
      <c r="AK840" s="590">
        <f>IF(A28taxstdlife="n/a","n/a",IF(AK$3&gt;(A28taxstdlife+$E840),(('PTRM input'!$N$170+'PTRM input'!$N$136)*$N$7)-SUM($N840:AJ840),(('PTRM input'!$N$170+'PTRM input'!$N$136)*$N$7)/A28taxstdlife))</f>
        <v>0</v>
      </c>
      <c r="AL840" s="590">
        <f>IF(A28taxstdlife="n/a","n/a",IF(AL$3&gt;(A28taxstdlife+$E840),(('PTRM input'!$N$170+'PTRM input'!$N$136)*$N$7)-SUM($N840:AK840),(('PTRM input'!$N$170+'PTRM input'!$N$136)*$N$7)/A28taxstdlife))</f>
        <v>0</v>
      </c>
      <c r="AM840" s="590">
        <f>IF(A28taxstdlife="n/a","n/a",IF(AM$3&gt;(A28taxstdlife+$E840),(('PTRM input'!$N$170+'PTRM input'!$N$136)*$N$7)-SUM($N840:AL840),(('PTRM input'!$N$170+'PTRM input'!$N$136)*$N$7)/A28taxstdlife))</f>
        <v>0</v>
      </c>
      <c r="AN840" s="590">
        <f>IF(A28taxstdlife="n/a","n/a",IF(AN$3&gt;(A28taxstdlife+$E840),(('PTRM input'!$N$170+'PTRM input'!$N$136)*$N$7)-SUM($N840:AM840),(('PTRM input'!$N$170+'PTRM input'!$N$136)*$N$7)/A28taxstdlife))</f>
        <v>0</v>
      </c>
      <c r="AO840" s="590">
        <f>IF(A28taxstdlife="n/a","n/a",IF(AO$3&gt;(A28taxstdlife+$E840),(('PTRM input'!$N$170+'PTRM input'!$N$136)*$N$7)-SUM($N840:AN840),(('PTRM input'!$N$170+'PTRM input'!$N$136)*$N$7)/A28taxstdlife))</f>
        <v>0</v>
      </c>
      <c r="AP840" s="590">
        <f>IF(A28taxstdlife="n/a","n/a",IF(AP$3&gt;(A28taxstdlife+$E840),(('PTRM input'!$N$170+'PTRM input'!$N$136)*$N$7)-SUM($N840:AO840),(('PTRM input'!$N$170+'PTRM input'!$N$136)*$N$7)/A28taxstdlife))</f>
        <v>0</v>
      </c>
      <c r="AQ840" s="590">
        <f>IF(A28taxstdlife="n/a","n/a",IF(AQ$3&gt;(A28taxstdlife+$E840),(('PTRM input'!$N$170+'PTRM input'!$N$136)*$N$7)-SUM($N840:AP840),(('PTRM input'!$N$170+'PTRM input'!$N$136)*$N$7)/A28taxstdlife))</f>
        <v>0</v>
      </c>
      <c r="AR840" s="590">
        <f>IF(A28taxstdlife="n/a","n/a",IF(AR$3&gt;(A28taxstdlife+$E840),(('PTRM input'!$N$170+'PTRM input'!$N$136)*$N$7)-SUM($N840:AQ840),(('PTRM input'!$N$170+'PTRM input'!$N$136)*$N$7)/A28taxstdlife))</f>
        <v>0</v>
      </c>
      <c r="AS840" s="590">
        <f>IF(A28taxstdlife="n/a","n/a",IF(AS$3&gt;(A28taxstdlife+$E840),(('PTRM input'!$N$170+'PTRM input'!$N$136)*$N$7)-SUM($N840:AR840),(('PTRM input'!$N$170+'PTRM input'!$N$136)*$N$7)/A28taxstdlife))</f>
        <v>0</v>
      </c>
      <c r="AT840" s="590">
        <f>IF(A28taxstdlife="n/a","n/a",IF(AT$3&gt;(A28taxstdlife+$E840),(('PTRM input'!$N$170+'PTRM input'!$N$136)*$N$7)-SUM($N840:AS840),(('PTRM input'!$N$170+'PTRM input'!$N$136)*$N$7)/A28taxstdlife))</f>
        <v>0</v>
      </c>
      <c r="AU840" s="590">
        <f>IF(A28taxstdlife="n/a","n/a",IF(AU$3&gt;(A28taxstdlife+$E840),(('PTRM input'!$N$170+'PTRM input'!$N$136)*$N$7)-SUM($N840:AT840),(('PTRM input'!$N$170+'PTRM input'!$N$136)*$N$7)/A28taxstdlife))</f>
        <v>0</v>
      </c>
      <c r="AV840" s="590">
        <f>IF(A28taxstdlife="n/a","n/a",IF(AV$3&gt;(A28taxstdlife+$E840),(('PTRM input'!$N$170+'PTRM input'!$N$136)*$N$7)-SUM($N840:AU840),(('PTRM input'!$N$170+'PTRM input'!$N$136)*$N$7)/A28taxstdlife))</f>
        <v>0</v>
      </c>
      <c r="AW840" s="590">
        <f>IF(A28taxstdlife="n/a","n/a",IF(AW$3&gt;(A28taxstdlife+$E840),(('PTRM input'!$N$170+'PTRM input'!$N$136)*$N$7)-SUM($N840:AV840),(('PTRM input'!$N$170+'PTRM input'!$N$136)*$N$7)/A28taxstdlife))</f>
        <v>0</v>
      </c>
      <c r="AX840" s="590">
        <f>IF(A28taxstdlife="n/a","n/a",IF(AX$3&gt;(A28taxstdlife+$E840),(('PTRM input'!$N$170+'PTRM input'!$N$136)*$N$7)-SUM($N840:AW840),(('PTRM input'!$N$170+'PTRM input'!$N$136)*$N$7)/A28taxstdlife))</f>
        <v>0</v>
      </c>
      <c r="AY840" s="590">
        <f>IF(A28taxstdlife="n/a","n/a",IF(AY$3&gt;(A28taxstdlife+$E840),(('PTRM input'!$N$170+'PTRM input'!$N$136)*$N$7)-SUM($N840:AX840),(('PTRM input'!$N$170+'PTRM input'!$N$136)*$N$7)/A28taxstdlife))</f>
        <v>0</v>
      </c>
      <c r="AZ840" s="590">
        <f>IF(A28taxstdlife="n/a","n/a",IF(AZ$3&gt;(A28taxstdlife+$E840),(('PTRM input'!$N$170+'PTRM input'!$N$136)*$N$7)-SUM($N840:AY840),(('PTRM input'!$N$170+'PTRM input'!$N$136)*$N$7)/A28taxstdlife))</f>
        <v>0</v>
      </c>
      <c r="BA840" s="590">
        <f>IF(A28taxstdlife="n/a","n/a",IF(BA$3&gt;(A28taxstdlife+$E840),(('PTRM input'!$N$170+'PTRM input'!$N$136)*$N$7)-SUM($N840:AZ840),(('PTRM input'!$N$170+'PTRM input'!$N$136)*$N$7)/A28taxstdlife))</f>
        <v>0</v>
      </c>
      <c r="BB840" s="590">
        <f>IF(A28taxstdlife="n/a","n/a",IF(BB$3&gt;(A28taxstdlife+$E840),(('PTRM input'!$N$170+'PTRM input'!$N$136)*$N$7)-SUM($N840:BA840),(('PTRM input'!$N$170+'PTRM input'!$N$136)*$N$7)/A28taxstdlife))</f>
        <v>0</v>
      </c>
      <c r="BC840" s="590">
        <f>IF(A28taxstdlife="n/a","n/a",IF(BC$3&gt;(A28taxstdlife+$E840),(('PTRM input'!$N$170+'PTRM input'!$N$136)*$N$7)-SUM($N840:BB840),(('PTRM input'!$N$170+'PTRM input'!$N$136)*$N$7)/A28taxstdlife))</f>
        <v>0</v>
      </c>
      <c r="BD840" s="590">
        <f>IF(A28taxstdlife="n/a","n/a",IF(BD$3&gt;(A28taxstdlife+$E840),(('PTRM input'!$N$170+'PTRM input'!$N$136)*$N$7)-SUM($N840:BC840),(('PTRM input'!$N$170+'PTRM input'!$N$136)*$N$7)/A28taxstdlife))</f>
        <v>0</v>
      </c>
      <c r="BE840" s="590">
        <f>IF(A28taxstdlife="n/a","n/a",IF(BE$3&gt;(A28taxstdlife+$E840),(('PTRM input'!$N$170+'PTRM input'!$N$136)*$N$7)-SUM($N840:BD840),(('PTRM input'!$N$170+'PTRM input'!$N$136)*$N$7)/A28taxstdlife))</f>
        <v>0</v>
      </c>
      <c r="BF840" s="590">
        <f>IF(A28taxstdlife="n/a","n/a",IF(BF$3&gt;(A28taxstdlife+$E840),(('PTRM input'!$N$170+'PTRM input'!$N$136)*$N$7)-SUM($N840:BE840),(('PTRM input'!$N$170+'PTRM input'!$N$136)*$N$7)/A28taxstdlife))</f>
        <v>0</v>
      </c>
      <c r="BG840" s="590">
        <f>IF(A28taxstdlife="n/a","n/a",IF(BG$3&gt;(A28taxstdlife+$E840),(('PTRM input'!$N$170+'PTRM input'!$N$136)*$N$7)-SUM($N840:BF840),(('PTRM input'!$N$170+'PTRM input'!$N$136)*$N$7)/A28taxstdlife))</f>
        <v>0</v>
      </c>
      <c r="BH840" s="590">
        <f>IF(A28taxstdlife="n/a","n/a",IF(BH$3&gt;(A28taxstdlife+$E840),(('PTRM input'!$N$170+'PTRM input'!$N$136)*$N$7)-SUM($N840:BG840),(('PTRM input'!$N$170+'PTRM input'!$N$136)*$N$7)/A28taxstdlife))</f>
        <v>0</v>
      </c>
      <c r="BI840" s="590">
        <f>IF(A28taxstdlife="n/a","n/a",IF(BI$3&gt;(A28taxstdlife+$E840),(('PTRM input'!$N$170+'PTRM input'!$N$136)*$N$7)-SUM($N840:BH840),(('PTRM input'!$N$170+'PTRM input'!$N$136)*$N$7)/A28taxstdlife))</f>
        <v>0</v>
      </c>
      <c r="BJ840" s="240"/>
      <c r="BK840" s="240"/>
      <c r="BL840" s="240"/>
      <c r="BM840" s="240"/>
    </row>
    <row r="841" spans="1:65" s="4" customFormat="1" hidden="1" outlineLevel="2">
      <c r="A841" s="240"/>
      <c r="B841" s="240"/>
      <c r="C841" s="595"/>
      <c r="D841" s="1618"/>
      <c r="E841" s="169">
        <v>9</v>
      </c>
      <c r="F841" s="35"/>
      <c r="G841" s="184"/>
      <c r="H841" s="186"/>
      <c r="I841" s="186"/>
      <c r="J841" s="186"/>
      <c r="K841" s="186"/>
      <c r="L841" s="186"/>
      <c r="M841" s="186"/>
      <c r="N841" s="186"/>
      <c r="O841" s="185"/>
      <c r="P841" s="107">
        <f>IF(A28taxstdlife="n/a","n/a",IF(P$3&gt;(A28taxstdlife+$E841),(('PTRM input'!$O$170+'PTRM input'!$O$136)*$O$7)-SUM($O841:O841),(('PTRM input'!$O$170+'PTRM input'!$O$136)*$O$7)/A28taxstdlife))</f>
        <v>0</v>
      </c>
      <c r="Q841" s="590">
        <f>IF(A28taxstdlife="n/a","n/a",IF(Q$3&gt;(A28taxstdlife+$E841),(('PTRM input'!$O$170+'PTRM input'!$O$136)*$O$7)-SUM($O841:P841),(('PTRM input'!$O$170+'PTRM input'!$O$136)*$O$7)/A28taxstdlife))</f>
        <v>0</v>
      </c>
      <c r="R841" s="590">
        <f>IF(A28taxstdlife="n/a","n/a",IF(R$3&gt;(A28taxstdlife+$E841),(('PTRM input'!$O$170+'PTRM input'!$O$136)*$O$7)-SUM($O841:Q841),(('PTRM input'!$O$170+'PTRM input'!$O$136)*$O$7)/A28taxstdlife))</f>
        <v>0</v>
      </c>
      <c r="S841" s="590">
        <f>IF(A28taxstdlife="n/a","n/a",IF(S$3&gt;(A28taxstdlife+$E841),(('PTRM input'!$O$170+'PTRM input'!$O$136)*$O$7)-SUM($O841:R841),(('PTRM input'!$O$170+'PTRM input'!$O$136)*$O$7)/A28taxstdlife))</f>
        <v>0</v>
      </c>
      <c r="T841" s="590">
        <f>IF(A28taxstdlife="n/a","n/a",IF(T$3&gt;(A28taxstdlife+$E841),(('PTRM input'!$O$170+'PTRM input'!$O$136)*$O$7)-SUM($O841:S841),(('PTRM input'!$O$170+'PTRM input'!$O$136)*$O$7)/A28taxstdlife))</f>
        <v>0</v>
      </c>
      <c r="U841" s="590">
        <f>IF(A28taxstdlife="n/a","n/a",IF(U$3&gt;(A28taxstdlife+$E841),(('PTRM input'!$O$170+'PTRM input'!$O$136)*$O$7)-SUM($O841:T841),(('PTRM input'!$O$170+'PTRM input'!$O$136)*$O$7)/A28taxstdlife))</f>
        <v>0</v>
      </c>
      <c r="V841" s="590">
        <f>IF(A28taxstdlife="n/a","n/a",IF(V$3&gt;(A28taxstdlife+$E841),(('PTRM input'!$O$170+'PTRM input'!$O$136)*$O$7)-SUM($O841:U841),(('PTRM input'!$O$170+'PTRM input'!$O$136)*$O$7)/A28taxstdlife))</f>
        <v>0</v>
      </c>
      <c r="W841" s="590">
        <f>IF(A28taxstdlife="n/a","n/a",IF(W$3&gt;(A28taxstdlife+$E841),(('PTRM input'!$O$170+'PTRM input'!$O$136)*$O$7)-SUM($O841:V841),(('PTRM input'!$O$170+'PTRM input'!$O$136)*$O$7)/A28taxstdlife))</f>
        <v>0</v>
      </c>
      <c r="X841" s="590">
        <f>IF(A28taxstdlife="n/a","n/a",IF(X$3&gt;(A28taxstdlife+$E841),(('PTRM input'!$O$170+'PTRM input'!$O$136)*$O$7)-SUM($O841:W841),(('PTRM input'!$O$170+'PTRM input'!$O$136)*$O$7)/A28taxstdlife))</f>
        <v>0</v>
      </c>
      <c r="Y841" s="590">
        <f>IF(A28taxstdlife="n/a","n/a",IF(Y$3&gt;(A28taxstdlife+$E841),(('PTRM input'!$O$170+'PTRM input'!$O$136)*$O$7)-SUM($O841:X841),(('PTRM input'!$O$170+'PTRM input'!$O$136)*$O$7)/A28taxstdlife))</f>
        <v>0</v>
      </c>
      <c r="Z841" s="590">
        <f>IF(A28taxstdlife="n/a","n/a",IF(Z$3&gt;(A28taxstdlife+$E841),(('PTRM input'!$O$170+'PTRM input'!$O$136)*$O$7)-SUM($O841:Y841),(('PTRM input'!$O$170+'PTRM input'!$O$136)*$O$7)/A28taxstdlife))</f>
        <v>0</v>
      </c>
      <c r="AA841" s="590">
        <f>IF(A28taxstdlife="n/a","n/a",IF(AA$3&gt;(A28taxstdlife+$E841),(('PTRM input'!$O$170+'PTRM input'!$O$136)*$O$7)-SUM($O841:Z841),(('PTRM input'!$O$170+'PTRM input'!$O$136)*$O$7)/A28taxstdlife))</f>
        <v>0</v>
      </c>
      <c r="AB841" s="590">
        <f>IF(A28taxstdlife="n/a","n/a",IF(AB$3&gt;(A28taxstdlife+$E841),(('PTRM input'!$O$170+'PTRM input'!$O$136)*$O$7)-SUM($O841:AA841),(('PTRM input'!$O$170+'PTRM input'!$O$136)*$O$7)/A28taxstdlife))</f>
        <v>0</v>
      </c>
      <c r="AC841" s="590">
        <f>IF(A28taxstdlife="n/a","n/a",IF(AC$3&gt;(A28taxstdlife+$E841),(('PTRM input'!$O$170+'PTRM input'!$O$136)*$O$7)-SUM($O841:AB841),(('PTRM input'!$O$170+'PTRM input'!$O$136)*$O$7)/A28taxstdlife))</f>
        <v>0</v>
      </c>
      <c r="AD841" s="590">
        <f>IF(A28taxstdlife="n/a","n/a",IF(AD$3&gt;(A28taxstdlife+$E841),(('PTRM input'!$O$170+'PTRM input'!$O$136)*$O$7)-SUM($O841:AC841),(('PTRM input'!$O$170+'PTRM input'!$O$136)*$O$7)/A28taxstdlife))</f>
        <v>0</v>
      </c>
      <c r="AE841" s="590">
        <f>IF(A28taxstdlife="n/a","n/a",IF(AE$3&gt;(A28taxstdlife+$E841),(('PTRM input'!$O$170+'PTRM input'!$O$136)*$O$7)-SUM($O841:AD841),(('PTRM input'!$O$170+'PTRM input'!$O$136)*$O$7)/A28taxstdlife))</f>
        <v>0</v>
      </c>
      <c r="AF841" s="590">
        <f>IF(A28taxstdlife="n/a","n/a",IF(AF$3&gt;(A28taxstdlife+$E841),(('PTRM input'!$O$170+'PTRM input'!$O$136)*$O$7)-SUM($O841:AE841),(('PTRM input'!$O$170+'PTRM input'!$O$136)*$O$7)/A28taxstdlife))</f>
        <v>0</v>
      </c>
      <c r="AG841" s="590">
        <f>IF(A28taxstdlife="n/a","n/a",IF(AG$3&gt;(A28taxstdlife+$E841),(('PTRM input'!$O$170+'PTRM input'!$O$136)*$O$7)-SUM($O841:AF841),(('PTRM input'!$O$170+'PTRM input'!$O$136)*$O$7)/A28taxstdlife))</f>
        <v>0</v>
      </c>
      <c r="AH841" s="590">
        <f>IF(A28taxstdlife="n/a","n/a",IF(AH$3&gt;(A28taxstdlife+$E841),(('PTRM input'!$O$170+'PTRM input'!$O$136)*$O$7)-SUM($O841:AG841),(('PTRM input'!$O$170+'PTRM input'!$O$136)*$O$7)/A28taxstdlife))</f>
        <v>0</v>
      </c>
      <c r="AI841" s="590">
        <f>IF(A28taxstdlife="n/a","n/a",IF(AI$3&gt;(A28taxstdlife+$E841),(('PTRM input'!$O$170+'PTRM input'!$O$136)*$O$7)-SUM($O841:AH841),(('PTRM input'!$O$170+'PTRM input'!$O$136)*$O$7)/A28taxstdlife))</f>
        <v>0</v>
      </c>
      <c r="AJ841" s="590">
        <f>IF(A28taxstdlife="n/a","n/a",IF(AJ$3&gt;(A28taxstdlife+$E841),(('PTRM input'!$O$170+'PTRM input'!$O$136)*$O$7)-SUM($O841:AI841),(('PTRM input'!$O$170+'PTRM input'!$O$136)*$O$7)/A28taxstdlife))</f>
        <v>0</v>
      </c>
      <c r="AK841" s="590">
        <f>IF(A28taxstdlife="n/a","n/a",IF(AK$3&gt;(A28taxstdlife+$E841),(('PTRM input'!$O$170+'PTRM input'!$O$136)*$O$7)-SUM($O841:AJ841),(('PTRM input'!$O$170+'PTRM input'!$O$136)*$O$7)/A28taxstdlife))</f>
        <v>0</v>
      </c>
      <c r="AL841" s="590">
        <f>IF(A28taxstdlife="n/a","n/a",IF(AL$3&gt;(A28taxstdlife+$E841),(('PTRM input'!$O$170+'PTRM input'!$O$136)*$O$7)-SUM($O841:AK841),(('PTRM input'!$O$170+'PTRM input'!$O$136)*$O$7)/A28taxstdlife))</f>
        <v>0</v>
      </c>
      <c r="AM841" s="590">
        <f>IF(A28taxstdlife="n/a","n/a",IF(AM$3&gt;(A28taxstdlife+$E841),(('PTRM input'!$O$170+'PTRM input'!$O$136)*$O$7)-SUM($O841:AL841),(('PTRM input'!$O$170+'PTRM input'!$O$136)*$O$7)/A28taxstdlife))</f>
        <v>0</v>
      </c>
      <c r="AN841" s="590">
        <f>IF(A28taxstdlife="n/a","n/a",IF(AN$3&gt;(A28taxstdlife+$E841),(('PTRM input'!$O$170+'PTRM input'!$O$136)*$O$7)-SUM($O841:AM841),(('PTRM input'!$O$170+'PTRM input'!$O$136)*$O$7)/A28taxstdlife))</f>
        <v>0</v>
      </c>
      <c r="AO841" s="590">
        <f>IF(A28taxstdlife="n/a","n/a",IF(AO$3&gt;(A28taxstdlife+$E841),(('PTRM input'!$O$170+'PTRM input'!$O$136)*$O$7)-SUM($O841:AN841),(('PTRM input'!$O$170+'PTRM input'!$O$136)*$O$7)/A28taxstdlife))</f>
        <v>0</v>
      </c>
      <c r="AP841" s="590">
        <f>IF(A28taxstdlife="n/a","n/a",IF(AP$3&gt;(A28taxstdlife+$E841),(('PTRM input'!$O$170+'PTRM input'!$O$136)*$O$7)-SUM($O841:AO841),(('PTRM input'!$O$170+'PTRM input'!$O$136)*$O$7)/A28taxstdlife))</f>
        <v>0</v>
      </c>
      <c r="AQ841" s="590">
        <f>IF(A28taxstdlife="n/a","n/a",IF(AQ$3&gt;(A28taxstdlife+$E841),(('PTRM input'!$O$170+'PTRM input'!$O$136)*$O$7)-SUM($O841:AP841),(('PTRM input'!$O$170+'PTRM input'!$O$136)*$O$7)/A28taxstdlife))</f>
        <v>0</v>
      </c>
      <c r="AR841" s="590">
        <f>IF(A28taxstdlife="n/a","n/a",IF(AR$3&gt;(A28taxstdlife+$E841),(('PTRM input'!$O$170+'PTRM input'!$O$136)*$O$7)-SUM($O841:AQ841),(('PTRM input'!$O$170+'PTRM input'!$O$136)*$O$7)/A28taxstdlife))</f>
        <v>0</v>
      </c>
      <c r="AS841" s="590">
        <f>IF(A28taxstdlife="n/a","n/a",IF(AS$3&gt;(A28taxstdlife+$E841),(('PTRM input'!$O$170+'PTRM input'!$O$136)*$O$7)-SUM($O841:AR841),(('PTRM input'!$O$170+'PTRM input'!$O$136)*$O$7)/A28taxstdlife))</f>
        <v>0</v>
      </c>
      <c r="AT841" s="590">
        <f>IF(A28taxstdlife="n/a","n/a",IF(AT$3&gt;(A28taxstdlife+$E841),(('PTRM input'!$O$170+'PTRM input'!$O$136)*$O$7)-SUM($O841:AS841),(('PTRM input'!$O$170+'PTRM input'!$O$136)*$O$7)/A28taxstdlife))</f>
        <v>0</v>
      </c>
      <c r="AU841" s="590">
        <f>IF(A28taxstdlife="n/a","n/a",IF(AU$3&gt;(A28taxstdlife+$E841),(('PTRM input'!$O$170+'PTRM input'!$O$136)*$O$7)-SUM($O841:AT841),(('PTRM input'!$O$170+'PTRM input'!$O$136)*$O$7)/A28taxstdlife))</f>
        <v>0</v>
      </c>
      <c r="AV841" s="590">
        <f>IF(A28taxstdlife="n/a","n/a",IF(AV$3&gt;(A28taxstdlife+$E841),(('PTRM input'!$O$170+'PTRM input'!$O$136)*$O$7)-SUM($O841:AU841),(('PTRM input'!$O$170+'PTRM input'!$O$136)*$O$7)/A28taxstdlife))</f>
        <v>0</v>
      </c>
      <c r="AW841" s="590">
        <f>IF(A28taxstdlife="n/a","n/a",IF(AW$3&gt;(A28taxstdlife+$E841),(('PTRM input'!$O$170+'PTRM input'!$O$136)*$O$7)-SUM($O841:AV841),(('PTRM input'!$O$170+'PTRM input'!$O$136)*$O$7)/A28taxstdlife))</f>
        <v>0</v>
      </c>
      <c r="AX841" s="590">
        <f>IF(A28taxstdlife="n/a","n/a",IF(AX$3&gt;(A28taxstdlife+$E841),(('PTRM input'!$O$170+'PTRM input'!$O$136)*$O$7)-SUM($O841:AW841),(('PTRM input'!$O$170+'PTRM input'!$O$136)*$O$7)/A28taxstdlife))</f>
        <v>0</v>
      </c>
      <c r="AY841" s="590">
        <f>IF(A28taxstdlife="n/a","n/a",IF(AY$3&gt;(A28taxstdlife+$E841),(('PTRM input'!$O$170+'PTRM input'!$O$136)*$O$7)-SUM($O841:AX841),(('PTRM input'!$O$170+'PTRM input'!$O$136)*$O$7)/A28taxstdlife))</f>
        <v>0</v>
      </c>
      <c r="AZ841" s="590">
        <f>IF(A28taxstdlife="n/a","n/a",IF(AZ$3&gt;(A28taxstdlife+$E841),(('PTRM input'!$O$170+'PTRM input'!$O$136)*$O$7)-SUM($O841:AY841),(('PTRM input'!$O$170+'PTRM input'!$O$136)*$O$7)/A28taxstdlife))</f>
        <v>0</v>
      </c>
      <c r="BA841" s="590">
        <f>IF(A28taxstdlife="n/a","n/a",IF(BA$3&gt;(A28taxstdlife+$E841),(('PTRM input'!$O$170+'PTRM input'!$O$136)*$O$7)-SUM($O841:AZ841),(('PTRM input'!$O$170+'PTRM input'!$O$136)*$O$7)/A28taxstdlife))</f>
        <v>0</v>
      </c>
      <c r="BB841" s="590">
        <f>IF(A28taxstdlife="n/a","n/a",IF(BB$3&gt;(A28taxstdlife+$E841),(('PTRM input'!$O$170+'PTRM input'!$O$136)*$O$7)-SUM($O841:BA841),(('PTRM input'!$O$170+'PTRM input'!$O$136)*$O$7)/A28taxstdlife))</f>
        <v>0</v>
      </c>
      <c r="BC841" s="590">
        <f>IF(A28taxstdlife="n/a","n/a",IF(BC$3&gt;(A28taxstdlife+$E841),(('PTRM input'!$O$170+'PTRM input'!$O$136)*$O$7)-SUM($O841:BB841),(('PTRM input'!$O$170+'PTRM input'!$O$136)*$O$7)/A28taxstdlife))</f>
        <v>0</v>
      </c>
      <c r="BD841" s="590">
        <f>IF(A28taxstdlife="n/a","n/a",IF(BD$3&gt;(A28taxstdlife+$E841),(('PTRM input'!$O$170+'PTRM input'!$O$136)*$O$7)-SUM($O841:BC841),(('PTRM input'!$O$170+'PTRM input'!$O$136)*$O$7)/A28taxstdlife))</f>
        <v>0</v>
      </c>
      <c r="BE841" s="590">
        <f>IF(A28taxstdlife="n/a","n/a",IF(BE$3&gt;(A28taxstdlife+$E841),(('PTRM input'!$O$170+'PTRM input'!$O$136)*$O$7)-SUM($O841:BD841),(('PTRM input'!$O$170+'PTRM input'!$O$136)*$O$7)/A28taxstdlife))</f>
        <v>0</v>
      </c>
      <c r="BF841" s="590">
        <f>IF(A28taxstdlife="n/a","n/a",IF(BF$3&gt;(A28taxstdlife+$E841),(('PTRM input'!$O$170+'PTRM input'!$O$136)*$O$7)-SUM($O841:BE841),(('PTRM input'!$O$170+'PTRM input'!$O$136)*$O$7)/A28taxstdlife))</f>
        <v>0</v>
      </c>
      <c r="BG841" s="590">
        <f>IF(A28taxstdlife="n/a","n/a",IF(BG$3&gt;(A28taxstdlife+$E841),(('PTRM input'!$O$170+'PTRM input'!$O$136)*$O$7)-SUM($O841:BF841),(('PTRM input'!$O$170+'PTRM input'!$O$136)*$O$7)/A28taxstdlife))</f>
        <v>0</v>
      </c>
      <c r="BH841" s="590">
        <f>IF(A28taxstdlife="n/a","n/a",IF(BH$3&gt;(A28taxstdlife+$E841),(('PTRM input'!$O$170+'PTRM input'!$O$136)*$O$7)-SUM($O841:BG841),(('PTRM input'!$O$170+'PTRM input'!$O$136)*$O$7)/A28taxstdlife))</f>
        <v>0</v>
      </c>
      <c r="BI841" s="590">
        <f>IF(A28taxstdlife="n/a","n/a",IF(BI$3&gt;(A28taxstdlife+$E841),(('PTRM input'!$O$170+'PTRM input'!$O$136)*$O$7)-SUM($O841:BH841),(('PTRM input'!$O$170+'PTRM input'!$O$136)*$O$7)/A28taxstdlife))</f>
        <v>0</v>
      </c>
      <c r="BJ841" s="240"/>
      <c r="BK841" s="240"/>
      <c r="BL841" s="240"/>
      <c r="BM841" s="240"/>
    </row>
    <row r="842" spans="1:65" s="4" customFormat="1" hidden="1" outlineLevel="2">
      <c r="A842" s="240"/>
      <c r="B842" s="240"/>
      <c r="C842" s="595"/>
      <c r="D842" s="1618"/>
      <c r="E842" s="170">
        <v>10</v>
      </c>
      <c r="F842" s="35"/>
      <c r="G842" s="184"/>
      <c r="H842" s="186"/>
      <c r="I842" s="186"/>
      <c r="J842" s="186"/>
      <c r="K842" s="186"/>
      <c r="L842" s="186"/>
      <c r="M842" s="186"/>
      <c r="N842" s="186"/>
      <c r="O842" s="186"/>
      <c r="P842" s="185"/>
      <c r="Q842" s="590">
        <f>IF(A28taxstdlife="n/a","n/a",IF(Q$3&gt;(A28taxstdlife+$E842),(('PTRM input'!$P$170+'PTRM input'!$P$136)*$P$7)-SUM($P842:P842),(('PTRM input'!$P$170+'PTRM input'!$P$136)*$P$7)/A28taxstdlife))</f>
        <v>0</v>
      </c>
      <c r="R842" s="590">
        <f>IF(A28taxstdlife="n/a","n/a",IF(R$3&gt;(A28taxstdlife+$E842),(('PTRM input'!$P$170+'PTRM input'!$P$136)*$P$7)-SUM($P842:Q842),(('PTRM input'!$P$170+'PTRM input'!$P$136)*$P$7)/A28taxstdlife))</f>
        <v>0</v>
      </c>
      <c r="S842" s="590">
        <f>IF(A28taxstdlife="n/a","n/a",IF(S$3&gt;(A28taxstdlife+$E842),(('PTRM input'!$P$170+'PTRM input'!$P$136)*$P$7)-SUM($P842:R842),(('PTRM input'!$P$170+'PTRM input'!$P$136)*$P$7)/A28taxstdlife))</f>
        <v>0</v>
      </c>
      <c r="T842" s="590">
        <f>IF(A28taxstdlife="n/a","n/a",IF(T$3&gt;(A28taxstdlife+$E842),(('PTRM input'!$P$170+'PTRM input'!$P$136)*$P$7)-SUM($P842:S842),(('PTRM input'!$P$170+'PTRM input'!$P$136)*$P$7)/A28taxstdlife))</f>
        <v>0</v>
      </c>
      <c r="U842" s="590">
        <f>IF(A28taxstdlife="n/a","n/a",IF(U$3&gt;(A28taxstdlife+$E842),(('PTRM input'!$P$170+'PTRM input'!$P$136)*$P$7)-SUM($P842:T842),(('PTRM input'!$P$170+'PTRM input'!$P$136)*$P$7)/A28taxstdlife))</f>
        <v>0</v>
      </c>
      <c r="V842" s="590">
        <f>IF(A28taxstdlife="n/a","n/a",IF(V$3&gt;(A28taxstdlife+$E842),(('PTRM input'!$P$170+'PTRM input'!$P$136)*$P$7)-SUM($P842:U842),(('PTRM input'!$P$170+'PTRM input'!$P$136)*$P$7)/A28taxstdlife))</f>
        <v>0</v>
      </c>
      <c r="W842" s="590">
        <f>IF(A28taxstdlife="n/a","n/a",IF(W$3&gt;(A28taxstdlife+$E842),(('PTRM input'!$P$170+'PTRM input'!$P$136)*$P$7)-SUM($P842:V842),(('PTRM input'!$P$170+'PTRM input'!$P$136)*$P$7)/A28taxstdlife))</f>
        <v>0</v>
      </c>
      <c r="X842" s="590">
        <f>IF(A28taxstdlife="n/a","n/a",IF(X$3&gt;(A28taxstdlife+$E842),(('PTRM input'!$P$170+'PTRM input'!$P$136)*$P$7)-SUM($P842:W842),(('PTRM input'!$P$170+'PTRM input'!$P$136)*$P$7)/A28taxstdlife))</f>
        <v>0</v>
      </c>
      <c r="Y842" s="590">
        <f>IF(A28taxstdlife="n/a","n/a",IF(Y$3&gt;(A28taxstdlife+$E842),(('PTRM input'!$P$170+'PTRM input'!$P$136)*$P$7)-SUM($P842:X842),(('PTRM input'!$P$170+'PTRM input'!$P$136)*$P$7)/A28taxstdlife))</f>
        <v>0</v>
      </c>
      <c r="Z842" s="590">
        <f>IF(A28taxstdlife="n/a","n/a",IF(Z$3&gt;(A28taxstdlife+$E842),(('PTRM input'!$P$170+'PTRM input'!$P$136)*$P$7)-SUM($P842:Y842),(('PTRM input'!$P$170+'PTRM input'!$P$136)*$P$7)/A28taxstdlife))</f>
        <v>0</v>
      </c>
      <c r="AA842" s="590">
        <f>IF(A28taxstdlife="n/a","n/a",IF(AA$3&gt;(A28taxstdlife+$E842),(('PTRM input'!$P$170+'PTRM input'!$P$136)*$P$7)-SUM($P842:Z842),(('PTRM input'!$P$170+'PTRM input'!$P$136)*$P$7)/A28taxstdlife))</f>
        <v>0</v>
      </c>
      <c r="AB842" s="590">
        <f>IF(A28taxstdlife="n/a","n/a",IF(AB$3&gt;(A28taxstdlife+$E842),(('PTRM input'!$P$170+'PTRM input'!$P$136)*$P$7)-SUM($P842:AA842),(('PTRM input'!$P$170+'PTRM input'!$P$136)*$P$7)/A28taxstdlife))</f>
        <v>0</v>
      </c>
      <c r="AC842" s="590">
        <f>IF(A28taxstdlife="n/a","n/a",IF(AC$3&gt;(A28taxstdlife+$E842),(('PTRM input'!$P$170+'PTRM input'!$P$136)*$P$7)-SUM($P842:AB842),(('PTRM input'!$P$170+'PTRM input'!$P$136)*$P$7)/A28taxstdlife))</f>
        <v>0</v>
      </c>
      <c r="AD842" s="590">
        <f>IF(A28taxstdlife="n/a","n/a",IF(AD$3&gt;(A28taxstdlife+$E842),(('PTRM input'!$P$170+'PTRM input'!$P$136)*$P$7)-SUM($P842:AC842),(('PTRM input'!$P$170+'PTRM input'!$P$136)*$P$7)/A28taxstdlife))</f>
        <v>0</v>
      </c>
      <c r="AE842" s="590">
        <f>IF(A28taxstdlife="n/a","n/a",IF(AE$3&gt;(A28taxstdlife+$E842),(('PTRM input'!$P$170+'PTRM input'!$P$136)*$P$7)-SUM($P842:AD842),(('PTRM input'!$P$170+'PTRM input'!$P$136)*$P$7)/A28taxstdlife))</f>
        <v>0</v>
      </c>
      <c r="AF842" s="590">
        <f>IF(A28taxstdlife="n/a","n/a",IF(AF$3&gt;(A28taxstdlife+$E842),(('PTRM input'!$P$170+'PTRM input'!$P$136)*$P$7)-SUM($P842:AE842),(('PTRM input'!$P$170+'PTRM input'!$P$136)*$P$7)/A28taxstdlife))</f>
        <v>0</v>
      </c>
      <c r="AG842" s="590">
        <f>IF(A28taxstdlife="n/a","n/a",IF(AG$3&gt;(A28taxstdlife+$E842),(('PTRM input'!$P$170+'PTRM input'!$P$136)*$P$7)-SUM($P842:AF842),(('PTRM input'!$P$170+'PTRM input'!$P$136)*$P$7)/A28taxstdlife))</f>
        <v>0</v>
      </c>
      <c r="AH842" s="590">
        <f>IF(A28taxstdlife="n/a","n/a",IF(AH$3&gt;(A28taxstdlife+$E842),(('PTRM input'!$P$170+'PTRM input'!$P$136)*$P$7)-SUM($P842:AG842),(('PTRM input'!$P$170+'PTRM input'!$P$136)*$P$7)/A28taxstdlife))</f>
        <v>0</v>
      </c>
      <c r="AI842" s="590">
        <f>IF(A28taxstdlife="n/a","n/a",IF(AI$3&gt;(A28taxstdlife+$E842),(('PTRM input'!$P$170+'PTRM input'!$P$136)*$P$7)-SUM($P842:AH842),(('PTRM input'!$P$170+'PTRM input'!$P$136)*$P$7)/A28taxstdlife))</f>
        <v>0</v>
      </c>
      <c r="AJ842" s="590">
        <f>IF(A28taxstdlife="n/a","n/a",IF(AJ$3&gt;(A28taxstdlife+$E842),(('PTRM input'!$P$170+'PTRM input'!$P$136)*$P$7)-SUM($P842:AI842),(('PTRM input'!$P$170+'PTRM input'!$P$136)*$P$7)/A28taxstdlife))</f>
        <v>0</v>
      </c>
      <c r="AK842" s="590">
        <f>IF(A28taxstdlife="n/a","n/a",IF(AK$3&gt;(A28taxstdlife+$E842),(('PTRM input'!$P$170+'PTRM input'!$P$136)*$P$7)-SUM($P842:AJ842),(('PTRM input'!$P$170+'PTRM input'!$P$136)*$P$7)/A28taxstdlife))</f>
        <v>0</v>
      </c>
      <c r="AL842" s="590">
        <f>IF(A28taxstdlife="n/a","n/a",IF(AL$3&gt;(A28taxstdlife+$E842),(('PTRM input'!$P$170+'PTRM input'!$P$136)*$P$7)-SUM($P842:AK842),(('PTRM input'!$P$170+'PTRM input'!$P$136)*$P$7)/A28taxstdlife))</f>
        <v>0</v>
      </c>
      <c r="AM842" s="590">
        <f>IF(A28taxstdlife="n/a","n/a",IF(AM$3&gt;(A28taxstdlife+$E842),(('PTRM input'!$P$170+'PTRM input'!$P$136)*$P$7)-SUM($P842:AL842),(('PTRM input'!$P$170+'PTRM input'!$P$136)*$P$7)/A28taxstdlife))</f>
        <v>0</v>
      </c>
      <c r="AN842" s="590">
        <f>IF(A28taxstdlife="n/a","n/a",IF(AN$3&gt;(A28taxstdlife+$E842),(('PTRM input'!$P$170+'PTRM input'!$P$136)*$P$7)-SUM($P842:AM842),(('PTRM input'!$P$170+'PTRM input'!$P$136)*$P$7)/A28taxstdlife))</f>
        <v>0</v>
      </c>
      <c r="AO842" s="590">
        <f>IF(A28taxstdlife="n/a","n/a",IF(AO$3&gt;(A28taxstdlife+$E842),(('PTRM input'!$P$170+'PTRM input'!$P$136)*$P$7)-SUM($P842:AN842),(('PTRM input'!$P$170+'PTRM input'!$P$136)*$P$7)/A28taxstdlife))</f>
        <v>0</v>
      </c>
      <c r="AP842" s="590">
        <f>IF(A28taxstdlife="n/a","n/a",IF(AP$3&gt;(A28taxstdlife+$E842),(('PTRM input'!$P$170+'PTRM input'!$P$136)*$P$7)-SUM($P842:AO842),(('PTRM input'!$P$170+'PTRM input'!$P$136)*$P$7)/A28taxstdlife))</f>
        <v>0</v>
      </c>
      <c r="AQ842" s="590">
        <f>IF(A28taxstdlife="n/a","n/a",IF(AQ$3&gt;(A28taxstdlife+$E842),(('PTRM input'!$P$170+'PTRM input'!$P$136)*$P$7)-SUM($P842:AP842),(('PTRM input'!$P$170+'PTRM input'!$P$136)*$P$7)/A28taxstdlife))</f>
        <v>0</v>
      </c>
      <c r="AR842" s="590">
        <f>IF(A28taxstdlife="n/a","n/a",IF(AR$3&gt;(A28taxstdlife+$E842),(('PTRM input'!$P$170+'PTRM input'!$P$136)*$P$7)-SUM($P842:AQ842),(('PTRM input'!$P$170+'PTRM input'!$P$136)*$P$7)/A28taxstdlife))</f>
        <v>0</v>
      </c>
      <c r="AS842" s="590">
        <f>IF(A28taxstdlife="n/a","n/a",IF(AS$3&gt;(A28taxstdlife+$E842),(('PTRM input'!$P$170+'PTRM input'!$P$136)*$P$7)-SUM($P842:AR842),(('PTRM input'!$P$170+'PTRM input'!$P$136)*$P$7)/A28taxstdlife))</f>
        <v>0</v>
      </c>
      <c r="AT842" s="590">
        <f>IF(A28taxstdlife="n/a","n/a",IF(AT$3&gt;(A28taxstdlife+$E842),(('PTRM input'!$P$170+'PTRM input'!$P$136)*$P$7)-SUM($P842:AS842),(('PTRM input'!$P$170+'PTRM input'!$P$136)*$P$7)/A28taxstdlife))</f>
        <v>0</v>
      </c>
      <c r="AU842" s="590">
        <f>IF(A28taxstdlife="n/a","n/a",IF(AU$3&gt;(A28taxstdlife+$E842),(('PTRM input'!$P$170+'PTRM input'!$P$136)*$P$7)-SUM($P842:AT842),(('PTRM input'!$P$170+'PTRM input'!$P$136)*$P$7)/A28taxstdlife))</f>
        <v>0</v>
      </c>
      <c r="AV842" s="590">
        <f>IF(A28taxstdlife="n/a","n/a",IF(AV$3&gt;(A28taxstdlife+$E842),(('PTRM input'!$P$170+'PTRM input'!$P$136)*$P$7)-SUM($P842:AU842),(('PTRM input'!$P$170+'PTRM input'!$P$136)*$P$7)/A28taxstdlife))</f>
        <v>0</v>
      </c>
      <c r="AW842" s="590">
        <f>IF(A28taxstdlife="n/a","n/a",IF(AW$3&gt;(A28taxstdlife+$E842),(('PTRM input'!$P$170+'PTRM input'!$P$136)*$P$7)-SUM($P842:AV842),(('PTRM input'!$P$170+'PTRM input'!$P$136)*$P$7)/A28taxstdlife))</f>
        <v>0</v>
      </c>
      <c r="AX842" s="590">
        <f>IF(A28taxstdlife="n/a","n/a",IF(AX$3&gt;(A28taxstdlife+$E842),(('PTRM input'!$P$170+'PTRM input'!$P$136)*$P$7)-SUM($P842:AW842),(('PTRM input'!$P$170+'PTRM input'!$P$136)*$P$7)/A28taxstdlife))</f>
        <v>0</v>
      </c>
      <c r="AY842" s="590">
        <f>IF(A28taxstdlife="n/a","n/a",IF(AY$3&gt;(A28taxstdlife+$E842),(('PTRM input'!$P$170+'PTRM input'!$P$136)*$P$7)-SUM($P842:AX842),(('PTRM input'!$P$170+'PTRM input'!$P$136)*$P$7)/A28taxstdlife))</f>
        <v>0</v>
      </c>
      <c r="AZ842" s="590">
        <f>IF(A28taxstdlife="n/a","n/a",IF(AZ$3&gt;(A28taxstdlife+$E842),(('PTRM input'!$P$170+'PTRM input'!$P$136)*$P$7)-SUM($P842:AY842),(('PTRM input'!$P$170+'PTRM input'!$P$136)*$P$7)/A28taxstdlife))</f>
        <v>0</v>
      </c>
      <c r="BA842" s="590">
        <f>IF(A28taxstdlife="n/a","n/a",IF(BA$3&gt;(A28taxstdlife+$E842),(('PTRM input'!$P$170+'PTRM input'!$P$136)*$P$7)-SUM($P842:AZ842),(('PTRM input'!$P$170+'PTRM input'!$P$136)*$P$7)/A28taxstdlife))</f>
        <v>0</v>
      </c>
      <c r="BB842" s="590">
        <f>IF(A28taxstdlife="n/a","n/a",IF(BB$3&gt;(A28taxstdlife+$E842),(('PTRM input'!$P$170+'PTRM input'!$P$136)*$P$7)-SUM($P842:BA842),(('PTRM input'!$P$170+'PTRM input'!$P$136)*$P$7)/A28taxstdlife))</f>
        <v>0</v>
      </c>
      <c r="BC842" s="590">
        <f>IF(A28taxstdlife="n/a","n/a",IF(BC$3&gt;(A28taxstdlife+$E842),(('PTRM input'!$P$170+'PTRM input'!$P$136)*$P$7)-SUM($P842:BB842),(('PTRM input'!$P$170+'PTRM input'!$P$136)*$P$7)/A28taxstdlife))</f>
        <v>0</v>
      </c>
      <c r="BD842" s="590">
        <f>IF(A28taxstdlife="n/a","n/a",IF(BD$3&gt;(A28taxstdlife+$E842),(('PTRM input'!$P$170+'PTRM input'!$P$136)*$P$7)-SUM($P842:BC842),(('PTRM input'!$P$170+'PTRM input'!$P$136)*$P$7)/A28taxstdlife))</f>
        <v>0</v>
      </c>
      <c r="BE842" s="590">
        <f>IF(A28taxstdlife="n/a","n/a",IF(BE$3&gt;(A28taxstdlife+$E842),(('PTRM input'!$P$170+'PTRM input'!$P$136)*$P$7)-SUM($P842:BD842),(('PTRM input'!$P$170+'PTRM input'!$P$136)*$P$7)/A28taxstdlife))</f>
        <v>0</v>
      </c>
      <c r="BF842" s="590">
        <f>IF(A28taxstdlife="n/a","n/a",IF(BF$3&gt;(A28taxstdlife+$E842),(('PTRM input'!$P$170+'PTRM input'!$P$136)*$P$7)-SUM($P842:BE842),(('PTRM input'!$P$170+'PTRM input'!$P$136)*$P$7)/A28taxstdlife))</f>
        <v>0</v>
      </c>
      <c r="BG842" s="590">
        <f>IF(A28taxstdlife="n/a","n/a",IF(BG$3&gt;(A28taxstdlife+$E842),(('PTRM input'!$P$170+'PTRM input'!$P$136)*$P$7)-SUM($P842:BF842),(('PTRM input'!$P$170+'PTRM input'!$P$136)*$P$7)/A28taxstdlife))</f>
        <v>0</v>
      </c>
      <c r="BH842" s="590">
        <f>IF(A28taxstdlife="n/a","n/a",IF(BH$3&gt;(A28taxstdlife+$E842),(('PTRM input'!$P$170+'PTRM input'!$P$136)*$P$7)-SUM($P842:BG842),(('PTRM input'!$P$170+'PTRM input'!$P$136)*$P$7)/A28taxstdlife))</f>
        <v>0</v>
      </c>
      <c r="BI842" s="590">
        <f>IF(A28taxstdlife="n/a","n/a",IF(BI$3&gt;(A28taxstdlife+$E842),(('PTRM input'!$P$170+'PTRM input'!$P$136)*$P$7)-SUM($P842:BH842),(('PTRM input'!$P$170+'PTRM input'!$P$136)*$P$7)/A28taxstdlife))</f>
        <v>0</v>
      </c>
      <c r="BJ842" s="240"/>
      <c r="BK842" s="240"/>
      <c r="BL842" s="240"/>
      <c r="BM842" s="240"/>
    </row>
    <row r="843" spans="1:65" s="4" customFormat="1" hidden="1" outlineLevel="1">
      <c r="A843" s="240"/>
      <c r="B843" s="240"/>
      <c r="C843" s="595">
        <f>Asset28</f>
        <v>0</v>
      </c>
      <c r="D843" s="240"/>
      <c r="E843" s="240"/>
      <c r="F843" s="596"/>
      <c r="G843" s="591">
        <f t="shared" ref="G843:AL843" si="160">SUM(G831:G842)</f>
        <v>0</v>
      </c>
      <c r="H843" s="591">
        <f t="shared" si="160"/>
        <v>0</v>
      </c>
      <c r="I843" s="591">
        <f t="shared" si="160"/>
        <v>0</v>
      </c>
      <c r="J843" s="591">
        <f t="shared" si="160"/>
        <v>0</v>
      </c>
      <c r="K843" s="591">
        <f t="shared" si="160"/>
        <v>0</v>
      </c>
      <c r="L843" s="591">
        <f t="shared" si="160"/>
        <v>0</v>
      </c>
      <c r="M843" s="591">
        <f t="shared" si="160"/>
        <v>0</v>
      </c>
      <c r="N843" s="591">
        <f t="shared" si="160"/>
        <v>0</v>
      </c>
      <c r="O843" s="591">
        <f t="shared" si="160"/>
        <v>0</v>
      </c>
      <c r="P843" s="591">
        <f t="shared" si="160"/>
        <v>0</v>
      </c>
      <c r="Q843" s="591">
        <f t="shared" si="160"/>
        <v>0</v>
      </c>
      <c r="R843" s="591">
        <f t="shared" si="160"/>
        <v>0</v>
      </c>
      <c r="S843" s="591">
        <f t="shared" si="160"/>
        <v>0</v>
      </c>
      <c r="T843" s="591">
        <f t="shared" si="160"/>
        <v>0</v>
      </c>
      <c r="U843" s="591">
        <f t="shared" si="160"/>
        <v>0</v>
      </c>
      <c r="V843" s="591">
        <f t="shared" si="160"/>
        <v>0</v>
      </c>
      <c r="W843" s="591">
        <f t="shared" si="160"/>
        <v>0</v>
      </c>
      <c r="X843" s="591">
        <f t="shared" si="160"/>
        <v>0</v>
      </c>
      <c r="Y843" s="591">
        <f t="shared" si="160"/>
        <v>0</v>
      </c>
      <c r="Z843" s="591">
        <f t="shared" si="160"/>
        <v>0</v>
      </c>
      <c r="AA843" s="591">
        <f t="shared" si="160"/>
        <v>0</v>
      </c>
      <c r="AB843" s="591">
        <f t="shared" si="160"/>
        <v>0</v>
      </c>
      <c r="AC843" s="591">
        <f t="shared" si="160"/>
        <v>0</v>
      </c>
      <c r="AD843" s="591">
        <f t="shared" si="160"/>
        <v>0</v>
      </c>
      <c r="AE843" s="591">
        <f t="shared" si="160"/>
        <v>0</v>
      </c>
      <c r="AF843" s="591">
        <f t="shared" si="160"/>
        <v>0</v>
      </c>
      <c r="AG843" s="591">
        <f t="shared" si="160"/>
        <v>0</v>
      </c>
      <c r="AH843" s="591">
        <f t="shared" si="160"/>
        <v>0</v>
      </c>
      <c r="AI843" s="591">
        <f t="shared" si="160"/>
        <v>0</v>
      </c>
      <c r="AJ843" s="591">
        <f t="shared" si="160"/>
        <v>0</v>
      </c>
      <c r="AK843" s="591">
        <f t="shared" si="160"/>
        <v>0</v>
      </c>
      <c r="AL843" s="591">
        <f t="shared" si="160"/>
        <v>0</v>
      </c>
      <c r="AM843" s="591">
        <f t="shared" ref="AM843:BI843" si="161">SUM(AM831:AM842)</f>
        <v>0</v>
      </c>
      <c r="AN843" s="591">
        <f t="shared" si="161"/>
        <v>0</v>
      </c>
      <c r="AO843" s="591">
        <f t="shared" si="161"/>
        <v>0</v>
      </c>
      <c r="AP843" s="591">
        <f t="shared" si="161"/>
        <v>0</v>
      </c>
      <c r="AQ843" s="591">
        <f t="shared" si="161"/>
        <v>0</v>
      </c>
      <c r="AR843" s="591">
        <f t="shared" si="161"/>
        <v>0</v>
      </c>
      <c r="AS843" s="591">
        <f t="shared" si="161"/>
        <v>0</v>
      </c>
      <c r="AT843" s="591">
        <f t="shared" si="161"/>
        <v>0</v>
      </c>
      <c r="AU843" s="591">
        <f t="shared" si="161"/>
        <v>0</v>
      </c>
      <c r="AV843" s="591">
        <f t="shared" si="161"/>
        <v>0</v>
      </c>
      <c r="AW843" s="591">
        <f t="shared" si="161"/>
        <v>0</v>
      </c>
      <c r="AX843" s="591">
        <f t="shared" si="161"/>
        <v>0</v>
      </c>
      <c r="AY843" s="591">
        <f t="shared" si="161"/>
        <v>0</v>
      </c>
      <c r="AZ843" s="591">
        <f t="shared" si="161"/>
        <v>0</v>
      </c>
      <c r="BA843" s="591">
        <f t="shared" si="161"/>
        <v>0</v>
      </c>
      <c r="BB843" s="591">
        <f t="shared" si="161"/>
        <v>0</v>
      </c>
      <c r="BC843" s="591">
        <f t="shared" si="161"/>
        <v>0</v>
      </c>
      <c r="BD843" s="591">
        <f t="shared" si="161"/>
        <v>0</v>
      </c>
      <c r="BE843" s="591">
        <f t="shared" si="161"/>
        <v>0</v>
      </c>
      <c r="BF843" s="591">
        <f t="shared" si="161"/>
        <v>0</v>
      </c>
      <c r="BG843" s="591">
        <f t="shared" si="161"/>
        <v>0</v>
      </c>
      <c r="BH843" s="591">
        <f t="shared" si="161"/>
        <v>0</v>
      </c>
      <c r="BI843" s="591">
        <f t="shared" si="161"/>
        <v>0</v>
      </c>
      <c r="BJ843" s="240"/>
      <c r="BK843" s="240"/>
      <c r="BL843" s="240"/>
      <c r="BM843" s="240"/>
    </row>
    <row r="844" spans="1:65" s="4" customFormat="1" hidden="1" outlineLevel="2">
      <c r="A844" s="240"/>
      <c r="B844" s="597">
        <f>C856</f>
        <v>0</v>
      </c>
      <c r="C844" s="488"/>
      <c r="D844" s="598" t="s">
        <v>58</v>
      </c>
      <c r="E844" s="488"/>
      <c r="F844" s="599"/>
      <c r="G844" s="592">
        <f>IF(G$3&gt;A29taxremlife,A29taxvalue-SUM($F844:F844),IF(A29taxremlife="N/A","n/a",A29taxvalue/A29taxremlife))</f>
        <v>0</v>
      </c>
      <c r="H844" s="592">
        <f>IF(H$3&gt;A29taxremlife,A29taxvalue-SUM($F844:G844),IF(A29taxremlife="N/A","n/a",A29taxvalue/A29taxremlife))</f>
        <v>0</v>
      </c>
      <c r="I844" s="592">
        <f>IF(I$3&gt;A29taxremlife,A29taxvalue-SUM($F844:H844),IF(A29taxremlife="N/A","n/a",A29taxvalue/A29taxremlife))</f>
        <v>0</v>
      </c>
      <c r="J844" s="592">
        <f>IF(J$3&gt;A29taxremlife,A29taxvalue-SUM($F844:I844),IF(A29taxremlife="N/A","n/a",A29taxvalue/A29taxremlife))</f>
        <v>0</v>
      </c>
      <c r="K844" s="592">
        <f>IF(K$3&gt;A29taxremlife,A29taxvalue-SUM($F844:J844),IF(A29taxremlife="N/A","n/a",A29taxvalue/A29taxremlife))</f>
        <v>0</v>
      </c>
      <c r="L844" s="592">
        <f>IF(L$3&gt;A29taxremlife,A29taxvalue-SUM($F844:K844),IF(A29taxremlife="N/A","n/a",A29taxvalue/A29taxremlife))</f>
        <v>0</v>
      </c>
      <c r="M844" s="592">
        <f>IF(M$3&gt;A29taxremlife,A29taxvalue-SUM($F844:L844),IF(A29taxremlife="N/A","n/a",A29taxvalue/A29taxremlife))</f>
        <v>0</v>
      </c>
      <c r="N844" s="592">
        <f>IF(N$3&gt;A29taxremlife,A29taxvalue-SUM($F844:M844),IF(A29taxremlife="N/A","n/a",A29taxvalue/A29taxremlife))</f>
        <v>0</v>
      </c>
      <c r="O844" s="592">
        <f>IF(O$3&gt;A29taxremlife,A29taxvalue-SUM($F844:N844),IF(A29taxremlife="N/A","n/a",A29taxvalue/A29taxremlife))</f>
        <v>0</v>
      </c>
      <c r="P844" s="592">
        <f>IF(P$3&gt;A29taxremlife,A29taxvalue-SUM($F844:O844),IF(A29taxremlife="N/A","n/a",A29taxvalue/A29taxremlife))</f>
        <v>0</v>
      </c>
      <c r="Q844" s="592">
        <f>IF(Q$3&gt;A29taxremlife,A29taxvalue-SUM($F844:P844),IF(A29taxremlife="N/A","n/a",A29taxvalue/A29taxremlife))</f>
        <v>0</v>
      </c>
      <c r="R844" s="592">
        <f>IF(R$3&gt;A29taxremlife,A29taxvalue-SUM($F844:Q844),IF(A29taxremlife="N/A","n/a",A29taxvalue/A29taxremlife))</f>
        <v>0</v>
      </c>
      <c r="S844" s="592">
        <f>IF(S$3&gt;A29taxremlife,A29taxvalue-SUM($F844:R844),IF(A29taxremlife="N/A","n/a",A29taxvalue/A29taxremlife))</f>
        <v>0</v>
      </c>
      <c r="T844" s="592">
        <f>IF(T$3&gt;A29taxremlife,A29taxvalue-SUM($F844:S844),IF(A29taxremlife="N/A","n/a",A29taxvalue/A29taxremlife))</f>
        <v>0</v>
      </c>
      <c r="U844" s="592">
        <f>IF(U$3&gt;A29taxremlife,A29taxvalue-SUM($F844:T844),IF(A29taxremlife="N/A","n/a",A29taxvalue/A29taxremlife))</f>
        <v>0</v>
      </c>
      <c r="V844" s="592">
        <f>IF(V$3&gt;A29taxremlife,A29taxvalue-SUM($F844:U844),IF(A29taxremlife="N/A","n/a",A29taxvalue/A29taxremlife))</f>
        <v>0</v>
      </c>
      <c r="W844" s="592">
        <f>IF(W$3&gt;A29taxremlife,A29taxvalue-SUM($F844:V844),IF(A29taxremlife="N/A","n/a",A29taxvalue/A29taxremlife))</f>
        <v>0</v>
      </c>
      <c r="X844" s="592">
        <f>IF(X$3&gt;A29taxremlife,A29taxvalue-SUM($F844:W844),IF(A29taxremlife="N/A","n/a",A29taxvalue/A29taxremlife))</f>
        <v>0</v>
      </c>
      <c r="Y844" s="592">
        <f>IF(Y$3&gt;A29taxremlife,A29taxvalue-SUM($F844:X844),IF(A29taxremlife="N/A","n/a",A29taxvalue/A29taxremlife))</f>
        <v>0</v>
      </c>
      <c r="Z844" s="592">
        <f>IF(Z$3&gt;A29taxremlife,A29taxvalue-SUM($F844:Y844),IF(A29taxremlife="N/A","n/a",A29taxvalue/A29taxremlife))</f>
        <v>0</v>
      </c>
      <c r="AA844" s="592">
        <f>IF(AA$3&gt;A29taxremlife,A29taxvalue-SUM($F844:Z844),IF(A29taxremlife="N/A","n/a",A29taxvalue/A29taxremlife))</f>
        <v>0</v>
      </c>
      <c r="AB844" s="592">
        <f>IF(AB$3&gt;A29taxremlife,A29taxvalue-SUM($F844:AA844),IF(A29taxremlife="N/A","n/a",A29taxvalue/A29taxremlife))</f>
        <v>0</v>
      </c>
      <c r="AC844" s="592">
        <f>IF(AC$3&gt;A29taxremlife,A29taxvalue-SUM($F844:AB844),IF(A29taxremlife="N/A","n/a",A29taxvalue/A29taxremlife))</f>
        <v>0</v>
      </c>
      <c r="AD844" s="592">
        <f>IF(AD$3&gt;A29taxremlife,A29taxvalue-SUM($F844:AC844),IF(A29taxremlife="N/A","n/a",A29taxvalue/A29taxremlife))</f>
        <v>0</v>
      </c>
      <c r="AE844" s="592">
        <f>IF(AE$3&gt;A29taxremlife,A29taxvalue-SUM($F844:AD844),IF(A29taxremlife="N/A","n/a",A29taxvalue/A29taxremlife))</f>
        <v>0</v>
      </c>
      <c r="AF844" s="592">
        <f>IF(AF$3&gt;A29taxremlife,A29taxvalue-SUM($F844:AE844),IF(A29taxremlife="N/A","n/a",A29taxvalue/A29taxremlife))</f>
        <v>0</v>
      </c>
      <c r="AG844" s="592">
        <f>IF(AG$3&gt;A29taxremlife,A29taxvalue-SUM($F844:AF844),IF(A29taxremlife="N/A","n/a",A29taxvalue/A29taxremlife))</f>
        <v>0</v>
      </c>
      <c r="AH844" s="592">
        <f>IF(AH$3&gt;A29taxremlife,A29taxvalue-SUM($F844:AG844),IF(A29taxremlife="N/A","n/a",A29taxvalue/A29taxremlife))</f>
        <v>0</v>
      </c>
      <c r="AI844" s="592">
        <f>IF(AI$3&gt;A29taxremlife,A29taxvalue-SUM($F844:AH844),IF(A29taxremlife="N/A","n/a",A29taxvalue/A29taxremlife))</f>
        <v>0</v>
      </c>
      <c r="AJ844" s="592">
        <f>IF(AJ$3&gt;A29taxremlife,A29taxvalue-SUM($F844:AI844),IF(A29taxremlife="N/A","n/a",A29taxvalue/A29taxremlife))</f>
        <v>0</v>
      </c>
      <c r="AK844" s="592">
        <f>IF(AK$3&gt;A29taxremlife,A29taxvalue-SUM($F844:AJ844),IF(A29taxremlife="N/A","n/a",A29taxvalue/A29taxremlife))</f>
        <v>0</v>
      </c>
      <c r="AL844" s="592">
        <f>IF(AL$3&gt;A29taxremlife,A29taxvalue-SUM($F844:AK844),IF(A29taxremlife="N/A","n/a",A29taxvalue/A29taxremlife))</f>
        <v>0</v>
      </c>
      <c r="AM844" s="592">
        <f>IF(AM$3&gt;A29taxremlife,A29taxvalue-SUM($F844:AL844),IF(A29taxremlife="N/A","n/a",A29taxvalue/A29taxremlife))</f>
        <v>0</v>
      </c>
      <c r="AN844" s="592">
        <f>IF(AN$3&gt;A29taxremlife,A29taxvalue-SUM($F844:AM844),IF(A29taxremlife="N/A","n/a",A29taxvalue/A29taxremlife))</f>
        <v>0</v>
      </c>
      <c r="AO844" s="592">
        <f>IF(AO$3&gt;A29taxremlife,A29taxvalue-SUM($F844:AN844),IF(A29taxremlife="N/A","n/a",A29taxvalue/A29taxremlife))</f>
        <v>0</v>
      </c>
      <c r="AP844" s="592">
        <f>IF(AP$3&gt;A29taxremlife,A29taxvalue-SUM($F844:AO844),IF(A29taxremlife="N/A","n/a",A29taxvalue/A29taxremlife))</f>
        <v>0</v>
      </c>
      <c r="AQ844" s="592">
        <f>IF(AQ$3&gt;A29taxremlife,A29taxvalue-SUM($F844:AP844),IF(A29taxremlife="N/A","n/a",A29taxvalue/A29taxremlife))</f>
        <v>0</v>
      </c>
      <c r="AR844" s="592">
        <f>IF(AR$3&gt;A29taxremlife,A29taxvalue-SUM($F844:AQ844),IF(A29taxremlife="N/A","n/a",A29taxvalue/A29taxremlife))</f>
        <v>0</v>
      </c>
      <c r="AS844" s="592">
        <f>IF(AS$3&gt;A29taxremlife,A29taxvalue-SUM($F844:AR844),IF(A29taxremlife="N/A","n/a",A29taxvalue/A29taxremlife))</f>
        <v>0</v>
      </c>
      <c r="AT844" s="592">
        <f>IF(AT$3&gt;A29taxremlife,A29taxvalue-SUM($F844:AS844),IF(A29taxremlife="N/A","n/a",A29taxvalue/A29taxremlife))</f>
        <v>0</v>
      </c>
      <c r="AU844" s="592">
        <f>IF(AU$3&gt;A29taxremlife,A29taxvalue-SUM($F844:AT844),IF(A29taxremlife="N/A","n/a",A29taxvalue/A29taxremlife))</f>
        <v>0</v>
      </c>
      <c r="AV844" s="592">
        <f>IF(AV$3&gt;A29taxremlife,A29taxvalue-SUM($F844:AU844),IF(A29taxremlife="N/A","n/a",A29taxvalue/A29taxremlife))</f>
        <v>0</v>
      </c>
      <c r="AW844" s="592">
        <f>IF(AW$3&gt;A29taxremlife,A29taxvalue-SUM($F844:AV844),IF(A29taxremlife="N/A","n/a",A29taxvalue/A29taxremlife))</f>
        <v>0</v>
      </c>
      <c r="AX844" s="592">
        <f>IF(AX$3&gt;A29taxremlife,A29taxvalue-SUM($F844:AW844),IF(A29taxremlife="N/A","n/a",A29taxvalue/A29taxremlife))</f>
        <v>0</v>
      </c>
      <c r="AY844" s="592">
        <f>IF(AY$3&gt;A29taxremlife,A29taxvalue-SUM($F844:AX844),IF(A29taxremlife="N/A","n/a",A29taxvalue/A29taxremlife))</f>
        <v>0</v>
      </c>
      <c r="AZ844" s="592">
        <f>IF(AZ$3&gt;A29taxremlife,A29taxvalue-SUM($F844:AY844),IF(A29taxremlife="N/A","n/a",A29taxvalue/A29taxremlife))</f>
        <v>0</v>
      </c>
      <c r="BA844" s="592">
        <f>IF(BA$3&gt;A29taxremlife,A29taxvalue-SUM($F844:AZ844),IF(A29taxremlife="N/A","n/a",A29taxvalue/A29taxremlife))</f>
        <v>0</v>
      </c>
      <c r="BB844" s="592">
        <f>IF(BB$3&gt;A29taxremlife,A29taxvalue-SUM($F844:BA844),IF(A29taxremlife="N/A","n/a",A29taxvalue/A29taxremlife))</f>
        <v>0</v>
      </c>
      <c r="BC844" s="592">
        <f>IF(BC$3&gt;A29taxremlife,A29taxvalue-SUM($F844:BB844),IF(A29taxremlife="N/A","n/a",A29taxvalue/A29taxremlife))</f>
        <v>0</v>
      </c>
      <c r="BD844" s="592">
        <f>IF(BD$3&gt;A29taxremlife,A29taxvalue-SUM($F844:BC844),IF(A29taxremlife="N/A","n/a",A29taxvalue/A29taxremlife))</f>
        <v>0</v>
      </c>
      <c r="BE844" s="592">
        <f>IF(BE$3&gt;A29taxremlife,A29taxvalue-SUM($F844:BD844),IF(A29taxremlife="N/A","n/a",A29taxvalue/A29taxremlife))</f>
        <v>0</v>
      </c>
      <c r="BF844" s="592">
        <f>IF(BF$3&gt;A29taxremlife,A29taxvalue-SUM($F844:BE844),IF(A29taxremlife="N/A","n/a",A29taxvalue/A29taxremlife))</f>
        <v>0</v>
      </c>
      <c r="BG844" s="592">
        <f>IF(BG$3&gt;A29taxremlife,A29taxvalue-SUM($F844:BF844),IF(A29taxremlife="N/A","n/a",A29taxvalue/A29taxremlife))</f>
        <v>0</v>
      </c>
      <c r="BH844" s="592">
        <f>IF(BH$3&gt;A29taxremlife,A29taxvalue-SUM($F844:BG844),IF(A29taxremlife="N/A","n/a",A29taxvalue/A29taxremlife))</f>
        <v>0</v>
      </c>
      <c r="BI844" s="592">
        <f>IF(BI$3&gt;A29taxremlife,A29taxvalue-SUM($F844:BH844),IF(A29taxremlife="N/A","n/a",A29taxvalue/A29taxremlife))</f>
        <v>0</v>
      </c>
      <c r="BJ844" s="240"/>
      <c r="BK844" s="240"/>
      <c r="BL844" s="240"/>
      <c r="BM844" s="240"/>
    </row>
    <row r="845" spans="1:65" s="4" customFormat="1" ht="12.75" hidden="1" customHeight="1" outlineLevel="2">
      <c r="A845" s="240"/>
      <c r="B845" s="240"/>
      <c r="C845" s="595"/>
      <c r="D845" s="1618" t="s">
        <v>357</v>
      </c>
      <c r="E845" s="169">
        <v>0</v>
      </c>
      <c r="F845" s="35"/>
      <c r="G845" s="107"/>
      <c r="H845" s="107"/>
      <c r="I845" s="107"/>
      <c r="J845" s="107"/>
      <c r="K845" s="107"/>
      <c r="L845" s="107"/>
      <c r="M845" s="107"/>
      <c r="N845" s="107"/>
      <c r="O845" s="107"/>
      <c r="P845" s="107"/>
      <c r="Q845" s="590"/>
      <c r="R845" s="590"/>
      <c r="S845" s="590"/>
      <c r="T845" s="590"/>
      <c r="U845" s="590"/>
      <c r="V845" s="590"/>
      <c r="W845" s="590"/>
      <c r="X845" s="590"/>
      <c r="Y845" s="590"/>
      <c r="Z845" s="590"/>
      <c r="AA845" s="590"/>
      <c r="AB845" s="590"/>
      <c r="AC845" s="590"/>
      <c r="AD845" s="590"/>
      <c r="AE845" s="590"/>
      <c r="AF845" s="590"/>
      <c r="AG845" s="590"/>
      <c r="AH845" s="590"/>
      <c r="AI845" s="590"/>
      <c r="AJ845" s="590"/>
      <c r="AK845" s="590"/>
      <c r="AL845" s="590"/>
      <c r="AM845" s="590"/>
      <c r="AN845" s="590"/>
      <c r="AO845" s="590"/>
      <c r="AP845" s="590"/>
      <c r="AQ845" s="590"/>
      <c r="AR845" s="590"/>
      <c r="AS845" s="590"/>
      <c r="AT845" s="590"/>
      <c r="AU845" s="590"/>
      <c r="AV845" s="590"/>
      <c r="AW845" s="590"/>
      <c r="AX845" s="590"/>
      <c r="AY845" s="590"/>
      <c r="AZ845" s="590"/>
      <c r="BA845" s="590"/>
      <c r="BB845" s="590"/>
      <c r="BC845" s="590"/>
      <c r="BD845" s="590"/>
      <c r="BE845" s="590"/>
      <c r="BF845" s="590"/>
      <c r="BG845" s="590"/>
      <c r="BH845" s="590"/>
      <c r="BI845" s="590"/>
      <c r="BJ845" s="240"/>
      <c r="BK845" s="240"/>
      <c r="BL845" s="240"/>
      <c r="BM845" s="240"/>
    </row>
    <row r="846" spans="1:65" s="4" customFormat="1" hidden="1" outlineLevel="2">
      <c r="A846" s="240"/>
      <c r="B846" s="240"/>
      <c r="C846" s="595"/>
      <c r="D846" s="1618"/>
      <c r="E846" s="169">
        <v>1</v>
      </c>
      <c r="F846" s="35"/>
      <c r="G846" s="183"/>
      <c r="H846" s="107">
        <f>IF(A29taxstdlife="n/a","n/a",IF(H$3&gt;(A29taxstdlife+$E846),(('PTRM input'!$G$171+'PTRM input'!$G$137)*$G$7)-SUM($G846:G846),(('PTRM input'!$G$171+'PTRM input'!$G$137)*$G$7)/A29taxstdlife))</f>
        <v>0</v>
      </c>
      <c r="I846" s="107">
        <f>IF(A29taxstdlife="n/a","n/a",IF(I$3&gt;(A29taxstdlife+$E846),(('PTRM input'!$G$171+'PTRM input'!$G$137)*$G$7)-SUM($G846:H846),(('PTRM input'!$G$171+'PTRM input'!$G$137)*$G$7)/A29taxstdlife))</f>
        <v>0</v>
      </c>
      <c r="J846" s="107">
        <f>IF(A29taxstdlife="n/a","n/a",IF(J$3&gt;(A29taxstdlife+$E846),(('PTRM input'!$G$171+'PTRM input'!$G$137)*$G$7)-SUM($G846:I846),(('PTRM input'!$G$171+'PTRM input'!$G$137)*$G$7)/A29taxstdlife))</f>
        <v>0</v>
      </c>
      <c r="K846" s="107">
        <f>IF(A29taxstdlife="n/a","n/a",IF(K$3&gt;(A29taxstdlife+$E846),(('PTRM input'!$G$171+'PTRM input'!$G$137)*$G$7)-SUM($G846:J846),(('PTRM input'!$G$171+'PTRM input'!$G$137)*$G$7)/A29taxstdlife))</f>
        <v>0</v>
      </c>
      <c r="L846" s="107">
        <f>IF(A29taxstdlife="n/a","n/a",IF(L$3&gt;(A29taxstdlife+$E846),(('PTRM input'!$G$171+'PTRM input'!$G$137)*$G$7)-SUM($G846:K846),(('PTRM input'!$G$171+'PTRM input'!$G$137)*$G$7)/A29taxstdlife))</f>
        <v>0</v>
      </c>
      <c r="M846" s="107">
        <f>IF(A29taxstdlife="n/a","n/a",IF(M$3&gt;(A29taxstdlife+$E846),(('PTRM input'!$G$171+'PTRM input'!$G$137)*$G$7)-SUM($G846:L846),(('PTRM input'!$G$171+'PTRM input'!$G$137)*$G$7)/A29taxstdlife))</f>
        <v>0</v>
      </c>
      <c r="N846" s="107">
        <f>IF(A29taxstdlife="n/a","n/a",IF(N$3&gt;(A29taxstdlife+$E846),(('PTRM input'!$G$171+'PTRM input'!$G$137)*$G$7)-SUM($G846:M846),(('PTRM input'!$G$171+'PTRM input'!$G$137)*$G$7)/A29taxstdlife))</f>
        <v>0</v>
      </c>
      <c r="O846" s="107">
        <f>IF(A29taxstdlife="n/a","n/a",IF(O$3&gt;(A29taxstdlife+$E846),(('PTRM input'!$G$171+'PTRM input'!$G$137)*$G$7)-SUM($G846:N846),(('PTRM input'!$G$171+'PTRM input'!$G$137)*$G$7)/A29taxstdlife))</f>
        <v>0</v>
      </c>
      <c r="P846" s="107">
        <f>IF(A29taxstdlife="n/a","n/a",IF(P$3&gt;(A29taxstdlife+$E846),(('PTRM input'!$G$171+'PTRM input'!$G$137)*$G$7)-SUM($G846:O846),(('PTRM input'!$G$171+'PTRM input'!$G$137)*$G$7)/A29taxstdlife))</f>
        <v>0</v>
      </c>
      <c r="Q846" s="590">
        <f>IF(A29taxstdlife="n/a","n/a",IF(Q$3&gt;(A29taxstdlife+$E846),(('PTRM input'!$G$171+'PTRM input'!$G$137)*$G$7)-SUM($G846:P846),(('PTRM input'!$G$171+'PTRM input'!$G$137)*$G$7)/A29taxstdlife))</f>
        <v>0</v>
      </c>
      <c r="R846" s="590">
        <f>IF(A29taxstdlife="n/a","n/a",IF(R$3&gt;(A29taxstdlife+$E846),(('PTRM input'!$G$171+'PTRM input'!$G$137)*$G$7)-SUM($G846:Q846),(('PTRM input'!$G$171+'PTRM input'!$G$137)*$G$7)/A29taxstdlife))</f>
        <v>0</v>
      </c>
      <c r="S846" s="590">
        <f>IF(A29taxstdlife="n/a","n/a",IF(S$3&gt;(A29taxstdlife+$E846),(('PTRM input'!$G$171+'PTRM input'!$G$137)*$G$7)-SUM($G846:R846),(('PTRM input'!$G$171+'PTRM input'!$G$137)*$G$7)/A29taxstdlife))</f>
        <v>0</v>
      </c>
      <c r="T846" s="590">
        <f>IF(A29taxstdlife="n/a","n/a",IF(T$3&gt;(A29taxstdlife+$E846),(('PTRM input'!$G$171+'PTRM input'!$G$137)*$G$7)-SUM($G846:S846),(('PTRM input'!$G$171+'PTRM input'!$G$137)*$G$7)/A29taxstdlife))</f>
        <v>0</v>
      </c>
      <c r="U846" s="590">
        <f>IF(A29taxstdlife="n/a","n/a",IF(U$3&gt;(A29taxstdlife+$E846),(('PTRM input'!$G$171+'PTRM input'!$G$137)*$G$7)-SUM($G846:T846),(('PTRM input'!$G$171+'PTRM input'!$G$137)*$G$7)/A29taxstdlife))</f>
        <v>0</v>
      </c>
      <c r="V846" s="590">
        <f>IF(A29taxstdlife="n/a","n/a",IF(V$3&gt;(A29taxstdlife+$E846),(('PTRM input'!$G$171+'PTRM input'!$G$137)*$G$7)-SUM($G846:U846),(('PTRM input'!$G$171+'PTRM input'!$G$137)*$G$7)/A29taxstdlife))</f>
        <v>0</v>
      </c>
      <c r="W846" s="590">
        <f>IF(A29taxstdlife="n/a","n/a",IF(W$3&gt;(A29taxstdlife+$E846),(('PTRM input'!$G$171+'PTRM input'!$G$137)*$G$7)-SUM($G846:V846),(('PTRM input'!$G$171+'PTRM input'!$G$137)*$G$7)/A29taxstdlife))</f>
        <v>0</v>
      </c>
      <c r="X846" s="590">
        <f>IF(A29taxstdlife="n/a","n/a",IF(X$3&gt;(A29taxstdlife+$E846),(('PTRM input'!$G$171+'PTRM input'!$G$137)*$G$7)-SUM($G846:W846),(('PTRM input'!$G$171+'PTRM input'!$G$137)*$G$7)/A29taxstdlife))</f>
        <v>0</v>
      </c>
      <c r="Y846" s="590">
        <f>IF(A29taxstdlife="n/a","n/a",IF(Y$3&gt;(A29taxstdlife+$E846),(('PTRM input'!$G$171+'PTRM input'!$G$137)*$G$7)-SUM($G846:X846),(('PTRM input'!$G$171+'PTRM input'!$G$137)*$G$7)/A29taxstdlife))</f>
        <v>0</v>
      </c>
      <c r="Z846" s="590">
        <f>IF(A29taxstdlife="n/a","n/a",IF(Z$3&gt;(A29taxstdlife+$E846),(('PTRM input'!$G$171+'PTRM input'!$G$137)*$G$7)-SUM($G846:Y846),(('PTRM input'!$G$171+'PTRM input'!$G$137)*$G$7)/A29taxstdlife))</f>
        <v>0</v>
      </c>
      <c r="AA846" s="590">
        <f>IF(A29taxstdlife="n/a","n/a",IF(AA$3&gt;(A29taxstdlife+$E846),(('PTRM input'!$G$171+'PTRM input'!$G$137)*$G$7)-SUM($G846:Z846),(('PTRM input'!$G$171+'PTRM input'!$G$137)*$G$7)/A29taxstdlife))</f>
        <v>0</v>
      </c>
      <c r="AB846" s="590">
        <f>IF(A29taxstdlife="n/a","n/a",IF(AB$3&gt;(A29taxstdlife+$E846),(('PTRM input'!$G$171+'PTRM input'!$G$137)*$G$7)-SUM($G846:AA846),(('PTRM input'!$G$171+'PTRM input'!$G$137)*$G$7)/A29taxstdlife))</f>
        <v>0</v>
      </c>
      <c r="AC846" s="590">
        <f>IF(A29taxstdlife="n/a","n/a",IF(AC$3&gt;(A29taxstdlife+$E846),(('PTRM input'!$G$171+'PTRM input'!$G$137)*$G$7)-SUM($G846:AB846),(('PTRM input'!$G$171+'PTRM input'!$G$137)*$G$7)/A29taxstdlife))</f>
        <v>0</v>
      </c>
      <c r="AD846" s="590">
        <f>IF(A29taxstdlife="n/a","n/a",IF(AD$3&gt;(A29taxstdlife+$E846),(('PTRM input'!$G$171+'PTRM input'!$G$137)*$G$7)-SUM($G846:AC846),(('PTRM input'!$G$171+'PTRM input'!$G$137)*$G$7)/A29taxstdlife))</f>
        <v>0</v>
      </c>
      <c r="AE846" s="590">
        <f>IF(A29taxstdlife="n/a","n/a",IF(AE$3&gt;(A29taxstdlife+$E846),(('PTRM input'!$G$171+'PTRM input'!$G$137)*$G$7)-SUM($G846:AD846),(('PTRM input'!$G$171+'PTRM input'!$G$137)*$G$7)/A29taxstdlife))</f>
        <v>0</v>
      </c>
      <c r="AF846" s="590">
        <f>IF(A29taxstdlife="n/a","n/a",IF(AF$3&gt;(A29taxstdlife+$E846),(('PTRM input'!$G$171+'PTRM input'!$G$137)*$G$7)-SUM($G846:AE846),(('PTRM input'!$G$171+'PTRM input'!$G$137)*$G$7)/A29taxstdlife))</f>
        <v>0</v>
      </c>
      <c r="AG846" s="590">
        <f>IF(A29taxstdlife="n/a","n/a",IF(AG$3&gt;(A29taxstdlife+$E846),(('PTRM input'!$G$171+'PTRM input'!$G$137)*$G$7)-SUM($G846:AF846),(('PTRM input'!$G$171+'PTRM input'!$G$137)*$G$7)/A29taxstdlife))</f>
        <v>0</v>
      </c>
      <c r="AH846" s="590">
        <f>IF(A29taxstdlife="n/a","n/a",IF(AH$3&gt;(A29taxstdlife+$E846),(('PTRM input'!$G$171+'PTRM input'!$G$137)*$G$7)-SUM($G846:AG846),(('PTRM input'!$G$171+'PTRM input'!$G$137)*$G$7)/A29taxstdlife))</f>
        <v>0</v>
      </c>
      <c r="AI846" s="590">
        <f>IF(A29taxstdlife="n/a","n/a",IF(AI$3&gt;(A29taxstdlife+$E846),(('PTRM input'!$G$171+'PTRM input'!$G$137)*$G$7)-SUM($G846:AH846),(('PTRM input'!$G$171+'PTRM input'!$G$137)*$G$7)/A29taxstdlife))</f>
        <v>0</v>
      </c>
      <c r="AJ846" s="590">
        <f>IF(A29taxstdlife="n/a","n/a",IF(AJ$3&gt;(A29taxstdlife+$E846),(('PTRM input'!$G$171+'PTRM input'!$G$137)*$G$7)-SUM($G846:AI846),(('PTRM input'!$G$171+'PTRM input'!$G$137)*$G$7)/A29taxstdlife))</f>
        <v>0</v>
      </c>
      <c r="AK846" s="590">
        <f>IF(A29taxstdlife="n/a","n/a",IF(AK$3&gt;(A29taxstdlife+$E846),(('PTRM input'!$G$171+'PTRM input'!$G$137)*$G$7)-SUM($G846:AJ846),(('PTRM input'!$G$171+'PTRM input'!$G$137)*$G$7)/A29taxstdlife))</f>
        <v>0</v>
      </c>
      <c r="AL846" s="590">
        <f>IF(A29taxstdlife="n/a","n/a",IF(AL$3&gt;(A29taxstdlife+$E846),(('PTRM input'!$G$171+'PTRM input'!$G$137)*$G$7)-SUM($G846:AK846),(('PTRM input'!$G$171+'PTRM input'!$G$137)*$G$7)/A29taxstdlife))</f>
        <v>0</v>
      </c>
      <c r="AM846" s="590">
        <f>IF(A29taxstdlife="n/a","n/a",IF(AM$3&gt;(A29taxstdlife+$E846),(('PTRM input'!$G$171+'PTRM input'!$G$137)*$G$7)-SUM($G846:AL846),(('PTRM input'!$G$171+'PTRM input'!$G$137)*$G$7)/A29taxstdlife))</f>
        <v>0</v>
      </c>
      <c r="AN846" s="590">
        <f>IF(A29taxstdlife="n/a","n/a",IF(AN$3&gt;(A29taxstdlife+$E846),(('PTRM input'!$G$171+'PTRM input'!$G$137)*$G$7)-SUM($G846:AM846),(('PTRM input'!$G$171+'PTRM input'!$G$137)*$G$7)/A29taxstdlife))</f>
        <v>0</v>
      </c>
      <c r="AO846" s="590">
        <f>IF(A29taxstdlife="n/a","n/a",IF(AO$3&gt;(A29taxstdlife+$E846),(('PTRM input'!$G$171+'PTRM input'!$G$137)*$G$7)-SUM($G846:AN846),(('PTRM input'!$G$171+'PTRM input'!$G$137)*$G$7)/A29taxstdlife))</f>
        <v>0</v>
      </c>
      <c r="AP846" s="590">
        <f>IF(A29taxstdlife="n/a","n/a",IF(AP$3&gt;(A29taxstdlife+$E846),(('PTRM input'!$G$171+'PTRM input'!$G$137)*$G$7)-SUM($G846:AO846),(('PTRM input'!$G$171+'PTRM input'!$G$137)*$G$7)/A29taxstdlife))</f>
        <v>0</v>
      </c>
      <c r="AQ846" s="590">
        <f>IF(A29taxstdlife="n/a","n/a",IF(AQ$3&gt;(A29taxstdlife+$E846),(('PTRM input'!$G$171+'PTRM input'!$G$137)*$G$7)-SUM($G846:AP846),(('PTRM input'!$G$171+'PTRM input'!$G$137)*$G$7)/A29taxstdlife))</f>
        <v>0</v>
      </c>
      <c r="AR846" s="590">
        <f>IF(A29taxstdlife="n/a","n/a",IF(AR$3&gt;(A29taxstdlife+$E846),(('PTRM input'!$G$171+'PTRM input'!$G$137)*$G$7)-SUM($G846:AQ846),(('PTRM input'!$G$171+'PTRM input'!$G$137)*$G$7)/A29taxstdlife))</f>
        <v>0</v>
      </c>
      <c r="AS846" s="590">
        <f>IF(A29taxstdlife="n/a","n/a",IF(AS$3&gt;(A29taxstdlife+$E846),(('PTRM input'!$G$171+'PTRM input'!$G$137)*$G$7)-SUM($G846:AR846),(('PTRM input'!$G$171+'PTRM input'!$G$137)*$G$7)/A29taxstdlife))</f>
        <v>0</v>
      </c>
      <c r="AT846" s="590">
        <f>IF(A29taxstdlife="n/a","n/a",IF(AT$3&gt;(A29taxstdlife+$E846),(('PTRM input'!$G$171+'PTRM input'!$G$137)*$G$7)-SUM($G846:AS846),(('PTRM input'!$G$171+'PTRM input'!$G$137)*$G$7)/A29taxstdlife))</f>
        <v>0</v>
      </c>
      <c r="AU846" s="590">
        <f>IF(A29taxstdlife="n/a","n/a",IF(AU$3&gt;(A29taxstdlife+$E846),(('PTRM input'!$G$171+'PTRM input'!$G$137)*$G$7)-SUM($G846:AT846),(('PTRM input'!$G$171+'PTRM input'!$G$137)*$G$7)/A29taxstdlife))</f>
        <v>0</v>
      </c>
      <c r="AV846" s="590">
        <f>IF(A29taxstdlife="n/a","n/a",IF(AV$3&gt;(A29taxstdlife+$E846),(('PTRM input'!$G$171+'PTRM input'!$G$137)*$G$7)-SUM($G846:AU846),(('PTRM input'!$G$171+'PTRM input'!$G$137)*$G$7)/A29taxstdlife))</f>
        <v>0</v>
      </c>
      <c r="AW846" s="590">
        <f>IF(A29taxstdlife="n/a","n/a",IF(AW$3&gt;(A29taxstdlife+$E846),(('PTRM input'!$G$171+'PTRM input'!$G$137)*$G$7)-SUM($G846:AV846),(('PTRM input'!$G$171+'PTRM input'!$G$137)*$G$7)/A29taxstdlife))</f>
        <v>0</v>
      </c>
      <c r="AX846" s="590">
        <f>IF(A29taxstdlife="n/a","n/a",IF(AX$3&gt;(A29taxstdlife+$E846),(('PTRM input'!$G$171+'PTRM input'!$G$137)*$G$7)-SUM($G846:AW846),(('PTRM input'!$G$171+'PTRM input'!$G$137)*$G$7)/A29taxstdlife))</f>
        <v>0</v>
      </c>
      <c r="AY846" s="590">
        <f>IF(A29taxstdlife="n/a","n/a",IF(AY$3&gt;(A29taxstdlife+$E846),(('PTRM input'!$G$171+'PTRM input'!$G$137)*$G$7)-SUM($G846:AX846),(('PTRM input'!$G$171+'PTRM input'!$G$137)*$G$7)/A29taxstdlife))</f>
        <v>0</v>
      </c>
      <c r="AZ846" s="590">
        <f>IF(A29taxstdlife="n/a","n/a",IF(AZ$3&gt;(A29taxstdlife+$E846),(('PTRM input'!$G$171+'PTRM input'!$G$137)*$G$7)-SUM($G846:AY846),(('PTRM input'!$G$171+'PTRM input'!$G$137)*$G$7)/A29taxstdlife))</f>
        <v>0</v>
      </c>
      <c r="BA846" s="590">
        <f>IF(A29taxstdlife="n/a","n/a",IF(BA$3&gt;(A29taxstdlife+$E846),(('PTRM input'!$G$171+'PTRM input'!$G$137)*$G$7)-SUM($G846:AZ846),(('PTRM input'!$G$171+'PTRM input'!$G$137)*$G$7)/A29taxstdlife))</f>
        <v>0</v>
      </c>
      <c r="BB846" s="590">
        <f>IF(A29taxstdlife="n/a","n/a",IF(BB$3&gt;(A29taxstdlife+$E846),(('PTRM input'!$G$171+'PTRM input'!$G$137)*$G$7)-SUM($G846:BA846),(('PTRM input'!$G$171+'PTRM input'!$G$137)*$G$7)/A29taxstdlife))</f>
        <v>0</v>
      </c>
      <c r="BC846" s="590">
        <f>IF(A29taxstdlife="n/a","n/a",IF(BC$3&gt;(A29taxstdlife+$E846),(('PTRM input'!$G$171+'PTRM input'!$G$137)*$G$7)-SUM($G846:BB846),(('PTRM input'!$G$171+'PTRM input'!$G$137)*$G$7)/A29taxstdlife))</f>
        <v>0</v>
      </c>
      <c r="BD846" s="590">
        <f>IF(A29taxstdlife="n/a","n/a",IF(BD$3&gt;(A29taxstdlife+$E846),(('PTRM input'!$G$171+'PTRM input'!$G$137)*$G$7)-SUM($G846:BC846),(('PTRM input'!$G$171+'PTRM input'!$G$137)*$G$7)/A29taxstdlife))</f>
        <v>0</v>
      </c>
      <c r="BE846" s="590">
        <f>IF(A29taxstdlife="n/a","n/a",IF(BE$3&gt;(A29taxstdlife+$E846),(('PTRM input'!$G$171+'PTRM input'!$G$137)*$G$7)-SUM($G846:BD846),(('PTRM input'!$G$171+'PTRM input'!$G$137)*$G$7)/A29taxstdlife))</f>
        <v>0</v>
      </c>
      <c r="BF846" s="590">
        <f>IF(A29taxstdlife="n/a","n/a",IF(BF$3&gt;(A29taxstdlife+$E846),(('PTRM input'!$G$171+'PTRM input'!$G$137)*$G$7)-SUM($G846:BE846),(('PTRM input'!$G$171+'PTRM input'!$G$137)*$G$7)/A29taxstdlife))</f>
        <v>0</v>
      </c>
      <c r="BG846" s="590">
        <f>IF(A29taxstdlife="n/a","n/a",IF(BG$3&gt;(A29taxstdlife+$E846),(('PTRM input'!$G$171+'PTRM input'!$G$137)*$G$7)-SUM($G846:BF846),(('PTRM input'!$G$171+'PTRM input'!$G$137)*$G$7)/A29taxstdlife))</f>
        <v>0</v>
      </c>
      <c r="BH846" s="590">
        <f>IF(A29taxstdlife="n/a","n/a",IF(BH$3&gt;(A29taxstdlife+$E846),(('PTRM input'!$G$171+'PTRM input'!$G$137)*$G$7)-SUM($G846:BG846),(('PTRM input'!$G$171+'PTRM input'!$G$137)*$G$7)/A29taxstdlife))</f>
        <v>0</v>
      </c>
      <c r="BI846" s="590">
        <f>IF(A29taxstdlife="n/a","n/a",IF(BI$3&gt;(A29taxstdlife+$E846),(('PTRM input'!$G$171+'PTRM input'!$G$137)*$G$7)-SUM($G846:BH846),(('PTRM input'!$G$171+'PTRM input'!$G$137)*$G$7)/A29taxstdlife))</f>
        <v>0</v>
      </c>
      <c r="BJ846" s="240"/>
      <c r="BK846" s="240"/>
      <c r="BL846" s="240"/>
      <c r="BM846" s="240"/>
    </row>
    <row r="847" spans="1:65" s="4" customFormat="1" hidden="1" outlineLevel="2">
      <c r="A847" s="240"/>
      <c r="B847" s="240"/>
      <c r="C847" s="595"/>
      <c r="D847" s="1618"/>
      <c r="E847" s="169">
        <v>2</v>
      </c>
      <c r="F847" s="35"/>
      <c r="G847" s="184"/>
      <c r="H847" s="185"/>
      <c r="I847" s="107">
        <f>IF(A29taxstdlife="n/a","n/a",IF(I$3&gt;(A29taxstdlife+$E847),(('PTRM input'!$H$171+'PTRM input'!$H$137)*$H$7)-SUM($H847:H847),(('PTRM input'!$H$171+'PTRM input'!$H$137)*$H$7)/A29taxstdlife))</f>
        <v>0</v>
      </c>
      <c r="J847" s="107">
        <f>IF(A29taxstdlife="n/a","n/a",IF(J$3&gt;(A29taxstdlife+$E847),(('PTRM input'!$H$171+'PTRM input'!$H$137)*$H$7)-SUM($H847:I847),(('PTRM input'!$H$171+'PTRM input'!$H$137)*$H$7)/A29taxstdlife))</f>
        <v>0</v>
      </c>
      <c r="K847" s="107">
        <f>IF(A29taxstdlife="n/a","n/a",IF(K$3&gt;(A29taxstdlife+$E847),(('PTRM input'!$H$171+'PTRM input'!$H$137)*$H$7)-SUM($H847:J847),(('PTRM input'!$H$171+'PTRM input'!$H$137)*$H$7)/A29taxstdlife))</f>
        <v>0</v>
      </c>
      <c r="L847" s="107">
        <f>IF(A29taxstdlife="n/a","n/a",IF(L$3&gt;(A29taxstdlife+$E847),(('PTRM input'!$H$171+'PTRM input'!$H$137)*$H$7)-SUM($H847:K847),(('PTRM input'!$H$171+'PTRM input'!$H$137)*$H$7)/A29taxstdlife))</f>
        <v>0</v>
      </c>
      <c r="M847" s="107">
        <f>IF(A29taxstdlife="n/a","n/a",IF(M$3&gt;(A29taxstdlife+$E847),(('PTRM input'!$H$171+'PTRM input'!$H$137)*$H$7)-SUM($H847:L847),(('PTRM input'!$H$171+'PTRM input'!$H$137)*$H$7)/A29taxstdlife))</f>
        <v>0</v>
      </c>
      <c r="N847" s="107">
        <f>IF(A29taxstdlife="n/a","n/a",IF(N$3&gt;(A29taxstdlife+$E847),(('PTRM input'!$H$171+'PTRM input'!$H$137)*$H$7)-SUM($H847:M847),(('PTRM input'!$H$171+'PTRM input'!$H$137)*$H$7)/A29taxstdlife))</f>
        <v>0</v>
      </c>
      <c r="O847" s="107">
        <f>IF(A29taxstdlife="n/a","n/a",IF(O$3&gt;(A29taxstdlife+$E847),(('PTRM input'!$H$171+'PTRM input'!$H$137)*$H$7)-SUM($H847:N847),(('PTRM input'!$H$171+'PTRM input'!$H$137)*$H$7)/A29taxstdlife))</f>
        <v>0</v>
      </c>
      <c r="P847" s="107">
        <f>IF(A29taxstdlife="n/a","n/a",IF(P$3&gt;(A29taxstdlife+$E847),(('PTRM input'!$H$171+'PTRM input'!$H$137)*$H$7)-SUM($H847:O847),(('PTRM input'!$H$171+'PTRM input'!$H$137)*$H$7)/A29taxstdlife))</f>
        <v>0</v>
      </c>
      <c r="Q847" s="590">
        <f>IF(A29taxstdlife="n/a","n/a",IF(Q$3&gt;(A29taxstdlife+$E847),(('PTRM input'!$H$171+'PTRM input'!$H$137)*$H$7)-SUM($H847:P847),(('PTRM input'!$H$171+'PTRM input'!$H$137)*$H$7)/A29taxstdlife))</f>
        <v>0</v>
      </c>
      <c r="R847" s="590">
        <f>IF(A29taxstdlife="n/a","n/a",IF(R$3&gt;(A29taxstdlife+$E847),(('PTRM input'!$H$171+'PTRM input'!$H$137)*$H$7)-SUM($H847:Q847),(('PTRM input'!$H$171+'PTRM input'!$H$137)*$H$7)/A29taxstdlife))</f>
        <v>0</v>
      </c>
      <c r="S847" s="590">
        <f>IF(A29taxstdlife="n/a","n/a",IF(S$3&gt;(A29taxstdlife+$E847),(('PTRM input'!$H$171+'PTRM input'!$H$137)*$H$7)-SUM($H847:R847),(('PTRM input'!$H$171+'PTRM input'!$H$137)*$H$7)/A29taxstdlife))</f>
        <v>0</v>
      </c>
      <c r="T847" s="590">
        <f>IF(A29taxstdlife="n/a","n/a",IF(T$3&gt;(A29taxstdlife+$E847),(('PTRM input'!$H$171+'PTRM input'!$H$137)*$H$7)-SUM($H847:S847),(('PTRM input'!$H$171+'PTRM input'!$H$137)*$H$7)/A29taxstdlife))</f>
        <v>0</v>
      </c>
      <c r="U847" s="590">
        <f>IF(A29taxstdlife="n/a","n/a",IF(U$3&gt;(A29taxstdlife+$E847),(('PTRM input'!$H$171+'PTRM input'!$H$137)*$H$7)-SUM($H847:T847),(('PTRM input'!$H$171+'PTRM input'!$H$137)*$H$7)/A29taxstdlife))</f>
        <v>0</v>
      </c>
      <c r="V847" s="590">
        <f>IF(A29taxstdlife="n/a","n/a",IF(V$3&gt;(A29taxstdlife+$E847),(('PTRM input'!$H$171+'PTRM input'!$H$137)*$H$7)-SUM($H847:U847),(('PTRM input'!$H$171+'PTRM input'!$H$137)*$H$7)/A29taxstdlife))</f>
        <v>0</v>
      </c>
      <c r="W847" s="590">
        <f>IF(A29taxstdlife="n/a","n/a",IF(W$3&gt;(A29taxstdlife+$E847),(('PTRM input'!$H$171+'PTRM input'!$H$137)*$H$7)-SUM($H847:V847),(('PTRM input'!$H$171+'PTRM input'!$H$137)*$H$7)/A29taxstdlife))</f>
        <v>0</v>
      </c>
      <c r="X847" s="590">
        <f>IF(A29taxstdlife="n/a","n/a",IF(X$3&gt;(A29taxstdlife+$E847),(('PTRM input'!$H$171+'PTRM input'!$H$137)*$H$7)-SUM($H847:W847),(('PTRM input'!$H$171+'PTRM input'!$H$137)*$H$7)/A29taxstdlife))</f>
        <v>0</v>
      </c>
      <c r="Y847" s="590">
        <f>IF(A29taxstdlife="n/a","n/a",IF(Y$3&gt;(A29taxstdlife+$E847),(('PTRM input'!$H$171+'PTRM input'!$H$137)*$H$7)-SUM($H847:X847),(('PTRM input'!$H$171+'PTRM input'!$H$137)*$H$7)/A29taxstdlife))</f>
        <v>0</v>
      </c>
      <c r="Z847" s="590">
        <f>IF(A29taxstdlife="n/a","n/a",IF(Z$3&gt;(A29taxstdlife+$E847),(('PTRM input'!$H$171+'PTRM input'!$H$137)*$H$7)-SUM($H847:Y847),(('PTRM input'!$H$171+'PTRM input'!$H$137)*$H$7)/A29taxstdlife))</f>
        <v>0</v>
      </c>
      <c r="AA847" s="590">
        <f>IF(A29taxstdlife="n/a","n/a",IF(AA$3&gt;(A29taxstdlife+$E847),(('PTRM input'!$H$171+'PTRM input'!$H$137)*$H$7)-SUM($H847:Z847),(('PTRM input'!$H$171+'PTRM input'!$H$137)*$H$7)/A29taxstdlife))</f>
        <v>0</v>
      </c>
      <c r="AB847" s="590">
        <f>IF(A29taxstdlife="n/a","n/a",IF(AB$3&gt;(A29taxstdlife+$E847),(('PTRM input'!$H$171+'PTRM input'!$H$137)*$H$7)-SUM($H847:AA847),(('PTRM input'!$H$171+'PTRM input'!$H$137)*$H$7)/A29taxstdlife))</f>
        <v>0</v>
      </c>
      <c r="AC847" s="590">
        <f>IF(A29taxstdlife="n/a","n/a",IF(AC$3&gt;(A29taxstdlife+$E847),(('PTRM input'!$H$171+'PTRM input'!$H$137)*$H$7)-SUM($H847:AB847),(('PTRM input'!$H$171+'PTRM input'!$H$137)*$H$7)/A29taxstdlife))</f>
        <v>0</v>
      </c>
      <c r="AD847" s="590">
        <f>IF(A29taxstdlife="n/a","n/a",IF(AD$3&gt;(A29taxstdlife+$E847),(('PTRM input'!$H$171+'PTRM input'!$H$137)*$H$7)-SUM($H847:AC847),(('PTRM input'!$H$171+'PTRM input'!$H$137)*$H$7)/A29taxstdlife))</f>
        <v>0</v>
      </c>
      <c r="AE847" s="590">
        <f>IF(A29taxstdlife="n/a","n/a",IF(AE$3&gt;(A29taxstdlife+$E847),(('PTRM input'!$H$171+'PTRM input'!$H$137)*$H$7)-SUM($H847:AD847),(('PTRM input'!$H$171+'PTRM input'!$H$137)*$H$7)/A29taxstdlife))</f>
        <v>0</v>
      </c>
      <c r="AF847" s="590">
        <f>IF(A29taxstdlife="n/a","n/a",IF(AF$3&gt;(A29taxstdlife+$E847),(('PTRM input'!$H$171+'PTRM input'!$H$137)*$H$7)-SUM($H847:AE847),(('PTRM input'!$H$171+'PTRM input'!$H$137)*$H$7)/A29taxstdlife))</f>
        <v>0</v>
      </c>
      <c r="AG847" s="590">
        <f>IF(A29taxstdlife="n/a","n/a",IF(AG$3&gt;(A29taxstdlife+$E847),(('PTRM input'!$H$171+'PTRM input'!$H$137)*$H$7)-SUM($H847:AF847),(('PTRM input'!$H$171+'PTRM input'!$H$137)*$H$7)/A29taxstdlife))</f>
        <v>0</v>
      </c>
      <c r="AH847" s="590">
        <f>IF(A29taxstdlife="n/a","n/a",IF(AH$3&gt;(A29taxstdlife+$E847),(('PTRM input'!$H$171+'PTRM input'!$H$137)*$H$7)-SUM($H847:AG847),(('PTRM input'!$H$171+'PTRM input'!$H$137)*$H$7)/A29taxstdlife))</f>
        <v>0</v>
      </c>
      <c r="AI847" s="590">
        <f>IF(A29taxstdlife="n/a","n/a",IF(AI$3&gt;(A29taxstdlife+$E847),(('PTRM input'!$H$171+'PTRM input'!$H$137)*$H$7)-SUM($H847:AH847),(('PTRM input'!$H$171+'PTRM input'!$H$137)*$H$7)/A29taxstdlife))</f>
        <v>0</v>
      </c>
      <c r="AJ847" s="590">
        <f>IF(A29taxstdlife="n/a","n/a",IF(AJ$3&gt;(A29taxstdlife+$E847),(('PTRM input'!$H$171+'PTRM input'!$H$137)*$H$7)-SUM($H847:AI847),(('PTRM input'!$H$171+'PTRM input'!$H$137)*$H$7)/A29taxstdlife))</f>
        <v>0</v>
      </c>
      <c r="AK847" s="590">
        <f>IF(A29taxstdlife="n/a","n/a",IF(AK$3&gt;(A29taxstdlife+$E847),(('PTRM input'!$H$171+'PTRM input'!$H$137)*$H$7)-SUM($H847:AJ847),(('PTRM input'!$H$171+'PTRM input'!$H$137)*$H$7)/A29taxstdlife))</f>
        <v>0</v>
      </c>
      <c r="AL847" s="590">
        <f>IF(A29taxstdlife="n/a","n/a",IF(AL$3&gt;(A29taxstdlife+$E847),(('PTRM input'!$H$171+'PTRM input'!$H$137)*$H$7)-SUM($H847:AK847),(('PTRM input'!$H$171+'PTRM input'!$H$137)*$H$7)/A29taxstdlife))</f>
        <v>0</v>
      </c>
      <c r="AM847" s="590">
        <f>IF(A29taxstdlife="n/a","n/a",IF(AM$3&gt;(A29taxstdlife+$E847),(('PTRM input'!$H$171+'PTRM input'!$H$137)*$H$7)-SUM($H847:AL847),(('PTRM input'!$H$171+'PTRM input'!$H$137)*$H$7)/A29taxstdlife))</f>
        <v>0</v>
      </c>
      <c r="AN847" s="590">
        <f>IF(A29taxstdlife="n/a","n/a",IF(AN$3&gt;(A29taxstdlife+$E847),(('PTRM input'!$H$171+'PTRM input'!$H$137)*$H$7)-SUM($H847:AM847),(('PTRM input'!$H$171+'PTRM input'!$H$137)*$H$7)/A29taxstdlife))</f>
        <v>0</v>
      </c>
      <c r="AO847" s="590">
        <f>IF(A29taxstdlife="n/a","n/a",IF(AO$3&gt;(A29taxstdlife+$E847),(('PTRM input'!$H$171+'PTRM input'!$H$137)*$H$7)-SUM($H847:AN847),(('PTRM input'!$H$171+'PTRM input'!$H$137)*$H$7)/A29taxstdlife))</f>
        <v>0</v>
      </c>
      <c r="AP847" s="590">
        <f>IF(A29taxstdlife="n/a","n/a",IF(AP$3&gt;(A29taxstdlife+$E847),(('PTRM input'!$H$171+'PTRM input'!$H$137)*$H$7)-SUM($H847:AO847),(('PTRM input'!$H$171+'PTRM input'!$H$137)*$H$7)/A29taxstdlife))</f>
        <v>0</v>
      </c>
      <c r="AQ847" s="590">
        <f>IF(A29taxstdlife="n/a","n/a",IF(AQ$3&gt;(A29taxstdlife+$E847),(('PTRM input'!$H$171+'PTRM input'!$H$137)*$H$7)-SUM($H847:AP847),(('PTRM input'!$H$171+'PTRM input'!$H$137)*$H$7)/A29taxstdlife))</f>
        <v>0</v>
      </c>
      <c r="AR847" s="590">
        <f>IF(A29taxstdlife="n/a","n/a",IF(AR$3&gt;(A29taxstdlife+$E847),(('PTRM input'!$H$171+'PTRM input'!$H$137)*$H$7)-SUM($H847:AQ847),(('PTRM input'!$H$171+'PTRM input'!$H$137)*$H$7)/A29taxstdlife))</f>
        <v>0</v>
      </c>
      <c r="AS847" s="590">
        <f>IF(A29taxstdlife="n/a","n/a",IF(AS$3&gt;(A29taxstdlife+$E847),(('PTRM input'!$H$171+'PTRM input'!$H$137)*$H$7)-SUM($H847:AR847),(('PTRM input'!$H$171+'PTRM input'!$H$137)*$H$7)/A29taxstdlife))</f>
        <v>0</v>
      </c>
      <c r="AT847" s="590">
        <f>IF(A29taxstdlife="n/a","n/a",IF(AT$3&gt;(A29taxstdlife+$E847),(('PTRM input'!$H$171+'PTRM input'!$H$137)*$H$7)-SUM($H847:AS847),(('PTRM input'!$H$171+'PTRM input'!$H$137)*$H$7)/A29taxstdlife))</f>
        <v>0</v>
      </c>
      <c r="AU847" s="590">
        <f>IF(A29taxstdlife="n/a","n/a",IF(AU$3&gt;(A29taxstdlife+$E847),(('PTRM input'!$H$171+'PTRM input'!$H$137)*$H$7)-SUM($H847:AT847),(('PTRM input'!$H$171+'PTRM input'!$H$137)*$H$7)/A29taxstdlife))</f>
        <v>0</v>
      </c>
      <c r="AV847" s="590">
        <f>IF(A29taxstdlife="n/a","n/a",IF(AV$3&gt;(A29taxstdlife+$E847),(('PTRM input'!$H$171+'PTRM input'!$H$137)*$H$7)-SUM($H847:AU847),(('PTRM input'!$H$171+'PTRM input'!$H$137)*$H$7)/A29taxstdlife))</f>
        <v>0</v>
      </c>
      <c r="AW847" s="590">
        <f>IF(A29taxstdlife="n/a","n/a",IF(AW$3&gt;(A29taxstdlife+$E847),(('PTRM input'!$H$171+'PTRM input'!$H$137)*$H$7)-SUM($H847:AV847),(('PTRM input'!$H$171+'PTRM input'!$H$137)*$H$7)/A29taxstdlife))</f>
        <v>0</v>
      </c>
      <c r="AX847" s="590">
        <f>IF(A29taxstdlife="n/a","n/a",IF(AX$3&gt;(A29taxstdlife+$E847),(('PTRM input'!$H$171+'PTRM input'!$H$137)*$H$7)-SUM($H847:AW847),(('PTRM input'!$H$171+'PTRM input'!$H$137)*$H$7)/A29taxstdlife))</f>
        <v>0</v>
      </c>
      <c r="AY847" s="590">
        <f>IF(A29taxstdlife="n/a","n/a",IF(AY$3&gt;(A29taxstdlife+$E847),(('PTRM input'!$H$171+'PTRM input'!$H$137)*$H$7)-SUM($H847:AX847),(('PTRM input'!$H$171+'PTRM input'!$H$137)*$H$7)/A29taxstdlife))</f>
        <v>0</v>
      </c>
      <c r="AZ847" s="590">
        <f>IF(A29taxstdlife="n/a","n/a",IF(AZ$3&gt;(A29taxstdlife+$E847),(('PTRM input'!$H$171+'PTRM input'!$H$137)*$H$7)-SUM($H847:AY847),(('PTRM input'!$H$171+'PTRM input'!$H$137)*$H$7)/A29taxstdlife))</f>
        <v>0</v>
      </c>
      <c r="BA847" s="590">
        <f>IF(A29taxstdlife="n/a","n/a",IF(BA$3&gt;(A29taxstdlife+$E847),(('PTRM input'!$H$171+'PTRM input'!$H$137)*$H$7)-SUM($H847:AZ847),(('PTRM input'!$H$171+'PTRM input'!$H$137)*$H$7)/A29taxstdlife))</f>
        <v>0</v>
      </c>
      <c r="BB847" s="590">
        <f>IF(A29taxstdlife="n/a","n/a",IF(BB$3&gt;(A29taxstdlife+$E847),(('PTRM input'!$H$171+'PTRM input'!$H$137)*$H$7)-SUM($H847:BA847),(('PTRM input'!$H$171+'PTRM input'!$H$137)*$H$7)/A29taxstdlife))</f>
        <v>0</v>
      </c>
      <c r="BC847" s="590">
        <f>IF(A29taxstdlife="n/a","n/a",IF(BC$3&gt;(A29taxstdlife+$E847),(('PTRM input'!$H$171+'PTRM input'!$H$137)*$H$7)-SUM($H847:BB847),(('PTRM input'!$H$171+'PTRM input'!$H$137)*$H$7)/A29taxstdlife))</f>
        <v>0</v>
      </c>
      <c r="BD847" s="590">
        <f>IF(A29taxstdlife="n/a","n/a",IF(BD$3&gt;(A29taxstdlife+$E847),(('PTRM input'!$H$171+'PTRM input'!$H$137)*$H$7)-SUM($H847:BC847),(('PTRM input'!$H$171+'PTRM input'!$H$137)*$H$7)/A29taxstdlife))</f>
        <v>0</v>
      </c>
      <c r="BE847" s="590">
        <f>IF(A29taxstdlife="n/a","n/a",IF(BE$3&gt;(A29taxstdlife+$E847),(('PTRM input'!$H$171+'PTRM input'!$H$137)*$H$7)-SUM($H847:BD847),(('PTRM input'!$H$171+'PTRM input'!$H$137)*$H$7)/A29taxstdlife))</f>
        <v>0</v>
      </c>
      <c r="BF847" s="590">
        <f>IF(A29taxstdlife="n/a","n/a",IF(BF$3&gt;(A29taxstdlife+$E847),(('PTRM input'!$H$171+'PTRM input'!$H$137)*$H$7)-SUM($H847:BE847),(('PTRM input'!$H$171+'PTRM input'!$H$137)*$H$7)/A29taxstdlife))</f>
        <v>0</v>
      </c>
      <c r="BG847" s="590">
        <f>IF(A29taxstdlife="n/a","n/a",IF(BG$3&gt;(A29taxstdlife+$E847),(('PTRM input'!$H$171+'PTRM input'!$H$137)*$H$7)-SUM($H847:BF847),(('PTRM input'!$H$171+'PTRM input'!$H$137)*$H$7)/A29taxstdlife))</f>
        <v>0</v>
      </c>
      <c r="BH847" s="590">
        <f>IF(A29taxstdlife="n/a","n/a",IF(BH$3&gt;(A29taxstdlife+$E847),(('PTRM input'!$H$171+'PTRM input'!$H$137)*$H$7)-SUM($H847:BG847),(('PTRM input'!$H$171+'PTRM input'!$H$137)*$H$7)/A29taxstdlife))</f>
        <v>0</v>
      </c>
      <c r="BI847" s="590">
        <f>IF(A29taxstdlife="n/a","n/a",IF(BI$3&gt;(A29taxstdlife+$E847),(('PTRM input'!$H$171+'PTRM input'!$H$137)*$H$7)-SUM($H847:BH847),(('PTRM input'!$H$171+'PTRM input'!$H$137)*$H$7)/A29taxstdlife))</f>
        <v>0</v>
      </c>
      <c r="BJ847" s="240"/>
      <c r="BK847" s="240"/>
      <c r="BL847" s="240"/>
      <c r="BM847" s="240"/>
    </row>
    <row r="848" spans="1:65" s="4" customFormat="1" hidden="1" outlineLevel="2">
      <c r="A848" s="240"/>
      <c r="B848" s="240"/>
      <c r="C848" s="595"/>
      <c r="D848" s="1618"/>
      <c r="E848" s="169">
        <v>3</v>
      </c>
      <c r="F848" s="35"/>
      <c r="G848" s="184"/>
      <c r="H848" s="186"/>
      <c r="I848" s="185"/>
      <c r="J848" s="107">
        <f>IF(A29taxstdlife="n/a","n/a",IF(J$3&gt;(A29taxstdlife+$E848),(('PTRM input'!$I$171+'PTRM input'!$I$137)*$I$7)-SUM($I848:I848),(('PTRM input'!$I$171+'PTRM input'!$I$137)*$I$7)/A29taxstdlife))</f>
        <v>0</v>
      </c>
      <c r="K848" s="107">
        <f>IF(A29taxstdlife="n/a","n/a",IF(K$3&gt;(A29taxstdlife+$E848),(('PTRM input'!$I$171+'PTRM input'!$I$137)*$I$7)-SUM($I848:J848),(('PTRM input'!$I$171+'PTRM input'!$I$137)*$I$7)/A29taxstdlife))</f>
        <v>0</v>
      </c>
      <c r="L848" s="107">
        <f>IF(A29taxstdlife="n/a","n/a",IF(L$3&gt;(A29taxstdlife+$E848),(('PTRM input'!$I$171+'PTRM input'!$I$137)*$I$7)-SUM($I848:K848),(('PTRM input'!$I$171+'PTRM input'!$I$137)*$I$7)/A29taxstdlife))</f>
        <v>0</v>
      </c>
      <c r="M848" s="107">
        <f>IF(A29taxstdlife="n/a","n/a",IF(M$3&gt;(A29taxstdlife+$E848),(('PTRM input'!$I$171+'PTRM input'!$I$137)*$I$7)-SUM($I848:L848),(('PTRM input'!$I$171+'PTRM input'!$I$137)*$I$7)/A29taxstdlife))</f>
        <v>0</v>
      </c>
      <c r="N848" s="107">
        <f>IF(A29taxstdlife="n/a","n/a",IF(N$3&gt;(A29taxstdlife+$E848),(('PTRM input'!$I$171+'PTRM input'!$I$137)*$I$7)-SUM($I848:M848),(('PTRM input'!$I$171+'PTRM input'!$I$137)*$I$7)/A29taxstdlife))</f>
        <v>0</v>
      </c>
      <c r="O848" s="107">
        <f>IF(A29taxstdlife="n/a","n/a",IF(O$3&gt;(A29taxstdlife+$E848),(('PTRM input'!$I$171+'PTRM input'!$I$137)*$I$7)-SUM($I848:N848),(('PTRM input'!$I$171+'PTRM input'!$I$137)*$I$7)/A29taxstdlife))</f>
        <v>0</v>
      </c>
      <c r="P848" s="107">
        <f>IF(A29taxstdlife="n/a","n/a",IF(P$3&gt;(A29taxstdlife+$E848),(('PTRM input'!$I$171+'PTRM input'!$I$137)*$I$7)-SUM($I848:O848),(('PTRM input'!$I$171+'PTRM input'!$I$137)*$I$7)/A29taxstdlife))</f>
        <v>0</v>
      </c>
      <c r="Q848" s="590">
        <f>IF(A29taxstdlife="n/a","n/a",IF(Q$3&gt;(A29taxstdlife+$E848),(('PTRM input'!$I$171+'PTRM input'!$I$137)*$I$7)-SUM($I848:P848),(('PTRM input'!$I$171+'PTRM input'!$I$137)*$I$7)/A29taxstdlife))</f>
        <v>0</v>
      </c>
      <c r="R848" s="590">
        <f>IF(A29taxstdlife="n/a","n/a",IF(R$3&gt;(A29taxstdlife+$E848),(('PTRM input'!$I$171+'PTRM input'!$I$137)*$I$7)-SUM($I848:Q848),(('PTRM input'!$I$171+'PTRM input'!$I$137)*$I$7)/A29taxstdlife))</f>
        <v>0</v>
      </c>
      <c r="S848" s="590">
        <f>IF(A29taxstdlife="n/a","n/a",IF(S$3&gt;(A29taxstdlife+$E848),(('PTRM input'!$I$171+'PTRM input'!$I$137)*$I$7)-SUM($I848:R848),(('PTRM input'!$I$171+'PTRM input'!$I$137)*$I$7)/A29taxstdlife))</f>
        <v>0</v>
      </c>
      <c r="T848" s="590">
        <f>IF(A29taxstdlife="n/a","n/a",IF(T$3&gt;(A29taxstdlife+$E848),(('PTRM input'!$I$171+'PTRM input'!$I$137)*$I$7)-SUM($I848:S848),(('PTRM input'!$I$171+'PTRM input'!$I$137)*$I$7)/A29taxstdlife))</f>
        <v>0</v>
      </c>
      <c r="U848" s="590">
        <f>IF(A29taxstdlife="n/a","n/a",IF(U$3&gt;(A29taxstdlife+$E848),(('PTRM input'!$I$171+'PTRM input'!$I$137)*$I$7)-SUM($I848:T848),(('PTRM input'!$I$171+'PTRM input'!$I$137)*$I$7)/A29taxstdlife))</f>
        <v>0</v>
      </c>
      <c r="V848" s="590">
        <f>IF(A29taxstdlife="n/a","n/a",IF(V$3&gt;(A29taxstdlife+$E848),(('PTRM input'!$I$171+'PTRM input'!$I$137)*$I$7)-SUM($I848:U848),(('PTRM input'!$I$171+'PTRM input'!$I$137)*$I$7)/A29taxstdlife))</f>
        <v>0</v>
      </c>
      <c r="W848" s="590">
        <f>IF(A29taxstdlife="n/a","n/a",IF(W$3&gt;(A29taxstdlife+$E848),(('PTRM input'!$I$171+'PTRM input'!$I$137)*$I$7)-SUM($I848:V848),(('PTRM input'!$I$171+'PTRM input'!$I$137)*$I$7)/A29taxstdlife))</f>
        <v>0</v>
      </c>
      <c r="X848" s="590">
        <f>IF(A29taxstdlife="n/a","n/a",IF(X$3&gt;(A29taxstdlife+$E848),(('PTRM input'!$I$171+'PTRM input'!$I$137)*$I$7)-SUM($I848:W848),(('PTRM input'!$I$171+'PTRM input'!$I$137)*$I$7)/A29taxstdlife))</f>
        <v>0</v>
      </c>
      <c r="Y848" s="590">
        <f>IF(A29taxstdlife="n/a","n/a",IF(Y$3&gt;(A29taxstdlife+$E848),(('PTRM input'!$I$171+'PTRM input'!$I$137)*$I$7)-SUM($I848:X848),(('PTRM input'!$I$171+'PTRM input'!$I$137)*$I$7)/A29taxstdlife))</f>
        <v>0</v>
      </c>
      <c r="Z848" s="590">
        <f>IF(A29taxstdlife="n/a","n/a",IF(Z$3&gt;(A29taxstdlife+$E848),(('PTRM input'!$I$171+'PTRM input'!$I$137)*$I$7)-SUM($I848:Y848),(('PTRM input'!$I$171+'PTRM input'!$I$137)*$I$7)/A29taxstdlife))</f>
        <v>0</v>
      </c>
      <c r="AA848" s="590">
        <f>IF(A29taxstdlife="n/a","n/a",IF(AA$3&gt;(A29taxstdlife+$E848),(('PTRM input'!$I$171+'PTRM input'!$I$137)*$I$7)-SUM($I848:Z848),(('PTRM input'!$I$171+'PTRM input'!$I$137)*$I$7)/A29taxstdlife))</f>
        <v>0</v>
      </c>
      <c r="AB848" s="590">
        <f>IF(A29taxstdlife="n/a","n/a",IF(AB$3&gt;(A29taxstdlife+$E848),(('PTRM input'!$I$171+'PTRM input'!$I$137)*$I$7)-SUM($I848:AA848),(('PTRM input'!$I$171+'PTRM input'!$I$137)*$I$7)/A29taxstdlife))</f>
        <v>0</v>
      </c>
      <c r="AC848" s="590">
        <f>IF(A29taxstdlife="n/a","n/a",IF(AC$3&gt;(A29taxstdlife+$E848),(('PTRM input'!$I$171+'PTRM input'!$I$137)*$I$7)-SUM($I848:AB848),(('PTRM input'!$I$171+'PTRM input'!$I$137)*$I$7)/A29taxstdlife))</f>
        <v>0</v>
      </c>
      <c r="AD848" s="590">
        <f>IF(A29taxstdlife="n/a","n/a",IF(AD$3&gt;(A29taxstdlife+$E848),(('PTRM input'!$I$171+'PTRM input'!$I$137)*$I$7)-SUM($I848:AC848),(('PTRM input'!$I$171+'PTRM input'!$I$137)*$I$7)/A29taxstdlife))</f>
        <v>0</v>
      </c>
      <c r="AE848" s="590">
        <f>IF(A29taxstdlife="n/a","n/a",IF(AE$3&gt;(A29taxstdlife+$E848),(('PTRM input'!$I$171+'PTRM input'!$I$137)*$I$7)-SUM($I848:AD848),(('PTRM input'!$I$171+'PTRM input'!$I$137)*$I$7)/A29taxstdlife))</f>
        <v>0</v>
      </c>
      <c r="AF848" s="590">
        <f>IF(A29taxstdlife="n/a","n/a",IF(AF$3&gt;(A29taxstdlife+$E848),(('PTRM input'!$I$171+'PTRM input'!$I$137)*$I$7)-SUM($I848:AE848),(('PTRM input'!$I$171+'PTRM input'!$I$137)*$I$7)/A29taxstdlife))</f>
        <v>0</v>
      </c>
      <c r="AG848" s="590">
        <f>IF(A29taxstdlife="n/a","n/a",IF(AG$3&gt;(A29taxstdlife+$E848),(('PTRM input'!$I$171+'PTRM input'!$I$137)*$I$7)-SUM($I848:AF848),(('PTRM input'!$I$171+'PTRM input'!$I$137)*$I$7)/A29taxstdlife))</f>
        <v>0</v>
      </c>
      <c r="AH848" s="590">
        <f>IF(A29taxstdlife="n/a","n/a",IF(AH$3&gt;(A29taxstdlife+$E848),(('PTRM input'!$I$171+'PTRM input'!$I$137)*$I$7)-SUM($I848:AG848),(('PTRM input'!$I$171+'PTRM input'!$I$137)*$I$7)/A29taxstdlife))</f>
        <v>0</v>
      </c>
      <c r="AI848" s="590">
        <f>IF(A29taxstdlife="n/a","n/a",IF(AI$3&gt;(A29taxstdlife+$E848),(('PTRM input'!$I$171+'PTRM input'!$I$137)*$I$7)-SUM($I848:AH848),(('PTRM input'!$I$171+'PTRM input'!$I$137)*$I$7)/A29taxstdlife))</f>
        <v>0</v>
      </c>
      <c r="AJ848" s="590">
        <f>IF(A29taxstdlife="n/a","n/a",IF(AJ$3&gt;(A29taxstdlife+$E848),(('PTRM input'!$I$171+'PTRM input'!$I$137)*$I$7)-SUM($I848:AI848),(('PTRM input'!$I$171+'PTRM input'!$I$137)*$I$7)/A29taxstdlife))</f>
        <v>0</v>
      </c>
      <c r="AK848" s="590">
        <f>IF(A29taxstdlife="n/a","n/a",IF(AK$3&gt;(A29taxstdlife+$E848),(('PTRM input'!$I$171+'PTRM input'!$I$137)*$I$7)-SUM($I848:AJ848),(('PTRM input'!$I$171+'PTRM input'!$I$137)*$I$7)/A29taxstdlife))</f>
        <v>0</v>
      </c>
      <c r="AL848" s="590">
        <f>IF(A29taxstdlife="n/a","n/a",IF(AL$3&gt;(A29taxstdlife+$E848),(('PTRM input'!$I$171+'PTRM input'!$I$137)*$I$7)-SUM($I848:AK848),(('PTRM input'!$I$171+'PTRM input'!$I$137)*$I$7)/A29taxstdlife))</f>
        <v>0</v>
      </c>
      <c r="AM848" s="590">
        <f>IF(A29taxstdlife="n/a","n/a",IF(AM$3&gt;(A29taxstdlife+$E848),(('PTRM input'!$I$171+'PTRM input'!$I$137)*$I$7)-SUM($I848:AL848),(('PTRM input'!$I$171+'PTRM input'!$I$137)*$I$7)/A29taxstdlife))</f>
        <v>0</v>
      </c>
      <c r="AN848" s="590">
        <f>IF(A29taxstdlife="n/a","n/a",IF(AN$3&gt;(A29taxstdlife+$E848),(('PTRM input'!$I$171+'PTRM input'!$I$137)*$I$7)-SUM($I848:AM848),(('PTRM input'!$I$171+'PTRM input'!$I$137)*$I$7)/A29taxstdlife))</f>
        <v>0</v>
      </c>
      <c r="AO848" s="590">
        <f>IF(A29taxstdlife="n/a","n/a",IF(AO$3&gt;(A29taxstdlife+$E848),(('PTRM input'!$I$171+'PTRM input'!$I$137)*$I$7)-SUM($I848:AN848),(('PTRM input'!$I$171+'PTRM input'!$I$137)*$I$7)/A29taxstdlife))</f>
        <v>0</v>
      </c>
      <c r="AP848" s="590">
        <f>IF(A29taxstdlife="n/a","n/a",IF(AP$3&gt;(A29taxstdlife+$E848),(('PTRM input'!$I$171+'PTRM input'!$I$137)*$I$7)-SUM($I848:AO848),(('PTRM input'!$I$171+'PTRM input'!$I$137)*$I$7)/A29taxstdlife))</f>
        <v>0</v>
      </c>
      <c r="AQ848" s="590">
        <f>IF(A29taxstdlife="n/a","n/a",IF(AQ$3&gt;(A29taxstdlife+$E848),(('PTRM input'!$I$171+'PTRM input'!$I$137)*$I$7)-SUM($I848:AP848),(('PTRM input'!$I$171+'PTRM input'!$I$137)*$I$7)/A29taxstdlife))</f>
        <v>0</v>
      </c>
      <c r="AR848" s="590">
        <f>IF(A29taxstdlife="n/a","n/a",IF(AR$3&gt;(A29taxstdlife+$E848),(('PTRM input'!$I$171+'PTRM input'!$I$137)*$I$7)-SUM($I848:AQ848),(('PTRM input'!$I$171+'PTRM input'!$I$137)*$I$7)/A29taxstdlife))</f>
        <v>0</v>
      </c>
      <c r="AS848" s="590">
        <f>IF(A29taxstdlife="n/a","n/a",IF(AS$3&gt;(A29taxstdlife+$E848),(('PTRM input'!$I$171+'PTRM input'!$I$137)*$I$7)-SUM($I848:AR848),(('PTRM input'!$I$171+'PTRM input'!$I$137)*$I$7)/A29taxstdlife))</f>
        <v>0</v>
      </c>
      <c r="AT848" s="590">
        <f>IF(A29taxstdlife="n/a","n/a",IF(AT$3&gt;(A29taxstdlife+$E848),(('PTRM input'!$I$171+'PTRM input'!$I$137)*$I$7)-SUM($I848:AS848),(('PTRM input'!$I$171+'PTRM input'!$I$137)*$I$7)/A29taxstdlife))</f>
        <v>0</v>
      </c>
      <c r="AU848" s="590">
        <f>IF(A29taxstdlife="n/a","n/a",IF(AU$3&gt;(A29taxstdlife+$E848),(('PTRM input'!$I$171+'PTRM input'!$I$137)*$I$7)-SUM($I848:AT848),(('PTRM input'!$I$171+'PTRM input'!$I$137)*$I$7)/A29taxstdlife))</f>
        <v>0</v>
      </c>
      <c r="AV848" s="590">
        <f>IF(A29taxstdlife="n/a","n/a",IF(AV$3&gt;(A29taxstdlife+$E848),(('PTRM input'!$I$171+'PTRM input'!$I$137)*$I$7)-SUM($I848:AU848),(('PTRM input'!$I$171+'PTRM input'!$I$137)*$I$7)/A29taxstdlife))</f>
        <v>0</v>
      </c>
      <c r="AW848" s="590">
        <f>IF(A29taxstdlife="n/a","n/a",IF(AW$3&gt;(A29taxstdlife+$E848),(('PTRM input'!$I$171+'PTRM input'!$I$137)*$I$7)-SUM($I848:AV848),(('PTRM input'!$I$171+'PTRM input'!$I$137)*$I$7)/A29taxstdlife))</f>
        <v>0</v>
      </c>
      <c r="AX848" s="590">
        <f>IF(A29taxstdlife="n/a","n/a",IF(AX$3&gt;(A29taxstdlife+$E848),(('PTRM input'!$I$171+'PTRM input'!$I$137)*$I$7)-SUM($I848:AW848),(('PTRM input'!$I$171+'PTRM input'!$I$137)*$I$7)/A29taxstdlife))</f>
        <v>0</v>
      </c>
      <c r="AY848" s="590">
        <f>IF(A29taxstdlife="n/a","n/a",IF(AY$3&gt;(A29taxstdlife+$E848),(('PTRM input'!$I$171+'PTRM input'!$I$137)*$I$7)-SUM($I848:AX848),(('PTRM input'!$I$171+'PTRM input'!$I$137)*$I$7)/A29taxstdlife))</f>
        <v>0</v>
      </c>
      <c r="AZ848" s="590">
        <f>IF(A29taxstdlife="n/a","n/a",IF(AZ$3&gt;(A29taxstdlife+$E848),(('PTRM input'!$I$171+'PTRM input'!$I$137)*$I$7)-SUM($I848:AY848),(('PTRM input'!$I$171+'PTRM input'!$I$137)*$I$7)/A29taxstdlife))</f>
        <v>0</v>
      </c>
      <c r="BA848" s="590">
        <f>IF(A29taxstdlife="n/a","n/a",IF(BA$3&gt;(A29taxstdlife+$E848),(('PTRM input'!$I$171+'PTRM input'!$I$137)*$I$7)-SUM($I848:AZ848),(('PTRM input'!$I$171+'PTRM input'!$I$137)*$I$7)/A29taxstdlife))</f>
        <v>0</v>
      </c>
      <c r="BB848" s="590">
        <f>IF(A29taxstdlife="n/a","n/a",IF(BB$3&gt;(A29taxstdlife+$E848),(('PTRM input'!$I$171+'PTRM input'!$I$137)*$I$7)-SUM($I848:BA848),(('PTRM input'!$I$171+'PTRM input'!$I$137)*$I$7)/A29taxstdlife))</f>
        <v>0</v>
      </c>
      <c r="BC848" s="590">
        <f>IF(A29taxstdlife="n/a","n/a",IF(BC$3&gt;(A29taxstdlife+$E848),(('PTRM input'!$I$171+'PTRM input'!$I$137)*$I$7)-SUM($I848:BB848),(('PTRM input'!$I$171+'PTRM input'!$I$137)*$I$7)/A29taxstdlife))</f>
        <v>0</v>
      </c>
      <c r="BD848" s="590">
        <f>IF(A29taxstdlife="n/a","n/a",IF(BD$3&gt;(A29taxstdlife+$E848),(('PTRM input'!$I$171+'PTRM input'!$I$137)*$I$7)-SUM($I848:BC848),(('PTRM input'!$I$171+'PTRM input'!$I$137)*$I$7)/A29taxstdlife))</f>
        <v>0</v>
      </c>
      <c r="BE848" s="590">
        <f>IF(A29taxstdlife="n/a","n/a",IF(BE$3&gt;(A29taxstdlife+$E848),(('PTRM input'!$I$171+'PTRM input'!$I$137)*$I$7)-SUM($I848:BD848),(('PTRM input'!$I$171+'PTRM input'!$I$137)*$I$7)/A29taxstdlife))</f>
        <v>0</v>
      </c>
      <c r="BF848" s="590">
        <f>IF(A29taxstdlife="n/a","n/a",IF(BF$3&gt;(A29taxstdlife+$E848),(('PTRM input'!$I$171+'PTRM input'!$I$137)*$I$7)-SUM($I848:BE848),(('PTRM input'!$I$171+'PTRM input'!$I$137)*$I$7)/A29taxstdlife))</f>
        <v>0</v>
      </c>
      <c r="BG848" s="590">
        <f>IF(A29taxstdlife="n/a","n/a",IF(BG$3&gt;(A29taxstdlife+$E848),(('PTRM input'!$I$171+'PTRM input'!$I$137)*$I$7)-SUM($I848:BF848),(('PTRM input'!$I$171+'PTRM input'!$I$137)*$I$7)/A29taxstdlife))</f>
        <v>0</v>
      </c>
      <c r="BH848" s="590">
        <f>IF(A29taxstdlife="n/a","n/a",IF(BH$3&gt;(A29taxstdlife+$E848),(('PTRM input'!$I$171+'PTRM input'!$I$137)*$I$7)-SUM($I848:BG848),(('PTRM input'!$I$171+'PTRM input'!$I$137)*$I$7)/A29taxstdlife))</f>
        <v>0</v>
      </c>
      <c r="BI848" s="590">
        <f>IF(A29taxstdlife="n/a","n/a",IF(BI$3&gt;(A29taxstdlife+$E848),(('PTRM input'!$I$171+'PTRM input'!$I$137)*$I$7)-SUM($I848:BH848),(('PTRM input'!$I$171+'PTRM input'!$I$137)*$I$7)/A29taxstdlife))</f>
        <v>0</v>
      </c>
      <c r="BJ848" s="590"/>
      <c r="BK848" s="240"/>
      <c r="BL848" s="240"/>
      <c r="BM848" s="240"/>
    </row>
    <row r="849" spans="1:65" s="4" customFormat="1" hidden="1" outlineLevel="2">
      <c r="A849" s="240"/>
      <c r="B849" s="240"/>
      <c r="C849" s="595"/>
      <c r="D849" s="1618"/>
      <c r="E849" s="169">
        <v>4</v>
      </c>
      <c r="F849" s="35"/>
      <c r="G849" s="184"/>
      <c r="H849" s="186"/>
      <c r="I849" s="186"/>
      <c r="J849" s="185"/>
      <c r="K849" s="107">
        <f>IF(A29taxstdlife="n/a","n/a",IF(K$3&gt;(A29taxstdlife+$E849),(('PTRM input'!$J$171+'PTRM input'!$J$137)*$J$7)-SUM($J849:J849),(('PTRM input'!$J$171+'PTRM input'!$J$137)*$J$7)/A29taxstdlife))</f>
        <v>0</v>
      </c>
      <c r="L849" s="107">
        <f>IF(A29taxstdlife="n/a","n/a",IF(L$3&gt;(A29taxstdlife+$E849),(('PTRM input'!$J$171+'PTRM input'!$J$137)*$J$7)-SUM($J849:K849),(('PTRM input'!$J$171+'PTRM input'!$J$137)*$J$7)/A29taxstdlife))</f>
        <v>0</v>
      </c>
      <c r="M849" s="107">
        <f>IF(A29taxstdlife="n/a","n/a",IF(M$3&gt;(A29taxstdlife+$E849),(('PTRM input'!$J$171+'PTRM input'!$J$137)*$J$7)-SUM($J849:L849),(('PTRM input'!$J$171+'PTRM input'!$J$137)*$J$7)/A29taxstdlife))</f>
        <v>0</v>
      </c>
      <c r="N849" s="107">
        <f>IF(A29taxstdlife="n/a","n/a",IF(N$3&gt;(A29taxstdlife+$E849),(('PTRM input'!$J$171+'PTRM input'!$J$137)*$J$7)-SUM($J849:M849),(('PTRM input'!$J$171+'PTRM input'!$J$137)*$J$7)/A29taxstdlife))</f>
        <v>0</v>
      </c>
      <c r="O849" s="107">
        <f>IF(A29taxstdlife="n/a","n/a",IF(O$3&gt;(A29taxstdlife+$E849),(('PTRM input'!$J$171+'PTRM input'!$J$137)*$J$7)-SUM($J849:N849),(('PTRM input'!$J$171+'PTRM input'!$J$137)*$J$7)/A29taxstdlife))</f>
        <v>0</v>
      </c>
      <c r="P849" s="107">
        <f>IF(A29taxstdlife="n/a","n/a",IF(P$3&gt;(A29taxstdlife+$E849),(('PTRM input'!$J$171+'PTRM input'!$J$137)*$J$7)-SUM($J849:O849),(('PTRM input'!$J$171+'PTRM input'!$J$137)*$J$7)/A29taxstdlife))</f>
        <v>0</v>
      </c>
      <c r="Q849" s="590">
        <f>IF(A29taxstdlife="n/a","n/a",IF(Q$3&gt;(A29taxstdlife+$E849),(('PTRM input'!$J$171+'PTRM input'!$J$137)*$J$7)-SUM($J849:P849),(('PTRM input'!$J$171+'PTRM input'!$J$137)*$J$7)/A29taxstdlife))</f>
        <v>0</v>
      </c>
      <c r="R849" s="590">
        <f>IF(A29taxstdlife="n/a","n/a",IF(R$3&gt;(A29taxstdlife+$E849),(('PTRM input'!$J$171+'PTRM input'!$J$137)*$J$7)-SUM($J849:Q849),(('PTRM input'!$J$171+'PTRM input'!$J$137)*$J$7)/A29taxstdlife))</f>
        <v>0</v>
      </c>
      <c r="S849" s="590">
        <f>IF(A29taxstdlife="n/a","n/a",IF(S$3&gt;(A29taxstdlife+$E849),(('PTRM input'!$J$171+'PTRM input'!$J$137)*$J$7)-SUM($J849:R849),(('PTRM input'!$J$171+'PTRM input'!$J$137)*$J$7)/A29taxstdlife))</f>
        <v>0</v>
      </c>
      <c r="T849" s="590">
        <f>IF(A29taxstdlife="n/a","n/a",IF(T$3&gt;(A29taxstdlife+$E849),(('PTRM input'!$J$171+'PTRM input'!$J$137)*$J$7)-SUM($J849:S849),(('PTRM input'!$J$171+'PTRM input'!$J$137)*$J$7)/A29taxstdlife))</f>
        <v>0</v>
      </c>
      <c r="U849" s="590">
        <f>IF(A29taxstdlife="n/a","n/a",IF(U$3&gt;(A29taxstdlife+$E849),(('PTRM input'!$J$171+'PTRM input'!$J$137)*$J$7)-SUM($J849:T849),(('PTRM input'!$J$171+'PTRM input'!$J$137)*$J$7)/A29taxstdlife))</f>
        <v>0</v>
      </c>
      <c r="V849" s="590">
        <f>IF(A29taxstdlife="n/a","n/a",IF(V$3&gt;(A29taxstdlife+$E849),(('PTRM input'!$J$171+'PTRM input'!$J$137)*$J$7)-SUM($J849:U849),(('PTRM input'!$J$171+'PTRM input'!$J$137)*$J$7)/A29taxstdlife))</f>
        <v>0</v>
      </c>
      <c r="W849" s="590">
        <f>IF(A29taxstdlife="n/a","n/a",IF(W$3&gt;(A29taxstdlife+$E849),(('PTRM input'!$J$171+'PTRM input'!$J$137)*$J$7)-SUM($J849:V849),(('PTRM input'!$J$171+'PTRM input'!$J$137)*$J$7)/A29taxstdlife))</f>
        <v>0</v>
      </c>
      <c r="X849" s="590">
        <f>IF(A29taxstdlife="n/a","n/a",IF(X$3&gt;(A29taxstdlife+$E849),(('PTRM input'!$J$171+'PTRM input'!$J$137)*$J$7)-SUM($J849:W849),(('PTRM input'!$J$171+'PTRM input'!$J$137)*$J$7)/A29taxstdlife))</f>
        <v>0</v>
      </c>
      <c r="Y849" s="590">
        <f>IF(A29taxstdlife="n/a","n/a",IF(Y$3&gt;(A29taxstdlife+$E849),(('PTRM input'!$J$171+'PTRM input'!$J$137)*$J$7)-SUM($J849:X849),(('PTRM input'!$J$171+'PTRM input'!$J$137)*$J$7)/A29taxstdlife))</f>
        <v>0</v>
      </c>
      <c r="Z849" s="590">
        <f>IF(A29taxstdlife="n/a","n/a",IF(Z$3&gt;(A29taxstdlife+$E849),(('PTRM input'!$J$171+'PTRM input'!$J$137)*$J$7)-SUM($J849:Y849),(('PTRM input'!$J$171+'PTRM input'!$J$137)*$J$7)/A29taxstdlife))</f>
        <v>0</v>
      </c>
      <c r="AA849" s="590">
        <f>IF(A29taxstdlife="n/a","n/a",IF(AA$3&gt;(A29taxstdlife+$E849),(('PTRM input'!$J$171+'PTRM input'!$J$137)*$J$7)-SUM($J849:Z849),(('PTRM input'!$J$171+'PTRM input'!$J$137)*$J$7)/A29taxstdlife))</f>
        <v>0</v>
      </c>
      <c r="AB849" s="590">
        <f>IF(A29taxstdlife="n/a","n/a",IF(AB$3&gt;(A29taxstdlife+$E849),(('PTRM input'!$J$171+'PTRM input'!$J$137)*$J$7)-SUM($J849:AA849),(('PTRM input'!$J$171+'PTRM input'!$J$137)*$J$7)/A29taxstdlife))</f>
        <v>0</v>
      </c>
      <c r="AC849" s="590">
        <f>IF(A29taxstdlife="n/a","n/a",IF(AC$3&gt;(A29taxstdlife+$E849),(('PTRM input'!$J$171+'PTRM input'!$J$137)*$J$7)-SUM($J849:AB849),(('PTRM input'!$J$171+'PTRM input'!$J$137)*$J$7)/A29taxstdlife))</f>
        <v>0</v>
      </c>
      <c r="AD849" s="590">
        <f>IF(A29taxstdlife="n/a","n/a",IF(AD$3&gt;(A29taxstdlife+$E849),(('PTRM input'!$J$171+'PTRM input'!$J$137)*$J$7)-SUM($J849:AC849),(('PTRM input'!$J$171+'PTRM input'!$J$137)*$J$7)/A29taxstdlife))</f>
        <v>0</v>
      </c>
      <c r="AE849" s="590">
        <f>IF(A29taxstdlife="n/a","n/a",IF(AE$3&gt;(A29taxstdlife+$E849),(('PTRM input'!$J$171+'PTRM input'!$J$137)*$J$7)-SUM($J849:AD849),(('PTRM input'!$J$171+'PTRM input'!$J$137)*$J$7)/A29taxstdlife))</f>
        <v>0</v>
      </c>
      <c r="AF849" s="590">
        <f>IF(A29taxstdlife="n/a","n/a",IF(AF$3&gt;(A29taxstdlife+$E849),(('PTRM input'!$J$171+'PTRM input'!$J$137)*$J$7)-SUM($J849:AE849),(('PTRM input'!$J$171+'PTRM input'!$J$137)*$J$7)/A29taxstdlife))</f>
        <v>0</v>
      </c>
      <c r="AG849" s="590">
        <f>IF(A29taxstdlife="n/a","n/a",IF(AG$3&gt;(A29taxstdlife+$E849),(('PTRM input'!$J$171+'PTRM input'!$J$137)*$J$7)-SUM($J849:AF849),(('PTRM input'!$J$171+'PTRM input'!$J$137)*$J$7)/A29taxstdlife))</f>
        <v>0</v>
      </c>
      <c r="AH849" s="590">
        <f>IF(A29taxstdlife="n/a","n/a",IF(AH$3&gt;(A29taxstdlife+$E849),(('PTRM input'!$J$171+'PTRM input'!$J$137)*$J$7)-SUM($J849:AG849),(('PTRM input'!$J$171+'PTRM input'!$J$137)*$J$7)/A29taxstdlife))</f>
        <v>0</v>
      </c>
      <c r="AI849" s="590">
        <f>IF(A29taxstdlife="n/a","n/a",IF(AI$3&gt;(A29taxstdlife+$E849),(('PTRM input'!$J$171+'PTRM input'!$J$137)*$J$7)-SUM($J849:AH849),(('PTRM input'!$J$171+'PTRM input'!$J$137)*$J$7)/A29taxstdlife))</f>
        <v>0</v>
      </c>
      <c r="AJ849" s="590">
        <f>IF(A29taxstdlife="n/a","n/a",IF(AJ$3&gt;(A29taxstdlife+$E849),(('PTRM input'!$J$171+'PTRM input'!$J$137)*$J$7)-SUM($J849:AI849),(('PTRM input'!$J$171+'PTRM input'!$J$137)*$J$7)/A29taxstdlife))</f>
        <v>0</v>
      </c>
      <c r="AK849" s="590">
        <f>IF(A29taxstdlife="n/a","n/a",IF(AK$3&gt;(A29taxstdlife+$E849),(('PTRM input'!$J$171+'PTRM input'!$J$137)*$J$7)-SUM($J849:AJ849),(('PTRM input'!$J$171+'PTRM input'!$J$137)*$J$7)/A29taxstdlife))</f>
        <v>0</v>
      </c>
      <c r="AL849" s="590">
        <f>IF(A29taxstdlife="n/a","n/a",IF(AL$3&gt;(A29taxstdlife+$E849),(('PTRM input'!$J$171+'PTRM input'!$J$137)*$J$7)-SUM($J849:AK849),(('PTRM input'!$J$171+'PTRM input'!$J$137)*$J$7)/A29taxstdlife))</f>
        <v>0</v>
      </c>
      <c r="AM849" s="590">
        <f>IF(A29taxstdlife="n/a","n/a",IF(AM$3&gt;(A29taxstdlife+$E849),(('PTRM input'!$J$171+'PTRM input'!$J$137)*$J$7)-SUM($J849:AL849),(('PTRM input'!$J$171+'PTRM input'!$J$137)*$J$7)/A29taxstdlife))</f>
        <v>0</v>
      </c>
      <c r="AN849" s="590">
        <f>IF(A29taxstdlife="n/a","n/a",IF(AN$3&gt;(A29taxstdlife+$E849),(('PTRM input'!$J$171+'PTRM input'!$J$137)*$J$7)-SUM($J849:AM849),(('PTRM input'!$J$171+'PTRM input'!$J$137)*$J$7)/A29taxstdlife))</f>
        <v>0</v>
      </c>
      <c r="AO849" s="590">
        <f>IF(A29taxstdlife="n/a","n/a",IF(AO$3&gt;(A29taxstdlife+$E849),(('PTRM input'!$J$171+'PTRM input'!$J$137)*$J$7)-SUM($J849:AN849),(('PTRM input'!$J$171+'PTRM input'!$J$137)*$J$7)/A29taxstdlife))</f>
        <v>0</v>
      </c>
      <c r="AP849" s="590">
        <f>IF(A29taxstdlife="n/a","n/a",IF(AP$3&gt;(A29taxstdlife+$E849),(('PTRM input'!$J$171+'PTRM input'!$J$137)*$J$7)-SUM($J849:AO849),(('PTRM input'!$J$171+'PTRM input'!$J$137)*$J$7)/A29taxstdlife))</f>
        <v>0</v>
      </c>
      <c r="AQ849" s="590">
        <f>IF(A29taxstdlife="n/a","n/a",IF(AQ$3&gt;(A29taxstdlife+$E849),(('PTRM input'!$J$171+'PTRM input'!$J$137)*$J$7)-SUM($J849:AP849),(('PTRM input'!$J$171+'PTRM input'!$J$137)*$J$7)/A29taxstdlife))</f>
        <v>0</v>
      </c>
      <c r="AR849" s="590">
        <f>IF(A29taxstdlife="n/a","n/a",IF(AR$3&gt;(A29taxstdlife+$E849),(('PTRM input'!$J$171+'PTRM input'!$J$137)*$J$7)-SUM($J849:AQ849),(('PTRM input'!$J$171+'PTRM input'!$J$137)*$J$7)/A29taxstdlife))</f>
        <v>0</v>
      </c>
      <c r="AS849" s="590">
        <f>IF(A29taxstdlife="n/a","n/a",IF(AS$3&gt;(A29taxstdlife+$E849),(('PTRM input'!$J$171+'PTRM input'!$J$137)*$J$7)-SUM($J849:AR849),(('PTRM input'!$J$171+'PTRM input'!$J$137)*$J$7)/A29taxstdlife))</f>
        <v>0</v>
      </c>
      <c r="AT849" s="590">
        <f>IF(A29taxstdlife="n/a","n/a",IF(AT$3&gt;(A29taxstdlife+$E849),(('PTRM input'!$J$171+'PTRM input'!$J$137)*$J$7)-SUM($J849:AS849),(('PTRM input'!$J$171+'PTRM input'!$J$137)*$J$7)/A29taxstdlife))</f>
        <v>0</v>
      </c>
      <c r="AU849" s="590">
        <f>IF(A29taxstdlife="n/a","n/a",IF(AU$3&gt;(A29taxstdlife+$E849),(('PTRM input'!$J$171+'PTRM input'!$J$137)*$J$7)-SUM($J849:AT849),(('PTRM input'!$J$171+'PTRM input'!$J$137)*$J$7)/A29taxstdlife))</f>
        <v>0</v>
      </c>
      <c r="AV849" s="590">
        <f>IF(A29taxstdlife="n/a","n/a",IF(AV$3&gt;(A29taxstdlife+$E849),(('PTRM input'!$J$171+'PTRM input'!$J$137)*$J$7)-SUM($J849:AU849),(('PTRM input'!$J$171+'PTRM input'!$J$137)*$J$7)/A29taxstdlife))</f>
        <v>0</v>
      </c>
      <c r="AW849" s="590">
        <f>IF(A29taxstdlife="n/a","n/a",IF(AW$3&gt;(A29taxstdlife+$E849),(('PTRM input'!$J$171+'PTRM input'!$J$137)*$J$7)-SUM($J849:AV849),(('PTRM input'!$J$171+'PTRM input'!$J$137)*$J$7)/A29taxstdlife))</f>
        <v>0</v>
      </c>
      <c r="AX849" s="590">
        <f>IF(A29taxstdlife="n/a","n/a",IF(AX$3&gt;(A29taxstdlife+$E849),(('PTRM input'!$J$171+'PTRM input'!$J$137)*$J$7)-SUM($J849:AW849),(('PTRM input'!$J$171+'PTRM input'!$J$137)*$J$7)/A29taxstdlife))</f>
        <v>0</v>
      </c>
      <c r="AY849" s="590">
        <f>IF(A29taxstdlife="n/a","n/a",IF(AY$3&gt;(A29taxstdlife+$E849),(('PTRM input'!$J$171+'PTRM input'!$J$137)*$J$7)-SUM($J849:AX849),(('PTRM input'!$J$171+'PTRM input'!$J$137)*$J$7)/A29taxstdlife))</f>
        <v>0</v>
      </c>
      <c r="AZ849" s="590">
        <f>IF(A29taxstdlife="n/a","n/a",IF(AZ$3&gt;(A29taxstdlife+$E849),(('PTRM input'!$J$171+'PTRM input'!$J$137)*$J$7)-SUM($J849:AY849),(('PTRM input'!$J$171+'PTRM input'!$J$137)*$J$7)/A29taxstdlife))</f>
        <v>0</v>
      </c>
      <c r="BA849" s="590">
        <f>IF(A29taxstdlife="n/a","n/a",IF(BA$3&gt;(A29taxstdlife+$E849),(('PTRM input'!$J$171+'PTRM input'!$J$137)*$J$7)-SUM($J849:AZ849),(('PTRM input'!$J$171+'PTRM input'!$J$137)*$J$7)/A29taxstdlife))</f>
        <v>0</v>
      </c>
      <c r="BB849" s="590">
        <f>IF(A29taxstdlife="n/a","n/a",IF(BB$3&gt;(A29taxstdlife+$E849),(('PTRM input'!$J$171+'PTRM input'!$J$137)*$J$7)-SUM($J849:BA849),(('PTRM input'!$J$171+'PTRM input'!$J$137)*$J$7)/A29taxstdlife))</f>
        <v>0</v>
      </c>
      <c r="BC849" s="590">
        <f>IF(A29taxstdlife="n/a","n/a",IF(BC$3&gt;(A29taxstdlife+$E849),(('PTRM input'!$J$171+'PTRM input'!$J$137)*$J$7)-SUM($J849:BB849),(('PTRM input'!$J$171+'PTRM input'!$J$137)*$J$7)/A29taxstdlife))</f>
        <v>0</v>
      </c>
      <c r="BD849" s="590">
        <f>IF(A29taxstdlife="n/a","n/a",IF(BD$3&gt;(A29taxstdlife+$E849),(('PTRM input'!$J$171+'PTRM input'!$J$137)*$J$7)-SUM($J849:BC849),(('PTRM input'!$J$171+'PTRM input'!$J$137)*$J$7)/A29taxstdlife))</f>
        <v>0</v>
      </c>
      <c r="BE849" s="590">
        <f>IF(A29taxstdlife="n/a","n/a",IF(BE$3&gt;(A29taxstdlife+$E849),(('PTRM input'!$J$171+'PTRM input'!$J$137)*$J$7)-SUM($J849:BD849),(('PTRM input'!$J$171+'PTRM input'!$J$137)*$J$7)/A29taxstdlife))</f>
        <v>0</v>
      </c>
      <c r="BF849" s="590">
        <f>IF(A29taxstdlife="n/a","n/a",IF(BF$3&gt;(A29taxstdlife+$E849),(('PTRM input'!$J$171+'PTRM input'!$J$137)*$J$7)-SUM($J849:BE849),(('PTRM input'!$J$171+'PTRM input'!$J$137)*$J$7)/A29taxstdlife))</f>
        <v>0</v>
      </c>
      <c r="BG849" s="590">
        <f>IF(A29taxstdlife="n/a","n/a",IF(BG$3&gt;(A29taxstdlife+$E849),(('PTRM input'!$J$171+'PTRM input'!$J$137)*$J$7)-SUM($J849:BF849),(('PTRM input'!$J$171+'PTRM input'!$J$137)*$J$7)/A29taxstdlife))</f>
        <v>0</v>
      </c>
      <c r="BH849" s="590">
        <f>IF(A29taxstdlife="n/a","n/a",IF(BH$3&gt;(A29taxstdlife+$E849),(('PTRM input'!$J$171+'PTRM input'!$J$137)*$J$7)-SUM($J849:BG849),(('PTRM input'!$J$171+'PTRM input'!$J$137)*$J$7)/A29taxstdlife))</f>
        <v>0</v>
      </c>
      <c r="BI849" s="590">
        <f>IF(A29taxstdlife="n/a","n/a",IF(BI$3&gt;(A29taxstdlife+$E849),(('PTRM input'!$J$171+'PTRM input'!$J$137)*$J$7)-SUM($J849:BH849),(('PTRM input'!$J$171+'PTRM input'!$J$137)*$J$7)/A29taxstdlife))</f>
        <v>0</v>
      </c>
      <c r="BJ849" s="240"/>
      <c r="BK849" s="240"/>
      <c r="BL849" s="240"/>
      <c r="BM849" s="240"/>
    </row>
    <row r="850" spans="1:65" s="4" customFormat="1" hidden="1" outlineLevel="2">
      <c r="A850" s="240"/>
      <c r="B850" s="240"/>
      <c r="C850" s="595"/>
      <c r="D850" s="1618"/>
      <c r="E850" s="169">
        <v>5</v>
      </c>
      <c r="F850" s="35"/>
      <c r="G850" s="184"/>
      <c r="H850" s="186"/>
      <c r="I850" s="186"/>
      <c r="J850" s="186"/>
      <c r="K850" s="185"/>
      <c r="L850" s="107">
        <f>IF(A29taxstdlife="n/a","n/a",IF(L$3&gt;(A29taxstdlife+$E850),(('PTRM input'!$K$171+'PTRM input'!$K$137)*$K$7)-SUM($K850:K850),(('PTRM input'!$K$171+'PTRM input'!$K$137)*$K$7)/A29taxstdlife))</f>
        <v>0</v>
      </c>
      <c r="M850" s="107">
        <f>IF(A29taxstdlife="n/a","n/a",IF(M$3&gt;(A29taxstdlife+$E850),(('PTRM input'!$K$171+'PTRM input'!$K$137)*$K$7)-SUM($K850:L850),(('PTRM input'!$K$171+'PTRM input'!$K$137)*$K$7)/A29taxstdlife))</f>
        <v>0</v>
      </c>
      <c r="N850" s="107">
        <f>IF(A29taxstdlife="n/a","n/a",IF(N$3&gt;(A29taxstdlife+$E850),(('PTRM input'!$K$171+'PTRM input'!$K$137)*$K$7)-SUM($K850:M850),(('PTRM input'!$K$171+'PTRM input'!$K$137)*$K$7)/A29taxstdlife))</f>
        <v>0</v>
      </c>
      <c r="O850" s="107">
        <f>IF(A29taxstdlife="n/a","n/a",IF(O$3&gt;(A29taxstdlife+$E850),(('PTRM input'!$K$171+'PTRM input'!$K$137)*$K$7)-SUM($K850:N850),(('PTRM input'!$K$171+'PTRM input'!$K$137)*$K$7)/A29taxstdlife))</f>
        <v>0</v>
      </c>
      <c r="P850" s="107">
        <f>IF(A29taxstdlife="n/a","n/a",IF(P$3&gt;(A29taxstdlife+$E850),(('PTRM input'!$K$171+'PTRM input'!$K$137)*$K$7)-SUM($K850:O850),(('PTRM input'!$K$171+'PTRM input'!$K$137)*$K$7)/A29taxstdlife))</f>
        <v>0</v>
      </c>
      <c r="Q850" s="590">
        <f>IF(A29taxstdlife="n/a","n/a",IF(Q$3&gt;(A29taxstdlife+$E850),(('PTRM input'!$K$171+'PTRM input'!$K$137)*$K$7)-SUM($K850:P850),(('PTRM input'!$K$171+'PTRM input'!$K$137)*$K$7)/A29taxstdlife))</f>
        <v>0</v>
      </c>
      <c r="R850" s="590">
        <f>IF(A29taxstdlife="n/a","n/a",IF(R$3&gt;(A29taxstdlife+$E850),(('PTRM input'!$K$171+'PTRM input'!$K$137)*$K$7)-SUM($K850:Q850),(('PTRM input'!$K$171+'PTRM input'!$K$137)*$K$7)/A29taxstdlife))</f>
        <v>0</v>
      </c>
      <c r="S850" s="590">
        <f>IF(A29taxstdlife="n/a","n/a",IF(S$3&gt;(A29taxstdlife+$E850),(('PTRM input'!$K$171+'PTRM input'!$K$137)*$K$7)-SUM($K850:R850),(('PTRM input'!$K$171+'PTRM input'!$K$137)*$K$7)/A29taxstdlife))</f>
        <v>0</v>
      </c>
      <c r="T850" s="590">
        <f>IF(A29taxstdlife="n/a","n/a",IF(T$3&gt;(A29taxstdlife+$E850),(('PTRM input'!$K$171+'PTRM input'!$K$137)*$K$7)-SUM($K850:S850),(('PTRM input'!$K$171+'PTRM input'!$K$137)*$K$7)/A29taxstdlife))</f>
        <v>0</v>
      </c>
      <c r="U850" s="590">
        <f>IF(A29taxstdlife="n/a","n/a",IF(U$3&gt;(A29taxstdlife+$E850),(('PTRM input'!$K$171+'PTRM input'!$K$137)*$K$7)-SUM($K850:T850),(('PTRM input'!$K$171+'PTRM input'!$K$137)*$K$7)/A29taxstdlife))</f>
        <v>0</v>
      </c>
      <c r="V850" s="590">
        <f>IF(A29taxstdlife="n/a","n/a",IF(V$3&gt;(A29taxstdlife+$E850),(('PTRM input'!$K$171+'PTRM input'!$K$137)*$K$7)-SUM($K850:U850),(('PTRM input'!$K$171+'PTRM input'!$K$137)*$K$7)/A29taxstdlife))</f>
        <v>0</v>
      </c>
      <c r="W850" s="590">
        <f>IF(A29taxstdlife="n/a","n/a",IF(W$3&gt;(A29taxstdlife+$E850),(('PTRM input'!$K$171+'PTRM input'!$K$137)*$K$7)-SUM($K850:V850),(('PTRM input'!$K$171+'PTRM input'!$K$137)*$K$7)/A29taxstdlife))</f>
        <v>0</v>
      </c>
      <c r="X850" s="590">
        <f>IF(A29taxstdlife="n/a","n/a",IF(X$3&gt;(A29taxstdlife+$E850),(('PTRM input'!$K$171+'PTRM input'!$K$137)*$K$7)-SUM($K850:W850),(('PTRM input'!$K$171+'PTRM input'!$K$137)*$K$7)/A29taxstdlife))</f>
        <v>0</v>
      </c>
      <c r="Y850" s="590">
        <f>IF(A29taxstdlife="n/a","n/a",IF(Y$3&gt;(A29taxstdlife+$E850),(('PTRM input'!$K$171+'PTRM input'!$K$137)*$K$7)-SUM($K850:X850),(('PTRM input'!$K$171+'PTRM input'!$K$137)*$K$7)/A29taxstdlife))</f>
        <v>0</v>
      </c>
      <c r="Z850" s="590">
        <f>IF(A29taxstdlife="n/a","n/a",IF(Z$3&gt;(A29taxstdlife+$E850),(('PTRM input'!$K$171+'PTRM input'!$K$137)*$K$7)-SUM($K850:Y850),(('PTRM input'!$K$171+'PTRM input'!$K$137)*$K$7)/A29taxstdlife))</f>
        <v>0</v>
      </c>
      <c r="AA850" s="590">
        <f>IF(A29taxstdlife="n/a","n/a",IF(AA$3&gt;(A29taxstdlife+$E850),(('PTRM input'!$K$171+'PTRM input'!$K$137)*$K$7)-SUM($K850:Z850),(('PTRM input'!$K$171+'PTRM input'!$K$137)*$K$7)/A29taxstdlife))</f>
        <v>0</v>
      </c>
      <c r="AB850" s="590">
        <f>IF(A29taxstdlife="n/a","n/a",IF(AB$3&gt;(A29taxstdlife+$E850),(('PTRM input'!$K$171+'PTRM input'!$K$137)*$K$7)-SUM($K850:AA850),(('PTRM input'!$K$171+'PTRM input'!$K$137)*$K$7)/A29taxstdlife))</f>
        <v>0</v>
      </c>
      <c r="AC850" s="590">
        <f>IF(A29taxstdlife="n/a","n/a",IF(AC$3&gt;(A29taxstdlife+$E850),(('PTRM input'!$K$171+'PTRM input'!$K$137)*$K$7)-SUM($K850:AB850),(('PTRM input'!$K$171+'PTRM input'!$K$137)*$K$7)/A29taxstdlife))</f>
        <v>0</v>
      </c>
      <c r="AD850" s="590">
        <f>IF(A29taxstdlife="n/a","n/a",IF(AD$3&gt;(A29taxstdlife+$E850),(('PTRM input'!$K$171+'PTRM input'!$K$137)*$K$7)-SUM($K850:AC850),(('PTRM input'!$K$171+'PTRM input'!$K$137)*$K$7)/A29taxstdlife))</f>
        <v>0</v>
      </c>
      <c r="AE850" s="590">
        <f>IF(A29taxstdlife="n/a","n/a",IF(AE$3&gt;(A29taxstdlife+$E850),(('PTRM input'!$K$171+'PTRM input'!$K$137)*$K$7)-SUM($K850:AD850),(('PTRM input'!$K$171+'PTRM input'!$K$137)*$K$7)/A29taxstdlife))</f>
        <v>0</v>
      </c>
      <c r="AF850" s="590">
        <f>IF(A29taxstdlife="n/a","n/a",IF(AF$3&gt;(A29taxstdlife+$E850),(('PTRM input'!$K$171+'PTRM input'!$K$137)*$K$7)-SUM($K850:AE850),(('PTRM input'!$K$171+'PTRM input'!$K$137)*$K$7)/A29taxstdlife))</f>
        <v>0</v>
      </c>
      <c r="AG850" s="590">
        <f>IF(A29taxstdlife="n/a","n/a",IF(AG$3&gt;(A29taxstdlife+$E850),(('PTRM input'!$K$171+'PTRM input'!$K$137)*$K$7)-SUM($K850:AF850),(('PTRM input'!$K$171+'PTRM input'!$K$137)*$K$7)/A29taxstdlife))</f>
        <v>0</v>
      </c>
      <c r="AH850" s="590">
        <f>IF(A29taxstdlife="n/a","n/a",IF(AH$3&gt;(A29taxstdlife+$E850),(('PTRM input'!$K$171+'PTRM input'!$K$137)*$K$7)-SUM($K850:AG850),(('PTRM input'!$K$171+'PTRM input'!$K$137)*$K$7)/A29taxstdlife))</f>
        <v>0</v>
      </c>
      <c r="AI850" s="590">
        <f>IF(A29taxstdlife="n/a","n/a",IF(AI$3&gt;(A29taxstdlife+$E850),(('PTRM input'!$K$171+'PTRM input'!$K$137)*$K$7)-SUM($K850:AH850),(('PTRM input'!$K$171+'PTRM input'!$K$137)*$K$7)/A29taxstdlife))</f>
        <v>0</v>
      </c>
      <c r="AJ850" s="590">
        <f>IF(A29taxstdlife="n/a","n/a",IF(AJ$3&gt;(A29taxstdlife+$E850),(('PTRM input'!$K$171+'PTRM input'!$K$137)*$K$7)-SUM($K850:AI850),(('PTRM input'!$K$171+'PTRM input'!$K$137)*$K$7)/A29taxstdlife))</f>
        <v>0</v>
      </c>
      <c r="AK850" s="590">
        <f>IF(A29taxstdlife="n/a","n/a",IF(AK$3&gt;(A29taxstdlife+$E850),(('PTRM input'!$K$171+'PTRM input'!$K$137)*$K$7)-SUM($K850:AJ850),(('PTRM input'!$K$171+'PTRM input'!$K$137)*$K$7)/A29taxstdlife))</f>
        <v>0</v>
      </c>
      <c r="AL850" s="590">
        <f>IF(A29taxstdlife="n/a","n/a",IF(AL$3&gt;(A29taxstdlife+$E850),(('PTRM input'!$K$171+'PTRM input'!$K$137)*$K$7)-SUM($K850:AK850),(('PTRM input'!$K$171+'PTRM input'!$K$137)*$K$7)/A29taxstdlife))</f>
        <v>0</v>
      </c>
      <c r="AM850" s="590">
        <f>IF(A29taxstdlife="n/a","n/a",IF(AM$3&gt;(A29taxstdlife+$E850),(('PTRM input'!$K$171+'PTRM input'!$K$137)*$K$7)-SUM($K850:AL850),(('PTRM input'!$K$171+'PTRM input'!$K$137)*$K$7)/A29taxstdlife))</f>
        <v>0</v>
      </c>
      <c r="AN850" s="590">
        <f>IF(A29taxstdlife="n/a","n/a",IF(AN$3&gt;(A29taxstdlife+$E850),(('PTRM input'!$K$171+'PTRM input'!$K$137)*$K$7)-SUM($K850:AM850),(('PTRM input'!$K$171+'PTRM input'!$K$137)*$K$7)/A29taxstdlife))</f>
        <v>0</v>
      </c>
      <c r="AO850" s="590">
        <f>IF(A29taxstdlife="n/a","n/a",IF(AO$3&gt;(A29taxstdlife+$E850),(('PTRM input'!$K$171+'PTRM input'!$K$137)*$K$7)-SUM($K850:AN850),(('PTRM input'!$K$171+'PTRM input'!$K$137)*$K$7)/A29taxstdlife))</f>
        <v>0</v>
      </c>
      <c r="AP850" s="590">
        <f>IF(A29taxstdlife="n/a","n/a",IF(AP$3&gt;(A29taxstdlife+$E850),(('PTRM input'!$K$171+'PTRM input'!$K$137)*$K$7)-SUM($K850:AO850),(('PTRM input'!$K$171+'PTRM input'!$K$137)*$K$7)/A29taxstdlife))</f>
        <v>0</v>
      </c>
      <c r="AQ850" s="590">
        <f>IF(A29taxstdlife="n/a","n/a",IF(AQ$3&gt;(A29taxstdlife+$E850),(('PTRM input'!$K$171+'PTRM input'!$K$137)*$K$7)-SUM($K850:AP850),(('PTRM input'!$K$171+'PTRM input'!$K$137)*$K$7)/A29taxstdlife))</f>
        <v>0</v>
      </c>
      <c r="AR850" s="590">
        <f>IF(A29taxstdlife="n/a","n/a",IF(AR$3&gt;(A29taxstdlife+$E850),(('PTRM input'!$K$171+'PTRM input'!$K$137)*$K$7)-SUM($K850:AQ850),(('PTRM input'!$K$171+'PTRM input'!$K$137)*$K$7)/A29taxstdlife))</f>
        <v>0</v>
      </c>
      <c r="AS850" s="590">
        <f>IF(A29taxstdlife="n/a","n/a",IF(AS$3&gt;(A29taxstdlife+$E850),(('PTRM input'!$K$171+'PTRM input'!$K$137)*$K$7)-SUM($K850:AR850),(('PTRM input'!$K$171+'PTRM input'!$K$137)*$K$7)/A29taxstdlife))</f>
        <v>0</v>
      </c>
      <c r="AT850" s="590">
        <f>IF(A29taxstdlife="n/a","n/a",IF(AT$3&gt;(A29taxstdlife+$E850),(('PTRM input'!$K$171+'PTRM input'!$K$137)*$K$7)-SUM($K850:AS850),(('PTRM input'!$K$171+'PTRM input'!$K$137)*$K$7)/A29taxstdlife))</f>
        <v>0</v>
      </c>
      <c r="AU850" s="590">
        <f>IF(A29taxstdlife="n/a","n/a",IF(AU$3&gt;(A29taxstdlife+$E850),(('PTRM input'!$K$171+'PTRM input'!$K$137)*$K$7)-SUM($K850:AT850),(('PTRM input'!$K$171+'PTRM input'!$K$137)*$K$7)/A29taxstdlife))</f>
        <v>0</v>
      </c>
      <c r="AV850" s="590">
        <f>IF(A29taxstdlife="n/a","n/a",IF(AV$3&gt;(A29taxstdlife+$E850),(('PTRM input'!$K$171+'PTRM input'!$K$137)*$K$7)-SUM($K850:AU850),(('PTRM input'!$K$171+'PTRM input'!$K$137)*$K$7)/A29taxstdlife))</f>
        <v>0</v>
      </c>
      <c r="AW850" s="590">
        <f>IF(A29taxstdlife="n/a","n/a",IF(AW$3&gt;(A29taxstdlife+$E850),(('PTRM input'!$K$171+'PTRM input'!$K$137)*$K$7)-SUM($K850:AV850),(('PTRM input'!$K$171+'PTRM input'!$K$137)*$K$7)/A29taxstdlife))</f>
        <v>0</v>
      </c>
      <c r="AX850" s="590">
        <f>IF(A29taxstdlife="n/a","n/a",IF(AX$3&gt;(A29taxstdlife+$E850),(('PTRM input'!$K$171+'PTRM input'!$K$137)*$K$7)-SUM($K850:AW850),(('PTRM input'!$K$171+'PTRM input'!$K$137)*$K$7)/A29taxstdlife))</f>
        <v>0</v>
      </c>
      <c r="AY850" s="590">
        <f>IF(A29taxstdlife="n/a","n/a",IF(AY$3&gt;(A29taxstdlife+$E850),(('PTRM input'!$K$171+'PTRM input'!$K$137)*$K$7)-SUM($K850:AX850),(('PTRM input'!$K$171+'PTRM input'!$K$137)*$K$7)/A29taxstdlife))</f>
        <v>0</v>
      </c>
      <c r="AZ850" s="590">
        <f>IF(A29taxstdlife="n/a","n/a",IF(AZ$3&gt;(A29taxstdlife+$E850),(('PTRM input'!$K$171+'PTRM input'!$K$137)*$K$7)-SUM($K850:AY850),(('PTRM input'!$K$171+'PTRM input'!$K$137)*$K$7)/A29taxstdlife))</f>
        <v>0</v>
      </c>
      <c r="BA850" s="590">
        <f>IF(A29taxstdlife="n/a","n/a",IF(BA$3&gt;(A29taxstdlife+$E850),(('PTRM input'!$K$171+'PTRM input'!$K$137)*$K$7)-SUM($K850:AZ850),(('PTRM input'!$K$171+'PTRM input'!$K$137)*$K$7)/A29taxstdlife))</f>
        <v>0</v>
      </c>
      <c r="BB850" s="590">
        <f>IF(A29taxstdlife="n/a","n/a",IF(BB$3&gt;(A29taxstdlife+$E850),(('PTRM input'!$K$171+'PTRM input'!$K$137)*$K$7)-SUM($K850:BA850),(('PTRM input'!$K$171+'PTRM input'!$K$137)*$K$7)/A29taxstdlife))</f>
        <v>0</v>
      </c>
      <c r="BC850" s="590">
        <f>IF(A29taxstdlife="n/a","n/a",IF(BC$3&gt;(A29taxstdlife+$E850),(('PTRM input'!$K$171+'PTRM input'!$K$137)*$K$7)-SUM($K850:BB850),(('PTRM input'!$K$171+'PTRM input'!$K$137)*$K$7)/A29taxstdlife))</f>
        <v>0</v>
      </c>
      <c r="BD850" s="590">
        <f>IF(A29taxstdlife="n/a","n/a",IF(BD$3&gt;(A29taxstdlife+$E850),(('PTRM input'!$K$171+'PTRM input'!$K$137)*$K$7)-SUM($K850:BC850),(('PTRM input'!$K$171+'PTRM input'!$K$137)*$K$7)/A29taxstdlife))</f>
        <v>0</v>
      </c>
      <c r="BE850" s="590">
        <f>IF(A29taxstdlife="n/a","n/a",IF(BE$3&gt;(A29taxstdlife+$E850),(('PTRM input'!$K$171+'PTRM input'!$K$137)*$K$7)-SUM($K850:BD850),(('PTRM input'!$K$171+'PTRM input'!$K$137)*$K$7)/A29taxstdlife))</f>
        <v>0</v>
      </c>
      <c r="BF850" s="590">
        <f>IF(A29taxstdlife="n/a","n/a",IF(BF$3&gt;(A29taxstdlife+$E850),(('PTRM input'!$K$171+'PTRM input'!$K$137)*$K$7)-SUM($K850:BE850),(('PTRM input'!$K$171+'PTRM input'!$K$137)*$K$7)/A29taxstdlife))</f>
        <v>0</v>
      </c>
      <c r="BG850" s="590">
        <f>IF(A29taxstdlife="n/a","n/a",IF(BG$3&gt;(A29taxstdlife+$E850),(('PTRM input'!$K$171+'PTRM input'!$K$137)*$K$7)-SUM($K850:BF850),(('PTRM input'!$K$171+'PTRM input'!$K$137)*$K$7)/A29taxstdlife))</f>
        <v>0</v>
      </c>
      <c r="BH850" s="590">
        <f>IF(A29taxstdlife="n/a","n/a",IF(BH$3&gt;(A29taxstdlife+$E850),(('PTRM input'!$K$171+'PTRM input'!$K$137)*$K$7)-SUM($K850:BG850),(('PTRM input'!$K$171+'PTRM input'!$K$137)*$K$7)/A29taxstdlife))</f>
        <v>0</v>
      </c>
      <c r="BI850" s="590">
        <f>IF(A29taxstdlife="n/a","n/a",IF(BI$3&gt;(A29taxstdlife+$E850),(('PTRM input'!$K$171+'PTRM input'!$K$137)*$K$7)-SUM($K850:BH850),(('PTRM input'!$K$171+'PTRM input'!$K$137)*$K$7)/A29taxstdlife))</f>
        <v>0</v>
      </c>
      <c r="BJ850" s="240"/>
      <c r="BK850" s="240"/>
      <c r="BL850" s="240"/>
      <c r="BM850" s="240"/>
    </row>
    <row r="851" spans="1:65" s="4" customFormat="1" hidden="1" outlineLevel="2">
      <c r="A851" s="240"/>
      <c r="B851" s="240"/>
      <c r="C851" s="595"/>
      <c r="D851" s="1618"/>
      <c r="E851" s="169">
        <v>6</v>
      </c>
      <c r="F851" s="35"/>
      <c r="G851" s="184"/>
      <c r="H851" s="186"/>
      <c r="I851" s="186"/>
      <c r="J851" s="186"/>
      <c r="K851" s="186"/>
      <c r="L851" s="185"/>
      <c r="M851" s="107">
        <f>IF(A29taxstdlife="n/a","n/a",IF(M$3&gt;(A29taxstdlife+$E851),(('PTRM input'!$L$171+'PTRM input'!$L$137)*$L$7)-SUM($L851:L851),(('PTRM input'!$L$171+'PTRM input'!$L$137)*$L$7)/A29taxstdlife))</f>
        <v>0</v>
      </c>
      <c r="N851" s="107">
        <f>IF(A29taxstdlife="n/a","n/a",IF(N$3&gt;(A29taxstdlife+$E851),(('PTRM input'!$L$171+'PTRM input'!$L$137)*$L$7)-SUM($L851:M851),(('PTRM input'!$L$171+'PTRM input'!$L$137)*$L$7)/A29taxstdlife))</f>
        <v>0</v>
      </c>
      <c r="O851" s="107">
        <f>IF(A29taxstdlife="n/a","n/a",IF(O$3&gt;(A29taxstdlife+$E851),(('PTRM input'!$L$171+'PTRM input'!$L$137)*$L$7)-SUM($L851:N851),(('PTRM input'!$L$171+'PTRM input'!$L$137)*$L$7)/A29taxstdlife))</f>
        <v>0</v>
      </c>
      <c r="P851" s="107">
        <f>IF(A29taxstdlife="n/a","n/a",IF(P$3&gt;(A29taxstdlife+$E851),(('PTRM input'!$L$171+'PTRM input'!$L$137)*$L$7)-SUM($L851:O851),(('PTRM input'!$L$171+'PTRM input'!$L$137)*$L$7)/A29taxstdlife))</f>
        <v>0</v>
      </c>
      <c r="Q851" s="590">
        <f>IF(A29taxstdlife="n/a","n/a",IF(Q$3&gt;(A29taxstdlife+$E851),(('PTRM input'!$L$171+'PTRM input'!$L$137)*$L$7)-SUM($L851:P851),(('PTRM input'!$L$171+'PTRM input'!$L$137)*$L$7)/A29taxstdlife))</f>
        <v>0</v>
      </c>
      <c r="R851" s="590">
        <f>IF(A29taxstdlife="n/a","n/a",IF(R$3&gt;(A29taxstdlife+$E851),(('PTRM input'!$L$171+'PTRM input'!$L$137)*$L$7)-SUM($L851:Q851),(('PTRM input'!$L$171+'PTRM input'!$L$137)*$L$7)/A29taxstdlife))</f>
        <v>0</v>
      </c>
      <c r="S851" s="590">
        <f>IF(A29taxstdlife="n/a","n/a",IF(S$3&gt;(A29taxstdlife+$E851),(('PTRM input'!$L$171+'PTRM input'!$L$137)*$L$7)-SUM($L851:R851),(('PTRM input'!$L$171+'PTRM input'!$L$137)*$L$7)/A29taxstdlife))</f>
        <v>0</v>
      </c>
      <c r="T851" s="590">
        <f>IF(A29taxstdlife="n/a","n/a",IF(T$3&gt;(A29taxstdlife+$E851),(('PTRM input'!$L$171+'PTRM input'!$L$137)*$L$7)-SUM($L851:S851),(('PTRM input'!$L$171+'PTRM input'!$L$137)*$L$7)/A29taxstdlife))</f>
        <v>0</v>
      </c>
      <c r="U851" s="590">
        <f>IF(A29taxstdlife="n/a","n/a",IF(U$3&gt;(A29taxstdlife+$E851),(('PTRM input'!$L$171+'PTRM input'!$L$137)*$L$7)-SUM($L851:T851),(('PTRM input'!$L$171+'PTRM input'!$L$137)*$L$7)/A29taxstdlife))</f>
        <v>0</v>
      </c>
      <c r="V851" s="590">
        <f>IF(A29taxstdlife="n/a","n/a",IF(V$3&gt;(A29taxstdlife+$E851),(('PTRM input'!$L$171+'PTRM input'!$L$137)*$L$7)-SUM($L851:U851),(('PTRM input'!$L$171+'PTRM input'!$L$137)*$L$7)/A29taxstdlife))</f>
        <v>0</v>
      </c>
      <c r="W851" s="590">
        <f>IF(A29taxstdlife="n/a","n/a",IF(W$3&gt;(A29taxstdlife+$E851),(('PTRM input'!$L$171+'PTRM input'!$L$137)*$L$7)-SUM($L851:V851),(('PTRM input'!$L$171+'PTRM input'!$L$137)*$L$7)/A29taxstdlife))</f>
        <v>0</v>
      </c>
      <c r="X851" s="590">
        <f>IF(A29taxstdlife="n/a","n/a",IF(X$3&gt;(A29taxstdlife+$E851),(('PTRM input'!$L$171+'PTRM input'!$L$137)*$L$7)-SUM($L851:W851),(('PTRM input'!$L$171+'PTRM input'!$L$137)*$L$7)/A29taxstdlife))</f>
        <v>0</v>
      </c>
      <c r="Y851" s="590">
        <f>IF(A29taxstdlife="n/a","n/a",IF(Y$3&gt;(A29taxstdlife+$E851),(('PTRM input'!$L$171+'PTRM input'!$L$137)*$L$7)-SUM($L851:X851),(('PTRM input'!$L$171+'PTRM input'!$L$137)*$L$7)/A29taxstdlife))</f>
        <v>0</v>
      </c>
      <c r="Z851" s="590">
        <f>IF(A29taxstdlife="n/a","n/a",IF(Z$3&gt;(A29taxstdlife+$E851),(('PTRM input'!$L$171+'PTRM input'!$L$137)*$L$7)-SUM($L851:Y851),(('PTRM input'!$L$171+'PTRM input'!$L$137)*$L$7)/A29taxstdlife))</f>
        <v>0</v>
      </c>
      <c r="AA851" s="590">
        <f>IF(A29taxstdlife="n/a","n/a",IF(AA$3&gt;(A29taxstdlife+$E851),(('PTRM input'!$L$171+'PTRM input'!$L$137)*$L$7)-SUM($L851:Z851),(('PTRM input'!$L$171+'PTRM input'!$L$137)*$L$7)/A29taxstdlife))</f>
        <v>0</v>
      </c>
      <c r="AB851" s="590">
        <f>IF(A29taxstdlife="n/a","n/a",IF(AB$3&gt;(A29taxstdlife+$E851),(('PTRM input'!$L$171+'PTRM input'!$L$137)*$L$7)-SUM($L851:AA851),(('PTRM input'!$L$171+'PTRM input'!$L$137)*$L$7)/A29taxstdlife))</f>
        <v>0</v>
      </c>
      <c r="AC851" s="590">
        <f>IF(A29taxstdlife="n/a","n/a",IF(AC$3&gt;(A29taxstdlife+$E851),(('PTRM input'!$L$171+'PTRM input'!$L$137)*$L$7)-SUM($L851:AB851),(('PTRM input'!$L$171+'PTRM input'!$L$137)*$L$7)/A29taxstdlife))</f>
        <v>0</v>
      </c>
      <c r="AD851" s="590">
        <f>IF(A29taxstdlife="n/a","n/a",IF(AD$3&gt;(A29taxstdlife+$E851),(('PTRM input'!$L$171+'PTRM input'!$L$137)*$L$7)-SUM($L851:AC851),(('PTRM input'!$L$171+'PTRM input'!$L$137)*$L$7)/A29taxstdlife))</f>
        <v>0</v>
      </c>
      <c r="AE851" s="590">
        <f>IF(A29taxstdlife="n/a","n/a",IF(AE$3&gt;(A29taxstdlife+$E851),(('PTRM input'!$L$171+'PTRM input'!$L$137)*$L$7)-SUM($L851:AD851),(('PTRM input'!$L$171+'PTRM input'!$L$137)*$L$7)/A29taxstdlife))</f>
        <v>0</v>
      </c>
      <c r="AF851" s="590">
        <f>IF(A29taxstdlife="n/a","n/a",IF(AF$3&gt;(A29taxstdlife+$E851),(('PTRM input'!$L$171+'PTRM input'!$L$137)*$L$7)-SUM($L851:AE851),(('PTRM input'!$L$171+'PTRM input'!$L$137)*$L$7)/A29taxstdlife))</f>
        <v>0</v>
      </c>
      <c r="AG851" s="590">
        <f>IF(A29taxstdlife="n/a","n/a",IF(AG$3&gt;(A29taxstdlife+$E851),(('PTRM input'!$L$171+'PTRM input'!$L$137)*$L$7)-SUM($L851:AF851),(('PTRM input'!$L$171+'PTRM input'!$L$137)*$L$7)/A29taxstdlife))</f>
        <v>0</v>
      </c>
      <c r="AH851" s="590">
        <f>IF(A29taxstdlife="n/a","n/a",IF(AH$3&gt;(A29taxstdlife+$E851),(('PTRM input'!$L$171+'PTRM input'!$L$137)*$L$7)-SUM($L851:AG851),(('PTRM input'!$L$171+'PTRM input'!$L$137)*$L$7)/A29taxstdlife))</f>
        <v>0</v>
      </c>
      <c r="AI851" s="590">
        <f>IF(A29taxstdlife="n/a","n/a",IF(AI$3&gt;(A29taxstdlife+$E851),(('PTRM input'!$L$171+'PTRM input'!$L$137)*$L$7)-SUM($L851:AH851),(('PTRM input'!$L$171+'PTRM input'!$L$137)*$L$7)/A29taxstdlife))</f>
        <v>0</v>
      </c>
      <c r="AJ851" s="590">
        <f>IF(A29taxstdlife="n/a","n/a",IF(AJ$3&gt;(A29taxstdlife+$E851),(('PTRM input'!$L$171+'PTRM input'!$L$137)*$L$7)-SUM($L851:AI851),(('PTRM input'!$L$171+'PTRM input'!$L$137)*$L$7)/A29taxstdlife))</f>
        <v>0</v>
      </c>
      <c r="AK851" s="590">
        <f>IF(A29taxstdlife="n/a","n/a",IF(AK$3&gt;(A29taxstdlife+$E851),(('PTRM input'!$L$171+'PTRM input'!$L$137)*$L$7)-SUM($L851:AJ851),(('PTRM input'!$L$171+'PTRM input'!$L$137)*$L$7)/A29taxstdlife))</f>
        <v>0</v>
      </c>
      <c r="AL851" s="590">
        <f>IF(A29taxstdlife="n/a","n/a",IF(AL$3&gt;(A29taxstdlife+$E851),(('PTRM input'!$L$171+'PTRM input'!$L$137)*$L$7)-SUM($L851:AK851),(('PTRM input'!$L$171+'PTRM input'!$L$137)*$L$7)/A29taxstdlife))</f>
        <v>0</v>
      </c>
      <c r="AM851" s="590">
        <f>IF(A29taxstdlife="n/a","n/a",IF(AM$3&gt;(A29taxstdlife+$E851),(('PTRM input'!$L$171+'PTRM input'!$L$137)*$L$7)-SUM($L851:AL851),(('PTRM input'!$L$171+'PTRM input'!$L$137)*$L$7)/A29taxstdlife))</f>
        <v>0</v>
      </c>
      <c r="AN851" s="590">
        <f>IF(A29taxstdlife="n/a","n/a",IF(AN$3&gt;(A29taxstdlife+$E851),(('PTRM input'!$L$171+'PTRM input'!$L$137)*$L$7)-SUM($L851:AM851),(('PTRM input'!$L$171+'PTRM input'!$L$137)*$L$7)/A29taxstdlife))</f>
        <v>0</v>
      </c>
      <c r="AO851" s="590">
        <f>IF(A29taxstdlife="n/a","n/a",IF(AO$3&gt;(A29taxstdlife+$E851),(('PTRM input'!$L$171+'PTRM input'!$L$137)*$L$7)-SUM($L851:AN851),(('PTRM input'!$L$171+'PTRM input'!$L$137)*$L$7)/A29taxstdlife))</f>
        <v>0</v>
      </c>
      <c r="AP851" s="590">
        <f>IF(A29taxstdlife="n/a","n/a",IF(AP$3&gt;(A29taxstdlife+$E851),(('PTRM input'!$L$171+'PTRM input'!$L$137)*$L$7)-SUM($L851:AO851),(('PTRM input'!$L$171+'PTRM input'!$L$137)*$L$7)/A29taxstdlife))</f>
        <v>0</v>
      </c>
      <c r="AQ851" s="590">
        <f>IF(A29taxstdlife="n/a","n/a",IF(AQ$3&gt;(A29taxstdlife+$E851),(('PTRM input'!$L$171+'PTRM input'!$L$137)*$L$7)-SUM($L851:AP851),(('PTRM input'!$L$171+'PTRM input'!$L$137)*$L$7)/A29taxstdlife))</f>
        <v>0</v>
      </c>
      <c r="AR851" s="590">
        <f>IF(A29taxstdlife="n/a","n/a",IF(AR$3&gt;(A29taxstdlife+$E851),(('PTRM input'!$L$171+'PTRM input'!$L$137)*$L$7)-SUM($L851:AQ851),(('PTRM input'!$L$171+'PTRM input'!$L$137)*$L$7)/A29taxstdlife))</f>
        <v>0</v>
      </c>
      <c r="AS851" s="590">
        <f>IF(A29taxstdlife="n/a","n/a",IF(AS$3&gt;(A29taxstdlife+$E851),(('PTRM input'!$L$171+'PTRM input'!$L$137)*$L$7)-SUM($L851:AR851),(('PTRM input'!$L$171+'PTRM input'!$L$137)*$L$7)/A29taxstdlife))</f>
        <v>0</v>
      </c>
      <c r="AT851" s="590">
        <f>IF(A29taxstdlife="n/a","n/a",IF(AT$3&gt;(A29taxstdlife+$E851),(('PTRM input'!$L$171+'PTRM input'!$L$137)*$L$7)-SUM($L851:AS851),(('PTRM input'!$L$171+'PTRM input'!$L$137)*$L$7)/A29taxstdlife))</f>
        <v>0</v>
      </c>
      <c r="AU851" s="590">
        <f>IF(A29taxstdlife="n/a","n/a",IF(AU$3&gt;(A29taxstdlife+$E851),(('PTRM input'!$L$171+'PTRM input'!$L$137)*$L$7)-SUM($L851:AT851),(('PTRM input'!$L$171+'PTRM input'!$L$137)*$L$7)/A29taxstdlife))</f>
        <v>0</v>
      </c>
      <c r="AV851" s="590">
        <f>IF(A29taxstdlife="n/a","n/a",IF(AV$3&gt;(A29taxstdlife+$E851),(('PTRM input'!$L$171+'PTRM input'!$L$137)*$L$7)-SUM($L851:AU851),(('PTRM input'!$L$171+'PTRM input'!$L$137)*$L$7)/A29taxstdlife))</f>
        <v>0</v>
      </c>
      <c r="AW851" s="590">
        <f>IF(A29taxstdlife="n/a","n/a",IF(AW$3&gt;(A29taxstdlife+$E851),(('PTRM input'!$L$171+'PTRM input'!$L$137)*$L$7)-SUM($L851:AV851),(('PTRM input'!$L$171+'PTRM input'!$L$137)*$L$7)/A29taxstdlife))</f>
        <v>0</v>
      </c>
      <c r="AX851" s="590">
        <f>IF(A29taxstdlife="n/a","n/a",IF(AX$3&gt;(A29taxstdlife+$E851),(('PTRM input'!$L$171+'PTRM input'!$L$137)*$L$7)-SUM($L851:AW851),(('PTRM input'!$L$171+'PTRM input'!$L$137)*$L$7)/A29taxstdlife))</f>
        <v>0</v>
      </c>
      <c r="AY851" s="590">
        <f>IF(A29taxstdlife="n/a","n/a",IF(AY$3&gt;(A29taxstdlife+$E851),(('PTRM input'!$L$171+'PTRM input'!$L$137)*$L$7)-SUM($L851:AX851),(('PTRM input'!$L$171+'PTRM input'!$L$137)*$L$7)/A29taxstdlife))</f>
        <v>0</v>
      </c>
      <c r="AZ851" s="590">
        <f>IF(A29taxstdlife="n/a","n/a",IF(AZ$3&gt;(A29taxstdlife+$E851),(('PTRM input'!$L$171+'PTRM input'!$L$137)*$L$7)-SUM($L851:AY851),(('PTRM input'!$L$171+'PTRM input'!$L$137)*$L$7)/A29taxstdlife))</f>
        <v>0</v>
      </c>
      <c r="BA851" s="590">
        <f>IF(A29taxstdlife="n/a","n/a",IF(BA$3&gt;(A29taxstdlife+$E851),(('PTRM input'!$L$171+'PTRM input'!$L$137)*$L$7)-SUM($L851:AZ851),(('PTRM input'!$L$171+'PTRM input'!$L$137)*$L$7)/A29taxstdlife))</f>
        <v>0</v>
      </c>
      <c r="BB851" s="590">
        <f>IF(A29taxstdlife="n/a","n/a",IF(BB$3&gt;(A29taxstdlife+$E851),(('PTRM input'!$L$171+'PTRM input'!$L$137)*$L$7)-SUM($L851:BA851),(('PTRM input'!$L$171+'PTRM input'!$L$137)*$L$7)/A29taxstdlife))</f>
        <v>0</v>
      </c>
      <c r="BC851" s="590">
        <f>IF(A29taxstdlife="n/a","n/a",IF(BC$3&gt;(A29taxstdlife+$E851),(('PTRM input'!$L$171+'PTRM input'!$L$137)*$L$7)-SUM($L851:BB851),(('PTRM input'!$L$171+'PTRM input'!$L$137)*$L$7)/A29taxstdlife))</f>
        <v>0</v>
      </c>
      <c r="BD851" s="590">
        <f>IF(A29taxstdlife="n/a","n/a",IF(BD$3&gt;(A29taxstdlife+$E851),(('PTRM input'!$L$171+'PTRM input'!$L$137)*$L$7)-SUM($L851:BC851),(('PTRM input'!$L$171+'PTRM input'!$L$137)*$L$7)/A29taxstdlife))</f>
        <v>0</v>
      </c>
      <c r="BE851" s="590">
        <f>IF(A29taxstdlife="n/a","n/a",IF(BE$3&gt;(A29taxstdlife+$E851),(('PTRM input'!$L$171+'PTRM input'!$L$137)*$L$7)-SUM($L851:BD851),(('PTRM input'!$L$171+'PTRM input'!$L$137)*$L$7)/A29taxstdlife))</f>
        <v>0</v>
      </c>
      <c r="BF851" s="590">
        <f>IF(A29taxstdlife="n/a","n/a",IF(BF$3&gt;(A29taxstdlife+$E851),(('PTRM input'!$L$171+'PTRM input'!$L$137)*$L$7)-SUM($L851:BE851),(('PTRM input'!$L$171+'PTRM input'!$L$137)*$L$7)/A29taxstdlife))</f>
        <v>0</v>
      </c>
      <c r="BG851" s="590">
        <f>IF(A29taxstdlife="n/a","n/a",IF(BG$3&gt;(A29taxstdlife+$E851),(('PTRM input'!$L$171+'PTRM input'!$L$137)*$L$7)-SUM($L851:BF851),(('PTRM input'!$L$171+'PTRM input'!$L$137)*$L$7)/A29taxstdlife))</f>
        <v>0</v>
      </c>
      <c r="BH851" s="590">
        <f>IF(A29taxstdlife="n/a","n/a",IF(BH$3&gt;(A29taxstdlife+$E851),(('PTRM input'!$L$171+'PTRM input'!$L$137)*$L$7)-SUM($L851:BG851),(('PTRM input'!$L$171+'PTRM input'!$L$137)*$L$7)/A29taxstdlife))</f>
        <v>0</v>
      </c>
      <c r="BI851" s="590">
        <f>IF(A29taxstdlife="n/a","n/a",IF(BI$3&gt;(A29taxstdlife+$E851),(('PTRM input'!$L$171+'PTRM input'!$L$137)*$L$7)-SUM($L851:BH851),(('PTRM input'!$L$171+'PTRM input'!$L$137)*$L$7)/A29taxstdlife))</f>
        <v>0</v>
      </c>
      <c r="BJ851" s="240"/>
      <c r="BK851" s="240"/>
      <c r="BL851" s="240"/>
      <c r="BM851" s="240"/>
    </row>
    <row r="852" spans="1:65" s="4" customFormat="1" hidden="1" outlineLevel="2">
      <c r="A852" s="240"/>
      <c r="B852" s="240"/>
      <c r="C852" s="595"/>
      <c r="D852" s="1618"/>
      <c r="E852" s="169">
        <v>7</v>
      </c>
      <c r="F852" s="35"/>
      <c r="G852" s="184"/>
      <c r="H852" s="186"/>
      <c r="I852" s="186"/>
      <c r="J852" s="186"/>
      <c r="K852" s="186"/>
      <c r="L852" s="186"/>
      <c r="M852" s="185"/>
      <c r="N852" s="107">
        <f>IF(A29taxstdlife="n/a","n/a",IF(N$3&gt;(A29taxstdlife+$E852),(('PTRM input'!$M$171+'PTRM input'!$M$137)*$M$7)-SUM($M852:M852),(('PTRM input'!$M$171+'PTRM input'!$M$137)*$M$7)/A29taxstdlife))</f>
        <v>0</v>
      </c>
      <c r="O852" s="107">
        <f>IF(A29taxstdlife="n/a","n/a",IF(O$3&gt;(A29taxstdlife+$E852),(('PTRM input'!$M$171+'PTRM input'!$M$137)*$M$7)-SUM($M852:N852),(('PTRM input'!$M$171+'PTRM input'!$M$137)*$M$7)/A29taxstdlife))</f>
        <v>0</v>
      </c>
      <c r="P852" s="107">
        <f>IF(A29taxstdlife="n/a","n/a",IF(P$3&gt;(A29taxstdlife+$E852),(('PTRM input'!$M$171+'PTRM input'!$M$137)*$M$7)-SUM($M852:O852),(('PTRM input'!$M$171+'PTRM input'!$M$137)*$M$7)/A29taxstdlife))</f>
        <v>0</v>
      </c>
      <c r="Q852" s="590">
        <f>IF(A29taxstdlife="n/a","n/a",IF(Q$3&gt;(A29taxstdlife+$E852),(('PTRM input'!$M$171+'PTRM input'!$M$137)*$M$7)-SUM($M852:P852),(('PTRM input'!$M$171+'PTRM input'!$M$137)*$M$7)/A29taxstdlife))</f>
        <v>0</v>
      </c>
      <c r="R852" s="590">
        <f>IF(A29taxstdlife="n/a","n/a",IF(R$3&gt;(A29taxstdlife+$E852),(('PTRM input'!$M$171+'PTRM input'!$M$137)*$M$7)-SUM($M852:Q852),(('PTRM input'!$M$171+'PTRM input'!$M$137)*$M$7)/A29taxstdlife))</f>
        <v>0</v>
      </c>
      <c r="S852" s="590">
        <f>IF(A29taxstdlife="n/a","n/a",IF(S$3&gt;(A29taxstdlife+$E852),(('PTRM input'!$M$171+'PTRM input'!$M$137)*$M$7)-SUM($M852:R852),(('PTRM input'!$M$171+'PTRM input'!$M$137)*$M$7)/A29taxstdlife))</f>
        <v>0</v>
      </c>
      <c r="T852" s="590">
        <f>IF(A29taxstdlife="n/a","n/a",IF(T$3&gt;(A29taxstdlife+$E852),(('PTRM input'!$M$171+'PTRM input'!$M$137)*$M$7)-SUM($M852:S852),(('PTRM input'!$M$171+'PTRM input'!$M$137)*$M$7)/A29taxstdlife))</f>
        <v>0</v>
      </c>
      <c r="U852" s="590">
        <f>IF(A29taxstdlife="n/a","n/a",IF(U$3&gt;(A29taxstdlife+$E852),(('PTRM input'!$M$171+'PTRM input'!$M$137)*$M$7)-SUM($M852:T852),(('PTRM input'!$M$171+'PTRM input'!$M$137)*$M$7)/A29taxstdlife))</f>
        <v>0</v>
      </c>
      <c r="V852" s="590">
        <f>IF(A29taxstdlife="n/a","n/a",IF(V$3&gt;(A29taxstdlife+$E852),(('PTRM input'!$M$171+'PTRM input'!$M$137)*$M$7)-SUM($M852:U852),(('PTRM input'!$M$171+'PTRM input'!$M$137)*$M$7)/A29taxstdlife))</f>
        <v>0</v>
      </c>
      <c r="W852" s="590">
        <f>IF(A29taxstdlife="n/a","n/a",IF(W$3&gt;(A29taxstdlife+$E852),(('PTRM input'!$M$171+'PTRM input'!$M$137)*$M$7)-SUM($M852:V852),(('PTRM input'!$M$171+'PTRM input'!$M$137)*$M$7)/A29taxstdlife))</f>
        <v>0</v>
      </c>
      <c r="X852" s="590">
        <f>IF(A29taxstdlife="n/a","n/a",IF(X$3&gt;(A29taxstdlife+$E852),(('PTRM input'!$M$171+'PTRM input'!$M$137)*$M$7)-SUM($M852:W852),(('PTRM input'!$M$171+'PTRM input'!$M$137)*$M$7)/A29taxstdlife))</f>
        <v>0</v>
      </c>
      <c r="Y852" s="590">
        <f>IF(A29taxstdlife="n/a","n/a",IF(Y$3&gt;(A29taxstdlife+$E852),(('PTRM input'!$M$171+'PTRM input'!$M$137)*$M$7)-SUM($M852:X852),(('PTRM input'!$M$171+'PTRM input'!$M$137)*$M$7)/A29taxstdlife))</f>
        <v>0</v>
      </c>
      <c r="Z852" s="590">
        <f>IF(A29taxstdlife="n/a","n/a",IF(Z$3&gt;(A29taxstdlife+$E852),(('PTRM input'!$M$171+'PTRM input'!$M$137)*$M$7)-SUM($M852:Y852),(('PTRM input'!$M$171+'PTRM input'!$M$137)*$M$7)/A29taxstdlife))</f>
        <v>0</v>
      </c>
      <c r="AA852" s="590">
        <f>IF(A29taxstdlife="n/a","n/a",IF(AA$3&gt;(A29taxstdlife+$E852),(('PTRM input'!$M$171+'PTRM input'!$M$137)*$M$7)-SUM($M852:Z852),(('PTRM input'!$M$171+'PTRM input'!$M$137)*$M$7)/A29taxstdlife))</f>
        <v>0</v>
      </c>
      <c r="AB852" s="590">
        <f>IF(A29taxstdlife="n/a","n/a",IF(AB$3&gt;(A29taxstdlife+$E852),(('PTRM input'!$M$171+'PTRM input'!$M$137)*$M$7)-SUM($M852:AA852),(('PTRM input'!$M$171+'PTRM input'!$M$137)*$M$7)/A29taxstdlife))</f>
        <v>0</v>
      </c>
      <c r="AC852" s="590">
        <f>IF(A29taxstdlife="n/a","n/a",IF(AC$3&gt;(A29taxstdlife+$E852),(('PTRM input'!$M$171+'PTRM input'!$M$137)*$M$7)-SUM($M852:AB852),(('PTRM input'!$M$171+'PTRM input'!$M$137)*$M$7)/A29taxstdlife))</f>
        <v>0</v>
      </c>
      <c r="AD852" s="590">
        <f>IF(A29taxstdlife="n/a","n/a",IF(AD$3&gt;(A29taxstdlife+$E852),(('PTRM input'!$M$171+'PTRM input'!$M$137)*$M$7)-SUM($M852:AC852),(('PTRM input'!$M$171+'PTRM input'!$M$137)*$M$7)/A29taxstdlife))</f>
        <v>0</v>
      </c>
      <c r="AE852" s="590">
        <f>IF(A29taxstdlife="n/a","n/a",IF(AE$3&gt;(A29taxstdlife+$E852),(('PTRM input'!$M$171+'PTRM input'!$M$137)*$M$7)-SUM($M852:AD852),(('PTRM input'!$M$171+'PTRM input'!$M$137)*$M$7)/A29taxstdlife))</f>
        <v>0</v>
      </c>
      <c r="AF852" s="590">
        <f>IF(A29taxstdlife="n/a","n/a",IF(AF$3&gt;(A29taxstdlife+$E852),(('PTRM input'!$M$171+'PTRM input'!$M$137)*$M$7)-SUM($M852:AE852),(('PTRM input'!$M$171+'PTRM input'!$M$137)*$M$7)/A29taxstdlife))</f>
        <v>0</v>
      </c>
      <c r="AG852" s="590">
        <f>IF(A29taxstdlife="n/a","n/a",IF(AG$3&gt;(A29taxstdlife+$E852),(('PTRM input'!$M$171+'PTRM input'!$M$137)*$M$7)-SUM($M852:AF852),(('PTRM input'!$M$171+'PTRM input'!$M$137)*$M$7)/A29taxstdlife))</f>
        <v>0</v>
      </c>
      <c r="AH852" s="590">
        <f>IF(A29taxstdlife="n/a","n/a",IF(AH$3&gt;(A29taxstdlife+$E852),(('PTRM input'!$M$171+'PTRM input'!$M$137)*$M$7)-SUM($M852:AG852),(('PTRM input'!$M$171+'PTRM input'!$M$137)*$M$7)/A29taxstdlife))</f>
        <v>0</v>
      </c>
      <c r="AI852" s="590">
        <f>IF(A29taxstdlife="n/a","n/a",IF(AI$3&gt;(A29taxstdlife+$E852),(('PTRM input'!$M$171+'PTRM input'!$M$137)*$M$7)-SUM($M852:AH852),(('PTRM input'!$M$171+'PTRM input'!$M$137)*$M$7)/A29taxstdlife))</f>
        <v>0</v>
      </c>
      <c r="AJ852" s="590">
        <f>IF(A29taxstdlife="n/a","n/a",IF(AJ$3&gt;(A29taxstdlife+$E852),(('PTRM input'!$M$171+'PTRM input'!$M$137)*$M$7)-SUM($M852:AI852),(('PTRM input'!$M$171+'PTRM input'!$M$137)*$M$7)/A29taxstdlife))</f>
        <v>0</v>
      </c>
      <c r="AK852" s="590">
        <f>IF(A29taxstdlife="n/a","n/a",IF(AK$3&gt;(A29taxstdlife+$E852),(('PTRM input'!$M$171+'PTRM input'!$M$137)*$M$7)-SUM($M852:AJ852),(('PTRM input'!$M$171+'PTRM input'!$M$137)*$M$7)/A29taxstdlife))</f>
        <v>0</v>
      </c>
      <c r="AL852" s="590">
        <f>IF(A29taxstdlife="n/a","n/a",IF(AL$3&gt;(A29taxstdlife+$E852),(('PTRM input'!$M$171+'PTRM input'!$M$137)*$M$7)-SUM($M852:AK852),(('PTRM input'!$M$171+'PTRM input'!$M$137)*$M$7)/A29taxstdlife))</f>
        <v>0</v>
      </c>
      <c r="AM852" s="590">
        <f>IF(A29taxstdlife="n/a","n/a",IF(AM$3&gt;(A29taxstdlife+$E852),(('PTRM input'!$M$171+'PTRM input'!$M$137)*$M$7)-SUM($M852:AL852),(('PTRM input'!$M$171+'PTRM input'!$M$137)*$M$7)/A29taxstdlife))</f>
        <v>0</v>
      </c>
      <c r="AN852" s="590">
        <f>IF(A29taxstdlife="n/a","n/a",IF(AN$3&gt;(A29taxstdlife+$E852),(('PTRM input'!$M$171+'PTRM input'!$M$137)*$M$7)-SUM($M852:AM852),(('PTRM input'!$M$171+'PTRM input'!$M$137)*$M$7)/A29taxstdlife))</f>
        <v>0</v>
      </c>
      <c r="AO852" s="590">
        <f>IF(A29taxstdlife="n/a","n/a",IF(AO$3&gt;(A29taxstdlife+$E852),(('PTRM input'!$M$171+'PTRM input'!$M$137)*$M$7)-SUM($M852:AN852),(('PTRM input'!$M$171+'PTRM input'!$M$137)*$M$7)/A29taxstdlife))</f>
        <v>0</v>
      </c>
      <c r="AP852" s="590">
        <f>IF(A29taxstdlife="n/a","n/a",IF(AP$3&gt;(A29taxstdlife+$E852),(('PTRM input'!$M$171+'PTRM input'!$M$137)*$M$7)-SUM($M852:AO852),(('PTRM input'!$M$171+'PTRM input'!$M$137)*$M$7)/A29taxstdlife))</f>
        <v>0</v>
      </c>
      <c r="AQ852" s="590">
        <f>IF(A29taxstdlife="n/a","n/a",IF(AQ$3&gt;(A29taxstdlife+$E852),(('PTRM input'!$M$171+'PTRM input'!$M$137)*$M$7)-SUM($M852:AP852),(('PTRM input'!$M$171+'PTRM input'!$M$137)*$M$7)/A29taxstdlife))</f>
        <v>0</v>
      </c>
      <c r="AR852" s="590">
        <f>IF(A29taxstdlife="n/a","n/a",IF(AR$3&gt;(A29taxstdlife+$E852),(('PTRM input'!$M$171+'PTRM input'!$M$137)*$M$7)-SUM($M852:AQ852),(('PTRM input'!$M$171+'PTRM input'!$M$137)*$M$7)/A29taxstdlife))</f>
        <v>0</v>
      </c>
      <c r="AS852" s="590">
        <f>IF(A29taxstdlife="n/a","n/a",IF(AS$3&gt;(A29taxstdlife+$E852),(('PTRM input'!$M$171+'PTRM input'!$M$137)*$M$7)-SUM($M852:AR852),(('PTRM input'!$M$171+'PTRM input'!$M$137)*$M$7)/A29taxstdlife))</f>
        <v>0</v>
      </c>
      <c r="AT852" s="590">
        <f>IF(A29taxstdlife="n/a","n/a",IF(AT$3&gt;(A29taxstdlife+$E852),(('PTRM input'!$M$171+'PTRM input'!$M$137)*$M$7)-SUM($M852:AS852),(('PTRM input'!$M$171+'PTRM input'!$M$137)*$M$7)/A29taxstdlife))</f>
        <v>0</v>
      </c>
      <c r="AU852" s="590">
        <f>IF(A29taxstdlife="n/a","n/a",IF(AU$3&gt;(A29taxstdlife+$E852),(('PTRM input'!$M$171+'PTRM input'!$M$137)*$M$7)-SUM($M852:AT852),(('PTRM input'!$M$171+'PTRM input'!$M$137)*$M$7)/A29taxstdlife))</f>
        <v>0</v>
      </c>
      <c r="AV852" s="590">
        <f>IF(A29taxstdlife="n/a","n/a",IF(AV$3&gt;(A29taxstdlife+$E852),(('PTRM input'!$M$171+'PTRM input'!$M$137)*$M$7)-SUM($M852:AU852),(('PTRM input'!$M$171+'PTRM input'!$M$137)*$M$7)/A29taxstdlife))</f>
        <v>0</v>
      </c>
      <c r="AW852" s="590">
        <f>IF(A29taxstdlife="n/a","n/a",IF(AW$3&gt;(A29taxstdlife+$E852),(('PTRM input'!$M$171+'PTRM input'!$M$137)*$M$7)-SUM($M852:AV852),(('PTRM input'!$M$171+'PTRM input'!$M$137)*$M$7)/A29taxstdlife))</f>
        <v>0</v>
      </c>
      <c r="AX852" s="590">
        <f>IF(A29taxstdlife="n/a","n/a",IF(AX$3&gt;(A29taxstdlife+$E852),(('PTRM input'!$M$171+'PTRM input'!$M$137)*$M$7)-SUM($M852:AW852),(('PTRM input'!$M$171+'PTRM input'!$M$137)*$M$7)/A29taxstdlife))</f>
        <v>0</v>
      </c>
      <c r="AY852" s="590">
        <f>IF(A29taxstdlife="n/a","n/a",IF(AY$3&gt;(A29taxstdlife+$E852),(('PTRM input'!$M$171+'PTRM input'!$M$137)*$M$7)-SUM($M852:AX852),(('PTRM input'!$M$171+'PTRM input'!$M$137)*$M$7)/A29taxstdlife))</f>
        <v>0</v>
      </c>
      <c r="AZ852" s="590">
        <f>IF(A29taxstdlife="n/a","n/a",IF(AZ$3&gt;(A29taxstdlife+$E852),(('PTRM input'!$M$171+'PTRM input'!$M$137)*$M$7)-SUM($M852:AY852),(('PTRM input'!$M$171+'PTRM input'!$M$137)*$M$7)/A29taxstdlife))</f>
        <v>0</v>
      </c>
      <c r="BA852" s="590">
        <f>IF(A29taxstdlife="n/a","n/a",IF(BA$3&gt;(A29taxstdlife+$E852),(('PTRM input'!$M$171+'PTRM input'!$M$137)*$M$7)-SUM($M852:AZ852),(('PTRM input'!$M$171+'PTRM input'!$M$137)*$M$7)/A29taxstdlife))</f>
        <v>0</v>
      </c>
      <c r="BB852" s="590">
        <f>IF(A29taxstdlife="n/a","n/a",IF(BB$3&gt;(A29taxstdlife+$E852),(('PTRM input'!$M$171+'PTRM input'!$M$137)*$M$7)-SUM($M852:BA852),(('PTRM input'!$M$171+'PTRM input'!$M$137)*$M$7)/A29taxstdlife))</f>
        <v>0</v>
      </c>
      <c r="BC852" s="590">
        <f>IF(A29taxstdlife="n/a","n/a",IF(BC$3&gt;(A29taxstdlife+$E852),(('PTRM input'!$M$171+'PTRM input'!$M$137)*$M$7)-SUM($M852:BB852),(('PTRM input'!$M$171+'PTRM input'!$M$137)*$M$7)/A29taxstdlife))</f>
        <v>0</v>
      </c>
      <c r="BD852" s="590">
        <f>IF(A29taxstdlife="n/a","n/a",IF(BD$3&gt;(A29taxstdlife+$E852),(('PTRM input'!$M$171+'PTRM input'!$M$137)*$M$7)-SUM($M852:BC852),(('PTRM input'!$M$171+'PTRM input'!$M$137)*$M$7)/A29taxstdlife))</f>
        <v>0</v>
      </c>
      <c r="BE852" s="590">
        <f>IF(A29taxstdlife="n/a","n/a",IF(BE$3&gt;(A29taxstdlife+$E852),(('PTRM input'!$M$171+'PTRM input'!$M$137)*$M$7)-SUM($M852:BD852),(('PTRM input'!$M$171+'PTRM input'!$M$137)*$M$7)/A29taxstdlife))</f>
        <v>0</v>
      </c>
      <c r="BF852" s="590">
        <f>IF(A29taxstdlife="n/a","n/a",IF(BF$3&gt;(A29taxstdlife+$E852),(('PTRM input'!$M$171+'PTRM input'!$M$137)*$M$7)-SUM($M852:BE852),(('PTRM input'!$M$171+'PTRM input'!$M$137)*$M$7)/A29taxstdlife))</f>
        <v>0</v>
      </c>
      <c r="BG852" s="590">
        <f>IF(A29taxstdlife="n/a","n/a",IF(BG$3&gt;(A29taxstdlife+$E852),(('PTRM input'!$M$171+'PTRM input'!$M$137)*$M$7)-SUM($M852:BF852),(('PTRM input'!$M$171+'PTRM input'!$M$137)*$M$7)/A29taxstdlife))</f>
        <v>0</v>
      </c>
      <c r="BH852" s="590">
        <f>IF(A29taxstdlife="n/a","n/a",IF(BH$3&gt;(A29taxstdlife+$E852),(('PTRM input'!$M$171+'PTRM input'!$M$137)*$M$7)-SUM($M852:BG852),(('PTRM input'!$M$171+'PTRM input'!$M$137)*$M$7)/A29taxstdlife))</f>
        <v>0</v>
      </c>
      <c r="BI852" s="590">
        <f>IF(A29taxstdlife="n/a","n/a",IF(BI$3&gt;(A29taxstdlife+$E852),(('PTRM input'!$M$171+'PTRM input'!$M$137)*$M$7)-SUM($M852:BH852),(('PTRM input'!$M$171+'PTRM input'!$M$137)*$M$7)/A29taxstdlife))</f>
        <v>0</v>
      </c>
      <c r="BJ852" s="240"/>
      <c r="BK852" s="240"/>
      <c r="BL852" s="240"/>
      <c r="BM852" s="240"/>
    </row>
    <row r="853" spans="1:65" s="4" customFormat="1" hidden="1" outlineLevel="2">
      <c r="A853" s="240"/>
      <c r="B853" s="240"/>
      <c r="C853" s="595"/>
      <c r="D853" s="1618"/>
      <c r="E853" s="169">
        <v>8</v>
      </c>
      <c r="F853" s="35"/>
      <c r="G853" s="184"/>
      <c r="H853" s="186"/>
      <c r="I853" s="186"/>
      <c r="J853" s="186"/>
      <c r="K853" s="186"/>
      <c r="L853" s="186"/>
      <c r="M853" s="186"/>
      <c r="N853" s="185"/>
      <c r="O853" s="107">
        <f>IF(A29taxstdlife="n/a","n/a",IF(O$3&gt;(A29taxstdlife+$E853),(('PTRM input'!$N$171+'PTRM input'!$N$137)*$N$7)-SUM($N853:N853),(('PTRM input'!$N$171+'PTRM input'!$N$137)*$N$7)/A29taxstdlife))</f>
        <v>0</v>
      </c>
      <c r="P853" s="107">
        <f>IF(A29taxstdlife="n/a","n/a",IF(P$3&gt;(A29taxstdlife+$E853),(('PTRM input'!$N$171+'PTRM input'!$N$137)*$N$7)-SUM($N853:O853),(('PTRM input'!$N$171+'PTRM input'!$N$137)*$N$7)/A29taxstdlife))</f>
        <v>0</v>
      </c>
      <c r="Q853" s="590">
        <f>IF(A29taxstdlife="n/a","n/a",IF(Q$3&gt;(A29taxstdlife+$E853),(('PTRM input'!$N$171+'PTRM input'!$N$137)*$N$7)-SUM($N853:P853),(('PTRM input'!$N$171+'PTRM input'!$N$137)*$N$7)/A29taxstdlife))</f>
        <v>0</v>
      </c>
      <c r="R853" s="590">
        <f>IF(A29taxstdlife="n/a","n/a",IF(R$3&gt;(A29taxstdlife+$E853),(('PTRM input'!$N$171+'PTRM input'!$N$137)*$N$7)-SUM($N853:Q853),(('PTRM input'!$N$171+'PTRM input'!$N$137)*$N$7)/A29taxstdlife))</f>
        <v>0</v>
      </c>
      <c r="S853" s="590">
        <f>IF(A29taxstdlife="n/a","n/a",IF(S$3&gt;(A29taxstdlife+$E853),(('PTRM input'!$N$171+'PTRM input'!$N$137)*$N$7)-SUM($N853:R853),(('PTRM input'!$N$171+'PTRM input'!$N$137)*$N$7)/A29taxstdlife))</f>
        <v>0</v>
      </c>
      <c r="T853" s="590">
        <f>IF(A29taxstdlife="n/a","n/a",IF(T$3&gt;(A29taxstdlife+$E853),(('PTRM input'!$N$171+'PTRM input'!$N$137)*$N$7)-SUM($N853:S853),(('PTRM input'!$N$171+'PTRM input'!$N$137)*$N$7)/A29taxstdlife))</f>
        <v>0</v>
      </c>
      <c r="U853" s="590">
        <f>IF(A29taxstdlife="n/a","n/a",IF(U$3&gt;(A29taxstdlife+$E853),(('PTRM input'!$N$171+'PTRM input'!$N$137)*$N$7)-SUM($N853:T853),(('PTRM input'!$N$171+'PTRM input'!$N$137)*$N$7)/A29taxstdlife))</f>
        <v>0</v>
      </c>
      <c r="V853" s="590">
        <f>IF(A29taxstdlife="n/a","n/a",IF(V$3&gt;(A29taxstdlife+$E853),(('PTRM input'!$N$171+'PTRM input'!$N$137)*$N$7)-SUM($N853:U853),(('PTRM input'!$N$171+'PTRM input'!$N$137)*$N$7)/A29taxstdlife))</f>
        <v>0</v>
      </c>
      <c r="W853" s="590">
        <f>IF(A29taxstdlife="n/a","n/a",IF(W$3&gt;(A29taxstdlife+$E853),(('PTRM input'!$N$171+'PTRM input'!$N$137)*$N$7)-SUM($N853:V853),(('PTRM input'!$N$171+'PTRM input'!$N$137)*$N$7)/A29taxstdlife))</f>
        <v>0</v>
      </c>
      <c r="X853" s="590">
        <f>IF(A29taxstdlife="n/a","n/a",IF(X$3&gt;(A29taxstdlife+$E853),(('PTRM input'!$N$171+'PTRM input'!$N$137)*$N$7)-SUM($N853:W853),(('PTRM input'!$N$171+'PTRM input'!$N$137)*$N$7)/A29taxstdlife))</f>
        <v>0</v>
      </c>
      <c r="Y853" s="590">
        <f>IF(A29taxstdlife="n/a","n/a",IF(Y$3&gt;(A29taxstdlife+$E853),(('PTRM input'!$N$171+'PTRM input'!$N$137)*$N$7)-SUM($N853:X853),(('PTRM input'!$N$171+'PTRM input'!$N$137)*$N$7)/A29taxstdlife))</f>
        <v>0</v>
      </c>
      <c r="Z853" s="590">
        <f>IF(A29taxstdlife="n/a","n/a",IF(Z$3&gt;(A29taxstdlife+$E853),(('PTRM input'!$N$171+'PTRM input'!$N$137)*$N$7)-SUM($N853:Y853),(('PTRM input'!$N$171+'PTRM input'!$N$137)*$N$7)/A29taxstdlife))</f>
        <v>0</v>
      </c>
      <c r="AA853" s="590">
        <f>IF(A29taxstdlife="n/a","n/a",IF(AA$3&gt;(A29taxstdlife+$E853),(('PTRM input'!$N$171+'PTRM input'!$N$137)*$N$7)-SUM($N853:Z853),(('PTRM input'!$N$171+'PTRM input'!$N$137)*$N$7)/A29taxstdlife))</f>
        <v>0</v>
      </c>
      <c r="AB853" s="590">
        <f>IF(A29taxstdlife="n/a","n/a",IF(AB$3&gt;(A29taxstdlife+$E853),(('PTRM input'!$N$171+'PTRM input'!$N$137)*$N$7)-SUM($N853:AA853),(('PTRM input'!$N$171+'PTRM input'!$N$137)*$N$7)/A29taxstdlife))</f>
        <v>0</v>
      </c>
      <c r="AC853" s="590">
        <f>IF(A29taxstdlife="n/a","n/a",IF(AC$3&gt;(A29taxstdlife+$E853),(('PTRM input'!$N$171+'PTRM input'!$N$137)*$N$7)-SUM($N853:AB853),(('PTRM input'!$N$171+'PTRM input'!$N$137)*$N$7)/A29taxstdlife))</f>
        <v>0</v>
      </c>
      <c r="AD853" s="590">
        <f>IF(A29taxstdlife="n/a","n/a",IF(AD$3&gt;(A29taxstdlife+$E853),(('PTRM input'!$N$171+'PTRM input'!$N$137)*$N$7)-SUM($N853:AC853),(('PTRM input'!$N$171+'PTRM input'!$N$137)*$N$7)/A29taxstdlife))</f>
        <v>0</v>
      </c>
      <c r="AE853" s="590">
        <f>IF(A29taxstdlife="n/a","n/a",IF(AE$3&gt;(A29taxstdlife+$E853),(('PTRM input'!$N$171+'PTRM input'!$N$137)*$N$7)-SUM($N853:AD853),(('PTRM input'!$N$171+'PTRM input'!$N$137)*$N$7)/A29taxstdlife))</f>
        <v>0</v>
      </c>
      <c r="AF853" s="590">
        <f>IF(A29taxstdlife="n/a","n/a",IF(AF$3&gt;(A29taxstdlife+$E853),(('PTRM input'!$N$171+'PTRM input'!$N$137)*$N$7)-SUM($N853:AE853),(('PTRM input'!$N$171+'PTRM input'!$N$137)*$N$7)/A29taxstdlife))</f>
        <v>0</v>
      </c>
      <c r="AG853" s="590">
        <f>IF(A29taxstdlife="n/a","n/a",IF(AG$3&gt;(A29taxstdlife+$E853),(('PTRM input'!$N$171+'PTRM input'!$N$137)*$N$7)-SUM($N853:AF853),(('PTRM input'!$N$171+'PTRM input'!$N$137)*$N$7)/A29taxstdlife))</f>
        <v>0</v>
      </c>
      <c r="AH853" s="590">
        <f>IF(A29taxstdlife="n/a","n/a",IF(AH$3&gt;(A29taxstdlife+$E853),(('PTRM input'!$N$171+'PTRM input'!$N$137)*$N$7)-SUM($N853:AG853),(('PTRM input'!$N$171+'PTRM input'!$N$137)*$N$7)/A29taxstdlife))</f>
        <v>0</v>
      </c>
      <c r="AI853" s="590">
        <f>IF(A29taxstdlife="n/a","n/a",IF(AI$3&gt;(A29taxstdlife+$E853),(('PTRM input'!$N$171+'PTRM input'!$N$137)*$N$7)-SUM($N853:AH853),(('PTRM input'!$N$171+'PTRM input'!$N$137)*$N$7)/A29taxstdlife))</f>
        <v>0</v>
      </c>
      <c r="AJ853" s="590">
        <f>IF(A29taxstdlife="n/a","n/a",IF(AJ$3&gt;(A29taxstdlife+$E853),(('PTRM input'!$N$171+'PTRM input'!$N$137)*$N$7)-SUM($N853:AI853),(('PTRM input'!$N$171+'PTRM input'!$N$137)*$N$7)/A29taxstdlife))</f>
        <v>0</v>
      </c>
      <c r="AK853" s="590">
        <f>IF(A29taxstdlife="n/a","n/a",IF(AK$3&gt;(A29taxstdlife+$E853),(('PTRM input'!$N$171+'PTRM input'!$N$137)*$N$7)-SUM($N853:AJ853),(('PTRM input'!$N$171+'PTRM input'!$N$137)*$N$7)/A29taxstdlife))</f>
        <v>0</v>
      </c>
      <c r="AL853" s="590">
        <f>IF(A29taxstdlife="n/a","n/a",IF(AL$3&gt;(A29taxstdlife+$E853),(('PTRM input'!$N$171+'PTRM input'!$N$137)*$N$7)-SUM($N853:AK853),(('PTRM input'!$N$171+'PTRM input'!$N$137)*$N$7)/A29taxstdlife))</f>
        <v>0</v>
      </c>
      <c r="AM853" s="590">
        <f>IF(A29taxstdlife="n/a","n/a",IF(AM$3&gt;(A29taxstdlife+$E853),(('PTRM input'!$N$171+'PTRM input'!$N$137)*$N$7)-SUM($N853:AL853),(('PTRM input'!$N$171+'PTRM input'!$N$137)*$N$7)/A29taxstdlife))</f>
        <v>0</v>
      </c>
      <c r="AN853" s="590">
        <f>IF(A29taxstdlife="n/a","n/a",IF(AN$3&gt;(A29taxstdlife+$E853),(('PTRM input'!$N$171+'PTRM input'!$N$137)*$N$7)-SUM($N853:AM853),(('PTRM input'!$N$171+'PTRM input'!$N$137)*$N$7)/A29taxstdlife))</f>
        <v>0</v>
      </c>
      <c r="AO853" s="590">
        <f>IF(A29taxstdlife="n/a","n/a",IF(AO$3&gt;(A29taxstdlife+$E853),(('PTRM input'!$N$171+'PTRM input'!$N$137)*$N$7)-SUM($N853:AN853),(('PTRM input'!$N$171+'PTRM input'!$N$137)*$N$7)/A29taxstdlife))</f>
        <v>0</v>
      </c>
      <c r="AP853" s="590">
        <f>IF(A29taxstdlife="n/a","n/a",IF(AP$3&gt;(A29taxstdlife+$E853),(('PTRM input'!$N$171+'PTRM input'!$N$137)*$N$7)-SUM($N853:AO853),(('PTRM input'!$N$171+'PTRM input'!$N$137)*$N$7)/A29taxstdlife))</f>
        <v>0</v>
      </c>
      <c r="AQ853" s="590">
        <f>IF(A29taxstdlife="n/a","n/a",IF(AQ$3&gt;(A29taxstdlife+$E853),(('PTRM input'!$N$171+'PTRM input'!$N$137)*$N$7)-SUM($N853:AP853),(('PTRM input'!$N$171+'PTRM input'!$N$137)*$N$7)/A29taxstdlife))</f>
        <v>0</v>
      </c>
      <c r="AR853" s="590">
        <f>IF(A29taxstdlife="n/a","n/a",IF(AR$3&gt;(A29taxstdlife+$E853),(('PTRM input'!$N$171+'PTRM input'!$N$137)*$N$7)-SUM($N853:AQ853),(('PTRM input'!$N$171+'PTRM input'!$N$137)*$N$7)/A29taxstdlife))</f>
        <v>0</v>
      </c>
      <c r="AS853" s="590">
        <f>IF(A29taxstdlife="n/a","n/a",IF(AS$3&gt;(A29taxstdlife+$E853),(('PTRM input'!$N$171+'PTRM input'!$N$137)*$N$7)-SUM($N853:AR853),(('PTRM input'!$N$171+'PTRM input'!$N$137)*$N$7)/A29taxstdlife))</f>
        <v>0</v>
      </c>
      <c r="AT853" s="590">
        <f>IF(A29taxstdlife="n/a","n/a",IF(AT$3&gt;(A29taxstdlife+$E853),(('PTRM input'!$N$171+'PTRM input'!$N$137)*$N$7)-SUM($N853:AS853),(('PTRM input'!$N$171+'PTRM input'!$N$137)*$N$7)/A29taxstdlife))</f>
        <v>0</v>
      </c>
      <c r="AU853" s="590">
        <f>IF(A29taxstdlife="n/a","n/a",IF(AU$3&gt;(A29taxstdlife+$E853),(('PTRM input'!$N$171+'PTRM input'!$N$137)*$N$7)-SUM($N853:AT853),(('PTRM input'!$N$171+'PTRM input'!$N$137)*$N$7)/A29taxstdlife))</f>
        <v>0</v>
      </c>
      <c r="AV853" s="590">
        <f>IF(A29taxstdlife="n/a","n/a",IF(AV$3&gt;(A29taxstdlife+$E853),(('PTRM input'!$N$171+'PTRM input'!$N$137)*$N$7)-SUM($N853:AU853),(('PTRM input'!$N$171+'PTRM input'!$N$137)*$N$7)/A29taxstdlife))</f>
        <v>0</v>
      </c>
      <c r="AW853" s="590">
        <f>IF(A29taxstdlife="n/a","n/a",IF(AW$3&gt;(A29taxstdlife+$E853),(('PTRM input'!$N$171+'PTRM input'!$N$137)*$N$7)-SUM($N853:AV853),(('PTRM input'!$N$171+'PTRM input'!$N$137)*$N$7)/A29taxstdlife))</f>
        <v>0</v>
      </c>
      <c r="AX853" s="590">
        <f>IF(A29taxstdlife="n/a","n/a",IF(AX$3&gt;(A29taxstdlife+$E853),(('PTRM input'!$N$171+'PTRM input'!$N$137)*$N$7)-SUM($N853:AW853),(('PTRM input'!$N$171+'PTRM input'!$N$137)*$N$7)/A29taxstdlife))</f>
        <v>0</v>
      </c>
      <c r="AY853" s="590">
        <f>IF(A29taxstdlife="n/a","n/a",IF(AY$3&gt;(A29taxstdlife+$E853),(('PTRM input'!$N$171+'PTRM input'!$N$137)*$N$7)-SUM($N853:AX853),(('PTRM input'!$N$171+'PTRM input'!$N$137)*$N$7)/A29taxstdlife))</f>
        <v>0</v>
      </c>
      <c r="AZ853" s="590">
        <f>IF(A29taxstdlife="n/a","n/a",IF(AZ$3&gt;(A29taxstdlife+$E853),(('PTRM input'!$N$171+'PTRM input'!$N$137)*$N$7)-SUM($N853:AY853),(('PTRM input'!$N$171+'PTRM input'!$N$137)*$N$7)/A29taxstdlife))</f>
        <v>0</v>
      </c>
      <c r="BA853" s="590">
        <f>IF(A29taxstdlife="n/a","n/a",IF(BA$3&gt;(A29taxstdlife+$E853),(('PTRM input'!$N$171+'PTRM input'!$N$137)*$N$7)-SUM($N853:AZ853),(('PTRM input'!$N$171+'PTRM input'!$N$137)*$N$7)/A29taxstdlife))</f>
        <v>0</v>
      </c>
      <c r="BB853" s="590">
        <f>IF(A29taxstdlife="n/a","n/a",IF(BB$3&gt;(A29taxstdlife+$E853),(('PTRM input'!$N$171+'PTRM input'!$N$137)*$N$7)-SUM($N853:BA853),(('PTRM input'!$N$171+'PTRM input'!$N$137)*$N$7)/A29taxstdlife))</f>
        <v>0</v>
      </c>
      <c r="BC853" s="590">
        <f>IF(A29taxstdlife="n/a","n/a",IF(BC$3&gt;(A29taxstdlife+$E853),(('PTRM input'!$N$171+'PTRM input'!$N$137)*$N$7)-SUM($N853:BB853),(('PTRM input'!$N$171+'PTRM input'!$N$137)*$N$7)/A29taxstdlife))</f>
        <v>0</v>
      </c>
      <c r="BD853" s="590">
        <f>IF(A29taxstdlife="n/a","n/a",IF(BD$3&gt;(A29taxstdlife+$E853),(('PTRM input'!$N$171+'PTRM input'!$N$137)*$N$7)-SUM($N853:BC853),(('PTRM input'!$N$171+'PTRM input'!$N$137)*$N$7)/A29taxstdlife))</f>
        <v>0</v>
      </c>
      <c r="BE853" s="590">
        <f>IF(A29taxstdlife="n/a","n/a",IF(BE$3&gt;(A29taxstdlife+$E853),(('PTRM input'!$N$171+'PTRM input'!$N$137)*$N$7)-SUM($N853:BD853),(('PTRM input'!$N$171+'PTRM input'!$N$137)*$N$7)/A29taxstdlife))</f>
        <v>0</v>
      </c>
      <c r="BF853" s="590">
        <f>IF(A29taxstdlife="n/a","n/a",IF(BF$3&gt;(A29taxstdlife+$E853),(('PTRM input'!$N$171+'PTRM input'!$N$137)*$N$7)-SUM($N853:BE853),(('PTRM input'!$N$171+'PTRM input'!$N$137)*$N$7)/A29taxstdlife))</f>
        <v>0</v>
      </c>
      <c r="BG853" s="590">
        <f>IF(A29taxstdlife="n/a","n/a",IF(BG$3&gt;(A29taxstdlife+$E853),(('PTRM input'!$N$171+'PTRM input'!$N$137)*$N$7)-SUM($N853:BF853),(('PTRM input'!$N$171+'PTRM input'!$N$137)*$N$7)/A29taxstdlife))</f>
        <v>0</v>
      </c>
      <c r="BH853" s="590">
        <f>IF(A29taxstdlife="n/a","n/a",IF(BH$3&gt;(A29taxstdlife+$E853),(('PTRM input'!$N$171+'PTRM input'!$N$137)*$N$7)-SUM($N853:BG853),(('PTRM input'!$N$171+'PTRM input'!$N$137)*$N$7)/A29taxstdlife))</f>
        <v>0</v>
      </c>
      <c r="BI853" s="590">
        <f>IF(A29taxstdlife="n/a","n/a",IF(BI$3&gt;(A29taxstdlife+$E853),(('PTRM input'!$N$171+'PTRM input'!$N$137)*$N$7)-SUM($N853:BH853),(('PTRM input'!$N$171+'PTRM input'!$N$137)*$N$7)/A29taxstdlife))</f>
        <v>0</v>
      </c>
      <c r="BJ853" s="240"/>
      <c r="BK853" s="240"/>
      <c r="BL853" s="240"/>
      <c r="BM853" s="240"/>
    </row>
    <row r="854" spans="1:65" s="4" customFormat="1" hidden="1" outlineLevel="2">
      <c r="A854" s="240"/>
      <c r="B854" s="240"/>
      <c r="C854" s="595"/>
      <c r="D854" s="1618"/>
      <c r="E854" s="169">
        <v>9</v>
      </c>
      <c r="F854" s="35"/>
      <c r="G854" s="184"/>
      <c r="H854" s="186"/>
      <c r="I854" s="186"/>
      <c r="J854" s="186"/>
      <c r="K854" s="186"/>
      <c r="L854" s="186"/>
      <c r="M854" s="186"/>
      <c r="N854" s="186"/>
      <c r="O854" s="185"/>
      <c r="P854" s="107">
        <f>IF(A29taxstdlife="n/a","n/a",IF(P$3&gt;(A29taxstdlife+$E854),(('PTRM input'!$O$171+'PTRM input'!$O$137)*$O$7)-SUM($O854:O854),(('PTRM input'!$O$171+'PTRM input'!$O$137)*$O$7)/A29taxstdlife))</f>
        <v>0</v>
      </c>
      <c r="Q854" s="590">
        <f>IF(A29taxstdlife="n/a","n/a",IF(Q$3&gt;(A29taxstdlife+$E854),(('PTRM input'!$O$171+'PTRM input'!$O$137)*$O$7)-SUM($O854:P854),(('PTRM input'!$O$171+'PTRM input'!$O$137)*$O$7)/A29taxstdlife))</f>
        <v>0</v>
      </c>
      <c r="R854" s="590">
        <f>IF(A29taxstdlife="n/a","n/a",IF(R$3&gt;(A29taxstdlife+$E854),(('PTRM input'!$O$171+'PTRM input'!$O$137)*$O$7)-SUM($O854:Q854),(('PTRM input'!$O$171+'PTRM input'!$O$137)*$O$7)/A29taxstdlife))</f>
        <v>0</v>
      </c>
      <c r="S854" s="590">
        <f>IF(A29taxstdlife="n/a","n/a",IF(S$3&gt;(A29taxstdlife+$E854),(('PTRM input'!$O$171+'PTRM input'!$O$137)*$O$7)-SUM($O854:R854),(('PTRM input'!$O$171+'PTRM input'!$O$137)*$O$7)/A29taxstdlife))</f>
        <v>0</v>
      </c>
      <c r="T854" s="590">
        <f>IF(A29taxstdlife="n/a","n/a",IF(T$3&gt;(A29taxstdlife+$E854),(('PTRM input'!$O$171+'PTRM input'!$O$137)*$O$7)-SUM($O854:S854),(('PTRM input'!$O$171+'PTRM input'!$O$137)*$O$7)/A29taxstdlife))</f>
        <v>0</v>
      </c>
      <c r="U854" s="590">
        <f>IF(A29taxstdlife="n/a","n/a",IF(U$3&gt;(A29taxstdlife+$E854),(('PTRM input'!$O$171+'PTRM input'!$O$137)*$O$7)-SUM($O854:T854),(('PTRM input'!$O$171+'PTRM input'!$O$137)*$O$7)/A29taxstdlife))</f>
        <v>0</v>
      </c>
      <c r="V854" s="590">
        <f>IF(A29taxstdlife="n/a","n/a",IF(V$3&gt;(A29taxstdlife+$E854),(('PTRM input'!$O$171+'PTRM input'!$O$137)*$O$7)-SUM($O854:U854),(('PTRM input'!$O$171+'PTRM input'!$O$137)*$O$7)/A29taxstdlife))</f>
        <v>0</v>
      </c>
      <c r="W854" s="590">
        <f>IF(A29taxstdlife="n/a","n/a",IF(W$3&gt;(A29taxstdlife+$E854),(('PTRM input'!$O$171+'PTRM input'!$O$137)*$O$7)-SUM($O854:V854),(('PTRM input'!$O$171+'PTRM input'!$O$137)*$O$7)/A29taxstdlife))</f>
        <v>0</v>
      </c>
      <c r="X854" s="590">
        <f>IF(A29taxstdlife="n/a","n/a",IF(X$3&gt;(A29taxstdlife+$E854),(('PTRM input'!$O$171+'PTRM input'!$O$137)*$O$7)-SUM($O854:W854),(('PTRM input'!$O$171+'PTRM input'!$O$137)*$O$7)/A29taxstdlife))</f>
        <v>0</v>
      </c>
      <c r="Y854" s="590">
        <f>IF(A29taxstdlife="n/a","n/a",IF(Y$3&gt;(A29taxstdlife+$E854),(('PTRM input'!$O$171+'PTRM input'!$O$137)*$O$7)-SUM($O854:X854),(('PTRM input'!$O$171+'PTRM input'!$O$137)*$O$7)/A29taxstdlife))</f>
        <v>0</v>
      </c>
      <c r="Z854" s="590">
        <f>IF(A29taxstdlife="n/a","n/a",IF(Z$3&gt;(A29taxstdlife+$E854),(('PTRM input'!$O$171+'PTRM input'!$O$137)*$O$7)-SUM($O854:Y854),(('PTRM input'!$O$171+'PTRM input'!$O$137)*$O$7)/A29taxstdlife))</f>
        <v>0</v>
      </c>
      <c r="AA854" s="590">
        <f>IF(A29taxstdlife="n/a","n/a",IF(AA$3&gt;(A29taxstdlife+$E854),(('PTRM input'!$O$171+'PTRM input'!$O$137)*$O$7)-SUM($O854:Z854),(('PTRM input'!$O$171+'PTRM input'!$O$137)*$O$7)/A29taxstdlife))</f>
        <v>0</v>
      </c>
      <c r="AB854" s="590">
        <f>IF(A29taxstdlife="n/a","n/a",IF(AB$3&gt;(A29taxstdlife+$E854),(('PTRM input'!$O$171+'PTRM input'!$O$137)*$O$7)-SUM($O854:AA854),(('PTRM input'!$O$171+'PTRM input'!$O$137)*$O$7)/A29taxstdlife))</f>
        <v>0</v>
      </c>
      <c r="AC854" s="590">
        <f>IF(A29taxstdlife="n/a","n/a",IF(AC$3&gt;(A29taxstdlife+$E854),(('PTRM input'!$O$171+'PTRM input'!$O$137)*$O$7)-SUM($O854:AB854),(('PTRM input'!$O$171+'PTRM input'!$O$137)*$O$7)/A29taxstdlife))</f>
        <v>0</v>
      </c>
      <c r="AD854" s="590">
        <f>IF(A29taxstdlife="n/a","n/a",IF(AD$3&gt;(A29taxstdlife+$E854),(('PTRM input'!$O$171+'PTRM input'!$O$137)*$O$7)-SUM($O854:AC854),(('PTRM input'!$O$171+'PTRM input'!$O$137)*$O$7)/A29taxstdlife))</f>
        <v>0</v>
      </c>
      <c r="AE854" s="590">
        <f>IF(A29taxstdlife="n/a","n/a",IF(AE$3&gt;(A29taxstdlife+$E854),(('PTRM input'!$O$171+'PTRM input'!$O$137)*$O$7)-SUM($O854:AD854),(('PTRM input'!$O$171+'PTRM input'!$O$137)*$O$7)/A29taxstdlife))</f>
        <v>0</v>
      </c>
      <c r="AF854" s="590">
        <f>IF(A29taxstdlife="n/a","n/a",IF(AF$3&gt;(A29taxstdlife+$E854),(('PTRM input'!$O$171+'PTRM input'!$O$137)*$O$7)-SUM($O854:AE854),(('PTRM input'!$O$171+'PTRM input'!$O$137)*$O$7)/A29taxstdlife))</f>
        <v>0</v>
      </c>
      <c r="AG854" s="590">
        <f>IF(A29taxstdlife="n/a","n/a",IF(AG$3&gt;(A29taxstdlife+$E854),(('PTRM input'!$O$171+'PTRM input'!$O$137)*$O$7)-SUM($O854:AF854),(('PTRM input'!$O$171+'PTRM input'!$O$137)*$O$7)/A29taxstdlife))</f>
        <v>0</v>
      </c>
      <c r="AH854" s="590">
        <f>IF(A29taxstdlife="n/a","n/a",IF(AH$3&gt;(A29taxstdlife+$E854),(('PTRM input'!$O$171+'PTRM input'!$O$137)*$O$7)-SUM($O854:AG854),(('PTRM input'!$O$171+'PTRM input'!$O$137)*$O$7)/A29taxstdlife))</f>
        <v>0</v>
      </c>
      <c r="AI854" s="590">
        <f>IF(A29taxstdlife="n/a","n/a",IF(AI$3&gt;(A29taxstdlife+$E854),(('PTRM input'!$O$171+'PTRM input'!$O$137)*$O$7)-SUM($O854:AH854),(('PTRM input'!$O$171+'PTRM input'!$O$137)*$O$7)/A29taxstdlife))</f>
        <v>0</v>
      </c>
      <c r="AJ854" s="590">
        <f>IF(A29taxstdlife="n/a","n/a",IF(AJ$3&gt;(A29taxstdlife+$E854),(('PTRM input'!$O$171+'PTRM input'!$O$137)*$O$7)-SUM($O854:AI854),(('PTRM input'!$O$171+'PTRM input'!$O$137)*$O$7)/A29taxstdlife))</f>
        <v>0</v>
      </c>
      <c r="AK854" s="590">
        <f>IF(A29taxstdlife="n/a","n/a",IF(AK$3&gt;(A29taxstdlife+$E854),(('PTRM input'!$O$171+'PTRM input'!$O$137)*$O$7)-SUM($O854:AJ854),(('PTRM input'!$O$171+'PTRM input'!$O$137)*$O$7)/A29taxstdlife))</f>
        <v>0</v>
      </c>
      <c r="AL854" s="590">
        <f>IF(A29taxstdlife="n/a","n/a",IF(AL$3&gt;(A29taxstdlife+$E854),(('PTRM input'!$O$171+'PTRM input'!$O$137)*$O$7)-SUM($O854:AK854),(('PTRM input'!$O$171+'PTRM input'!$O$137)*$O$7)/A29taxstdlife))</f>
        <v>0</v>
      </c>
      <c r="AM854" s="590">
        <f>IF(A29taxstdlife="n/a","n/a",IF(AM$3&gt;(A29taxstdlife+$E854),(('PTRM input'!$O$171+'PTRM input'!$O$137)*$O$7)-SUM($O854:AL854),(('PTRM input'!$O$171+'PTRM input'!$O$137)*$O$7)/A29taxstdlife))</f>
        <v>0</v>
      </c>
      <c r="AN854" s="590">
        <f>IF(A29taxstdlife="n/a","n/a",IF(AN$3&gt;(A29taxstdlife+$E854),(('PTRM input'!$O$171+'PTRM input'!$O$137)*$O$7)-SUM($O854:AM854),(('PTRM input'!$O$171+'PTRM input'!$O$137)*$O$7)/A29taxstdlife))</f>
        <v>0</v>
      </c>
      <c r="AO854" s="590">
        <f>IF(A29taxstdlife="n/a","n/a",IF(AO$3&gt;(A29taxstdlife+$E854),(('PTRM input'!$O$171+'PTRM input'!$O$137)*$O$7)-SUM($O854:AN854),(('PTRM input'!$O$171+'PTRM input'!$O$137)*$O$7)/A29taxstdlife))</f>
        <v>0</v>
      </c>
      <c r="AP854" s="590">
        <f>IF(A29taxstdlife="n/a","n/a",IF(AP$3&gt;(A29taxstdlife+$E854),(('PTRM input'!$O$171+'PTRM input'!$O$137)*$O$7)-SUM($O854:AO854),(('PTRM input'!$O$171+'PTRM input'!$O$137)*$O$7)/A29taxstdlife))</f>
        <v>0</v>
      </c>
      <c r="AQ854" s="590">
        <f>IF(A29taxstdlife="n/a","n/a",IF(AQ$3&gt;(A29taxstdlife+$E854),(('PTRM input'!$O$171+'PTRM input'!$O$137)*$O$7)-SUM($O854:AP854),(('PTRM input'!$O$171+'PTRM input'!$O$137)*$O$7)/A29taxstdlife))</f>
        <v>0</v>
      </c>
      <c r="AR854" s="590">
        <f>IF(A29taxstdlife="n/a","n/a",IF(AR$3&gt;(A29taxstdlife+$E854),(('PTRM input'!$O$171+'PTRM input'!$O$137)*$O$7)-SUM($O854:AQ854),(('PTRM input'!$O$171+'PTRM input'!$O$137)*$O$7)/A29taxstdlife))</f>
        <v>0</v>
      </c>
      <c r="AS854" s="590">
        <f>IF(A29taxstdlife="n/a","n/a",IF(AS$3&gt;(A29taxstdlife+$E854),(('PTRM input'!$O$171+'PTRM input'!$O$137)*$O$7)-SUM($O854:AR854),(('PTRM input'!$O$171+'PTRM input'!$O$137)*$O$7)/A29taxstdlife))</f>
        <v>0</v>
      </c>
      <c r="AT854" s="590">
        <f>IF(A29taxstdlife="n/a","n/a",IF(AT$3&gt;(A29taxstdlife+$E854),(('PTRM input'!$O$171+'PTRM input'!$O$137)*$O$7)-SUM($O854:AS854),(('PTRM input'!$O$171+'PTRM input'!$O$137)*$O$7)/A29taxstdlife))</f>
        <v>0</v>
      </c>
      <c r="AU854" s="590">
        <f>IF(A29taxstdlife="n/a","n/a",IF(AU$3&gt;(A29taxstdlife+$E854),(('PTRM input'!$O$171+'PTRM input'!$O$137)*$O$7)-SUM($O854:AT854),(('PTRM input'!$O$171+'PTRM input'!$O$137)*$O$7)/A29taxstdlife))</f>
        <v>0</v>
      </c>
      <c r="AV854" s="590">
        <f>IF(A29taxstdlife="n/a","n/a",IF(AV$3&gt;(A29taxstdlife+$E854),(('PTRM input'!$O$171+'PTRM input'!$O$137)*$O$7)-SUM($O854:AU854),(('PTRM input'!$O$171+'PTRM input'!$O$137)*$O$7)/A29taxstdlife))</f>
        <v>0</v>
      </c>
      <c r="AW854" s="590">
        <f>IF(A29taxstdlife="n/a","n/a",IF(AW$3&gt;(A29taxstdlife+$E854),(('PTRM input'!$O$171+'PTRM input'!$O$137)*$O$7)-SUM($O854:AV854),(('PTRM input'!$O$171+'PTRM input'!$O$137)*$O$7)/A29taxstdlife))</f>
        <v>0</v>
      </c>
      <c r="AX854" s="590">
        <f>IF(A29taxstdlife="n/a","n/a",IF(AX$3&gt;(A29taxstdlife+$E854),(('PTRM input'!$O$171+'PTRM input'!$O$137)*$O$7)-SUM($O854:AW854),(('PTRM input'!$O$171+'PTRM input'!$O$137)*$O$7)/A29taxstdlife))</f>
        <v>0</v>
      </c>
      <c r="AY854" s="590">
        <f>IF(A29taxstdlife="n/a","n/a",IF(AY$3&gt;(A29taxstdlife+$E854),(('PTRM input'!$O$171+'PTRM input'!$O$137)*$O$7)-SUM($O854:AX854),(('PTRM input'!$O$171+'PTRM input'!$O$137)*$O$7)/A29taxstdlife))</f>
        <v>0</v>
      </c>
      <c r="AZ854" s="590">
        <f>IF(A29taxstdlife="n/a","n/a",IF(AZ$3&gt;(A29taxstdlife+$E854),(('PTRM input'!$O$171+'PTRM input'!$O$137)*$O$7)-SUM($O854:AY854),(('PTRM input'!$O$171+'PTRM input'!$O$137)*$O$7)/A29taxstdlife))</f>
        <v>0</v>
      </c>
      <c r="BA854" s="590">
        <f>IF(A29taxstdlife="n/a","n/a",IF(BA$3&gt;(A29taxstdlife+$E854),(('PTRM input'!$O$171+'PTRM input'!$O$137)*$O$7)-SUM($O854:AZ854),(('PTRM input'!$O$171+'PTRM input'!$O$137)*$O$7)/A29taxstdlife))</f>
        <v>0</v>
      </c>
      <c r="BB854" s="590">
        <f>IF(A29taxstdlife="n/a","n/a",IF(BB$3&gt;(A29taxstdlife+$E854),(('PTRM input'!$O$171+'PTRM input'!$O$137)*$O$7)-SUM($O854:BA854),(('PTRM input'!$O$171+'PTRM input'!$O$137)*$O$7)/A29taxstdlife))</f>
        <v>0</v>
      </c>
      <c r="BC854" s="590">
        <f>IF(A29taxstdlife="n/a","n/a",IF(BC$3&gt;(A29taxstdlife+$E854),(('PTRM input'!$O$171+'PTRM input'!$O$137)*$O$7)-SUM($O854:BB854),(('PTRM input'!$O$171+'PTRM input'!$O$137)*$O$7)/A29taxstdlife))</f>
        <v>0</v>
      </c>
      <c r="BD854" s="590">
        <f>IF(A29taxstdlife="n/a","n/a",IF(BD$3&gt;(A29taxstdlife+$E854),(('PTRM input'!$O$171+'PTRM input'!$O$137)*$O$7)-SUM($O854:BC854),(('PTRM input'!$O$171+'PTRM input'!$O$137)*$O$7)/A29taxstdlife))</f>
        <v>0</v>
      </c>
      <c r="BE854" s="590">
        <f>IF(A29taxstdlife="n/a","n/a",IF(BE$3&gt;(A29taxstdlife+$E854),(('PTRM input'!$O$171+'PTRM input'!$O$137)*$O$7)-SUM($O854:BD854),(('PTRM input'!$O$171+'PTRM input'!$O$137)*$O$7)/A29taxstdlife))</f>
        <v>0</v>
      </c>
      <c r="BF854" s="590">
        <f>IF(A29taxstdlife="n/a","n/a",IF(BF$3&gt;(A29taxstdlife+$E854),(('PTRM input'!$O$171+'PTRM input'!$O$137)*$O$7)-SUM($O854:BE854),(('PTRM input'!$O$171+'PTRM input'!$O$137)*$O$7)/A29taxstdlife))</f>
        <v>0</v>
      </c>
      <c r="BG854" s="590">
        <f>IF(A29taxstdlife="n/a","n/a",IF(BG$3&gt;(A29taxstdlife+$E854),(('PTRM input'!$O$171+'PTRM input'!$O$137)*$O$7)-SUM($O854:BF854),(('PTRM input'!$O$171+'PTRM input'!$O$137)*$O$7)/A29taxstdlife))</f>
        <v>0</v>
      </c>
      <c r="BH854" s="590">
        <f>IF(A29taxstdlife="n/a","n/a",IF(BH$3&gt;(A29taxstdlife+$E854),(('PTRM input'!$O$171+'PTRM input'!$O$137)*$O$7)-SUM($O854:BG854),(('PTRM input'!$O$171+'PTRM input'!$O$137)*$O$7)/A29taxstdlife))</f>
        <v>0</v>
      </c>
      <c r="BI854" s="590">
        <f>IF(A29taxstdlife="n/a","n/a",IF(BI$3&gt;(A29taxstdlife+$E854),(('PTRM input'!$O$171+'PTRM input'!$O$137)*$O$7)-SUM($O854:BH854),(('PTRM input'!$O$171+'PTRM input'!$O$137)*$O$7)/A29taxstdlife))</f>
        <v>0</v>
      </c>
      <c r="BJ854" s="240"/>
      <c r="BK854" s="240"/>
      <c r="BL854" s="240"/>
      <c r="BM854" s="240"/>
    </row>
    <row r="855" spans="1:65" s="4" customFormat="1" hidden="1" outlineLevel="2">
      <c r="A855" s="240"/>
      <c r="B855" s="240"/>
      <c r="C855" s="595"/>
      <c r="D855" s="1618"/>
      <c r="E855" s="170">
        <v>10</v>
      </c>
      <c r="F855" s="35"/>
      <c r="G855" s="184"/>
      <c r="H855" s="186"/>
      <c r="I855" s="186"/>
      <c r="J855" s="186"/>
      <c r="K855" s="186"/>
      <c r="L855" s="186"/>
      <c r="M855" s="186"/>
      <c r="N855" s="186"/>
      <c r="O855" s="186"/>
      <c r="P855" s="185"/>
      <c r="Q855" s="590">
        <f>IF(A29taxstdlife="n/a","n/a",IF(Q$3&gt;(A29taxstdlife+$E855),(('PTRM input'!$P$171+'PTRM input'!$P$137)*$P$7)-SUM($P855:P855),(('PTRM input'!$P$171+'PTRM input'!$P$137)*$P$7)/A29taxstdlife))</f>
        <v>0</v>
      </c>
      <c r="R855" s="590">
        <f>IF(A29taxstdlife="n/a","n/a",IF(R$3&gt;(A29taxstdlife+$E855),(('PTRM input'!$P$171+'PTRM input'!$P$137)*$P$7)-SUM($P855:Q855),(('PTRM input'!$P$171+'PTRM input'!$P$137)*$P$7)/A29taxstdlife))</f>
        <v>0</v>
      </c>
      <c r="S855" s="590">
        <f>IF(A29taxstdlife="n/a","n/a",IF(S$3&gt;(A29taxstdlife+$E855),(('PTRM input'!$P$171+'PTRM input'!$P$137)*$P$7)-SUM($P855:R855),(('PTRM input'!$P$171+'PTRM input'!$P$137)*$P$7)/A29taxstdlife))</f>
        <v>0</v>
      </c>
      <c r="T855" s="590">
        <f>IF(A29taxstdlife="n/a","n/a",IF(T$3&gt;(A29taxstdlife+$E855),(('PTRM input'!$P$171+'PTRM input'!$P$137)*$P$7)-SUM($P855:S855),(('PTRM input'!$P$171+'PTRM input'!$P$137)*$P$7)/A29taxstdlife))</f>
        <v>0</v>
      </c>
      <c r="U855" s="590">
        <f>IF(A29taxstdlife="n/a","n/a",IF(U$3&gt;(A29taxstdlife+$E855),(('PTRM input'!$P$171+'PTRM input'!$P$137)*$P$7)-SUM($P855:T855),(('PTRM input'!$P$171+'PTRM input'!$P$137)*$P$7)/A29taxstdlife))</f>
        <v>0</v>
      </c>
      <c r="V855" s="590">
        <f>IF(A29taxstdlife="n/a","n/a",IF(V$3&gt;(A29taxstdlife+$E855),(('PTRM input'!$P$171+'PTRM input'!$P$137)*$P$7)-SUM($P855:U855),(('PTRM input'!$P$171+'PTRM input'!$P$137)*$P$7)/A29taxstdlife))</f>
        <v>0</v>
      </c>
      <c r="W855" s="590">
        <f>IF(A29taxstdlife="n/a","n/a",IF(W$3&gt;(A29taxstdlife+$E855),(('PTRM input'!$P$171+'PTRM input'!$P$137)*$P$7)-SUM($P855:V855),(('PTRM input'!$P$171+'PTRM input'!$P$137)*$P$7)/A29taxstdlife))</f>
        <v>0</v>
      </c>
      <c r="X855" s="590">
        <f>IF(A29taxstdlife="n/a","n/a",IF(X$3&gt;(A29taxstdlife+$E855),(('PTRM input'!$P$171+'PTRM input'!$P$137)*$P$7)-SUM($P855:W855),(('PTRM input'!$P$171+'PTRM input'!$P$137)*$P$7)/A29taxstdlife))</f>
        <v>0</v>
      </c>
      <c r="Y855" s="590">
        <f>IF(A29taxstdlife="n/a","n/a",IF(Y$3&gt;(A29taxstdlife+$E855),(('PTRM input'!$P$171+'PTRM input'!$P$137)*$P$7)-SUM($P855:X855),(('PTRM input'!$P$171+'PTRM input'!$P$137)*$P$7)/A29taxstdlife))</f>
        <v>0</v>
      </c>
      <c r="Z855" s="590">
        <f>IF(A29taxstdlife="n/a","n/a",IF(Z$3&gt;(A29taxstdlife+$E855),(('PTRM input'!$P$171+'PTRM input'!$P$137)*$P$7)-SUM($P855:Y855),(('PTRM input'!$P$171+'PTRM input'!$P$137)*$P$7)/A29taxstdlife))</f>
        <v>0</v>
      </c>
      <c r="AA855" s="590">
        <f>IF(A29taxstdlife="n/a","n/a",IF(AA$3&gt;(A29taxstdlife+$E855),(('PTRM input'!$P$171+'PTRM input'!$P$137)*$P$7)-SUM($P855:Z855),(('PTRM input'!$P$171+'PTRM input'!$P$137)*$P$7)/A29taxstdlife))</f>
        <v>0</v>
      </c>
      <c r="AB855" s="590">
        <f>IF(A29taxstdlife="n/a","n/a",IF(AB$3&gt;(A29taxstdlife+$E855),(('PTRM input'!$P$171+'PTRM input'!$P$137)*$P$7)-SUM($P855:AA855),(('PTRM input'!$P$171+'PTRM input'!$P$137)*$P$7)/A29taxstdlife))</f>
        <v>0</v>
      </c>
      <c r="AC855" s="590">
        <f>IF(A29taxstdlife="n/a","n/a",IF(AC$3&gt;(A29taxstdlife+$E855),(('PTRM input'!$P$171+'PTRM input'!$P$137)*$P$7)-SUM($P855:AB855),(('PTRM input'!$P$171+'PTRM input'!$P$137)*$P$7)/A29taxstdlife))</f>
        <v>0</v>
      </c>
      <c r="AD855" s="590">
        <f>IF(A29taxstdlife="n/a","n/a",IF(AD$3&gt;(A29taxstdlife+$E855),(('PTRM input'!$P$171+'PTRM input'!$P$137)*$P$7)-SUM($P855:AC855),(('PTRM input'!$P$171+'PTRM input'!$P$137)*$P$7)/A29taxstdlife))</f>
        <v>0</v>
      </c>
      <c r="AE855" s="590">
        <f>IF(A29taxstdlife="n/a","n/a",IF(AE$3&gt;(A29taxstdlife+$E855),(('PTRM input'!$P$171+'PTRM input'!$P$137)*$P$7)-SUM($P855:AD855),(('PTRM input'!$P$171+'PTRM input'!$P$137)*$P$7)/A29taxstdlife))</f>
        <v>0</v>
      </c>
      <c r="AF855" s="590">
        <f>IF(A29taxstdlife="n/a","n/a",IF(AF$3&gt;(A29taxstdlife+$E855),(('PTRM input'!$P$171+'PTRM input'!$P$137)*$P$7)-SUM($P855:AE855),(('PTRM input'!$P$171+'PTRM input'!$P$137)*$P$7)/A29taxstdlife))</f>
        <v>0</v>
      </c>
      <c r="AG855" s="590">
        <f>IF(A29taxstdlife="n/a","n/a",IF(AG$3&gt;(A29taxstdlife+$E855),(('PTRM input'!$P$171+'PTRM input'!$P$137)*$P$7)-SUM($P855:AF855),(('PTRM input'!$P$171+'PTRM input'!$P$137)*$P$7)/A29taxstdlife))</f>
        <v>0</v>
      </c>
      <c r="AH855" s="590">
        <f>IF(A29taxstdlife="n/a","n/a",IF(AH$3&gt;(A29taxstdlife+$E855),(('PTRM input'!$P$171+'PTRM input'!$P$137)*$P$7)-SUM($P855:AG855),(('PTRM input'!$P$171+'PTRM input'!$P$137)*$P$7)/A29taxstdlife))</f>
        <v>0</v>
      </c>
      <c r="AI855" s="590">
        <f>IF(A29taxstdlife="n/a","n/a",IF(AI$3&gt;(A29taxstdlife+$E855),(('PTRM input'!$P$171+'PTRM input'!$P$137)*$P$7)-SUM($P855:AH855),(('PTRM input'!$P$171+'PTRM input'!$P$137)*$P$7)/A29taxstdlife))</f>
        <v>0</v>
      </c>
      <c r="AJ855" s="590">
        <f>IF(A29taxstdlife="n/a","n/a",IF(AJ$3&gt;(A29taxstdlife+$E855),(('PTRM input'!$P$171+'PTRM input'!$P$137)*$P$7)-SUM($P855:AI855),(('PTRM input'!$P$171+'PTRM input'!$P$137)*$P$7)/A29taxstdlife))</f>
        <v>0</v>
      </c>
      <c r="AK855" s="590">
        <f>IF(A29taxstdlife="n/a","n/a",IF(AK$3&gt;(A29taxstdlife+$E855),(('PTRM input'!$P$171+'PTRM input'!$P$137)*$P$7)-SUM($P855:AJ855),(('PTRM input'!$P$171+'PTRM input'!$P$137)*$P$7)/A29taxstdlife))</f>
        <v>0</v>
      </c>
      <c r="AL855" s="590">
        <f>IF(A29taxstdlife="n/a","n/a",IF(AL$3&gt;(A29taxstdlife+$E855),(('PTRM input'!$P$171+'PTRM input'!$P$137)*$P$7)-SUM($P855:AK855),(('PTRM input'!$P$171+'PTRM input'!$P$137)*$P$7)/A29taxstdlife))</f>
        <v>0</v>
      </c>
      <c r="AM855" s="590">
        <f>IF(A29taxstdlife="n/a","n/a",IF(AM$3&gt;(A29taxstdlife+$E855),(('PTRM input'!$P$171+'PTRM input'!$P$137)*$P$7)-SUM($P855:AL855),(('PTRM input'!$P$171+'PTRM input'!$P$137)*$P$7)/A29taxstdlife))</f>
        <v>0</v>
      </c>
      <c r="AN855" s="590">
        <f>IF(A29taxstdlife="n/a","n/a",IF(AN$3&gt;(A29taxstdlife+$E855),(('PTRM input'!$P$171+'PTRM input'!$P$137)*$P$7)-SUM($P855:AM855),(('PTRM input'!$P$171+'PTRM input'!$P$137)*$P$7)/A29taxstdlife))</f>
        <v>0</v>
      </c>
      <c r="AO855" s="590">
        <f>IF(A29taxstdlife="n/a","n/a",IF(AO$3&gt;(A29taxstdlife+$E855),(('PTRM input'!$P$171+'PTRM input'!$P$137)*$P$7)-SUM($P855:AN855),(('PTRM input'!$P$171+'PTRM input'!$P$137)*$P$7)/A29taxstdlife))</f>
        <v>0</v>
      </c>
      <c r="AP855" s="590">
        <f>IF(A29taxstdlife="n/a","n/a",IF(AP$3&gt;(A29taxstdlife+$E855),(('PTRM input'!$P$171+'PTRM input'!$P$137)*$P$7)-SUM($P855:AO855),(('PTRM input'!$P$171+'PTRM input'!$P$137)*$P$7)/A29taxstdlife))</f>
        <v>0</v>
      </c>
      <c r="AQ855" s="590">
        <f>IF(A29taxstdlife="n/a","n/a",IF(AQ$3&gt;(A29taxstdlife+$E855),(('PTRM input'!$P$171+'PTRM input'!$P$137)*$P$7)-SUM($P855:AP855),(('PTRM input'!$P$171+'PTRM input'!$P$137)*$P$7)/A29taxstdlife))</f>
        <v>0</v>
      </c>
      <c r="AR855" s="590">
        <f>IF(A29taxstdlife="n/a","n/a",IF(AR$3&gt;(A29taxstdlife+$E855),(('PTRM input'!$P$171+'PTRM input'!$P$137)*$P$7)-SUM($P855:AQ855),(('PTRM input'!$P$171+'PTRM input'!$P$137)*$P$7)/A29taxstdlife))</f>
        <v>0</v>
      </c>
      <c r="AS855" s="590">
        <f>IF(A29taxstdlife="n/a","n/a",IF(AS$3&gt;(A29taxstdlife+$E855),(('PTRM input'!$P$171+'PTRM input'!$P$137)*$P$7)-SUM($P855:AR855),(('PTRM input'!$P$171+'PTRM input'!$P$137)*$P$7)/A29taxstdlife))</f>
        <v>0</v>
      </c>
      <c r="AT855" s="590">
        <f>IF(A29taxstdlife="n/a","n/a",IF(AT$3&gt;(A29taxstdlife+$E855),(('PTRM input'!$P$171+'PTRM input'!$P$137)*$P$7)-SUM($P855:AS855),(('PTRM input'!$P$171+'PTRM input'!$P$137)*$P$7)/A29taxstdlife))</f>
        <v>0</v>
      </c>
      <c r="AU855" s="590">
        <f>IF(A29taxstdlife="n/a","n/a",IF(AU$3&gt;(A29taxstdlife+$E855),(('PTRM input'!$P$171+'PTRM input'!$P$137)*$P$7)-SUM($P855:AT855),(('PTRM input'!$P$171+'PTRM input'!$P$137)*$P$7)/A29taxstdlife))</f>
        <v>0</v>
      </c>
      <c r="AV855" s="590">
        <f>IF(A29taxstdlife="n/a","n/a",IF(AV$3&gt;(A29taxstdlife+$E855),(('PTRM input'!$P$171+'PTRM input'!$P$137)*$P$7)-SUM($P855:AU855),(('PTRM input'!$P$171+'PTRM input'!$P$137)*$P$7)/A29taxstdlife))</f>
        <v>0</v>
      </c>
      <c r="AW855" s="590">
        <f>IF(A29taxstdlife="n/a","n/a",IF(AW$3&gt;(A29taxstdlife+$E855),(('PTRM input'!$P$171+'PTRM input'!$P$137)*$P$7)-SUM($P855:AV855),(('PTRM input'!$P$171+'PTRM input'!$P$137)*$P$7)/A29taxstdlife))</f>
        <v>0</v>
      </c>
      <c r="AX855" s="590">
        <f>IF(A29taxstdlife="n/a","n/a",IF(AX$3&gt;(A29taxstdlife+$E855),(('PTRM input'!$P$171+'PTRM input'!$P$137)*$P$7)-SUM($P855:AW855),(('PTRM input'!$P$171+'PTRM input'!$P$137)*$P$7)/A29taxstdlife))</f>
        <v>0</v>
      </c>
      <c r="AY855" s="590">
        <f>IF(A29taxstdlife="n/a","n/a",IF(AY$3&gt;(A29taxstdlife+$E855),(('PTRM input'!$P$171+'PTRM input'!$P$137)*$P$7)-SUM($P855:AX855),(('PTRM input'!$P$171+'PTRM input'!$P$137)*$P$7)/A29taxstdlife))</f>
        <v>0</v>
      </c>
      <c r="AZ855" s="590">
        <f>IF(A29taxstdlife="n/a","n/a",IF(AZ$3&gt;(A29taxstdlife+$E855),(('PTRM input'!$P$171+'PTRM input'!$P$137)*$P$7)-SUM($P855:AY855),(('PTRM input'!$P$171+'PTRM input'!$P$137)*$P$7)/A29taxstdlife))</f>
        <v>0</v>
      </c>
      <c r="BA855" s="590">
        <f>IF(A29taxstdlife="n/a","n/a",IF(BA$3&gt;(A29taxstdlife+$E855),(('PTRM input'!$P$171+'PTRM input'!$P$137)*$P$7)-SUM($P855:AZ855),(('PTRM input'!$P$171+'PTRM input'!$P$137)*$P$7)/A29taxstdlife))</f>
        <v>0</v>
      </c>
      <c r="BB855" s="590">
        <f>IF(A29taxstdlife="n/a","n/a",IF(BB$3&gt;(A29taxstdlife+$E855),(('PTRM input'!$P$171+'PTRM input'!$P$137)*$P$7)-SUM($P855:BA855),(('PTRM input'!$P$171+'PTRM input'!$P$137)*$P$7)/A29taxstdlife))</f>
        <v>0</v>
      </c>
      <c r="BC855" s="590">
        <f>IF(A29taxstdlife="n/a","n/a",IF(BC$3&gt;(A29taxstdlife+$E855),(('PTRM input'!$P$171+'PTRM input'!$P$137)*$P$7)-SUM($P855:BB855),(('PTRM input'!$P$171+'PTRM input'!$P$137)*$P$7)/A29taxstdlife))</f>
        <v>0</v>
      </c>
      <c r="BD855" s="590">
        <f>IF(A29taxstdlife="n/a","n/a",IF(BD$3&gt;(A29taxstdlife+$E855),(('PTRM input'!$P$171+'PTRM input'!$P$137)*$P$7)-SUM($P855:BC855),(('PTRM input'!$P$171+'PTRM input'!$P$137)*$P$7)/A29taxstdlife))</f>
        <v>0</v>
      </c>
      <c r="BE855" s="590">
        <f>IF(A29taxstdlife="n/a","n/a",IF(BE$3&gt;(A29taxstdlife+$E855),(('PTRM input'!$P$171+'PTRM input'!$P$137)*$P$7)-SUM($P855:BD855),(('PTRM input'!$P$171+'PTRM input'!$P$137)*$P$7)/A29taxstdlife))</f>
        <v>0</v>
      </c>
      <c r="BF855" s="590">
        <f>IF(A29taxstdlife="n/a","n/a",IF(BF$3&gt;(A29taxstdlife+$E855),(('PTRM input'!$P$171+'PTRM input'!$P$137)*$P$7)-SUM($P855:BE855),(('PTRM input'!$P$171+'PTRM input'!$P$137)*$P$7)/A29taxstdlife))</f>
        <v>0</v>
      </c>
      <c r="BG855" s="590">
        <f>IF(A29taxstdlife="n/a","n/a",IF(BG$3&gt;(A29taxstdlife+$E855),(('PTRM input'!$P$171+'PTRM input'!$P$137)*$P$7)-SUM($P855:BF855),(('PTRM input'!$P$171+'PTRM input'!$P$137)*$P$7)/A29taxstdlife))</f>
        <v>0</v>
      </c>
      <c r="BH855" s="590">
        <f>IF(A29taxstdlife="n/a","n/a",IF(BH$3&gt;(A29taxstdlife+$E855),(('PTRM input'!$P$171+'PTRM input'!$P$137)*$P$7)-SUM($P855:BG855),(('PTRM input'!$P$171+'PTRM input'!$P$137)*$P$7)/A29taxstdlife))</f>
        <v>0</v>
      </c>
      <c r="BI855" s="590">
        <f>IF(A29taxstdlife="n/a","n/a",IF(BI$3&gt;(A29taxstdlife+$E855),(('PTRM input'!$P$171+'PTRM input'!$P$137)*$P$7)-SUM($P855:BH855),(('PTRM input'!$P$171+'PTRM input'!$P$137)*$P$7)/A29taxstdlife))</f>
        <v>0</v>
      </c>
      <c r="BJ855" s="240"/>
      <c r="BK855" s="240"/>
      <c r="BL855" s="240"/>
      <c r="BM855" s="240"/>
    </row>
    <row r="856" spans="1:65" s="4" customFormat="1" hidden="1" outlineLevel="1">
      <c r="A856" s="240"/>
      <c r="B856" s="240"/>
      <c r="C856" s="595">
        <f>Asset29</f>
        <v>0</v>
      </c>
      <c r="D856" s="240"/>
      <c r="E856" s="240"/>
      <c r="F856" s="596"/>
      <c r="G856" s="591">
        <f t="shared" ref="G856:AL856" si="162">SUM(G844:G855)</f>
        <v>0</v>
      </c>
      <c r="H856" s="591">
        <f t="shared" si="162"/>
        <v>0</v>
      </c>
      <c r="I856" s="591">
        <f t="shared" si="162"/>
        <v>0</v>
      </c>
      <c r="J856" s="591">
        <f t="shared" si="162"/>
        <v>0</v>
      </c>
      <c r="K856" s="591">
        <f t="shared" si="162"/>
        <v>0</v>
      </c>
      <c r="L856" s="591">
        <f t="shared" si="162"/>
        <v>0</v>
      </c>
      <c r="M856" s="591">
        <f t="shared" si="162"/>
        <v>0</v>
      </c>
      <c r="N856" s="591">
        <f t="shared" si="162"/>
        <v>0</v>
      </c>
      <c r="O856" s="591">
        <f t="shared" si="162"/>
        <v>0</v>
      </c>
      <c r="P856" s="591">
        <f t="shared" si="162"/>
        <v>0</v>
      </c>
      <c r="Q856" s="591">
        <f t="shared" si="162"/>
        <v>0</v>
      </c>
      <c r="R856" s="591">
        <f t="shared" si="162"/>
        <v>0</v>
      </c>
      <c r="S856" s="591">
        <f t="shared" si="162"/>
        <v>0</v>
      </c>
      <c r="T856" s="591">
        <f t="shared" si="162"/>
        <v>0</v>
      </c>
      <c r="U856" s="591">
        <f t="shared" si="162"/>
        <v>0</v>
      </c>
      <c r="V856" s="591">
        <f t="shared" si="162"/>
        <v>0</v>
      </c>
      <c r="W856" s="591">
        <f t="shared" si="162"/>
        <v>0</v>
      </c>
      <c r="X856" s="591">
        <f t="shared" si="162"/>
        <v>0</v>
      </c>
      <c r="Y856" s="591">
        <f t="shared" si="162"/>
        <v>0</v>
      </c>
      <c r="Z856" s="591">
        <f t="shared" si="162"/>
        <v>0</v>
      </c>
      <c r="AA856" s="591">
        <f t="shared" si="162"/>
        <v>0</v>
      </c>
      <c r="AB856" s="591">
        <f t="shared" si="162"/>
        <v>0</v>
      </c>
      <c r="AC856" s="591">
        <f t="shared" si="162"/>
        <v>0</v>
      </c>
      <c r="AD856" s="591">
        <f t="shared" si="162"/>
        <v>0</v>
      </c>
      <c r="AE856" s="591">
        <f t="shared" si="162"/>
        <v>0</v>
      </c>
      <c r="AF856" s="591">
        <f t="shared" si="162"/>
        <v>0</v>
      </c>
      <c r="AG856" s="591">
        <f t="shared" si="162"/>
        <v>0</v>
      </c>
      <c r="AH856" s="591">
        <f t="shared" si="162"/>
        <v>0</v>
      </c>
      <c r="AI856" s="591">
        <f t="shared" si="162"/>
        <v>0</v>
      </c>
      <c r="AJ856" s="591">
        <f t="shared" si="162"/>
        <v>0</v>
      </c>
      <c r="AK856" s="591">
        <f t="shared" si="162"/>
        <v>0</v>
      </c>
      <c r="AL856" s="591">
        <f t="shared" si="162"/>
        <v>0</v>
      </c>
      <c r="AM856" s="591">
        <f t="shared" ref="AM856:BI856" si="163">SUM(AM844:AM855)</f>
        <v>0</v>
      </c>
      <c r="AN856" s="591">
        <f t="shared" si="163"/>
        <v>0</v>
      </c>
      <c r="AO856" s="591">
        <f t="shared" si="163"/>
        <v>0</v>
      </c>
      <c r="AP856" s="591">
        <f t="shared" si="163"/>
        <v>0</v>
      </c>
      <c r="AQ856" s="591">
        <f t="shared" si="163"/>
        <v>0</v>
      </c>
      <c r="AR856" s="591">
        <f t="shared" si="163"/>
        <v>0</v>
      </c>
      <c r="AS856" s="591">
        <f t="shared" si="163"/>
        <v>0</v>
      </c>
      <c r="AT856" s="591">
        <f t="shared" si="163"/>
        <v>0</v>
      </c>
      <c r="AU856" s="591">
        <f t="shared" si="163"/>
        <v>0</v>
      </c>
      <c r="AV856" s="591">
        <f t="shared" si="163"/>
        <v>0</v>
      </c>
      <c r="AW856" s="591">
        <f t="shared" si="163"/>
        <v>0</v>
      </c>
      <c r="AX856" s="591">
        <f t="shared" si="163"/>
        <v>0</v>
      </c>
      <c r="AY856" s="591">
        <f t="shared" si="163"/>
        <v>0</v>
      </c>
      <c r="AZ856" s="591">
        <f t="shared" si="163"/>
        <v>0</v>
      </c>
      <c r="BA856" s="591">
        <f t="shared" si="163"/>
        <v>0</v>
      </c>
      <c r="BB856" s="591">
        <f t="shared" si="163"/>
        <v>0</v>
      </c>
      <c r="BC856" s="591">
        <f t="shared" si="163"/>
        <v>0</v>
      </c>
      <c r="BD856" s="591">
        <f t="shared" si="163"/>
        <v>0</v>
      </c>
      <c r="BE856" s="591">
        <f t="shared" si="163"/>
        <v>0</v>
      </c>
      <c r="BF856" s="591">
        <f t="shared" si="163"/>
        <v>0</v>
      </c>
      <c r="BG856" s="591">
        <f t="shared" si="163"/>
        <v>0</v>
      </c>
      <c r="BH856" s="591">
        <f t="shared" si="163"/>
        <v>0</v>
      </c>
      <c r="BI856" s="591">
        <f t="shared" si="163"/>
        <v>0</v>
      </c>
      <c r="BJ856" s="240"/>
      <c r="BK856" s="240"/>
      <c r="BL856" s="240"/>
      <c r="BM856" s="240"/>
    </row>
    <row r="857" spans="1:65" s="4" customFormat="1" hidden="1" outlineLevel="2">
      <c r="A857" s="240"/>
      <c r="B857" s="597" t="str">
        <f>C869</f>
        <v>Equity raising costs</v>
      </c>
      <c r="C857" s="488"/>
      <c r="D857" s="598" t="s">
        <v>58</v>
      </c>
      <c r="E857" s="488"/>
      <c r="F857" s="599"/>
      <c r="G857" s="592">
        <f>IF(G$3&gt;A30taxremlife,A30taxvalue-SUM($F857:F857),IF(A30taxremlife="N/A","n/a",A30taxvalue/A30taxremlife))</f>
        <v>0</v>
      </c>
      <c r="H857" s="592">
        <f>IF(H$3&gt;A30taxremlife,A30taxvalue-SUM($F857:G857),IF(A30taxremlife="N/A","n/a",A30taxvalue/A30taxremlife))</f>
        <v>0</v>
      </c>
      <c r="I857" s="592">
        <f>IF(I$3&gt;A30taxremlife,A30taxvalue-SUM($F857:H857),IF(A30taxremlife="N/A","n/a",A30taxvalue/A30taxremlife))</f>
        <v>0</v>
      </c>
      <c r="J857" s="592">
        <f>IF(J$3&gt;A30taxremlife,A30taxvalue-SUM($F857:I857),IF(A30taxremlife="N/A","n/a",A30taxvalue/A30taxremlife))</f>
        <v>0</v>
      </c>
      <c r="K857" s="592">
        <f>IF(K$3&gt;A30taxremlife,A30taxvalue-SUM($F857:J857),IF(A30taxremlife="N/A","n/a",A30taxvalue/A30taxremlife))</f>
        <v>0</v>
      </c>
      <c r="L857" s="592">
        <f>IF(L$3&gt;A30taxremlife,A30taxvalue-SUM($F857:K857),IF(A30taxremlife="N/A","n/a",A30taxvalue/A30taxremlife))</f>
        <v>0</v>
      </c>
      <c r="M857" s="592">
        <f>IF(M$3&gt;A30taxremlife,A30taxvalue-SUM($F857:L857),IF(A30taxremlife="N/A","n/a",A30taxvalue/A30taxremlife))</f>
        <v>0</v>
      </c>
      <c r="N857" s="592">
        <f>IF(N$3&gt;A30taxremlife,A30taxvalue-SUM($F857:M857),IF(A30taxremlife="N/A","n/a",A30taxvalue/A30taxremlife))</f>
        <v>0</v>
      </c>
      <c r="O857" s="592">
        <f>IF(O$3&gt;A30taxremlife,A30taxvalue-SUM($F857:N857),IF(A30taxremlife="N/A","n/a",A30taxvalue/A30taxremlife))</f>
        <v>0</v>
      </c>
      <c r="P857" s="592">
        <f>IF(P$3&gt;A30taxremlife,A30taxvalue-SUM($F857:O857),IF(A30taxremlife="N/A","n/a",A30taxvalue/A30taxremlife))</f>
        <v>0</v>
      </c>
      <c r="Q857" s="592">
        <f>IF(Q$3&gt;A30taxremlife,A30taxvalue-SUM($F857:P857),IF(A30taxremlife="N/A","n/a",A30taxvalue/A30taxremlife))</f>
        <v>0</v>
      </c>
      <c r="R857" s="592">
        <f>IF(R$3&gt;A30taxremlife,A30taxvalue-SUM($F857:Q857),IF(A30taxremlife="N/A","n/a",A30taxvalue/A30taxremlife))</f>
        <v>0</v>
      </c>
      <c r="S857" s="592">
        <f>IF(S$3&gt;A30taxremlife,A30taxvalue-SUM($F857:R857),IF(A30taxremlife="N/A","n/a",A30taxvalue/A30taxremlife))</f>
        <v>0</v>
      </c>
      <c r="T857" s="592">
        <f>IF(T$3&gt;A30taxremlife,A30taxvalue-SUM($F857:S857),IF(A30taxremlife="N/A","n/a",A30taxvalue/A30taxremlife))</f>
        <v>0</v>
      </c>
      <c r="U857" s="592">
        <f>IF(U$3&gt;A30taxremlife,A30taxvalue-SUM($F857:T857),IF(A30taxremlife="N/A","n/a",A30taxvalue/A30taxremlife))</f>
        <v>0</v>
      </c>
      <c r="V857" s="592">
        <f>IF(V$3&gt;A30taxremlife,A30taxvalue-SUM($F857:U857),IF(A30taxremlife="N/A","n/a",A30taxvalue/A30taxremlife))</f>
        <v>0</v>
      </c>
      <c r="W857" s="592">
        <f>IF(W$3&gt;A30taxremlife,A30taxvalue-SUM($F857:V857),IF(A30taxremlife="N/A","n/a",A30taxvalue/A30taxremlife))</f>
        <v>0</v>
      </c>
      <c r="X857" s="592">
        <f>IF(X$3&gt;A30taxremlife,A30taxvalue-SUM($F857:W857),IF(A30taxremlife="N/A","n/a",A30taxvalue/A30taxremlife))</f>
        <v>0</v>
      </c>
      <c r="Y857" s="592">
        <f>IF(Y$3&gt;A30taxremlife,A30taxvalue-SUM($F857:X857),IF(A30taxremlife="N/A","n/a",A30taxvalue/A30taxremlife))</f>
        <v>0</v>
      </c>
      <c r="Z857" s="592">
        <f>IF(Z$3&gt;A30taxremlife,A30taxvalue-SUM($F857:Y857),IF(A30taxremlife="N/A","n/a",A30taxvalue/A30taxremlife))</f>
        <v>0</v>
      </c>
      <c r="AA857" s="592">
        <f>IF(AA$3&gt;A30taxremlife,A30taxvalue-SUM($F857:Z857),IF(A30taxremlife="N/A","n/a",A30taxvalue/A30taxremlife))</f>
        <v>0</v>
      </c>
      <c r="AB857" s="592">
        <f>IF(AB$3&gt;A30taxremlife,A30taxvalue-SUM($F857:AA857),IF(A30taxremlife="N/A","n/a",A30taxvalue/A30taxremlife))</f>
        <v>0</v>
      </c>
      <c r="AC857" s="592">
        <f>IF(AC$3&gt;A30taxremlife,A30taxvalue-SUM($F857:AB857),IF(A30taxremlife="N/A","n/a",A30taxvalue/A30taxremlife))</f>
        <v>0</v>
      </c>
      <c r="AD857" s="592">
        <f>IF(AD$3&gt;A30taxremlife,A30taxvalue-SUM($F857:AC857),IF(A30taxremlife="N/A","n/a",A30taxvalue/A30taxremlife))</f>
        <v>0</v>
      </c>
      <c r="AE857" s="592">
        <f>IF(AE$3&gt;A30taxremlife,A30taxvalue-SUM($F857:AD857),IF(A30taxremlife="N/A","n/a",A30taxvalue/A30taxremlife))</f>
        <v>0</v>
      </c>
      <c r="AF857" s="592">
        <f>IF(AF$3&gt;A30taxremlife,A30taxvalue-SUM($F857:AE857),IF(A30taxremlife="N/A","n/a",A30taxvalue/A30taxremlife))</f>
        <v>0</v>
      </c>
      <c r="AG857" s="592">
        <f>IF(AG$3&gt;A30taxremlife,A30taxvalue-SUM($F857:AF857),IF(A30taxremlife="N/A","n/a",A30taxvalue/A30taxremlife))</f>
        <v>0</v>
      </c>
      <c r="AH857" s="592">
        <f>IF(AH$3&gt;A30taxremlife,A30taxvalue-SUM($F857:AG857),IF(A30taxremlife="N/A","n/a",A30taxvalue/A30taxremlife))</f>
        <v>0</v>
      </c>
      <c r="AI857" s="592">
        <f>IF(AI$3&gt;A30taxremlife,A30taxvalue-SUM($F857:AH857),IF(A30taxremlife="N/A","n/a",A30taxvalue/A30taxremlife))</f>
        <v>0</v>
      </c>
      <c r="AJ857" s="592">
        <f>IF(AJ$3&gt;A30taxremlife,A30taxvalue-SUM($F857:AI857),IF(A30taxremlife="N/A","n/a",A30taxvalue/A30taxremlife))</f>
        <v>0</v>
      </c>
      <c r="AK857" s="592">
        <f>IF(AK$3&gt;A30taxremlife,A30taxvalue-SUM($F857:AJ857),IF(A30taxremlife="N/A","n/a",A30taxvalue/A30taxremlife))</f>
        <v>0</v>
      </c>
      <c r="AL857" s="592">
        <f>IF(AL$3&gt;A30taxremlife,A30taxvalue-SUM($F857:AK857),IF(A30taxremlife="N/A","n/a",A30taxvalue/A30taxremlife))</f>
        <v>0</v>
      </c>
      <c r="AM857" s="592">
        <f>IF(AM$3&gt;A30taxremlife,A30taxvalue-SUM($F857:AL857),IF(A30taxremlife="N/A","n/a",A30taxvalue/A30taxremlife))</f>
        <v>0</v>
      </c>
      <c r="AN857" s="592">
        <f>IF(AN$3&gt;A30taxremlife,A30taxvalue-SUM($F857:AM857),IF(A30taxremlife="N/A","n/a",A30taxvalue/A30taxremlife))</f>
        <v>0</v>
      </c>
      <c r="AO857" s="592">
        <f>IF(AO$3&gt;A30taxremlife,A30taxvalue-SUM($F857:AN857),IF(A30taxremlife="N/A","n/a",A30taxvalue/A30taxremlife))</f>
        <v>0</v>
      </c>
      <c r="AP857" s="592">
        <f>IF(AP$3&gt;A30taxremlife,A30taxvalue-SUM($F857:AO857),IF(A30taxremlife="N/A","n/a",A30taxvalue/A30taxremlife))</f>
        <v>0</v>
      </c>
      <c r="AQ857" s="592">
        <f>IF(AQ$3&gt;A30taxremlife,A30taxvalue-SUM($F857:AP857),IF(A30taxremlife="N/A","n/a",A30taxvalue/A30taxremlife))</f>
        <v>0</v>
      </c>
      <c r="AR857" s="592">
        <f>IF(AR$3&gt;A30taxremlife,A30taxvalue-SUM($F857:AQ857),IF(A30taxremlife="N/A","n/a",A30taxvalue/A30taxremlife))</f>
        <v>0</v>
      </c>
      <c r="AS857" s="592">
        <f>IF(AS$3&gt;A30taxremlife,A30taxvalue-SUM($F857:AR857),IF(A30taxremlife="N/A","n/a",A30taxvalue/A30taxremlife))</f>
        <v>0</v>
      </c>
      <c r="AT857" s="592">
        <f>IF(AT$3&gt;A30taxremlife,A30taxvalue-SUM($F857:AS857),IF(A30taxremlife="N/A","n/a",A30taxvalue/A30taxremlife))</f>
        <v>0</v>
      </c>
      <c r="AU857" s="592">
        <f>IF(AU$3&gt;A30taxremlife,A30taxvalue-SUM($F857:AT857),IF(A30taxremlife="N/A","n/a",A30taxvalue/A30taxremlife))</f>
        <v>0</v>
      </c>
      <c r="AV857" s="592">
        <f>IF(AV$3&gt;A30taxremlife,A30taxvalue-SUM($F857:AU857),IF(A30taxremlife="N/A","n/a",A30taxvalue/A30taxremlife))</f>
        <v>0</v>
      </c>
      <c r="AW857" s="592">
        <f>IF(AW$3&gt;A30taxremlife,A30taxvalue-SUM($F857:AV857),IF(A30taxremlife="N/A","n/a",A30taxvalue/A30taxremlife))</f>
        <v>0</v>
      </c>
      <c r="AX857" s="592">
        <f>IF(AX$3&gt;A30taxremlife,A30taxvalue-SUM($F857:AW857),IF(A30taxremlife="N/A","n/a",A30taxvalue/A30taxremlife))</f>
        <v>0</v>
      </c>
      <c r="AY857" s="592">
        <f>IF(AY$3&gt;A30taxremlife,A30taxvalue-SUM($F857:AX857),IF(A30taxremlife="N/A","n/a",A30taxvalue/A30taxremlife))</f>
        <v>0</v>
      </c>
      <c r="AZ857" s="592">
        <f>IF(AZ$3&gt;A30taxremlife,A30taxvalue-SUM($F857:AY857),IF(A30taxremlife="N/A","n/a",A30taxvalue/A30taxremlife))</f>
        <v>0</v>
      </c>
      <c r="BA857" s="592">
        <f>IF(BA$3&gt;A30taxremlife,A30taxvalue-SUM($F857:AZ857),IF(A30taxremlife="N/A","n/a",A30taxvalue/A30taxremlife))</f>
        <v>0</v>
      </c>
      <c r="BB857" s="592">
        <f>IF(BB$3&gt;A30taxremlife,A30taxvalue-SUM($F857:BA857),IF(A30taxremlife="N/A","n/a",A30taxvalue/A30taxremlife))</f>
        <v>0</v>
      </c>
      <c r="BC857" s="592">
        <f>IF(BC$3&gt;A30taxremlife,A30taxvalue-SUM($F857:BB857),IF(A30taxremlife="N/A","n/a",A30taxvalue/A30taxremlife))</f>
        <v>0</v>
      </c>
      <c r="BD857" s="592">
        <f>IF(BD$3&gt;A30taxremlife,A30taxvalue-SUM($F857:BC857),IF(A30taxremlife="N/A","n/a",A30taxvalue/A30taxremlife))</f>
        <v>0</v>
      </c>
      <c r="BE857" s="592">
        <f>IF(BE$3&gt;A30taxremlife,A30taxvalue-SUM($F857:BD857),IF(A30taxremlife="N/A","n/a",A30taxvalue/A30taxremlife))</f>
        <v>0</v>
      </c>
      <c r="BF857" s="592">
        <f>IF(BF$3&gt;A30taxremlife,A30taxvalue-SUM($F857:BE857),IF(A30taxremlife="N/A","n/a",A30taxvalue/A30taxremlife))</f>
        <v>0</v>
      </c>
      <c r="BG857" s="592">
        <f>IF(BG$3&gt;A30taxremlife,A30taxvalue-SUM($F857:BF857),IF(A30taxremlife="N/A","n/a",A30taxvalue/A30taxremlife))</f>
        <v>0</v>
      </c>
      <c r="BH857" s="592">
        <f>IF(BH$3&gt;A30taxremlife,A30taxvalue-SUM($F857:BG857),IF(A30taxremlife="N/A","n/a",A30taxvalue/A30taxremlife))</f>
        <v>0</v>
      </c>
      <c r="BI857" s="592">
        <f>IF(BI$3&gt;A30taxremlife,A30taxvalue-SUM($F857:BH857),IF(A30taxremlife="N/A","n/a",A30taxvalue/A30taxremlife))</f>
        <v>0</v>
      </c>
      <c r="BJ857" s="240"/>
      <c r="BK857" s="240"/>
      <c r="BL857" s="240"/>
      <c r="BM857" s="240"/>
    </row>
    <row r="858" spans="1:65" s="4" customFormat="1" ht="12.75" hidden="1" customHeight="1" outlineLevel="2">
      <c r="A858" s="240"/>
      <c r="B858" s="240"/>
      <c r="C858" s="595"/>
      <c r="D858" s="1618" t="s">
        <v>357</v>
      </c>
      <c r="E858" s="169">
        <v>0</v>
      </c>
      <c r="F858" s="35"/>
      <c r="G858" s="107"/>
      <c r="H858" s="107"/>
      <c r="I858" s="107"/>
      <c r="J858" s="107"/>
      <c r="K858" s="107"/>
      <c r="L858" s="107"/>
      <c r="M858" s="107"/>
      <c r="N858" s="107"/>
      <c r="O858" s="107"/>
      <c r="P858" s="107"/>
      <c r="Q858" s="590"/>
      <c r="R858" s="590"/>
      <c r="S858" s="590"/>
      <c r="T858" s="590"/>
      <c r="U858" s="590"/>
      <c r="V858" s="590"/>
      <c r="W858" s="590"/>
      <c r="X858" s="590"/>
      <c r="Y858" s="590"/>
      <c r="Z858" s="590"/>
      <c r="AA858" s="590"/>
      <c r="AB858" s="590"/>
      <c r="AC858" s="590"/>
      <c r="AD858" s="590"/>
      <c r="AE858" s="590"/>
      <c r="AF858" s="590"/>
      <c r="AG858" s="590"/>
      <c r="AH858" s="590"/>
      <c r="AI858" s="590"/>
      <c r="AJ858" s="590"/>
      <c r="AK858" s="590"/>
      <c r="AL858" s="590"/>
      <c r="AM858" s="590"/>
      <c r="AN858" s="590"/>
      <c r="AO858" s="590"/>
      <c r="AP858" s="590"/>
      <c r="AQ858" s="590"/>
      <c r="AR858" s="590"/>
      <c r="AS858" s="590"/>
      <c r="AT858" s="590"/>
      <c r="AU858" s="590"/>
      <c r="AV858" s="590"/>
      <c r="AW858" s="590"/>
      <c r="AX858" s="590"/>
      <c r="AY858" s="590"/>
      <c r="AZ858" s="590"/>
      <c r="BA858" s="590"/>
      <c r="BB858" s="590"/>
      <c r="BC858" s="590"/>
      <c r="BD858" s="590"/>
      <c r="BE858" s="590"/>
      <c r="BF858" s="590"/>
      <c r="BG858" s="590"/>
      <c r="BH858" s="590"/>
      <c r="BI858" s="590"/>
      <c r="BJ858" s="240"/>
      <c r="BK858" s="240"/>
      <c r="BL858" s="240"/>
      <c r="BM858" s="240"/>
    </row>
    <row r="859" spans="1:65" s="4" customFormat="1" hidden="1" outlineLevel="2">
      <c r="A859" s="240"/>
      <c r="B859" s="240"/>
      <c r="C859" s="595"/>
      <c r="D859" s="1618"/>
      <c r="E859" s="169">
        <v>1</v>
      </c>
      <c r="F859" s="35"/>
      <c r="G859" s="183"/>
      <c r="H859" s="107">
        <f>IF(A30taxstdlife="n/a","n/a",IF(H$3&gt;(A30taxstdlife+$E859),(('PTRM input'!$G$172+'PTRM input'!$G$138)*$G$7)-SUM($G859:G859),(('PTRM input'!$G$172+'PTRM input'!$G$138)*$G$7)/A30taxstdlife))</f>
        <v>0</v>
      </c>
      <c r="I859" s="107">
        <f>IF(A30taxstdlife="n/a","n/a",IF(I$3&gt;(A30taxstdlife+$E859),(('PTRM input'!$G$172+'PTRM input'!$G$138)*$G$7)-SUM($G859:H859),(('PTRM input'!$G$172+'PTRM input'!$G$138)*$G$7)/A30taxstdlife))</f>
        <v>0</v>
      </c>
      <c r="J859" s="107">
        <f>IF(A30taxstdlife="n/a","n/a",IF(J$3&gt;(A30taxstdlife+$E859),(('PTRM input'!$G$172+'PTRM input'!$G$138)*$G$7)-SUM($G859:I859),(('PTRM input'!$G$172+'PTRM input'!$G$138)*$G$7)/A30taxstdlife))</f>
        <v>0</v>
      </c>
      <c r="K859" s="107">
        <f>IF(A30taxstdlife="n/a","n/a",IF(K$3&gt;(A30taxstdlife+$E859),(('PTRM input'!$G$172+'PTRM input'!$G$138)*$G$7)-SUM($G859:J859),(('PTRM input'!$G$172+'PTRM input'!$G$138)*$G$7)/A30taxstdlife))</f>
        <v>0</v>
      </c>
      <c r="L859" s="107">
        <f>IF(A30taxstdlife="n/a","n/a",IF(L$3&gt;(A30taxstdlife+$E859),(('PTRM input'!$G$172+'PTRM input'!$G$138)*$G$7)-SUM($G859:K859),(('PTRM input'!$G$172+'PTRM input'!$G$138)*$G$7)/A30taxstdlife))</f>
        <v>0</v>
      </c>
      <c r="M859" s="107">
        <f>IF(A30taxstdlife="n/a","n/a",IF(M$3&gt;(A30taxstdlife+$E859),(('PTRM input'!$G$172+'PTRM input'!$G$138)*$G$7)-SUM($G859:L859),(('PTRM input'!$G$172+'PTRM input'!$G$138)*$G$7)/A30taxstdlife))</f>
        <v>0</v>
      </c>
      <c r="N859" s="107">
        <f>IF(A30taxstdlife="n/a","n/a",IF(N$3&gt;(A30taxstdlife+$E859),(('PTRM input'!$G$172+'PTRM input'!$G$138)*$G$7)-SUM($G859:M859),(('PTRM input'!$G$172+'PTRM input'!$G$138)*$G$7)/A30taxstdlife))</f>
        <v>0</v>
      </c>
      <c r="O859" s="107">
        <f>IF(A30taxstdlife="n/a","n/a",IF(O$3&gt;(A30taxstdlife+$E859),(('PTRM input'!$G$172+'PTRM input'!$G$138)*$G$7)-SUM($G859:N859),(('PTRM input'!$G$172+'PTRM input'!$G$138)*$G$7)/A30taxstdlife))</f>
        <v>0</v>
      </c>
      <c r="P859" s="107">
        <f>IF(A30taxstdlife="n/a","n/a",IF(P$3&gt;(A30taxstdlife+$E859),(('PTRM input'!$G$172+'PTRM input'!$G$138)*$G$7)-SUM($G859:O859),(('PTRM input'!$G$172+'PTRM input'!$G$138)*$G$7)/A30taxstdlife))</f>
        <v>0</v>
      </c>
      <c r="Q859" s="590">
        <f>IF(A30taxstdlife="n/a","n/a",IF(Q$3&gt;(A30taxstdlife+$E859),(('PTRM input'!$G$172+'PTRM input'!$G$138)*$G$7)-SUM($G859:P859),(('PTRM input'!$G$172+'PTRM input'!$G$138)*$G$7)/A30taxstdlife))</f>
        <v>0</v>
      </c>
      <c r="R859" s="590">
        <f>IF(A30taxstdlife="n/a","n/a",IF(R$3&gt;(A30taxstdlife+$E859),(('PTRM input'!$G$172+'PTRM input'!$G$138)*$G$7)-SUM($G859:Q859),(('PTRM input'!$G$172+'PTRM input'!$G$138)*$G$7)/A30taxstdlife))</f>
        <v>0</v>
      </c>
      <c r="S859" s="590">
        <f>IF(A30taxstdlife="n/a","n/a",IF(S$3&gt;(A30taxstdlife+$E859),(('PTRM input'!$G$172+'PTRM input'!$G$138)*$G$7)-SUM($G859:R859),(('PTRM input'!$G$172+'PTRM input'!$G$138)*$G$7)/A30taxstdlife))</f>
        <v>0</v>
      </c>
      <c r="T859" s="590">
        <f>IF(A30taxstdlife="n/a","n/a",IF(T$3&gt;(A30taxstdlife+$E859),(('PTRM input'!$G$172+'PTRM input'!$G$138)*$G$7)-SUM($G859:S859),(('PTRM input'!$G$172+'PTRM input'!$G$138)*$G$7)/A30taxstdlife))</f>
        <v>0</v>
      </c>
      <c r="U859" s="590">
        <f>IF(A30taxstdlife="n/a","n/a",IF(U$3&gt;(A30taxstdlife+$E859),(('PTRM input'!$G$172+'PTRM input'!$G$138)*$G$7)-SUM($G859:T859),(('PTRM input'!$G$172+'PTRM input'!$G$138)*$G$7)/A30taxstdlife))</f>
        <v>0</v>
      </c>
      <c r="V859" s="590">
        <f>IF(A30taxstdlife="n/a","n/a",IF(V$3&gt;(A30taxstdlife+$E859),(('PTRM input'!$G$172+'PTRM input'!$G$138)*$G$7)-SUM($G859:U859),(('PTRM input'!$G$172+'PTRM input'!$G$138)*$G$7)/A30taxstdlife))</f>
        <v>0</v>
      </c>
      <c r="W859" s="590">
        <f>IF(A30taxstdlife="n/a","n/a",IF(W$3&gt;(A30taxstdlife+$E859),(('PTRM input'!$G$172+'PTRM input'!$G$138)*$G$7)-SUM($G859:V859),(('PTRM input'!$G$172+'PTRM input'!$G$138)*$G$7)/A30taxstdlife))</f>
        <v>0</v>
      </c>
      <c r="X859" s="590">
        <f>IF(A30taxstdlife="n/a","n/a",IF(X$3&gt;(A30taxstdlife+$E859),(('PTRM input'!$G$172+'PTRM input'!$G$138)*$G$7)-SUM($G859:W859),(('PTRM input'!$G$172+'PTRM input'!$G$138)*$G$7)/A30taxstdlife))</f>
        <v>0</v>
      </c>
      <c r="Y859" s="590">
        <f>IF(A30taxstdlife="n/a","n/a",IF(Y$3&gt;(A30taxstdlife+$E859),(('PTRM input'!$G$172+'PTRM input'!$G$138)*$G$7)-SUM($G859:X859),(('PTRM input'!$G$172+'PTRM input'!$G$138)*$G$7)/A30taxstdlife))</f>
        <v>0</v>
      </c>
      <c r="Z859" s="590">
        <f>IF(A30taxstdlife="n/a","n/a",IF(Z$3&gt;(A30taxstdlife+$E859),(('PTRM input'!$G$172+'PTRM input'!$G$138)*$G$7)-SUM($G859:Y859),(('PTRM input'!$G$172+'PTRM input'!$G$138)*$G$7)/A30taxstdlife))</f>
        <v>0</v>
      </c>
      <c r="AA859" s="590">
        <f>IF(A30taxstdlife="n/a","n/a",IF(AA$3&gt;(A30taxstdlife+$E859),(('PTRM input'!$G$172+'PTRM input'!$G$138)*$G$7)-SUM($G859:Z859),(('PTRM input'!$G$172+'PTRM input'!$G$138)*$G$7)/A30taxstdlife))</f>
        <v>0</v>
      </c>
      <c r="AB859" s="590">
        <f>IF(A30taxstdlife="n/a","n/a",IF(AB$3&gt;(A30taxstdlife+$E859),(('PTRM input'!$G$172+'PTRM input'!$G$138)*$G$7)-SUM($G859:AA859),(('PTRM input'!$G$172+'PTRM input'!$G$138)*$G$7)/A30taxstdlife))</f>
        <v>0</v>
      </c>
      <c r="AC859" s="590">
        <f>IF(A30taxstdlife="n/a","n/a",IF(AC$3&gt;(A30taxstdlife+$E859),(('PTRM input'!$G$172+'PTRM input'!$G$138)*$G$7)-SUM($G859:AB859),(('PTRM input'!$G$172+'PTRM input'!$G$138)*$G$7)/A30taxstdlife))</f>
        <v>0</v>
      </c>
      <c r="AD859" s="590">
        <f>IF(A30taxstdlife="n/a","n/a",IF(AD$3&gt;(A30taxstdlife+$E859),(('PTRM input'!$G$172+'PTRM input'!$G$138)*$G$7)-SUM($G859:AC859),(('PTRM input'!$G$172+'PTRM input'!$G$138)*$G$7)/A30taxstdlife))</f>
        <v>0</v>
      </c>
      <c r="AE859" s="590">
        <f>IF(A30taxstdlife="n/a","n/a",IF(AE$3&gt;(A30taxstdlife+$E859),(('PTRM input'!$G$172+'PTRM input'!$G$138)*$G$7)-SUM($G859:AD859),(('PTRM input'!$G$172+'PTRM input'!$G$138)*$G$7)/A30taxstdlife))</f>
        <v>0</v>
      </c>
      <c r="AF859" s="590">
        <f>IF(A30taxstdlife="n/a","n/a",IF(AF$3&gt;(A30taxstdlife+$E859),(('PTRM input'!$G$172+'PTRM input'!$G$138)*$G$7)-SUM($G859:AE859),(('PTRM input'!$G$172+'PTRM input'!$G$138)*$G$7)/A30taxstdlife))</f>
        <v>0</v>
      </c>
      <c r="AG859" s="590">
        <f>IF(A30taxstdlife="n/a","n/a",IF(AG$3&gt;(A30taxstdlife+$E859),(('PTRM input'!$G$172+'PTRM input'!$G$138)*$G$7)-SUM($G859:AF859),(('PTRM input'!$G$172+'PTRM input'!$G$138)*$G$7)/A30taxstdlife))</f>
        <v>0</v>
      </c>
      <c r="AH859" s="590">
        <f>IF(A30taxstdlife="n/a","n/a",IF(AH$3&gt;(A30taxstdlife+$E859),(('PTRM input'!$G$172+'PTRM input'!$G$138)*$G$7)-SUM($G859:AG859),(('PTRM input'!$G$172+'PTRM input'!$G$138)*$G$7)/A30taxstdlife))</f>
        <v>0</v>
      </c>
      <c r="AI859" s="590">
        <f>IF(A30taxstdlife="n/a","n/a",IF(AI$3&gt;(A30taxstdlife+$E859),(('PTRM input'!$G$172+'PTRM input'!$G$138)*$G$7)-SUM($G859:AH859),(('PTRM input'!$G$172+'PTRM input'!$G$138)*$G$7)/A30taxstdlife))</f>
        <v>0</v>
      </c>
      <c r="AJ859" s="590">
        <f>IF(A30taxstdlife="n/a","n/a",IF(AJ$3&gt;(A30taxstdlife+$E859),(('PTRM input'!$G$172+'PTRM input'!$G$138)*$G$7)-SUM($G859:AI859),(('PTRM input'!$G$172+'PTRM input'!$G$138)*$G$7)/A30taxstdlife))</f>
        <v>0</v>
      </c>
      <c r="AK859" s="590">
        <f>IF(A30taxstdlife="n/a","n/a",IF(AK$3&gt;(A30taxstdlife+$E859),(('PTRM input'!$G$172+'PTRM input'!$G$138)*$G$7)-SUM($G859:AJ859),(('PTRM input'!$G$172+'PTRM input'!$G$138)*$G$7)/A30taxstdlife))</f>
        <v>0</v>
      </c>
      <c r="AL859" s="590">
        <f>IF(A30taxstdlife="n/a","n/a",IF(AL$3&gt;(A30taxstdlife+$E859),(('PTRM input'!$G$172+'PTRM input'!$G$138)*$G$7)-SUM($G859:AK859),(('PTRM input'!$G$172+'PTRM input'!$G$138)*$G$7)/A30taxstdlife))</f>
        <v>0</v>
      </c>
      <c r="AM859" s="590">
        <f>IF(A30taxstdlife="n/a","n/a",IF(AM$3&gt;(A30taxstdlife+$E859),(('PTRM input'!$G$172+'PTRM input'!$G$138)*$G$7)-SUM($G859:AL859),(('PTRM input'!$G$172+'PTRM input'!$G$138)*$G$7)/A30taxstdlife))</f>
        <v>0</v>
      </c>
      <c r="AN859" s="590">
        <f>IF(A30taxstdlife="n/a","n/a",IF(AN$3&gt;(A30taxstdlife+$E859),(('PTRM input'!$G$172+'PTRM input'!$G$138)*$G$7)-SUM($G859:AM859),(('PTRM input'!$G$172+'PTRM input'!$G$138)*$G$7)/A30taxstdlife))</f>
        <v>0</v>
      </c>
      <c r="AO859" s="590">
        <f>IF(A30taxstdlife="n/a","n/a",IF(AO$3&gt;(A30taxstdlife+$E859),(('PTRM input'!$G$172+'PTRM input'!$G$138)*$G$7)-SUM($G859:AN859),(('PTRM input'!$G$172+'PTRM input'!$G$138)*$G$7)/A30taxstdlife))</f>
        <v>0</v>
      </c>
      <c r="AP859" s="590">
        <f>IF(A30taxstdlife="n/a","n/a",IF(AP$3&gt;(A30taxstdlife+$E859),(('PTRM input'!$G$172+'PTRM input'!$G$138)*$G$7)-SUM($G859:AO859),(('PTRM input'!$G$172+'PTRM input'!$G$138)*$G$7)/A30taxstdlife))</f>
        <v>0</v>
      </c>
      <c r="AQ859" s="590">
        <f>IF(A30taxstdlife="n/a","n/a",IF(AQ$3&gt;(A30taxstdlife+$E859),(('PTRM input'!$G$172+'PTRM input'!$G$138)*$G$7)-SUM($G859:AP859),(('PTRM input'!$G$172+'PTRM input'!$G$138)*$G$7)/A30taxstdlife))</f>
        <v>0</v>
      </c>
      <c r="AR859" s="590">
        <f>IF(A30taxstdlife="n/a","n/a",IF(AR$3&gt;(A30taxstdlife+$E859),(('PTRM input'!$G$172+'PTRM input'!$G$138)*$G$7)-SUM($G859:AQ859),(('PTRM input'!$G$172+'PTRM input'!$G$138)*$G$7)/A30taxstdlife))</f>
        <v>0</v>
      </c>
      <c r="AS859" s="590">
        <f>IF(A30taxstdlife="n/a","n/a",IF(AS$3&gt;(A30taxstdlife+$E859),(('PTRM input'!$G$172+'PTRM input'!$G$138)*$G$7)-SUM($G859:AR859),(('PTRM input'!$G$172+'PTRM input'!$G$138)*$G$7)/A30taxstdlife))</f>
        <v>0</v>
      </c>
      <c r="AT859" s="590">
        <f>IF(A30taxstdlife="n/a","n/a",IF(AT$3&gt;(A30taxstdlife+$E859),(('PTRM input'!$G$172+'PTRM input'!$G$138)*$G$7)-SUM($G859:AS859),(('PTRM input'!$G$172+'PTRM input'!$G$138)*$G$7)/A30taxstdlife))</f>
        <v>0</v>
      </c>
      <c r="AU859" s="590">
        <f>IF(A30taxstdlife="n/a","n/a",IF(AU$3&gt;(A30taxstdlife+$E859),(('PTRM input'!$G$172+'PTRM input'!$G$138)*$G$7)-SUM($G859:AT859),(('PTRM input'!$G$172+'PTRM input'!$G$138)*$G$7)/A30taxstdlife))</f>
        <v>0</v>
      </c>
      <c r="AV859" s="590">
        <f>IF(A30taxstdlife="n/a","n/a",IF(AV$3&gt;(A30taxstdlife+$E859),(('PTRM input'!$G$172+'PTRM input'!$G$138)*$G$7)-SUM($G859:AU859),(('PTRM input'!$G$172+'PTRM input'!$G$138)*$G$7)/A30taxstdlife))</f>
        <v>0</v>
      </c>
      <c r="AW859" s="590">
        <f>IF(A30taxstdlife="n/a","n/a",IF(AW$3&gt;(A30taxstdlife+$E859),(('PTRM input'!$G$172+'PTRM input'!$G$138)*$G$7)-SUM($G859:AV859),(('PTRM input'!$G$172+'PTRM input'!$G$138)*$G$7)/A30taxstdlife))</f>
        <v>0</v>
      </c>
      <c r="AX859" s="590">
        <f>IF(A30taxstdlife="n/a","n/a",IF(AX$3&gt;(A30taxstdlife+$E859),(('PTRM input'!$G$172+'PTRM input'!$G$138)*$G$7)-SUM($G859:AW859),(('PTRM input'!$G$172+'PTRM input'!$G$138)*$G$7)/A30taxstdlife))</f>
        <v>0</v>
      </c>
      <c r="AY859" s="590">
        <f>IF(A30taxstdlife="n/a","n/a",IF(AY$3&gt;(A30taxstdlife+$E859),(('PTRM input'!$G$172+'PTRM input'!$G$138)*$G$7)-SUM($G859:AX859),(('PTRM input'!$G$172+'PTRM input'!$G$138)*$G$7)/A30taxstdlife))</f>
        <v>0</v>
      </c>
      <c r="AZ859" s="590">
        <f>IF(A30taxstdlife="n/a","n/a",IF(AZ$3&gt;(A30taxstdlife+$E859),(('PTRM input'!$G$172+'PTRM input'!$G$138)*$G$7)-SUM($G859:AY859),(('PTRM input'!$G$172+'PTRM input'!$G$138)*$G$7)/A30taxstdlife))</f>
        <v>0</v>
      </c>
      <c r="BA859" s="590">
        <f>IF(A30taxstdlife="n/a","n/a",IF(BA$3&gt;(A30taxstdlife+$E859),(('PTRM input'!$G$172+'PTRM input'!$G$138)*$G$7)-SUM($G859:AZ859),(('PTRM input'!$G$172+'PTRM input'!$G$138)*$G$7)/A30taxstdlife))</f>
        <v>0</v>
      </c>
      <c r="BB859" s="590">
        <f>IF(A30taxstdlife="n/a","n/a",IF(BB$3&gt;(A30taxstdlife+$E859),(('PTRM input'!$G$172+'PTRM input'!$G$138)*$G$7)-SUM($G859:BA859),(('PTRM input'!$G$172+'PTRM input'!$G$138)*$G$7)/A30taxstdlife))</f>
        <v>0</v>
      </c>
      <c r="BC859" s="590">
        <f>IF(A30taxstdlife="n/a","n/a",IF(BC$3&gt;(A30taxstdlife+$E859),(('PTRM input'!$G$172+'PTRM input'!$G$138)*$G$7)-SUM($G859:BB859),(('PTRM input'!$G$172+'PTRM input'!$G$138)*$G$7)/A30taxstdlife))</f>
        <v>0</v>
      </c>
      <c r="BD859" s="590">
        <f>IF(A30taxstdlife="n/a","n/a",IF(BD$3&gt;(A30taxstdlife+$E859),(('PTRM input'!$G$172+'PTRM input'!$G$138)*$G$7)-SUM($G859:BC859),(('PTRM input'!$G$172+'PTRM input'!$G$138)*$G$7)/A30taxstdlife))</f>
        <v>0</v>
      </c>
      <c r="BE859" s="590">
        <f>IF(A30taxstdlife="n/a","n/a",IF(BE$3&gt;(A30taxstdlife+$E859),(('PTRM input'!$G$172+'PTRM input'!$G$138)*$G$7)-SUM($G859:BD859),(('PTRM input'!$G$172+'PTRM input'!$G$138)*$G$7)/A30taxstdlife))</f>
        <v>0</v>
      </c>
      <c r="BF859" s="590">
        <f>IF(A30taxstdlife="n/a","n/a",IF(BF$3&gt;(A30taxstdlife+$E859),(('PTRM input'!$G$172+'PTRM input'!$G$138)*$G$7)-SUM($G859:BE859),(('PTRM input'!$G$172+'PTRM input'!$G$138)*$G$7)/A30taxstdlife))</f>
        <v>0</v>
      </c>
      <c r="BG859" s="590">
        <f>IF(A30taxstdlife="n/a","n/a",IF(BG$3&gt;(A30taxstdlife+$E859),(('PTRM input'!$G$172+'PTRM input'!$G$138)*$G$7)-SUM($G859:BF859),(('PTRM input'!$G$172+'PTRM input'!$G$138)*$G$7)/A30taxstdlife))</f>
        <v>0</v>
      </c>
      <c r="BH859" s="590">
        <f>IF(A30taxstdlife="n/a","n/a",IF(BH$3&gt;(A30taxstdlife+$E859),(('PTRM input'!$G$172+'PTRM input'!$G$138)*$G$7)-SUM($G859:BG859),(('PTRM input'!$G$172+'PTRM input'!$G$138)*$G$7)/A30taxstdlife))</f>
        <v>0</v>
      </c>
      <c r="BI859" s="590">
        <f>IF(A30taxstdlife="n/a","n/a",IF(BI$3&gt;(A30taxstdlife+$E859),(('PTRM input'!$G$172+'PTRM input'!$G$138)*$G$7)-SUM($G859:BH859),(('PTRM input'!$G$172+'PTRM input'!$G$138)*$G$7)/A30taxstdlife))</f>
        <v>0</v>
      </c>
      <c r="BJ859" s="240"/>
      <c r="BK859" s="240"/>
      <c r="BL859" s="240"/>
      <c r="BM859" s="240"/>
    </row>
    <row r="860" spans="1:65" s="4" customFormat="1" hidden="1" outlineLevel="2">
      <c r="A860" s="240"/>
      <c r="B860" s="240"/>
      <c r="C860" s="595"/>
      <c r="D860" s="1618"/>
      <c r="E860" s="169">
        <v>2</v>
      </c>
      <c r="F860" s="35"/>
      <c r="G860" s="184"/>
      <c r="H860" s="185"/>
      <c r="I860" s="107">
        <f>IF(A30taxstdlife="n/a","n/a",IF(I$3&gt;(A30taxstdlife+$E860),(('PTRM input'!$H$172+'PTRM input'!$H$138)*$H$7)-SUM($H860:H860),(('PTRM input'!$H$172+'PTRM input'!$H$138)*$H$7)/A30taxstdlife))</f>
        <v>0</v>
      </c>
      <c r="J860" s="107">
        <f>IF(A30taxstdlife="n/a","n/a",IF(J$3&gt;(A30taxstdlife+$E860),(('PTRM input'!$H$172+'PTRM input'!$H$138)*$H$7)-SUM($H860:I860),(('PTRM input'!$H$172+'PTRM input'!$H$138)*$H$7)/A30taxstdlife))</f>
        <v>0</v>
      </c>
      <c r="K860" s="107">
        <f>IF(A30taxstdlife="n/a","n/a",IF(K$3&gt;(A30taxstdlife+$E860),(('PTRM input'!$H$172+'PTRM input'!$H$138)*$H$7)-SUM($H860:J860),(('PTRM input'!$H$172+'PTRM input'!$H$138)*$H$7)/A30taxstdlife))</f>
        <v>0</v>
      </c>
      <c r="L860" s="107">
        <f>IF(A30taxstdlife="n/a","n/a",IF(L$3&gt;(A30taxstdlife+$E860),(('PTRM input'!$H$172+'PTRM input'!$H$138)*$H$7)-SUM($H860:K860),(('PTRM input'!$H$172+'PTRM input'!$H$138)*$H$7)/A30taxstdlife))</f>
        <v>0</v>
      </c>
      <c r="M860" s="107">
        <f>IF(A30taxstdlife="n/a","n/a",IF(M$3&gt;(A30taxstdlife+$E860),(('PTRM input'!$H$172+'PTRM input'!$H$138)*$H$7)-SUM($H860:L860),(('PTRM input'!$H$172+'PTRM input'!$H$138)*$H$7)/A30taxstdlife))</f>
        <v>0</v>
      </c>
      <c r="N860" s="107">
        <f>IF(A30taxstdlife="n/a","n/a",IF(N$3&gt;(A30taxstdlife+$E860),(('PTRM input'!$H$172+'PTRM input'!$H$138)*$H$7)-SUM($H860:M860),(('PTRM input'!$H$172+'PTRM input'!$H$138)*$H$7)/A30taxstdlife))</f>
        <v>0</v>
      </c>
      <c r="O860" s="107">
        <f>IF(A30taxstdlife="n/a","n/a",IF(O$3&gt;(A30taxstdlife+$E860),(('PTRM input'!$H$172+'PTRM input'!$H$138)*$H$7)-SUM($H860:N860),(('PTRM input'!$H$172+'PTRM input'!$H$138)*$H$7)/A30taxstdlife))</f>
        <v>0</v>
      </c>
      <c r="P860" s="107">
        <f>IF(A30taxstdlife="n/a","n/a",IF(P$3&gt;(A30taxstdlife+$E860),(('PTRM input'!$H$172+'PTRM input'!$H$138)*$H$7)-SUM($H860:O860),(('PTRM input'!$H$172+'PTRM input'!$H$138)*$H$7)/A30taxstdlife))</f>
        <v>0</v>
      </c>
      <c r="Q860" s="590">
        <f>IF(A30taxstdlife="n/a","n/a",IF(Q$3&gt;(A30taxstdlife+$E860),(('PTRM input'!$H$172+'PTRM input'!$H$138)*$H$7)-SUM($H860:P860),(('PTRM input'!$H$172+'PTRM input'!$H$138)*$H$7)/A30taxstdlife))</f>
        <v>0</v>
      </c>
      <c r="R860" s="590">
        <f>IF(A30taxstdlife="n/a","n/a",IF(R$3&gt;(A30taxstdlife+$E860),(('PTRM input'!$H$172+'PTRM input'!$H$138)*$H$7)-SUM($H860:Q860),(('PTRM input'!$H$172+'PTRM input'!$H$138)*$H$7)/A30taxstdlife))</f>
        <v>0</v>
      </c>
      <c r="S860" s="590">
        <f>IF(A30taxstdlife="n/a","n/a",IF(S$3&gt;(A30taxstdlife+$E860),(('PTRM input'!$H$172+'PTRM input'!$H$138)*$H$7)-SUM($H860:R860),(('PTRM input'!$H$172+'PTRM input'!$H$138)*$H$7)/A30taxstdlife))</f>
        <v>0</v>
      </c>
      <c r="T860" s="590">
        <f>IF(A30taxstdlife="n/a","n/a",IF(T$3&gt;(A30taxstdlife+$E860),(('PTRM input'!$H$172+'PTRM input'!$H$138)*$H$7)-SUM($H860:S860),(('PTRM input'!$H$172+'PTRM input'!$H$138)*$H$7)/A30taxstdlife))</f>
        <v>0</v>
      </c>
      <c r="U860" s="590">
        <f>IF(A30taxstdlife="n/a","n/a",IF(U$3&gt;(A30taxstdlife+$E860),(('PTRM input'!$H$172+'PTRM input'!$H$138)*$H$7)-SUM($H860:T860),(('PTRM input'!$H$172+'PTRM input'!$H$138)*$H$7)/A30taxstdlife))</f>
        <v>0</v>
      </c>
      <c r="V860" s="590">
        <f>IF(A30taxstdlife="n/a","n/a",IF(V$3&gt;(A30taxstdlife+$E860),(('PTRM input'!$H$172+'PTRM input'!$H$138)*$H$7)-SUM($H860:U860),(('PTRM input'!$H$172+'PTRM input'!$H$138)*$H$7)/A30taxstdlife))</f>
        <v>0</v>
      </c>
      <c r="W860" s="590">
        <f>IF(A30taxstdlife="n/a","n/a",IF(W$3&gt;(A30taxstdlife+$E860),(('PTRM input'!$H$172+'PTRM input'!$H$138)*$H$7)-SUM($H860:V860),(('PTRM input'!$H$172+'PTRM input'!$H$138)*$H$7)/A30taxstdlife))</f>
        <v>0</v>
      </c>
      <c r="X860" s="590">
        <f>IF(A30taxstdlife="n/a","n/a",IF(X$3&gt;(A30taxstdlife+$E860),(('PTRM input'!$H$172+'PTRM input'!$H$138)*$H$7)-SUM($H860:W860),(('PTRM input'!$H$172+'PTRM input'!$H$138)*$H$7)/A30taxstdlife))</f>
        <v>0</v>
      </c>
      <c r="Y860" s="590">
        <f>IF(A30taxstdlife="n/a","n/a",IF(Y$3&gt;(A30taxstdlife+$E860),(('PTRM input'!$H$172+'PTRM input'!$H$138)*$H$7)-SUM($H860:X860),(('PTRM input'!$H$172+'PTRM input'!$H$138)*$H$7)/A30taxstdlife))</f>
        <v>0</v>
      </c>
      <c r="Z860" s="590">
        <f>IF(A30taxstdlife="n/a","n/a",IF(Z$3&gt;(A30taxstdlife+$E860),(('PTRM input'!$H$172+'PTRM input'!$H$138)*$H$7)-SUM($H860:Y860),(('PTRM input'!$H$172+'PTRM input'!$H$138)*$H$7)/A30taxstdlife))</f>
        <v>0</v>
      </c>
      <c r="AA860" s="590">
        <f>IF(A30taxstdlife="n/a","n/a",IF(AA$3&gt;(A30taxstdlife+$E860),(('PTRM input'!$H$172+'PTRM input'!$H$138)*$H$7)-SUM($H860:Z860),(('PTRM input'!$H$172+'PTRM input'!$H$138)*$H$7)/A30taxstdlife))</f>
        <v>0</v>
      </c>
      <c r="AB860" s="590">
        <f>IF(A30taxstdlife="n/a","n/a",IF(AB$3&gt;(A30taxstdlife+$E860),(('PTRM input'!$H$172+'PTRM input'!$H$138)*$H$7)-SUM($H860:AA860),(('PTRM input'!$H$172+'PTRM input'!$H$138)*$H$7)/A30taxstdlife))</f>
        <v>0</v>
      </c>
      <c r="AC860" s="590">
        <f>IF(A30taxstdlife="n/a","n/a",IF(AC$3&gt;(A30taxstdlife+$E860),(('PTRM input'!$H$172+'PTRM input'!$H$138)*$H$7)-SUM($H860:AB860),(('PTRM input'!$H$172+'PTRM input'!$H$138)*$H$7)/A30taxstdlife))</f>
        <v>0</v>
      </c>
      <c r="AD860" s="590">
        <f>IF(A30taxstdlife="n/a","n/a",IF(AD$3&gt;(A30taxstdlife+$E860),(('PTRM input'!$H$172+'PTRM input'!$H$138)*$H$7)-SUM($H860:AC860),(('PTRM input'!$H$172+'PTRM input'!$H$138)*$H$7)/A30taxstdlife))</f>
        <v>0</v>
      </c>
      <c r="AE860" s="590">
        <f>IF(A30taxstdlife="n/a","n/a",IF(AE$3&gt;(A30taxstdlife+$E860),(('PTRM input'!$H$172+'PTRM input'!$H$138)*$H$7)-SUM($H860:AD860),(('PTRM input'!$H$172+'PTRM input'!$H$138)*$H$7)/A30taxstdlife))</f>
        <v>0</v>
      </c>
      <c r="AF860" s="590">
        <f>IF(A30taxstdlife="n/a","n/a",IF(AF$3&gt;(A30taxstdlife+$E860),(('PTRM input'!$H$172+'PTRM input'!$H$138)*$H$7)-SUM($H860:AE860),(('PTRM input'!$H$172+'PTRM input'!$H$138)*$H$7)/A30taxstdlife))</f>
        <v>0</v>
      </c>
      <c r="AG860" s="590">
        <f>IF(A30taxstdlife="n/a","n/a",IF(AG$3&gt;(A30taxstdlife+$E860),(('PTRM input'!$H$172+'PTRM input'!$H$138)*$H$7)-SUM($H860:AF860),(('PTRM input'!$H$172+'PTRM input'!$H$138)*$H$7)/A30taxstdlife))</f>
        <v>0</v>
      </c>
      <c r="AH860" s="590">
        <f>IF(A30taxstdlife="n/a","n/a",IF(AH$3&gt;(A30taxstdlife+$E860),(('PTRM input'!$H$172+'PTRM input'!$H$138)*$H$7)-SUM($H860:AG860),(('PTRM input'!$H$172+'PTRM input'!$H$138)*$H$7)/A30taxstdlife))</f>
        <v>0</v>
      </c>
      <c r="AI860" s="590">
        <f>IF(A30taxstdlife="n/a","n/a",IF(AI$3&gt;(A30taxstdlife+$E860),(('PTRM input'!$H$172+'PTRM input'!$H$138)*$H$7)-SUM($H860:AH860),(('PTRM input'!$H$172+'PTRM input'!$H$138)*$H$7)/A30taxstdlife))</f>
        <v>0</v>
      </c>
      <c r="AJ860" s="590">
        <f>IF(A30taxstdlife="n/a","n/a",IF(AJ$3&gt;(A30taxstdlife+$E860),(('PTRM input'!$H$172+'PTRM input'!$H$138)*$H$7)-SUM($H860:AI860),(('PTRM input'!$H$172+'PTRM input'!$H$138)*$H$7)/A30taxstdlife))</f>
        <v>0</v>
      </c>
      <c r="AK860" s="590">
        <f>IF(A30taxstdlife="n/a","n/a",IF(AK$3&gt;(A30taxstdlife+$E860),(('PTRM input'!$H$172+'PTRM input'!$H$138)*$H$7)-SUM($H860:AJ860),(('PTRM input'!$H$172+'PTRM input'!$H$138)*$H$7)/A30taxstdlife))</f>
        <v>0</v>
      </c>
      <c r="AL860" s="590">
        <f>IF(A30taxstdlife="n/a","n/a",IF(AL$3&gt;(A30taxstdlife+$E860),(('PTRM input'!$H$172+'PTRM input'!$H$138)*$H$7)-SUM($H860:AK860),(('PTRM input'!$H$172+'PTRM input'!$H$138)*$H$7)/A30taxstdlife))</f>
        <v>0</v>
      </c>
      <c r="AM860" s="590">
        <f>IF(A30taxstdlife="n/a","n/a",IF(AM$3&gt;(A30taxstdlife+$E860),(('PTRM input'!$H$172+'PTRM input'!$H$138)*$H$7)-SUM($H860:AL860),(('PTRM input'!$H$172+'PTRM input'!$H$138)*$H$7)/A30taxstdlife))</f>
        <v>0</v>
      </c>
      <c r="AN860" s="590">
        <f>IF(A30taxstdlife="n/a","n/a",IF(AN$3&gt;(A30taxstdlife+$E860),(('PTRM input'!$H$172+'PTRM input'!$H$138)*$H$7)-SUM($H860:AM860),(('PTRM input'!$H$172+'PTRM input'!$H$138)*$H$7)/A30taxstdlife))</f>
        <v>0</v>
      </c>
      <c r="AO860" s="590">
        <f>IF(A30taxstdlife="n/a","n/a",IF(AO$3&gt;(A30taxstdlife+$E860),(('PTRM input'!$H$172+'PTRM input'!$H$138)*$H$7)-SUM($H860:AN860),(('PTRM input'!$H$172+'PTRM input'!$H$138)*$H$7)/A30taxstdlife))</f>
        <v>0</v>
      </c>
      <c r="AP860" s="590">
        <f>IF(A30taxstdlife="n/a","n/a",IF(AP$3&gt;(A30taxstdlife+$E860),(('PTRM input'!$H$172+'PTRM input'!$H$138)*$H$7)-SUM($H860:AO860),(('PTRM input'!$H$172+'PTRM input'!$H$138)*$H$7)/A30taxstdlife))</f>
        <v>0</v>
      </c>
      <c r="AQ860" s="590">
        <f>IF(A30taxstdlife="n/a","n/a",IF(AQ$3&gt;(A30taxstdlife+$E860),(('PTRM input'!$H$172+'PTRM input'!$H$138)*$H$7)-SUM($H860:AP860),(('PTRM input'!$H$172+'PTRM input'!$H$138)*$H$7)/A30taxstdlife))</f>
        <v>0</v>
      </c>
      <c r="AR860" s="590">
        <f>IF(A30taxstdlife="n/a","n/a",IF(AR$3&gt;(A30taxstdlife+$E860),(('PTRM input'!$H$172+'PTRM input'!$H$138)*$H$7)-SUM($H860:AQ860),(('PTRM input'!$H$172+'PTRM input'!$H$138)*$H$7)/A30taxstdlife))</f>
        <v>0</v>
      </c>
      <c r="AS860" s="590">
        <f>IF(A30taxstdlife="n/a","n/a",IF(AS$3&gt;(A30taxstdlife+$E860),(('PTRM input'!$H$172+'PTRM input'!$H$138)*$H$7)-SUM($H860:AR860),(('PTRM input'!$H$172+'PTRM input'!$H$138)*$H$7)/A30taxstdlife))</f>
        <v>0</v>
      </c>
      <c r="AT860" s="590">
        <f>IF(A30taxstdlife="n/a","n/a",IF(AT$3&gt;(A30taxstdlife+$E860),(('PTRM input'!$H$172+'PTRM input'!$H$138)*$H$7)-SUM($H860:AS860),(('PTRM input'!$H$172+'PTRM input'!$H$138)*$H$7)/A30taxstdlife))</f>
        <v>0</v>
      </c>
      <c r="AU860" s="590">
        <f>IF(A30taxstdlife="n/a","n/a",IF(AU$3&gt;(A30taxstdlife+$E860),(('PTRM input'!$H$172+'PTRM input'!$H$138)*$H$7)-SUM($H860:AT860),(('PTRM input'!$H$172+'PTRM input'!$H$138)*$H$7)/A30taxstdlife))</f>
        <v>0</v>
      </c>
      <c r="AV860" s="590">
        <f>IF(A30taxstdlife="n/a","n/a",IF(AV$3&gt;(A30taxstdlife+$E860),(('PTRM input'!$H$172+'PTRM input'!$H$138)*$H$7)-SUM($H860:AU860),(('PTRM input'!$H$172+'PTRM input'!$H$138)*$H$7)/A30taxstdlife))</f>
        <v>0</v>
      </c>
      <c r="AW860" s="590">
        <f>IF(A30taxstdlife="n/a","n/a",IF(AW$3&gt;(A30taxstdlife+$E860),(('PTRM input'!$H$172+'PTRM input'!$H$138)*$H$7)-SUM($H860:AV860),(('PTRM input'!$H$172+'PTRM input'!$H$138)*$H$7)/A30taxstdlife))</f>
        <v>0</v>
      </c>
      <c r="AX860" s="590">
        <f>IF(A30taxstdlife="n/a","n/a",IF(AX$3&gt;(A30taxstdlife+$E860),(('PTRM input'!$H$172+'PTRM input'!$H$138)*$H$7)-SUM($H860:AW860),(('PTRM input'!$H$172+'PTRM input'!$H$138)*$H$7)/A30taxstdlife))</f>
        <v>0</v>
      </c>
      <c r="AY860" s="590">
        <f>IF(A30taxstdlife="n/a","n/a",IF(AY$3&gt;(A30taxstdlife+$E860),(('PTRM input'!$H$172+'PTRM input'!$H$138)*$H$7)-SUM($H860:AX860),(('PTRM input'!$H$172+'PTRM input'!$H$138)*$H$7)/A30taxstdlife))</f>
        <v>0</v>
      </c>
      <c r="AZ860" s="590">
        <f>IF(A30taxstdlife="n/a","n/a",IF(AZ$3&gt;(A30taxstdlife+$E860),(('PTRM input'!$H$172+'PTRM input'!$H$138)*$H$7)-SUM($H860:AY860),(('PTRM input'!$H$172+'PTRM input'!$H$138)*$H$7)/A30taxstdlife))</f>
        <v>0</v>
      </c>
      <c r="BA860" s="590">
        <f>IF(A30taxstdlife="n/a","n/a",IF(BA$3&gt;(A30taxstdlife+$E860),(('PTRM input'!$H$172+'PTRM input'!$H$138)*$H$7)-SUM($H860:AZ860),(('PTRM input'!$H$172+'PTRM input'!$H$138)*$H$7)/A30taxstdlife))</f>
        <v>0</v>
      </c>
      <c r="BB860" s="590">
        <f>IF(A30taxstdlife="n/a","n/a",IF(BB$3&gt;(A30taxstdlife+$E860),(('PTRM input'!$H$172+'PTRM input'!$H$138)*$H$7)-SUM($H860:BA860),(('PTRM input'!$H$172+'PTRM input'!$H$138)*$H$7)/A30taxstdlife))</f>
        <v>0</v>
      </c>
      <c r="BC860" s="590">
        <f>IF(A30taxstdlife="n/a","n/a",IF(BC$3&gt;(A30taxstdlife+$E860),(('PTRM input'!$H$172+'PTRM input'!$H$138)*$H$7)-SUM($H860:BB860),(('PTRM input'!$H$172+'PTRM input'!$H$138)*$H$7)/A30taxstdlife))</f>
        <v>0</v>
      </c>
      <c r="BD860" s="590">
        <f>IF(A30taxstdlife="n/a","n/a",IF(BD$3&gt;(A30taxstdlife+$E860),(('PTRM input'!$H$172+'PTRM input'!$H$138)*$H$7)-SUM($H860:BC860),(('PTRM input'!$H$172+'PTRM input'!$H$138)*$H$7)/A30taxstdlife))</f>
        <v>0</v>
      </c>
      <c r="BE860" s="590">
        <f>IF(A30taxstdlife="n/a","n/a",IF(BE$3&gt;(A30taxstdlife+$E860),(('PTRM input'!$H$172+'PTRM input'!$H$138)*$H$7)-SUM($H860:BD860),(('PTRM input'!$H$172+'PTRM input'!$H$138)*$H$7)/A30taxstdlife))</f>
        <v>0</v>
      </c>
      <c r="BF860" s="590">
        <f>IF(A30taxstdlife="n/a","n/a",IF(BF$3&gt;(A30taxstdlife+$E860),(('PTRM input'!$H$172+'PTRM input'!$H$138)*$H$7)-SUM($H860:BE860),(('PTRM input'!$H$172+'PTRM input'!$H$138)*$H$7)/A30taxstdlife))</f>
        <v>0</v>
      </c>
      <c r="BG860" s="590">
        <f>IF(A30taxstdlife="n/a","n/a",IF(BG$3&gt;(A30taxstdlife+$E860),(('PTRM input'!$H$172+'PTRM input'!$H$138)*$H$7)-SUM($H860:BF860),(('PTRM input'!$H$172+'PTRM input'!$H$138)*$H$7)/A30taxstdlife))</f>
        <v>0</v>
      </c>
      <c r="BH860" s="590">
        <f>IF(A30taxstdlife="n/a","n/a",IF(BH$3&gt;(A30taxstdlife+$E860),(('PTRM input'!$H$172+'PTRM input'!$H$138)*$H$7)-SUM($H860:BG860),(('PTRM input'!$H$172+'PTRM input'!$H$138)*$H$7)/A30taxstdlife))</f>
        <v>0</v>
      </c>
      <c r="BI860" s="590">
        <f>IF(A30taxstdlife="n/a","n/a",IF(BI$3&gt;(A30taxstdlife+$E860),(('PTRM input'!$H$172+'PTRM input'!$H$138)*$H$7)-SUM($H860:BH860),(('PTRM input'!$H$172+'PTRM input'!$H$138)*$H$7)/A30taxstdlife))</f>
        <v>0</v>
      </c>
      <c r="BJ860" s="240"/>
      <c r="BK860" s="240"/>
      <c r="BL860" s="240"/>
      <c r="BM860" s="240"/>
    </row>
    <row r="861" spans="1:65" s="4" customFormat="1" hidden="1" outlineLevel="2">
      <c r="A861" s="240"/>
      <c r="B861" s="240"/>
      <c r="C861" s="595"/>
      <c r="D861" s="1618"/>
      <c r="E861" s="169">
        <v>3</v>
      </c>
      <c r="F861" s="35"/>
      <c r="G861" s="184"/>
      <c r="H861" s="186"/>
      <c r="I861" s="185"/>
      <c r="J861" s="107">
        <f>IF(A30taxstdlife="n/a","n/a",IF(J$3&gt;(A30taxstdlife+$E861),(('PTRM input'!$I$172+'PTRM input'!$I$138)*$I$7)-SUM($I861:I861),(('PTRM input'!$I$172+'PTRM input'!$I$138)*$I$7)/A30taxstdlife))</f>
        <v>0</v>
      </c>
      <c r="K861" s="107">
        <f>IF(A30taxstdlife="n/a","n/a",IF(K$3&gt;(A30taxstdlife+$E861),(('PTRM input'!$I$172+'PTRM input'!$I$138)*$I$7)-SUM($I861:J861),(('PTRM input'!$I$172+'PTRM input'!$I$138)*$I$7)/A30taxstdlife))</f>
        <v>0</v>
      </c>
      <c r="L861" s="107">
        <f>IF(A30taxstdlife="n/a","n/a",IF(L$3&gt;(A30taxstdlife+$E861),(('PTRM input'!$I$172+'PTRM input'!$I$138)*$I$7)-SUM($I861:K861),(('PTRM input'!$I$172+'PTRM input'!$I$138)*$I$7)/A30taxstdlife))</f>
        <v>0</v>
      </c>
      <c r="M861" s="107">
        <f>IF(A30taxstdlife="n/a","n/a",IF(M$3&gt;(A30taxstdlife+$E861),(('PTRM input'!$I$172+'PTRM input'!$I$138)*$I$7)-SUM($I861:L861),(('PTRM input'!$I$172+'PTRM input'!$I$138)*$I$7)/A30taxstdlife))</f>
        <v>0</v>
      </c>
      <c r="N861" s="107">
        <f>IF(A30taxstdlife="n/a","n/a",IF(N$3&gt;(A30taxstdlife+$E861),(('PTRM input'!$I$172+'PTRM input'!$I$138)*$I$7)-SUM($I861:M861),(('PTRM input'!$I$172+'PTRM input'!$I$138)*$I$7)/A30taxstdlife))</f>
        <v>0</v>
      </c>
      <c r="O861" s="107">
        <f>IF(A30taxstdlife="n/a","n/a",IF(O$3&gt;(A30taxstdlife+$E861),(('PTRM input'!$I$172+'PTRM input'!$I$138)*$I$7)-SUM($I861:N861),(('PTRM input'!$I$172+'PTRM input'!$I$138)*$I$7)/A30taxstdlife))</f>
        <v>0</v>
      </c>
      <c r="P861" s="107">
        <f>IF(A30taxstdlife="n/a","n/a",IF(P$3&gt;(A30taxstdlife+$E861),(('PTRM input'!$I$172+'PTRM input'!$I$138)*$I$7)-SUM($I861:O861),(('PTRM input'!$I$172+'PTRM input'!$I$138)*$I$7)/A30taxstdlife))</f>
        <v>0</v>
      </c>
      <c r="Q861" s="590">
        <f>IF(A30taxstdlife="n/a","n/a",IF(Q$3&gt;(A30taxstdlife+$E861),(('PTRM input'!$I$172+'PTRM input'!$I$138)*$I$7)-SUM($I861:P861),(('PTRM input'!$I$172+'PTRM input'!$I$138)*$I$7)/A30taxstdlife))</f>
        <v>0</v>
      </c>
      <c r="R861" s="590">
        <f>IF(A30taxstdlife="n/a","n/a",IF(R$3&gt;(A30taxstdlife+$E861),(('PTRM input'!$I$172+'PTRM input'!$I$138)*$I$7)-SUM($I861:Q861),(('PTRM input'!$I$172+'PTRM input'!$I$138)*$I$7)/A30taxstdlife))</f>
        <v>0</v>
      </c>
      <c r="S861" s="590">
        <f>IF(A30taxstdlife="n/a","n/a",IF(S$3&gt;(A30taxstdlife+$E861),(('PTRM input'!$I$172+'PTRM input'!$I$138)*$I$7)-SUM($I861:R861),(('PTRM input'!$I$172+'PTRM input'!$I$138)*$I$7)/A30taxstdlife))</f>
        <v>0</v>
      </c>
      <c r="T861" s="590">
        <f>IF(A30taxstdlife="n/a","n/a",IF(T$3&gt;(A30taxstdlife+$E861),(('PTRM input'!$I$172+'PTRM input'!$I$138)*$I$7)-SUM($I861:S861),(('PTRM input'!$I$172+'PTRM input'!$I$138)*$I$7)/A30taxstdlife))</f>
        <v>0</v>
      </c>
      <c r="U861" s="590">
        <f>IF(A30taxstdlife="n/a","n/a",IF(U$3&gt;(A30taxstdlife+$E861),(('PTRM input'!$I$172+'PTRM input'!$I$138)*$I$7)-SUM($I861:T861),(('PTRM input'!$I$172+'PTRM input'!$I$138)*$I$7)/A30taxstdlife))</f>
        <v>0</v>
      </c>
      <c r="V861" s="590">
        <f>IF(A30taxstdlife="n/a","n/a",IF(V$3&gt;(A30taxstdlife+$E861),(('PTRM input'!$I$172+'PTRM input'!$I$138)*$I$7)-SUM($I861:U861),(('PTRM input'!$I$172+'PTRM input'!$I$138)*$I$7)/A30taxstdlife))</f>
        <v>0</v>
      </c>
      <c r="W861" s="590">
        <f>IF(A30taxstdlife="n/a","n/a",IF(W$3&gt;(A30taxstdlife+$E861),(('PTRM input'!$I$172+'PTRM input'!$I$138)*$I$7)-SUM($I861:V861),(('PTRM input'!$I$172+'PTRM input'!$I$138)*$I$7)/A30taxstdlife))</f>
        <v>0</v>
      </c>
      <c r="X861" s="590">
        <f>IF(A30taxstdlife="n/a","n/a",IF(X$3&gt;(A30taxstdlife+$E861),(('PTRM input'!$I$172+'PTRM input'!$I$138)*$I$7)-SUM($I861:W861),(('PTRM input'!$I$172+'PTRM input'!$I$138)*$I$7)/A30taxstdlife))</f>
        <v>0</v>
      </c>
      <c r="Y861" s="590">
        <f>IF(A30taxstdlife="n/a","n/a",IF(Y$3&gt;(A30taxstdlife+$E861),(('PTRM input'!$I$172+'PTRM input'!$I$138)*$I$7)-SUM($I861:X861),(('PTRM input'!$I$172+'PTRM input'!$I$138)*$I$7)/A30taxstdlife))</f>
        <v>0</v>
      </c>
      <c r="Z861" s="590">
        <f>IF(A30taxstdlife="n/a","n/a",IF(Z$3&gt;(A30taxstdlife+$E861),(('PTRM input'!$I$172+'PTRM input'!$I$138)*$I$7)-SUM($I861:Y861),(('PTRM input'!$I$172+'PTRM input'!$I$138)*$I$7)/A30taxstdlife))</f>
        <v>0</v>
      </c>
      <c r="AA861" s="590">
        <f>IF(A30taxstdlife="n/a","n/a",IF(AA$3&gt;(A30taxstdlife+$E861),(('PTRM input'!$I$172+'PTRM input'!$I$138)*$I$7)-SUM($I861:Z861),(('PTRM input'!$I$172+'PTRM input'!$I$138)*$I$7)/A30taxstdlife))</f>
        <v>0</v>
      </c>
      <c r="AB861" s="590">
        <f>IF(A30taxstdlife="n/a","n/a",IF(AB$3&gt;(A30taxstdlife+$E861),(('PTRM input'!$I$172+'PTRM input'!$I$138)*$I$7)-SUM($I861:AA861),(('PTRM input'!$I$172+'PTRM input'!$I$138)*$I$7)/A30taxstdlife))</f>
        <v>0</v>
      </c>
      <c r="AC861" s="590">
        <f>IF(A30taxstdlife="n/a","n/a",IF(AC$3&gt;(A30taxstdlife+$E861),(('PTRM input'!$I$172+'PTRM input'!$I$138)*$I$7)-SUM($I861:AB861),(('PTRM input'!$I$172+'PTRM input'!$I$138)*$I$7)/A30taxstdlife))</f>
        <v>0</v>
      </c>
      <c r="AD861" s="590">
        <f>IF(A30taxstdlife="n/a","n/a",IF(AD$3&gt;(A30taxstdlife+$E861),(('PTRM input'!$I$172+'PTRM input'!$I$138)*$I$7)-SUM($I861:AC861),(('PTRM input'!$I$172+'PTRM input'!$I$138)*$I$7)/A30taxstdlife))</f>
        <v>0</v>
      </c>
      <c r="AE861" s="590">
        <f>IF(A30taxstdlife="n/a","n/a",IF(AE$3&gt;(A30taxstdlife+$E861),(('PTRM input'!$I$172+'PTRM input'!$I$138)*$I$7)-SUM($I861:AD861),(('PTRM input'!$I$172+'PTRM input'!$I$138)*$I$7)/A30taxstdlife))</f>
        <v>0</v>
      </c>
      <c r="AF861" s="590">
        <f>IF(A30taxstdlife="n/a","n/a",IF(AF$3&gt;(A30taxstdlife+$E861),(('PTRM input'!$I$172+'PTRM input'!$I$138)*$I$7)-SUM($I861:AE861),(('PTRM input'!$I$172+'PTRM input'!$I$138)*$I$7)/A30taxstdlife))</f>
        <v>0</v>
      </c>
      <c r="AG861" s="590">
        <f>IF(A30taxstdlife="n/a","n/a",IF(AG$3&gt;(A30taxstdlife+$E861),(('PTRM input'!$I$172+'PTRM input'!$I$138)*$I$7)-SUM($I861:AF861),(('PTRM input'!$I$172+'PTRM input'!$I$138)*$I$7)/A30taxstdlife))</f>
        <v>0</v>
      </c>
      <c r="AH861" s="590">
        <f>IF(A30taxstdlife="n/a","n/a",IF(AH$3&gt;(A30taxstdlife+$E861),(('PTRM input'!$I$172+'PTRM input'!$I$138)*$I$7)-SUM($I861:AG861),(('PTRM input'!$I$172+'PTRM input'!$I$138)*$I$7)/A30taxstdlife))</f>
        <v>0</v>
      </c>
      <c r="AI861" s="590">
        <f>IF(A30taxstdlife="n/a","n/a",IF(AI$3&gt;(A30taxstdlife+$E861),(('PTRM input'!$I$172+'PTRM input'!$I$138)*$I$7)-SUM($I861:AH861),(('PTRM input'!$I$172+'PTRM input'!$I$138)*$I$7)/A30taxstdlife))</f>
        <v>0</v>
      </c>
      <c r="AJ861" s="590">
        <f>IF(A30taxstdlife="n/a","n/a",IF(AJ$3&gt;(A30taxstdlife+$E861),(('PTRM input'!$I$172+'PTRM input'!$I$138)*$I$7)-SUM($I861:AI861),(('PTRM input'!$I$172+'PTRM input'!$I$138)*$I$7)/A30taxstdlife))</f>
        <v>0</v>
      </c>
      <c r="AK861" s="590">
        <f>IF(A30taxstdlife="n/a","n/a",IF(AK$3&gt;(A30taxstdlife+$E861),(('PTRM input'!$I$172+'PTRM input'!$I$138)*$I$7)-SUM($I861:AJ861),(('PTRM input'!$I$172+'PTRM input'!$I$138)*$I$7)/A30taxstdlife))</f>
        <v>0</v>
      </c>
      <c r="AL861" s="590">
        <f>IF(A30taxstdlife="n/a","n/a",IF(AL$3&gt;(A30taxstdlife+$E861),(('PTRM input'!$I$172+'PTRM input'!$I$138)*$I$7)-SUM($I861:AK861),(('PTRM input'!$I$172+'PTRM input'!$I$138)*$I$7)/A30taxstdlife))</f>
        <v>0</v>
      </c>
      <c r="AM861" s="590">
        <f>IF(A30taxstdlife="n/a","n/a",IF(AM$3&gt;(A30taxstdlife+$E861),(('PTRM input'!$I$172+'PTRM input'!$I$138)*$I$7)-SUM($I861:AL861),(('PTRM input'!$I$172+'PTRM input'!$I$138)*$I$7)/A30taxstdlife))</f>
        <v>0</v>
      </c>
      <c r="AN861" s="590">
        <f>IF(A30taxstdlife="n/a","n/a",IF(AN$3&gt;(A30taxstdlife+$E861),(('PTRM input'!$I$172+'PTRM input'!$I$138)*$I$7)-SUM($I861:AM861),(('PTRM input'!$I$172+'PTRM input'!$I$138)*$I$7)/A30taxstdlife))</f>
        <v>0</v>
      </c>
      <c r="AO861" s="590">
        <f>IF(A30taxstdlife="n/a","n/a",IF(AO$3&gt;(A30taxstdlife+$E861),(('PTRM input'!$I$172+'PTRM input'!$I$138)*$I$7)-SUM($I861:AN861),(('PTRM input'!$I$172+'PTRM input'!$I$138)*$I$7)/A30taxstdlife))</f>
        <v>0</v>
      </c>
      <c r="AP861" s="590">
        <f>IF(A30taxstdlife="n/a","n/a",IF(AP$3&gt;(A30taxstdlife+$E861),(('PTRM input'!$I$172+'PTRM input'!$I$138)*$I$7)-SUM($I861:AO861),(('PTRM input'!$I$172+'PTRM input'!$I$138)*$I$7)/A30taxstdlife))</f>
        <v>0</v>
      </c>
      <c r="AQ861" s="590">
        <f>IF(A30taxstdlife="n/a","n/a",IF(AQ$3&gt;(A30taxstdlife+$E861),(('PTRM input'!$I$172+'PTRM input'!$I$138)*$I$7)-SUM($I861:AP861),(('PTRM input'!$I$172+'PTRM input'!$I$138)*$I$7)/A30taxstdlife))</f>
        <v>0</v>
      </c>
      <c r="AR861" s="590">
        <f>IF(A30taxstdlife="n/a","n/a",IF(AR$3&gt;(A30taxstdlife+$E861),(('PTRM input'!$I$172+'PTRM input'!$I$138)*$I$7)-SUM($I861:AQ861),(('PTRM input'!$I$172+'PTRM input'!$I$138)*$I$7)/A30taxstdlife))</f>
        <v>0</v>
      </c>
      <c r="AS861" s="590">
        <f>IF(A30taxstdlife="n/a","n/a",IF(AS$3&gt;(A30taxstdlife+$E861),(('PTRM input'!$I$172+'PTRM input'!$I$138)*$I$7)-SUM($I861:AR861),(('PTRM input'!$I$172+'PTRM input'!$I$138)*$I$7)/A30taxstdlife))</f>
        <v>0</v>
      </c>
      <c r="AT861" s="590">
        <f>IF(A30taxstdlife="n/a","n/a",IF(AT$3&gt;(A30taxstdlife+$E861),(('PTRM input'!$I$172+'PTRM input'!$I$138)*$I$7)-SUM($I861:AS861),(('PTRM input'!$I$172+'PTRM input'!$I$138)*$I$7)/A30taxstdlife))</f>
        <v>0</v>
      </c>
      <c r="AU861" s="590">
        <f>IF(A30taxstdlife="n/a","n/a",IF(AU$3&gt;(A30taxstdlife+$E861),(('PTRM input'!$I$172+'PTRM input'!$I$138)*$I$7)-SUM($I861:AT861),(('PTRM input'!$I$172+'PTRM input'!$I$138)*$I$7)/A30taxstdlife))</f>
        <v>0</v>
      </c>
      <c r="AV861" s="590">
        <f>IF(A30taxstdlife="n/a","n/a",IF(AV$3&gt;(A30taxstdlife+$E861),(('PTRM input'!$I$172+'PTRM input'!$I$138)*$I$7)-SUM($I861:AU861),(('PTRM input'!$I$172+'PTRM input'!$I$138)*$I$7)/A30taxstdlife))</f>
        <v>0</v>
      </c>
      <c r="AW861" s="590">
        <f>IF(A30taxstdlife="n/a","n/a",IF(AW$3&gt;(A30taxstdlife+$E861),(('PTRM input'!$I$172+'PTRM input'!$I$138)*$I$7)-SUM($I861:AV861),(('PTRM input'!$I$172+'PTRM input'!$I$138)*$I$7)/A30taxstdlife))</f>
        <v>0</v>
      </c>
      <c r="AX861" s="590">
        <f>IF(A30taxstdlife="n/a","n/a",IF(AX$3&gt;(A30taxstdlife+$E861),(('PTRM input'!$I$172+'PTRM input'!$I$138)*$I$7)-SUM($I861:AW861),(('PTRM input'!$I$172+'PTRM input'!$I$138)*$I$7)/A30taxstdlife))</f>
        <v>0</v>
      </c>
      <c r="AY861" s="590">
        <f>IF(A30taxstdlife="n/a","n/a",IF(AY$3&gt;(A30taxstdlife+$E861),(('PTRM input'!$I$172+'PTRM input'!$I$138)*$I$7)-SUM($I861:AX861),(('PTRM input'!$I$172+'PTRM input'!$I$138)*$I$7)/A30taxstdlife))</f>
        <v>0</v>
      </c>
      <c r="AZ861" s="590">
        <f>IF(A30taxstdlife="n/a","n/a",IF(AZ$3&gt;(A30taxstdlife+$E861),(('PTRM input'!$I$172+'PTRM input'!$I$138)*$I$7)-SUM($I861:AY861),(('PTRM input'!$I$172+'PTRM input'!$I$138)*$I$7)/A30taxstdlife))</f>
        <v>0</v>
      </c>
      <c r="BA861" s="590">
        <f>IF(A30taxstdlife="n/a","n/a",IF(BA$3&gt;(A30taxstdlife+$E861),(('PTRM input'!$I$172+'PTRM input'!$I$138)*$I$7)-SUM($I861:AZ861),(('PTRM input'!$I$172+'PTRM input'!$I$138)*$I$7)/A30taxstdlife))</f>
        <v>0</v>
      </c>
      <c r="BB861" s="590">
        <f>IF(A30taxstdlife="n/a","n/a",IF(BB$3&gt;(A30taxstdlife+$E861),(('PTRM input'!$I$172+'PTRM input'!$I$138)*$I$7)-SUM($I861:BA861),(('PTRM input'!$I$172+'PTRM input'!$I$138)*$I$7)/A30taxstdlife))</f>
        <v>0</v>
      </c>
      <c r="BC861" s="590">
        <f>IF(A30taxstdlife="n/a","n/a",IF(BC$3&gt;(A30taxstdlife+$E861),(('PTRM input'!$I$172+'PTRM input'!$I$138)*$I$7)-SUM($I861:BB861),(('PTRM input'!$I$172+'PTRM input'!$I$138)*$I$7)/A30taxstdlife))</f>
        <v>0</v>
      </c>
      <c r="BD861" s="590">
        <f>IF(A30taxstdlife="n/a","n/a",IF(BD$3&gt;(A30taxstdlife+$E861),(('PTRM input'!$I$172+'PTRM input'!$I$138)*$I$7)-SUM($I861:BC861),(('PTRM input'!$I$172+'PTRM input'!$I$138)*$I$7)/A30taxstdlife))</f>
        <v>0</v>
      </c>
      <c r="BE861" s="590">
        <f>IF(A30taxstdlife="n/a","n/a",IF(BE$3&gt;(A30taxstdlife+$E861),(('PTRM input'!$I$172+'PTRM input'!$I$138)*$I$7)-SUM($I861:BD861),(('PTRM input'!$I$172+'PTRM input'!$I$138)*$I$7)/A30taxstdlife))</f>
        <v>0</v>
      </c>
      <c r="BF861" s="590">
        <f>IF(A30taxstdlife="n/a","n/a",IF(BF$3&gt;(A30taxstdlife+$E861),(('PTRM input'!$I$172+'PTRM input'!$I$138)*$I$7)-SUM($I861:BE861),(('PTRM input'!$I$172+'PTRM input'!$I$138)*$I$7)/A30taxstdlife))</f>
        <v>0</v>
      </c>
      <c r="BG861" s="590">
        <f>IF(A30taxstdlife="n/a","n/a",IF(BG$3&gt;(A30taxstdlife+$E861),(('PTRM input'!$I$172+'PTRM input'!$I$138)*$I$7)-SUM($I861:BF861),(('PTRM input'!$I$172+'PTRM input'!$I$138)*$I$7)/A30taxstdlife))</f>
        <v>0</v>
      </c>
      <c r="BH861" s="590">
        <f>IF(A30taxstdlife="n/a","n/a",IF(BH$3&gt;(A30taxstdlife+$E861),(('PTRM input'!$I$172+'PTRM input'!$I$138)*$I$7)-SUM($I861:BG861),(('PTRM input'!$I$172+'PTRM input'!$I$138)*$I$7)/A30taxstdlife))</f>
        <v>0</v>
      </c>
      <c r="BI861" s="590">
        <f>IF(A30taxstdlife="n/a","n/a",IF(BI$3&gt;(A30taxstdlife+$E861),(('PTRM input'!$I$172+'PTRM input'!$I$138)*$I$7)-SUM($I861:BH861),(('PTRM input'!$I$172+'PTRM input'!$I$138)*$I$7)/A30taxstdlife))</f>
        <v>0</v>
      </c>
      <c r="BJ861" s="590"/>
      <c r="BK861" s="240"/>
      <c r="BL861" s="240"/>
      <c r="BM861" s="240"/>
    </row>
    <row r="862" spans="1:65" s="4" customFormat="1" hidden="1" outlineLevel="2">
      <c r="A862" s="240"/>
      <c r="B862" s="240"/>
      <c r="C862" s="595"/>
      <c r="D862" s="1618"/>
      <c r="E862" s="169">
        <v>4</v>
      </c>
      <c r="F862" s="35"/>
      <c r="G862" s="184"/>
      <c r="H862" s="186"/>
      <c r="I862" s="186"/>
      <c r="J862" s="185"/>
      <c r="K862" s="107">
        <f>IF(A30taxstdlife="n/a","n/a",IF(K$3&gt;(A30taxstdlife+$E862),(('PTRM input'!$J$172+'PTRM input'!$J$138)*$J$7)-SUM($J862:J862),(('PTRM input'!$J$172+'PTRM input'!$J$138)*$J$7)/A30taxstdlife))</f>
        <v>0</v>
      </c>
      <c r="L862" s="107">
        <f>IF(A30taxstdlife="n/a","n/a",IF(L$3&gt;(A30taxstdlife+$E862),(('PTRM input'!$J$172+'PTRM input'!$J$138)*$J$7)-SUM($J862:K862),(('PTRM input'!$J$172+'PTRM input'!$J$138)*$J$7)/A30taxstdlife))</f>
        <v>0</v>
      </c>
      <c r="M862" s="107">
        <f>IF(A30taxstdlife="n/a","n/a",IF(M$3&gt;(A30taxstdlife+$E862),(('PTRM input'!$J$172+'PTRM input'!$J$138)*$J$7)-SUM($J862:L862),(('PTRM input'!$J$172+'PTRM input'!$J$138)*$J$7)/A30taxstdlife))</f>
        <v>0</v>
      </c>
      <c r="N862" s="107">
        <f>IF(A30taxstdlife="n/a","n/a",IF(N$3&gt;(A30taxstdlife+$E862),(('PTRM input'!$J$172+'PTRM input'!$J$138)*$J$7)-SUM($J862:M862),(('PTRM input'!$J$172+'PTRM input'!$J$138)*$J$7)/A30taxstdlife))</f>
        <v>0</v>
      </c>
      <c r="O862" s="107">
        <f>IF(A30taxstdlife="n/a","n/a",IF(O$3&gt;(A30taxstdlife+$E862),(('PTRM input'!$J$172+'PTRM input'!$J$138)*$J$7)-SUM($J862:N862),(('PTRM input'!$J$172+'PTRM input'!$J$138)*$J$7)/A30taxstdlife))</f>
        <v>0</v>
      </c>
      <c r="P862" s="107">
        <f>IF(A30taxstdlife="n/a","n/a",IF(P$3&gt;(A30taxstdlife+$E862),(('PTRM input'!$J$172+'PTRM input'!$J$138)*$J$7)-SUM($J862:O862),(('PTRM input'!$J$172+'PTRM input'!$J$138)*$J$7)/A30taxstdlife))</f>
        <v>0</v>
      </c>
      <c r="Q862" s="590">
        <f>IF(A30taxstdlife="n/a","n/a",IF(Q$3&gt;(A30taxstdlife+$E862),(('PTRM input'!$J$172+'PTRM input'!$J$138)*$J$7)-SUM($J862:P862),(('PTRM input'!$J$172+'PTRM input'!$J$138)*$J$7)/A30taxstdlife))</f>
        <v>0</v>
      </c>
      <c r="R862" s="590">
        <f>IF(A30taxstdlife="n/a","n/a",IF(R$3&gt;(A30taxstdlife+$E862),(('PTRM input'!$J$172+'PTRM input'!$J$138)*$J$7)-SUM($J862:Q862),(('PTRM input'!$J$172+'PTRM input'!$J$138)*$J$7)/A30taxstdlife))</f>
        <v>0</v>
      </c>
      <c r="S862" s="590">
        <f>IF(A30taxstdlife="n/a","n/a",IF(S$3&gt;(A30taxstdlife+$E862),(('PTRM input'!$J$172+'PTRM input'!$J$138)*$J$7)-SUM($J862:R862),(('PTRM input'!$J$172+'PTRM input'!$J$138)*$J$7)/A30taxstdlife))</f>
        <v>0</v>
      </c>
      <c r="T862" s="590">
        <f>IF(A30taxstdlife="n/a","n/a",IF(T$3&gt;(A30taxstdlife+$E862),(('PTRM input'!$J$172+'PTRM input'!$J$138)*$J$7)-SUM($J862:S862),(('PTRM input'!$J$172+'PTRM input'!$J$138)*$J$7)/A30taxstdlife))</f>
        <v>0</v>
      </c>
      <c r="U862" s="590">
        <f>IF(A30taxstdlife="n/a","n/a",IF(U$3&gt;(A30taxstdlife+$E862),(('PTRM input'!$J$172+'PTRM input'!$J$138)*$J$7)-SUM($J862:T862),(('PTRM input'!$J$172+'PTRM input'!$J$138)*$J$7)/A30taxstdlife))</f>
        <v>0</v>
      </c>
      <c r="V862" s="590">
        <f>IF(A30taxstdlife="n/a","n/a",IF(V$3&gt;(A30taxstdlife+$E862),(('PTRM input'!$J$172+'PTRM input'!$J$138)*$J$7)-SUM($J862:U862),(('PTRM input'!$J$172+'PTRM input'!$J$138)*$J$7)/A30taxstdlife))</f>
        <v>0</v>
      </c>
      <c r="W862" s="590">
        <f>IF(A30taxstdlife="n/a","n/a",IF(W$3&gt;(A30taxstdlife+$E862),(('PTRM input'!$J$172+'PTRM input'!$J$138)*$J$7)-SUM($J862:V862),(('PTRM input'!$J$172+'PTRM input'!$J$138)*$J$7)/A30taxstdlife))</f>
        <v>0</v>
      </c>
      <c r="X862" s="590">
        <f>IF(A30taxstdlife="n/a","n/a",IF(X$3&gt;(A30taxstdlife+$E862),(('PTRM input'!$J$172+'PTRM input'!$J$138)*$J$7)-SUM($J862:W862),(('PTRM input'!$J$172+'PTRM input'!$J$138)*$J$7)/A30taxstdlife))</f>
        <v>0</v>
      </c>
      <c r="Y862" s="590">
        <f>IF(A30taxstdlife="n/a","n/a",IF(Y$3&gt;(A30taxstdlife+$E862),(('PTRM input'!$J$172+'PTRM input'!$J$138)*$J$7)-SUM($J862:X862),(('PTRM input'!$J$172+'PTRM input'!$J$138)*$J$7)/A30taxstdlife))</f>
        <v>0</v>
      </c>
      <c r="Z862" s="590">
        <f>IF(A30taxstdlife="n/a","n/a",IF(Z$3&gt;(A30taxstdlife+$E862),(('PTRM input'!$J$172+'PTRM input'!$J$138)*$J$7)-SUM($J862:Y862),(('PTRM input'!$J$172+'PTRM input'!$J$138)*$J$7)/A30taxstdlife))</f>
        <v>0</v>
      </c>
      <c r="AA862" s="590">
        <f>IF(A30taxstdlife="n/a","n/a",IF(AA$3&gt;(A30taxstdlife+$E862),(('PTRM input'!$J$172+'PTRM input'!$J$138)*$J$7)-SUM($J862:Z862),(('PTRM input'!$J$172+'PTRM input'!$J$138)*$J$7)/A30taxstdlife))</f>
        <v>0</v>
      </c>
      <c r="AB862" s="590">
        <f>IF(A30taxstdlife="n/a","n/a",IF(AB$3&gt;(A30taxstdlife+$E862),(('PTRM input'!$J$172+'PTRM input'!$J$138)*$J$7)-SUM($J862:AA862),(('PTRM input'!$J$172+'PTRM input'!$J$138)*$J$7)/A30taxstdlife))</f>
        <v>0</v>
      </c>
      <c r="AC862" s="590">
        <f>IF(A30taxstdlife="n/a","n/a",IF(AC$3&gt;(A30taxstdlife+$E862),(('PTRM input'!$J$172+'PTRM input'!$J$138)*$J$7)-SUM($J862:AB862),(('PTRM input'!$J$172+'PTRM input'!$J$138)*$J$7)/A30taxstdlife))</f>
        <v>0</v>
      </c>
      <c r="AD862" s="590">
        <f>IF(A30taxstdlife="n/a","n/a",IF(AD$3&gt;(A30taxstdlife+$E862),(('PTRM input'!$J$172+'PTRM input'!$J$138)*$J$7)-SUM($J862:AC862),(('PTRM input'!$J$172+'PTRM input'!$J$138)*$J$7)/A30taxstdlife))</f>
        <v>0</v>
      </c>
      <c r="AE862" s="590">
        <f>IF(A30taxstdlife="n/a","n/a",IF(AE$3&gt;(A30taxstdlife+$E862),(('PTRM input'!$J$172+'PTRM input'!$J$138)*$J$7)-SUM($J862:AD862),(('PTRM input'!$J$172+'PTRM input'!$J$138)*$J$7)/A30taxstdlife))</f>
        <v>0</v>
      </c>
      <c r="AF862" s="590">
        <f>IF(A30taxstdlife="n/a","n/a",IF(AF$3&gt;(A30taxstdlife+$E862),(('PTRM input'!$J$172+'PTRM input'!$J$138)*$J$7)-SUM($J862:AE862),(('PTRM input'!$J$172+'PTRM input'!$J$138)*$J$7)/A30taxstdlife))</f>
        <v>0</v>
      </c>
      <c r="AG862" s="590">
        <f>IF(A30taxstdlife="n/a","n/a",IF(AG$3&gt;(A30taxstdlife+$E862),(('PTRM input'!$J$172+'PTRM input'!$J$138)*$J$7)-SUM($J862:AF862),(('PTRM input'!$J$172+'PTRM input'!$J$138)*$J$7)/A30taxstdlife))</f>
        <v>0</v>
      </c>
      <c r="AH862" s="590">
        <f>IF(A30taxstdlife="n/a","n/a",IF(AH$3&gt;(A30taxstdlife+$E862),(('PTRM input'!$J$172+'PTRM input'!$J$138)*$J$7)-SUM($J862:AG862),(('PTRM input'!$J$172+'PTRM input'!$J$138)*$J$7)/A30taxstdlife))</f>
        <v>0</v>
      </c>
      <c r="AI862" s="590">
        <f>IF(A30taxstdlife="n/a","n/a",IF(AI$3&gt;(A30taxstdlife+$E862),(('PTRM input'!$J$172+'PTRM input'!$J$138)*$J$7)-SUM($J862:AH862),(('PTRM input'!$J$172+'PTRM input'!$J$138)*$J$7)/A30taxstdlife))</f>
        <v>0</v>
      </c>
      <c r="AJ862" s="590">
        <f>IF(A30taxstdlife="n/a","n/a",IF(AJ$3&gt;(A30taxstdlife+$E862),(('PTRM input'!$J$172+'PTRM input'!$J$138)*$J$7)-SUM($J862:AI862),(('PTRM input'!$J$172+'PTRM input'!$J$138)*$J$7)/A30taxstdlife))</f>
        <v>0</v>
      </c>
      <c r="AK862" s="590">
        <f>IF(A30taxstdlife="n/a","n/a",IF(AK$3&gt;(A30taxstdlife+$E862),(('PTRM input'!$J$172+'PTRM input'!$J$138)*$J$7)-SUM($J862:AJ862),(('PTRM input'!$J$172+'PTRM input'!$J$138)*$J$7)/A30taxstdlife))</f>
        <v>0</v>
      </c>
      <c r="AL862" s="590">
        <f>IF(A30taxstdlife="n/a","n/a",IF(AL$3&gt;(A30taxstdlife+$E862),(('PTRM input'!$J$172+'PTRM input'!$J$138)*$J$7)-SUM($J862:AK862),(('PTRM input'!$J$172+'PTRM input'!$J$138)*$J$7)/A30taxstdlife))</f>
        <v>0</v>
      </c>
      <c r="AM862" s="590">
        <f>IF(A30taxstdlife="n/a","n/a",IF(AM$3&gt;(A30taxstdlife+$E862),(('PTRM input'!$J$172+'PTRM input'!$J$138)*$J$7)-SUM($J862:AL862),(('PTRM input'!$J$172+'PTRM input'!$J$138)*$J$7)/A30taxstdlife))</f>
        <v>0</v>
      </c>
      <c r="AN862" s="590">
        <f>IF(A30taxstdlife="n/a","n/a",IF(AN$3&gt;(A30taxstdlife+$E862),(('PTRM input'!$J$172+'PTRM input'!$J$138)*$J$7)-SUM($J862:AM862),(('PTRM input'!$J$172+'PTRM input'!$J$138)*$J$7)/A30taxstdlife))</f>
        <v>0</v>
      </c>
      <c r="AO862" s="590">
        <f>IF(A30taxstdlife="n/a","n/a",IF(AO$3&gt;(A30taxstdlife+$E862),(('PTRM input'!$J$172+'PTRM input'!$J$138)*$J$7)-SUM($J862:AN862),(('PTRM input'!$J$172+'PTRM input'!$J$138)*$J$7)/A30taxstdlife))</f>
        <v>0</v>
      </c>
      <c r="AP862" s="590">
        <f>IF(A30taxstdlife="n/a","n/a",IF(AP$3&gt;(A30taxstdlife+$E862),(('PTRM input'!$J$172+'PTRM input'!$J$138)*$J$7)-SUM($J862:AO862),(('PTRM input'!$J$172+'PTRM input'!$J$138)*$J$7)/A30taxstdlife))</f>
        <v>0</v>
      </c>
      <c r="AQ862" s="590">
        <f>IF(A30taxstdlife="n/a","n/a",IF(AQ$3&gt;(A30taxstdlife+$E862),(('PTRM input'!$J$172+'PTRM input'!$J$138)*$J$7)-SUM($J862:AP862),(('PTRM input'!$J$172+'PTRM input'!$J$138)*$J$7)/A30taxstdlife))</f>
        <v>0</v>
      </c>
      <c r="AR862" s="590">
        <f>IF(A30taxstdlife="n/a","n/a",IF(AR$3&gt;(A30taxstdlife+$E862),(('PTRM input'!$J$172+'PTRM input'!$J$138)*$J$7)-SUM($J862:AQ862),(('PTRM input'!$J$172+'PTRM input'!$J$138)*$J$7)/A30taxstdlife))</f>
        <v>0</v>
      </c>
      <c r="AS862" s="590">
        <f>IF(A30taxstdlife="n/a","n/a",IF(AS$3&gt;(A30taxstdlife+$E862),(('PTRM input'!$J$172+'PTRM input'!$J$138)*$J$7)-SUM($J862:AR862),(('PTRM input'!$J$172+'PTRM input'!$J$138)*$J$7)/A30taxstdlife))</f>
        <v>0</v>
      </c>
      <c r="AT862" s="590">
        <f>IF(A30taxstdlife="n/a","n/a",IF(AT$3&gt;(A30taxstdlife+$E862),(('PTRM input'!$J$172+'PTRM input'!$J$138)*$J$7)-SUM($J862:AS862),(('PTRM input'!$J$172+'PTRM input'!$J$138)*$J$7)/A30taxstdlife))</f>
        <v>0</v>
      </c>
      <c r="AU862" s="590">
        <f>IF(A30taxstdlife="n/a","n/a",IF(AU$3&gt;(A30taxstdlife+$E862),(('PTRM input'!$J$172+'PTRM input'!$J$138)*$J$7)-SUM($J862:AT862),(('PTRM input'!$J$172+'PTRM input'!$J$138)*$J$7)/A30taxstdlife))</f>
        <v>0</v>
      </c>
      <c r="AV862" s="590">
        <f>IF(A30taxstdlife="n/a","n/a",IF(AV$3&gt;(A30taxstdlife+$E862),(('PTRM input'!$J$172+'PTRM input'!$J$138)*$J$7)-SUM($J862:AU862),(('PTRM input'!$J$172+'PTRM input'!$J$138)*$J$7)/A30taxstdlife))</f>
        <v>0</v>
      </c>
      <c r="AW862" s="590">
        <f>IF(A30taxstdlife="n/a","n/a",IF(AW$3&gt;(A30taxstdlife+$E862),(('PTRM input'!$J$172+'PTRM input'!$J$138)*$J$7)-SUM($J862:AV862),(('PTRM input'!$J$172+'PTRM input'!$J$138)*$J$7)/A30taxstdlife))</f>
        <v>0</v>
      </c>
      <c r="AX862" s="590">
        <f>IF(A30taxstdlife="n/a","n/a",IF(AX$3&gt;(A30taxstdlife+$E862),(('PTRM input'!$J$172+'PTRM input'!$J$138)*$J$7)-SUM($J862:AW862),(('PTRM input'!$J$172+'PTRM input'!$J$138)*$J$7)/A30taxstdlife))</f>
        <v>0</v>
      </c>
      <c r="AY862" s="590">
        <f>IF(A30taxstdlife="n/a","n/a",IF(AY$3&gt;(A30taxstdlife+$E862),(('PTRM input'!$J$172+'PTRM input'!$J$138)*$J$7)-SUM($J862:AX862),(('PTRM input'!$J$172+'PTRM input'!$J$138)*$J$7)/A30taxstdlife))</f>
        <v>0</v>
      </c>
      <c r="AZ862" s="590">
        <f>IF(A30taxstdlife="n/a","n/a",IF(AZ$3&gt;(A30taxstdlife+$E862),(('PTRM input'!$J$172+'PTRM input'!$J$138)*$J$7)-SUM($J862:AY862),(('PTRM input'!$J$172+'PTRM input'!$J$138)*$J$7)/A30taxstdlife))</f>
        <v>0</v>
      </c>
      <c r="BA862" s="590">
        <f>IF(A30taxstdlife="n/a","n/a",IF(BA$3&gt;(A30taxstdlife+$E862),(('PTRM input'!$J$172+'PTRM input'!$J$138)*$J$7)-SUM($J862:AZ862),(('PTRM input'!$J$172+'PTRM input'!$J$138)*$J$7)/A30taxstdlife))</f>
        <v>0</v>
      </c>
      <c r="BB862" s="590">
        <f>IF(A30taxstdlife="n/a","n/a",IF(BB$3&gt;(A30taxstdlife+$E862),(('PTRM input'!$J$172+'PTRM input'!$J$138)*$J$7)-SUM($J862:BA862),(('PTRM input'!$J$172+'PTRM input'!$J$138)*$J$7)/A30taxstdlife))</f>
        <v>0</v>
      </c>
      <c r="BC862" s="590">
        <f>IF(A30taxstdlife="n/a","n/a",IF(BC$3&gt;(A30taxstdlife+$E862),(('PTRM input'!$J$172+'PTRM input'!$J$138)*$J$7)-SUM($J862:BB862),(('PTRM input'!$J$172+'PTRM input'!$J$138)*$J$7)/A30taxstdlife))</f>
        <v>0</v>
      </c>
      <c r="BD862" s="590">
        <f>IF(A30taxstdlife="n/a","n/a",IF(BD$3&gt;(A30taxstdlife+$E862),(('PTRM input'!$J$172+'PTRM input'!$J$138)*$J$7)-SUM($J862:BC862),(('PTRM input'!$J$172+'PTRM input'!$J$138)*$J$7)/A30taxstdlife))</f>
        <v>0</v>
      </c>
      <c r="BE862" s="590">
        <f>IF(A30taxstdlife="n/a","n/a",IF(BE$3&gt;(A30taxstdlife+$E862),(('PTRM input'!$J$172+'PTRM input'!$J$138)*$J$7)-SUM($J862:BD862),(('PTRM input'!$J$172+'PTRM input'!$J$138)*$J$7)/A30taxstdlife))</f>
        <v>0</v>
      </c>
      <c r="BF862" s="590">
        <f>IF(A30taxstdlife="n/a","n/a",IF(BF$3&gt;(A30taxstdlife+$E862),(('PTRM input'!$J$172+'PTRM input'!$J$138)*$J$7)-SUM($J862:BE862),(('PTRM input'!$J$172+'PTRM input'!$J$138)*$J$7)/A30taxstdlife))</f>
        <v>0</v>
      </c>
      <c r="BG862" s="590">
        <f>IF(A30taxstdlife="n/a","n/a",IF(BG$3&gt;(A30taxstdlife+$E862),(('PTRM input'!$J$172+'PTRM input'!$J$138)*$J$7)-SUM($J862:BF862),(('PTRM input'!$J$172+'PTRM input'!$J$138)*$J$7)/A30taxstdlife))</f>
        <v>0</v>
      </c>
      <c r="BH862" s="590">
        <f>IF(A30taxstdlife="n/a","n/a",IF(BH$3&gt;(A30taxstdlife+$E862),(('PTRM input'!$J$172+'PTRM input'!$J$138)*$J$7)-SUM($J862:BG862),(('PTRM input'!$J$172+'PTRM input'!$J$138)*$J$7)/A30taxstdlife))</f>
        <v>0</v>
      </c>
      <c r="BI862" s="590">
        <f>IF(A30taxstdlife="n/a","n/a",IF(BI$3&gt;(A30taxstdlife+$E862),(('PTRM input'!$J$172+'PTRM input'!$J$138)*$J$7)-SUM($J862:BH862),(('PTRM input'!$J$172+'PTRM input'!$J$138)*$J$7)/A30taxstdlife))</f>
        <v>0</v>
      </c>
      <c r="BJ862" s="240"/>
      <c r="BK862" s="240"/>
      <c r="BL862" s="240"/>
      <c r="BM862" s="240"/>
    </row>
    <row r="863" spans="1:65" s="4" customFormat="1" hidden="1" outlineLevel="2">
      <c r="A863" s="240"/>
      <c r="B863" s="240"/>
      <c r="C863" s="595"/>
      <c r="D863" s="1618"/>
      <c r="E863" s="169">
        <v>5</v>
      </c>
      <c r="F863" s="35"/>
      <c r="G863" s="184"/>
      <c r="H863" s="186"/>
      <c r="I863" s="186"/>
      <c r="J863" s="186"/>
      <c r="K863" s="185"/>
      <c r="L863" s="107">
        <f>IF(A30taxstdlife="n/a","n/a",IF(L$3&gt;(A30taxstdlife+$E863),(('PTRM input'!$K$172+'PTRM input'!$K$138)*$K$7)-SUM($K863:K863),(('PTRM input'!$K$172+'PTRM input'!$K$138)*$K$7)/A30taxstdlife))</f>
        <v>0</v>
      </c>
      <c r="M863" s="107">
        <f>IF(A30taxstdlife="n/a","n/a",IF(M$3&gt;(A30taxstdlife+$E863),(('PTRM input'!$K$172+'PTRM input'!$K$138)*$K$7)-SUM($K863:L863),(('PTRM input'!$K$172+'PTRM input'!$K$138)*$K$7)/A30taxstdlife))</f>
        <v>0</v>
      </c>
      <c r="N863" s="107">
        <f>IF(A30taxstdlife="n/a","n/a",IF(N$3&gt;(A30taxstdlife+$E863),(('PTRM input'!$K$172+'PTRM input'!$K$138)*$K$7)-SUM($K863:M863),(('PTRM input'!$K$172+'PTRM input'!$K$138)*$K$7)/A30taxstdlife))</f>
        <v>0</v>
      </c>
      <c r="O863" s="107">
        <f>IF(A30taxstdlife="n/a","n/a",IF(O$3&gt;(A30taxstdlife+$E863),(('PTRM input'!$K$172+'PTRM input'!$K$138)*$K$7)-SUM($K863:N863),(('PTRM input'!$K$172+'PTRM input'!$K$138)*$K$7)/A30taxstdlife))</f>
        <v>0</v>
      </c>
      <c r="P863" s="107">
        <f>IF(A30taxstdlife="n/a","n/a",IF(P$3&gt;(A30taxstdlife+$E863),(('PTRM input'!$K$172+'PTRM input'!$K$138)*$K$7)-SUM($K863:O863),(('PTRM input'!$K$172+'PTRM input'!$K$138)*$K$7)/A30taxstdlife))</f>
        <v>0</v>
      </c>
      <c r="Q863" s="590">
        <f>IF(A30taxstdlife="n/a","n/a",IF(Q$3&gt;(A30taxstdlife+$E863),(('PTRM input'!$K$172+'PTRM input'!$K$138)*$K$7)-SUM($K863:P863),(('PTRM input'!$K$172+'PTRM input'!$K$138)*$K$7)/A30taxstdlife))</f>
        <v>0</v>
      </c>
      <c r="R863" s="590">
        <f>IF(A30taxstdlife="n/a","n/a",IF(R$3&gt;(A30taxstdlife+$E863),(('PTRM input'!$K$172+'PTRM input'!$K$138)*$K$7)-SUM($K863:Q863),(('PTRM input'!$K$172+'PTRM input'!$K$138)*$K$7)/A30taxstdlife))</f>
        <v>0</v>
      </c>
      <c r="S863" s="590">
        <f>IF(A30taxstdlife="n/a","n/a",IF(S$3&gt;(A30taxstdlife+$E863),(('PTRM input'!$K$172+'PTRM input'!$K$138)*$K$7)-SUM($K863:R863),(('PTRM input'!$K$172+'PTRM input'!$K$138)*$K$7)/A30taxstdlife))</f>
        <v>0</v>
      </c>
      <c r="T863" s="590">
        <f>IF(A30taxstdlife="n/a","n/a",IF(T$3&gt;(A30taxstdlife+$E863),(('PTRM input'!$K$172+'PTRM input'!$K$138)*$K$7)-SUM($K863:S863),(('PTRM input'!$K$172+'PTRM input'!$K$138)*$K$7)/A30taxstdlife))</f>
        <v>0</v>
      </c>
      <c r="U863" s="590">
        <f>IF(A30taxstdlife="n/a","n/a",IF(U$3&gt;(A30taxstdlife+$E863),(('PTRM input'!$K$172+'PTRM input'!$K$138)*$K$7)-SUM($K863:T863),(('PTRM input'!$K$172+'PTRM input'!$K$138)*$K$7)/A30taxstdlife))</f>
        <v>0</v>
      </c>
      <c r="V863" s="590">
        <f>IF(A30taxstdlife="n/a","n/a",IF(V$3&gt;(A30taxstdlife+$E863),(('PTRM input'!$K$172+'PTRM input'!$K$138)*$K$7)-SUM($K863:U863),(('PTRM input'!$K$172+'PTRM input'!$K$138)*$K$7)/A30taxstdlife))</f>
        <v>0</v>
      </c>
      <c r="W863" s="590">
        <f>IF(A30taxstdlife="n/a","n/a",IF(W$3&gt;(A30taxstdlife+$E863),(('PTRM input'!$K$172+'PTRM input'!$K$138)*$K$7)-SUM($K863:V863),(('PTRM input'!$K$172+'PTRM input'!$K$138)*$K$7)/A30taxstdlife))</f>
        <v>0</v>
      </c>
      <c r="X863" s="590">
        <f>IF(A30taxstdlife="n/a","n/a",IF(X$3&gt;(A30taxstdlife+$E863),(('PTRM input'!$K$172+'PTRM input'!$K$138)*$K$7)-SUM($K863:W863),(('PTRM input'!$K$172+'PTRM input'!$K$138)*$K$7)/A30taxstdlife))</f>
        <v>0</v>
      </c>
      <c r="Y863" s="590">
        <f>IF(A30taxstdlife="n/a","n/a",IF(Y$3&gt;(A30taxstdlife+$E863),(('PTRM input'!$K$172+'PTRM input'!$K$138)*$K$7)-SUM($K863:X863),(('PTRM input'!$K$172+'PTRM input'!$K$138)*$K$7)/A30taxstdlife))</f>
        <v>0</v>
      </c>
      <c r="Z863" s="590">
        <f>IF(A30taxstdlife="n/a","n/a",IF(Z$3&gt;(A30taxstdlife+$E863),(('PTRM input'!$K$172+'PTRM input'!$K$138)*$K$7)-SUM($K863:Y863),(('PTRM input'!$K$172+'PTRM input'!$K$138)*$K$7)/A30taxstdlife))</f>
        <v>0</v>
      </c>
      <c r="AA863" s="590">
        <f>IF(A30taxstdlife="n/a","n/a",IF(AA$3&gt;(A30taxstdlife+$E863),(('PTRM input'!$K$172+'PTRM input'!$K$138)*$K$7)-SUM($K863:Z863),(('PTRM input'!$K$172+'PTRM input'!$K$138)*$K$7)/A30taxstdlife))</f>
        <v>0</v>
      </c>
      <c r="AB863" s="590">
        <f>IF(A30taxstdlife="n/a","n/a",IF(AB$3&gt;(A30taxstdlife+$E863),(('PTRM input'!$K$172+'PTRM input'!$K$138)*$K$7)-SUM($K863:AA863),(('PTRM input'!$K$172+'PTRM input'!$K$138)*$K$7)/A30taxstdlife))</f>
        <v>0</v>
      </c>
      <c r="AC863" s="590">
        <f>IF(A30taxstdlife="n/a","n/a",IF(AC$3&gt;(A30taxstdlife+$E863),(('PTRM input'!$K$172+'PTRM input'!$K$138)*$K$7)-SUM($K863:AB863),(('PTRM input'!$K$172+'PTRM input'!$K$138)*$K$7)/A30taxstdlife))</f>
        <v>0</v>
      </c>
      <c r="AD863" s="590">
        <f>IF(A30taxstdlife="n/a","n/a",IF(AD$3&gt;(A30taxstdlife+$E863),(('PTRM input'!$K$172+'PTRM input'!$K$138)*$K$7)-SUM($K863:AC863),(('PTRM input'!$K$172+'PTRM input'!$K$138)*$K$7)/A30taxstdlife))</f>
        <v>0</v>
      </c>
      <c r="AE863" s="590">
        <f>IF(A30taxstdlife="n/a","n/a",IF(AE$3&gt;(A30taxstdlife+$E863),(('PTRM input'!$K$172+'PTRM input'!$K$138)*$K$7)-SUM($K863:AD863),(('PTRM input'!$K$172+'PTRM input'!$K$138)*$K$7)/A30taxstdlife))</f>
        <v>0</v>
      </c>
      <c r="AF863" s="590">
        <f>IF(A30taxstdlife="n/a","n/a",IF(AF$3&gt;(A30taxstdlife+$E863),(('PTRM input'!$K$172+'PTRM input'!$K$138)*$K$7)-SUM($K863:AE863),(('PTRM input'!$K$172+'PTRM input'!$K$138)*$K$7)/A30taxstdlife))</f>
        <v>0</v>
      </c>
      <c r="AG863" s="590">
        <f>IF(A30taxstdlife="n/a","n/a",IF(AG$3&gt;(A30taxstdlife+$E863),(('PTRM input'!$K$172+'PTRM input'!$K$138)*$K$7)-SUM($K863:AF863),(('PTRM input'!$K$172+'PTRM input'!$K$138)*$K$7)/A30taxstdlife))</f>
        <v>0</v>
      </c>
      <c r="AH863" s="590">
        <f>IF(A30taxstdlife="n/a","n/a",IF(AH$3&gt;(A30taxstdlife+$E863),(('PTRM input'!$K$172+'PTRM input'!$K$138)*$K$7)-SUM($K863:AG863),(('PTRM input'!$K$172+'PTRM input'!$K$138)*$K$7)/A30taxstdlife))</f>
        <v>0</v>
      </c>
      <c r="AI863" s="590">
        <f>IF(A30taxstdlife="n/a","n/a",IF(AI$3&gt;(A30taxstdlife+$E863),(('PTRM input'!$K$172+'PTRM input'!$K$138)*$K$7)-SUM($K863:AH863),(('PTRM input'!$K$172+'PTRM input'!$K$138)*$K$7)/A30taxstdlife))</f>
        <v>0</v>
      </c>
      <c r="AJ863" s="590">
        <f>IF(A30taxstdlife="n/a","n/a",IF(AJ$3&gt;(A30taxstdlife+$E863),(('PTRM input'!$K$172+'PTRM input'!$K$138)*$K$7)-SUM($K863:AI863),(('PTRM input'!$K$172+'PTRM input'!$K$138)*$K$7)/A30taxstdlife))</f>
        <v>0</v>
      </c>
      <c r="AK863" s="590">
        <f>IF(A30taxstdlife="n/a","n/a",IF(AK$3&gt;(A30taxstdlife+$E863),(('PTRM input'!$K$172+'PTRM input'!$K$138)*$K$7)-SUM($K863:AJ863),(('PTRM input'!$K$172+'PTRM input'!$K$138)*$K$7)/A30taxstdlife))</f>
        <v>0</v>
      </c>
      <c r="AL863" s="590">
        <f>IF(A30taxstdlife="n/a","n/a",IF(AL$3&gt;(A30taxstdlife+$E863),(('PTRM input'!$K$172+'PTRM input'!$K$138)*$K$7)-SUM($K863:AK863),(('PTRM input'!$K$172+'PTRM input'!$K$138)*$K$7)/A30taxstdlife))</f>
        <v>0</v>
      </c>
      <c r="AM863" s="590">
        <f>IF(A30taxstdlife="n/a","n/a",IF(AM$3&gt;(A30taxstdlife+$E863),(('PTRM input'!$K$172+'PTRM input'!$K$138)*$K$7)-SUM($K863:AL863),(('PTRM input'!$K$172+'PTRM input'!$K$138)*$K$7)/A30taxstdlife))</f>
        <v>0</v>
      </c>
      <c r="AN863" s="590">
        <f>IF(A30taxstdlife="n/a","n/a",IF(AN$3&gt;(A30taxstdlife+$E863),(('PTRM input'!$K$172+'PTRM input'!$K$138)*$K$7)-SUM($K863:AM863),(('PTRM input'!$K$172+'PTRM input'!$K$138)*$K$7)/A30taxstdlife))</f>
        <v>0</v>
      </c>
      <c r="AO863" s="590">
        <f>IF(A30taxstdlife="n/a","n/a",IF(AO$3&gt;(A30taxstdlife+$E863),(('PTRM input'!$K$172+'PTRM input'!$K$138)*$K$7)-SUM($K863:AN863),(('PTRM input'!$K$172+'PTRM input'!$K$138)*$K$7)/A30taxstdlife))</f>
        <v>0</v>
      </c>
      <c r="AP863" s="590">
        <f>IF(A30taxstdlife="n/a","n/a",IF(AP$3&gt;(A30taxstdlife+$E863),(('PTRM input'!$K$172+'PTRM input'!$K$138)*$K$7)-SUM($K863:AO863),(('PTRM input'!$K$172+'PTRM input'!$K$138)*$K$7)/A30taxstdlife))</f>
        <v>0</v>
      </c>
      <c r="AQ863" s="590">
        <f>IF(A30taxstdlife="n/a","n/a",IF(AQ$3&gt;(A30taxstdlife+$E863),(('PTRM input'!$K$172+'PTRM input'!$K$138)*$K$7)-SUM($K863:AP863),(('PTRM input'!$K$172+'PTRM input'!$K$138)*$K$7)/A30taxstdlife))</f>
        <v>0</v>
      </c>
      <c r="AR863" s="590">
        <f>IF(A30taxstdlife="n/a","n/a",IF(AR$3&gt;(A30taxstdlife+$E863),(('PTRM input'!$K$172+'PTRM input'!$K$138)*$K$7)-SUM($K863:AQ863),(('PTRM input'!$K$172+'PTRM input'!$K$138)*$K$7)/A30taxstdlife))</f>
        <v>0</v>
      </c>
      <c r="AS863" s="590">
        <f>IF(A30taxstdlife="n/a","n/a",IF(AS$3&gt;(A30taxstdlife+$E863),(('PTRM input'!$K$172+'PTRM input'!$K$138)*$K$7)-SUM($K863:AR863),(('PTRM input'!$K$172+'PTRM input'!$K$138)*$K$7)/A30taxstdlife))</f>
        <v>0</v>
      </c>
      <c r="AT863" s="590">
        <f>IF(A30taxstdlife="n/a","n/a",IF(AT$3&gt;(A30taxstdlife+$E863),(('PTRM input'!$K$172+'PTRM input'!$K$138)*$K$7)-SUM($K863:AS863),(('PTRM input'!$K$172+'PTRM input'!$K$138)*$K$7)/A30taxstdlife))</f>
        <v>0</v>
      </c>
      <c r="AU863" s="590">
        <f>IF(A30taxstdlife="n/a","n/a",IF(AU$3&gt;(A30taxstdlife+$E863),(('PTRM input'!$K$172+'PTRM input'!$K$138)*$K$7)-SUM($K863:AT863),(('PTRM input'!$K$172+'PTRM input'!$K$138)*$K$7)/A30taxstdlife))</f>
        <v>0</v>
      </c>
      <c r="AV863" s="590">
        <f>IF(A30taxstdlife="n/a","n/a",IF(AV$3&gt;(A30taxstdlife+$E863),(('PTRM input'!$K$172+'PTRM input'!$K$138)*$K$7)-SUM($K863:AU863),(('PTRM input'!$K$172+'PTRM input'!$K$138)*$K$7)/A30taxstdlife))</f>
        <v>0</v>
      </c>
      <c r="AW863" s="590">
        <f>IF(A30taxstdlife="n/a","n/a",IF(AW$3&gt;(A30taxstdlife+$E863),(('PTRM input'!$K$172+'PTRM input'!$K$138)*$K$7)-SUM($K863:AV863),(('PTRM input'!$K$172+'PTRM input'!$K$138)*$K$7)/A30taxstdlife))</f>
        <v>0</v>
      </c>
      <c r="AX863" s="590">
        <f>IF(A30taxstdlife="n/a","n/a",IF(AX$3&gt;(A30taxstdlife+$E863),(('PTRM input'!$K$172+'PTRM input'!$K$138)*$K$7)-SUM($K863:AW863),(('PTRM input'!$K$172+'PTRM input'!$K$138)*$K$7)/A30taxstdlife))</f>
        <v>0</v>
      </c>
      <c r="AY863" s="590">
        <f>IF(A30taxstdlife="n/a","n/a",IF(AY$3&gt;(A30taxstdlife+$E863),(('PTRM input'!$K$172+'PTRM input'!$K$138)*$K$7)-SUM($K863:AX863),(('PTRM input'!$K$172+'PTRM input'!$K$138)*$K$7)/A30taxstdlife))</f>
        <v>0</v>
      </c>
      <c r="AZ863" s="590">
        <f>IF(A30taxstdlife="n/a","n/a",IF(AZ$3&gt;(A30taxstdlife+$E863),(('PTRM input'!$K$172+'PTRM input'!$K$138)*$K$7)-SUM($K863:AY863),(('PTRM input'!$K$172+'PTRM input'!$K$138)*$K$7)/A30taxstdlife))</f>
        <v>0</v>
      </c>
      <c r="BA863" s="590">
        <f>IF(A30taxstdlife="n/a","n/a",IF(BA$3&gt;(A30taxstdlife+$E863),(('PTRM input'!$K$172+'PTRM input'!$K$138)*$K$7)-SUM($K863:AZ863),(('PTRM input'!$K$172+'PTRM input'!$K$138)*$K$7)/A30taxstdlife))</f>
        <v>0</v>
      </c>
      <c r="BB863" s="590">
        <f>IF(A30taxstdlife="n/a","n/a",IF(BB$3&gt;(A30taxstdlife+$E863),(('PTRM input'!$K$172+'PTRM input'!$K$138)*$K$7)-SUM($K863:BA863),(('PTRM input'!$K$172+'PTRM input'!$K$138)*$K$7)/A30taxstdlife))</f>
        <v>0</v>
      </c>
      <c r="BC863" s="590">
        <f>IF(A30taxstdlife="n/a","n/a",IF(BC$3&gt;(A30taxstdlife+$E863),(('PTRM input'!$K$172+'PTRM input'!$K$138)*$K$7)-SUM($K863:BB863),(('PTRM input'!$K$172+'PTRM input'!$K$138)*$K$7)/A30taxstdlife))</f>
        <v>0</v>
      </c>
      <c r="BD863" s="590">
        <f>IF(A30taxstdlife="n/a","n/a",IF(BD$3&gt;(A30taxstdlife+$E863),(('PTRM input'!$K$172+'PTRM input'!$K$138)*$K$7)-SUM($K863:BC863),(('PTRM input'!$K$172+'PTRM input'!$K$138)*$K$7)/A30taxstdlife))</f>
        <v>0</v>
      </c>
      <c r="BE863" s="590">
        <f>IF(A30taxstdlife="n/a","n/a",IF(BE$3&gt;(A30taxstdlife+$E863),(('PTRM input'!$K$172+'PTRM input'!$K$138)*$K$7)-SUM($K863:BD863),(('PTRM input'!$K$172+'PTRM input'!$K$138)*$K$7)/A30taxstdlife))</f>
        <v>0</v>
      </c>
      <c r="BF863" s="590">
        <f>IF(A30taxstdlife="n/a","n/a",IF(BF$3&gt;(A30taxstdlife+$E863),(('PTRM input'!$K$172+'PTRM input'!$K$138)*$K$7)-SUM($K863:BE863),(('PTRM input'!$K$172+'PTRM input'!$K$138)*$K$7)/A30taxstdlife))</f>
        <v>0</v>
      </c>
      <c r="BG863" s="590">
        <f>IF(A30taxstdlife="n/a","n/a",IF(BG$3&gt;(A30taxstdlife+$E863),(('PTRM input'!$K$172+'PTRM input'!$K$138)*$K$7)-SUM($K863:BF863),(('PTRM input'!$K$172+'PTRM input'!$K$138)*$K$7)/A30taxstdlife))</f>
        <v>0</v>
      </c>
      <c r="BH863" s="590">
        <f>IF(A30taxstdlife="n/a","n/a",IF(BH$3&gt;(A30taxstdlife+$E863),(('PTRM input'!$K$172+'PTRM input'!$K$138)*$K$7)-SUM($K863:BG863),(('PTRM input'!$K$172+'PTRM input'!$K$138)*$K$7)/A30taxstdlife))</f>
        <v>0</v>
      </c>
      <c r="BI863" s="590">
        <f>IF(A30taxstdlife="n/a","n/a",IF(BI$3&gt;(A30taxstdlife+$E863),(('PTRM input'!$K$172+'PTRM input'!$K$138)*$K$7)-SUM($K863:BH863),(('PTRM input'!$K$172+'PTRM input'!$K$138)*$K$7)/A30taxstdlife))</f>
        <v>0</v>
      </c>
      <c r="BJ863" s="240"/>
      <c r="BK863" s="240"/>
      <c r="BL863" s="240"/>
      <c r="BM863" s="240"/>
    </row>
    <row r="864" spans="1:65" s="4" customFormat="1" hidden="1" outlineLevel="2">
      <c r="A864" s="240"/>
      <c r="B864" s="240"/>
      <c r="C864" s="595"/>
      <c r="D864" s="1618"/>
      <c r="E864" s="169">
        <v>6</v>
      </c>
      <c r="F864" s="35"/>
      <c r="G864" s="184"/>
      <c r="H864" s="186"/>
      <c r="I864" s="186"/>
      <c r="J864" s="186"/>
      <c r="K864" s="186"/>
      <c r="L864" s="185"/>
      <c r="M864" s="107">
        <f>IF(A30taxstdlife="n/a","n/a",IF(M$3&gt;(A30taxstdlife+$E864),(('PTRM input'!$L$172+'PTRM input'!$L$138)*$L$7)-SUM($L864:L864),(('PTRM input'!$L$172+'PTRM input'!$L$138)*$L$7)/A30taxstdlife))</f>
        <v>0</v>
      </c>
      <c r="N864" s="107">
        <f>IF(A30taxstdlife="n/a","n/a",IF(N$3&gt;(A30taxstdlife+$E864),(('PTRM input'!$L$172+'PTRM input'!$L$138)*$L$7)-SUM($L864:M864),(('PTRM input'!$L$172+'PTRM input'!$L$138)*$L$7)/A30taxstdlife))</f>
        <v>0</v>
      </c>
      <c r="O864" s="107">
        <f>IF(A30taxstdlife="n/a","n/a",IF(O$3&gt;(A30taxstdlife+$E864),(('PTRM input'!$L$172+'PTRM input'!$L$138)*$L$7)-SUM($L864:N864),(('PTRM input'!$L$172+'PTRM input'!$L$138)*$L$7)/A30taxstdlife))</f>
        <v>0</v>
      </c>
      <c r="P864" s="107">
        <f>IF(A30taxstdlife="n/a","n/a",IF(P$3&gt;(A30taxstdlife+$E864),(('PTRM input'!$L$172+'PTRM input'!$L$138)*$L$7)-SUM($L864:O864),(('PTRM input'!$L$172+'PTRM input'!$L$138)*$L$7)/A30taxstdlife))</f>
        <v>0</v>
      </c>
      <c r="Q864" s="590">
        <f>IF(A30taxstdlife="n/a","n/a",IF(Q$3&gt;(A30taxstdlife+$E864),(('PTRM input'!$L$172+'PTRM input'!$L$138)*$L$7)-SUM($L864:P864),(('PTRM input'!$L$172+'PTRM input'!$L$138)*$L$7)/A30taxstdlife))</f>
        <v>0</v>
      </c>
      <c r="R864" s="590">
        <f>IF(A30taxstdlife="n/a","n/a",IF(R$3&gt;(A30taxstdlife+$E864),(('PTRM input'!$L$172+'PTRM input'!$L$138)*$L$7)-SUM($L864:Q864),(('PTRM input'!$L$172+'PTRM input'!$L$138)*$L$7)/A30taxstdlife))</f>
        <v>0</v>
      </c>
      <c r="S864" s="590">
        <f>IF(A30taxstdlife="n/a","n/a",IF(S$3&gt;(A30taxstdlife+$E864),(('PTRM input'!$L$172+'PTRM input'!$L$138)*$L$7)-SUM($L864:R864),(('PTRM input'!$L$172+'PTRM input'!$L$138)*$L$7)/A30taxstdlife))</f>
        <v>0</v>
      </c>
      <c r="T864" s="590">
        <f>IF(A30taxstdlife="n/a","n/a",IF(T$3&gt;(A30taxstdlife+$E864),(('PTRM input'!$L$172+'PTRM input'!$L$138)*$L$7)-SUM($L864:S864),(('PTRM input'!$L$172+'PTRM input'!$L$138)*$L$7)/A30taxstdlife))</f>
        <v>0</v>
      </c>
      <c r="U864" s="590">
        <f>IF(A30taxstdlife="n/a","n/a",IF(U$3&gt;(A30taxstdlife+$E864),(('PTRM input'!$L$172+'PTRM input'!$L$138)*$L$7)-SUM($L864:T864),(('PTRM input'!$L$172+'PTRM input'!$L$138)*$L$7)/A30taxstdlife))</f>
        <v>0</v>
      </c>
      <c r="V864" s="590">
        <f>IF(A30taxstdlife="n/a","n/a",IF(V$3&gt;(A30taxstdlife+$E864),(('PTRM input'!$L$172+'PTRM input'!$L$138)*$L$7)-SUM($L864:U864),(('PTRM input'!$L$172+'PTRM input'!$L$138)*$L$7)/A30taxstdlife))</f>
        <v>0</v>
      </c>
      <c r="W864" s="590">
        <f>IF(A30taxstdlife="n/a","n/a",IF(W$3&gt;(A30taxstdlife+$E864),(('PTRM input'!$L$172+'PTRM input'!$L$138)*$L$7)-SUM($L864:V864),(('PTRM input'!$L$172+'PTRM input'!$L$138)*$L$7)/A30taxstdlife))</f>
        <v>0</v>
      </c>
      <c r="X864" s="590">
        <f>IF(A30taxstdlife="n/a","n/a",IF(X$3&gt;(A30taxstdlife+$E864),(('PTRM input'!$L$172+'PTRM input'!$L$138)*$L$7)-SUM($L864:W864),(('PTRM input'!$L$172+'PTRM input'!$L$138)*$L$7)/A30taxstdlife))</f>
        <v>0</v>
      </c>
      <c r="Y864" s="590">
        <f>IF(A30taxstdlife="n/a","n/a",IF(Y$3&gt;(A30taxstdlife+$E864),(('PTRM input'!$L$172+'PTRM input'!$L$138)*$L$7)-SUM($L864:X864),(('PTRM input'!$L$172+'PTRM input'!$L$138)*$L$7)/A30taxstdlife))</f>
        <v>0</v>
      </c>
      <c r="Z864" s="590">
        <f>IF(A30taxstdlife="n/a","n/a",IF(Z$3&gt;(A30taxstdlife+$E864),(('PTRM input'!$L$172+'PTRM input'!$L$138)*$L$7)-SUM($L864:Y864),(('PTRM input'!$L$172+'PTRM input'!$L$138)*$L$7)/A30taxstdlife))</f>
        <v>0</v>
      </c>
      <c r="AA864" s="590">
        <f>IF(A30taxstdlife="n/a","n/a",IF(AA$3&gt;(A30taxstdlife+$E864),(('PTRM input'!$L$172+'PTRM input'!$L$138)*$L$7)-SUM($L864:Z864),(('PTRM input'!$L$172+'PTRM input'!$L$138)*$L$7)/A30taxstdlife))</f>
        <v>0</v>
      </c>
      <c r="AB864" s="590">
        <f>IF(A30taxstdlife="n/a","n/a",IF(AB$3&gt;(A30taxstdlife+$E864),(('PTRM input'!$L$172+'PTRM input'!$L$138)*$L$7)-SUM($L864:AA864),(('PTRM input'!$L$172+'PTRM input'!$L$138)*$L$7)/A30taxstdlife))</f>
        <v>0</v>
      </c>
      <c r="AC864" s="590">
        <f>IF(A30taxstdlife="n/a","n/a",IF(AC$3&gt;(A30taxstdlife+$E864),(('PTRM input'!$L$172+'PTRM input'!$L$138)*$L$7)-SUM($L864:AB864),(('PTRM input'!$L$172+'PTRM input'!$L$138)*$L$7)/A30taxstdlife))</f>
        <v>0</v>
      </c>
      <c r="AD864" s="590">
        <f>IF(A30taxstdlife="n/a","n/a",IF(AD$3&gt;(A30taxstdlife+$E864),(('PTRM input'!$L$172+'PTRM input'!$L$138)*$L$7)-SUM($L864:AC864),(('PTRM input'!$L$172+'PTRM input'!$L$138)*$L$7)/A30taxstdlife))</f>
        <v>0</v>
      </c>
      <c r="AE864" s="590">
        <f>IF(A30taxstdlife="n/a","n/a",IF(AE$3&gt;(A30taxstdlife+$E864),(('PTRM input'!$L$172+'PTRM input'!$L$138)*$L$7)-SUM($L864:AD864),(('PTRM input'!$L$172+'PTRM input'!$L$138)*$L$7)/A30taxstdlife))</f>
        <v>0</v>
      </c>
      <c r="AF864" s="590">
        <f>IF(A30taxstdlife="n/a","n/a",IF(AF$3&gt;(A30taxstdlife+$E864),(('PTRM input'!$L$172+'PTRM input'!$L$138)*$L$7)-SUM($L864:AE864),(('PTRM input'!$L$172+'PTRM input'!$L$138)*$L$7)/A30taxstdlife))</f>
        <v>0</v>
      </c>
      <c r="AG864" s="590">
        <f>IF(A30taxstdlife="n/a","n/a",IF(AG$3&gt;(A30taxstdlife+$E864),(('PTRM input'!$L$172+'PTRM input'!$L$138)*$L$7)-SUM($L864:AF864),(('PTRM input'!$L$172+'PTRM input'!$L$138)*$L$7)/A30taxstdlife))</f>
        <v>0</v>
      </c>
      <c r="AH864" s="590">
        <f>IF(A30taxstdlife="n/a","n/a",IF(AH$3&gt;(A30taxstdlife+$E864),(('PTRM input'!$L$172+'PTRM input'!$L$138)*$L$7)-SUM($L864:AG864),(('PTRM input'!$L$172+'PTRM input'!$L$138)*$L$7)/A30taxstdlife))</f>
        <v>0</v>
      </c>
      <c r="AI864" s="590">
        <f>IF(A30taxstdlife="n/a","n/a",IF(AI$3&gt;(A30taxstdlife+$E864),(('PTRM input'!$L$172+'PTRM input'!$L$138)*$L$7)-SUM($L864:AH864),(('PTRM input'!$L$172+'PTRM input'!$L$138)*$L$7)/A30taxstdlife))</f>
        <v>0</v>
      </c>
      <c r="AJ864" s="590">
        <f>IF(A30taxstdlife="n/a","n/a",IF(AJ$3&gt;(A30taxstdlife+$E864),(('PTRM input'!$L$172+'PTRM input'!$L$138)*$L$7)-SUM($L864:AI864),(('PTRM input'!$L$172+'PTRM input'!$L$138)*$L$7)/A30taxstdlife))</f>
        <v>0</v>
      </c>
      <c r="AK864" s="590">
        <f>IF(A30taxstdlife="n/a","n/a",IF(AK$3&gt;(A30taxstdlife+$E864),(('PTRM input'!$L$172+'PTRM input'!$L$138)*$L$7)-SUM($L864:AJ864),(('PTRM input'!$L$172+'PTRM input'!$L$138)*$L$7)/A30taxstdlife))</f>
        <v>0</v>
      </c>
      <c r="AL864" s="590">
        <f>IF(A30taxstdlife="n/a","n/a",IF(AL$3&gt;(A30taxstdlife+$E864),(('PTRM input'!$L$172+'PTRM input'!$L$138)*$L$7)-SUM($L864:AK864),(('PTRM input'!$L$172+'PTRM input'!$L$138)*$L$7)/A30taxstdlife))</f>
        <v>0</v>
      </c>
      <c r="AM864" s="590">
        <f>IF(A30taxstdlife="n/a","n/a",IF(AM$3&gt;(A30taxstdlife+$E864),(('PTRM input'!$L$172+'PTRM input'!$L$138)*$L$7)-SUM($L864:AL864),(('PTRM input'!$L$172+'PTRM input'!$L$138)*$L$7)/A30taxstdlife))</f>
        <v>0</v>
      </c>
      <c r="AN864" s="590">
        <f>IF(A30taxstdlife="n/a","n/a",IF(AN$3&gt;(A30taxstdlife+$E864),(('PTRM input'!$L$172+'PTRM input'!$L$138)*$L$7)-SUM($L864:AM864),(('PTRM input'!$L$172+'PTRM input'!$L$138)*$L$7)/A30taxstdlife))</f>
        <v>0</v>
      </c>
      <c r="AO864" s="590">
        <f>IF(A30taxstdlife="n/a","n/a",IF(AO$3&gt;(A30taxstdlife+$E864),(('PTRM input'!$L$172+'PTRM input'!$L$138)*$L$7)-SUM($L864:AN864),(('PTRM input'!$L$172+'PTRM input'!$L$138)*$L$7)/A30taxstdlife))</f>
        <v>0</v>
      </c>
      <c r="AP864" s="590">
        <f>IF(A30taxstdlife="n/a","n/a",IF(AP$3&gt;(A30taxstdlife+$E864),(('PTRM input'!$L$172+'PTRM input'!$L$138)*$L$7)-SUM($L864:AO864),(('PTRM input'!$L$172+'PTRM input'!$L$138)*$L$7)/A30taxstdlife))</f>
        <v>0</v>
      </c>
      <c r="AQ864" s="590">
        <f>IF(A30taxstdlife="n/a","n/a",IF(AQ$3&gt;(A30taxstdlife+$E864),(('PTRM input'!$L$172+'PTRM input'!$L$138)*$L$7)-SUM($L864:AP864),(('PTRM input'!$L$172+'PTRM input'!$L$138)*$L$7)/A30taxstdlife))</f>
        <v>0</v>
      </c>
      <c r="AR864" s="590">
        <f>IF(A30taxstdlife="n/a","n/a",IF(AR$3&gt;(A30taxstdlife+$E864),(('PTRM input'!$L$172+'PTRM input'!$L$138)*$L$7)-SUM($L864:AQ864),(('PTRM input'!$L$172+'PTRM input'!$L$138)*$L$7)/A30taxstdlife))</f>
        <v>0</v>
      </c>
      <c r="AS864" s="590">
        <f>IF(A30taxstdlife="n/a","n/a",IF(AS$3&gt;(A30taxstdlife+$E864),(('PTRM input'!$L$172+'PTRM input'!$L$138)*$L$7)-SUM($L864:AR864),(('PTRM input'!$L$172+'PTRM input'!$L$138)*$L$7)/A30taxstdlife))</f>
        <v>0</v>
      </c>
      <c r="AT864" s="590">
        <f>IF(A30taxstdlife="n/a","n/a",IF(AT$3&gt;(A30taxstdlife+$E864),(('PTRM input'!$L$172+'PTRM input'!$L$138)*$L$7)-SUM($L864:AS864),(('PTRM input'!$L$172+'PTRM input'!$L$138)*$L$7)/A30taxstdlife))</f>
        <v>0</v>
      </c>
      <c r="AU864" s="590">
        <f>IF(A30taxstdlife="n/a","n/a",IF(AU$3&gt;(A30taxstdlife+$E864),(('PTRM input'!$L$172+'PTRM input'!$L$138)*$L$7)-SUM($L864:AT864),(('PTRM input'!$L$172+'PTRM input'!$L$138)*$L$7)/A30taxstdlife))</f>
        <v>0</v>
      </c>
      <c r="AV864" s="590">
        <f>IF(A30taxstdlife="n/a","n/a",IF(AV$3&gt;(A30taxstdlife+$E864),(('PTRM input'!$L$172+'PTRM input'!$L$138)*$L$7)-SUM($L864:AU864),(('PTRM input'!$L$172+'PTRM input'!$L$138)*$L$7)/A30taxstdlife))</f>
        <v>0</v>
      </c>
      <c r="AW864" s="590">
        <f>IF(A30taxstdlife="n/a","n/a",IF(AW$3&gt;(A30taxstdlife+$E864),(('PTRM input'!$L$172+'PTRM input'!$L$138)*$L$7)-SUM($L864:AV864),(('PTRM input'!$L$172+'PTRM input'!$L$138)*$L$7)/A30taxstdlife))</f>
        <v>0</v>
      </c>
      <c r="AX864" s="590">
        <f>IF(A30taxstdlife="n/a","n/a",IF(AX$3&gt;(A30taxstdlife+$E864),(('PTRM input'!$L$172+'PTRM input'!$L$138)*$L$7)-SUM($L864:AW864),(('PTRM input'!$L$172+'PTRM input'!$L$138)*$L$7)/A30taxstdlife))</f>
        <v>0</v>
      </c>
      <c r="AY864" s="590">
        <f>IF(A30taxstdlife="n/a","n/a",IF(AY$3&gt;(A30taxstdlife+$E864),(('PTRM input'!$L$172+'PTRM input'!$L$138)*$L$7)-SUM($L864:AX864),(('PTRM input'!$L$172+'PTRM input'!$L$138)*$L$7)/A30taxstdlife))</f>
        <v>0</v>
      </c>
      <c r="AZ864" s="590">
        <f>IF(A30taxstdlife="n/a","n/a",IF(AZ$3&gt;(A30taxstdlife+$E864),(('PTRM input'!$L$172+'PTRM input'!$L$138)*$L$7)-SUM($L864:AY864),(('PTRM input'!$L$172+'PTRM input'!$L$138)*$L$7)/A30taxstdlife))</f>
        <v>0</v>
      </c>
      <c r="BA864" s="590">
        <f>IF(A30taxstdlife="n/a","n/a",IF(BA$3&gt;(A30taxstdlife+$E864),(('PTRM input'!$L$172+'PTRM input'!$L$138)*$L$7)-SUM($L864:AZ864),(('PTRM input'!$L$172+'PTRM input'!$L$138)*$L$7)/A30taxstdlife))</f>
        <v>0</v>
      </c>
      <c r="BB864" s="590">
        <f>IF(A30taxstdlife="n/a","n/a",IF(BB$3&gt;(A30taxstdlife+$E864),(('PTRM input'!$L$172+'PTRM input'!$L$138)*$L$7)-SUM($L864:BA864),(('PTRM input'!$L$172+'PTRM input'!$L$138)*$L$7)/A30taxstdlife))</f>
        <v>0</v>
      </c>
      <c r="BC864" s="590">
        <f>IF(A30taxstdlife="n/a","n/a",IF(BC$3&gt;(A30taxstdlife+$E864),(('PTRM input'!$L$172+'PTRM input'!$L$138)*$L$7)-SUM($L864:BB864),(('PTRM input'!$L$172+'PTRM input'!$L$138)*$L$7)/A30taxstdlife))</f>
        <v>0</v>
      </c>
      <c r="BD864" s="590">
        <f>IF(A30taxstdlife="n/a","n/a",IF(BD$3&gt;(A30taxstdlife+$E864),(('PTRM input'!$L$172+'PTRM input'!$L$138)*$L$7)-SUM($L864:BC864),(('PTRM input'!$L$172+'PTRM input'!$L$138)*$L$7)/A30taxstdlife))</f>
        <v>0</v>
      </c>
      <c r="BE864" s="590">
        <f>IF(A30taxstdlife="n/a","n/a",IF(BE$3&gt;(A30taxstdlife+$E864),(('PTRM input'!$L$172+'PTRM input'!$L$138)*$L$7)-SUM($L864:BD864),(('PTRM input'!$L$172+'PTRM input'!$L$138)*$L$7)/A30taxstdlife))</f>
        <v>0</v>
      </c>
      <c r="BF864" s="590">
        <f>IF(A30taxstdlife="n/a","n/a",IF(BF$3&gt;(A30taxstdlife+$E864),(('PTRM input'!$L$172+'PTRM input'!$L$138)*$L$7)-SUM($L864:BE864),(('PTRM input'!$L$172+'PTRM input'!$L$138)*$L$7)/A30taxstdlife))</f>
        <v>0</v>
      </c>
      <c r="BG864" s="590">
        <f>IF(A30taxstdlife="n/a","n/a",IF(BG$3&gt;(A30taxstdlife+$E864),(('PTRM input'!$L$172+'PTRM input'!$L$138)*$L$7)-SUM($L864:BF864),(('PTRM input'!$L$172+'PTRM input'!$L$138)*$L$7)/A30taxstdlife))</f>
        <v>0</v>
      </c>
      <c r="BH864" s="590">
        <f>IF(A30taxstdlife="n/a","n/a",IF(BH$3&gt;(A30taxstdlife+$E864),(('PTRM input'!$L$172+'PTRM input'!$L$138)*$L$7)-SUM($L864:BG864),(('PTRM input'!$L$172+'PTRM input'!$L$138)*$L$7)/A30taxstdlife))</f>
        <v>0</v>
      </c>
      <c r="BI864" s="590">
        <f>IF(A30taxstdlife="n/a","n/a",IF(BI$3&gt;(A30taxstdlife+$E864),(('PTRM input'!$L$172+'PTRM input'!$L$138)*$L$7)-SUM($L864:BH864),(('PTRM input'!$L$172+'PTRM input'!$L$138)*$L$7)/A30taxstdlife))</f>
        <v>0</v>
      </c>
      <c r="BJ864" s="240"/>
      <c r="BK864" s="240"/>
      <c r="BL864" s="240"/>
      <c r="BM864" s="240"/>
    </row>
    <row r="865" spans="1:65" s="4" customFormat="1" hidden="1" outlineLevel="2">
      <c r="A865" s="240"/>
      <c r="B865" s="240"/>
      <c r="C865" s="595"/>
      <c r="D865" s="1618"/>
      <c r="E865" s="169">
        <v>7</v>
      </c>
      <c r="F865" s="35"/>
      <c r="G865" s="184"/>
      <c r="H865" s="186"/>
      <c r="I865" s="186"/>
      <c r="J865" s="186"/>
      <c r="K865" s="186"/>
      <c r="L865" s="186"/>
      <c r="M865" s="185"/>
      <c r="N865" s="107">
        <f>IF(A30taxstdlife="n/a","n/a",IF(N$3&gt;(A30taxstdlife+$E865),(('PTRM input'!$M$172+'PTRM input'!$M$138)*$M$7)-SUM($M865:M865),(('PTRM input'!$M$172+'PTRM input'!$M$138)*$M$7)/A30taxstdlife))</f>
        <v>0</v>
      </c>
      <c r="O865" s="107">
        <f>IF(A30taxstdlife="n/a","n/a",IF(O$3&gt;(A30taxstdlife+$E865),(('PTRM input'!$M$172+'PTRM input'!$M$138)*$M$7)-SUM($M865:N865),(('PTRM input'!$M$172+'PTRM input'!$M$138)*$M$7)/A30taxstdlife))</f>
        <v>0</v>
      </c>
      <c r="P865" s="107">
        <f>IF(A30taxstdlife="n/a","n/a",IF(P$3&gt;(A30taxstdlife+$E865),(('PTRM input'!$M$172+'PTRM input'!$M$138)*$M$7)-SUM($M865:O865),(('PTRM input'!$M$172+'PTRM input'!$M$138)*$M$7)/A30taxstdlife))</f>
        <v>0</v>
      </c>
      <c r="Q865" s="590">
        <f>IF(A30taxstdlife="n/a","n/a",IF(Q$3&gt;(A30taxstdlife+$E865),(('PTRM input'!$M$172+'PTRM input'!$M$138)*$M$7)-SUM($M865:P865),(('PTRM input'!$M$172+'PTRM input'!$M$138)*$M$7)/A30taxstdlife))</f>
        <v>0</v>
      </c>
      <c r="R865" s="590">
        <f>IF(A30taxstdlife="n/a","n/a",IF(R$3&gt;(A30taxstdlife+$E865),(('PTRM input'!$M$172+'PTRM input'!$M$138)*$M$7)-SUM($M865:Q865),(('PTRM input'!$M$172+'PTRM input'!$M$138)*$M$7)/A30taxstdlife))</f>
        <v>0</v>
      </c>
      <c r="S865" s="590">
        <f>IF(A30taxstdlife="n/a","n/a",IF(S$3&gt;(A30taxstdlife+$E865),(('PTRM input'!$M$172+'PTRM input'!$M$138)*$M$7)-SUM($M865:R865),(('PTRM input'!$M$172+'PTRM input'!$M$138)*$M$7)/A30taxstdlife))</f>
        <v>0</v>
      </c>
      <c r="T865" s="590">
        <f>IF(A30taxstdlife="n/a","n/a",IF(T$3&gt;(A30taxstdlife+$E865),(('PTRM input'!$M$172+'PTRM input'!$M$138)*$M$7)-SUM($M865:S865),(('PTRM input'!$M$172+'PTRM input'!$M$138)*$M$7)/A30taxstdlife))</f>
        <v>0</v>
      </c>
      <c r="U865" s="590">
        <f>IF(A30taxstdlife="n/a","n/a",IF(U$3&gt;(A30taxstdlife+$E865),(('PTRM input'!$M$172+'PTRM input'!$M$138)*$M$7)-SUM($M865:T865),(('PTRM input'!$M$172+'PTRM input'!$M$138)*$M$7)/A30taxstdlife))</f>
        <v>0</v>
      </c>
      <c r="V865" s="590">
        <f>IF(A30taxstdlife="n/a","n/a",IF(V$3&gt;(A30taxstdlife+$E865),(('PTRM input'!$M$172+'PTRM input'!$M$138)*$M$7)-SUM($M865:U865),(('PTRM input'!$M$172+'PTRM input'!$M$138)*$M$7)/A30taxstdlife))</f>
        <v>0</v>
      </c>
      <c r="W865" s="590">
        <f>IF(A30taxstdlife="n/a","n/a",IF(W$3&gt;(A30taxstdlife+$E865),(('PTRM input'!$M$172+'PTRM input'!$M$138)*$M$7)-SUM($M865:V865),(('PTRM input'!$M$172+'PTRM input'!$M$138)*$M$7)/A30taxstdlife))</f>
        <v>0</v>
      </c>
      <c r="X865" s="590">
        <f>IF(A30taxstdlife="n/a","n/a",IF(X$3&gt;(A30taxstdlife+$E865),(('PTRM input'!$M$172+'PTRM input'!$M$138)*$M$7)-SUM($M865:W865),(('PTRM input'!$M$172+'PTRM input'!$M$138)*$M$7)/A30taxstdlife))</f>
        <v>0</v>
      </c>
      <c r="Y865" s="590">
        <f>IF(A30taxstdlife="n/a","n/a",IF(Y$3&gt;(A30taxstdlife+$E865),(('PTRM input'!$M$172+'PTRM input'!$M$138)*$M$7)-SUM($M865:X865),(('PTRM input'!$M$172+'PTRM input'!$M$138)*$M$7)/A30taxstdlife))</f>
        <v>0</v>
      </c>
      <c r="Z865" s="590">
        <f>IF(A30taxstdlife="n/a","n/a",IF(Z$3&gt;(A30taxstdlife+$E865),(('PTRM input'!$M$172+'PTRM input'!$M$138)*$M$7)-SUM($M865:Y865),(('PTRM input'!$M$172+'PTRM input'!$M$138)*$M$7)/A30taxstdlife))</f>
        <v>0</v>
      </c>
      <c r="AA865" s="590">
        <f>IF(A30taxstdlife="n/a","n/a",IF(AA$3&gt;(A30taxstdlife+$E865),(('PTRM input'!$M$172+'PTRM input'!$M$138)*$M$7)-SUM($M865:Z865),(('PTRM input'!$M$172+'PTRM input'!$M$138)*$M$7)/A30taxstdlife))</f>
        <v>0</v>
      </c>
      <c r="AB865" s="590">
        <f>IF(A30taxstdlife="n/a","n/a",IF(AB$3&gt;(A30taxstdlife+$E865),(('PTRM input'!$M$172+'PTRM input'!$M$138)*$M$7)-SUM($M865:AA865),(('PTRM input'!$M$172+'PTRM input'!$M$138)*$M$7)/A30taxstdlife))</f>
        <v>0</v>
      </c>
      <c r="AC865" s="590">
        <f>IF(A30taxstdlife="n/a","n/a",IF(AC$3&gt;(A30taxstdlife+$E865),(('PTRM input'!$M$172+'PTRM input'!$M$138)*$M$7)-SUM($M865:AB865),(('PTRM input'!$M$172+'PTRM input'!$M$138)*$M$7)/A30taxstdlife))</f>
        <v>0</v>
      </c>
      <c r="AD865" s="590">
        <f>IF(A30taxstdlife="n/a","n/a",IF(AD$3&gt;(A30taxstdlife+$E865),(('PTRM input'!$M$172+'PTRM input'!$M$138)*$M$7)-SUM($M865:AC865),(('PTRM input'!$M$172+'PTRM input'!$M$138)*$M$7)/A30taxstdlife))</f>
        <v>0</v>
      </c>
      <c r="AE865" s="590">
        <f>IF(A30taxstdlife="n/a","n/a",IF(AE$3&gt;(A30taxstdlife+$E865),(('PTRM input'!$M$172+'PTRM input'!$M$138)*$M$7)-SUM($M865:AD865),(('PTRM input'!$M$172+'PTRM input'!$M$138)*$M$7)/A30taxstdlife))</f>
        <v>0</v>
      </c>
      <c r="AF865" s="590">
        <f>IF(A30taxstdlife="n/a","n/a",IF(AF$3&gt;(A30taxstdlife+$E865),(('PTRM input'!$M$172+'PTRM input'!$M$138)*$M$7)-SUM($M865:AE865),(('PTRM input'!$M$172+'PTRM input'!$M$138)*$M$7)/A30taxstdlife))</f>
        <v>0</v>
      </c>
      <c r="AG865" s="590">
        <f>IF(A30taxstdlife="n/a","n/a",IF(AG$3&gt;(A30taxstdlife+$E865),(('PTRM input'!$M$172+'PTRM input'!$M$138)*$M$7)-SUM($M865:AF865),(('PTRM input'!$M$172+'PTRM input'!$M$138)*$M$7)/A30taxstdlife))</f>
        <v>0</v>
      </c>
      <c r="AH865" s="590">
        <f>IF(A30taxstdlife="n/a","n/a",IF(AH$3&gt;(A30taxstdlife+$E865),(('PTRM input'!$M$172+'PTRM input'!$M$138)*$M$7)-SUM($M865:AG865),(('PTRM input'!$M$172+'PTRM input'!$M$138)*$M$7)/A30taxstdlife))</f>
        <v>0</v>
      </c>
      <c r="AI865" s="590">
        <f>IF(A30taxstdlife="n/a","n/a",IF(AI$3&gt;(A30taxstdlife+$E865),(('PTRM input'!$M$172+'PTRM input'!$M$138)*$M$7)-SUM($M865:AH865),(('PTRM input'!$M$172+'PTRM input'!$M$138)*$M$7)/A30taxstdlife))</f>
        <v>0</v>
      </c>
      <c r="AJ865" s="590">
        <f>IF(A30taxstdlife="n/a","n/a",IF(AJ$3&gt;(A30taxstdlife+$E865),(('PTRM input'!$M$172+'PTRM input'!$M$138)*$M$7)-SUM($M865:AI865),(('PTRM input'!$M$172+'PTRM input'!$M$138)*$M$7)/A30taxstdlife))</f>
        <v>0</v>
      </c>
      <c r="AK865" s="590">
        <f>IF(A30taxstdlife="n/a","n/a",IF(AK$3&gt;(A30taxstdlife+$E865),(('PTRM input'!$M$172+'PTRM input'!$M$138)*$M$7)-SUM($M865:AJ865),(('PTRM input'!$M$172+'PTRM input'!$M$138)*$M$7)/A30taxstdlife))</f>
        <v>0</v>
      </c>
      <c r="AL865" s="590">
        <f>IF(A30taxstdlife="n/a","n/a",IF(AL$3&gt;(A30taxstdlife+$E865),(('PTRM input'!$M$172+'PTRM input'!$M$138)*$M$7)-SUM($M865:AK865),(('PTRM input'!$M$172+'PTRM input'!$M$138)*$M$7)/A30taxstdlife))</f>
        <v>0</v>
      </c>
      <c r="AM865" s="590">
        <f>IF(A30taxstdlife="n/a","n/a",IF(AM$3&gt;(A30taxstdlife+$E865),(('PTRM input'!$M$172+'PTRM input'!$M$138)*$M$7)-SUM($M865:AL865),(('PTRM input'!$M$172+'PTRM input'!$M$138)*$M$7)/A30taxstdlife))</f>
        <v>0</v>
      </c>
      <c r="AN865" s="590">
        <f>IF(A30taxstdlife="n/a","n/a",IF(AN$3&gt;(A30taxstdlife+$E865),(('PTRM input'!$M$172+'PTRM input'!$M$138)*$M$7)-SUM($M865:AM865),(('PTRM input'!$M$172+'PTRM input'!$M$138)*$M$7)/A30taxstdlife))</f>
        <v>0</v>
      </c>
      <c r="AO865" s="590">
        <f>IF(A30taxstdlife="n/a","n/a",IF(AO$3&gt;(A30taxstdlife+$E865),(('PTRM input'!$M$172+'PTRM input'!$M$138)*$M$7)-SUM($M865:AN865),(('PTRM input'!$M$172+'PTRM input'!$M$138)*$M$7)/A30taxstdlife))</f>
        <v>0</v>
      </c>
      <c r="AP865" s="590">
        <f>IF(A30taxstdlife="n/a","n/a",IF(AP$3&gt;(A30taxstdlife+$E865),(('PTRM input'!$M$172+'PTRM input'!$M$138)*$M$7)-SUM($M865:AO865),(('PTRM input'!$M$172+'PTRM input'!$M$138)*$M$7)/A30taxstdlife))</f>
        <v>0</v>
      </c>
      <c r="AQ865" s="590">
        <f>IF(A30taxstdlife="n/a","n/a",IF(AQ$3&gt;(A30taxstdlife+$E865),(('PTRM input'!$M$172+'PTRM input'!$M$138)*$M$7)-SUM($M865:AP865),(('PTRM input'!$M$172+'PTRM input'!$M$138)*$M$7)/A30taxstdlife))</f>
        <v>0</v>
      </c>
      <c r="AR865" s="590">
        <f>IF(A30taxstdlife="n/a","n/a",IF(AR$3&gt;(A30taxstdlife+$E865),(('PTRM input'!$M$172+'PTRM input'!$M$138)*$M$7)-SUM($M865:AQ865),(('PTRM input'!$M$172+'PTRM input'!$M$138)*$M$7)/A30taxstdlife))</f>
        <v>0</v>
      </c>
      <c r="AS865" s="590">
        <f>IF(A30taxstdlife="n/a","n/a",IF(AS$3&gt;(A30taxstdlife+$E865),(('PTRM input'!$M$172+'PTRM input'!$M$138)*$M$7)-SUM($M865:AR865),(('PTRM input'!$M$172+'PTRM input'!$M$138)*$M$7)/A30taxstdlife))</f>
        <v>0</v>
      </c>
      <c r="AT865" s="590">
        <f>IF(A30taxstdlife="n/a","n/a",IF(AT$3&gt;(A30taxstdlife+$E865),(('PTRM input'!$M$172+'PTRM input'!$M$138)*$M$7)-SUM($M865:AS865),(('PTRM input'!$M$172+'PTRM input'!$M$138)*$M$7)/A30taxstdlife))</f>
        <v>0</v>
      </c>
      <c r="AU865" s="590">
        <f>IF(A30taxstdlife="n/a","n/a",IF(AU$3&gt;(A30taxstdlife+$E865),(('PTRM input'!$M$172+'PTRM input'!$M$138)*$M$7)-SUM($M865:AT865),(('PTRM input'!$M$172+'PTRM input'!$M$138)*$M$7)/A30taxstdlife))</f>
        <v>0</v>
      </c>
      <c r="AV865" s="590">
        <f>IF(A30taxstdlife="n/a","n/a",IF(AV$3&gt;(A30taxstdlife+$E865),(('PTRM input'!$M$172+'PTRM input'!$M$138)*$M$7)-SUM($M865:AU865),(('PTRM input'!$M$172+'PTRM input'!$M$138)*$M$7)/A30taxstdlife))</f>
        <v>0</v>
      </c>
      <c r="AW865" s="590">
        <f>IF(A30taxstdlife="n/a","n/a",IF(AW$3&gt;(A30taxstdlife+$E865),(('PTRM input'!$M$172+'PTRM input'!$M$138)*$M$7)-SUM($M865:AV865),(('PTRM input'!$M$172+'PTRM input'!$M$138)*$M$7)/A30taxstdlife))</f>
        <v>0</v>
      </c>
      <c r="AX865" s="590">
        <f>IF(A30taxstdlife="n/a","n/a",IF(AX$3&gt;(A30taxstdlife+$E865),(('PTRM input'!$M$172+'PTRM input'!$M$138)*$M$7)-SUM($M865:AW865),(('PTRM input'!$M$172+'PTRM input'!$M$138)*$M$7)/A30taxstdlife))</f>
        <v>0</v>
      </c>
      <c r="AY865" s="590">
        <f>IF(A30taxstdlife="n/a","n/a",IF(AY$3&gt;(A30taxstdlife+$E865),(('PTRM input'!$M$172+'PTRM input'!$M$138)*$M$7)-SUM($M865:AX865),(('PTRM input'!$M$172+'PTRM input'!$M$138)*$M$7)/A30taxstdlife))</f>
        <v>0</v>
      </c>
      <c r="AZ865" s="590">
        <f>IF(A30taxstdlife="n/a","n/a",IF(AZ$3&gt;(A30taxstdlife+$E865),(('PTRM input'!$M$172+'PTRM input'!$M$138)*$M$7)-SUM($M865:AY865),(('PTRM input'!$M$172+'PTRM input'!$M$138)*$M$7)/A30taxstdlife))</f>
        <v>0</v>
      </c>
      <c r="BA865" s="590">
        <f>IF(A30taxstdlife="n/a","n/a",IF(BA$3&gt;(A30taxstdlife+$E865),(('PTRM input'!$M$172+'PTRM input'!$M$138)*$M$7)-SUM($M865:AZ865),(('PTRM input'!$M$172+'PTRM input'!$M$138)*$M$7)/A30taxstdlife))</f>
        <v>0</v>
      </c>
      <c r="BB865" s="590">
        <f>IF(A30taxstdlife="n/a","n/a",IF(BB$3&gt;(A30taxstdlife+$E865),(('PTRM input'!$M$172+'PTRM input'!$M$138)*$M$7)-SUM($M865:BA865),(('PTRM input'!$M$172+'PTRM input'!$M$138)*$M$7)/A30taxstdlife))</f>
        <v>0</v>
      </c>
      <c r="BC865" s="590">
        <f>IF(A30taxstdlife="n/a","n/a",IF(BC$3&gt;(A30taxstdlife+$E865),(('PTRM input'!$M$172+'PTRM input'!$M$138)*$M$7)-SUM($M865:BB865),(('PTRM input'!$M$172+'PTRM input'!$M$138)*$M$7)/A30taxstdlife))</f>
        <v>0</v>
      </c>
      <c r="BD865" s="590">
        <f>IF(A30taxstdlife="n/a","n/a",IF(BD$3&gt;(A30taxstdlife+$E865),(('PTRM input'!$M$172+'PTRM input'!$M$138)*$M$7)-SUM($M865:BC865),(('PTRM input'!$M$172+'PTRM input'!$M$138)*$M$7)/A30taxstdlife))</f>
        <v>0</v>
      </c>
      <c r="BE865" s="590">
        <f>IF(A30taxstdlife="n/a","n/a",IF(BE$3&gt;(A30taxstdlife+$E865),(('PTRM input'!$M$172+'PTRM input'!$M$138)*$M$7)-SUM($M865:BD865),(('PTRM input'!$M$172+'PTRM input'!$M$138)*$M$7)/A30taxstdlife))</f>
        <v>0</v>
      </c>
      <c r="BF865" s="590">
        <f>IF(A30taxstdlife="n/a","n/a",IF(BF$3&gt;(A30taxstdlife+$E865),(('PTRM input'!$M$172+'PTRM input'!$M$138)*$M$7)-SUM($M865:BE865),(('PTRM input'!$M$172+'PTRM input'!$M$138)*$M$7)/A30taxstdlife))</f>
        <v>0</v>
      </c>
      <c r="BG865" s="590">
        <f>IF(A30taxstdlife="n/a","n/a",IF(BG$3&gt;(A30taxstdlife+$E865),(('PTRM input'!$M$172+'PTRM input'!$M$138)*$M$7)-SUM($M865:BF865),(('PTRM input'!$M$172+'PTRM input'!$M$138)*$M$7)/A30taxstdlife))</f>
        <v>0</v>
      </c>
      <c r="BH865" s="590">
        <f>IF(A30taxstdlife="n/a","n/a",IF(BH$3&gt;(A30taxstdlife+$E865),(('PTRM input'!$M$172+'PTRM input'!$M$138)*$M$7)-SUM($M865:BG865),(('PTRM input'!$M$172+'PTRM input'!$M$138)*$M$7)/A30taxstdlife))</f>
        <v>0</v>
      </c>
      <c r="BI865" s="590">
        <f>IF(A30taxstdlife="n/a","n/a",IF(BI$3&gt;(A30taxstdlife+$E865),(('PTRM input'!$M$172+'PTRM input'!$M$138)*$M$7)-SUM($M865:BH865),(('PTRM input'!$M$172+'PTRM input'!$M$138)*$M$7)/A30taxstdlife))</f>
        <v>0</v>
      </c>
      <c r="BJ865" s="240"/>
      <c r="BK865" s="240"/>
      <c r="BL865" s="240"/>
      <c r="BM865" s="240"/>
    </row>
    <row r="866" spans="1:65" s="4" customFormat="1" hidden="1" outlineLevel="2">
      <c r="A866" s="240"/>
      <c r="B866" s="240"/>
      <c r="C866" s="595"/>
      <c r="D866" s="1618"/>
      <c r="E866" s="169">
        <v>8</v>
      </c>
      <c r="F866" s="35"/>
      <c r="G866" s="184"/>
      <c r="H866" s="186"/>
      <c r="I866" s="186"/>
      <c r="J866" s="186"/>
      <c r="K866" s="186"/>
      <c r="L866" s="186"/>
      <c r="M866" s="186"/>
      <c r="N866" s="185"/>
      <c r="O866" s="107">
        <f>IF(A30taxstdlife="n/a","n/a",IF(O$3&gt;(A30taxstdlife+$E866),(('PTRM input'!$N$172+'PTRM input'!$N$138)*$N$7)-SUM($N866:N866),(('PTRM input'!$N$172+'PTRM input'!$N$138)*$N$7)/A30taxstdlife))</f>
        <v>0</v>
      </c>
      <c r="P866" s="107">
        <f>IF(A30taxstdlife="n/a","n/a",IF(P$3&gt;(A30taxstdlife+$E866),(('PTRM input'!$N$172+'PTRM input'!$N$138)*$N$7)-SUM($N866:O866),(('PTRM input'!$N$172+'PTRM input'!$N$138)*$N$7)/A30taxstdlife))</f>
        <v>0</v>
      </c>
      <c r="Q866" s="590">
        <f>IF(A30taxstdlife="n/a","n/a",IF(Q$3&gt;(A30taxstdlife+$E866),(('PTRM input'!$N$172+'PTRM input'!$N$138)*$N$7)-SUM($N866:P866),(('PTRM input'!$N$172+'PTRM input'!$N$138)*$N$7)/A30taxstdlife))</f>
        <v>0</v>
      </c>
      <c r="R866" s="590">
        <f>IF(A30taxstdlife="n/a","n/a",IF(R$3&gt;(A30taxstdlife+$E866),(('PTRM input'!$N$172+'PTRM input'!$N$138)*$N$7)-SUM($N866:Q866),(('PTRM input'!$N$172+'PTRM input'!$N$138)*$N$7)/A30taxstdlife))</f>
        <v>0</v>
      </c>
      <c r="S866" s="590">
        <f>IF(A30taxstdlife="n/a","n/a",IF(S$3&gt;(A30taxstdlife+$E866),(('PTRM input'!$N$172+'PTRM input'!$N$138)*$N$7)-SUM($N866:R866),(('PTRM input'!$N$172+'PTRM input'!$N$138)*$N$7)/A30taxstdlife))</f>
        <v>0</v>
      </c>
      <c r="T866" s="590">
        <f>IF(A30taxstdlife="n/a","n/a",IF(T$3&gt;(A30taxstdlife+$E866),(('PTRM input'!$N$172+'PTRM input'!$N$138)*$N$7)-SUM($N866:S866),(('PTRM input'!$N$172+'PTRM input'!$N$138)*$N$7)/A30taxstdlife))</f>
        <v>0</v>
      </c>
      <c r="U866" s="590">
        <f>IF(A30taxstdlife="n/a","n/a",IF(U$3&gt;(A30taxstdlife+$E866),(('PTRM input'!$N$172+'PTRM input'!$N$138)*$N$7)-SUM($N866:T866),(('PTRM input'!$N$172+'PTRM input'!$N$138)*$N$7)/A30taxstdlife))</f>
        <v>0</v>
      </c>
      <c r="V866" s="590">
        <f>IF(A30taxstdlife="n/a","n/a",IF(V$3&gt;(A30taxstdlife+$E866),(('PTRM input'!$N$172+'PTRM input'!$N$138)*$N$7)-SUM($N866:U866),(('PTRM input'!$N$172+'PTRM input'!$N$138)*$N$7)/A30taxstdlife))</f>
        <v>0</v>
      </c>
      <c r="W866" s="590">
        <f>IF(A30taxstdlife="n/a","n/a",IF(W$3&gt;(A30taxstdlife+$E866),(('PTRM input'!$N$172+'PTRM input'!$N$138)*$N$7)-SUM($N866:V866),(('PTRM input'!$N$172+'PTRM input'!$N$138)*$N$7)/A30taxstdlife))</f>
        <v>0</v>
      </c>
      <c r="X866" s="590">
        <f>IF(A30taxstdlife="n/a","n/a",IF(X$3&gt;(A30taxstdlife+$E866),(('PTRM input'!$N$172+'PTRM input'!$N$138)*$N$7)-SUM($N866:W866),(('PTRM input'!$N$172+'PTRM input'!$N$138)*$N$7)/A30taxstdlife))</f>
        <v>0</v>
      </c>
      <c r="Y866" s="590">
        <f>IF(A30taxstdlife="n/a","n/a",IF(Y$3&gt;(A30taxstdlife+$E866),(('PTRM input'!$N$172+'PTRM input'!$N$138)*$N$7)-SUM($N866:X866),(('PTRM input'!$N$172+'PTRM input'!$N$138)*$N$7)/A30taxstdlife))</f>
        <v>0</v>
      </c>
      <c r="Z866" s="590">
        <f>IF(A30taxstdlife="n/a","n/a",IF(Z$3&gt;(A30taxstdlife+$E866),(('PTRM input'!$N$172+'PTRM input'!$N$138)*$N$7)-SUM($N866:Y866),(('PTRM input'!$N$172+'PTRM input'!$N$138)*$N$7)/A30taxstdlife))</f>
        <v>0</v>
      </c>
      <c r="AA866" s="590">
        <f>IF(A30taxstdlife="n/a","n/a",IF(AA$3&gt;(A30taxstdlife+$E866),(('PTRM input'!$N$172+'PTRM input'!$N$138)*$N$7)-SUM($N866:Z866),(('PTRM input'!$N$172+'PTRM input'!$N$138)*$N$7)/A30taxstdlife))</f>
        <v>0</v>
      </c>
      <c r="AB866" s="590">
        <f>IF(A30taxstdlife="n/a","n/a",IF(AB$3&gt;(A30taxstdlife+$E866),(('PTRM input'!$N$172+'PTRM input'!$N$138)*$N$7)-SUM($N866:AA866),(('PTRM input'!$N$172+'PTRM input'!$N$138)*$N$7)/A30taxstdlife))</f>
        <v>0</v>
      </c>
      <c r="AC866" s="590">
        <f>IF(A30taxstdlife="n/a","n/a",IF(AC$3&gt;(A30taxstdlife+$E866),(('PTRM input'!$N$172+'PTRM input'!$N$138)*$N$7)-SUM($N866:AB866),(('PTRM input'!$N$172+'PTRM input'!$N$138)*$N$7)/A30taxstdlife))</f>
        <v>0</v>
      </c>
      <c r="AD866" s="590">
        <f>IF(A30taxstdlife="n/a","n/a",IF(AD$3&gt;(A30taxstdlife+$E866),(('PTRM input'!$N$172+'PTRM input'!$N$138)*$N$7)-SUM($N866:AC866),(('PTRM input'!$N$172+'PTRM input'!$N$138)*$N$7)/A30taxstdlife))</f>
        <v>0</v>
      </c>
      <c r="AE866" s="590">
        <f>IF(A30taxstdlife="n/a","n/a",IF(AE$3&gt;(A30taxstdlife+$E866),(('PTRM input'!$N$172+'PTRM input'!$N$138)*$N$7)-SUM($N866:AD866),(('PTRM input'!$N$172+'PTRM input'!$N$138)*$N$7)/A30taxstdlife))</f>
        <v>0</v>
      </c>
      <c r="AF866" s="590">
        <f>IF(A30taxstdlife="n/a","n/a",IF(AF$3&gt;(A30taxstdlife+$E866),(('PTRM input'!$N$172+'PTRM input'!$N$138)*$N$7)-SUM($N866:AE866),(('PTRM input'!$N$172+'PTRM input'!$N$138)*$N$7)/A30taxstdlife))</f>
        <v>0</v>
      </c>
      <c r="AG866" s="590">
        <f>IF(A30taxstdlife="n/a","n/a",IF(AG$3&gt;(A30taxstdlife+$E866),(('PTRM input'!$N$172+'PTRM input'!$N$138)*$N$7)-SUM($N866:AF866),(('PTRM input'!$N$172+'PTRM input'!$N$138)*$N$7)/A30taxstdlife))</f>
        <v>0</v>
      </c>
      <c r="AH866" s="590">
        <f>IF(A30taxstdlife="n/a","n/a",IF(AH$3&gt;(A30taxstdlife+$E866),(('PTRM input'!$N$172+'PTRM input'!$N$138)*$N$7)-SUM($N866:AG866),(('PTRM input'!$N$172+'PTRM input'!$N$138)*$N$7)/A30taxstdlife))</f>
        <v>0</v>
      </c>
      <c r="AI866" s="590">
        <f>IF(A30taxstdlife="n/a","n/a",IF(AI$3&gt;(A30taxstdlife+$E866),(('PTRM input'!$N$172+'PTRM input'!$N$138)*$N$7)-SUM($N866:AH866),(('PTRM input'!$N$172+'PTRM input'!$N$138)*$N$7)/A30taxstdlife))</f>
        <v>0</v>
      </c>
      <c r="AJ866" s="590">
        <f>IF(A30taxstdlife="n/a","n/a",IF(AJ$3&gt;(A30taxstdlife+$E866),(('PTRM input'!$N$172+'PTRM input'!$N$138)*$N$7)-SUM($N866:AI866),(('PTRM input'!$N$172+'PTRM input'!$N$138)*$N$7)/A30taxstdlife))</f>
        <v>0</v>
      </c>
      <c r="AK866" s="590">
        <f>IF(A30taxstdlife="n/a","n/a",IF(AK$3&gt;(A30taxstdlife+$E866),(('PTRM input'!$N$172+'PTRM input'!$N$138)*$N$7)-SUM($N866:AJ866),(('PTRM input'!$N$172+'PTRM input'!$N$138)*$N$7)/A30taxstdlife))</f>
        <v>0</v>
      </c>
      <c r="AL866" s="590">
        <f>IF(A30taxstdlife="n/a","n/a",IF(AL$3&gt;(A30taxstdlife+$E866),(('PTRM input'!$N$172+'PTRM input'!$N$138)*$N$7)-SUM($N866:AK866),(('PTRM input'!$N$172+'PTRM input'!$N$138)*$N$7)/A30taxstdlife))</f>
        <v>0</v>
      </c>
      <c r="AM866" s="590">
        <f>IF(A30taxstdlife="n/a","n/a",IF(AM$3&gt;(A30taxstdlife+$E866),(('PTRM input'!$N$172+'PTRM input'!$N$138)*$N$7)-SUM($N866:AL866),(('PTRM input'!$N$172+'PTRM input'!$N$138)*$N$7)/A30taxstdlife))</f>
        <v>0</v>
      </c>
      <c r="AN866" s="590">
        <f>IF(A30taxstdlife="n/a","n/a",IF(AN$3&gt;(A30taxstdlife+$E866),(('PTRM input'!$N$172+'PTRM input'!$N$138)*$N$7)-SUM($N866:AM866),(('PTRM input'!$N$172+'PTRM input'!$N$138)*$N$7)/A30taxstdlife))</f>
        <v>0</v>
      </c>
      <c r="AO866" s="590">
        <f>IF(A30taxstdlife="n/a","n/a",IF(AO$3&gt;(A30taxstdlife+$E866),(('PTRM input'!$N$172+'PTRM input'!$N$138)*$N$7)-SUM($N866:AN866),(('PTRM input'!$N$172+'PTRM input'!$N$138)*$N$7)/A30taxstdlife))</f>
        <v>0</v>
      </c>
      <c r="AP866" s="590">
        <f>IF(A30taxstdlife="n/a","n/a",IF(AP$3&gt;(A30taxstdlife+$E866),(('PTRM input'!$N$172+'PTRM input'!$N$138)*$N$7)-SUM($N866:AO866),(('PTRM input'!$N$172+'PTRM input'!$N$138)*$N$7)/A30taxstdlife))</f>
        <v>0</v>
      </c>
      <c r="AQ866" s="590">
        <f>IF(A30taxstdlife="n/a","n/a",IF(AQ$3&gt;(A30taxstdlife+$E866),(('PTRM input'!$N$172+'PTRM input'!$N$138)*$N$7)-SUM($N866:AP866),(('PTRM input'!$N$172+'PTRM input'!$N$138)*$N$7)/A30taxstdlife))</f>
        <v>0</v>
      </c>
      <c r="AR866" s="590">
        <f>IF(A30taxstdlife="n/a","n/a",IF(AR$3&gt;(A30taxstdlife+$E866),(('PTRM input'!$N$172+'PTRM input'!$N$138)*$N$7)-SUM($N866:AQ866),(('PTRM input'!$N$172+'PTRM input'!$N$138)*$N$7)/A30taxstdlife))</f>
        <v>0</v>
      </c>
      <c r="AS866" s="590">
        <f>IF(A30taxstdlife="n/a","n/a",IF(AS$3&gt;(A30taxstdlife+$E866),(('PTRM input'!$N$172+'PTRM input'!$N$138)*$N$7)-SUM($N866:AR866),(('PTRM input'!$N$172+'PTRM input'!$N$138)*$N$7)/A30taxstdlife))</f>
        <v>0</v>
      </c>
      <c r="AT866" s="590">
        <f>IF(A30taxstdlife="n/a","n/a",IF(AT$3&gt;(A30taxstdlife+$E866),(('PTRM input'!$N$172+'PTRM input'!$N$138)*$N$7)-SUM($N866:AS866),(('PTRM input'!$N$172+'PTRM input'!$N$138)*$N$7)/A30taxstdlife))</f>
        <v>0</v>
      </c>
      <c r="AU866" s="590">
        <f>IF(A30taxstdlife="n/a","n/a",IF(AU$3&gt;(A30taxstdlife+$E866),(('PTRM input'!$N$172+'PTRM input'!$N$138)*$N$7)-SUM($N866:AT866),(('PTRM input'!$N$172+'PTRM input'!$N$138)*$N$7)/A30taxstdlife))</f>
        <v>0</v>
      </c>
      <c r="AV866" s="590">
        <f>IF(A30taxstdlife="n/a","n/a",IF(AV$3&gt;(A30taxstdlife+$E866),(('PTRM input'!$N$172+'PTRM input'!$N$138)*$N$7)-SUM($N866:AU866),(('PTRM input'!$N$172+'PTRM input'!$N$138)*$N$7)/A30taxstdlife))</f>
        <v>0</v>
      </c>
      <c r="AW866" s="590">
        <f>IF(A30taxstdlife="n/a","n/a",IF(AW$3&gt;(A30taxstdlife+$E866),(('PTRM input'!$N$172+'PTRM input'!$N$138)*$N$7)-SUM($N866:AV866),(('PTRM input'!$N$172+'PTRM input'!$N$138)*$N$7)/A30taxstdlife))</f>
        <v>0</v>
      </c>
      <c r="AX866" s="590">
        <f>IF(A30taxstdlife="n/a","n/a",IF(AX$3&gt;(A30taxstdlife+$E866),(('PTRM input'!$N$172+'PTRM input'!$N$138)*$N$7)-SUM($N866:AW866),(('PTRM input'!$N$172+'PTRM input'!$N$138)*$N$7)/A30taxstdlife))</f>
        <v>0</v>
      </c>
      <c r="AY866" s="590">
        <f>IF(A30taxstdlife="n/a","n/a",IF(AY$3&gt;(A30taxstdlife+$E866),(('PTRM input'!$N$172+'PTRM input'!$N$138)*$N$7)-SUM($N866:AX866),(('PTRM input'!$N$172+'PTRM input'!$N$138)*$N$7)/A30taxstdlife))</f>
        <v>0</v>
      </c>
      <c r="AZ866" s="590">
        <f>IF(A30taxstdlife="n/a","n/a",IF(AZ$3&gt;(A30taxstdlife+$E866),(('PTRM input'!$N$172+'PTRM input'!$N$138)*$N$7)-SUM($N866:AY866),(('PTRM input'!$N$172+'PTRM input'!$N$138)*$N$7)/A30taxstdlife))</f>
        <v>0</v>
      </c>
      <c r="BA866" s="590">
        <f>IF(A30taxstdlife="n/a","n/a",IF(BA$3&gt;(A30taxstdlife+$E866),(('PTRM input'!$N$172+'PTRM input'!$N$138)*$N$7)-SUM($N866:AZ866),(('PTRM input'!$N$172+'PTRM input'!$N$138)*$N$7)/A30taxstdlife))</f>
        <v>0</v>
      </c>
      <c r="BB866" s="590">
        <f>IF(A30taxstdlife="n/a","n/a",IF(BB$3&gt;(A30taxstdlife+$E866),(('PTRM input'!$N$172+'PTRM input'!$N$138)*$N$7)-SUM($N866:BA866),(('PTRM input'!$N$172+'PTRM input'!$N$138)*$N$7)/A30taxstdlife))</f>
        <v>0</v>
      </c>
      <c r="BC866" s="590">
        <f>IF(A30taxstdlife="n/a","n/a",IF(BC$3&gt;(A30taxstdlife+$E866),(('PTRM input'!$N$172+'PTRM input'!$N$138)*$N$7)-SUM($N866:BB866),(('PTRM input'!$N$172+'PTRM input'!$N$138)*$N$7)/A30taxstdlife))</f>
        <v>0</v>
      </c>
      <c r="BD866" s="590">
        <f>IF(A30taxstdlife="n/a","n/a",IF(BD$3&gt;(A30taxstdlife+$E866),(('PTRM input'!$N$172+'PTRM input'!$N$138)*$N$7)-SUM($N866:BC866),(('PTRM input'!$N$172+'PTRM input'!$N$138)*$N$7)/A30taxstdlife))</f>
        <v>0</v>
      </c>
      <c r="BE866" s="590">
        <f>IF(A30taxstdlife="n/a","n/a",IF(BE$3&gt;(A30taxstdlife+$E866),(('PTRM input'!$N$172+'PTRM input'!$N$138)*$N$7)-SUM($N866:BD866),(('PTRM input'!$N$172+'PTRM input'!$N$138)*$N$7)/A30taxstdlife))</f>
        <v>0</v>
      </c>
      <c r="BF866" s="590">
        <f>IF(A30taxstdlife="n/a","n/a",IF(BF$3&gt;(A30taxstdlife+$E866),(('PTRM input'!$N$172+'PTRM input'!$N$138)*$N$7)-SUM($N866:BE866),(('PTRM input'!$N$172+'PTRM input'!$N$138)*$N$7)/A30taxstdlife))</f>
        <v>0</v>
      </c>
      <c r="BG866" s="590">
        <f>IF(A30taxstdlife="n/a","n/a",IF(BG$3&gt;(A30taxstdlife+$E866),(('PTRM input'!$N$172+'PTRM input'!$N$138)*$N$7)-SUM($N866:BF866),(('PTRM input'!$N$172+'PTRM input'!$N$138)*$N$7)/A30taxstdlife))</f>
        <v>0</v>
      </c>
      <c r="BH866" s="590">
        <f>IF(A30taxstdlife="n/a","n/a",IF(BH$3&gt;(A30taxstdlife+$E866),(('PTRM input'!$N$172+'PTRM input'!$N$138)*$N$7)-SUM($N866:BG866),(('PTRM input'!$N$172+'PTRM input'!$N$138)*$N$7)/A30taxstdlife))</f>
        <v>0</v>
      </c>
      <c r="BI866" s="590">
        <f>IF(A30taxstdlife="n/a","n/a",IF(BI$3&gt;(A30taxstdlife+$E866),(('PTRM input'!$N$172+'PTRM input'!$N$138)*$N$7)-SUM($N866:BH866),(('PTRM input'!$N$172+'PTRM input'!$N$138)*$N$7)/A30taxstdlife))</f>
        <v>0</v>
      </c>
      <c r="BJ866" s="240"/>
      <c r="BK866" s="240"/>
      <c r="BL866" s="240"/>
      <c r="BM866" s="240"/>
    </row>
    <row r="867" spans="1:65" s="4" customFormat="1" hidden="1" outlineLevel="2">
      <c r="A867" s="240"/>
      <c r="B867" s="240"/>
      <c r="C867" s="595"/>
      <c r="D867" s="1618"/>
      <c r="E867" s="169">
        <v>9</v>
      </c>
      <c r="F867" s="35"/>
      <c r="G867" s="184"/>
      <c r="H867" s="186"/>
      <c r="I867" s="186"/>
      <c r="J867" s="186"/>
      <c r="K867" s="186"/>
      <c r="L867" s="186"/>
      <c r="M867" s="186"/>
      <c r="N867" s="186"/>
      <c r="O867" s="185"/>
      <c r="P867" s="107">
        <f>IF(A30taxstdlife="n/a","n/a",IF(P$3&gt;(A30taxstdlife+$E867),(('PTRM input'!$O$172+'PTRM input'!$O$138)*$O$7)-SUM($O867:O867),(('PTRM input'!$O$172+'PTRM input'!$O$138)*$O$7)/A30taxstdlife))</f>
        <v>0</v>
      </c>
      <c r="Q867" s="590">
        <f>IF(A30taxstdlife="n/a","n/a",IF(Q$3&gt;(A30taxstdlife+$E867),(('PTRM input'!$O$172+'PTRM input'!$O$138)*$O$7)-SUM($O867:P867),(('PTRM input'!$O$172+'PTRM input'!$O$138)*$O$7)/A30taxstdlife))</f>
        <v>0</v>
      </c>
      <c r="R867" s="590">
        <f>IF(A30taxstdlife="n/a","n/a",IF(R$3&gt;(A30taxstdlife+$E867),(('PTRM input'!$O$172+'PTRM input'!$O$138)*$O$7)-SUM($O867:Q867),(('PTRM input'!$O$172+'PTRM input'!$O$138)*$O$7)/A30taxstdlife))</f>
        <v>0</v>
      </c>
      <c r="S867" s="590">
        <f>IF(A30taxstdlife="n/a","n/a",IF(S$3&gt;(A30taxstdlife+$E867),(('PTRM input'!$O$172+'PTRM input'!$O$138)*$O$7)-SUM($O867:R867),(('PTRM input'!$O$172+'PTRM input'!$O$138)*$O$7)/A30taxstdlife))</f>
        <v>0</v>
      </c>
      <c r="T867" s="590">
        <f>IF(A30taxstdlife="n/a","n/a",IF(T$3&gt;(A30taxstdlife+$E867),(('PTRM input'!$O$172+'PTRM input'!$O$138)*$O$7)-SUM($O867:S867),(('PTRM input'!$O$172+'PTRM input'!$O$138)*$O$7)/A30taxstdlife))</f>
        <v>0</v>
      </c>
      <c r="U867" s="590">
        <f>IF(A30taxstdlife="n/a","n/a",IF(U$3&gt;(A30taxstdlife+$E867),(('PTRM input'!$O$172+'PTRM input'!$O$138)*$O$7)-SUM($O867:T867),(('PTRM input'!$O$172+'PTRM input'!$O$138)*$O$7)/A30taxstdlife))</f>
        <v>0</v>
      </c>
      <c r="V867" s="590">
        <f>IF(A30taxstdlife="n/a","n/a",IF(V$3&gt;(A30taxstdlife+$E867),(('PTRM input'!$O$172+'PTRM input'!$O$138)*$O$7)-SUM($O867:U867),(('PTRM input'!$O$172+'PTRM input'!$O$138)*$O$7)/A30taxstdlife))</f>
        <v>0</v>
      </c>
      <c r="W867" s="590">
        <f>IF(A30taxstdlife="n/a","n/a",IF(W$3&gt;(A30taxstdlife+$E867),(('PTRM input'!$O$172+'PTRM input'!$O$138)*$O$7)-SUM($O867:V867),(('PTRM input'!$O$172+'PTRM input'!$O$138)*$O$7)/A30taxstdlife))</f>
        <v>0</v>
      </c>
      <c r="X867" s="590">
        <f>IF(A30taxstdlife="n/a","n/a",IF(X$3&gt;(A30taxstdlife+$E867),(('PTRM input'!$O$172+'PTRM input'!$O$138)*$O$7)-SUM($O867:W867),(('PTRM input'!$O$172+'PTRM input'!$O$138)*$O$7)/A30taxstdlife))</f>
        <v>0</v>
      </c>
      <c r="Y867" s="590">
        <f>IF(A30taxstdlife="n/a","n/a",IF(Y$3&gt;(A30taxstdlife+$E867),(('PTRM input'!$O$172+'PTRM input'!$O$138)*$O$7)-SUM($O867:X867),(('PTRM input'!$O$172+'PTRM input'!$O$138)*$O$7)/A30taxstdlife))</f>
        <v>0</v>
      </c>
      <c r="Z867" s="590">
        <f>IF(A30taxstdlife="n/a","n/a",IF(Z$3&gt;(A30taxstdlife+$E867),(('PTRM input'!$O$172+'PTRM input'!$O$138)*$O$7)-SUM($O867:Y867),(('PTRM input'!$O$172+'PTRM input'!$O$138)*$O$7)/A30taxstdlife))</f>
        <v>0</v>
      </c>
      <c r="AA867" s="590">
        <f>IF(A30taxstdlife="n/a","n/a",IF(AA$3&gt;(A30taxstdlife+$E867),(('PTRM input'!$O$172+'PTRM input'!$O$138)*$O$7)-SUM($O867:Z867),(('PTRM input'!$O$172+'PTRM input'!$O$138)*$O$7)/A30taxstdlife))</f>
        <v>0</v>
      </c>
      <c r="AB867" s="590">
        <f>IF(A30taxstdlife="n/a","n/a",IF(AB$3&gt;(A30taxstdlife+$E867),(('PTRM input'!$O$172+'PTRM input'!$O$138)*$O$7)-SUM($O867:AA867),(('PTRM input'!$O$172+'PTRM input'!$O$138)*$O$7)/A30taxstdlife))</f>
        <v>0</v>
      </c>
      <c r="AC867" s="590">
        <f>IF(A30taxstdlife="n/a","n/a",IF(AC$3&gt;(A30taxstdlife+$E867),(('PTRM input'!$O$172+'PTRM input'!$O$138)*$O$7)-SUM($O867:AB867),(('PTRM input'!$O$172+'PTRM input'!$O$138)*$O$7)/A30taxstdlife))</f>
        <v>0</v>
      </c>
      <c r="AD867" s="590">
        <f>IF(A30taxstdlife="n/a","n/a",IF(AD$3&gt;(A30taxstdlife+$E867),(('PTRM input'!$O$172+'PTRM input'!$O$138)*$O$7)-SUM($O867:AC867),(('PTRM input'!$O$172+'PTRM input'!$O$138)*$O$7)/A30taxstdlife))</f>
        <v>0</v>
      </c>
      <c r="AE867" s="590">
        <f>IF(A30taxstdlife="n/a","n/a",IF(AE$3&gt;(A30taxstdlife+$E867),(('PTRM input'!$O$172+'PTRM input'!$O$138)*$O$7)-SUM($O867:AD867),(('PTRM input'!$O$172+'PTRM input'!$O$138)*$O$7)/A30taxstdlife))</f>
        <v>0</v>
      </c>
      <c r="AF867" s="590">
        <f>IF(A30taxstdlife="n/a","n/a",IF(AF$3&gt;(A30taxstdlife+$E867),(('PTRM input'!$O$172+'PTRM input'!$O$138)*$O$7)-SUM($O867:AE867),(('PTRM input'!$O$172+'PTRM input'!$O$138)*$O$7)/A30taxstdlife))</f>
        <v>0</v>
      </c>
      <c r="AG867" s="590">
        <f>IF(A30taxstdlife="n/a","n/a",IF(AG$3&gt;(A30taxstdlife+$E867),(('PTRM input'!$O$172+'PTRM input'!$O$138)*$O$7)-SUM($O867:AF867),(('PTRM input'!$O$172+'PTRM input'!$O$138)*$O$7)/A30taxstdlife))</f>
        <v>0</v>
      </c>
      <c r="AH867" s="590">
        <f>IF(A30taxstdlife="n/a","n/a",IF(AH$3&gt;(A30taxstdlife+$E867),(('PTRM input'!$O$172+'PTRM input'!$O$138)*$O$7)-SUM($O867:AG867),(('PTRM input'!$O$172+'PTRM input'!$O$138)*$O$7)/A30taxstdlife))</f>
        <v>0</v>
      </c>
      <c r="AI867" s="590">
        <f>IF(A30taxstdlife="n/a","n/a",IF(AI$3&gt;(A30taxstdlife+$E867),(('PTRM input'!$O$172+'PTRM input'!$O$138)*$O$7)-SUM($O867:AH867),(('PTRM input'!$O$172+'PTRM input'!$O$138)*$O$7)/A30taxstdlife))</f>
        <v>0</v>
      </c>
      <c r="AJ867" s="590">
        <f>IF(A30taxstdlife="n/a","n/a",IF(AJ$3&gt;(A30taxstdlife+$E867),(('PTRM input'!$O$172+'PTRM input'!$O$138)*$O$7)-SUM($O867:AI867),(('PTRM input'!$O$172+'PTRM input'!$O$138)*$O$7)/A30taxstdlife))</f>
        <v>0</v>
      </c>
      <c r="AK867" s="590">
        <f>IF(A30taxstdlife="n/a","n/a",IF(AK$3&gt;(A30taxstdlife+$E867),(('PTRM input'!$O$172+'PTRM input'!$O$138)*$O$7)-SUM($O867:AJ867),(('PTRM input'!$O$172+'PTRM input'!$O$138)*$O$7)/A30taxstdlife))</f>
        <v>0</v>
      </c>
      <c r="AL867" s="590">
        <f>IF(A30taxstdlife="n/a","n/a",IF(AL$3&gt;(A30taxstdlife+$E867),(('PTRM input'!$O$172+'PTRM input'!$O$138)*$O$7)-SUM($O867:AK867),(('PTRM input'!$O$172+'PTRM input'!$O$138)*$O$7)/A30taxstdlife))</f>
        <v>0</v>
      </c>
      <c r="AM867" s="590">
        <f>IF(A30taxstdlife="n/a","n/a",IF(AM$3&gt;(A30taxstdlife+$E867),(('PTRM input'!$O$172+'PTRM input'!$O$138)*$O$7)-SUM($O867:AL867),(('PTRM input'!$O$172+'PTRM input'!$O$138)*$O$7)/A30taxstdlife))</f>
        <v>0</v>
      </c>
      <c r="AN867" s="590">
        <f>IF(A30taxstdlife="n/a","n/a",IF(AN$3&gt;(A30taxstdlife+$E867),(('PTRM input'!$O$172+'PTRM input'!$O$138)*$O$7)-SUM($O867:AM867),(('PTRM input'!$O$172+'PTRM input'!$O$138)*$O$7)/A30taxstdlife))</f>
        <v>0</v>
      </c>
      <c r="AO867" s="590">
        <f>IF(A30taxstdlife="n/a","n/a",IF(AO$3&gt;(A30taxstdlife+$E867),(('PTRM input'!$O$172+'PTRM input'!$O$138)*$O$7)-SUM($O867:AN867),(('PTRM input'!$O$172+'PTRM input'!$O$138)*$O$7)/A30taxstdlife))</f>
        <v>0</v>
      </c>
      <c r="AP867" s="590">
        <f>IF(A30taxstdlife="n/a","n/a",IF(AP$3&gt;(A30taxstdlife+$E867),(('PTRM input'!$O$172+'PTRM input'!$O$138)*$O$7)-SUM($O867:AO867),(('PTRM input'!$O$172+'PTRM input'!$O$138)*$O$7)/A30taxstdlife))</f>
        <v>0</v>
      </c>
      <c r="AQ867" s="590">
        <f>IF(A30taxstdlife="n/a","n/a",IF(AQ$3&gt;(A30taxstdlife+$E867),(('PTRM input'!$O$172+'PTRM input'!$O$138)*$O$7)-SUM($O867:AP867),(('PTRM input'!$O$172+'PTRM input'!$O$138)*$O$7)/A30taxstdlife))</f>
        <v>0</v>
      </c>
      <c r="AR867" s="590">
        <f>IF(A30taxstdlife="n/a","n/a",IF(AR$3&gt;(A30taxstdlife+$E867),(('PTRM input'!$O$172+'PTRM input'!$O$138)*$O$7)-SUM($O867:AQ867),(('PTRM input'!$O$172+'PTRM input'!$O$138)*$O$7)/A30taxstdlife))</f>
        <v>0</v>
      </c>
      <c r="AS867" s="590">
        <f>IF(A30taxstdlife="n/a","n/a",IF(AS$3&gt;(A30taxstdlife+$E867),(('PTRM input'!$O$172+'PTRM input'!$O$138)*$O$7)-SUM($O867:AR867),(('PTRM input'!$O$172+'PTRM input'!$O$138)*$O$7)/A30taxstdlife))</f>
        <v>0</v>
      </c>
      <c r="AT867" s="590">
        <f>IF(A30taxstdlife="n/a","n/a",IF(AT$3&gt;(A30taxstdlife+$E867),(('PTRM input'!$O$172+'PTRM input'!$O$138)*$O$7)-SUM($O867:AS867),(('PTRM input'!$O$172+'PTRM input'!$O$138)*$O$7)/A30taxstdlife))</f>
        <v>0</v>
      </c>
      <c r="AU867" s="590">
        <f>IF(A30taxstdlife="n/a","n/a",IF(AU$3&gt;(A30taxstdlife+$E867),(('PTRM input'!$O$172+'PTRM input'!$O$138)*$O$7)-SUM($O867:AT867),(('PTRM input'!$O$172+'PTRM input'!$O$138)*$O$7)/A30taxstdlife))</f>
        <v>0</v>
      </c>
      <c r="AV867" s="590">
        <f>IF(A30taxstdlife="n/a","n/a",IF(AV$3&gt;(A30taxstdlife+$E867),(('PTRM input'!$O$172+'PTRM input'!$O$138)*$O$7)-SUM($O867:AU867),(('PTRM input'!$O$172+'PTRM input'!$O$138)*$O$7)/A30taxstdlife))</f>
        <v>0</v>
      </c>
      <c r="AW867" s="590">
        <f>IF(A30taxstdlife="n/a","n/a",IF(AW$3&gt;(A30taxstdlife+$E867),(('PTRM input'!$O$172+'PTRM input'!$O$138)*$O$7)-SUM($O867:AV867),(('PTRM input'!$O$172+'PTRM input'!$O$138)*$O$7)/A30taxstdlife))</f>
        <v>0</v>
      </c>
      <c r="AX867" s="590">
        <f>IF(A30taxstdlife="n/a","n/a",IF(AX$3&gt;(A30taxstdlife+$E867),(('PTRM input'!$O$172+'PTRM input'!$O$138)*$O$7)-SUM($O867:AW867),(('PTRM input'!$O$172+'PTRM input'!$O$138)*$O$7)/A30taxstdlife))</f>
        <v>0</v>
      </c>
      <c r="AY867" s="590">
        <f>IF(A30taxstdlife="n/a","n/a",IF(AY$3&gt;(A30taxstdlife+$E867),(('PTRM input'!$O$172+'PTRM input'!$O$138)*$O$7)-SUM($O867:AX867),(('PTRM input'!$O$172+'PTRM input'!$O$138)*$O$7)/A30taxstdlife))</f>
        <v>0</v>
      </c>
      <c r="AZ867" s="590">
        <f>IF(A30taxstdlife="n/a","n/a",IF(AZ$3&gt;(A30taxstdlife+$E867),(('PTRM input'!$O$172+'PTRM input'!$O$138)*$O$7)-SUM($O867:AY867),(('PTRM input'!$O$172+'PTRM input'!$O$138)*$O$7)/A30taxstdlife))</f>
        <v>0</v>
      </c>
      <c r="BA867" s="590">
        <f>IF(A30taxstdlife="n/a","n/a",IF(BA$3&gt;(A30taxstdlife+$E867),(('PTRM input'!$O$172+'PTRM input'!$O$138)*$O$7)-SUM($O867:AZ867),(('PTRM input'!$O$172+'PTRM input'!$O$138)*$O$7)/A30taxstdlife))</f>
        <v>0</v>
      </c>
      <c r="BB867" s="590">
        <f>IF(A30taxstdlife="n/a","n/a",IF(BB$3&gt;(A30taxstdlife+$E867),(('PTRM input'!$O$172+'PTRM input'!$O$138)*$O$7)-SUM($O867:BA867),(('PTRM input'!$O$172+'PTRM input'!$O$138)*$O$7)/A30taxstdlife))</f>
        <v>0</v>
      </c>
      <c r="BC867" s="590">
        <f>IF(A30taxstdlife="n/a","n/a",IF(BC$3&gt;(A30taxstdlife+$E867),(('PTRM input'!$O$172+'PTRM input'!$O$138)*$O$7)-SUM($O867:BB867),(('PTRM input'!$O$172+'PTRM input'!$O$138)*$O$7)/A30taxstdlife))</f>
        <v>0</v>
      </c>
      <c r="BD867" s="590">
        <f>IF(A30taxstdlife="n/a","n/a",IF(BD$3&gt;(A30taxstdlife+$E867),(('PTRM input'!$O$172+'PTRM input'!$O$138)*$O$7)-SUM($O867:BC867),(('PTRM input'!$O$172+'PTRM input'!$O$138)*$O$7)/A30taxstdlife))</f>
        <v>0</v>
      </c>
      <c r="BE867" s="590">
        <f>IF(A30taxstdlife="n/a","n/a",IF(BE$3&gt;(A30taxstdlife+$E867),(('PTRM input'!$O$172+'PTRM input'!$O$138)*$O$7)-SUM($O867:BD867),(('PTRM input'!$O$172+'PTRM input'!$O$138)*$O$7)/A30taxstdlife))</f>
        <v>0</v>
      </c>
      <c r="BF867" s="590">
        <f>IF(A30taxstdlife="n/a","n/a",IF(BF$3&gt;(A30taxstdlife+$E867),(('PTRM input'!$O$172+'PTRM input'!$O$138)*$O$7)-SUM($O867:BE867),(('PTRM input'!$O$172+'PTRM input'!$O$138)*$O$7)/A30taxstdlife))</f>
        <v>0</v>
      </c>
      <c r="BG867" s="590">
        <f>IF(A30taxstdlife="n/a","n/a",IF(BG$3&gt;(A30taxstdlife+$E867),(('PTRM input'!$O$172+'PTRM input'!$O$138)*$O$7)-SUM($O867:BF867),(('PTRM input'!$O$172+'PTRM input'!$O$138)*$O$7)/A30taxstdlife))</f>
        <v>0</v>
      </c>
      <c r="BH867" s="590">
        <f>IF(A30taxstdlife="n/a","n/a",IF(BH$3&gt;(A30taxstdlife+$E867),(('PTRM input'!$O$172+'PTRM input'!$O$138)*$O$7)-SUM($O867:BG867),(('PTRM input'!$O$172+'PTRM input'!$O$138)*$O$7)/A30taxstdlife))</f>
        <v>0</v>
      </c>
      <c r="BI867" s="590">
        <f>IF(A30taxstdlife="n/a","n/a",IF(BI$3&gt;(A30taxstdlife+$E867),(('PTRM input'!$O$172+'PTRM input'!$O$138)*$O$7)-SUM($O867:BH867),(('PTRM input'!$O$172+'PTRM input'!$O$138)*$O$7)/A30taxstdlife))</f>
        <v>0</v>
      </c>
      <c r="BJ867" s="240"/>
      <c r="BK867" s="240"/>
      <c r="BL867" s="240"/>
      <c r="BM867" s="240"/>
    </row>
    <row r="868" spans="1:65" s="4" customFormat="1" hidden="1" outlineLevel="2">
      <c r="A868" s="240"/>
      <c r="B868" s="240"/>
      <c r="C868" s="595"/>
      <c r="D868" s="1618"/>
      <c r="E868" s="170">
        <v>10</v>
      </c>
      <c r="F868" s="35"/>
      <c r="G868" s="184"/>
      <c r="H868" s="186"/>
      <c r="I868" s="186"/>
      <c r="J868" s="186"/>
      <c r="K868" s="186"/>
      <c r="L868" s="186"/>
      <c r="M868" s="186"/>
      <c r="N868" s="186"/>
      <c r="O868" s="186"/>
      <c r="P868" s="185"/>
      <c r="Q868" s="590">
        <f>IF(A30taxstdlife="n/a","n/a",IF(Q$3&gt;(A30taxstdlife+$E868),(('PTRM input'!$P$172+'PTRM input'!$P$138)*$P$7)-SUM($P868:P868),(('PTRM input'!$P$172+'PTRM input'!$P$138)*$P$7)/A30taxstdlife))</f>
        <v>0</v>
      </c>
      <c r="R868" s="590">
        <f>IF(A30taxstdlife="n/a","n/a",IF(R$3&gt;(A30taxstdlife+$E868),(('PTRM input'!$P$172+'PTRM input'!$P$138)*$P$7)-SUM($P868:Q868),(('PTRM input'!$P$172+'PTRM input'!$P$138)*$P$7)/A30taxstdlife))</f>
        <v>0</v>
      </c>
      <c r="S868" s="590">
        <f>IF(A30taxstdlife="n/a","n/a",IF(S$3&gt;(A30taxstdlife+$E868),(('PTRM input'!$P$172+'PTRM input'!$P$138)*$P$7)-SUM($P868:R868),(('PTRM input'!$P$172+'PTRM input'!$P$138)*$P$7)/A30taxstdlife))</f>
        <v>0</v>
      </c>
      <c r="T868" s="590">
        <f>IF(A30taxstdlife="n/a","n/a",IF(T$3&gt;(A30taxstdlife+$E868),(('PTRM input'!$P$172+'PTRM input'!$P$138)*$P$7)-SUM($P868:S868),(('PTRM input'!$P$172+'PTRM input'!$P$138)*$P$7)/A30taxstdlife))</f>
        <v>0</v>
      </c>
      <c r="U868" s="590">
        <f>IF(A30taxstdlife="n/a","n/a",IF(U$3&gt;(A30taxstdlife+$E868),(('PTRM input'!$P$172+'PTRM input'!$P$138)*$P$7)-SUM($P868:T868),(('PTRM input'!$P$172+'PTRM input'!$P$138)*$P$7)/A30taxstdlife))</f>
        <v>0</v>
      </c>
      <c r="V868" s="590">
        <f>IF(A30taxstdlife="n/a","n/a",IF(V$3&gt;(A30taxstdlife+$E868),(('PTRM input'!$P$172+'PTRM input'!$P$138)*$P$7)-SUM($P868:U868),(('PTRM input'!$P$172+'PTRM input'!$P$138)*$P$7)/A30taxstdlife))</f>
        <v>0</v>
      </c>
      <c r="W868" s="590">
        <f>IF(A30taxstdlife="n/a","n/a",IF(W$3&gt;(A30taxstdlife+$E868),(('PTRM input'!$P$172+'PTRM input'!$P$138)*$P$7)-SUM($P868:V868),(('PTRM input'!$P$172+'PTRM input'!$P$138)*$P$7)/A30taxstdlife))</f>
        <v>0</v>
      </c>
      <c r="X868" s="590">
        <f>IF(A30taxstdlife="n/a","n/a",IF(X$3&gt;(A30taxstdlife+$E868),(('PTRM input'!$P$172+'PTRM input'!$P$138)*$P$7)-SUM($P868:W868),(('PTRM input'!$P$172+'PTRM input'!$P$138)*$P$7)/A30taxstdlife))</f>
        <v>0</v>
      </c>
      <c r="Y868" s="590">
        <f>IF(A30taxstdlife="n/a","n/a",IF(Y$3&gt;(A30taxstdlife+$E868),(('PTRM input'!$P$172+'PTRM input'!$P$138)*$P$7)-SUM($P868:X868),(('PTRM input'!$P$172+'PTRM input'!$P$138)*$P$7)/A30taxstdlife))</f>
        <v>0</v>
      </c>
      <c r="Z868" s="590">
        <f>IF(A30taxstdlife="n/a","n/a",IF(Z$3&gt;(A30taxstdlife+$E868),(('PTRM input'!$P$172+'PTRM input'!$P$138)*$P$7)-SUM($P868:Y868),(('PTRM input'!$P$172+'PTRM input'!$P$138)*$P$7)/A30taxstdlife))</f>
        <v>0</v>
      </c>
      <c r="AA868" s="590">
        <f>IF(A30taxstdlife="n/a","n/a",IF(AA$3&gt;(A30taxstdlife+$E868),(('PTRM input'!$P$172+'PTRM input'!$P$138)*$P$7)-SUM($P868:Z868),(('PTRM input'!$P$172+'PTRM input'!$P$138)*$P$7)/A30taxstdlife))</f>
        <v>0</v>
      </c>
      <c r="AB868" s="590">
        <f>IF(A30taxstdlife="n/a","n/a",IF(AB$3&gt;(A30taxstdlife+$E868),(('PTRM input'!$P$172+'PTRM input'!$P$138)*$P$7)-SUM($P868:AA868),(('PTRM input'!$P$172+'PTRM input'!$P$138)*$P$7)/A30taxstdlife))</f>
        <v>0</v>
      </c>
      <c r="AC868" s="590">
        <f>IF(A30taxstdlife="n/a","n/a",IF(AC$3&gt;(A30taxstdlife+$E868),(('PTRM input'!$P$172+'PTRM input'!$P$138)*$P$7)-SUM($P868:AB868),(('PTRM input'!$P$172+'PTRM input'!$P$138)*$P$7)/A30taxstdlife))</f>
        <v>0</v>
      </c>
      <c r="AD868" s="590">
        <f>IF(A30taxstdlife="n/a","n/a",IF(AD$3&gt;(A30taxstdlife+$E868),(('PTRM input'!$P$172+'PTRM input'!$P$138)*$P$7)-SUM($P868:AC868),(('PTRM input'!$P$172+'PTRM input'!$P$138)*$P$7)/A30taxstdlife))</f>
        <v>0</v>
      </c>
      <c r="AE868" s="590">
        <f>IF(A30taxstdlife="n/a","n/a",IF(AE$3&gt;(A30taxstdlife+$E868),(('PTRM input'!$P$172+'PTRM input'!$P$138)*$P$7)-SUM($P868:AD868),(('PTRM input'!$P$172+'PTRM input'!$P$138)*$P$7)/A30taxstdlife))</f>
        <v>0</v>
      </c>
      <c r="AF868" s="590">
        <f>IF(A30taxstdlife="n/a","n/a",IF(AF$3&gt;(A30taxstdlife+$E868),(('PTRM input'!$P$172+'PTRM input'!$P$138)*$P$7)-SUM($P868:AE868),(('PTRM input'!$P$172+'PTRM input'!$P$138)*$P$7)/A30taxstdlife))</f>
        <v>0</v>
      </c>
      <c r="AG868" s="590">
        <f>IF(A30taxstdlife="n/a","n/a",IF(AG$3&gt;(A30taxstdlife+$E868),(('PTRM input'!$P$172+'PTRM input'!$P$138)*$P$7)-SUM($P868:AF868),(('PTRM input'!$P$172+'PTRM input'!$P$138)*$P$7)/A30taxstdlife))</f>
        <v>0</v>
      </c>
      <c r="AH868" s="590">
        <f>IF(A30taxstdlife="n/a","n/a",IF(AH$3&gt;(A30taxstdlife+$E868),(('PTRM input'!$P$172+'PTRM input'!$P$138)*$P$7)-SUM($P868:AG868),(('PTRM input'!$P$172+'PTRM input'!$P$138)*$P$7)/A30taxstdlife))</f>
        <v>0</v>
      </c>
      <c r="AI868" s="590">
        <f>IF(A30taxstdlife="n/a","n/a",IF(AI$3&gt;(A30taxstdlife+$E868),(('PTRM input'!$P$172+'PTRM input'!$P$138)*$P$7)-SUM($P868:AH868),(('PTRM input'!$P$172+'PTRM input'!$P$138)*$P$7)/A30taxstdlife))</f>
        <v>0</v>
      </c>
      <c r="AJ868" s="590">
        <f>IF(A30taxstdlife="n/a","n/a",IF(AJ$3&gt;(A30taxstdlife+$E868),(('PTRM input'!$P$172+'PTRM input'!$P$138)*$P$7)-SUM($P868:AI868),(('PTRM input'!$P$172+'PTRM input'!$P$138)*$P$7)/A30taxstdlife))</f>
        <v>0</v>
      </c>
      <c r="AK868" s="590">
        <f>IF(A30taxstdlife="n/a","n/a",IF(AK$3&gt;(A30taxstdlife+$E868),(('PTRM input'!$P$172+'PTRM input'!$P$138)*$P$7)-SUM($P868:AJ868),(('PTRM input'!$P$172+'PTRM input'!$P$138)*$P$7)/A30taxstdlife))</f>
        <v>0</v>
      </c>
      <c r="AL868" s="590">
        <f>IF(A30taxstdlife="n/a","n/a",IF(AL$3&gt;(A30taxstdlife+$E868),(('PTRM input'!$P$172+'PTRM input'!$P$138)*$P$7)-SUM($P868:AK868),(('PTRM input'!$P$172+'PTRM input'!$P$138)*$P$7)/A30taxstdlife))</f>
        <v>0</v>
      </c>
      <c r="AM868" s="590">
        <f>IF(A30taxstdlife="n/a","n/a",IF(AM$3&gt;(A30taxstdlife+$E868),(('PTRM input'!$P$172+'PTRM input'!$P$138)*$P$7)-SUM($P868:AL868),(('PTRM input'!$P$172+'PTRM input'!$P$138)*$P$7)/A30taxstdlife))</f>
        <v>0</v>
      </c>
      <c r="AN868" s="590">
        <f>IF(A30taxstdlife="n/a","n/a",IF(AN$3&gt;(A30taxstdlife+$E868),(('PTRM input'!$P$172+'PTRM input'!$P$138)*$P$7)-SUM($P868:AM868),(('PTRM input'!$P$172+'PTRM input'!$P$138)*$P$7)/A30taxstdlife))</f>
        <v>0</v>
      </c>
      <c r="AO868" s="590">
        <f>IF(A30taxstdlife="n/a","n/a",IF(AO$3&gt;(A30taxstdlife+$E868),(('PTRM input'!$P$172+'PTRM input'!$P$138)*$P$7)-SUM($P868:AN868),(('PTRM input'!$P$172+'PTRM input'!$P$138)*$P$7)/A30taxstdlife))</f>
        <v>0</v>
      </c>
      <c r="AP868" s="590">
        <f>IF(A30taxstdlife="n/a","n/a",IF(AP$3&gt;(A30taxstdlife+$E868),(('PTRM input'!$P$172+'PTRM input'!$P$138)*$P$7)-SUM($P868:AO868),(('PTRM input'!$P$172+'PTRM input'!$P$138)*$P$7)/A30taxstdlife))</f>
        <v>0</v>
      </c>
      <c r="AQ868" s="590">
        <f>IF(A30taxstdlife="n/a","n/a",IF(AQ$3&gt;(A30taxstdlife+$E868),(('PTRM input'!$P$172+'PTRM input'!$P$138)*$P$7)-SUM($P868:AP868),(('PTRM input'!$P$172+'PTRM input'!$P$138)*$P$7)/A30taxstdlife))</f>
        <v>0</v>
      </c>
      <c r="AR868" s="590">
        <f>IF(A30taxstdlife="n/a","n/a",IF(AR$3&gt;(A30taxstdlife+$E868),(('PTRM input'!$P$172+'PTRM input'!$P$138)*$P$7)-SUM($P868:AQ868),(('PTRM input'!$P$172+'PTRM input'!$P$138)*$P$7)/A30taxstdlife))</f>
        <v>0</v>
      </c>
      <c r="AS868" s="590">
        <f>IF(A30taxstdlife="n/a","n/a",IF(AS$3&gt;(A30taxstdlife+$E868),(('PTRM input'!$P$172+'PTRM input'!$P$138)*$P$7)-SUM($P868:AR868),(('PTRM input'!$P$172+'PTRM input'!$P$138)*$P$7)/A30taxstdlife))</f>
        <v>0</v>
      </c>
      <c r="AT868" s="590">
        <f>IF(A30taxstdlife="n/a","n/a",IF(AT$3&gt;(A30taxstdlife+$E868),(('PTRM input'!$P$172+'PTRM input'!$P$138)*$P$7)-SUM($P868:AS868),(('PTRM input'!$P$172+'PTRM input'!$P$138)*$P$7)/A30taxstdlife))</f>
        <v>0</v>
      </c>
      <c r="AU868" s="590">
        <f>IF(A30taxstdlife="n/a","n/a",IF(AU$3&gt;(A30taxstdlife+$E868),(('PTRM input'!$P$172+'PTRM input'!$P$138)*$P$7)-SUM($P868:AT868),(('PTRM input'!$P$172+'PTRM input'!$P$138)*$P$7)/A30taxstdlife))</f>
        <v>0</v>
      </c>
      <c r="AV868" s="590">
        <f>IF(A30taxstdlife="n/a","n/a",IF(AV$3&gt;(A30taxstdlife+$E868),(('PTRM input'!$P$172+'PTRM input'!$P$138)*$P$7)-SUM($P868:AU868),(('PTRM input'!$P$172+'PTRM input'!$P$138)*$P$7)/A30taxstdlife))</f>
        <v>0</v>
      </c>
      <c r="AW868" s="590">
        <f>IF(A30taxstdlife="n/a","n/a",IF(AW$3&gt;(A30taxstdlife+$E868),(('PTRM input'!$P$172+'PTRM input'!$P$138)*$P$7)-SUM($P868:AV868),(('PTRM input'!$P$172+'PTRM input'!$P$138)*$P$7)/A30taxstdlife))</f>
        <v>0</v>
      </c>
      <c r="AX868" s="590">
        <f>IF(A30taxstdlife="n/a","n/a",IF(AX$3&gt;(A30taxstdlife+$E868),(('PTRM input'!$P$172+'PTRM input'!$P$138)*$P$7)-SUM($P868:AW868),(('PTRM input'!$P$172+'PTRM input'!$P$138)*$P$7)/A30taxstdlife))</f>
        <v>0</v>
      </c>
      <c r="AY868" s="590">
        <f>IF(A30taxstdlife="n/a","n/a",IF(AY$3&gt;(A30taxstdlife+$E868),(('PTRM input'!$P$172+'PTRM input'!$P$138)*$P$7)-SUM($P868:AX868),(('PTRM input'!$P$172+'PTRM input'!$P$138)*$P$7)/A30taxstdlife))</f>
        <v>0</v>
      </c>
      <c r="AZ868" s="590">
        <f>IF(A30taxstdlife="n/a","n/a",IF(AZ$3&gt;(A30taxstdlife+$E868),(('PTRM input'!$P$172+'PTRM input'!$P$138)*$P$7)-SUM($P868:AY868),(('PTRM input'!$P$172+'PTRM input'!$P$138)*$P$7)/A30taxstdlife))</f>
        <v>0</v>
      </c>
      <c r="BA868" s="590">
        <f>IF(A30taxstdlife="n/a","n/a",IF(BA$3&gt;(A30taxstdlife+$E868),(('PTRM input'!$P$172+'PTRM input'!$P$138)*$P$7)-SUM($P868:AZ868),(('PTRM input'!$P$172+'PTRM input'!$P$138)*$P$7)/A30taxstdlife))</f>
        <v>0</v>
      </c>
      <c r="BB868" s="590">
        <f>IF(A30taxstdlife="n/a","n/a",IF(BB$3&gt;(A30taxstdlife+$E868),(('PTRM input'!$P$172+'PTRM input'!$P$138)*$P$7)-SUM($P868:BA868),(('PTRM input'!$P$172+'PTRM input'!$P$138)*$P$7)/A30taxstdlife))</f>
        <v>0</v>
      </c>
      <c r="BC868" s="590">
        <f>IF(A30taxstdlife="n/a","n/a",IF(BC$3&gt;(A30taxstdlife+$E868),(('PTRM input'!$P$172+'PTRM input'!$P$138)*$P$7)-SUM($P868:BB868),(('PTRM input'!$P$172+'PTRM input'!$P$138)*$P$7)/A30taxstdlife))</f>
        <v>0</v>
      </c>
      <c r="BD868" s="590">
        <f>IF(A30taxstdlife="n/a","n/a",IF(BD$3&gt;(A30taxstdlife+$E868),(('PTRM input'!$P$172+'PTRM input'!$P$138)*$P$7)-SUM($P868:BC868),(('PTRM input'!$P$172+'PTRM input'!$P$138)*$P$7)/A30taxstdlife))</f>
        <v>0</v>
      </c>
      <c r="BE868" s="590">
        <f>IF(A30taxstdlife="n/a","n/a",IF(BE$3&gt;(A30taxstdlife+$E868),(('PTRM input'!$P$172+'PTRM input'!$P$138)*$P$7)-SUM($P868:BD868),(('PTRM input'!$P$172+'PTRM input'!$P$138)*$P$7)/A30taxstdlife))</f>
        <v>0</v>
      </c>
      <c r="BF868" s="590">
        <f>IF(A30taxstdlife="n/a","n/a",IF(BF$3&gt;(A30taxstdlife+$E868),(('PTRM input'!$P$172+'PTRM input'!$P$138)*$P$7)-SUM($P868:BE868),(('PTRM input'!$P$172+'PTRM input'!$P$138)*$P$7)/A30taxstdlife))</f>
        <v>0</v>
      </c>
      <c r="BG868" s="590">
        <f>IF(A30taxstdlife="n/a","n/a",IF(BG$3&gt;(A30taxstdlife+$E868),(('PTRM input'!$P$172+'PTRM input'!$P$138)*$P$7)-SUM($P868:BF868),(('PTRM input'!$P$172+'PTRM input'!$P$138)*$P$7)/A30taxstdlife))</f>
        <v>0</v>
      </c>
      <c r="BH868" s="590">
        <f>IF(A30taxstdlife="n/a","n/a",IF(BH$3&gt;(A30taxstdlife+$E868),(('PTRM input'!$P$172+'PTRM input'!$P$138)*$P$7)-SUM($P868:BG868),(('PTRM input'!$P$172+'PTRM input'!$P$138)*$P$7)/A30taxstdlife))</f>
        <v>0</v>
      </c>
      <c r="BI868" s="590">
        <f>IF(A30taxstdlife="n/a","n/a",IF(BI$3&gt;(A30taxstdlife+$E868),(('PTRM input'!$P$172+'PTRM input'!$P$138)*$P$7)-SUM($P868:BH868),(('PTRM input'!$P$172+'PTRM input'!$P$138)*$P$7)/A30taxstdlife))</f>
        <v>0</v>
      </c>
      <c r="BJ868" s="240"/>
      <c r="BK868" s="240"/>
      <c r="BL868" s="240"/>
      <c r="BM868" s="240"/>
    </row>
    <row r="869" spans="1:65" s="4" customFormat="1" hidden="1" outlineLevel="1">
      <c r="A869" s="240"/>
      <c r="B869" s="240"/>
      <c r="C869" s="595" t="str">
        <f>Asset30</f>
        <v>Equity raising costs</v>
      </c>
      <c r="D869" s="240"/>
      <c r="E869" s="240"/>
      <c r="F869" s="596"/>
      <c r="G869" s="591">
        <f t="shared" ref="G869:AL869" si="164">SUM(G857:G868)</f>
        <v>0</v>
      </c>
      <c r="H869" s="591">
        <f t="shared" si="164"/>
        <v>0</v>
      </c>
      <c r="I869" s="591">
        <f t="shared" si="164"/>
        <v>0</v>
      </c>
      <c r="J869" s="591">
        <f t="shared" si="164"/>
        <v>0</v>
      </c>
      <c r="K869" s="591">
        <f t="shared" si="164"/>
        <v>0</v>
      </c>
      <c r="L869" s="591">
        <f t="shared" si="164"/>
        <v>0</v>
      </c>
      <c r="M869" s="591">
        <f t="shared" si="164"/>
        <v>0</v>
      </c>
      <c r="N869" s="591">
        <f t="shared" si="164"/>
        <v>0</v>
      </c>
      <c r="O869" s="591">
        <f t="shared" si="164"/>
        <v>0</v>
      </c>
      <c r="P869" s="591">
        <f t="shared" si="164"/>
        <v>0</v>
      </c>
      <c r="Q869" s="591">
        <f t="shared" si="164"/>
        <v>0</v>
      </c>
      <c r="R869" s="591">
        <f t="shared" si="164"/>
        <v>0</v>
      </c>
      <c r="S869" s="591">
        <f t="shared" si="164"/>
        <v>0</v>
      </c>
      <c r="T869" s="591">
        <f t="shared" si="164"/>
        <v>0</v>
      </c>
      <c r="U869" s="591">
        <f t="shared" si="164"/>
        <v>0</v>
      </c>
      <c r="V869" s="591">
        <f t="shared" si="164"/>
        <v>0</v>
      </c>
      <c r="W869" s="591">
        <f t="shared" si="164"/>
        <v>0</v>
      </c>
      <c r="X869" s="591">
        <f t="shared" si="164"/>
        <v>0</v>
      </c>
      <c r="Y869" s="591">
        <f t="shared" si="164"/>
        <v>0</v>
      </c>
      <c r="Z869" s="591">
        <f t="shared" si="164"/>
        <v>0</v>
      </c>
      <c r="AA869" s="591">
        <f t="shared" si="164"/>
        <v>0</v>
      </c>
      <c r="AB869" s="591">
        <f t="shared" si="164"/>
        <v>0</v>
      </c>
      <c r="AC869" s="591">
        <f t="shared" si="164"/>
        <v>0</v>
      </c>
      <c r="AD869" s="591">
        <f t="shared" si="164"/>
        <v>0</v>
      </c>
      <c r="AE869" s="591">
        <f t="shared" si="164"/>
        <v>0</v>
      </c>
      <c r="AF869" s="591">
        <f t="shared" si="164"/>
        <v>0</v>
      </c>
      <c r="AG869" s="591">
        <f t="shared" si="164"/>
        <v>0</v>
      </c>
      <c r="AH869" s="591">
        <f t="shared" si="164"/>
        <v>0</v>
      </c>
      <c r="AI869" s="591">
        <f t="shared" si="164"/>
        <v>0</v>
      </c>
      <c r="AJ869" s="591">
        <f t="shared" si="164"/>
        <v>0</v>
      </c>
      <c r="AK869" s="591">
        <f t="shared" si="164"/>
        <v>0</v>
      </c>
      <c r="AL869" s="591">
        <f t="shared" si="164"/>
        <v>0</v>
      </c>
      <c r="AM869" s="591">
        <f t="shared" ref="AM869:BI869" si="165">SUM(AM857:AM868)</f>
        <v>0</v>
      </c>
      <c r="AN869" s="591">
        <f t="shared" si="165"/>
        <v>0</v>
      </c>
      <c r="AO869" s="591">
        <f t="shared" si="165"/>
        <v>0</v>
      </c>
      <c r="AP869" s="591">
        <f t="shared" si="165"/>
        <v>0</v>
      </c>
      <c r="AQ869" s="591">
        <f t="shared" si="165"/>
        <v>0</v>
      </c>
      <c r="AR869" s="591">
        <f t="shared" si="165"/>
        <v>0</v>
      </c>
      <c r="AS869" s="591">
        <f t="shared" si="165"/>
        <v>0</v>
      </c>
      <c r="AT869" s="591">
        <f t="shared" si="165"/>
        <v>0</v>
      </c>
      <c r="AU869" s="591">
        <f t="shared" si="165"/>
        <v>0</v>
      </c>
      <c r="AV869" s="591">
        <f t="shared" si="165"/>
        <v>0</v>
      </c>
      <c r="AW869" s="591">
        <f t="shared" si="165"/>
        <v>0</v>
      </c>
      <c r="AX869" s="591">
        <f t="shared" si="165"/>
        <v>0</v>
      </c>
      <c r="AY869" s="591">
        <f t="shared" si="165"/>
        <v>0</v>
      </c>
      <c r="AZ869" s="591">
        <f t="shared" si="165"/>
        <v>0</v>
      </c>
      <c r="BA869" s="591">
        <f t="shared" si="165"/>
        <v>0</v>
      </c>
      <c r="BB869" s="591">
        <f t="shared" si="165"/>
        <v>0</v>
      </c>
      <c r="BC869" s="591">
        <f t="shared" si="165"/>
        <v>0</v>
      </c>
      <c r="BD869" s="591">
        <f t="shared" si="165"/>
        <v>0</v>
      </c>
      <c r="BE869" s="591">
        <f t="shared" si="165"/>
        <v>0</v>
      </c>
      <c r="BF869" s="591">
        <f t="shared" si="165"/>
        <v>0</v>
      </c>
      <c r="BG869" s="591">
        <f t="shared" si="165"/>
        <v>0</v>
      </c>
      <c r="BH869" s="591">
        <f t="shared" si="165"/>
        <v>0</v>
      </c>
      <c r="BI869" s="591">
        <f t="shared" si="165"/>
        <v>0</v>
      </c>
      <c r="BJ869" s="240"/>
      <c r="BK869" s="240"/>
      <c r="BL869" s="240"/>
      <c r="BM869" s="240"/>
    </row>
    <row r="870" spans="1:65" s="4" customFormat="1" collapsed="1">
      <c r="A870" s="240"/>
      <c r="B870" s="240" t="s">
        <v>12</v>
      </c>
      <c r="C870" s="240"/>
      <c r="D870" s="240"/>
      <c r="E870" s="240"/>
      <c r="F870" s="1401">
        <f>'PTRM input'!N37</f>
        <v>15.957266666666666</v>
      </c>
      <c r="G870" s="1401">
        <f>F870-G479+('PTRM input'!G173+'PTRM input'!G139)*G7</f>
        <v>21.351081640401294</v>
      </c>
      <c r="H870" s="594">
        <f>G870-H479+('PTRM input'!H173+'PTRM input'!H139)*H7</f>
        <v>26.321007785314823</v>
      </c>
      <c r="I870" s="594">
        <f>H870-I479+('PTRM input'!I173+'PTRM input'!I139)*I7</f>
        <v>29.968044489142287</v>
      </c>
      <c r="J870" s="594">
        <f>I870-J479+('PTRM input'!J173+'PTRM input'!J139)*J7</f>
        <v>33.578853875659121</v>
      </c>
      <c r="K870" s="594">
        <f>J870-K479+('PTRM input'!K173+'PTRM input'!K139)*K7</f>
        <v>35.872614304491734</v>
      </c>
      <c r="L870" s="594">
        <f>K870-L479+('PTRM input'!L173+'PTRM input'!L139)*L7</f>
        <v>32.328682313415769</v>
      </c>
      <c r="M870" s="594">
        <f>L870-M479+('PTRM input'!M173+'PTRM input'!M139)*M7</f>
        <v>28.784750322339804</v>
      </c>
      <c r="N870" s="594">
        <f>M870-N479+('PTRM input'!N173+'PTRM input'!N139)*N7</f>
        <v>25.240818331263839</v>
      </c>
      <c r="O870" s="594">
        <f>N870-O479+('PTRM input'!O173+'PTRM input'!O139)*O7</f>
        <v>21.696886340187874</v>
      </c>
      <c r="P870" s="594">
        <f>O870-P479+('PTRM input'!P173+'PTRM input'!P139)*P7</f>
        <v>18.152954349111909</v>
      </c>
      <c r="Q870" s="594">
        <f>P870-Q479</f>
        <v>14.609022358035944</v>
      </c>
      <c r="R870" s="594">
        <f t="shared" ref="R870:BI870" si="166">Q870-R479</f>
        <v>12.401647620037371</v>
      </c>
      <c r="S870" s="594">
        <f t="shared" si="166"/>
        <v>10.298867622273411</v>
      </c>
      <c r="T870" s="594">
        <f t="shared" si="166"/>
        <v>8.1960876245094507</v>
      </c>
      <c r="U870" s="594">
        <f t="shared" si="166"/>
        <v>6.0933076267454904</v>
      </c>
      <c r="V870" s="594">
        <f t="shared" si="166"/>
        <v>3.9905276289815306</v>
      </c>
      <c r="W870" s="594">
        <f t="shared" si="166"/>
        <v>2.3434120956873441</v>
      </c>
      <c r="X870" s="594">
        <f t="shared" si="166"/>
        <v>1.1540794025728487</v>
      </c>
      <c r="Y870" s="594">
        <f t="shared" si="166"/>
        <v>0.364855776244283</v>
      </c>
      <c r="Z870" s="594">
        <f t="shared" si="166"/>
        <v>-3.0531133177191805E-15</v>
      </c>
      <c r="AA870" s="594">
        <f t="shared" si="166"/>
        <v>-3.0531133177191805E-15</v>
      </c>
      <c r="AB870" s="594">
        <f t="shared" si="166"/>
        <v>-3.0531133177191805E-15</v>
      </c>
      <c r="AC870" s="594">
        <f t="shared" si="166"/>
        <v>-3.0531133177191805E-15</v>
      </c>
      <c r="AD870" s="594">
        <f t="shared" si="166"/>
        <v>-3.0531133177191805E-15</v>
      </c>
      <c r="AE870" s="594">
        <f t="shared" si="166"/>
        <v>-3.0531133177191805E-15</v>
      </c>
      <c r="AF870" s="594">
        <f t="shared" si="166"/>
        <v>-3.0531133177191805E-15</v>
      </c>
      <c r="AG870" s="594">
        <f t="shared" si="166"/>
        <v>-3.0531133177191805E-15</v>
      </c>
      <c r="AH870" s="594">
        <f t="shared" si="166"/>
        <v>-3.0531133177191805E-15</v>
      </c>
      <c r="AI870" s="594">
        <f t="shared" si="166"/>
        <v>-3.0531133177191805E-15</v>
      </c>
      <c r="AJ870" s="594">
        <f t="shared" si="166"/>
        <v>-3.0531133177191805E-15</v>
      </c>
      <c r="AK870" s="594">
        <f t="shared" si="166"/>
        <v>-3.0531133177191805E-15</v>
      </c>
      <c r="AL870" s="594">
        <f t="shared" si="166"/>
        <v>-3.0531133177191805E-15</v>
      </c>
      <c r="AM870" s="594">
        <f t="shared" si="166"/>
        <v>-3.0531133177191805E-15</v>
      </c>
      <c r="AN870" s="594">
        <f t="shared" si="166"/>
        <v>-3.0531133177191805E-15</v>
      </c>
      <c r="AO870" s="594">
        <f t="shared" si="166"/>
        <v>-3.0531133177191805E-15</v>
      </c>
      <c r="AP870" s="594">
        <f t="shared" si="166"/>
        <v>-3.0531133177191805E-15</v>
      </c>
      <c r="AQ870" s="594">
        <f t="shared" si="166"/>
        <v>-3.0531133177191805E-15</v>
      </c>
      <c r="AR870" s="594">
        <f t="shared" si="166"/>
        <v>-3.0531133177191805E-15</v>
      </c>
      <c r="AS870" s="594">
        <f t="shared" si="166"/>
        <v>-3.0531133177191805E-15</v>
      </c>
      <c r="AT870" s="594">
        <f t="shared" si="166"/>
        <v>-3.0531133177191805E-15</v>
      </c>
      <c r="AU870" s="594">
        <f t="shared" si="166"/>
        <v>-3.0531133177191805E-15</v>
      </c>
      <c r="AV870" s="594">
        <f t="shared" si="166"/>
        <v>-3.0531133177191805E-15</v>
      </c>
      <c r="AW870" s="594">
        <f t="shared" si="166"/>
        <v>-3.0531133177191805E-15</v>
      </c>
      <c r="AX870" s="594">
        <f t="shared" si="166"/>
        <v>-3.0531133177191805E-15</v>
      </c>
      <c r="AY870" s="594">
        <f t="shared" si="166"/>
        <v>-3.0531133177191805E-15</v>
      </c>
      <c r="AZ870" s="594">
        <f t="shared" si="166"/>
        <v>-3.0531133177191805E-15</v>
      </c>
      <c r="BA870" s="594">
        <f t="shared" si="166"/>
        <v>-3.0531133177191805E-15</v>
      </c>
      <c r="BB870" s="594">
        <f t="shared" si="166"/>
        <v>-3.0531133177191805E-15</v>
      </c>
      <c r="BC870" s="594">
        <f t="shared" si="166"/>
        <v>-3.0531133177191805E-15</v>
      </c>
      <c r="BD870" s="594">
        <f t="shared" si="166"/>
        <v>-3.0531133177191805E-15</v>
      </c>
      <c r="BE870" s="594">
        <f t="shared" si="166"/>
        <v>-3.0531133177191805E-15</v>
      </c>
      <c r="BF870" s="594">
        <f t="shared" si="166"/>
        <v>-3.0531133177191805E-15</v>
      </c>
      <c r="BG870" s="594">
        <f t="shared" si="166"/>
        <v>-3.0531133177191805E-15</v>
      </c>
      <c r="BH870" s="594">
        <f t="shared" si="166"/>
        <v>-3.0531133177191805E-15</v>
      </c>
      <c r="BI870" s="594">
        <f t="shared" si="166"/>
        <v>-3.0531133177191805E-15</v>
      </c>
      <c r="BJ870" s="240"/>
      <c r="BK870" s="240"/>
      <c r="BL870" s="240"/>
      <c r="BM870" s="240"/>
    </row>
    <row r="871" spans="1:65" ht="12" customHeight="1">
      <c r="A871" s="240"/>
      <c r="B871" s="240"/>
      <c r="C871" s="240"/>
      <c r="D871" s="240"/>
      <c r="E871" s="240"/>
      <c r="F871" s="240"/>
      <c r="G871" s="240"/>
      <c r="H871" s="240"/>
      <c r="I871" s="240"/>
      <c r="J871" s="240"/>
      <c r="K871" s="240"/>
      <c r="L871" s="240"/>
      <c r="M871" s="240"/>
      <c r="N871" s="240"/>
      <c r="O871" s="240"/>
      <c r="P871" s="240"/>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row>
    <row r="872" spans="1:65" s="4" customFormat="1">
      <c r="A872" s="116"/>
      <c r="B872" s="130" t="s">
        <v>326</v>
      </c>
      <c r="C872" s="116"/>
      <c r="D872" s="116"/>
      <c r="E872" s="116"/>
      <c r="F872" s="134"/>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8"/>
      <c r="BL872" s="18"/>
      <c r="BM872" s="18"/>
    </row>
    <row r="873" spans="1:65" s="4" customFormat="1">
      <c r="A873" s="489"/>
      <c r="B873" s="27" t="s">
        <v>482</v>
      </c>
      <c r="C873" s="489"/>
      <c r="D873" s="489"/>
      <c r="E873" s="489"/>
      <c r="F873" s="178"/>
      <c r="G873" s="179"/>
      <c r="H873" s="179"/>
      <c r="I873" s="179"/>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c r="AO873" s="179"/>
      <c r="AP873" s="179"/>
      <c r="AQ873" s="179"/>
      <c r="AR873" s="179"/>
      <c r="AS873" s="179"/>
      <c r="AT873" s="179"/>
      <c r="AU873" s="179"/>
      <c r="AV873" s="179"/>
      <c r="AW873" s="179"/>
      <c r="AX873" s="179"/>
      <c r="AY873" s="179"/>
      <c r="AZ873" s="179"/>
      <c r="BA873" s="179"/>
      <c r="BB873" s="179"/>
      <c r="BC873" s="179"/>
      <c r="BD873" s="179"/>
      <c r="BE873" s="179"/>
      <c r="BF873" s="179"/>
      <c r="BG873" s="179"/>
      <c r="BH873" s="179"/>
      <c r="BI873" s="179"/>
      <c r="BJ873" s="18"/>
      <c r="BK873" s="18"/>
      <c r="BL873" s="18"/>
      <c r="BM873" s="18"/>
    </row>
    <row r="874" spans="1:65" s="4" customFormat="1">
      <c r="A874" s="489"/>
      <c r="B874" s="18" t="s">
        <v>236</v>
      </c>
      <c r="C874" s="489"/>
      <c r="D874" s="489"/>
      <c r="E874" s="489"/>
      <c r="F874" s="178"/>
      <c r="G874" s="1459">
        <f>F474</f>
        <v>34.786526826130789</v>
      </c>
      <c r="H874" s="1459">
        <f>IF(COUNT($G874:G874)&gt;='PTRM input'!$R$7,0,G474)</f>
        <v>35.511586810936471</v>
      </c>
      <c r="I874" s="1459">
        <f>IF(COUNT($G874:H874)&gt;='PTRM input'!$R$7,0,H474)</f>
        <v>36.533793714142057</v>
      </c>
      <c r="J874" s="1459">
        <f>IF(COUNT($G874:I874)&gt;='PTRM input'!$R$7,0,I474)</f>
        <v>37.482717222198772</v>
      </c>
      <c r="K874" s="1459">
        <f>IF(COUNT($G874:J874)&gt;='PTRM input'!$R$7,0,J474)</f>
        <v>37.781965376404031</v>
      </c>
      <c r="L874" s="1401">
        <f>IF(COUNT($G874:K874)&gt;='PTRM input'!$R$7,0,K474)</f>
        <v>0</v>
      </c>
      <c r="M874" s="105">
        <f>IF(COUNT($G874:L874)&gt;='PTRM input'!$R$7,0,L474)</f>
        <v>0</v>
      </c>
      <c r="N874" s="105">
        <f>IF(COUNT($G874:M874)&gt;='PTRM input'!$R$7,0,M474)</f>
        <v>0</v>
      </c>
      <c r="O874" s="105">
        <f>IF(COUNT($G874:N874)&gt;='PTRM input'!$R$7,0,N474)</f>
        <v>0</v>
      </c>
      <c r="P874" s="105">
        <f>IF(COUNT($G874:O874)&gt;='PTRM input'!$R$7,0,O474)</f>
        <v>0</v>
      </c>
      <c r="Q874" s="105"/>
      <c r="R874" s="105"/>
      <c r="S874" s="105"/>
      <c r="T874" s="105"/>
      <c r="U874" s="105"/>
      <c r="V874" s="105"/>
      <c r="W874" s="105"/>
      <c r="X874" s="105"/>
      <c r="Y874" s="105"/>
      <c r="Z874" s="105"/>
      <c r="AA874" s="105"/>
      <c r="AB874" s="105"/>
      <c r="AC874" s="105"/>
      <c r="AD874" s="105"/>
      <c r="AE874" s="105"/>
      <c r="AF874" s="105"/>
      <c r="AG874" s="105"/>
      <c r="AH874" s="105"/>
      <c r="AI874" s="105"/>
      <c r="AJ874" s="105"/>
      <c r="AK874" s="105"/>
      <c r="AL874" s="105"/>
      <c r="AM874" s="105"/>
      <c r="AN874" s="105"/>
      <c r="AO874" s="105"/>
      <c r="AP874" s="105"/>
      <c r="AQ874" s="105"/>
      <c r="AR874" s="105"/>
      <c r="AS874" s="105"/>
      <c r="AT874" s="105"/>
      <c r="AU874" s="105"/>
      <c r="AV874" s="105"/>
      <c r="AW874" s="105"/>
      <c r="AX874" s="105"/>
      <c r="AY874" s="105"/>
      <c r="AZ874" s="105"/>
      <c r="BA874" s="105"/>
      <c r="BB874" s="105"/>
      <c r="BC874" s="105"/>
      <c r="BD874" s="105"/>
      <c r="BE874" s="105"/>
      <c r="BF874" s="105"/>
      <c r="BG874" s="105"/>
      <c r="BH874" s="105"/>
      <c r="BI874" s="105"/>
      <c r="BJ874" s="240"/>
      <c r="BK874" s="240"/>
      <c r="BL874" s="240"/>
      <c r="BM874" s="240"/>
    </row>
    <row r="875" spans="1:65" ht="12" customHeight="1">
      <c r="A875" s="18"/>
      <c r="B875" s="18" t="s">
        <v>327</v>
      </c>
      <c r="C875" s="18"/>
      <c r="D875" s="18"/>
      <c r="E875" s="18"/>
      <c r="F875" s="18"/>
      <c r="G875" s="1460">
        <f>G41</f>
        <v>2.5377666314839109</v>
      </c>
      <c r="H875" s="1461">
        <f>IF(COUNT($G875:G875)&gt;='PTRM input'!$R$7,0,H41)</f>
        <v>2.9773315942800096</v>
      </c>
      <c r="I875" s="1461">
        <f>IF(COUNT($G875:H875)&gt;='PTRM input'!$R$7,0,I41)</f>
        <v>3.0591218751329836</v>
      </c>
      <c r="J875" s="1461">
        <f>IF(COUNT($G875:I875)&gt;='PTRM input'!$R$7,0,J41)</f>
        <v>2.5739186304599824</v>
      </c>
      <c r="K875" s="1461">
        <f>IF(COUNT($G875:J875)&gt;='PTRM input'!$R$7,0,K41)</f>
        <v>3.4232861321558379</v>
      </c>
      <c r="L875" s="105">
        <f>IF(COUNT($G875:K875)&gt;='PTRM input'!$R$7,0,L41)</f>
        <v>0</v>
      </c>
      <c r="M875" s="105">
        <f>IF(COUNT($G875:L875)&gt;='PTRM input'!$R$7,0,M41)</f>
        <v>0</v>
      </c>
      <c r="N875" s="105">
        <f>IF(COUNT($G875:M875)&gt;='PTRM input'!$R$7,0,N41)</f>
        <v>0</v>
      </c>
      <c r="O875" s="105">
        <f>IF(COUNT($G875:N875)&gt;='PTRM input'!$R$7,0,O41)</f>
        <v>0</v>
      </c>
      <c r="P875" s="105">
        <f>IF(COUNT($G875:O875)&gt;='PTRM input'!$R$7,0,P41)</f>
        <v>0</v>
      </c>
      <c r="Q875" s="105"/>
      <c r="R875" s="105"/>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row>
    <row r="876" spans="1:65" ht="12" customHeight="1">
      <c r="A876" s="18"/>
      <c r="B876" s="18" t="s">
        <v>328</v>
      </c>
      <c r="C876" s="18"/>
      <c r="D876" s="18"/>
      <c r="E876" s="18"/>
      <c r="F876" s="18"/>
      <c r="G876" s="1462">
        <f>-G472</f>
        <v>-2.6893271226967239</v>
      </c>
      <c r="H876" s="1459">
        <f>IF(COUNT($G876:G876)&gt;='PTRM input'!$R$7,0,-H472)</f>
        <v>-2.8500166787100132</v>
      </c>
      <c r="I876" s="1459">
        <f>IF(COUNT($G876:H876)&gt;='PTRM input'!$R$7,0,-I472)</f>
        <v>-3.0308499686726429</v>
      </c>
      <c r="J876" s="1459">
        <f>IF(COUNT($G876:I876)&gt;='PTRM input'!$R$7,0,-J472)</f>
        <v>-3.2192349502541338</v>
      </c>
      <c r="K876" s="1459">
        <f>IF(COUNT($G876:J876)&gt;='PTRM input'!$R$7,0,-K472)</f>
        <v>-3.3946018631415229</v>
      </c>
      <c r="L876" s="105">
        <f>IF(COUNT($G876:K876)&gt;='PTRM input'!$R$7,0,-L472)</f>
        <v>0</v>
      </c>
      <c r="M876" s="105">
        <f>IF(COUNT($G876:L876)&gt;='PTRM input'!$R$7,0,-M472)</f>
        <v>0</v>
      </c>
      <c r="N876" s="105">
        <f>IF(COUNT($G876:M876)&gt;='PTRM input'!$R$7,0,-N472)</f>
        <v>0</v>
      </c>
      <c r="O876" s="105">
        <f>IF(COUNT($G876:N876)&gt;='PTRM input'!$R$7,0,-O472)</f>
        <v>0</v>
      </c>
      <c r="P876" s="105">
        <f>IF(COUNT($G876:O876)&gt;='PTRM input'!$R$7,0,-P472)</f>
        <v>0</v>
      </c>
      <c r="Q876" s="105"/>
      <c r="R876" s="105"/>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row>
    <row r="877" spans="1:65" ht="12" customHeight="1">
      <c r="A877" s="18"/>
      <c r="B877" s="18" t="s">
        <v>102</v>
      </c>
      <c r="C877" s="18"/>
      <c r="D877" s="18"/>
      <c r="E877" s="18"/>
      <c r="F877" s="18"/>
      <c r="G877" s="1401">
        <f>G471</f>
        <v>0.87662047601849591</v>
      </c>
      <c r="H877" s="105">
        <f>IF(COUNT($G877:G877)&gt;='PTRM input'!$R$7,0,H471)</f>
        <v>0.89489198763559907</v>
      </c>
      <c r="I877" s="105">
        <f>IF(COUNT($G877:H877)&gt;='PTRM input'!$R$7,0,I471)</f>
        <v>0.92065160159637982</v>
      </c>
      <c r="J877" s="105">
        <f>IF(COUNT($G877:I877)&gt;='PTRM input'!$R$7,0,J471)</f>
        <v>0.94456447399940902</v>
      </c>
      <c r="K877" s="105">
        <f>IF(COUNT($G877:J877)&gt;='PTRM input'!$R$7,0,K471)</f>
        <v>0.95210552748538158</v>
      </c>
      <c r="L877" s="105">
        <f>IF(COUNT($G877:K877)&gt;='PTRM input'!$R$7,0,L471)</f>
        <v>0</v>
      </c>
      <c r="M877" s="105">
        <f>IF(COUNT($G877:L877)&gt;='PTRM input'!$R$7,0,M471)</f>
        <v>0</v>
      </c>
      <c r="N877" s="105">
        <f>IF(COUNT($G877:M877)&gt;='PTRM input'!$R$7,0,N471)</f>
        <v>0</v>
      </c>
      <c r="O877" s="105">
        <f>IF(COUNT($G877:N877)&gt;='PTRM input'!$R$7,0,O471)</f>
        <v>0</v>
      </c>
      <c r="P877" s="105">
        <f>IF(COUNT($G877:O877)&gt;='PTRM input'!$R$7,0,P471)</f>
        <v>0</v>
      </c>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row>
    <row r="878" spans="1:65" ht="12" customHeight="1">
      <c r="A878" s="18"/>
      <c r="B878" s="18" t="s">
        <v>329</v>
      </c>
      <c r="C878" s="18"/>
      <c r="D878" s="18"/>
      <c r="E878" s="18"/>
      <c r="F878" s="18"/>
      <c r="G878" s="1401">
        <f>SUM(G874:G877)</f>
        <v>35.511586810936471</v>
      </c>
      <c r="H878" s="1401">
        <f t="shared" ref="H878:K878" si="167">SUM(H874:H877)</f>
        <v>36.533793714142064</v>
      </c>
      <c r="I878" s="105">
        <f t="shared" si="167"/>
        <v>37.482717222198779</v>
      </c>
      <c r="J878" s="105">
        <f t="shared" si="167"/>
        <v>37.781965376404031</v>
      </c>
      <c r="K878" s="105">
        <f t="shared" si="167"/>
        <v>38.762755172903724</v>
      </c>
      <c r="L878" s="105">
        <f t="shared" ref="L878:P878" si="168">SUM(L874:L877)</f>
        <v>0</v>
      </c>
      <c r="M878" s="105">
        <f t="shared" si="168"/>
        <v>0</v>
      </c>
      <c r="N878" s="105">
        <f t="shared" si="168"/>
        <v>0</v>
      </c>
      <c r="O878" s="105">
        <f t="shared" si="168"/>
        <v>0</v>
      </c>
      <c r="P878" s="105">
        <f t="shared" si="168"/>
        <v>0</v>
      </c>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row>
    <row r="879" spans="1:65"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row>
    <row r="880" spans="1:65" ht="12" customHeight="1">
      <c r="A880" s="18"/>
      <c r="B880" s="490" t="s">
        <v>333</v>
      </c>
      <c r="C880" s="490"/>
      <c r="D880" s="490"/>
      <c r="E880" s="490"/>
      <c r="F880" s="490"/>
      <c r="G880" s="491" t="str">
        <f>IF(ROUND(G878,8)=ROUND(G474,8),"ok","error")</f>
        <v>ok</v>
      </c>
      <c r="H880" s="491" t="str">
        <f>IF(COUNT($G878:G878)&gt;='PTRM input'!$R$7,"",IF(ROUND(H878,8)=ROUND(H474,8),"ok","error"))</f>
        <v>ok</v>
      </c>
      <c r="I880" s="491" t="str">
        <f>IF(COUNT($G878:H878)&gt;='PTRM input'!$R$7,"",IF(ROUND(I878,8)=ROUND(I474,8),"ok","error"))</f>
        <v>ok</v>
      </c>
      <c r="J880" s="491" t="str">
        <f>IF(COUNT($G878:I878)&gt;='PTRM input'!$R$7,"",IF(ROUND(J878,8)=ROUND(J474,8),"ok","error"))</f>
        <v>ok</v>
      </c>
      <c r="K880" s="491" t="str">
        <f>IF(COUNT($G878:J878)&gt;='PTRM input'!$R$7,"",IF(ROUND(K878,8)=ROUND(K474,8),"ok","error"))</f>
        <v>ok</v>
      </c>
      <c r="L880" s="491" t="str">
        <f>IF(COUNT($G878:K878)&gt;='PTRM input'!$R$7,"",IF(ROUND(L878,8)=ROUND(L474,8),"ok","error"))</f>
        <v/>
      </c>
      <c r="M880" s="491" t="str">
        <f>IF(COUNT($G878:L878)&gt;='PTRM input'!$R$7,"",IF(ROUND(M878,8)=ROUND(M474,8),"ok","error"))</f>
        <v/>
      </c>
      <c r="N880" s="18"/>
      <c r="O880" s="491" t="str">
        <f>IF(COUNT($G878:N878)&gt;='PTRM input'!$R$7,"",IF(ROUND(O878,8)=ROUND(O474,8),"ok","error"))</f>
        <v/>
      </c>
      <c r="P880" s="491" t="str">
        <f>IF(COUNT($G878:O878)&gt;='PTRM input'!$R$7,"",IF(ROUND(P878,8)=ROUND(P474,8),"ok","error"))</f>
        <v/>
      </c>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row>
    <row r="881" spans="1:65" ht="12" customHeight="1">
      <c r="A881" s="18"/>
      <c r="B881" s="18"/>
      <c r="C881" s="18"/>
      <c r="D881" s="18"/>
      <c r="E881" s="18"/>
      <c r="F881" s="18"/>
      <c r="G881" s="539"/>
      <c r="H881" s="539"/>
      <c r="I881" s="539"/>
      <c r="J881" s="539"/>
      <c r="K881" s="539"/>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row>
    <row r="882" spans="1:65" ht="12" customHeight="1">
      <c r="A882" s="18"/>
      <c r="B882" s="34" t="s">
        <v>483</v>
      </c>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row>
    <row r="883" spans="1:65" ht="12" customHeight="1">
      <c r="A883" s="18"/>
      <c r="B883" s="359" t="s">
        <v>425</v>
      </c>
      <c r="C883" s="237"/>
      <c r="D883" s="237"/>
      <c r="E883" s="237"/>
      <c r="F883" s="237"/>
      <c r="G883" s="554">
        <f>F870</f>
        <v>15.957266666666666</v>
      </c>
      <c r="H883" s="647">
        <f>IF(COUNT($G883:G883)&gt;='PTRM input'!$R$7,0,G870)</f>
        <v>21.351081640401294</v>
      </c>
      <c r="I883" s="647">
        <f>IF(COUNT($G883:H883)&gt;='PTRM input'!$R$7,0,H870)</f>
        <v>26.321007785314823</v>
      </c>
      <c r="J883" s="647">
        <f>IF(COUNT($G883:I883)&gt;='PTRM input'!$R$7,0,I870)</f>
        <v>29.968044489142287</v>
      </c>
      <c r="K883" s="647">
        <f>IF(COUNT($G883:J883)&gt;='PTRM input'!$R$7,0,J870)</f>
        <v>33.578853875659121</v>
      </c>
      <c r="L883" s="647">
        <f>IF(COUNT($G883:K883)&gt;='PTRM input'!$R$7,0,K870)</f>
        <v>0</v>
      </c>
      <c r="M883" s="647">
        <f>IF(COUNT($G883:L883)&gt;='PTRM input'!$R$7,0,L870)</f>
        <v>0</v>
      </c>
      <c r="N883" s="647">
        <f>IF(COUNT($G883:M883)&gt;='PTRM input'!$R$7,0,M870)</f>
        <v>0</v>
      </c>
      <c r="O883" s="647">
        <f>IF(COUNT($G883:N883)&gt;='PTRM input'!$R$7,0,N870)</f>
        <v>0</v>
      </c>
      <c r="P883" s="647">
        <f>IF(COUNT($G883:O883)&gt;='PTRM input'!$R$7,0,O870)</f>
        <v>0</v>
      </c>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row>
    <row r="884" spans="1:65" ht="12" customHeight="1">
      <c r="A884" s="18"/>
      <c r="B884" s="359" t="s">
        <v>426</v>
      </c>
      <c r="C884" s="237"/>
      <c r="D884" s="237"/>
      <c r="E884" s="237"/>
      <c r="F884" s="237"/>
      <c r="G884" s="1421">
        <f>'PTRM input'!G173*G7</f>
        <v>2.4526183626943006</v>
      </c>
      <c r="H884" s="1481">
        <f>IF(COUNT($G884:G884)&gt;='PTRM input'!$R$7,0,'PTRM input'!H173*H7)</f>
        <v>2.8774348473843681</v>
      </c>
      <c r="I884" s="647">
        <f>IF(COUNT($G884:H884)&gt;='PTRM input'!$R$7,0,'PTRM input'!I173*I7)</f>
        <v>2.9564808645481415</v>
      </c>
      <c r="J884" s="647">
        <f>IF(COUNT($G884:I884)&gt;='PTRM input'!$R$7,0,'PTRM input'!J173*J7)</f>
        <v>2.4875573738061978</v>
      </c>
      <c r="K884" s="647">
        <f>IF(COUNT($G884:J884)&gt;='PTRM input'!$R$7,0,'PTRM input'!K173*K7)</f>
        <v>3.3084265213041855</v>
      </c>
      <c r="L884" s="647">
        <f>IF(COUNT($G884:K884)&gt;='PTRM input'!$R$7,0,'PTRM input'!L173*L7)</f>
        <v>0</v>
      </c>
      <c r="M884" s="647">
        <f>IF(COUNT($G884:L884)&gt;='PTRM input'!$R$7,0,'PTRM input'!M173*M7)</f>
        <v>0</v>
      </c>
      <c r="N884" s="647">
        <f>IF(COUNT($G884:M884)&gt;='PTRM input'!$R$7,0,'PTRM input'!N173*N7)</f>
        <v>0</v>
      </c>
      <c r="O884" s="647">
        <f>IF(COUNT($G884:N884)&gt;='PTRM input'!$R$7,0,'PTRM input'!O173*O7)</f>
        <v>0</v>
      </c>
      <c r="P884" s="647">
        <f>IF(COUNT($G884:O884)&gt;='PTRM input'!$R$7,0,'PTRM input'!P173*P7)</f>
        <v>0</v>
      </c>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row>
    <row r="885" spans="1:65">
      <c r="A885" s="18"/>
      <c r="B885" s="359" t="s">
        <v>427</v>
      </c>
      <c r="C885" s="237"/>
      <c r="D885" s="237"/>
      <c r="E885" s="237"/>
      <c r="F885" s="237"/>
      <c r="G885" s="1421">
        <f>'PTRM input'!G139*G7</f>
        <v>4.3823486043523312</v>
      </c>
      <c r="H885" s="647">
        <f>IF(COUNT($G885:G885)&gt;='PTRM input'!$R$7,0,'PTRM input'!H139*H7)</f>
        <v>3.9893077553109415</v>
      </c>
      <c r="I885" s="647">
        <f>IF(COUNT($G885:H885)&gt;='PTRM input'!$R$7,0,'PTRM input'!I139*I7)</f>
        <v>3.0451551372407919</v>
      </c>
      <c r="J885" s="647">
        <f>IF(COUNT($G885:I885)&gt;='PTRM input'!$R$7,0,'PTRM input'!J139*J7)</f>
        <v>3.8779603774580362</v>
      </c>
      <c r="K885" s="647">
        <f>IF(COUNT($G885:J885)&gt;='PTRM input'!$R$7,0,'PTRM input'!K139*K7)</f>
        <v>2.1644101223601053</v>
      </c>
      <c r="L885" s="647">
        <f>IF(COUNT($G885:K885)&gt;='PTRM input'!$R$7,0,'PTRM input'!L139*L7)</f>
        <v>0</v>
      </c>
      <c r="M885" s="647">
        <f>IF(COUNT($G885:L885)&gt;='PTRM input'!$R$7,0,'PTRM input'!M139*M7)</f>
        <v>0</v>
      </c>
      <c r="N885" s="647">
        <f>IF(COUNT($G885:M885)&gt;='PTRM input'!$R$7,0,'PTRM input'!N139*N7)</f>
        <v>0</v>
      </c>
      <c r="O885" s="647">
        <f>IF(COUNT($G885:N885)&gt;='PTRM input'!$R$7,0,'PTRM input'!O139*O7)</f>
        <v>0</v>
      </c>
      <c r="P885" s="647">
        <f>IF(COUNT($G885:O885)&gt;='PTRM input'!$R$7,0,'PTRM input'!P139*P7)</f>
        <v>0</v>
      </c>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row>
    <row r="886" spans="1:65">
      <c r="A886" s="18"/>
      <c r="B886" s="359" t="s">
        <v>11</v>
      </c>
      <c r="C886" s="237"/>
      <c r="D886" s="237"/>
      <c r="E886" s="237"/>
      <c r="F886" s="237"/>
      <c r="G886" s="554">
        <f>-G479</f>
        <v>-1.4411519933120049</v>
      </c>
      <c r="H886" s="1481">
        <f>IF(COUNT($G886:G886)&gt;='PTRM input'!$R$7,0,-H479)</f>
        <v>-1.8968164577817803</v>
      </c>
      <c r="I886" s="647">
        <f>IF(COUNT($G886:H886)&gt;='PTRM input'!$R$7,0,-I479)</f>
        <v>-2.3545992979614678</v>
      </c>
      <c r="J886" s="647">
        <f>IF(COUNT($G886:I886)&gt;='PTRM input'!$R$7,0,-J479)</f>
        <v>-2.7547083647473967</v>
      </c>
      <c r="K886" s="647">
        <f>IF(COUNT($G886:J886)&gt;='PTRM input'!$R$7,0,-K479)</f>
        <v>-3.1790762148316789</v>
      </c>
      <c r="L886" s="647">
        <f>IF(COUNT($G886:K886)&gt;='PTRM input'!$R$7,0,-L479)</f>
        <v>0</v>
      </c>
      <c r="M886" s="647">
        <f>IF(COUNT($G886:L886)&gt;='PTRM input'!$R$7,0,-M479)</f>
        <v>0</v>
      </c>
      <c r="N886" s="647">
        <f>IF(COUNT($G886:M886)&gt;='PTRM input'!$R$7,0,-N479)</f>
        <v>0</v>
      </c>
      <c r="O886" s="647">
        <f>IF(COUNT($G886:N886)&gt;='PTRM input'!$R$7,0,-O479)</f>
        <v>0</v>
      </c>
      <c r="P886" s="647">
        <f>IF(COUNT($G886:O886)&gt;='PTRM input'!$R$7,0,-P479)</f>
        <v>0</v>
      </c>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row>
    <row r="887" spans="1:65">
      <c r="A887" s="18"/>
      <c r="B887" s="359" t="s">
        <v>428</v>
      </c>
      <c r="C887" s="237"/>
      <c r="D887" s="237"/>
      <c r="E887" s="237"/>
      <c r="F887" s="237"/>
      <c r="G887" s="554">
        <f>SUM(G883:G886)</f>
        <v>21.35108164040129</v>
      </c>
      <c r="H887" s="647">
        <f t="shared" ref="H887:P887" si="169">SUM(H883:H886)</f>
        <v>26.321007785314823</v>
      </c>
      <c r="I887" s="647">
        <f t="shared" si="169"/>
        <v>29.96804448914229</v>
      </c>
      <c r="J887" s="647">
        <f t="shared" si="169"/>
        <v>33.578853875659128</v>
      </c>
      <c r="K887" s="647">
        <f t="shared" si="169"/>
        <v>35.872614304491727</v>
      </c>
      <c r="L887" s="647">
        <f t="shared" si="169"/>
        <v>0</v>
      </c>
      <c r="M887" s="647">
        <f t="shared" si="169"/>
        <v>0</v>
      </c>
      <c r="N887" s="647">
        <f t="shared" si="169"/>
        <v>0</v>
      </c>
      <c r="O887" s="647">
        <f t="shared" si="169"/>
        <v>0</v>
      </c>
      <c r="P887" s="647">
        <f t="shared" si="169"/>
        <v>0</v>
      </c>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row>
    <row r="888" spans="1:65">
      <c r="A888" s="240"/>
      <c r="B888" s="240"/>
      <c r="C888" s="240"/>
      <c r="D888" s="240"/>
      <c r="E888" s="240"/>
      <c r="F888" s="240"/>
      <c r="G888" s="529"/>
      <c r="H888" s="529"/>
      <c r="I888" s="529"/>
      <c r="J888" s="529"/>
      <c r="K888" s="529"/>
      <c r="L888" s="240"/>
      <c r="M888" s="240"/>
      <c r="N888" s="240"/>
      <c r="O888" s="240"/>
      <c r="P888" s="240"/>
      <c r="Q888" s="240"/>
      <c r="R888" s="240"/>
      <c r="S888" s="240"/>
      <c r="T888" s="240"/>
      <c r="U888" s="240"/>
      <c r="V888" s="240"/>
      <c r="W888" s="240"/>
      <c r="X888" s="240"/>
      <c r="Y888" s="240"/>
      <c r="Z888" s="240"/>
      <c r="AA888" s="240"/>
      <c r="AB888" s="240"/>
      <c r="AC888" s="240"/>
      <c r="AD888" s="240"/>
      <c r="AE888" s="240"/>
      <c r="AF888" s="240"/>
      <c r="AG888" s="240"/>
      <c r="AH888" s="240"/>
      <c r="AI888" s="240"/>
      <c r="AJ888" s="240"/>
      <c r="AK888" s="240"/>
      <c r="AL888" s="240"/>
      <c r="AM888" s="240"/>
      <c r="AN888" s="240"/>
      <c r="AO888" s="240"/>
      <c r="AP888" s="240"/>
      <c r="AQ888" s="240"/>
      <c r="AR888" s="240"/>
      <c r="AS888" s="240"/>
      <c r="AT888" s="240"/>
      <c r="AU888" s="240"/>
      <c r="AV888" s="240"/>
      <c r="AW888" s="240"/>
      <c r="AX888" s="240"/>
      <c r="AY888" s="240"/>
      <c r="AZ888" s="240"/>
      <c r="BA888" s="240"/>
      <c r="BB888" s="240"/>
      <c r="BC888" s="240"/>
      <c r="BD888" s="240"/>
      <c r="BE888" s="240"/>
      <c r="BF888" s="240"/>
      <c r="BG888" s="240"/>
      <c r="BH888" s="240"/>
      <c r="BI888" s="240"/>
      <c r="BJ888" s="240"/>
      <c r="BK888" s="240"/>
      <c r="BL888" s="240"/>
      <c r="BM888" s="240"/>
    </row>
    <row r="889" spans="1:65">
      <c r="A889" s="18"/>
      <c r="B889" s="490" t="s">
        <v>333</v>
      </c>
      <c r="C889" s="490"/>
      <c r="D889" s="490"/>
      <c r="E889" s="490"/>
      <c r="F889" s="490"/>
      <c r="G889" s="491" t="str">
        <f>IF(ROUND(G887,8)=ROUND(G870,8),"ok","error")</f>
        <v>ok</v>
      </c>
      <c r="H889" s="491" t="str">
        <f>IF(COUNT($G887:G887)&gt;='PTRM input'!$R$7,"",IF(ROUND(H887,8)=ROUND(H870,8),"ok","error"))</f>
        <v>ok</v>
      </c>
      <c r="I889" s="491" t="str">
        <f>IF(COUNT($G887:H887)&gt;='PTRM input'!$R$7,"",IF(ROUND(I887,8)=ROUND(I870,8),"ok","error"))</f>
        <v>ok</v>
      </c>
      <c r="J889" s="491" t="str">
        <f>IF(COUNT($G887:I887)&gt;='PTRM input'!$R$7,"",IF(ROUND(J887,8)=ROUND(J870,8),"ok","error"))</f>
        <v>ok</v>
      </c>
      <c r="K889" s="491" t="str">
        <f>IF(COUNT($G887:J887)&gt;='PTRM input'!$R$7,"",IF(ROUND(K887,8)=ROUND(K870,8),"ok","error"))</f>
        <v>ok</v>
      </c>
      <c r="L889" s="491" t="str">
        <f>IF(COUNT($G887:K887)&gt;='PTRM input'!$R$7,"",IF(ROUND(L887,8)=ROUND(L870,8),"ok","error"))</f>
        <v/>
      </c>
      <c r="M889" s="491" t="str">
        <f>IF(COUNT($G887:L887)&gt;='PTRM input'!$R$7,"",IF(ROUND(M887,8)=ROUND(M870,8),"ok","error"))</f>
        <v/>
      </c>
      <c r="N889" s="491" t="str">
        <f>IF(COUNT($G887:M887)&gt;='PTRM input'!$R$7,"",IF(ROUND(N887,8)=ROUND(N870,8),"ok","error"))</f>
        <v/>
      </c>
      <c r="O889" s="491" t="str">
        <f>IF(COUNT($G887:N887)&gt;='PTRM input'!$R$7,"",IF(ROUND(O887,8)=ROUND(O870,8),"ok","error"))</f>
        <v/>
      </c>
      <c r="P889" s="491" t="str">
        <f>IF(COUNT($G887:O887)&gt;='PTRM input'!$R$7,"",IF(ROUND(P887,8)=ROUND(P870,8),"ok","error"))</f>
        <v/>
      </c>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row>
  </sheetData>
  <mergeCells count="60">
    <mergeCell ref="D77:D87"/>
    <mergeCell ref="D90:D100"/>
    <mergeCell ref="D507:D517"/>
    <mergeCell ref="D103:D113"/>
    <mergeCell ref="D481:D491"/>
    <mergeCell ref="D494:D504"/>
    <mergeCell ref="D116:D126"/>
    <mergeCell ref="D272:D282"/>
    <mergeCell ref="D298:D308"/>
    <mergeCell ref="D129:D139"/>
    <mergeCell ref="D142:D152"/>
    <mergeCell ref="D155:D165"/>
    <mergeCell ref="D168:D178"/>
    <mergeCell ref="D181:D191"/>
    <mergeCell ref="D194:D204"/>
    <mergeCell ref="D337:D347"/>
    <mergeCell ref="D207:D217"/>
    <mergeCell ref="D220:D230"/>
    <mergeCell ref="D233:D243"/>
    <mergeCell ref="D246:D256"/>
    <mergeCell ref="D259:D269"/>
    <mergeCell ref="D285:D295"/>
    <mergeCell ref="D520:D530"/>
    <mergeCell ref="D363:D373"/>
    <mergeCell ref="D376:D386"/>
    <mergeCell ref="D389:D399"/>
    <mergeCell ref="D402:D412"/>
    <mergeCell ref="D415:D425"/>
    <mergeCell ref="D428:D438"/>
    <mergeCell ref="D441:D451"/>
    <mergeCell ref="D454:D464"/>
    <mergeCell ref="D350:D360"/>
    <mergeCell ref="D311:D321"/>
    <mergeCell ref="D324:D334"/>
    <mergeCell ref="D598:D608"/>
    <mergeCell ref="D741:D751"/>
    <mergeCell ref="D702:D712"/>
    <mergeCell ref="D715:D725"/>
    <mergeCell ref="D663:D673"/>
    <mergeCell ref="D676:D686"/>
    <mergeCell ref="D624:D634"/>
    <mergeCell ref="D637:D647"/>
    <mergeCell ref="D650:D660"/>
    <mergeCell ref="D611:D621"/>
    <mergeCell ref="D728:D738"/>
    <mergeCell ref="D585:D595"/>
    <mergeCell ref="D546:D556"/>
    <mergeCell ref="D559:D569"/>
    <mergeCell ref="D572:D582"/>
    <mergeCell ref="D533:D543"/>
    <mergeCell ref="D754:D764"/>
    <mergeCell ref="D689:D699"/>
    <mergeCell ref="D845:D855"/>
    <mergeCell ref="D806:D816"/>
    <mergeCell ref="D858:D868"/>
    <mergeCell ref="D767:D777"/>
    <mergeCell ref="D780:D790"/>
    <mergeCell ref="D793:D803"/>
    <mergeCell ref="D819:D829"/>
    <mergeCell ref="D832:D842"/>
  </mergeCells>
  <phoneticPr fontId="0" type="noConversion"/>
  <printOptions headings="1"/>
  <pageMargins left="0.75" right="0.75" top="1" bottom="1" header="0.5" footer="0.5"/>
  <pageSetup paperSize="9" scale="53" orientation="portrait" horizontalDpi="4294967292" r:id="rId1"/>
  <headerFooter alignWithMargins="0"/>
  <colBreaks count="1" manualBreakCount="1">
    <brk id="16" max="879" man="1"/>
  </colBreaks>
  <cellWatches>
    <cellWatch r="G880"/>
    <cellWatch r="H880"/>
    <cellWatch r="I880"/>
    <cellWatch r="J880"/>
    <cellWatch r="K880"/>
  </cellWatches>
  <ignoredErrors>
    <ignoredError sqref="G877" formula="1"/>
    <ignoredError sqref="F4 G4:AD4 AE4:BI4" unlocked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autoPageBreaks="0"/>
  </sheetPr>
  <dimension ref="A1:BM175"/>
  <sheetViews>
    <sheetView showGridLines="0" zoomScale="85" zoomScaleNormal="85" workbookViewId="0">
      <selection activeCell="G7" sqref="G7"/>
    </sheetView>
  </sheetViews>
  <sheetFormatPr defaultColWidth="9.140625" defaultRowHeight="12.75"/>
  <cols>
    <col min="1" max="1" width="3.140625" style="7" customWidth="1"/>
    <col min="2" max="2" width="27.85546875" style="7" customWidth="1"/>
    <col min="3" max="3" width="7" style="7" customWidth="1"/>
    <col min="4" max="4" width="11.140625" style="7" customWidth="1"/>
    <col min="5" max="5" width="11.28515625" style="7" customWidth="1"/>
    <col min="6" max="6" width="11.7109375" style="7" customWidth="1"/>
    <col min="7" max="9" width="11.28515625" style="7" customWidth="1"/>
    <col min="10" max="13" width="17.140625" style="7" customWidth="1"/>
    <col min="14" max="61" width="11.28515625" style="7" customWidth="1"/>
    <col min="62" max="62" width="11.140625" style="7" customWidth="1"/>
    <col min="63" max="217" width="7.7109375" style="7" customWidth="1"/>
    <col min="218" max="16384" width="9.140625" style="7"/>
  </cols>
  <sheetData>
    <row r="1" spans="1:65" ht="10.5" customHeight="1">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row>
    <row r="2" spans="1:65" ht="17.25" customHeight="1">
      <c r="A2" s="47"/>
      <c r="B2" s="66" t="str">
        <f>'DMS input'!$C$16&amp;" - Cash Flow Analysis"&amp;" - DNSP PTRM - version "&amp;Intro!$L$4</f>
        <v>Aus Elec - Cash Flow Analysis - DNSP PTRM - version 3</v>
      </c>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row>
    <row r="3" spans="1:65" ht="17.25" customHeight="1">
      <c r="A3" s="47"/>
      <c r="B3" s="47"/>
      <c r="C3" s="47"/>
      <c r="D3" s="47"/>
      <c r="E3" s="47"/>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47"/>
      <c r="BK3" s="47"/>
      <c r="BL3" s="47"/>
      <c r="BM3" s="47"/>
    </row>
    <row r="4" spans="1:65" s="42" customFormat="1" ht="15.75">
      <c r="A4" s="136"/>
      <c r="B4" s="137" t="s">
        <v>54</v>
      </c>
      <c r="C4" s="136"/>
      <c r="D4" s="136"/>
      <c r="E4" s="136"/>
      <c r="F4" s="138" t="str">
        <f>Assets!F4</f>
        <v>2009-10</v>
      </c>
      <c r="G4" s="138" t="str">
        <f>Assets!G4</f>
        <v>2010-11</v>
      </c>
      <c r="H4" s="138" t="str">
        <f>Assets!H4</f>
        <v>2011-12</v>
      </c>
      <c r="I4" s="138" t="str">
        <f>Assets!I4</f>
        <v>2012-13</v>
      </c>
      <c r="J4" s="138" t="str">
        <f>Assets!J4</f>
        <v>2013-14</v>
      </c>
      <c r="K4" s="138" t="str">
        <f>Assets!K4</f>
        <v>2014-15</v>
      </c>
      <c r="L4" s="138" t="str">
        <f>Assets!L4</f>
        <v>2015-16</v>
      </c>
      <c r="M4" s="138" t="str">
        <f>Assets!M4</f>
        <v>2016-17</v>
      </c>
      <c r="N4" s="138" t="str">
        <f>Assets!N4</f>
        <v>2017-18</v>
      </c>
      <c r="O4" s="138" t="str">
        <f>Assets!O4</f>
        <v>2018-19</v>
      </c>
      <c r="P4" s="138" t="str">
        <f>Assets!P4</f>
        <v>2019-20</v>
      </c>
      <c r="Q4" s="138" t="str">
        <f>Assets!Q4</f>
        <v>2020-21</v>
      </c>
      <c r="R4" s="138" t="str">
        <f>Assets!R4</f>
        <v>2021-22</v>
      </c>
      <c r="S4" s="138" t="str">
        <f>Assets!S4</f>
        <v>2022-23</v>
      </c>
      <c r="T4" s="138" t="str">
        <f>Assets!T4</f>
        <v>2023-24</v>
      </c>
      <c r="U4" s="138" t="str">
        <f>Assets!U4</f>
        <v>2024-25</v>
      </c>
      <c r="V4" s="138" t="str">
        <f>Assets!V4</f>
        <v>2025-26</v>
      </c>
      <c r="W4" s="138" t="str">
        <f>Assets!W4</f>
        <v>2026-27</v>
      </c>
      <c r="X4" s="138" t="str">
        <f>Assets!X4</f>
        <v>2027-28</v>
      </c>
      <c r="Y4" s="138" t="str">
        <f>Assets!Y4</f>
        <v>2028-29</v>
      </c>
      <c r="Z4" s="138" t="str">
        <f>Assets!Z4</f>
        <v>2029-30</v>
      </c>
      <c r="AA4" s="138" t="str">
        <f>Assets!AA4</f>
        <v>2030-31</v>
      </c>
      <c r="AB4" s="138" t="str">
        <f>Assets!AB4</f>
        <v>2031-32</v>
      </c>
      <c r="AC4" s="138" t="str">
        <f>Assets!AC4</f>
        <v>2032-33</v>
      </c>
      <c r="AD4" s="138" t="str">
        <f>Assets!AD4</f>
        <v>2033-34</v>
      </c>
      <c r="AE4" s="138" t="str">
        <f>Assets!AE4</f>
        <v>2034-35</v>
      </c>
      <c r="AF4" s="138" t="str">
        <f>Assets!AF4</f>
        <v>2035-36</v>
      </c>
      <c r="AG4" s="138" t="str">
        <f>Assets!AG4</f>
        <v>2036-37</v>
      </c>
      <c r="AH4" s="138" t="str">
        <f>Assets!AH4</f>
        <v>2037-38</v>
      </c>
      <c r="AI4" s="138" t="str">
        <f>Assets!AI4</f>
        <v>2038-39</v>
      </c>
      <c r="AJ4" s="138" t="str">
        <f>Assets!AJ4</f>
        <v>2039-40</v>
      </c>
      <c r="AK4" s="138" t="str">
        <f>Assets!AK4</f>
        <v>2040-41</v>
      </c>
      <c r="AL4" s="138" t="str">
        <f>Assets!AL4</f>
        <v>2041-42</v>
      </c>
      <c r="AM4" s="138" t="str">
        <f>Assets!AM4</f>
        <v>2042-43</v>
      </c>
      <c r="AN4" s="138" t="str">
        <f>Assets!AN4</f>
        <v>2043-44</v>
      </c>
      <c r="AO4" s="138" t="str">
        <f>Assets!AO4</f>
        <v>2044-45</v>
      </c>
      <c r="AP4" s="138" t="str">
        <f>Assets!AP4</f>
        <v>2045-46</v>
      </c>
      <c r="AQ4" s="138" t="str">
        <f>Assets!AQ4</f>
        <v>2046-47</v>
      </c>
      <c r="AR4" s="138" t="str">
        <f>Assets!AR4</f>
        <v>2047-48</v>
      </c>
      <c r="AS4" s="138" t="str">
        <f>Assets!AS4</f>
        <v>2048-49</v>
      </c>
      <c r="AT4" s="138" t="str">
        <f>Assets!AT4</f>
        <v>2049-50</v>
      </c>
      <c r="AU4" s="138" t="str">
        <f>Assets!AU4</f>
        <v>2050-51</v>
      </c>
      <c r="AV4" s="138" t="str">
        <f>Assets!AV4</f>
        <v>2051-52</v>
      </c>
      <c r="AW4" s="138" t="str">
        <f>Assets!AW4</f>
        <v>2052-53</v>
      </c>
      <c r="AX4" s="138" t="str">
        <f>Assets!AX4</f>
        <v>2053-54</v>
      </c>
      <c r="AY4" s="138" t="str">
        <f>Assets!AY4</f>
        <v>2054-55</v>
      </c>
      <c r="AZ4" s="138" t="str">
        <f>Assets!AZ4</f>
        <v>2055-56</v>
      </c>
      <c r="BA4" s="138" t="str">
        <f>Assets!BA4</f>
        <v>2056-57</v>
      </c>
      <c r="BB4" s="138" t="str">
        <f>Assets!BB4</f>
        <v>2057-58</v>
      </c>
      <c r="BC4" s="138" t="str">
        <f>Assets!BC4</f>
        <v>2058-59</v>
      </c>
      <c r="BD4" s="138" t="str">
        <f>Assets!BD4</f>
        <v>2059-60</v>
      </c>
      <c r="BE4" s="138" t="str">
        <f>Assets!BE4</f>
        <v>2060-61</v>
      </c>
      <c r="BF4" s="138" t="str">
        <f>Assets!BF4</f>
        <v>2061-62</v>
      </c>
      <c r="BG4" s="138" t="str">
        <f>Assets!BG4</f>
        <v>2062-63</v>
      </c>
      <c r="BH4" s="138" t="str">
        <f>Assets!BH4</f>
        <v>2063-64</v>
      </c>
      <c r="BI4" s="138" t="str">
        <f>Assets!BI4</f>
        <v>2064-65</v>
      </c>
      <c r="BJ4" s="138"/>
      <c r="BK4" s="49"/>
      <c r="BL4" s="49"/>
      <c r="BM4" s="49"/>
    </row>
    <row r="5" spans="1:65" s="49" customFormat="1" ht="12.75" customHeight="1">
      <c r="B5" s="66"/>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row>
    <row r="6" spans="1:65">
      <c r="A6" s="47"/>
      <c r="B6" s="47" t="s">
        <v>101</v>
      </c>
      <c r="C6" s="47"/>
      <c r="D6" s="47"/>
      <c r="E6" s="47"/>
      <c r="F6" s="47"/>
      <c r="G6" s="70">
        <f>WACC!G6</f>
        <v>2.52E-2</v>
      </c>
      <c r="H6" s="70">
        <f>G6</f>
        <v>2.52E-2</v>
      </c>
      <c r="I6" s="70">
        <f t="shared" ref="I6:P6" si="0">H6</f>
        <v>2.52E-2</v>
      </c>
      <c r="J6" s="70">
        <f t="shared" si="0"/>
        <v>2.52E-2</v>
      </c>
      <c r="K6" s="70">
        <f t="shared" si="0"/>
        <v>2.52E-2</v>
      </c>
      <c r="L6" s="70">
        <f t="shared" si="0"/>
        <v>2.52E-2</v>
      </c>
      <c r="M6" s="70">
        <f t="shared" si="0"/>
        <v>2.52E-2</v>
      </c>
      <c r="N6" s="70">
        <f t="shared" si="0"/>
        <v>2.52E-2</v>
      </c>
      <c r="O6" s="70">
        <f t="shared" si="0"/>
        <v>2.52E-2</v>
      </c>
      <c r="P6" s="70">
        <f t="shared" si="0"/>
        <v>2.52E-2</v>
      </c>
      <c r="Q6" s="70">
        <f>P6</f>
        <v>2.52E-2</v>
      </c>
      <c r="R6" s="70">
        <f>Q6</f>
        <v>2.52E-2</v>
      </c>
      <c r="S6" s="70">
        <f t="shared" ref="S6:AQ6" si="1">R6</f>
        <v>2.52E-2</v>
      </c>
      <c r="T6" s="70">
        <f t="shared" si="1"/>
        <v>2.52E-2</v>
      </c>
      <c r="U6" s="70">
        <f t="shared" si="1"/>
        <v>2.52E-2</v>
      </c>
      <c r="V6" s="70">
        <f t="shared" si="1"/>
        <v>2.52E-2</v>
      </c>
      <c r="W6" s="70">
        <f t="shared" si="1"/>
        <v>2.52E-2</v>
      </c>
      <c r="X6" s="70">
        <f t="shared" si="1"/>
        <v>2.52E-2</v>
      </c>
      <c r="Y6" s="70">
        <f t="shared" si="1"/>
        <v>2.52E-2</v>
      </c>
      <c r="Z6" s="70">
        <f t="shared" si="1"/>
        <v>2.52E-2</v>
      </c>
      <c r="AA6" s="70">
        <f t="shared" si="1"/>
        <v>2.52E-2</v>
      </c>
      <c r="AB6" s="70">
        <f t="shared" si="1"/>
        <v>2.52E-2</v>
      </c>
      <c r="AC6" s="70">
        <f t="shared" si="1"/>
        <v>2.52E-2</v>
      </c>
      <c r="AD6" s="70">
        <f t="shared" si="1"/>
        <v>2.52E-2</v>
      </c>
      <c r="AE6" s="70">
        <f t="shared" si="1"/>
        <v>2.52E-2</v>
      </c>
      <c r="AF6" s="70">
        <f t="shared" si="1"/>
        <v>2.52E-2</v>
      </c>
      <c r="AG6" s="70">
        <f t="shared" si="1"/>
        <v>2.52E-2</v>
      </c>
      <c r="AH6" s="70">
        <f t="shared" si="1"/>
        <v>2.52E-2</v>
      </c>
      <c r="AI6" s="70">
        <f t="shared" si="1"/>
        <v>2.52E-2</v>
      </c>
      <c r="AJ6" s="70">
        <f t="shared" si="1"/>
        <v>2.52E-2</v>
      </c>
      <c r="AK6" s="70">
        <f t="shared" si="1"/>
        <v>2.52E-2</v>
      </c>
      <c r="AL6" s="70">
        <f t="shared" si="1"/>
        <v>2.52E-2</v>
      </c>
      <c r="AM6" s="70">
        <f t="shared" si="1"/>
        <v>2.52E-2</v>
      </c>
      <c r="AN6" s="70">
        <f t="shared" si="1"/>
        <v>2.52E-2</v>
      </c>
      <c r="AO6" s="70">
        <f t="shared" si="1"/>
        <v>2.52E-2</v>
      </c>
      <c r="AP6" s="70">
        <f t="shared" si="1"/>
        <v>2.52E-2</v>
      </c>
      <c r="AQ6" s="70">
        <f t="shared" si="1"/>
        <v>2.52E-2</v>
      </c>
      <c r="AR6" s="70">
        <f t="shared" ref="AR6:BI6" si="2">AQ6</f>
        <v>2.52E-2</v>
      </c>
      <c r="AS6" s="70">
        <f t="shared" si="2"/>
        <v>2.52E-2</v>
      </c>
      <c r="AT6" s="70">
        <f t="shared" si="2"/>
        <v>2.52E-2</v>
      </c>
      <c r="AU6" s="70">
        <f t="shared" si="2"/>
        <v>2.52E-2</v>
      </c>
      <c r="AV6" s="70">
        <f t="shared" si="2"/>
        <v>2.52E-2</v>
      </c>
      <c r="AW6" s="70">
        <f t="shared" si="2"/>
        <v>2.52E-2</v>
      </c>
      <c r="AX6" s="70">
        <f t="shared" si="2"/>
        <v>2.52E-2</v>
      </c>
      <c r="AY6" s="70">
        <f t="shared" si="2"/>
        <v>2.52E-2</v>
      </c>
      <c r="AZ6" s="70">
        <f t="shared" si="2"/>
        <v>2.52E-2</v>
      </c>
      <c r="BA6" s="70">
        <f t="shared" si="2"/>
        <v>2.52E-2</v>
      </c>
      <c r="BB6" s="70">
        <f t="shared" si="2"/>
        <v>2.52E-2</v>
      </c>
      <c r="BC6" s="70">
        <f t="shared" si="2"/>
        <v>2.52E-2</v>
      </c>
      <c r="BD6" s="70">
        <f t="shared" si="2"/>
        <v>2.52E-2</v>
      </c>
      <c r="BE6" s="70">
        <f t="shared" si="2"/>
        <v>2.52E-2</v>
      </c>
      <c r="BF6" s="70">
        <f t="shared" si="2"/>
        <v>2.52E-2</v>
      </c>
      <c r="BG6" s="70">
        <f t="shared" si="2"/>
        <v>2.52E-2</v>
      </c>
      <c r="BH6" s="70">
        <f t="shared" si="2"/>
        <v>2.52E-2</v>
      </c>
      <c r="BI6" s="70">
        <f t="shared" si="2"/>
        <v>2.52E-2</v>
      </c>
      <c r="BJ6" s="47"/>
      <c r="BK6" s="47"/>
      <c r="BL6" s="47"/>
      <c r="BM6" s="47"/>
    </row>
    <row r="7" spans="1:65">
      <c r="A7" s="47"/>
      <c r="B7" s="18" t="s">
        <v>39</v>
      </c>
      <c r="C7" s="47"/>
      <c r="D7" s="47"/>
      <c r="E7" s="47"/>
      <c r="F7" s="71">
        <v>1</v>
      </c>
      <c r="G7" s="1405">
        <f>F7*(1+G6)</f>
        <v>1.0251999999999999</v>
      </c>
      <c r="H7" s="71">
        <f t="shared" ref="H7:O7" si="3">G7*(1+H6)</f>
        <v>1.0510350399999997</v>
      </c>
      <c r="I7" s="71">
        <f t="shared" si="3"/>
        <v>1.0775211230079995</v>
      </c>
      <c r="J7" s="71">
        <f t="shared" si="3"/>
        <v>1.1046746553078011</v>
      </c>
      <c r="K7" s="71">
        <f t="shared" si="3"/>
        <v>1.1325124566215576</v>
      </c>
      <c r="L7" s="71">
        <f t="shared" si="3"/>
        <v>1.1610517705284207</v>
      </c>
      <c r="M7" s="71">
        <f t="shared" si="3"/>
        <v>1.1903102751457368</v>
      </c>
      <c r="N7" s="71">
        <f t="shared" si="3"/>
        <v>1.2203060940794093</v>
      </c>
      <c r="O7" s="71">
        <f t="shared" si="3"/>
        <v>1.2510578076502104</v>
      </c>
      <c r="P7" s="71">
        <f>O7*(1+P6)</f>
        <v>1.2825844644029956</v>
      </c>
      <c r="Q7" s="71">
        <f>P7*(1+Q6)</f>
        <v>1.314905592905951</v>
      </c>
      <c r="R7" s="71">
        <f>Q7*(1+R6)</f>
        <v>1.3480412138471809</v>
      </c>
      <c r="S7" s="71">
        <f t="shared" ref="S7:AP7" si="4">R7*(1+S6)</f>
        <v>1.3820118524361298</v>
      </c>
      <c r="T7" s="71">
        <f t="shared" si="4"/>
        <v>1.4168385511175201</v>
      </c>
      <c r="U7" s="71">
        <f t="shared" si="4"/>
        <v>1.4525428826056814</v>
      </c>
      <c r="V7" s="71">
        <f t="shared" si="4"/>
        <v>1.4891469632473444</v>
      </c>
      <c r="W7" s="71">
        <f t="shared" si="4"/>
        <v>1.5266734667211774</v>
      </c>
      <c r="X7" s="71">
        <f t="shared" si="4"/>
        <v>1.565145638082551</v>
      </c>
      <c r="Y7" s="71">
        <f t="shared" si="4"/>
        <v>1.6045873081622311</v>
      </c>
      <c r="Z7" s="71">
        <f t="shared" si="4"/>
        <v>1.6450229083279191</v>
      </c>
      <c r="AA7" s="71">
        <f t="shared" si="4"/>
        <v>1.6864774856177824</v>
      </c>
      <c r="AB7" s="71">
        <f t="shared" si="4"/>
        <v>1.7289767182553504</v>
      </c>
      <c r="AC7" s="71">
        <f t="shared" si="4"/>
        <v>1.772546931555385</v>
      </c>
      <c r="AD7" s="71">
        <f t="shared" si="4"/>
        <v>1.8172151142305806</v>
      </c>
      <c r="AE7" s="71">
        <f t="shared" si="4"/>
        <v>1.863008935109191</v>
      </c>
      <c r="AF7" s="71">
        <f t="shared" si="4"/>
        <v>1.9099567602739425</v>
      </c>
      <c r="AG7" s="71">
        <f t="shared" si="4"/>
        <v>1.9580876706328456</v>
      </c>
      <c r="AH7" s="71">
        <f t="shared" si="4"/>
        <v>2.007431479932793</v>
      </c>
      <c r="AI7" s="71">
        <f t="shared" si="4"/>
        <v>2.058018753227099</v>
      </c>
      <c r="AJ7" s="71">
        <f t="shared" si="4"/>
        <v>2.1098808258084216</v>
      </c>
      <c r="AK7" s="71">
        <f t="shared" si="4"/>
        <v>2.1630498226187935</v>
      </c>
      <c r="AL7" s="71">
        <f t="shared" si="4"/>
        <v>2.2175586781487868</v>
      </c>
      <c r="AM7" s="71">
        <f t="shared" si="4"/>
        <v>2.2734411568381359</v>
      </c>
      <c r="AN7" s="71">
        <f t="shared" si="4"/>
        <v>2.3307318739904566</v>
      </c>
      <c r="AO7" s="71">
        <f t="shared" si="4"/>
        <v>2.3894663172150157</v>
      </c>
      <c r="AP7" s="71">
        <f t="shared" si="4"/>
        <v>2.4496808684088336</v>
      </c>
      <c r="AQ7" s="71">
        <f t="shared" ref="AQ7:BI7" si="5">AP7*(1+AQ6)</f>
        <v>2.511412826292736</v>
      </c>
      <c r="AR7" s="71">
        <f t="shared" si="5"/>
        <v>2.5747004295153126</v>
      </c>
      <c r="AS7" s="71">
        <f t="shared" si="5"/>
        <v>2.6395828803390984</v>
      </c>
      <c r="AT7" s="71">
        <f t="shared" si="5"/>
        <v>2.7061003689236434</v>
      </c>
      <c r="AU7" s="71">
        <f t="shared" si="5"/>
        <v>2.7742940982205191</v>
      </c>
      <c r="AV7" s="71">
        <f t="shared" si="5"/>
        <v>2.844206309495676</v>
      </c>
      <c r="AW7" s="71">
        <f t="shared" si="5"/>
        <v>2.9158803084949665</v>
      </c>
      <c r="AX7" s="71">
        <f t="shared" si="5"/>
        <v>2.9893604922690393</v>
      </c>
      <c r="AY7" s="71">
        <f t="shared" si="5"/>
        <v>3.0646923766742189</v>
      </c>
      <c r="AZ7" s="71">
        <f t="shared" si="5"/>
        <v>3.1419226245664089</v>
      </c>
      <c r="BA7" s="71">
        <f t="shared" si="5"/>
        <v>3.221099074705482</v>
      </c>
      <c r="BB7" s="71">
        <f t="shared" si="5"/>
        <v>3.3022707713880597</v>
      </c>
      <c r="BC7" s="71">
        <f t="shared" si="5"/>
        <v>3.3854879948270384</v>
      </c>
      <c r="BD7" s="71">
        <f t="shared" si="5"/>
        <v>3.4708022922966792</v>
      </c>
      <c r="BE7" s="71">
        <f t="shared" si="5"/>
        <v>3.558266510062555</v>
      </c>
      <c r="BF7" s="71">
        <f t="shared" si="5"/>
        <v>3.6479348261161308</v>
      </c>
      <c r="BG7" s="71">
        <f t="shared" si="5"/>
        <v>3.7398627837342571</v>
      </c>
      <c r="BH7" s="71">
        <f t="shared" si="5"/>
        <v>3.8341073258843599</v>
      </c>
      <c r="BI7" s="71">
        <f t="shared" si="5"/>
        <v>3.9307268304966452</v>
      </c>
      <c r="BJ7" s="47"/>
      <c r="BK7" s="47"/>
      <c r="BL7" s="47"/>
      <c r="BM7" s="47"/>
    </row>
    <row r="8" spans="1:65">
      <c r="A8" s="47"/>
      <c r="B8" s="18"/>
      <c r="C8" s="47"/>
      <c r="D8" s="47"/>
      <c r="E8" s="47"/>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47"/>
      <c r="BK8" s="47"/>
      <c r="BL8" s="47"/>
      <c r="BM8" s="47"/>
    </row>
    <row r="9" spans="1:65">
      <c r="A9" s="47"/>
      <c r="B9" s="34" t="s">
        <v>214</v>
      </c>
      <c r="C9" s="47"/>
      <c r="D9" s="47"/>
      <c r="E9" s="47"/>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47"/>
      <c r="BK9" s="47"/>
      <c r="BL9" s="47"/>
      <c r="BM9" s="47"/>
    </row>
    <row r="10" spans="1:65">
      <c r="A10" s="47"/>
      <c r="B10" s="43" t="s">
        <v>215</v>
      </c>
      <c r="C10" s="47"/>
      <c r="D10" s="47"/>
      <c r="E10" s="47"/>
      <c r="F10" s="266"/>
      <c r="G10" s="267">
        <f>WACC!G14</f>
        <v>8.8700000000000001E-2</v>
      </c>
      <c r="H10" s="267">
        <f>WACC!H14</f>
        <v>8.8700000000000001E-2</v>
      </c>
      <c r="I10" s="267">
        <f>WACC!I14</f>
        <v>8.8700000000000001E-2</v>
      </c>
      <c r="J10" s="267">
        <f>WACC!J14</f>
        <v>8.8700000000000001E-2</v>
      </c>
      <c r="K10" s="267">
        <f>WACC!K14</f>
        <v>8.8700000000000001E-2</v>
      </c>
      <c r="L10" s="267">
        <f>WACC!L14</f>
        <v>8.8700000000000001E-2</v>
      </c>
      <c r="M10" s="267">
        <f>WACC!M14</f>
        <v>8.8700000000000001E-2</v>
      </c>
      <c r="N10" s="267">
        <f>WACC!N14</f>
        <v>8.8700000000000001E-2</v>
      </c>
      <c r="O10" s="267">
        <f>WACC!O14</f>
        <v>8.8700000000000001E-2</v>
      </c>
      <c r="P10" s="267">
        <f>WACC!P14</f>
        <v>8.8700000000000001E-2</v>
      </c>
      <c r="Q10" s="267">
        <f>WACC!$P14</f>
        <v>8.8700000000000001E-2</v>
      </c>
      <c r="R10" s="267">
        <f>WACC!$P14</f>
        <v>8.8700000000000001E-2</v>
      </c>
      <c r="S10" s="267">
        <f>WACC!$P14</f>
        <v>8.8700000000000001E-2</v>
      </c>
      <c r="T10" s="267">
        <f>WACC!$P14</f>
        <v>8.8700000000000001E-2</v>
      </c>
      <c r="U10" s="267">
        <f>WACC!$P14</f>
        <v>8.8700000000000001E-2</v>
      </c>
      <c r="V10" s="267">
        <f>WACC!$P14</f>
        <v>8.8700000000000001E-2</v>
      </c>
      <c r="W10" s="267">
        <f>WACC!$P14</f>
        <v>8.8700000000000001E-2</v>
      </c>
      <c r="X10" s="267">
        <f>WACC!$P14</f>
        <v>8.8700000000000001E-2</v>
      </c>
      <c r="Y10" s="267">
        <f>WACC!$P14</f>
        <v>8.8700000000000001E-2</v>
      </c>
      <c r="Z10" s="267">
        <f>WACC!$P14</f>
        <v>8.8700000000000001E-2</v>
      </c>
      <c r="AA10" s="267">
        <f>WACC!$P14</f>
        <v>8.8700000000000001E-2</v>
      </c>
      <c r="AB10" s="267">
        <f>WACC!$P14</f>
        <v>8.8700000000000001E-2</v>
      </c>
      <c r="AC10" s="267">
        <f>WACC!$P14</f>
        <v>8.8700000000000001E-2</v>
      </c>
      <c r="AD10" s="267">
        <f>WACC!$P14</f>
        <v>8.8700000000000001E-2</v>
      </c>
      <c r="AE10" s="267">
        <f>WACC!$P14</f>
        <v>8.8700000000000001E-2</v>
      </c>
      <c r="AF10" s="267">
        <f>WACC!$P14</f>
        <v>8.8700000000000001E-2</v>
      </c>
      <c r="AG10" s="267">
        <f>WACC!$P14</f>
        <v>8.8700000000000001E-2</v>
      </c>
      <c r="AH10" s="267">
        <f>WACC!$P14</f>
        <v>8.8700000000000001E-2</v>
      </c>
      <c r="AI10" s="267">
        <f>WACC!$P14</f>
        <v>8.8700000000000001E-2</v>
      </c>
      <c r="AJ10" s="267">
        <f>WACC!$P14</f>
        <v>8.8700000000000001E-2</v>
      </c>
      <c r="AK10" s="267">
        <f>WACC!$P14</f>
        <v>8.8700000000000001E-2</v>
      </c>
      <c r="AL10" s="267">
        <f>WACC!$P14</f>
        <v>8.8700000000000001E-2</v>
      </c>
      <c r="AM10" s="267">
        <f>WACC!$P14</f>
        <v>8.8700000000000001E-2</v>
      </c>
      <c r="AN10" s="267">
        <f>WACC!$P14</f>
        <v>8.8700000000000001E-2</v>
      </c>
      <c r="AO10" s="267">
        <f>WACC!$P14</f>
        <v>8.8700000000000001E-2</v>
      </c>
      <c r="AP10" s="267">
        <f>WACC!$P14</f>
        <v>8.8700000000000001E-2</v>
      </c>
      <c r="AQ10" s="267">
        <f>WACC!$P14</f>
        <v>8.8700000000000001E-2</v>
      </c>
      <c r="AR10" s="267">
        <f>WACC!$P14</f>
        <v>8.8700000000000001E-2</v>
      </c>
      <c r="AS10" s="267">
        <f>WACC!$P14</f>
        <v>8.8700000000000001E-2</v>
      </c>
      <c r="AT10" s="267">
        <f>WACC!$P14</f>
        <v>8.8700000000000001E-2</v>
      </c>
      <c r="AU10" s="267">
        <f>WACC!$P14</f>
        <v>8.8700000000000001E-2</v>
      </c>
      <c r="AV10" s="267">
        <f>WACC!$P14</f>
        <v>8.8700000000000001E-2</v>
      </c>
      <c r="AW10" s="267">
        <f>WACC!$P14</f>
        <v>8.8700000000000001E-2</v>
      </c>
      <c r="AX10" s="267">
        <f>WACC!$P14</f>
        <v>8.8700000000000001E-2</v>
      </c>
      <c r="AY10" s="267">
        <f>WACC!$P14</f>
        <v>8.8700000000000001E-2</v>
      </c>
      <c r="AZ10" s="267">
        <f>WACC!$P14</f>
        <v>8.8700000000000001E-2</v>
      </c>
      <c r="BA10" s="267">
        <f>WACC!$P14</f>
        <v>8.8700000000000001E-2</v>
      </c>
      <c r="BB10" s="267">
        <f>WACC!$P14</f>
        <v>8.8700000000000001E-2</v>
      </c>
      <c r="BC10" s="267">
        <f>WACC!$P14</f>
        <v>8.8700000000000001E-2</v>
      </c>
      <c r="BD10" s="267">
        <f>WACC!$P14</f>
        <v>8.8700000000000001E-2</v>
      </c>
      <c r="BE10" s="267">
        <f>WACC!$P14</f>
        <v>8.8700000000000001E-2</v>
      </c>
      <c r="BF10" s="267">
        <f>WACC!$P14</f>
        <v>8.8700000000000001E-2</v>
      </c>
      <c r="BG10" s="267">
        <f>WACC!$P14</f>
        <v>8.8700000000000001E-2</v>
      </c>
      <c r="BH10" s="267">
        <f>WACC!$P14</f>
        <v>8.8700000000000001E-2</v>
      </c>
      <c r="BI10" s="267">
        <f>WACC!$P14</f>
        <v>8.8700000000000001E-2</v>
      </c>
      <c r="BJ10" s="47"/>
      <c r="BK10" s="47"/>
      <c r="BL10" s="47"/>
      <c r="BM10" s="47"/>
    </row>
    <row r="11" spans="1:65">
      <c r="A11" s="47"/>
      <c r="B11" s="43" t="s">
        <v>216</v>
      </c>
      <c r="C11" s="47"/>
      <c r="D11" s="47"/>
      <c r="E11" s="47"/>
      <c r="F11" s="268"/>
      <c r="G11" s="267">
        <f>WACC!G18</f>
        <v>9.7619999999999998E-2</v>
      </c>
      <c r="H11" s="267">
        <f>WACC!H18</f>
        <v>9.7619999999999998E-2</v>
      </c>
      <c r="I11" s="267">
        <f>WACC!I18</f>
        <v>9.7619999999999998E-2</v>
      </c>
      <c r="J11" s="267">
        <f>WACC!J18</f>
        <v>9.7619999999999998E-2</v>
      </c>
      <c r="K11" s="267">
        <f>WACC!K18</f>
        <v>9.7619999999999998E-2</v>
      </c>
      <c r="L11" s="267">
        <f>WACC!L18</f>
        <v>9.7619999999999998E-2</v>
      </c>
      <c r="M11" s="267">
        <f>WACC!M18</f>
        <v>9.7619999999999998E-2</v>
      </c>
      <c r="N11" s="267">
        <f>WACC!N18</f>
        <v>9.7619999999999998E-2</v>
      </c>
      <c r="O11" s="267">
        <f>WACC!O18</f>
        <v>9.7619999999999998E-2</v>
      </c>
      <c r="P11" s="267">
        <f>WACC!P18</f>
        <v>9.7619999999999998E-2</v>
      </c>
      <c r="Q11" s="267">
        <f>WACC!$P18</f>
        <v>9.7619999999999998E-2</v>
      </c>
      <c r="R11" s="267">
        <f>WACC!$P18</f>
        <v>9.7619999999999998E-2</v>
      </c>
      <c r="S11" s="267">
        <f>WACC!$P18</f>
        <v>9.7619999999999998E-2</v>
      </c>
      <c r="T11" s="267">
        <f>WACC!$P18</f>
        <v>9.7619999999999998E-2</v>
      </c>
      <c r="U11" s="267">
        <f>WACC!$P18</f>
        <v>9.7619999999999998E-2</v>
      </c>
      <c r="V11" s="267">
        <f>WACC!$P18</f>
        <v>9.7619999999999998E-2</v>
      </c>
      <c r="W11" s="267">
        <f>WACC!$P18</f>
        <v>9.7619999999999998E-2</v>
      </c>
      <c r="X11" s="267">
        <f>WACC!$P18</f>
        <v>9.7619999999999998E-2</v>
      </c>
      <c r="Y11" s="267">
        <f>WACC!$P18</f>
        <v>9.7619999999999998E-2</v>
      </c>
      <c r="Z11" s="267">
        <f>WACC!$P18</f>
        <v>9.7619999999999998E-2</v>
      </c>
      <c r="AA11" s="267">
        <f>WACC!$P18</f>
        <v>9.7619999999999998E-2</v>
      </c>
      <c r="AB11" s="267">
        <f>WACC!$P18</f>
        <v>9.7619999999999998E-2</v>
      </c>
      <c r="AC11" s="267">
        <f>WACC!$P18</f>
        <v>9.7619999999999998E-2</v>
      </c>
      <c r="AD11" s="267">
        <f>WACC!$P18</f>
        <v>9.7619999999999998E-2</v>
      </c>
      <c r="AE11" s="267">
        <f>WACC!$P18</f>
        <v>9.7619999999999998E-2</v>
      </c>
      <c r="AF11" s="267">
        <f>WACC!$P18</f>
        <v>9.7619999999999998E-2</v>
      </c>
      <c r="AG11" s="267">
        <f>WACC!$P18</f>
        <v>9.7619999999999998E-2</v>
      </c>
      <c r="AH11" s="267">
        <f>WACC!$P18</f>
        <v>9.7619999999999998E-2</v>
      </c>
      <c r="AI11" s="267">
        <f>WACC!$P18</f>
        <v>9.7619999999999998E-2</v>
      </c>
      <c r="AJ11" s="267">
        <f>WACC!$P18</f>
        <v>9.7619999999999998E-2</v>
      </c>
      <c r="AK11" s="267">
        <f>WACC!$P18</f>
        <v>9.7619999999999998E-2</v>
      </c>
      <c r="AL11" s="267">
        <f>WACC!$P18</f>
        <v>9.7619999999999998E-2</v>
      </c>
      <c r="AM11" s="267">
        <f>WACC!$P18</f>
        <v>9.7619999999999998E-2</v>
      </c>
      <c r="AN11" s="267">
        <f>WACC!$P18</f>
        <v>9.7619999999999998E-2</v>
      </c>
      <c r="AO11" s="267">
        <f>WACC!$P18</f>
        <v>9.7619999999999998E-2</v>
      </c>
      <c r="AP11" s="267">
        <f>WACC!$P18</f>
        <v>9.7619999999999998E-2</v>
      </c>
      <c r="AQ11" s="267">
        <f>WACC!$P18</f>
        <v>9.7619999999999998E-2</v>
      </c>
      <c r="AR11" s="267">
        <f>WACC!$P18</f>
        <v>9.7619999999999998E-2</v>
      </c>
      <c r="AS11" s="267">
        <f>WACC!$P18</f>
        <v>9.7619999999999998E-2</v>
      </c>
      <c r="AT11" s="267">
        <f>WACC!$P18</f>
        <v>9.7619999999999998E-2</v>
      </c>
      <c r="AU11" s="267">
        <f>WACC!$P18</f>
        <v>9.7619999999999998E-2</v>
      </c>
      <c r="AV11" s="267">
        <f>WACC!$P18</f>
        <v>9.7619999999999998E-2</v>
      </c>
      <c r="AW11" s="267">
        <f>WACC!$P18</f>
        <v>9.7619999999999998E-2</v>
      </c>
      <c r="AX11" s="267">
        <f>WACC!$P18</f>
        <v>9.7619999999999998E-2</v>
      </c>
      <c r="AY11" s="267">
        <f>WACC!$P18</f>
        <v>9.7619999999999998E-2</v>
      </c>
      <c r="AZ11" s="267">
        <f>WACC!$P18</f>
        <v>9.7619999999999998E-2</v>
      </c>
      <c r="BA11" s="267">
        <f>WACC!$P18</f>
        <v>9.7619999999999998E-2</v>
      </c>
      <c r="BB11" s="267">
        <f>WACC!$P18</f>
        <v>9.7619999999999998E-2</v>
      </c>
      <c r="BC11" s="267">
        <f>WACC!$P18</f>
        <v>9.7619999999999998E-2</v>
      </c>
      <c r="BD11" s="267">
        <f>WACC!$P18</f>
        <v>9.7619999999999998E-2</v>
      </c>
      <c r="BE11" s="267">
        <f>WACC!$P18</f>
        <v>9.7619999999999998E-2</v>
      </c>
      <c r="BF11" s="267">
        <f>WACC!$P18</f>
        <v>9.7619999999999998E-2</v>
      </c>
      <c r="BG11" s="267">
        <f>WACC!$P18</f>
        <v>9.7619999999999998E-2</v>
      </c>
      <c r="BH11" s="267">
        <f>WACC!$P18</f>
        <v>9.7619999999999998E-2</v>
      </c>
      <c r="BI11" s="267">
        <f>WACC!$P18</f>
        <v>9.7619999999999998E-2</v>
      </c>
      <c r="BJ11" s="47"/>
      <c r="BK11" s="47"/>
      <c r="BL11" s="47"/>
      <c r="BM11" s="47"/>
    </row>
    <row r="12" spans="1:65">
      <c r="A12" s="47"/>
      <c r="B12" s="87" t="s">
        <v>217</v>
      </c>
      <c r="C12" s="47"/>
      <c r="D12" s="47"/>
      <c r="E12" s="47"/>
      <c r="F12" s="71">
        <v>1</v>
      </c>
      <c r="G12" s="71">
        <f>F12*(1+G11)</f>
        <v>1.09762</v>
      </c>
      <c r="H12" s="71">
        <f t="shared" ref="H12:Q12" si="6">G12*(1+H11)</f>
        <v>1.2047696644000001</v>
      </c>
      <c r="I12" s="71">
        <f t="shared" si="6"/>
        <v>1.3223792790387281</v>
      </c>
      <c r="J12" s="71">
        <f t="shared" si="6"/>
        <v>1.4514699442584889</v>
      </c>
      <c r="K12" s="71">
        <f t="shared" si="6"/>
        <v>1.5931624402170026</v>
      </c>
      <c r="L12" s="71">
        <f t="shared" si="6"/>
        <v>1.7486869576309865</v>
      </c>
      <c r="M12" s="71">
        <f t="shared" si="6"/>
        <v>1.9193937784349235</v>
      </c>
      <c r="N12" s="71">
        <f t="shared" si="6"/>
        <v>2.1067649990857409</v>
      </c>
      <c r="O12" s="71">
        <f t="shared" si="6"/>
        <v>2.3124273982964909</v>
      </c>
      <c r="P12" s="71">
        <f t="shared" si="6"/>
        <v>2.5381665609181945</v>
      </c>
      <c r="Q12" s="71">
        <f t="shared" si="6"/>
        <v>2.7859423805950287</v>
      </c>
      <c r="R12" s="71">
        <f t="shared" ref="R12:BI12" si="7">Q12*(1+R11)</f>
        <v>3.0579060757887158</v>
      </c>
      <c r="S12" s="71">
        <f t="shared" si="7"/>
        <v>3.3564188669072101</v>
      </c>
      <c r="T12" s="71">
        <f t="shared" si="7"/>
        <v>3.6840724766946922</v>
      </c>
      <c r="U12" s="71">
        <f t="shared" si="7"/>
        <v>4.0437116318696278</v>
      </c>
      <c r="V12" s="71">
        <f t="shared" si="7"/>
        <v>4.4384587613727406</v>
      </c>
      <c r="W12" s="71">
        <f t="shared" si="7"/>
        <v>4.8717411056579474</v>
      </c>
      <c r="X12" s="71">
        <f t="shared" si="7"/>
        <v>5.3473204723922763</v>
      </c>
      <c r="Y12" s="71">
        <f t="shared" si="7"/>
        <v>5.8693258969072106</v>
      </c>
      <c r="Z12" s="71">
        <f t="shared" si="7"/>
        <v>6.4422894909632928</v>
      </c>
      <c r="AA12" s="71">
        <f t="shared" si="7"/>
        <v>7.0711857910711293</v>
      </c>
      <c r="AB12" s="71">
        <f t="shared" si="7"/>
        <v>7.7614749479954934</v>
      </c>
      <c r="AC12" s="71">
        <f t="shared" si="7"/>
        <v>8.5191501324188135</v>
      </c>
      <c r="AD12" s="71">
        <f t="shared" si="7"/>
        <v>9.3507895683455384</v>
      </c>
      <c r="AE12" s="71">
        <f t="shared" si="7"/>
        <v>10.26361364600743</v>
      </c>
      <c r="AF12" s="71">
        <f t="shared" si="7"/>
        <v>11.265547610130676</v>
      </c>
      <c r="AG12" s="71">
        <f t="shared" si="7"/>
        <v>12.365290367831633</v>
      </c>
      <c r="AH12" s="71">
        <f t="shared" si="7"/>
        <v>13.572390013539358</v>
      </c>
      <c r="AI12" s="71">
        <f t="shared" si="7"/>
        <v>14.89732672666107</v>
      </c>
      <c r="AJ12" s="71">
        <f t="shared" si="7"/>
        <v>16.351603761717726</v>
      </c>
      <c r="AK12" s="71">
        <f t="shared" si="7"/>
        <v>17.94784732093661</v>
      </c>
      <c r="AL12" s="71">
        <f t="shared" si="7"/>
        <v>19.699916176406443</v>
      </c>
      <c r="AM12" s="71">
        <f t="shared" si="7"/>
        <v>21.623021993547241</v>
      </c>
      <c r="AN12" s="71">
        <f t="shared" si="7"/>
        <v>23.733861400557323</v>
      </c>
      <c r="AO12" s="71">
        <f t="shared" si="7"/>
        <v>26.050760950479731</v>
      </c>
      <c r="AP12" s="71">
        <f t="shared" si="7"/>
        <v>28.593836234465563</v>
      </c>
      <c r="AQ12" s="71">
        <f t="shared" si="7"/>
        <v>31.385166527674091</v>
      </c>
      <c r="AR12" s="71">
        <f t="shared" si="7"/>
        <v>34.448986484105639</v>
      </c>
      <c r="AS12" s="71">
        <f t="shared" si="7"/>
        <v>37.811896544684032</v>
      </c>
      <c r="AT12" s="71">
        <f t="shared" si="7"/>
        <v>41.503093885376089</v>
      </c>
      <c r="AU12" s="71">
        <f t="shared" si="7"/>
        <v>45.554625910466505</v>
      </c>
      <c r="AV12" s="71">
        <f t="shared" si="7"/>
        <v>50.001668491846246</v>
      </c>
      <c r="AW12" s="71">
        <f t="shared" si="7"/>
        <v>54.882831370020277</v>
      </c>
      <c r="AX12" s="71">
        <f t="shared" si="7"/>
        <v>60.240493368361662</v>
      </c>
      <c r="AY12" s="71">
        <f t="shared" si="7"/>
        <v>66.12117033098113</v>
      </c>
      <c r="AZ12" s="71">
        <f t="shared" si="7"/>
        <v>72.575918978691504</v>
      </c>
      <c r="BA12" s="71">
        <f t="shared" si="7"/>
        <v>79.660780189391375</v>
      </c>
      <c r="BB12" s="71">
        <f t="shared" si="7"/>
        <v>87.437265551479769</v>
      </c>
      <c r="BC12" s="71">
        <f t="shared" si="7"/>
        <v>95.972891414615233</v>
      </c>
      <c r="BD12" s="71">
        <f t="shared" si="7"/>
        <v>105.34176507450998</v>
      </c>
      <c r="BE12" s="71">
        <f t="shared" si="7"/>
        <v>115.62522818108364</v>
      </c>
      <c r="BF12" s="71">
        <f t="shared" si="7"/>
        <v>126.91256295612104</v>
      </c>
      <c r="BG12" s="71">
        <f t="shared" si="7"/>
        <v>139.30176735189758</v>
      </c>
      <c r="BH12" s="71">
        <f t="shared" si="7"/>
        <v>152.90040588078983</v>
      </c>
      <c r="BI12" s="71">
        <f t="shared" si="7"/>
        <v>167.82654350287254</v>
      </c>
      <c r="BJ12" s="47"/>
      <c r="BK12" s="47"/>
      <c r="BL12" s="47"/>
      <c r="BM12" s="47"/>
    </row>
    <row r="13" spans="1:65">
      <c r="A13" s="47"/>
      <c r="B13" s="87" t="s">
        <v>218</v>
      </c>
      <c r="C13" s="47"/>
      <c r="D13" s="47"/>
      <c r="E13" s="47"/>
      <c r="F13" s="71">
        <f>1/F12</f>
        <v>1</v>
      </c>
      <c r="G13" s="1405">
        <f t="shared" ref="G13:Q13" si="8">1/G12</f>
        <v>0.91106211621508348</v>
      </c>
      <c r="H13" s="1405">
        <f>1/H12</f>
        <v>0.8300341796023063</v>
      </c>
      <c r="I13" s="1405">
        <f t="shared" si="8"/>
        <v>0.75621269619932796</v>
      </c>
      <c r="J13" s="1405">
        <f t="shared" si="8"/>
        <v>0.68895673930807377</v>
      </c>
      <c r="K13" s="1405">
        <f t="shared" si="8"/>
        <v>0.62768238489465722</v>
      </c>
      <c r="L13" s="1405">
        <f t="shared" si="8"/>
        <v>0.57185764189305699</v>
      </c>
      <c r="M13" s="1405">
        <f t="shared" si="8"/>
        <v>0.5209978333968559</v>
      </c>
      <c r="N13" s="1405">
        <f t="shared" si="8"/>
        <v>0.47466138863801299</v>
      </c>
      <c r="O13" s="1405">
        <f t="shared" si="8"/>
        <v>0.43244600921813836</v>
      </c>
      <c r="P13" s="1405">
        <f t="shared" si="8"/>
        <v>0.39398517630704466</v>
      </c>
      <c r="Q13" s="1405">
        <f t="shared" si="8"/>
        <v>0.35894496848366886</v>
      </c>
      <c r="R13" s="1405">
        <f t="shared" ref="R13:BI13" si="9">1/R12</f>
        <v>0.32702116259148778</v>
      </c>
      <c r="S13" s="1405">
        <f t="shared" si="9"/>
        <v>0.29793659243771781</v>
      </c>
      <c r="T13" s="1405">
        <f t="shared" si="9"/>
        <v>0.271438742404218</v>
      </c>
      <c r="U13" s="1405">
        <f t="shared" si="9"/>
        <v>0.2472975550775478</v>
      </c>
      <c r="V13" s="1405">
        <f t="shared" si="9"/>
        <v>0.22530343386376689</v>
      </c>
      <c r="W13" s="1405">
        <f t="shared" si="9"/>
        <v>0.20526542324644859</v>
      </c>
      <c r="X13" s="1405">
        <f t="shared" si="9"/>
        <v>0.18700955088869425</v>
      </c>
      <c r="Y13" s="1405">
        <f t="shared" si="9"/>
        <v>0.17037731718508614</v>
      </c>
      <c r="Z13" s="1405">
        <f t="shared" si="9"/>
        <v>0.15522431914969309</v>
      </c>
      <c r="AA13" s="1405">
        <f t="shared" si="9"/>
        <v>0.14141899669256491</v>
      </c>
      <c r="AB13" s="1405">
        <f t="shared" si="9"/>
        <v>0.12884149039974208</v>
      </c>
      <c r="AC13" s="1405">
        <f t="shared" si="9"/>
        <v>0.11738260089989438</v>
      </c>
      <c r="AD13" s="1405">
        <f t="shared" si="9"/>
        <v>0.10694284078268834</v>
      </c>
      <c r="AE13" s="1405">
        <f t="shared" si="9"/>
        <v>9.7431570837528778E-2</v>
      </c>
      <c r="AF13" s="1405">
        <f t="shared" si="9"/>
        <v>8.8766213113398787E-2</v>
      </c>
      <c r="AG13" s="1405">
        <f t="shared" si="9"/>
        <v>8.0871533967492193E-2</v>
      </c>
      <c r="AH13" s="1405">
        <f t="shared" si="9"/>
        <v>7.367899087798345E-2</v>
      </c>
      <c r="AI13" s="1405">
        <f t="shared" si="9"/>
        <v>6.7126137349887441E-2</v>
      </c>
      <c r="AJ13" s="1405">
        <f t="shared" si="9"/>
        <v>6.1156080747332801E-2</v>
      </c>
      <c r="AK13" s="1405">
        <f t="shared" si="9"/>
        <v>5.5716988345085552E-2</v>
      </c>
      <c r="AL13" s="1405">
        <f t="shared" si="9"/>
        <v>5.0761637310804783E-2</v>
      </c>
      <c r="AM13" s="1405">
        <f t="shared" si="9"/>
        <v>4.6247004710924348E-2</v>
      </c>
      <c r="AN13" s="1405">
        <f t="shared" si="9"/>
        <v>4.2133893980543673E-2</v>
      </c>
      <c r="AO13" s="1405">
        <f t="shared" si="9"/>
        <v>3.8386594614296082E-2</v>
      </c>
      <c r="AP13" s="1405">
        <f t="shared" si="9"/>
        <v>3.4972572123591117E-2</v>
      </c>
      <c r="AQ13" s="1405">
        <f t="shared" si="9"/>
        <v>3.1862185568403562E-2</v>
      </c>
      <c r="AR13" s="1405">
        <f t="shared" si="9"/>
        <v>2.9028430211187443E-2</v>
      </c>
      <c r="AS13" s="1405">
        <f t="shared" si="9"/>
        <v>2.6446703058606295E-2</v>
      </c>
      <c r="AT13" s="1405">
        <f t="shared" si="9"/>
        <v>2.4094589255485774E-2</v>
      </c>
      <c r="AU13" s="1405">
        <f t="shared" si="9"/>
        <v>2.1951667476436083E-2</v>
      </c>
      <c r="AV13" s="1405">
        <f t="shared" si="9"/>
        <v>1.999933262553168E-2</v>
      </c>
      <c r="AW13" s="1405">
        <f t="shared" si="9"/>
        <v>1.8220634304706253E-2</v>
      </c>
      <c r="AX13" s="1405">
        <f t="shared" si="9"/>
        <v>1.6600129648426824E-2</v>
      </c>
      <c r="AY13" s="1405">
        <f t="shared" si="9"/>
        <v>1.5123749246940495E-2</v>
      </c>
      <c r="AZ13" s="1405">
        <f t="shared" si="9"/>
        <v>1.3778674994023883E-2</v>
      </c>
      <c r="BA13" s="1405">
        <f t="shared" si="9"/>
        <v>1.2553228798695252E-2</v>
      </c>
      <c r="BB13" s="1405">
        <f t="shared" si="9"/>
        <v>1.1436771194671427E-2</v>
      </c>
      <c r="BC13" s="1405">
        <f t="shared" si="9"/>
        <v>1.0419608967285058E-2</v>
      </c>
      <c r="BD13" s="1405">
        <f t="shared" si="9"/>
        <v>9.4929109958683845E-3</v>
      </c>
      <c r="BE13" s="1405">
        <f t="shared" si="9"/>
        <v>8.6486315809372865E-3</v>
      </c>
      <c r="BF13" s="1405">
        <f t="shared" si="9"/>
        <v>7.8794405904933276E-3</v>
      </c>
      <c r="BG13" s="1405">
        <f t="shared" si="9"/>
        <v>7.1786598189658782E-3</v>
      </c>
      <c r="BH13" s="1405">
        <f t="shared" si="9"/>
        <v>6.5402050062552414E-3</v>
      </c>
      <c r="BI13" s="1405">
        <f t="shared" si="9"/>
        <v>5.9585330134793836E-3</v>
      </c>
      <c r="BJ13" s="1427"/>
      <c r="BK13" s="47"/>
      <c r="BL13" s="47"/>
      <c r="BM13" s="47"/>
    </row>
    <row r="14" spans="1:65">
      <c r="A14" s="47"/>
      <c r="B14" s="47"/>
      <c r="C14" s="47"/>
      <c r="D14" s="47"/>
      <c r="E14" s="47"/>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47"/>
      <c r="BK14" s="47"/>
      <c r="BL14" s="47"/>
      <c r="BM14" s="47"/>
    </row>
    <row r="15" spans="1:65">
      <c r="A15" s="140"/>
      <c r="B15" s="140" t="s">
        <v>219</v>
      </c>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47"/>
      <c r="BL15" s="47"/>
      <c r="BM15" s="47"/>
    </row>
    <row r="16" spans="1:65">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row>
    <row r="17" spans="1:65">
      <c r="A17" s="47"/>
      <c r="B17" s="47" t="s">
        <v>35</v>
      </c>
      <c r="C17" s="47"/>
      <c r="D17" s="47" t="s">
        <v>121</v>
      </c>
      <c r="E17" s="47"/>
      <c r="F17" s="665"/>
      <c r="G17" s="1439">
        <f>Assets!F474</f>
        <v>34.786526826130789</v>
      </c>
      <c r="H17" s="1439">
        <f>Assets!G474</f>
        <v>35.511586810936471</v>
      </c>
      <c r="I17" s="665">
        <f>Assets!H474</f>
        <v>36.533793714142057</v>
      </c>
      <c r="J17" s="1439">
        <f>Assets!I474</f>
        <v>37.482717222198772</v>
      </c>
      <c r="K17" s="665">
        <f>Assets!J474</f>
        <v>37.781965376404031</v>
      </c>
      <c r="L17" s="1493">
        <f>Assets!K474</f>
        <v>38.762755172903731</v>
      </c>
      <c r="M17" s="665">
        <f>Assets!L474</f>
        <v>36.134089596643705</v>
      </c>
      <c r="N17" s="665">
        <f>Assets!M474</f>
        <v>33.348323375295173</v>
      </c>
      <c r="O17" s="665">
        <f>Assets!N474</f>
        <v>32.347853899512252</v>
      </c>
      <c r="P17" s="665">
        <f>Assets!O474</f>
        <v>31.275783242873622</v>
      </c>
      <c r="Q17" s="665">
        <f>Assets!P474</f>
        <v>30.129138044000058</v>
      </c>
      <c r="R17" s="665">
        <f>Assets!Q474</f>
        <v>28.904840553712713</v>
      </c>
      <c r="S17" s="665">
        <f>Assets!R474</f>
        <v>27.599705262091422</v>
      </c>
      <c r="T17" s="665">
        <f>Assets!S474</f>
        <v>26.210435421827189</v>
      </c>
      <c r="U17" s="665">
        <f>Assets!T474</f>
        <v>24.733619464783999</v>
      </c>
      <c r="V17" s="665">
        <f>Assets!U474</f>
        <v>23.165727308595557</v>
      </c>
      <c r="W17" s="665">
        <f>Assets!V474</f>
        <v>21.503106550030299</v>
      </c>
      <c r="X17" s="665">
        <f>Assets!W474</f>
        <v>19.741978541763306</v>
      </c>
      <c r="Y17" s="665">
        <f>Assets!X474</f>
        <v>17.878434349096125</v>
      </c>
      <c r="Z17" s="665">
        <f>Assets!Y474</f>
        <v>15.908430583065353</v>
      </c>
      <c r="AA17" s="665">
        <f>Assets!Z474</f>
        <v>13.827785106277583</v>
      </c>
      <c r="AB17" s="665">
        <f>Assets!AA474</f>
        <v>11.632172607702241</v>
      </c>
      <c r="AC17" s="665">
        <f>Assets!AB474</f>
        <v>9.3171200425448113</v>
      </c>
      <c r="AD17" s="665">
        <f>Assets!AC474</f>
        <v>6.8780019332106521</v>
      </c>
      <c r="AE17" s="665">
        <f>Assets!AD474</f>
        <v>6.1714946328086899</v>
      </c>
      <c r="AF17" s="665">
        <f>Assets!AE474</f>
        <v>5.4287835014684092</v>
      </c>
      <c r="AG17" s="665">
        <f>Assets!AF474</f>
        <v>4.6447205831569605</v>
      </c>
      <c r="AH17" s="665">
        <f>Assets!AG474</f>
        <v>3.8176933990878412</v>
      </c>
      <c r="AI17" s="665">
        <f>Assets!AH474</f>
        <v>2.9460344615825109</v>
      </c>
      <c r="AJ17" s="665">
        <f>Assets!AI474</f>
        <v>2.0280195256107554</v>
      </c>
      <c r="AK17" s="665">
        <f>Assets!AJ474</f>
        <v>1.2483933342453903</v>
      </c>
      <c r="AL17" s="665">
        <f>Assets!AK474</f>
        <v>0.64702197558723351</v>
      </c>
      <c r="AM17" s="665">
        <f>Assets!AL474</f>
        <v>0.23939622744368536</v>
      </c>
      <c r="AN17" s="665">
        <f>Assets!AM474</f>
        <v>1.7258032680579076E-14</v>
      </c>
      <c r="AO17" s="665">
        <f>Assets!AN474</f>
        <v>2.1833146609300776E-14</v>
      </c>
      <c r="AP17" s="665">
        <f>Assets!AO474</f>
        <v>2.2383341903855153E-14</v>
      </c>
      <c r="AQ17" s="665">
        <f>Assets!AP474</f>
        <v>2.2947402119832298E-14</v>
      </c>
      <c r="AR17" s="665">
        <f>Assets!AQ474</f>
        <v>2.3525676653252069E-14</v>
      </c>
      <c r="AS17" s="665">
        <f>Assets!AR474</f>
        <v>2.411852370491402E-14</v>
      </c>
      <c r="AT17" s="665">
        <f>Assets!AS474</f>
        <v>2.4726310502277852E-14</v>
      </c>
      <c r="AU17" s="665">
        <f>Assets!AT474</f>
        <v>2.5349413526935251E-14</v>
      </c>
      <c r="AV17" s="665">
        <f>Assets!AU474</f>
        <v>2.5988218747814018E-14</v>
      </c>
      <c r="AW17" s="665">
        <f>Assets!AV474</f>
        <v>2.664312186025893E-14</v>
      </c>
      <c r="AX17" s="665">
        <f>Assets!AW474</f>
        <v>2.7314528531137449E-14</v>
      </c>
      <c r="AY17" s="665">
        <f>Assets!AX474</f>
        <v>2.8002854650122109E-14</v>
      </c>
      <c r="AZ17" s="665">
        <f>Assets!AY474</f>
        <v>2.8708526587305188E-14</v>
      </c>
      <c r="BA17" s="665">
        <f>Assets!AZ474</f>
        <v>2.943198145730527E-14</v>
      </c>
      <c r="BB17" s="665">
        <f>Assets!BA474</f>
        <v>3.0173667390029361E-14</v>
      </c>
      <c r="BC17" s="665">
        <f>Assets!BB474</f>
        <v>3.0934043808258097E-14</v>
      </c>
      <c r="BD17" s="665">
        <f>Assets!BC474</f>
        <v>3.1713581712226196E-14</v>
      </c>
      <c r="BE17" s="665">
        <f>Assets!BD474</f>
        <v>3.2512763971374295E-14</v>
      </c>
      <c r="BF17" s="665">
        <f>Assets!BE474</f>
        <v>3.3332085623452922E-14</v>
      </c>
      <c r="BG17" s="665">
        <f>Assets!BF474</f>
        <v>3.417205418116393E-14</v>
      </c>
      <c r="BH17" s="665">
        <f>Assets!BG474</f>
        <v>3.5033189946529257E-14</v>
      </c>
      <c r="BI17" s="665">
        <f>Assets!BH474</f>
        <v>3.5916026333181792E-14</v>
      </c>
      <c r="BJ17" s="47"/>
      <c r="BK17" s="47"/>
      <c r="BL17" s="47"/>
      <c r="BM17" s="47"/>
    </row>
    <row r="18" spans="1:65">
      <c r="A18" s="47"/>
      <c r="B18" s="47" t="s">
        <v>18</v>
      </c>
      <c r="C18" s="48"/>
      <c r="D18" s="1457">
        <f>WACC!G8</f>
        <v>0.4</v>
      </c>
      <c r="E18" s="47"/>
      <c r="F18" s="666"/>
      <c r="G18" s="667">
        <f>$D18*G$17</f>
        <v>13.914610730452317</v>
      </c>
      <c r="H18" s="667">
        <f t="shared" ref="H18:W19" si="10">$D18*H$17</f>
        <v>14.204634724374589</v>
      </c>
      <c r="I18" s="667">
        <f>$D18*I$17</f>
        <v>14.613517485656823</v>
      </c>
      <c r="J18" s="667">
        <f t="shared" si="10"/>
        <v>14.99308688887951</v>
      </c>
      <c r="K18" s="667">
        <f t="shared" si="10"/>
        <v>15.112786150561613</v>
      </c>
      <c r="L18" s="667">
        <f t="shared" si="10"/>
        <v>15.505102069161493</v>
      </c>
      <c r="M18" s="667">
        <f t="shared" si="10"/>
        <v>14.453635838657483</v>
      </c>
      <c r="N18" s="667">
        <f t="shared" si="10"/>
        <v>13.339329350118071</v>
      </c>
      <c r="O18" s="667">
        <f t="shared" si="10"/>
        <v>12.939141559804902</v>
      </c>
      <c r="P18" s="667">
        <f t="shared" si="10"/>
        <v>12.51031329714945</v>
      </c>
      <c r="Q18" s="667">
        <f t="shared" si="10"/>
        <v>12.051655217600024</v>
      </c>
      <c r="R18" s="667">
        <f t="shared" si="10"/>
        <v>11.561936221485086</v>
      </c>
      <c r="S18" s="667">
        <f t="shared" si="10"/>
        <v>11.03988210483657</v>
      </c>
      <c r="T18" s="667">
        <f t="shared" si="10"/>
        <v>10.484174168730876</v>
      </c>
      <c r="U18" s="667">
        <f t="shared" si="10"/>
        <v>9.893447785913601</v>
      </c>
      <c r="V18" s="667">
        <f t="shared" si="10"/>
        <v>9.2662909234382234</v>
      </c>
      <c r="W18" s="667">
        <f t="shared" si="10"/>
        <v>8.6012426200121208</v>
      </c>
      <c r="X18" s="667">
        <f t="shared" ref="S18:AP19" si="11">$D18*X$17</f>
        <v>7.896791416705323</v>
      </c>
      <c r="Y18" s="667">
        <f t="shared" si="11"/>
        <v>7.1513737396384505</v>
      </c>
      <c r="Z18" s="667">
        <f t="shared" si="11"/>
        <v>6.3633722332261415</v>
      </c>
      <c r="AA18" s="667">
        <f t="shared" si="11"/>
        <v>5.5311140425110334</v>
      </c>
      <c r="AB18" s="667">
        <f t="shared" si="11"/>
        <v>4.652869043080897</v>
      </c>
      <c r="AC18" s="667">
        <f t="shared" si="11"/>
        <v>3.7268480170179248</v>
      </c>
      <c r="AD18" s="667">
        <f t="shared" si="11"/>
        <v>2.7512007732842609</v>
      </c>
      <c r="AE18" s="667">
        <f t="shared" si="11"/>
        <v>2.4685978531234762</v>
      </c>
      <c r="AF18" s="667">
        <f t="shared" si="11"/>
        <v>2.1715134005873638</v>
      </c>
      <c r="AG18" s="667">
        <f t="shared" si="11"/>
        <v>1.8578882332627842</v>
      </c>
      <c r="AH18" s="667">
        <f t="shared" si="11"/>
        <v>1.5270773596351366</v>
      </c>
      <c r="AI18" s="667">
        <f t="shared" si="11"/>
        <v>1.1784137846330045</v>
      </c>
      <c r="AJ18" s="667">
        <f t="shared" si="11"/>
        <v>0.81120781024430222</v>
      </c>
      <c r="AK18" s="667">
        <f t="shared" si="11"/>
        <v>0.49935733369815616</v>
      </c>
      <c r="AL18" s="667">
        <f t="shared" si="11"/>
        <v>0.25880879023489339</v>
      </c>
      <c r="AM18" s="667">
        <f t="shared" si="11"/>
        <v>9.5758490977474145E-2</v>
      </c>
      <c r="AN18" s="667">
        <f t="shared" si="11"/>
        <v>6.9032130722316306E-15</v>
      </c>
      <c r="AO18" s="667">
        <f t="shared" si="11"/>
        <v>8.7332586437203103E-15</v>
      </c>
      <c r="AP18" s="667">
        <f t="shared" si="11"/>
        <v>8.9533367615420616E-15</v>
      </c>
      <c r="AQ18" s="667">
        <f t="shared" ref="AQ18:BF19" si="12">$D18*AQ$17</f>
        <v>9.1789608479329204E-15</v>
      </c>
      <c r="AR18" s="667">
        <f t="shared" si="12"/>
        <v>9.4102706613008281E-15</v>
      </c>
      <c r="AS18" s="667">
        <f t="shared" si="12"/>
        <v>9.6474094819656091E-15</v>
      </c>
      <c r="AT18" s="667">
        <f t="shared" si="12"/>
        <v>9.8905242009111419E-15</v>
      </c>
      <c r="AU18" s="667">
        <f t="shared" si="12"/>
        <v>1.0139765410774101E-14</v>
      </c>
      <c r="AV18" s="667">
        <f t="shared" si="12"/>
        <v>1.0395287499125607E-14</v>
      </c>
      <c r="AW18" s="667">
        <f t="shared" si="12"/>
        <v>1.0657248744103573E-14</v>
      </c>
      <c r="AX18" s="667">
        <f t="shared" si="12"/>
        <v>1.092581141245498E-14</v>
      </c>
      <c r="AY18" s="667">
        <f t="shared" si="12"/>
        <v>1.1201141860048845E-14</v>
      </c>
      <c r="AZ18" s="667">
        <f t="shared" si="12"/>
        <v>1.1483410634922076E-14</v>
      </c>
      <c r="BA18" s="667">
        <f t="shared" si="12"/>
        <v>1.1772792582922109E-14</v>
      </c>
      <c r="BB18" s="667">
        <f t="shared" si="12"/>
        <v>1.2069466956011745E-14</v>
      </c>
      <c r="BC18" s="667">
        <f t="shared" si="12"/>
        <v>1.2373617523303239E-14</v>
      </c>
      <c r="BD18" s="667">
        <f t="shared" si="12"/>
        <v>1.268543268489048E-14</v>
      </c>
      <c r="BE18" s="667">
        <f t="shared" si="12"/>
        <v>1.3005105588549719E-14</v>
      </c>
      <c r="BF18" s="667">
        <f t="shared" si="12"/>
        <v>1.333283424938117E-14</v>
      </c>
      <c r="BG18" s="667">
        <f t="shared" ref="BG18:BI19" si="13">$D18*BG$17</f>
        <v>1.3668821672465573E-14</v>
      </c>
      <c r="BH18" s="667">
        <f t="shared" si="13"/>
        <v>1.4013275978611703E-14</v>
      </c>
      <c r="BI18" s="667">
        <f t="shared" si="13"/>
        <v>1.4366410533272716E-14</v>
      </c>
      <c r="BJ18" s="47"/>
      <c r="BK18" s="47"/>
      <c r="BL18" s="47"/>
      <c r="BM18" s="47"/>
    </row>
    <row r="19" spans="1:65">
      <c r="A19" s="47"/>
      <c r="B19" s="47" t="s">
        <v>19</v>
      </c>
      <c r="C19" s="48"/>
      <c r="D19" s="144">
        <f>WACC!G9</f>
        <v>0.6</v>
      </c>
      <c r="E19" s="47"/>
      <c r="F19" s="668"/>
      <c r="G19" s="1433">
        <f>$D19*G$17</f>
        <v>20.871916095678472</v>
      </c>
      <c r="H19" s="1433">
        <f t="shared" si="10"/>
        <v>21.306952086561882</v>
      </c>
      <c r="I19" s="669">
        <f t="shared" si="10"/>
        <v>21.920276228485232</v>
      </c>
      <c r="J19" s="669">
        <f t="shared" si="10"/>
        <v>22.489630333319262</v>
      </c>
      <c r="K19" s="669">
        <f t="shared" si="10"/>
        <v>22.669179225842417</v>
      </c>
      <c r="L19" s="669">
        <f t="shared" si="10"/>
        <v>23.257653103742239</v>
      </c>
      <c r="M19" s="669">
        <f t="shared" si="10"/>
        <v>21.680453757986221</v>
      </c>
      <c r="N19" s="669">
        <f t="shared" si="10"/>
        <v>20.008994025177103</v>
      </c>
      <c r="O19" s="669">
        <f t="shared" si="10"/>
        <v>19.40871233970735</v>
      </c>
      <c r="P19" s="669">
        <f t="shared" si="10"/>
        <v>18.765469945724174</v>
      </c>
      <c r="Q19" s="669">
        <f t="shared" si="10"/>
        <v>18.077482826400033</v>
      </c>
      <c r="R19" s="669">
        <f t="shared" si="10"/>
        <v>17.342904332227626</v>
      </c>
      <c r="S19" s="669">
        <f t="shared" si="11"/>
        <v>16.559823157254854</v>
      </c>
      <c r="T19" s="669">
        <f t="shared" si="11"/>
        <v>15.726261253096313</v>
      </c>
      <c r="U19" s="669">
        <f t="shared" si="11"/>
        <v>14.840171678870398</v>
      </c>
      <c r="V19" s="669">
        <f t="shared" si="11"/>
        <v>13.899436385157333</v>
      </c>
      <c r="W19" s="669">
        <f t="shared" si="11"/>
        <v>12.901863930018179</v>
      </c>
      <c r="X19" s="669">
        <f t="shared" si="11"/>
        <v>11.845187125057983</v>
      </c>
      <c r="Y19" s="669">
        <f t="shared" si="11"/>
        <v>10.727060609457675</v>
      </c>
      <c r="Z19" s="669">
        <f t="shared" si="11"/>
        <v>9.545058349839211</v>
      </c>
      <c r="AA19" s="669">
        <f t="shared" si="11"/>
        <v>8.2966710637665493</v>
      </c>
      <c r="AB19" s="669">
        <f t="shared" si="11"/>
        <v>6.9793035646213442</v>
      </c>
      <c r="AC19" s="669">
        <f t="shared" si="11"/>
        <v>5.590272025526887</v>
      </c>
      <c r="AD19" s="669">
        <f t="shared" si="11"/>
        <v>4.1268011599263907</v>
      </c>
      <c r="AE19" s="669">
        <f t="shared" si="11"/>
        <v>3.7028967796852137</v>
      </c>
      <c r="AF19" s="669">
        <f t="shared" si="11"/>
        <v>3.2572701008810454</v>
      </c>
      <c r="AG19" s="669">
        <f t="shared" si="11"/>
        <v>2.7868323498941763</v>
      </c>
      <c r="AH19" s="669">
        <f t="shared" si="11"/>
        <v>2.2906160394527046</v>
      </c>
      <c r="AI19" s="669">
        <f t="shared" si="11"/>
        <v>1.7676206769495064</v>
      </c>
      <c r="AJ19" s="669">
        <f t="shared" si="11"/>
        <v>1.2168117153664533</v>
      </c>
      <c r="AK19" s="669">
        <f t="shared" si="11"/>
        <v>0.74903600054723418</v>
      </c>
      <c r="AL19" s="669">
        <f t="shared" si="11"/>
        <v>0.38821318535234012</v>
      </c>
      <c r="AM19" s="669">
        <f t="shared" si="11"/>
        <v>0.1436377364662112</v>
      </c>
      <c r="AN19" s="669">
        <f t="shared" si="11"/>
        <v>1.0354819608347445E-14</v>
      </c>
      <c r="AO19" s="669">
        <f t="shared" si="11"/>
        <v>1.3099887965580465E-14</v>
      </c>
      <c r="AP19" s="669">
        <f t="shared" si="11"/>
        <v>1.3430005142313092E-14</v>
      </c>
      <c r="AQ19" s="669">
        <f t="shared" si="12"/>
        <v>1.3768441271899377E-14</v>
      </c>
      <c r="AR19" s="669">
        <f t="shared" si="12"/>
        <v>1.4115405991951241E-14</v>
      </c>
      <c r="AS19" s="669">
        <f t="shared" si="12"/>
        <v>1.447111422294841E-14</v>
      </c>
      <c r="AT19" s="669">
        <f t="shared" si="12"/>
        <v>1.4835786301366712E-14</v>
      </c>
      <c r="AU19" s="669">
        <f t="shared" si="12"/>
        <v>1.520964811616115E-14</v>
      </c>
      <c r="AV19" s="669">
        <f t="shared" si="12"/>
        <v>1.5592931248688409E-14</v>
      </c>
      <c r="AW19" s="669">
        <f t="shared" si="12"/>
        <v>1.5985873116155358E-14</v>
      </c>
      <c r="AX19" s="669">
        <f t="shared" si="12"/>
        <v>1.6388717118682467E-14</v>
      </c>
      <c r="AY19" s="669">
        <f t="shared" si="12"/>
        <v>1.6801712790073264E-14</v>
      </c>
      <c r="AZ19" s="669">
        <f t="shared" si="12"/>
        <v>1.7225115952383111E-14</v>
      </c>
      <c r="BA19" s="669">
        <f t="shared" si="12"/>
        <v>1.765918887438316E-14</v>
      </c>
      <c r="BB19" s="669">
        <f t="shared" si="12"/>
        <v>1.8104200434017617E-14</v>
      </c>
      <c r="BC19" s="669">
        <f t="shared" si="12"/>
        <v>1.8560426284954858E-14</v>
      </c>
      <c r="BD19" s="669">
        <f t="shared" si="12"/>
        <v>1.9028149027335716E-14</v>
      </c>
      <c r="BE19" s="669">
        <f t="shared" si="12"/>
        <v>1.9507658382824575E-14</v>
      </c>
      <c r="BF19" s="669">
        <f t="shared" si="12"/>
        <v>1.9999251374071754E-14</v>
      </c>
      <c r="BG19" s="669">
        <f t="shared" si="13"/>
        <v>2.0503232508698359E-14</v>
      </c>
      <c r="BH19" s="669">
        <f t="shared" si="13"/>
        <v>2.1019913967917552E-14</v>
      </c>
      <c r="BI19" s="669">
        <f t="shared" si="13"/>
        <v>2.1549615799909076E-14</v>
      </c>
      <c r="BJ19" s="47"/>
      <c r="BK19" s="47"/>
      <c r="BL19" s="47"/>
      <c r="BM19" s="47"/>
    </row>
    <row r="20" spans="1:65">
      <c r="A20" s="47"/>
      <c r="B20" s="47"/>
      <c r="C20" s="47"/>
      <c r="D20" s="47"/>
      <c r="E20" s="47"/>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c r="AH20" s="670"/>
      <c r="AI20" s="670"/>
      <c r="AJ20" s="670"/>
      <c r="AK20" s="670"/>
      <c r="AL20" s="670"/>
      <c r="AM20" s="670"/>
      <c r="AN20" s="670"/>
      <c r="AO20" s="670"/>
      <c r="AP20" s="670"/>
      <c r="AQ20" s="670"/>
      <c r="AR20" s="670"/>
      <c r="AS20" s="670"/>
      <c r="AT20" s="670"/>
      <c r="AU20" s="670"/>
      <c r="AV20" s="670"/>
      <c r="AW20" s="670"/>
      <c r="AX20" s="670"/>
      <c r="AY20" s="670"/>
      <c r="AZ20" s="670"/>
      <c r="BA20" s="670"/>
      <c r="BB20" s="670"/>
      <c r="BC20" s="670"/>
      <c r="BD20" s="670"/>
      <c r="BE20" s="670"/>
      <c r="BF20" s="670"/>
      <c r="BG20" s="670"/>
      <c r="BH20" s="670"/>
      <c r="BI20" s="670"/>
      <c r="BJ20" s="47"/>
      <c r="BK20" s="47"/>
      <c r="BL20" s="47"/>
      <c r="BM20" s="47"/>
    </row>
    <row r="21" spans="1:65">
      <c r="A21" s="47"/>
      <c r="B21" s="52" t="s">
        <v>13</v>
      </c>
      <c r="C21" s="47"/>
      <c r="D21" s="47"/>
      <c r="E21" s="47"/>
      <c r="F21" s="670"/>
      <c r="G21" s="670"/>
      <c r="H21" s="670"/>
      <c r="I21" s="670"/>
      <c r="J21" s="670"/>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0"/>
      <c r="AH21" s="670"/>
      <c r="AI21" s="670"/>
      <c r="AJ21" s="670"/>
      <c r="AK21" s="670"/>
      <c r="AL21" s="670"/>
      <c r="AM21" s="670"/>
      <c r="AN21" s="670"/>
      <c r="AO21" s="670"/>
      <c r="AP21" s="670"/>
      <c r="AQ21" s="670"/>
      <c r="AR21" s="670"/>
      <c r="AS21" s="670"/>
      <c r="AT21" s="670"/>
      <c r="AU21" s="670"/>
      <c r="AV21" s="670"/>
      <c r="AW21" s="670"/>
      <c r="AX21" s="670"/>
      <c r="AY21" s="670"/>
      <c r="AZ21" s="670"/>
      <c r="BA21" s="670"/>
      <c r="BB21" s="670"/>
      <c r="BC21" s="670"/>
      <c r="BD21" s="670"/>
      <c r="BE21" s="670"/>
      <c r="BF21" s="670"/>
      <c r="BG21" s="670"/>
      <c r="BH21" s="670"/>
      <c r="BI21" s="670"/>
      <c r="BJ21" s="47"/>
      <c r="BK21" s="47"/>
      <c r="BL21" s="47"/>
      <c r="BM21" s="47"/>
    </row>
    <row r="22" spans="1:65">
      <c r="A22" s="47"/>
      <c r="B22" s="52"/>
      <c r="C22" s="47"/>
      <c r="D22" s="47"/>
      <c r="E22" s="47"/>
      <c r="F22" s="670"/>
      <c r="G22" s="670"/>
      <c r="H22" s="670"/>
      <c r="I22" s="670"/>
      <c r="J22" s="670"/>
      <c r="K22" s="670"/>
      <c r="L22" s="670"/>
      <c r="M22" s="670"/>
      <c r="N22" s="670"/>
      <c r="O22" s="670"/>
      <c r="P22" s="670"/>
      <c r="Q22" s="670"/>
      <c r="R22" s="670"/>
      <c r="S22" s="670"/>
      <c r="T22" s="670"/>
      <c r="U22" s="670"/>
      <c r="V22" s="670"/>
      <c r="W22" s="670"/>
      <c r="X22" s="670"/>
      <c r="Y22" s="670"/>
      <c r="Z22" s="670"/>
      <c r="AA22" s="670"/>
      <c r="AB22" s="670"/>
      <c r="AC22" s="670"/>
      <c r="AD22" s="670"/>
      <c r="AE22" s="670"/>
      <c r="AF22" s="670"/>
      <c r="AG22" s="670"/>
      <c r="AH22" s="670"/>
      <c r="AI22" s="670"/>
      <c r="AJ22" s="670"/>
      <c r="AK22" s="670"/>
      <c r="AL22" s="670"/>
      <c r="AM22" s="670"/>
      <c r="AN22" s="670"/>
      <c r="AO22" s="670"/>
      <c r="AP22" s="670"/>
      <c r="AQ22" s="670"/>
      <c r="AR22" s="670"/>
      <c r="AS22" s="670"/>
      <c r="AT22" s="670"/>
      <c r="AU22" s="670"/>
      <c r="AV22" s="670"/>
      <c r="AW22" s="670"/>
      <c r="AX22" s="670"/>
      <c r="AY22" s="670"/>
      <c r="AZ22" s="670"/>
      <c r="BA22" s="670"/>
      <c r="BB22" s="670"/>
      <c r="BC22" s="670"/>
      <c r="BD22" s="670"/>
      <c r="BE22" s="670"/>
      <c r="BF22" s="670"/>
      <c r="BG22" s="670"/>
      <c r="BH22" s="670"/>
      <c r="BI22" s="670"/>
      <c r="BJ22" s="47"/>
      <c r="BK22" s="47"/>
      <c r="BL22" s="47"/>
      <c r="BM22" s="47"/>
    </row>
    <row r="23" spans="1:65">
      <c r="A23" s="47"/>
      <c r="B23" s="47" t="s">
        <v>8</v>
      </c>
      <c r="C23" s="47"/>
      <c r="D23" s="47"/>
      <c r="E23" s="47"/>
      <c r="F23" s="666"/>
      <c r="G23" s="671">
        <f>SUM(G25:G26)</f>
        <v>3.3958607487668875</v>
      </c>
      <c r="H23" s="671">
        <f t="shared" ref="H23:BI23" si="14">SUM(H25:H26)</f>
        <v>3.4666411044836183</v>
      </c>
      <c r="I23" s="671">
        <f>SUM(I25:I26)</f>
        <v>3.5664289423745474</v>
      </c>
      <c r="J23" s="671">
        <f t="shared" si="14"/>
        <v>3.6590628552310442</v>
      </c>
      <c r="K23" s="671">
        <f t="shared" si="14"/>
        <v>3.6882754600445615</v>
      </c>
      <c r="L23" s="671">
        <f t="shared" si="14"/>
        <v>3.7840201599788625</v>
      </c>
      <c r="M23" s="671">
        <f t="shared" si="14"/>
        <v>3.5274098264243587</v>
      </c>
      <c r="N23" s="671">
        <f t="shared" si="14"/>
        <v>3.2554633278963148</v>
      </c>
      <c r="O23" s="671">
        <f t="shared" si="14"/>
        <v>3.1577974976703862</v>
      </c>
      <c r="P23" s="671">
        <f t="shared" si="14"/>
        <v>3.0531419601693233</v>
      </c>
      <c r="Q23" s="671">
        <f t="shared" si="14"/>
        <v>2.9412064558552853</v>
      </c>
      <c r="R23" s="671">
        <f t="shared" si="14"/>
        <v>2.8216905348534347</v>
      </c>
      <c r="S23" s="671">
        <f t="shared" si="14"/>
        <v>2.6942832276853648</v>
      </c>
      <c r="T23" s="671">
        <f t="shared" si="14"/>
        <v>2.5586627058787705</v>
      </c>
      <c r="U23" s="671">
        <f t="shared" si="14"/>
        <v>2.4144959321522141</v>
      </c>
      <c r="V23" s="671">
        <f t="shared" si="14"/>
        <v>2.2614382998650981</v>
      </c>
      <c r="W23" s="671">
        <f t="shared" si="14"/>
        <v>2.0991332614139577</v>
      </c>
      <c r="X23" s="671">
        <f t="shared" si="14"/>
        <v>1.9272119452469338</v>
      </c>
      <c r="Y23" s="671">
        <f t="shared" si="14"/>
        <v>1.7452927611587639</v>
      </c>
      <c r="Z23" s="671">
        <f t="shared" si="14"/>
        <v>1.5529809935188399</v>
      </c>
      <c r="AA23" s="671">
        <f t="shared" si="14"/>
        <v>1.3498683820748179</v>
      </c>
      <c r="AB23" s="671">
        <f t="shared" si="14"/>
        <v>1.1355326899638927</v>
      </c>
      <c r="AC23" s="671">
        <f t="shared" si="14"/>
        <v>0.90953725855322454</v>
      </c>
      <c r="AD23" s="671">
        <f t="shared" si="14"/>
        <v>0.67143054872002383</v>
      </c>
      <c r="AE23" s="671">
        <f t="shared" si="14"/>
        <v>0.60246130605478432</v>
      </c>
      <c r="AF23" s="671">
        <f t="shared" si="14"/>
        <v>0.52995784541334612</v>
      </c>
      <c r="AG23" s="671">
        <f t="shared" si="14"/>
        <v>0.45341762332778246</v>
      </c>
      <c r="AH23" s="671">
        <f t="shared" si="14"/>
        <v>0.37268322961895506</v>
      </c>
      <c r="AI23" s="671">
        <f t="shared" si="14"/>
        <v>0.28759188413968473</v>
      </c>
      <c r="AJ23" s="671">
        <f t="shared" si="14"/>
        <v>0.19797526609012195</v>
      </c>
      <c r="AK23" s="671">
        <f t="shared" si="14"/>
        <v>0.12186815728903501</v>
      </c>
      <c r="AL23" s="671">
        <f t="shared" si="14"/>
        <v>6.316228525682574E-2</v>
      </c>
      <c r="AM23" s="671">
        <f t="shared" si="14"/>
        <v>2.3369859723052562E-2</v>
      </c>
      <c r="AN23" s="671">
        <f t="shared" si="14"/>
        <v>1.6847291502781293E-15</v>
      </c>
      <c r="AO23" s="671">
        <f t="shared" si="14"/>
        <v>2.1313517719999418E-15</v>
      </c>
      <c r="AP23" s="671">
        <f t="shared" si="14"/>
        <v>2.18506183665434E-15</v>
      </c>
      <c r="AQ23" s="671">
        <f t="shared" si="14"/>
        <v>2.2401253949380291E-15</v>
      </c>
      <c r="AR23" s="671">
        <f t="shared" si="14"/>
        <v>2.2965765548904672E-15</v>
      </c>
      <c r="AS23" s="671">
        <f t="shared" si="14"/>
        <v>2.3544502840737067E-15</v>
      </c>
      <c r="AT23" s="671">
        <f t="shared" si="14"/>
        <v>2.4137824312323639E-15</v>
      </c>
      <c r="AU23" s="671">
        <f t="shared" si="14"/>
        <v>2.4746097484994192E-15</v>
      </c>
      <c r="AV23" s="671">
        <f t="shared" si="14"/>
        <v>2.5369699141616041E-15</v>
      </c>
      <c r="AW23" s="671">
        <f t="shared" si="14"/>
        <v>2.6009015559984769E-15</v>
      </c>
      <c r="AX23" s="671">
        <f t="shared" si="14"/>
        <v>2.6664442752096374E-15</v>
      </c>
      <c r="AY23" s="671">
        <f t="shared" si="14"/>
        <v>2.7336386709449203E-15</v>
      </c>
      <c r="AZ23" s="671">
        <f t="shared" si="14"/>
        <v>2.8025263654527325E-15</v>
      </c>
      <c r="BA23" s="671">
        <f t="shared" si="14"/>
        <v>2.8731500298621404E-15</v>
      </c>
      <c r="BB23" s="671">
        <f t="shared" si="14"/>
        <v>2.9455534106146663E-15</v>
      </c>
      <c r="BC23" s="671">
        <f t="shared" si="14"/>
        <v>3.0197813565621553E-15</v>
      </c>
      <c r="BD23" s="671">
        <f t="shared" si="14"/>
        <v>3.0958798467475211E-15</v>
      </c>
      <c r="BE23" s="671">
        <f t="shared" si="14"/>
        <v>3.1738960188855585E-15</v>
      </c>
      <c r="BF23" s="671">
        <f t="shared" si="14"/>
        <v>3.2538781985614745E-15</v>
      </c>
      <c r="BG23" s="671">
        <f t="shared" si="14"/>
        <v>3.3358759291652235E-15</v>
      </c>
      <c r="BH23" s="671">
        <f t="shared" si="14"/>
        <v>3.4199400025801858E-15</v>
      </c>
      <c r="BI23" s="671">
        <f t="shared" si="14"/>
        <v>3.5061224906452064E-15</v>
      </c>
      <c r="BJ23" s="47"/>
      <c r="BK23" s="47"/>
      <c r="BL23" s="47"/>
      <c r="BM23" s="47"/>
    </row>
    <row r="24" spans="1:65">
      <c r="A24" s="47"/>
      <c r="B24" s="47" t="s">
        <v>43</v>
      </c>
      <c r="C24" s="47"/>
      <c r="D24" s="47"/>
      <c r="E24" s="47"/>
      <c r="F24" s="670"/>
      <c r="G24" s="670"/>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47"/>
      <c r="BK24" s="47"/>
      <c r="BL24" s="47"/>
      <c r="BM24" s="47"/>
    </row>
    <row r="25" spans="1:65">
      <c r="A25" s="47"/>
      <c r="B25" s="47" t="s">
        <v>14</v>
      </c>
      <c r="C25" s="47"/>
      <c r="D25" s="143">
        <f>WACC!$G$10</f>
        <v>0.111</v>
      </c>
      <c r="E25" s="47"/>
      <c r="F25" s="666"/>
      <c r="G25" s="1415">
        <f t="shared" ref="G25:R25" si="15">$D25*G18</f>
        <v>1.5445217910802072</v>
      </c>
      <c r="H25" s="1415">
        <f t="shared" si="15"/>
        <v>1.5767144544055793</v>
      </c>
      <c r="I25" s="667">
        <f t="shared" si="15"/>
        <v>1.6221004409079074</v>
      </c>
      <c r="J25" s="667">
        <f t="shared" si="15"/>
        <v>1.6642326446656257</v>
      </c>
      <c r="K25" s="667">
        <f t="shared" si="15"/>
        <v>1.677519262712339</v>
      </c>
      <c r="L25" s="667">
        <f t="shared" si="15"/>
        <v>1.7210663296769257</v>
      </c>
      <c r="M25" s="667">
        <f t="shared" si="15"/>
        <v>1.6043535780909806</v>
      </c>
      <c r="N25" s="667">
        <f t="shared" si="15"/>
        <v>1.4806655578631058</v>
      </c>
      <c r="O25" s="667">
        <f t="shared" si="15"/>
        <v>1.4362447131383442</v>
      </c>
      <c r="P25" s="667">
        <f t="shared" si="15"/>
        <v>1.3886447759835889</v>
      </c>
      <c r="Q25" s="667">
        <f t="shared" si="15"/>
        <v>1.3377337291536027</v>
      </c>
      <c r="R25" s="667">
        <f t="shared" si="15"/>
        <v>1.2833749205848446</v>
      </c>
      <c r="S25" s="667">
        <f t="shared" ref="S25:AQ25" si="16">$D25*S18</f>
        <v>1.2254269136368592</v>
      </c>
      <c r="T25" s="667">
        <f t="shared" si="16"/>
        <v>1.1637433327291273</v>
      </c>
      <c r="U25" s="667">
        <f t="shared" si="16"/>
        <v>1.0981727042364098</v>
      </c>
      <c r="V25" s="667">
        <f t="shared" si="16"/>
        <v>1.0285582925016428</v>
      </c>
      <c r="W25" s="667">
        <f t="shared" si="16"/>
        <v>0.95473793082134539</v>
      </c>
      <c r="X25" s="667">
        <f t="shared" si="16"/>
        <v>0.87654384725429091</v>
      </c>
      <c r="Y25" s="667">
        <f t="shared" si="16"/>
        <v>0.79380248509986806</v>
      </c>
      <c r="Z25" s="667">
        <f t="shared" si="16"/>
        <v>0.70633431788810175</v>
      </c>
      <c r="AA25" s="667">
        <f t="shared" si="16"/>
        <v>0.61395365871872476</v>
      </c>
      <c r="AB25" s="667">
        <f t="shared" si="16"/>
        <v>0.51646846378197953</v>
      </c>
      <c r="AC25" s="667">
        <f t="shared" si="16"/>
        <v>0.41368012988898967</v>
      </c>
      <c r="AD25" s="667">
        <f t="shared" si="16"/>
        <v>0.30538328583455299</v>
      </c>
      <c r="AE25" s="667">
        <f t="shared" si="16"/>
        <v>0.27401436169670584</v>
      </c>
      <c r="AF25" s="667">
        <f t="shared" si="16"/>
        <v>0.24103798746519739</v>
      </c>
      <c r="AG25" s="667">
        <f t="shared" si="16"/>
        <v>0.20622559389216905</v>
      </c>
      <c r="AH25" s="667">
        <f t="shared" si="16"/>
        <v>0.16950558691950016</v>
      </c>
      <c r="AI25" s="667">
        <f t="shared" si="16"/>
        <v>0.1308039300942635</v>
      </c>
      <c r="AJ25" s="667">
        <f t="shared" si="16"/>
        <v>9.0044066937117542E-2</v>
      </c>
      <c r="AK25" s="667">
        <f t="shared" si="16"/>
        <v>5.5428664040495332E-2</v>
      </c>
      <c r="AL25" s="667">
        <f t="shared" si="16"/>
        <v>2.8727775716073167E-2</v>
      </c>
      <c r="AM25" s="667">
        <f t="shared" si="16"/>
        <v>1.062919249849963E-2</v>
      </c>
      <c r="AN25" s="667">
        <f t="shared" si="16"/>
        <v>7.6625665101771099E-16</v>
      </c>
      <c r="AO25" s="667">
        <f t="shared" si="16"/>
        <v>9.6939170945295439E-16</v>
      </c>
      <c r="AP25" s="667">
        <f t="shared" si="16"/>
        <v>9.9382038053116882E-16</v>
      </c>
      <c r="AQ25" s="667">
        <f t="shared" si="16"/>
        <v>1.0188646541205541E-15</v>
      </c>
      <c r="AR25" s="667">
        <f t="shared" ref="AR25:BI25" si="17">$D25*AR18</f>
        <v>1.044540043404392E-15</v>
      </c>
      <c r="AS25" s="667">
        <f t="shared" si="17"/>
        <v>1.0708624524981826E-15</v>
      </c>
      <c r="AT25" s="667">
        <f t="shared" si="17"/>
        <v>1.0978481863011367E-15</v>
      </c>
      <c r="AU25" s="667">
        <f t="shared" si="17"/>
        <v>1.1255139605959251E-15</v>
      </c>
      <c r="AV25" s="667">
        <f t="shared" si="17"/>
        <v>1.1538769124029424E-15</v>
      </c>
      <c r="AW25" s="667">
        <f t="shared" si="17"/>
        <v>1.1829546105954967E-15</v>
      </c>
      <c r="AX25" s="667">
        <f t="shared" si="17"/>
        <v>1.2127650667825027E-15</v>
      </c>
      <c r="AY25" s="667">
        <f t="shared" si="17"/>
        <v>1.2433267464654218E-15</v>
      </c>
      <c r="AZ25" s="667">
        <f t="shared" si="17"/>
        <v>1.2746585804763505E-15</v>
      </c>
      <c r="BA25" s="667">
        <f t="shared" si="17"/>
        <v>1.306779976704354E-15</v>
      </c>
      <c r="BB25" s="667">
        <f t="shared" si="17"/>
        <v>1.3397108321173037E-15</v>
      </c>
      <c r="BC25" s="667">
        <f t="shared" si="17"/>
        <v>1.3734715450866595E-15</v>
      </c>
      <c r="BD25" s="667">
        <f t="shared" si="17"/>
        <v>1.4080830280228432E-15</v>
      </c>
      <c r="BE25" s="667">
        <f t="shared" si="17"/>
        <v>1.4435667203290188E-15</v>
      </c>
      <c r="BF25" s="667">
        <f t="shared" si="17"/>
        <v>1.4799446016813098E-15</v>
      </c>
      <c r="BG25" s="667">
        <f t="shared" si="17"/>
        <v>1.5172392056436787E-15</v>
      </c>
      <c r="BH25" s="667">
        <f t="shared" si="17"/>
        <v>1.5554736336258991E-15</v>
      </c>
      <c r="BI25" s="667">
        <f t="shared" si="17"/>
        <v>1.5946715691932714E-15</v>
      </c>
      <c r="BJ25" s="47"/>
      <c r="BK25" s="47"/>
      <c r="BL25" s="47"/>
      <c r="BM25" s="47"/>
    </row>
    <row r="26" spans="1:65">
      <c r="A26" s="47"/>
      <c r="B26" s="47" t="s">
        <v>15</v>
      </c>
      <c r="C26" s="47"/>
      <c r="D26" s="47"/>
      <c r="E26" s="47"/>
      <c r="F26" s="668"/>
      <c r="G26" s="1433">
        <f>G10*G19</f>
        <v>1.8513389576866806</v>
      </c>
      <c r="H26" s="669">
        <f>H10*H19</f>
        <v>1.8899266500780389</v>
      </c>
      <c r="I26" s="669">
        <f t="shared" ref="I26:BI26" si="18">I10*I19</f>
        <v>1.94432850146664</v>
      </c>
      <c r="J26" s="669">
        <f t="shared" si="18"/>
        <v>1.9948302105654185</v>
      </c>
      <c r="K26" s="669">
        <f t="shared" si="18"/>
        <v>2.0107561973322223</v>
      </c>
      <c r="L26" s="669">
        <f t="shared" si="18"/>
        <v>2.0629538303019368</v>
      </c>
      <c r="M26" s="669">
        <f t="shared" si="18"/>
        <v>1.923056248333378</v>
      </c>
      <c r="N26" s="669">
        <f t="shared" si="18"/>
        <v>1.7747977700332089</v>
      </c>
      <c r="O26" s="669">
        <f t="shared" si="18"/>
        <v>1.721552784532042</v>
      </c>
      <c r="P26" s="669">
        <f t="shared" si="18"/>
        <v>1.6644971841857343</v>
      </c>
      <c r="Q26" s="669">
        <f t="shared" si="18"/>
        <v>1.6034727267016828</v>
      </c>
      <c r="R26" s="669">
        <f t="shared" si="18"/>
        <v>1.5383156142685903</v>
      </c>
      <c r="S26" s="669">
        <f t="shared" si="18"/>
        <v>1.4688563140485056</v>
      </c>
      <c r="T26" s="669">
        <f t="shared" si="18"/>
        <v>1.394919373149643</v>
      </c>
      <c r="U26" s="669">
        <f t="shared" si="18"/>
        <v>1.3163232279158044</v>
      </c>
      <c r="V26" s="669">
        <f t="shared" si="18"/>
        <v>1.2328800073634554</v>
      </c>
      <c r="W26" s="669">
        <f t="shared" si="18"/>
        <v>1.1443953305926124</v>
      </c>
      <c r="X26" s="669">
        <f t="shared" si="18"/>
        <v>1.050668097992643</v>
      </c>
      <c r="Y26" s="669">
        <f t="shared" si="18"/>
        <v>0.9514902760588958</v>
      </c>
      <c r="Z26" s="669">
        <f t="shared" si="18"/>
        <v>0.84664667563073803</v>
      </c>
      <c r="AA26" s="669">
        <f t="shared" si="18"/>
        <v>0.73591472335609298</v>
      </c>
      <c r="AB26" s="669">
        <f t="shared" si="18"/>
        <v>0.61906422618191326</v>
      </c>
      <c r="AC26" s="669">
        <f t="shared" si="18"/>
        <v>0.49585712866423487</v>
      </c>
      <c r="AD26" s="669">
        <f t="shared" si="18"/>
        <v>0.36604726288547085</v>
      </c>
      <c r="AE26" s="669">
        <f t="shared" si="18"/>
        <v>0.32844694435807847</v>
      </c>
      <c r="AF26" s="669">
        <f t="shared" si="18"/>
        <v>0.28891985794814873</v>
      </c>
      <c r="AG26" s="669">
        <f t="shared" si="18"/>
        <v>0.24719202943561344</v>
      </c>
      <c r="AH26" s="669">
        <f t="shared" si="18"/>
        <v>0.2031776426994549</v>
      </c>
      <c r="AI26" s="669">
        <f t="shared" si="18"/>
        <v>0.15678795404542123</v>
      </c>
      <c r="AJ26" s="669">
        <f t="shared" si="18"/>
        <v>0.10793119915300441</v>
      </c>
      <c r="AK26" s="669">
        <f t="shared" si="18"/>
        <v>6.6439493248539677E-2</v>
      </c>
      <c r="AL26" s="669">
        <f t="shared" si="18"/>
        <v>3.443450954075257E-2</v>
      </c>
      <c r="AM26" s="669">
        <f t="shared" si="18"/>
        <v>1.2740667224552932E-2</v>
      </c>
      <c r="AN26" s="669">
        <f t="shared" si="18"/>
        <v>9.1847249926041831E-16</v>
      </c>
      <c r="AO26" s="669">
        <f t="shared" si="18"/>
        <v>1.1619600625469874E-15</v>
      </c>
      <c r="AP26" s="669">
        <f t="shared" si="18"/>
        <v>1.1912414561231712E-15</v>
      </c>
      <c r="AQ26" s="669">
        <f t="shared" si="18"/>
        <v>1.2212607408174748E-15</v>
      </c>
      <c r="AR26" s="669">
        <f t="shared" si="18"/>
        <v>1.2520365114860751E-15</v>
      </c>
      <c r="AS26" s="669">
        <f t="shared" si="18"/>
        <v>1.2835878315755241E-15</v>
      </c>
      <c r="AT26" s="669">
        <f t="shared" si="18"/>
        <v>1.3159342449312274E-15</v>
      </c>
      <c r="AU26" s="669">
        <f t="shared" si="18"/>
        <v>1.349095787903494E-15</v>
      </c>
      <c r="AV26" s="669">
        <f t="shared" si="18"/>
        <v>1.3830930017586619E-15</v>
      </c>
      <c r="AW26" s="669">
        <f t="shared" si="18"/>
        <v>1.4179469454029804E-15</v>
      </c>
      <c r="AX26" s="669">
        <f t="shared" si="18"/>
        <v>1.4536792084271349E-15</v>
      </c>
      <c r="AY26" s="669">
        <f t="shared" si="18"/>
        <v>1.4903119244794985E-15</v>
      </c>
      <c r="AZ26" s="669">
        <f t="shared" si="18"/>
        <v>1.527867784976382E-15</v>
      </c>
      <c r="BA26" s="669">
        <f t="shared" si="18"/>
        <v>1.5663700531577864E-15</v>
      </c>
      <c r="BB26" s="669">
        <f t="shared" si="18"/>
        <v>1.6058425784973628E-15</v>
      </c>
      <c r="BC26" s="669">
        <f t="shared" si="18"/>
        <v>1.6463098114754958E-15</v>
      </c>
      <c r="BD26" s="669">
        <f t="shared" si="18"/>
        <v>1.6877968187246781E-15</v>
      </c>
      <c r="BE26" s="669">
        <f t="shared" si="18"/>
        <v>1.7303292985565399E-15</v>
      </c>
      <c r="BF26" s="669">
        <f t="shared" si="18"/>
        <v>1.7739335968801645E-15</v>
      </c>
      <c r="BG26" s="669">
        <f t="shared" si="18"/>
        <v>1.8186367235215446E-15</v>
      </c>
      <c r="BH26" s="669">
        <f t="shared" si="18"/>
        <v>1.8644663689542867E-15</v>
      </c>
      <c r="BI26" s="669">
        <f t="shared" si="18"/>
        <v>1.9114509214519349E-15</v>
      </c>
      <c r="BJ26" s="47"/>
      <c r="BK26" s="47"/>
      <c r="BL26" s="47"/>
      <c r="BM26" s="47"/>
    </row>
    <row r="27" spans="1:65">
      <c r="A27" s="47"/>
      <c r="B27" s="47"/>
      <c r="C27" s="47"/>
      <c r="D27" s="47"/>
      <c r="E27" s="47"/>
      <c r="F27" s="670"/>
      <c r="G27" s="1432"/>
      <c r="H27" s="672"/>
      <c r="I27" s="672"/>
      <c r="J27" s="672"/>
      <c r="K27" s="672"/>
      <c r="L27" s="672"/>
      <c r="M27" s="672"/>
      <c r="N27" s="672"/>
      <c r="O27" s="672"/>
      <c r="P27" s="672"/>
      <c r="Q27" s="672"/>
      <c r="R27" s="672"/>
      <c r="S27" s="672"/>
      <c r="T27" s="672"/>
      <c r="U27" s="672"/>
      <c r="V27" s="672"/>
      <c r="W27" s="672"/>
      <c r="X27" s="672"/>
      <c r="Y27" s="672"/>
      <c r="Z27" s="672"/>
      <c r="AA27" s="672"/>
      <c r="AB27" s="672"/>
      <c r="AC27" s="672"/>
      <c r="AD27" s="672"/>
      <c r="AE27" s="672"/>
      <c r="AF27" s="672"/>
      <c r="AG27" s="672"/>
      <c r="AH27" s="672"/>
      <c r="AI27" s="672"/>
      <c r="AJ27" s="672"/>
      <c r="AK27" s="672"/>
      <c r="AL27" s="672"/>
      <c r="AM27" s="672"/>
      <c r="AN27" s="672"/>
      <c r="AO27" s="672"/>
      <c r="AP27" s="672"/>
      <c r="AQ27" s="672"/>
      <c r="AR27" s="672"/>
      <c r="AS27" s="672"/>
      <c r="AT27" s="672"/>
      <c r="AU27" s="672"/>
      <c r="AV27" s="672"/>
      <c r="AW27" s="672"/>
      <c r="AX27" s="672"/>
      <c r="AY27" s="672"/>
      <c r="AZ27" s="672"/>
      <c r="BA27" s="672"/>
      <c r="BB27" s="672"/>
      <c r="BC27" s="672"/>
      <c r="BD27" s="672"/>
      <c r="BE27" s="672"/>
      <c r="BF27" s="672"/>
      <c r="BG27" s="672"/>
      <c r="BH27" s="672"/>
      <c r="BI27" s="672"/>
      <c r="BJ27" s="47"/>
      <c r="BK27" s="47"/>
      <c r="BL27" s="47"/>
      <c r="BM27" s="47"/>
    </row>
    <row r="28" spans="1:65">
      <c r="A28" s="47"/>
      <c r="B28" s="47" t="s">
        <v>343</v>
      </c>
      <c r="C28" s="47"/>
      <c r="D28" s="47"/>
      <c r="E28" s="47"/>
      <c r="F28" s="673"/>
      <c r="G28" s="1414">
        <f>Assets!G$473</f>
        <v>1.812706646678228</v>
      </c>
      <c r="H28" s="1414">
        <f>Assets!H$473</f>
        <v>1.9551246910744142</v>
      </c>
      <c r="I28" s="674">
        <f>Assets!I$473</f>
        <v>2.1101983670762632</v>
      </c>
      <c r="J28" s="674">
        <f>Assets!J$473</f>
        <v>2.274670476254725</v>
      </c>
      <c r="K28" s="674">
        <f>Assets!K$473</f>
        <v>2.4424963356561413</v>
      </c>
      <c r="L28" s="674">
        <f>Assets!L$473</f>
        <v>2.6286655762600204</v>
      </c>
      <c r="M28" s="674">
        <f>Assets!M$473</f>
        <v>2.7857662213485259</v>
      </c>
      <c r="N28" s="674">
        <f>Assets!N$473</f>
        <v>1.0004694757829204</v>
      </c>
      <c r="O28" s="674">
        <f>Assets!O$473</f>
        <v>1.0720706566386293</v>
      </c>
      <c r="P28" s="674">
        <f>Assets!P$473</f>
        <v>1.1466451988735624</v>
      </c>
      <c r="Q28" s="674">
        <f>Assets!Q$473</f>
        <v>1.2242974902873445</v>
      </c>
      <c r="R28" s="674">
        <f>Assets!R$473</f>
        <v>1.3051352916212884</v>
      </c>
      <c r="S28" s="674">
        <f>Assets!S$473</f>
        <v>1.3892698402642307</v>
      </c>
      <c r="T28" s="674">
        <f>Assets!T$473</f>
        <v>1.4768159570431867</v>
      </c>
      <c r="U28" s="674">
        <f>Assets!U$473</f>
        <v>1.5678921561884405</v>
      </c>
      <c r="V28" s="674">
        <f>Assets!V$473</f>
        <v>1.6626207585652537</v>
      </c>
      <c r="W28" s="674">
        <f>Assets!W$473</f>
        <v>1.7611280082669931</v>
      </c>
      <c r="X28" s="674">
        <f>Assets!X$473</f>
        <v>1.8635441926671807</v>
      </c>
      <c r="Y28" s="674">
        <f>Assets!Y$473</f>
        <v>1.9700037660307677</v>
      </c>
      <c r="Z28" s="674">
        <f>Assets!Z$473</f>
        <v>2.080645476787768</v>
      </c>
      <c r="AA28" s="674">
        <f>Assets!AA$473</f>
        <v>2.1956124985753411</v>
      </c>
      <c r="AB28" s="674">
        <f>Assets!AB$473</f>
        <v>2.315052565157429</v>
      </c>
      <c r="AC28" s="674">
        <f>Assets!AC$473</f>
        <v>2.4391181093341583</v>
      </c>
      <c r="AD28" s="674">
        <f>Assets!AD$473</f>
        <v>0.70650730040196086</v>
      </c>
      <c r="AE28" s="674">
        <f>Assets!AE$473</f>
        <v>0.74271113134028</v>
      </c>
      <c r="AF28" s="674">
        <f>Assets!AF$473</f>
        <v>0.78406291831144892</v>
      </c>
      <c r="AG28" s="674">
        <f>Assets!AG$473</f>
        <v>0.82702718406911835</v>
      </c>
      <c r="AH28" s="674">
        <f>Assets!AH$473</f>
        <v>0.87165893750532975</v>
      </c>
      <c r="AI28" s="674">
        <f>Assets!AI$473</f>
        <v>0.91801493597175499</v>
      </c>
      <c r="AJ28" s="674">
        <f>Assets!AJ$473</f>
        <v>0.7796261913653646</v>
      </c>
      <c r="AK28" s="674">
        <f>Assets!AK$473</f>
        <v>0.60137135865815661</v>
      </c>
      <c r="AL28" s="674">
        <f>Assets!AL$473</f>
        <v>0.40762574814354807</v>
      </c>
      <c r="AM28" s="674">
        <f>Assets!AM$473</f>
        <v>0.23939622744366804</v>
      </c>
      <c r="AN28" s="674">
        <f>Assets!AN$473</f>
        <v>-4.5751139287217034E-15</v>
      </c>
      <c r="AO28" s="674">
        <f>Assets!AO$473</f>
        <v>-5.5019529455437958E-16</v>
      </c>
      <c r="AP28" s="674">
        <f>Assets!AP$473</f>
        <v>-5.6406021597714987E-16</v>
      </c>
      <c r="AQ28" s="674">
        <f>Assets!AQ$473</f>
        <v>-5.7827453341977395E-16</v>
      </c>
      <c r="AR28" s="674">
        <f>Assets!AR$473</f>
        <v>-5.9284705166195214E-16</v>
      </c>
      <c r="AS28" s="674">
        <f>Assets!AS$473</f>
        <v>-6.0778679736383329E-16</v>
      </c>
      <c r="AT28" s="674">
        <f>Assets!AT$473</f>
        <v>-6.2310302465740191E-16</v>
      </c>
      <c r="AU28" s="674">
        <f>Assets!AU$473</f>
        <v>-6.3880522087876836E-16</v>
      </c>
      <c r="AV28" s="674">
        <f>Assets!AV$473</f>
        <v>-6.5490311244491324E-16</v>
      </c>
      <c r="AW28" s="674">
        <f>Assets!AW$473</f>
        <v>-6.7140667087852501E-16</v>
      </c>
      <c r="AX28" s="674">
        <f>Assets!AX$473</f>
        <v>-6.8832611898466373E-16</v>
      </c>
      <c r="AY28" s="674">
        <f>Assets!AY$473</f>
        <v>-7.0567193718307714E-16</v>
      </c>
      <c r="AZ28" s="674">
        <f>Assets!AZ$473</f>
        <v>-7.2345487000009078E-16</v>
      </c>
      <c r="BA28" s="674">
        <f>Assets!BA$473</f>
        <v>-7.4168593272409277E-16</v>
      </c>
      <c r="BB28" s="674">
        <f>Assets!BB$473</f>
        <v>-7.6037641822873994E-16</v>
      </c>
      <c r="BC28" s="674">
        <f>Assets!BC$473</f>
        <v>-7.7953790396810409E-16</v>
      </c>
      <c r="BD28" s="674">
        <f>Assets!BD$473</f>
        <v>-7.9918225914810012E-16</v>
      </c>
      <c r="BE28" s="674">
        <f>Assets!BE$473</f>
        <v>-8.1932165207863218E-16</v>
      </c>
      <c r="BF28" s="674">
        <f>Assets!BF$473</f>
        <v>-8.3996855771101367E-16</v>
      </c>
      <c r="BG28" s="674">
        <f>Assets!BG$473</f>
        <v>-8.6113576536533105E-16</v>
      </c>
      <c r="BH28" s="674">
        <f>Assets!BH$473</f>
        <v>-8.828363866525373E-16</v>
      </c>
      <c r="BI28" s="674">
        <f>Assets!BI$473</f>
        <v>-9.050838635961812E-16</v>
      </c>
      <c r="BJ28" s="47"/>
      <c r="BK28" s="47"/>
      <c r="BL28" s="47"/>
      <c r="BM28" s="47"/>
    </row>
    <row r="29" spans="1:65">
      <c r="A29" s="47"/>
      <c r="B29" s="47"/>
      <c r="C29" s="47"/>
      <c r="D29" s="47"/>
      <c r="E29" s="47"/>
      <c r="F29" s="670"/>
      <c r="G29" s="1431"/>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47"/>
      <c r="BK29" s="47"/>
      <c r="BL29" s="47"/>
      <c r="BM29" s="47"/>
    </row>
    <row r="30" spans="1:65">
      <c r="A30" s="47"/>
      <c r="B30" s="78" t="s">
        <v>243</v>
      </c>
      <c r="C30" s="47"/>
      <c r="D30" s="68"/>
      <c r="E30" s="47"/>
      <c r="F30" s="675"/>
      <c r="G30" s="1398">
        <f>'PTRM input'!G187*G$7</f>
        <v>5.5481846193927771</v>
      </c>
      <c r="H30" s="1398">
        <f>'PTRM input'!H187*H$7</f>
        <v>6.0855256345683566</v>
      </c>
      <c r="I30" s="145">
        <f>'PTRM input'!I187*I$7</f>
        <v>6.9042490312056941</v>
      </c>
      <c r="J30" s="145">
        <f>'PTRM input'!J187*J$7</f>
        <v>7.7079127816864537</v>
      </c>
      <c r="K30" s="145">
        <f>'PTRM input'!K187*K$7</f>
        <v>8.0829431956179896</v>
      </c>
      <c r="L30" s="145">
        <f>'PTRM input'!L187*L$7</f>
        <v>0</v>
      </c>
      <c r="M30" s="145">
        <f>'PTRM input'!M187*M$7</f>
        <v>0</v>
      </c>
      <c r="N30" s="145">
        <f>'PTRM input'!N187*N$7</f>
        <v>0</v>
      </c>
      <c r="O30" s="145">
        <f>'PTRM input'!O187*O$7</f>
        <v>0</v>
      </c>
      <c r="P30" s="145">
        <f>'PTRM input'!P187*P$7</f>
        <v>0</v>
      </c>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47"/>
      <c r="BK30" s="47"/>
      <c r="BL30" s="47"/>
      <c r="BM30" s="47"/>
    </row>
    <row r="31" spans="1:65">
      <c r="A31" s="47"/>
      <c r="B31" s="47"/>
      <c r="C31" s="47"/>
      <c r="D31" s="47"/>
      <c r="E31" s="47"/>
      <c r="F31" s="670"/>
      <c r="G31" s="1431"/>
      <c r="H31" s="670"/>
      <c r="I31" s="670"/>
      <c r="J31" s="670"/>
      <c r="K31" s="670"/>
      <c r="L31" s="670"/>
      <c r="M31" s="670"/>
      <c r="N31" s="670"/>
      <c r="O31" s="670"/>
      <c r="P31" s="670"/>
      <c r="Q31" s="670"/>
      <c r="R31" s="670"/>
      <c r="S31" s="670"/>
      <c r="T31" s="670"/>
      <c r="U31" s="670"/>
      <c r="V31" s="670"/>
      <c r="W31" s="670"/>
      <c r="X31" s="670"/>
      <c r="Y31" s="670"/>
      <c r="Z31" s="670"/>
      <c r="AA31" s="670"/>
      <c r="AB31" s="670"/>
      <c r="AC31" s="670"/>
      <c r="AD31" s="670"/>
      <c r="AE31" s="670"/>
      <c r="AF31" s="670"/>
      <c r="AG31" s="670"/>
      <c r="AH31" s="670"/>
      <c r="AI31" s="670"/>
      <c r="AJ31" s="670"/>
      <c r="AK31" s="670"/>
      <c r="AL31" s="670"/>
      <c r="AM31" s="670"/>
      <c r="AN31" s="670"/>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47"/>
      <c r="BK31" s="47"/>
      <c r="BL31" s="47"/>
      <c r="BM31" s="47"/>
    </row>
    <row r="32" spans="1:65">
      <c r="A32" s="47"/>
      <c r="B32" s="78" t="s">
        <v>297</v>
      </c>
      <c r="C32" s="47"/>
      <c r="D32" s="68"/>
      <c r="E32" s="47"/>
      <c r="F32" s="675"/>
      <c r="G32" s="1398">
        <f>'PTRM input'!G205*Analysis!G$7</f>
        <v>0</v>
      </c>
      <c r="H32" s="145">
        <f>'PTRM input'!H205*Analysis!H$7</f>
        <v>0</v>
      </c>
      <c r="I32" s="145">
        <f>'PTRM input'!I205*Analysis!I$7</f>
        <v>0</v>
      </c>
      <c r="J32" s="145">
        <f>'PTRM input'!J205*Analysis!J$7</f>
        <v>0</v>
      </c>
      <c r="K32" s="145">
        <f>'PTRM input'!K205*Analysis!K$7</f>
        <v>0</v>
      </c>
      <c r="L32" s="145">
        <f>'PTRM input'!L205*Analysis!L$7</f>
        <v>0</v>
      </c>
      <c r="M32" s="145">
        <f>'PTRM input'!M205*Analysis!M$7</f>
        <v>0</v>
      </c>
      <c r="N32" s="145">
        <f>'PTRM input'!N205*Analysis!N$7</f>
        <v>0</v>
      </c>
      <c r="O32" s="145">
        <f>'PTRM input'!O205*Analysis!O$7</f>
        <v>0</v>
      </c>
      <c r="P32" s="145">
        <f>'PTRM input'!P205*Analysis!P$7</f>
        <v>0</v>
      </c>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47"/>
      <c r="BK32" s="47"/>
      <c r="BL32" s="47"/>
      <c r="BM32" s="47"/>
    </row>
    <row r="33" spans="1:65">
      <c r="A33" s="47"/>
      <c r="B33" s="47"/>
      <c r="C33" s="47"/>
      <c r="D33" s="47"/>
      <c r="E33" s="47"/>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0"/>
      <c r="AM33" s="670"/>
      <c r="AN33" s="670"/>
      <c r="AO33" s="670"/>
      <c r="AP33" s="670"/>
      <c r="AQ33" s="670"/>
      <c r="AR33" s="670"/>
      <c r="AS33" s="670"/>
      <c r="AT33" s="670"/>
      <c r="AU33" s="670"/>
      <c r="AV33" s="670"/>
      <c r="AW33" s="670"/>
      <c r="AX33" s="670"/>
      <c r="AY33" s="670"/>
      <c r="AZ33" s="670"/>
      <c r="BA33" s="670"/>
      <c r="BB33" s="670"/>
      <c r="BC33" s="670"/>
      <c r="BD33" s="670"/>
      <c r="BE33" s="670"/>
      <c r="BF33" s="670"/>
      <c r="BG33" s="670"/>
      <c r="BH33" s="670"/>
      <c r="BI33" s="670"/>
      <c r="BJ33" s="47"/>
      <c r="BK33" s="47"/>
      <c r="BL33" s="47"/>
      <c r="BM33" s="47"/>
    </row>
    <row r="34" spans="1:65">
      <c r="A34" s="47"/>
      <c r="B34" s="47" t="s">
        <v>16</v>
      </c>
      <c r="C34" s="47"/>
      <c r="D34" s="47"/>
      <c r="E34" s="47"/>
      <c r="F34" s="666"/>
      <c r="G34" s="1415">
        <f>G59</f>
        <v>2.4381000188898425</v>
      </c>
      <c r="H34" s="667">
        <f>H59</f>
        <v>2.1771601714874147</v>
      </c>
      <c r="I34" s="667">
        <f t="shared" ref="I34:P34" si="19">I59</f>
        <v>1.7120727666826439</v>
      </c>
      <c r="J34" s="667">
        <f t="shared" si="19"/>
        <v>1.9595439226958675</v>
      </c>
      <c r="K34" s="667">
        <f t="shared" si="19"/>
        <v>1.2020707764762226</v>
      </c>
      <c r="L34" s="667">
        <f t="shared" si="19"/>
        <v>0.31192254768812167</v>
      </c>
      <c r="M34" s="667">
        <f t="shared" si="19"/>
        <v>0.32755657097943558</v>
      </c>
      <c r="N34" s="667">
        <f t="shared" si="19"/>
        <v>0</v>
      </c>
      <c r="O34" s="667">
        <f t="shared" si="19"/>
        <v>0</v>
      </c>
      <c r="P34" s="667">
        <f t="shared" si="19"/>
        <v>0</v>
      </c>
      <c r="Q34" s="667">
        <f>Q59</f>
        <v>0</v>
      </c>
      <c r="R34" s="667">
        <f>R59</f>
        <v>0</v>
      </c>
      <c r="S34" s="667">
        <f t="shared" ref="S34:AQ34" si="20">S59</f>
        <v>0</v>
      </c>
      <c r="T34" s="667">
        <f t="shared" si="20"/>
        <v>0</v>
      </c>
      <c r="U34" s="667">
        <f t="shared" si="20"/>
        <v>0</v>
      </c>
      <c r="V34" s="667">
        <f t="shared" si="20"/>
        <v>0</v>
      </c>
      <c r="W34" s="667">
        <f t="shared" si="20"/>
        <v>0</v>
      </c>
      <c r="X34" s="667">
        <f t="shared" si="20"/>
        <v>0.43086380296847948</v>
      </c>
      <c r="Y34" s="667">
        <f t="shared" si="20"/>
        <v>0.764354564439511</v>
      </c>
      <c r="Z34" s="667">
        <f t="shared" si="20"/>
        <v>0.9375963942315807</v>
      </c>
      <c r="AA34" s="667">
        <f t="shared" si="20"/>
        <v>1.0875739963718964</v>
      </c>
      <c r="AB34" s="667">
        <f t="shared" si="20"/>
        <v>1.096072656363642</v>
      </c>
      <c r="AC34" s="667">
        <f t="shared" si="20"/>
        <v>1.1043089958283152</v>
      </c>
      <c r="AD34" s="667">
        <f t="shared" si="20"/>
        <v>0.39169958176897302</v>
      </c>
      <c r="AE34" s="667">
        <f t="shared" si="20"/>
        <v>0.39357115859496233</v>
      </c>
      <c r="AF34" s="667">
        <f t="shared" si="20"/>
        <v>0.39681325384902438</v>
      </c>
      <c r="AG34" s="667">
        <f t="shared" si="20"/>
        <v>0.39996881727533706</v>
      </c>
      <c r="AH34" s="667">
        <f t="shared" si="20"/>
        <v>0.40303142880961146</v>
      </c>
      <c r="AI34" s="667">
        <f t="shared" si="20"/>
        <v>0.40599439976749091</v>
      </c>
      <c r="AJ34" s="667">
        <f t="shared" si="20"/>
        <v>0.33664655160096085</v>
      </c>
      <c r="AK34" s="667">
        <f t="shared" si="20"/>
        <v>0.25424517007689751</v>
      </c>
      <c r="AL34" s="667">
        <f t="shared" si="20"/>
        <v>0.16891104149404693</v>
      </c>
      <c r="AM34" s="667">
        <f t="shared" si="20"/>
        <v>9.6784033526000388E-2</v>
      </c>
      <c r="AN34" s="667">
        <f t="shared" si="20"/>
        <v>0</v>
      </c>
      <c r="AO34" s="667">
        <f t="shared" si="20"/>
        <v>0</v>
      </c>
      <c r="AP34" s="667">
        <f t="shared" si="20"/>
        <v>0</v>
      </c>
      <c r="AQ34" s="667">
        <f t="shared" si="20"/>
        <v>0</v>
      </c>
      <c r="AR34" s="667">
        <f t="shared" ref="AR34:BI34" si="21">AR59</f>
        <v>0</v>
      </c>
      <c r="AS34" s="667">
        <f t="shared" si="21"/>
        <v>0</v>
      </c>
      <c r="AT34" s="667">
        <f t="shared" si="21"/>
        <v>0</v>
      </c>
      <c r="AU34" s="667">
        <f t="shared" si="21"/>
        <v>0</v>
      </c>
      <c r="AV34" s="667">
        <f t="shared" si="21"/>
        <v>0</v>
      </c>
      <c r="AW34" s="667">
        <f t="shared" si="21"/>
        <v>1.422324040111209E-16</v>
      </c>
      <c r="AX34" s="667">
        <f t="shared" si="21"/>
        <v>2.0300862495400213E-16</v>
      </c>
      <c r="AY34" s="667">
        <f t="shared" si="21"/>
        <v>2.0812444230284311E-16</v>
      </c>
      <c r="AZ34" s="667">
        <f t="shared" si="21"/>
        <v>2.1336917824887478E-16</v>
      </c>
      <c r="BA34" s="667">
        <f t="shared" si="21"/>
        <v>2.1874608154074624E-16</v>
      </c>
      <c r="BB34" s="667">
        <f t="shared" si="21"/>
        <v>2.2425848279557296E-16</v>
      </c>
      <c r="BC34" s="667">
        <f t="shared" si="21"/>
        <v>2.2990979656202142E-16</v>
      </c>
      <c r="BD34" s="667">
        <f t="shared" si="21"/>
        <v>2.3570352343538434E-16</v>
      </c>
      <c r="BE34" s="667">
        <f t="shared" si="21"/>
        <v>2.4164325222595606E-16</v>
      </c>
      <c r="BF34" s="667">
        <f t="shared" si="21"/>
        <v>2.477326621820502E-16</v>
      </c>
      <c r="BG34" s="667">
        <f t="shared" si="21"/>
        <v>2.5397552526903786E-16</v>
      </c>
      <c r="BH34" s="667">
        <f t="shared" si="21"/>
        <v>2.6037570850581746E-16</v>
      </c>
      <c r="BI34" s="667">
        <f t="shared" si="21"/>
        <v>2.6693717636016395E-16</v>
      </c>
      <c r="BJ34" s="47"/>
      <c r="BK34" s="47"/>
      <c r="BL34" s="47"/>
      <c r="BM34" s="47"/>
    </row>
    <row r="35" spans="1:65">
      <c r="A35" s="47"/>
      <c r="B35" s="47" t="s">
        <v>17</v>
      </c>
      <c r="C35" s="47"/>
      <c r="D35" s="143">
        <f>WACC!$G$7</f>
        <v>0.25</v>
      </c>
      <c r="E35" s="85"/>
      <c r="F35" s="668"/>
      <c r="G35" s="676">
        <f t="shared" ref="G35:R35" si="22">-G34*$D$35</f>
        <v>-0.60952500472246063</v>
      </c>
      <c r="H35" s="676">
        <f>-H34*$D$35</f>
        <v>-0.54429004287185367</v>
      </c>
      <c r="I35" s="676">
        <f t="shared" si="22"/>
        <v>-0.42801819167066096</v>
      </c>
      <c r="J35" s="676">
        <f t="shared" si="22"/>
        <v>-0.48988598067396688</v>
      </c>
      <c r="K35" s="676">
        <f t="shared" si="22"/>
        <v>-0.30051769411905566</v>
      </c>
      <c r="L35" s="676">
        <f t="shared" si="22"/>
        <v>-7.7980636922030416E-2</v>
      </c>
      <c r="M35" s="676">
        <f t="shared" si="22"/>
        <v>-8.1889142744858895E-2</v>
      </c>
      <c r="N35" s="676">
        <f t="shared" si="22"/>
        <v>0</v>
      </c>
      <c r="O35" s="676">
        <f t="shared" si="22"/>
        <v>0</v>
      </c>
      <c r="P35" s="676">
        <f t="shared" si="22"/>
        <v>0</v>
      </c>
      <c r="Q35" s="676">
        <f t="shared" si="22"/>
        <v>0</v>
      </c>
      <c r="R35" s="676">
        <f t="shared" si="22"/>
        <v>0</v>
      </c>
      <c r="S35" s="676">
        <f t="shared" ref="S35:AP35" si="23">-S34*$D$35</f>
        <v>0</v>
      </c>
      <c r="T35" s="676">
        <f t="shared" si="23"/>
        <v>0</v>
      </c>
      <c r="U35" s="676">
        <f t="shared" si="23"/>
        <v>0</v>
      </c>
      <c r="V35" s="676">
        <f t="shared" si="23"/>
        <v>0</v>
      </c>
      <c r="W35" s="676">
        <f t="shared" si="23"/>
        <v>0</v>
      </c>
      <c r="X35" s="676">
        <f t="shared" si="23"/>
        <v>-0.10771595074211987</v>
      </c>
      <c r="Y35" s="676">
        <f t="shared" si="23"/>
        <v>-0.19108864110987775</v>
      </c>
      <c r="Z35" s="676">
        <f t="shared" si="23"/>
        <v>-0.23439909855789517</v>
      </c>
      <c r="AA35" s="676">
        <f t="shared" si="23"/>
        <v>-0.27189349909297411</v>
      </c>
      <c r="AB35" s="676">
        <f t="shared" si="23"/>
        <v>-0.27401816409091051</v>
      </c>
      <c r="AC35" s="676">
        <f t="shared" si="23"/>
        <v>-0.2760772489570788</v>
      </c>
      <c r="AD35" s="676">
        <f t="shared" si="23"/>
        <v>-9.7924895442243254E-2</v>
      </c>
      <c r="AE35" s="676">
        <f t="shared" si="23"/>
        <v>-9.8392789648740583E-2</v>
      </c>
      <c r="AF35" s="676">
        <f t="shared" si="23"/>
        <v>-9.9203313462256096E-2</v>
      </c>
      <c r="AG35" s="676">
        <f t="shared" si="23"/>
        <v>-9.9992204318834266E-2</v>
      </c>
      <c r="AH35" s="676">
        <f t="shared" si="23"/>
        <v>-0.10075785720240286</v>
      </c>
      <c r="AI35" s="676">
        <f t="shared" si="23"/>
        <v>-0.10149859994187273</v>
      </c>
      <c r="AJ35" s="676">
        <f t="shared" si="23"/>
        <v>-8.4161637900240213E-2</v>
      </c>
      <c r="AK35" s="676">
        <f t="shared" si="23"/>
        <v>-6.3561292519224377E-2</v>
      </c>
      <c r="AL35" s="676">
        <f t="shared" si="23"/>
        <v>-4.2227760373511732E-2</v>
      </c>
      <c r="AM35" s="676">
        <f t="shared" si="23"/>
        <v>-2.4196008381500097E-2</v>
      </c>
      <c r="AN35" s="676">
        <f t="shared" si="23"/>
        <v>0</v>
      </c>
      <c r="AO35" s="676">
        <f t="shared" si="23"/>
        <v>0</v>
      </c>
      <c r="AP35" s="676">
        <f t="shared" si="23"/>
        <v>0</v>
      </c>
      <c r="AQ35" s="676">
        <f t="shared" ref="AQ35:BI35" si="24">-AQ34*$D$35</f>
        <v>0</v>
      </c>
      <c r="AR35" s="676">
        <f t="shared" si="24"/>
        <v>0</v>
      </c>
      <c r="AS35" s="676">
        <f t="shared" si="24"/>
        <v>0</v>
      </c>
      <c r="AT35" s="676">
        <f t="shared" si="24"/>
        <v>0</v>
      </c>
      <c r="AU35" s="676">
        <f t="shared" si="24"/>
        <v>0</v>
      </c>
      <c r="AV35" s="676">
        <f t="shared" si="24"/>
        <v>0</v>
      </c>
      <c r="AW35" s="676">
        <f t="shared" si="24"/>
        <v>-3.5558101002780226E-17</v>
      </c>
      <c r="AX35" s="676">
        <f t="shared" si="24"/>
        <v>-5.0752156238500533E-17</v>
      </c>
      <c r="AY35" s="676">
        <f t="shared" si="24"/>
        <v>-5.2031110575710777E-17</v>
      </c>
      <c r="AZ35" s="676">
        <f t="shared" si="24"/>
        <v>-5.3342294562218696E-17</v>
      </c>
      <c r="BA35" s="676">
        <f t="shared" si="24"/>
        <v>-5.4686520385186561E-17</v>
      </c>
      <c r="BB35" s="676">
        <f t="shared" si="24"/>
        <v>-5.6064620698893241E-17</v>
      </c>
      <c r="BC35" s="676">
        <f t="shared" si="24"/>
        <v>-5.7477449140505354E-17</v>
      </c>
      <c r="BD35" s="676">
        <f t="shared" si="24"/>
        <v>-5.8925880858846086E-17</v>
      </c>
      <c r="BE35" s="676">
        <f t="shared" si="24"/>
        <v>-6.0410813056489014E-17</v>
      </c>
      <c r="BF35" s="676">
        <f t="shared" si="24"/>
        <v>-6.193316554551255E-17</v>
      </c>
      <c r="BG35" s="676">
        <f t="shared" si="24"/>
        <v>-6.3493881317259465E-17</v>
      </c>
      <c r="BH35" s="676">
        <f t="shared" si="24"/>
        <v>-6.5093927126454365E-17</v>
      </c>
      <c r="BI35" s="676">
        <f t="shared" si="24"/>
        <v>-6.6734294090040988E-17</v>
      </c>
      <c r="BJ35" s="47"/>
      <c r="BK35" s="47"/>
      <c r="BL35" s="47"/>
      <c r="BM35" s="47"/>
    </row>
    <row r="36" spans="1:65">
      <c r="A36" s="47"/>
      <c r="B36" s="47"/>
      <c r="C36" s="47"/>
      <c r="D36" s="47"/>
      <c r="E36" s="47"/>
      <c r="F36" s="670"/>
      <c r="G36" s="670"/>
      <c r="H36" s="670"/>
      <c r="I36" s="670"/>
      <c r="J36" s="670"/>
      <c r="K36" s="670"/>
      <c r="L36" s="670"/>
      <c r="M36" s="670"/>
      <c r="N36" s="670"/>
      <c r="O36" s="670"/>
      <c r="P36" s="670"/>
      <c r="Q36" s="670"/>
      <c r="R36" s="670"/>
      <c r="S36" s="670"/>
      <c r="T36" s="670"/>
      <c r="U36" s="670"/>
      <c r="V36" s="670"/>
      <c r="W36" s="670"/>
      <c r="X36" s="670"/>
      <c r="Y36" s="670"/>
      <c r="Z36" s="670"/>
      <c r="AA36" s="670"/>
      <c r="AB36" s="670"/>
      <c r="AC36" s="670"/>
      <c r="AD36" s="670"/>
      <c r="AE36" s="670"/>
      <c r="AF36" s="670"/>
      <c r="AG36" s="670"/>
      <c r="AH36" s="670"/>
      <c r="AI36" s="670"/>
      <c r="AJ36" s="670"/>
      <c r="AK36" s="670"/>
      <c r="AL36" s="670"/>
      <c r="AM36" s="670"/>
      <c r="AN36" s="670"/>
      <c r="AO36" s="670"/>
      <c r="AP36" s="670"/>
      <c r="AQ36" s="670"/>
      <c r="AR36" s="670"/>
      <c r="AS36" s="670"/>
      <c r="AT36" s="670"/>
      <c r="AU36" s="670"/>
      <c r="AV36" s="670"/>
      <c r="AW36" s="670"/>
      <c r="AX36" s="670"/>
      <c r="AY36" s="670"/>
      <c r="AZ36" s="670"/>
      <c r="BA36" s="670"/>
      <c r="BB36" s="670"/>
      <c r="BC36" s="670"/>
      <c r="BD36" s="670"/>
      <c r="BE36" s="670"/>
      <c r="BF36" s="670"/>
      <c r="BG36" s="670"/>
      <c r="BH36" s="670"/>
      <c r="BI36" s="670"/>
      <c r="BJ36" s="47"/>
      <c r="BK36" s="47"/>
      <c r="BL36" s="47"/>
      <c r="BM36" s="47"/>
    </row>
    <row r="37" spans="1:65">
      <c r="A37" s="47"/>
      <c r="B37" s="492" t="s">
        <v>397</v>
      </c>
      <c r="C37" s="442"/>
      <c r="D37" s="493"/>
      <c r="E37" s="442"/>
      <c r="F37" s="677"/>
      <c r="G37" s="678">
        <f>SUM(G25:G36)</f>
        <v>12.585327029005276</v>
      </c>
      <c r="H37" s="678">
        <f t="shared" ref="H37:AL37" si="25">SUM(H25:H36)</f>
        <v>13.140161558741951</v>
      </c>
      <c r="I37" s="678">
        <f t="shared" si="25"/>
        <v>13.864930915668488</v>
      </c>
      <c r="J37" s="678">
        <f t="shared" si="25"/>
        <v>15.111304055194124</v>
      </c>
      <c r="K37" s="678">
        <f t="shared" si="25"/>
        <v>15.11526807367586</v>
      </c>
      <c r="L37" s="678">
        <f t="shared" si="25"/>
        <v>6.6466276470049737</v>
      </c>
      <c r="M37" s="678">
        <f t="shared" si="25"/>
        <v>6.5588434760074614</v>
      </c>
      <c r="N37" s="678">
        <f t="shared" si="25"/>
        <v>4.2559328036792348</v>
      </c>
      <c r="O37" s="678">
        <f t="shared" si="25"/>
        <v>4.2298681543090151</v>
      </c>
      <c r="P37" s="678">
        <f t="shared" si="25"/>
        <v>4.1997871590428861</v>
      </c>
      <c r="Q37" s="678">
        <f t="shared" si="25"/>
        <v>4.1655039461426302</v>
      </c>
      <c r="R37" s="678">
        <f t="shared" si="25"/>
        <v>4.1268258264747235</v>
      </c>
      <c r="S37" s="678">
        <f t="shared" si="25"/>
        <v>4.0835530679495955</v>
      </c>
      <c r="T37" s="678">
        <f t="shared" si="25"/>
        <v>4.0354786629219568</v>
      </c>
      <c r="U37" s="678">
        <f t="shared" si="25"/>
        <v>3.9823880883406546</v>
      </c>
      <c r="V37" s="678">
        <f t="shared" si="25"/>
        <v>3.9240590584303519</v>
      </c>
      <c r="W37" s="678">
        <f t="shared" si="25"/>
        <v>3.8602612696809508</v>
      </c>
      <c r="X37" s="678">
        <f t="shared" si="25"/>
        <v>4.113903990140475</v>
      </c>
      <c r="Y37" s="678">
        <f t="shared" si="25"/>
        <v>4.2885624505191648</v>
      </c>
      <c r="Z37" s="678">
        <f t="shared" si="25"/>
        <v>4.3368237659802933</v>
      </c>
      <c r="AA37" s="678">
        <f t="shared" si="25"/>
        <v>4.361161377929081</v>
      </c>
      <c r="AB37" s="678">
        <f t="shared" si="25"/>
        <v>4.2726397473940532</v>
      </c>
      <c r="AC37" s="678">
        <f t="shared" si="25"/>
        <v>4.1768871147586193</v>
      </c>
      <c r="AD37" s="678">
        <f t="shared" si="25"/>
        <v>1.6717125354487146</v>
      </c>
      <c r="AE37" s="678">
        <f t="shared" si="25"/>
        <v>1.6403508063412862</v>
      </c>
      <c r="AF37" s="678">
        <f t="shared" si="25"/>
        <v>1.6116307041115634</v>
      </c>
      <c r="AG37" s="678">
        <f t="shared" si="25"/>
        <v>1.5804214203534035</v>
      </c>
      <c r="AH37" s="678">
        <f t="shared" si="25"/>
        <v>1.5466157387314934</v>
      </c>
      <c r="AI37" s="678">
        <f t="shared" si="25"/>
        <v>1.5101026199370577</v>
      </c>
      <c r="AJ37" s="678">
        <f t="shared" si="25"/>
        <v>1.2300863711562073</v>
      </c>
      <c r="AK37" s="678">
        <f t="shared" si="25"/>
        <v>0.91392339350486473</v>
      </c>
      <c r="AL37" s="678">
        <f t="shared" si="25"/>
        <v>0.59747131452090896</v>
      </c>
      <c r="AM37" s="678">
        <f t="shared" ref="AM37:BI37" si="26">SUM(AM25:AM36)</f>
        <v>0.33535411231122092</v>
      </c>
      <c r="AN37" s="678">
        <f t="shared" si="26"/>
        <v>-2.8903847784435741E-15</v>
      </c>
      <c r="AO37" s="678">
        <f t="shared" si="26"/>
        <v>1.5811564774455622E-15</v>
      </c>
      <c r="AP37" s="678">
        <f t="shared" si="26"/>
        <v>1.6210016206771902E-15</v>
      </c>
      <c r="AQ37" s="678">
        <f t="shared" si="26"/>
        <v>1.6618508615182551E-15</v>
      </c>
      <c r="AR37" s="678">
        <f t="shared" si="26"/>
        <v>1.7037295032285151E-15</v>
      </c>
      <c r="AS37" s="678">
        <f t="shared" si="26"/>
        <v>1.7466634867098734E-15</v>
      </c>
      <c r="AT37" s="678">
        <f t="shared" si="26"/>
        <v>1.7906794065749618E-15</v>
      </c>
      <c r="AU37" s="678">
        <f t="shared" si="26"/>
        <v>1.8358045276206507E-15</v>
      </c>
      <c r="AV37" s="678">
        <f t="shared" si="26"/>
        <v>1.8820668017166907E-15</v>
      </c>
      <c r="AW37" s="678">
        <f t="shared" si="26"/>
        <v>2.0361691881282925E-15</v>
      </c>
      <c r="AX37" s="678">
        <f t="shared" si="26"/>
        <v>2.1303746249404756E-15</v>
      </c>
      <c r="AY37" s="678">
        <f t="shared" si="26"/>
        <v>2.1840600654889757E-15</v>
      </c>
      <c r="AZ37" s="678">
        <f t="shared" si="26"/>
        <v>2.2390983791392979E-15</v>
      </c>
      <c r="BA37" s="678">
        <f t="shared" si="26"/>
        <v>2.2955236582936071E-15</v>
      </c>
      <c r="BB37" s="678">
        <f t="shared" si="26"/>
        <v>2.3533708544826059E-15</v>
      </c>
      <c r="BC37" s="678">
        <f t="shared" si="26"/>
        <v>2.4126758000155673E-15</v>
      </c>
      <c r="BD37" s="678">
        <f t="shared" si="26"/>
        <v>2.4734752301759592E-15</v>
      </c>
      <c r="BE37" s="678">
        <f t="shared" si="26"/>
        <v>2.5358068059763935E-15</v>
      </c>
      <c r="BF37" s="678">
        <f t="shared" si="26"/>
        <v>2.5997091374869983E-15</v>
      </c>
      <c r="BG37" s="678">
        <f t="shared" si="26"/>
        <v>2.6652218077516707E-15</v>
      </c>
      <c r="BH37" s="678">
        <f t="shared" si="26"/>
        <v>2.7323853973070117E-15</v>
      </c>
      <c r="BI37" s="678">
        <f t="shared" si="26"/>
        <v>2.8012415093191482E-15</v>
      </c>
      <c r="BJ37" s="47"/>
      <c r="BK37" s="47"/>
      <c r="BL37" s="47"/>
      <c r="BM37" s="47"/>
    </row>
    <row r="38" spans="1:65">
      <c r="A38" s="47"/>
      <c r="B38" s="492"/>
      <c r="C38" s="442"/>
      <c r="D38" s="442"/>
      <c r="E38" s="442"/>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679"/>
      <c r="AP38" s="679"/>
      <c r="AQ38" s="679"/>
      <c r="AR38" s="679"/>
      <c r="AS38" s="679"/>
      <c r="AT38" s="679"/>
      <c r="AU38" s="679"/>
      <c r="AV38" s="679"/>
      <c r="AW38" s="679"/>
      <c r="AX38" s="679"/>
      <c r="AY38" s="679"/>
      <c r="AZ38" s="679"/>
      <c r="BA38" s="679"/>
      <c r="BB38" s="679"/>
      <c r="BC38" s="679"/>
      <c r="BD38" s="679"/>
      <c r="BE38" s="679"/>
      <c r="BF38" s="679"/>
      <c r="BG38" s="679"/>
      <c r="BH38" s="679"/>
      <c r="BI38" s="679"/>
      <c r="BJ38" s="47"/>
      <c r="BK38" s="47"/>
      <c r="BL38" s="47"/>
      <c r="BM38" s="47"/>
    </row>
    <row r="39" spans="1:65">
      <c r="A39" s="47"/>
      <c r="B39" s="326" t="s">
        <v>398</v>
      </c>
      <c r="C39" s="442"/>
      <c r="D39" s="442"/>
      <c r="E39" s="442"/>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679"/>
      <c r="AP39" s="679"/>
      <c r="AQ39" s="679"/>
      <c r="AR39" s="679"/>
      <c r="AS39" s="679"/>
      <c r="AT39" s="679"/>
      <c r="AU39" s="679"/>
      <c r="AV39" s="679"/>
      <c r="AW39" s="679"/>
      <c r="AX39" s="679"/>
      <c r="AY39" s="679"/>
      <c r="AZ39" s="679"/>
      <c r="BA39" s="679"/>
      <c r="BB39" s="679"/>
      <c r="BC39" s="679"/>
      <c r="BD39" s="679"/>
      <c r="BE39" s="679"/>
      <c r="BF39" s="679"/>
      <c r="BG39" s="679"/>
      <c r="BH39" s="679"/>
      <c r="BI39" s="679"/>
      <c r="BJ39" s="47"/>
      <c r="BK39" s="47"/>
      <c r="BL39" s="47"/>
      <c r="BM39" s="47"/>
    </row>
    <row r="40" spans="1:65">
      <c r="A40" s="47"/>
      <c r="B40" s="326" t="s">
        <v>400</v>
      </c>
      <c r="C40" s="442"/>
      <c r="D40" s="442"/>
      <c r="E40" s="442"/>
      <c r="F40" s="680"/>
      <c r="G40" s="681">
        <f>'PTRM input'!G139*Analysis!G$7</f>
        <v>4.3823486043523312</v>
      </c>
      <c r="H40" s="681">
        <f>'PTRM input'!H139*Analysis!H$7</f>
        <v>3.9893077553109415</v>
      </c>
      <c r="I40" s="681">
        <f>'PTRM input'!I139*Analysis!I$7</f>
        <v>3.0451551372407919</v>
      </c>
      <c r="J40" s="681">
        <f>'PTRM input'!J139*Analysis!J$7</f>
        <v>3.8779603774580362</v>
      </c>
      <c r="K40" s="681">
        <f>'PTRM input'!K139*Analysis!K$7</f>
        <v>2.1644101223601053</v>
      </c>
      <c r="L40" s="681">
        <f>'PTRM input'!L139*Analysis!L$7</f>
        <v>0</v>
      </c>
      <c r="M40" s="681">
        <f>'PTRM input'!M139*Analysis!M$7</f>
        <v>0</v>
      </c>
      <c r="N40" s="681">
        <f>'PTRM input'!N139*Analysis!N$7</f>
        <v>0</v>
      </c>
      <c r="O40" s="681">
        <f>'PTRM input'!O139*Analysis!O$7</f>
        <v>0</v>
      </c>
      <c r="P40" s="681">
        <f>'PTRM input'!P139*Analysis!P$7</f>
        <v>0</v>
      </c>
      <c r="Q40" s="682"/>
      <c r="R40" s="683"/>
      <c r="S40" s="683"/>
      <c r="T40" s="683"/>
      <c r="U40" s="683"/>
      <c r="V40" s="683"/>
      <c r="W40" s="683"/>
      <c r="X40" s="683"/>
      <c r="Y40" s="683"/>
      <c r="Z40" s="683"/>
      <c r="AA40" s="683"/>
      <c r="AB40" s="683"/>
      <c r="AC40" s="683"/>
      <c r="AD40" s="683"/>
      <c r="AE40" s="683"/>
      <c r="AF40" s="683"/>
      <c r="AG40" s="683"/>
      <c r="AH40" s="683"/>
      <c r="AI40" s="683"/>
      <c r="AJ40" s="683"/>
      <c r="AK40" s="683"/>
      <c r="AL40" s="683"/>
      <c r="AM40" s="683"/>
      <c r="AN40" s="683"/>
      <c r="AO40" s="683"/>
      <c r="AP40" s="683"/>
      <c r="AQ40" s="683"/>
      <c r="AR40" s="683"/>
      <c r="AS40" s="683"/>
      <c r="AT40" s="683"/>
      <c r="AU40" s="683"/>
      <c r="AV40" s="683"/>
      <c r="AW40" s="683"/>
      <c r="AX40" s="683"/>
      <c r="AY40" s="683"/>
      <c r="AZ40" s="683"/>
      <c r="BA40" s="683"/>
      <c r="BB40" s="683"/>
      <c r="BC40" s="683"/>
      <c r="BD40" s="683"/>
      <c r="BE40" s="683"/>
      <c r="BF40" s="683"/>
      <c r="BG40" s="683"/>
      <c r="BH40" s="683"/>
      <c r="BI40" s="683"/>
      <c r="BJ40" s="47"/>
      <c r="BK40" s="47"/>
      <c r="BL40" s="47"/>
      <c r="BM40" s="47"/>
    </row>
    <row r="41" spans="1:65">
      <c r="A41" s="47"/>
      <c r="B41" s="326" t="s">
        <v>404</v>
      </c>
      <c r="C41" s="442"/>
      <c r="D41" s="442"/>
      <c r="E41" s="442"/>
      <c r="F41" s="684"/>
      <c r="G41" s="676">
        <f>-'PTRM input'!G202*Analysis!G$7</f>
        <v>0</v>
      </c>
      <c r="H41" s="676">
        <f>-'PTRM input'!H202*Analysis!H$7</f>
        <v>0</v>
      </c>
      <c r="I41" s="676">
        <f>-'PTRM input'!I202*Analysis!I$7</f>
        <v>0</v>
      </c>
      <c r="J41" s="676">
        <f>-'PTRM input'!J202*Analysis!J$7</f>
        <v>0</v>
      </c>
      <c r="K41" s="676">
        <f>-'PTRM input'!K202*Analysis!K$7</f>
        <v>0</v>
      </c>
      <c r="L41" s="676">
        <f>-'PTRM input'!L202*Analysis!L$7</f>
        <v>0</v>
      </c>
      <c r="M41" s="676">
        <f>-'PTRM input'!M202*Analysis!M$7</f>
        <v>0</v>
      </c>
      <c r="N41" s="676">
        <f>-'PTRM input'!N202*Analysis!N$7</f>
        <v>0</v>
      </c>
      <c r="O41" s="676">
        <f>-'PTRM input'!O202*Analysis!O$7</f>
        <v>0</v>
      </c>
      <c r="P41" s="676">
        <f>-'PTRM input'!P202*Analysis!P$7</f>
        <v>0</v>
      </c>
      <c r="Q41" s="685"/>
      <c r="R41" s="685"/>
      <c r="S41" s="685"/>
      <c r="T41" s="685"/>
      <c r="U41" s="685"/>
      <c r="V41" s="685"/>
      <c r="W41" s="685"/>
      <c r="X41" s="685"/>
      <c r="Y41" s="685"/>
      <c r="Z41" s="685"/>
      <c r="AA41" s="685"/>
      <c r="AB41" s="685"/>
      <c r="AC41" s="685"/>
      <c r="AD41" s="685"/>
      <c r="AE41" s="685"/>
      <c r="AF41" s="685"/>
      <c r="AG41" s="685"/>
      <c r="AH41" s="685"/>
      <c r="AI41" s="685"/>
      <c r="AJ41" s="685"/>
      <c r="AK41" s="685"/>
      <c r="AL41" s="685"/>
      <c r="AM41" s="685"/>
      <c r="AN41" s="685"/>
      <c r="AO41" s="685"/>
      <c r="AP41" s="685"/>
      <c r="AQ41" s="685"/>
      <c r="AR41" s="685"/>
      <c r="AS41" s="685"/>
      <c r="AT41" s="685"/>
      <c r="AU41" s="685"/>
      <c r="AV41" s="685"/>
      <c r="AW41" s="685"/>
      <c r="AX41" s="685"/>
      <c r="AY41" s="685"/>
      <c r="AZ41" s="685"/>
      <c r="BA41" s="685"/>
      <c r="BB41" s="685"/>
      <c r="BC41" s="685"/>
      <c r="BD41" s="685"/>
      <c r="BE41" s="685"/>
      <c r="BF41" s="685"/>
      <c r="BG41" s="685"/>
      <c r="BH41" s="685"/>
      <c r="BI41" s="685"/>
      <c r="BJ41" s="47"/>
      <c r="BK41" s="47"/>
      <c r="BL41" s="47"/>
      <c r="BM41" s="47"/>
    </row>
    <row r="42" spans="1:65">
      <c r="A42" s="47"/>
      <c r="B42" s="326"/>
      <c r="C42" s="442"/>
      <c r="D42" s="442"/>
      <c r="E42" s="442"/>
      <c r="F42" s="686"/>
      <c r="G42" s="685"/>
      <c r="H42" s="685"/>
      <c r="I42" s="685"/>
      <c r="J42" s="685"/>
      <c r="K42" s="685"/>
      <c r="L42" s="685"/>
      <c r="M42" s="685"/>
      <c r="N42" s="685"/>
      <c r="O42" s="685"/>
      <c r="P42" s="685"/>
      <c r="Q42" s="685"/>
      <c r="R42" s="685"/>
      <c r="S42" s="685"/>
      <c r="T42" s="685"/>
      <c r="U42" s="685"/>
      <c r="V42" s="685"/>
      <c r="W42" s="685"/>
      <c r="X42" s="685"/>
      <c r="Y42" s="685"/>
      <c r="Z42" s="685"/>
      <c r="AA42" s="685"/>
      <c r="AB42" s="685"/>
      <c r="AC42" s="685"/>
      <c r="AD42" s="685"/>
      <c r="AE42" s="685"/>
      <c r="AF42" s="685"/>
      <c r="AG42" s="685"/>
      <c r="AH42" s="685"/>
      <c r="AI42" s="685"/>
      <c r="AJ42" s="685"/>
      <c r="AK42" s="685"/>
      <c r="AL42" s="685"/>
      <c r="AM42" s="685"/>
      <c r="AN42" s="685"/>
      <c r="AO42" s="685"/>
      <c r="AP42" s="685"/>
      <c r="AQ42" s="685"/>
      <c r="AR42" s="685"/>
      <c r="AS42" s="685"/>
      <c r="AT42" s="685"/>
      <c r="AU42" s="685"/>
      <c r="AV42" s="685"/>
      <c r="AW42" s="685"/>
      <c r="AX42" s="685"/>
      <c r="AY42" s="685"/>
      <c r="AZ42" s="685"/>
      <c r="BA42" s="685"/>
      <c r="BB42" s="685"/>
      <c r="BC42" s="685"/>
      <c r="BD42" s="685"/>
      <c r="BE42" s="685"/>
      <c r="BF42" s="685"/>
      <c r="BG42" s="685"/>
      <c r="BH42" s="685"/>
      <c r="BI42" s="685"/>
      <c r="BJ42" s="47"/>
      <c r="BK42" s="47"/>
      <c r="BL42" s="47"/>
      <c r="BM42" s="47"/>
    </row>
    <row r="43" spans="1:65">
      <c r="A43" s="47"/>
      <c r="B43" s="492" t="s">
        <v>399</v>
      </c>
      <c r="C43" s="442"/>
      <c r="D43" s="442"/>
      <c r="E43" s="442"/>
      <c r="F43" s="677"/>
      <c r="G43" s="678">
        <f>G37+G40+G41</f>
        <v>16.967675633357608</v>
      </c>
      <c r="H43" s="678">
        <f t="shared" ref="H43:BI43" si="27">H37+H40+H41</f>
        <v>17.129469314052894</v>
      </c>
      <c r="I43" s="678">
        <f t="shared" si="27"/>
        <v>16.910086052909278</v>
      </c>
      <c r="J43" s="678">
        <f t="shared" si="27"/>
        <v>18.98926443265216</v>
      </c>
      <c r="K43" s="678">
        <f t="shared" si="27"/>
        <v>17.279678196035967</v>
      </c>
      <c r="L43" s="678">
        <f t="shared" si="27"/>
        <v>6.6466276470049737</v>
      </c>
      <c r="M43" s="678">
        <f t="shared" si="27"/>
        <v>6.5588434760074614</v>
      </c>
      <c r="N43" s="678">
        <f t="shared" si="27"/>
        <v>4.2559328036792348</v>
      </c>
      <c r="O43" s="678">
        <f t="shared" si="27"/>
        <v>4.2298681543090151</v>
      </c>
      <c r="P43" s="678">
        <f t="shared" si="27"/>
        <v>4.1997871590428861</v>
      </c>
      <c r="Q43" s="678">
        <f t="shared" si="27"/>
        <v>4.1655039461426302</v>
      </c>
      <c r="R43" s="678">
        <f t="shared" si="27"/>
        <v>4.1268258264747235</v>
      </c>
      <c r="S43" s="678">
        <f t="shared" si="27"/>
        <v>4.0835530679495955</v>
      </c>
      <c r="T43" s="678">
        <f t="shared" si="27"/>
        <v>4.0354786629219568</v>
      </c>
      <c r="U43" s="678">
        <f t="shared" si="27"/>
        <v>3.9823880883406546</v>
      </c>
      <c r="V43" s="678">
        <f t="shared" si="27"/>
        <v>3.9240590584303519</v>
      </c>
      <c r="W43" s="678">
        <f t="shared" si="27"/>
        <v>3.8602612696809508</v>
      </c>
      <c r="X43" s="678">
        <f t="shared" si="27"/>
        <v>4.113903990140475</v>
      </c>
      <c r="Y43" s="678">
        <f t="shared" si="27"/>
        <v>4.2885624505191648</v>
      </c>
      <c r="Z43" s="678">
        <f t="shared" si="27"/>
        <v>4.3368237659802933</v>
      </c>
      <c r="AA43" s="678">
        <f t="shared" si="27"/>
        <v>4.361161377929081</v>
      </c>
      <c r="AB43" s="678">
        <f t="shared" si="27"/>
        <v>4.2726397473940532</v>
      </c>
      <c r="AC43" s="678">
        <f t="shared" si="27"/>
        <v>4.1768871147586193</v>
      </c>
      <c r="AD43" s="678">
        <f t="shared" si="27"/>
        <v>1.6717125354487146</v>
      </c>
      <c r="AE43" s="678">
        <f t="shared" si="27"/>
        <v>1.6403508063412862</v>
      </c>
      <c r="AF43" s="678">
        <f t="shared" si="27"/>
        <v>1.6116307041115634</v>
      </c>
      <c r="AG43" s="678">
        <f t="shared" si="27"/>
        <v>1.5804214203534035</v>
      </c>
      <c r="AH43" s="678">
        <f t="shared" si="27"/>
        <v>1.5466157387314934</v>
      </c>
      <c r="AI43" s="678">
        <f t="shared" si="27"/>
        <v>1.5101026199370577</v>
      </c>
      <c r="AJ43" s="678">
        <f t="shared" si="27"/>
        <v>1.2300863711562073</v>
      </c>
      <c r="AK43" s="678">
        <f t="shared" si="27"/>
        <v>0.91392339350486473</v>
      </c>
      <c r="AL43" s="678">
        <f t="shared" si="27"/>
        <v>0.59747131452090896</v>
      </c>
      <c r="AM43" s="678">
        <f t="shared" si="27"/>
        <v>0.33535411231122092</v>
      </c>
      <c r="AN43" s="678">
        <f t="shared" si="27"/>
        <v>-2.8903847784435741E-15</v>
      </c>
      <c r="AO43" s="678">
        <f t="shared" si="27"/>
        <v>1.5811564774455622E-15</v>
      </c>
      <c r="AP43" s="678">
        <f t="shared" si="27"/>
        <v>1.6210016206771902E-15</v>
      </c>
      <c r="AQ43" s="678">
        <f t="shared" si="27"/>
        <v>1.6618508615182551E-15</v>
      </c>
      <c r="AR43" s="678">
        <f t="shared" si="27"/>
        <v>1.7037295032285151E-15</v>
      </c>
      <c r="AS43" s="678">
        <f t="shared" si="27"/>
        <v>1.7466634867098734E-15</v>
      </c>
      <c r="AT43" s="678">
        <f t="shared" si="27"/>
        <v>1.7906794065749618E-15</v>
      </c>
      <c r="AU43" s="678">
        <f t="shared" si="27"/>
        <v>1.8358045276206507E-15</v>
      </c>
      <c r="AV43" s="678">
        <f t="shared" si="27"/>
        <v>1.8820668017166907E-15</v>
      </c>
      <c r="AW43" s="678">
        <f t="shared" si="27"/>
        <v>2.0361691881282925E-15</v>
      </c>
      <c r="AX43" s="678">
        <f t="shared" si="27"/>
        <v>2.1303746249404756E-15</v>
      </c>
      <c r="AY43" s="678">
        <f t="shared" si="27"/>
        <v>2.1840600654889757E-15</v>
      </c>
      <c r="AZ43" s="678">
        <f t="shared" si="27"/>
        <v>2.2390983791392979E-15</v>
      </c>
      <c r="BA43" s="678">
        <f t="shared" si="27"/>
        <v>2.2955236582936071E-15</v>
      </c>
      <c r="BB43" s="678">
        <f t="shared" si="27"/>
        <v>2.3533708544826059E-15</v>
      </c>
      <c r="BC43" s="678">
        <f t="shared" si="27"/>
        <v>2.4126758000155673E-15</v>
      </c>
      <c r="BD43" s="678">
        <f t="shared" si="27"/>
        <v>2.4734752301759592E-15</v>
      </c>
      <c r="BE43" s="678">
        <f t="shared" si="27"/>
        <v>2.5358068059763935E-15</v>
      </c>
      <c r="BF43" s="678">
        <f t="shared" si="27"/>
        <v>2.5997091374869983E-15</v>
      </c>
      <c r="BG43" s="678">
        <f t="shared" si="27"/>
        <v>2.6652218077516707E-15</v>
      </c>
      <c r="BH43" s="678">
        <f t="shared" si="27"/>
        <v>2.7323853973070117E-15</v>
      </c>
      <c r="BI43" s="678">
        <f t="shared" si="27"/>
        <v>2.8012415093191482E-15</v>
      </c>
      <c r="BJ43" s="47"/>
      <c r="BK43" s="47"/>
      <c r="BL43" s="47"/>
      <c r="BM43" s="47"/>
    </row>
    <row r="44" spans="1:65">
      <c r="A44" s="47"/>
      <c r="B44" s="52"/>
      <c r="C44" s="47"/>
      <c r="D44" s="47"/>
      <c r="E44" s="47"/>
      <c r="F44" s="687"/>
      <c r="G44" s="687"/>
      <c r="H44" s="687"/>
      <c r="I44" s="687"/>
      <c r="J44" s="687"/>
      <c r="K44" s="687"/>
      <c r="L44" s="687"/>
      <c r="M44" s="687"/>
      <c r="N44" s="687"/>
      <c r="O44" s="687"/>
      <c r="P44" s="687"/>
      <c r="Q44" s="687"/>
      <c r="R44" s="687"/>
      <c r="S44" s="687"/>
      <c r="T44" s="687"/>
      <c r="U44" s="687"/>
      <c r="V44" s="687"/>
      <c r="W44" s="687"/>
      <c r="X44" s="687"/>
      <c r="Y44" s="687"/>
      <c r="Z44" s="687"/>
      <c r="AA44" s="687"/>
      <c r="AB44" s="687"/>
      <c r="AC44" s="687"/>
      <c r="AD44" s="687"/>
      <c r="AE44" s="687"/>
      <c r="AF44" s="687"/>
      <c r="AG44" s="687"/>
      <c r="AH44" s="687"/>
      <c r="AI44" s="687"/>
      <c r="AJ44" s="687"/>
      <c r="AK44" s="687"/>
      <c r="AL44" s="687"/>
      <c r="AM44" s="687"/>
      <c r="AN44" s="687"/>
      <c r="AO44" s="687"/>
      <c r="AP44" s="687"/>
      <c r="AQ44" s="687"/>
      <c r="AR44" s="687"/>
      <c r="AS44" s="687"/>
      <c r="AT44" s="687"/>
      <c r="AU44" s="687"/>
      <c r="AV44" s="687"/>
      <c r="AW44" s="687"/>
      <c r="AX44" s="687"/>
      <c r="AY44" s="687"/>
      <c r="AZ44" s="687"/>
      <c r="BA44" s="687"/>
      <c r="BB44" s="687"/>
      <c r="BC44" s="687"/>
      <c r="BD44" s="687"/>
      <c r="BE44" s="687"/>
      <c r="BF44" s="687"/>
      <c r="BG44" s="687"/>
      <c r="BH44" s="687"/>
      <c r="BI44" s="687"/>
      <c r="BJ44" s="47"/>
      <c r="BK44" s="47"/>
      <c r="BL44" s="47"/>
      <c r="BM44" s="47"/>
    </row>
    <row r="45" spans="1:65">
      <c r="A45" s="47"/>
      <c r="B45" s="52" t="s">
        <v>25</v>
      </c>
      <c r="C45" s="47"/>
      <c r="D45" s="47"/>
      <c r="E45" s="47"/>
      <c r="F45" s="687"/>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7"/>
      <c r="AL45" s="687"/>
      <c r="AM45" s="687"/>
      <c r="AN45" s="687"/>
      <c r="AO45" s="687"/>
      <c r="AP45" s="687"/>
      <c r="AQ45" s="687"/>
      <c r="AR45" s="687"/>
      <c r="AS45" s="687"/>
      <c r="AT45" s="687"/>
      <c r="AU45" s="687"/>
      <c r="AV45" s="687"/>
      <c r="AW45" s="687"/>
      <c r="AX45" s="687"/>
      <c r="AY45" s="687"/>
      <c r="AZ45" s="687"/>
      <c r="BA45" s="687"/>
      <c r="BB45" s="687"/>
      <c r="BC45" s="687"/>
      <c r="BD45" s="687"/>
      <c r="BE45" s="687"/>
      <c r="BF45" s="687"/>
      <c r="BG45" s="687"/>
      <c r="BH45" s="687"/>
      <c r="BI45" s="687"/>
      <c r="BJ45" s="47"/>
      <c r="BK45" s="47"/>
      <c r="BL45" s="47"/>
      <c r="BM45" s="47"/>
    </row>
    <row r="46" spans="1:65">
      <c r="A46" s="47"/>
      <c r="B46" s="78" t="s">
        <v>79</v>
      </c>
      <c r="C46" s="47"/>
      <c r="D46" s="47"/>
      <c r="E46" s="47"/>
      <c r="F46" s="666"/>
      <c r="G46" s="1415">
        <f t="shared" ref="G46:AL46" si="28">G30</f>
        <v>5.5481846193927771</v>
      </c>
      <c r="H46" s="667">
        <f t="shared" si="28"/>
        <v>6.0855256345683566</v>
      </c>
      <c r="I46" s="667">
        <f t="shared" si="28"/>
        <v>6.9042490312056941</v>
      </c>
      <c r="J46" s="667">
        <f t="shared" si="28"/>
        <v>7.7079127816864537</v>
      </c>
      <c r="K46" s="667">
        <f t="shared" si="28"/>
        <v>8.0829431956179896</v>
      </c>
      <c r="L46" s="667">
        <f t="shared" si="28"/>
        <v>0</v>
      </c>
      <c r="M46" s="667">
        <f t="shared" si="28"/>
        <v>0</v>
      </c>
      <c r="N46" s="667">
        <f t="shared" si="28"/>
        <v>0</v>
      </c>
      <c r="O46" s="667">
        <f t="shared" si="28"/>
        <v>0</v>
      </c>
      <c r="P46" s="667">
        <f t="shared" si="28"/>
        <v>0</v>
      </c>
      <c r="Q46" s="667">
        <f t="shared" si="28"/>
        <v>0</v>
      </c>
      <c r="R46" s="667">
        <f t="shared" si="28"/>
        <v>0</v>
      </c>
      <c r="S46" s="667">
        <f t="shared" si="28"/>
        <v>0</v>
      </c>
      <c r="T46" s="667">
        <f t="shared" si="28"/>
        <v>0</v>
      </c>
      <c r="U46" s="667">
        <f t="shared" si="28"/>
        <v>0</v>
      </c>
      <c r="V46" s="667">
        <f t="shared" si="28"/>
        <v>0</v>
      </c>
      <c r="W46" s="667">
        <f t="shared" si="28"/>
        <v>0</v>
      </c>
      <c r="X46" s="667">
        <f t="shared" si="28"/>
        <v>0</v>
      </c>
      <c r="Y46" s="667">
        <f t="shared" si="28"/>
        <v>0</v>
      </c>
      <c r="Z46" s="667">
        <f t="shared" si="28"/>
        <v>0</v>
      </c>
      <c r="AA46" s="667">
        <f t="shared" si="28"/>
        <v>0</v>
      </c>
      <c r="AB46" s="667">
        <f t="shared" si="28"/>
        <v>0</v>
      </c>
      <c r="AC46" s="667">
        <f t="shared" si="28"/>
        <v>0</v>
      </c>
      <c r="AD46" s="667">
        <f t="shared" si="28"/>
        <v>0</v>
      </c>
      <c r="AE46" s="667">
        <f t="shared" si="28"/>
        <v>0</v>
      </c>
      <c r="AF46" s="667">
        <f t="shared" si="28"/>
        <v>0</v>
      </c>
      <c r="AG46" s="667">
        <f t="shared" si="28"/>
        <v>0</v>
      </c>
      <c r="AH46" s="667">
        <f t="shared" si="28"/>
        <v>0</v>
      </c>
      <c r="AI46" s="667">
        <f t="shared" si="28"/>
        <v>0</v>
      </c>
      <c r="AJ46" s="667">
        <f t="shared" si="28"/>
        <v>0</v>
      </c>
      <c r="AK46" s="667">
        <f t="shared" si="28"/>
        <v>0</v>
      </c>
      <c r="AL46" s="667">
        <f t="shared" si="28"/>
        <v>0</v>
      </c>
      <c r="AM46" s="667">
        <f t="shared" ref="AM46:BI46" si="29">AM30</f>
        <v>0</v>
      </c>
      <c r="AN46" s="667">
        <f t="shared" si="29"/>
        <v>0</v>
      </c>
      <c r="AO46" s="667">
        <f t="shared" si="29"/>
        <v>0</v>
      </c>
      <c r="AP46" s="667">
        <f t="shared" si="29"/>
        <v>0</v>
      </c>
      <c r="AQ46" s="667">
        <f t="shared" si="29"/>
        <v>0</v>
      </c>
      <c r="AR46" s="667">
        <f t="shared" si="29"/>
        <v>0</v>
      </c>
      <c r="AS46" s="667">
        <f t="shared" si="29"/>
        <v>0</v>
      </c>
      <c r="AT46" s="667">
        <f t="shared" si="29"/>
        <v>0</v>
      </c>
      <c r="AU46" s="667">
        <f t="shared" si="29"/>
        <v>0</v>
      </c>
      <c r="AV46" s="667">
        <f t="shared" si="29"/>
        <v>0</v>
      </c>
      <c r="AW46" s="667">
        <f t="shared" si="29"/>
        <v>0</v>
      </c>
      <c r="AX46" s="667">
        <f t="shared" si="29"/>
        <v>0</v>
      </c>
      <c r="AY46" s="667">
        <f t="shared" si="29"/>
        <v>0</v>
      </c>
      <c r="AZ46" s="667">
        <f t="shared" si="29"/>
        <v>0</v>
      </c>
      <c r="BA46" s="667">
        <f t="shared" si="29"/>
        <v>0</v>
      </c>
      <c r="BB46" s="667">
        <f t="shared" si="29"/>
        <v>0</v>
      </c>
      <c r="BC46" s="667">
        <f t="shared" si="29"/>
        <v>0</v>
      </c>
      <c r="BD46" s="667">
        <f t="shared" si="29"/>
        <v>0</v>
      </c>
      <c r="BE46" s="667">
        <f t="shared" si="29"/>
        <v>0</v>
      </c>
      <c r="BF46" s="667">
        <f t="shared" si="29"/>
        <v>0</v>
      </c>
      <c r="BG46" s="667">
        <f t="shared" si="29"/>
        <v>0</v>
      </c>
      <c r="BH46" s="667">
        <f t="shared" si="29"/>
        <v>0</v>
      </c>
      <c r="BI46" s="667">
        <f t="shared" si="29"/>
        <v>0</v>
      </c>
      <c r="BJ46" s="47"/>
      <c r="BK46" s="47"/>
      <c r="BL46" s="47"/>
      <c r="BM46" s="47"/>
    </row>
    <row r="47" spans="1:65">
      <c r="A47" s="47"/>
      <c r="B47" s="43" t="s">
        <v>26</v>
      </c>
      <c r="C47" s="47"/>
      <c r="D47" s="47"/>
      <c r="E47" s="47"/>
      <c r="F47" s="668"/>
      <c r="G47" s="669">
        <f>Assets!G479</f>
        <v>1.4411519933120049</v>
      </c>
      <c r="H47" s="1433">
        <f>Assets!H479</f>
        <v>1.8968164577817803</v>
      </c>
      <c r="I47" s="669">
        <f>Assets!I479</f>
        <v>2.3545992979614678</v>
      </c>
      <c r="J47" s="669">
        <f>Assets!J479</f>
        <v>2.7547083647473967</v>
      </c>
      <c r="K47" s="669">
        <f>Assets!K479</f>
        <v>3.1790762148316789</v>
      </c>
      <c r="L47" s="669">
        <f>Assets!L479</f>
        <v>3.543931991075965</v>
      </c>
      <c r="M47" s="669">
        <f>Assets!M479</f>
        <v>3.543931991075965</v>
      </c>
      <c r="N47" s="669">
        <f>Assets!N479</f>
        <v>3.543931991075965</v>
      </c>
      <c r="O47" s="669">
        <f>Assets!O479</f>
        <v>3.543931991075965</v>
      </c>
      <c r="P47" s="669">
        <f>Assets!P479</f>
        <v>3.543931991075965</v>
      </c>
      <c r="Q47" s="669">
        <f>Assets!Q479</f>
        <v>3.543931991075965</v>
      </c>
      <c r="R47" s="669">
        <f>Assets!R479</f>
        <v>2.2073747379985718</v>
      </c>
      <c r="S47" s="669">
        <f>Assets!S479</f>
        <v>2.1027799977639599</v>
      </c>
      <c r="T47" s="669">
        <f>Assets!T479</f>
        <v>2.1027799977639599</v>
      </c>
      <c r="U47" s="669">
        <f>Assets!U479</f>
        <v>2.1027799977639599</v>
      </c>
      <c r="V47" s="669">
        <f>Assets!V479</f>
        <v>2.1027799977639599</v>
      </c>
      <c r="W47" s="669">
        <f>Assets!W479</f>
        <v>1.6471155332941865</v>
      </c>
      <c r="X47" s="669">
        <f>Assets!X479</f>
        <v>1.1893326931144954</v>
      </c>
      <c r="Y47" s="669">
        <f>Assets!Y479</f>
        <v>0.78922362632856569</v>
      </c>
      <c r="Z47" s="669">
        <f>Assets!Z479</f>
        <v>0.36485577624428606</v>
      </c>
      <c r="AA47" s="669">
        <f>Assets!AA479</f>
        <v>0</v>
      </c>
      <c r="AB47" s="669">
        <f>Assets!AB479</f>
        <v>0</v>
      </c>
      <c r="AC47" s="669">
        <f>Assets!AC479</f>
        <v>0</v>
      </c>
      <c r="AD47" s="669">
        <f>Assets!AD479</f>
        <v>0</v>
      </c>
      <c r="AE47" s="669">
        <f>Assets!AE479</f>
        <v>0</v>
      </c>
      <c r="AF47" s="669">
        <f>Assets!AF479</f>
        <v>0</v>
      </c>
      <c r="AG47" s="669">
        <f>Assets!AG479</f>
        <v>0</v>
      </c>
      <c r="AH47" s="669">
        <f>Assets!AH479</f>
        <v>0</v>
      </c>
      <c r="AI47" s="669">
        <f>Assets!AI479</f>
        <v>0</v>
      </c>
      <c r="AJ47" s="669">
        <f>Assets!AJ479</f>
        <v>0</v>
      </c>
      <c r="AK47" s="669">
        <f>Assets!AK479</f>
        <v>0</v>
      </c>
      <c r="AL47" s="669">
        <f>Assets!AL479</f>
        <v>0</v>
      </c>
      <c r="AM47" s="669">
        <f>Assets!AM479</f>
        <v>0</v>
      </c>
      <c r="AN47" s="669">
        <f>Assets!AN479</f>
        <v>0</v>
      </c>
      <c r="AO47" s="669">
        <f>Assets!AO479</f>
        <v>0</v>
      </c>
      <c r="AP47" s="669">
        <f>Assets!AP479</f>
        <v>0</v>
      </c>
      <c r="AQ47" s="669">
        <f>Assets!AQ479</f>
        <v>0</v>
      </c>
      <c r="AR47" s="669">
        <f>Assets!AR479</f>
        <v>0</v>
      </c>
      <c r="AS47" s="669">
        <f>Assets!AS479</f>
        <v>0</v>
      </c>
      <c r="AT47" s="669">
        <f>Assets!AT479</f>
        <v>0</v>
      </c>
      <c r="AU47" s="669">
        <f>Assets!AU479</f>
        <v>0</v>
      </c>
      <c r="AV47" s="669">
        <f>Assets!AV479</f>
        <v>0</v>
      </c>
      <c r="AW47" s="669">
        <f>Assets!AW479</f>
        <v>0</v>
      </c>
      <c r="AX47" s="669">
        <f>Assets!AX479</f>
        <v>0</v>
      </c>
      <c r="AY47" s="669">
        <f>Assets!AY479</f>
        <v>0</v>
      </c>
      <c r="AZ47" s="669">
        <f>Assets!AZ479</f>
        <v>0</v>
      </c>
      <c r="BA47" s="669">
        <f>Assets!BA479</f>
        <v>0</v>
      </c>
      <c r="BB47" s="669">
        <f>Assets!BB479</f>
        <v>0</v>
      </c>
      <c r="BC47" s="669">
        <f>Assets!BC479</f>
        <v>0</v>
      </c>
      <c r="BD47" s="669">
        <f>Assets!BD479</f>
        <v>0</v>
      </c>
      <c r="BE47" s="669">
        <f>Assets!BE479</f>
        <v>0</v>
      </c>
      <c r="BF47" s="669">
        <f>Assets!BF479</f>
        <v>0</v>
      </c>
      <c r="BG47" s="669">
        <f>Assets!BG479</f>
        <v>0</v>
      </c>
      <c r="BH47" s="669">
        <f>Assets!BH479</f>
        <v>0</v>
      </c>
      <c r="BI47" s="669">
        <f>Assets!BI479</f>
        <v>0</v>
      </c>
      <c r="BJ47" s="47"/>
      <c r="BK47" s="47"/>
      <c r="BL47" s="47"/>
      <c r="BM47" s="47"/>
    </row>
    <row r="48" spans="1:65">
      <c r="A48" s="47"/>
      <c r="B48" s="43" t="s">
        <v>27</v>
      </c>
      <c r="C48" s="47"/>
      <c r="D48" s="47"/>
      <c r="E48" s="47"/>
      <c r="F48" s="668"/>
      <c r="G48" s="1433">
        <f t="shared" ref="G48:AL48" si="30">G26</f>
        <v>1.8513389576866806</v>
      </c>
      <c r="H48" s="669">
        <f t="shared" si="30"/>
        <v>1.8899266500780389</v>
      </c>
      <c r="I48" s="669">
        <f t="shared" si="30"/>
        <v>1.94432850146664</v>
      </c>
      <c r="J48" s="669">
        <f t="shared" si="30"/>
        <v>1.9948302105654185</v>
      </c>
      <c r="K48" s="669">
        <f t="shared" si="30"/>
        <v>2.0107561973322223</v>
      </c>
      <c r="L48" s="669">
        <f t="shared" si="30"/>
        <v>2.0629538303019368</v>
      </c>
      <c r="M48" s="669">
        <f t="shared" si="30"/>
        <v>1.923056248333378</v>
      </c>
      <c r="N48" s="669">
        <f t="shared" si="30"/>
        <v>1.7747977700332089</v>
      </c>
      <c r="O48" s="669">
        <f t="shared" si="30"/>
        <v>1.721552784532042</v>
      </c>
      <c r="P48" s="669">
        <f t="shared" si="30"/>
        <v>1.6644971841857343</v>
      </c>
      <c r="Q48" s="669">
        <f t="shared" si="30"/>
        <v>1.6034727267016828</v>
      </c>
      <c r="R48" s="669">
        <f t="shared" si="30"/>
        <v>1.5383156142685903</v>
      </c>
      <c r="S48" s="669">
        <f t="shared" si="30"/>
        <v>1.4688563140485056</v>
      </c>
      <c r="T48" s="669">
        <f t="shared" si="30"/>
        <v>1.394919373149643</v>
      </c>
      <c r="U48" s="669">
        <f t="shared" si="30"/>
        <v>1.3163232279158044</v>
      </c>
      <c r="V48" s="669">
        <f t="shared" si="30"/>
        <v>1.2328800073634554</v>
      </c>
      <c r="W48" s="669">
        <f t="shared" si="30"/>
        <v>1.1443953305926124</v>
      </c>
      <c r="X48" s="669">
        <f t="shared" si="30"/>
        <v>1.050668097992643</v>
      </c>
      <c r="Y48" s="669">
        <f t="shared" si="30"/>
        <v>0.9514902760588958</v>
      </c>
      <c r="Z48" s="669">
        <f t="shared" si="30"/>
        <v>0.84664667563073803</v>
      </c>
      <c r="AA48" s="669">
        <f t="shared" si="30"/>
        <v>0.73591472335609298</v>
      </c>
      <c r="AB48" s="669">
        <f t="shared" si="30"/>
        <v>0.61906422618191326</v>
      </c>
      <c r="AC48" s="669">
        <f t="shared" si="30"/>
        <v>0.49585712866423487</v>
      </c>
      <c r="AD48" s="669">
        <f t="shared" si="30"/>
        <v>0.36604726288547085</v>
      </c>
      <c r="AE48" s="669">
        <f t="shared" si="30"/>
        <v>0.32844694435807847</v>
      </c>
      <c r="AF48" s="669">
        <f t="shared" si="30"/>
        <v>0.28891985794814873</v>
      </c>
      <c r="AG48" s="669">
        <f t="shared" si="30"/>
        <v>0.24719202943561344</v>
      </c>
      <c r="AH48" s="669">
        <f t="shared" si="30"/>
        <v>0.2031776426994549</v>
      </c>
      <c r="AI48" s="669">
        <f t="shared" si="30"/>
        <v>0.15678795404542123</v>
      </c>
      <c r="AJ48" s="669">
        <f t="shared" si="30"/>
        <v>0.10793119915300441</v>
      </c>
      <c r="AK48" s="669">
        <f t="shared" si="30"/>
        <v>6.6439493248539677E-2</v>
      </c>
      <c r="AL48" s="669">
        <f t="shared" si="30"/>
        <v>3.443450954075257E-2</v>
      </c>
      <c r="AM48" s="669">
        <f t="shared" ref="AM48:BI48" si="31">AM26</f>
        <v>1.2740667224552932E-2</v>
      </c>
      <c r="AN48" s="669">
        <f t="shared" si="31"/>
        <v>9.1847249926041831E-16</v>
      </c>
      <c r="AO48" s="669">
        <f t="shared" si="31"/>
        <v>1.1619600625469874E-15</v>
      </c>
      <c r="AP48" s="669">
        <f t="shared" si="31"/>
        <v>1.1912414561231712E-15</v>
      </c>
      <c r="AQ48" s="669">
        <f t="shared" si="31"/>
        <v>1.2212607408174748E-15</v>
      </c>
      <c r="AR48" s="669">
        <f t="shared" si="31"/>
        <v>1.2520365114860751E-15</v>
      </c>
      <c r="AS48" s="669">
        <f t="shared" si="31"/>
        <v>1.2835878315755241E-15</v>
      </c>
      <c r="AT48" s="669">
        <f t="shared" si="31"/>
        <v>1.3159342449312274E-15</v>
      </c>
      <c r="AU48" s="669">
        <f t="shared" si="31"/>
        <v>1.349095787903494E-15</v>
      </c>
      <c r="AV48" s="669">
        <f t="shared" si="31"/>
        <v>1.3830930017586619E-15</v>
      </c>
      <c r="AW48" s="669">
        <f t="shared" si="31"/>
        <v>1.4179469454029804E-15</v>
      </c>
      <c r="AX48" s="669">
        <f t="shared" si="31"/>
        <v>1.4536792084271349E-15</v>
      </c>
      <c r="AY48" s="669">
        <f t="shared" si="31"/>
        <v>1.4903119244794985E-15</v>
      </c>
      <c r="AZ48" s="669">
        <f t="shared" si="31"/>
        <v>1.527867784976382E-15</v>
      </c>
      <c r="BA48" s="669">
        <f t="shared" si="31"/>
        <v>1.5663700531577864E-15</v>
      </c>
      <c r="BB48" s="669">
        <f t="shared" si="31"/>
        <v>1.6058425784973628E-15</v>
      </c>
      <c r="BC48" s="669">
        <f t="shared" si="31"/>
        <v>1.6463098114754958E-15</v>
      </c>
      <c r="BD48" s="669">
        <f t="shared" si="31"/>
        <v>1.6877968187246781E-15</v>
      </c>
      <c r="BE48" s="669">
        <f t="shared" si="31"/>
        <v>1.7303292985565399E-15</v>
      </c>
      <c r="BF48" s="669">
        <f t="shared" si="31"/>
        <v>1.7739335968801645E-15</v>
      </c>
      <c r="BG48" s="669">
        <f t="shared" si="31"/>
        <v>1.8186367235215446E-15</v>
      </c>
      <c r="BH48" s="669">
        <f t="shared" si="31"/>
        <v>1.8644663689542867E-15</v>
      </c>
      <c r="BI48" s="669">
        <f t="shared" si="31"/>
        <v>1.9114509214519349E-15</v>
      </c>
      <c r="BJ48" s="47"/>
      <c r="BK48" s="47"/>
      <c r="BL48" s="47"/>
      <c r="BM48" s="47"/>
    </row>
    <row r="49" spans="1:65">
      <c r="A49" s="47"/>
      <c r="B49" s="78" t="s">
        <v>401</v>
      </c>
      <c r="C49" s="47"/>
      <c r="D49" s="47"/>
      <c r="E49" s="47"/>
      <c r="F49" s="668"/>
      <c r="G49" s="669">
        <f>'PTRM input'!G203*Analysis!G$7</f>
        <v>0</v>
      </c>
      <c r="H49" s="669">
        <f>'PTRM input'!H203*Analysis!H$7</f>
        <v>0</v>
      </c>
      <c r="I49" s="669">
        <f>'PTRM input'!I203*Analysis!I$7</f>
        <v>0</v>
      </c>
      <c r="J49" s="669">
        <f>'PTRM input'!J203*Analysis!J$7</f>
        <v>0</v>
      </c>
      <c r="K49" s="669">
        <f>'PTRM input'!K203*Analysis!K$7</f>
        <v>0</v>
      </c>
      <c r="L49" s="669">
        <f>'PTRM input'!L203*Analysis!L$7</f>
        <v>0</v>
      </c>
      <c r="M49" s="669">
        <f>'PTRM input'!M203*Analysis!M$7</f>
        <v>0</v>
      </c>
      <c r="N49" s="669">
        <f>'PTRM input'!N203*Analysis!N$7</f>
        <v>0</v>
      </c>
      <c r="O49" s="669">
        <f>'PTRM input'!O203*Analysis!O$7</f>
        <v>0</v>
      </c>
      <c r="P49" s="669">
        <f>'PTRM input'!P203*Analysis!P$7</f>
        <v>0</v>
      </c>
      <c r="Q49" s="669"/>
      <c r="R49" s="669"/>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47"/>
      <c r="BK49" s="47"/>
      <c r="BL49" s="47"/>
      <c r="BM49" s="47"/>
    </row>
    <row r="50" spans="1:65">
      <c r="A50" s="47"/>
      <c r="B50" s="52" t="s">
        <v>28</v>
      </c>
      <c r="C50" s="47"/>
      <c r="D50" s="47"/>
      <c r="E50" s="47"/>
      <c r="F50" s="688"/>
      <c r="G50" s="1471">
        <f>SUM(G46:G49)</f>
        <v>8.840675570391463</v>
      </c>
      <c r="H50" s="689">
        <f t="shared" ref="H50:BI50" si="32">SUM(H46:H49)</f>
        <v>9.8722687424281759</v>
      </c>
      <c r="I50" s="689">
        <f t="shared" si="32"/>
        <v>11.203176830633801</v>
      </c>
      <c r="J50" s="689">
        <f t="shared" si="32"/>
        <v>12.457451356999268</v>
      </c>
      <c r="K50" s="689">
        <f t="shared" si="32"/>
        <v>13.27277560778189</v>
      </c>
      <c r="L50" s="689">
        <f t="shared" si="32"/>
        <v>5.6068858213779018</v>
      </c>
      <c r="M50" s="689">
        <f t="shared" si="32"/>
        <v>5.4669882394093428</v>
      </c>
      <c r="N50" s="689">
        <f t="shared" si="32"/>
        <v>5.3187297611091742</v>
      </c>
      <c r="O50" s="689">
        <f t="shared" si="32"/>
        <v>5.265484775608007</v>
      </c>
      <c r="P50" s="689">
        <f t="shared" si="32"/>
        <v>5.2084291752616991</v>
      </c>
      <c r="Q50" s="689">
        <f t="shared" si="32"/>
        <v>5.1474047177776479</v>
      </c>
      <c r="R50" s="689">
        <f t="shared" si="32"/>
        <v>3.7456903522671618</v>
      </c>
      <c r="S50" s="689">
        <f t="shared" si="32"/>
        <v>3.5716363118124654</v>
      </c>
      <c r="T50" s="689">
        <f t="shared" si="32"/>
        <v>3.4976993709136028</v>
      </c>
      <c r="U50" s="689">
        <f t="shared" si="32"/>
        <v>3.4191032256797644</v>
      </c>
      <c r="V50" s="689">
        <f t="shared" si="32"/>
        <v>3.3356600051274152</v>
      </c>
      <c r="W50" s="689">
        <f t="shared" si="32"/>
        <v>2.7915108638867991</v>
      </c>
      <c r="X50" s="689">
        <f t="shared" si="32"/>
        <v>2.2400007911071382</v>
      </c>
      <c r="Y50" s="689">
        <f t="shared" si="32"/>
        <v>1.7407139023874616</v>
      </c>
      <c r="Z50" s="689">
        <f t="shared" si="32"/>
        <v>1.2115024518750241</v>
      </c>
      <c r="AA50" s="689">
        <f t="shared" si="32"/>
        <v>0.73591472335609298</v>
      </c>
      <c r="AB50" s="689">
        <f t="shared" si="32"/>
        <v>0.61906422618191326</v>
      </c>
      <c r="AC50" s="689">
        <f t="shared" si="32"/>
        <v>0.49585712866423487</v>
      </c>
      <c r="AD50" s="689">
        <f t="shared" si="32"/>
        <v>0.36604726288547085</v>
      </c>
      <c r="AE50" s="689">
        <f t="shared" si="32"/>
        <v>0.32844694435807847</v>
      </c>
      <c r="AF50" s="689">
        <f t="shared" si="32"/>
        <v>0.28891985794814873</v>
      </c>
      <c r="AG50" s="689">
        <f t="shared" si="32"/>
        <v>0.24719202943561344</v>
      </c>
      <c r="AH50" s="689">
        <f t="shared" si="32"/>
        <v>0.2031776426994549</v>
      </c>
      <c r="AI50" s="689">
        <f t="shared" si="32"/>
        <v>0.15678795404542123</v>
      </c>
      <c r="AJ50" s="689">
        <f t="shared" si="32"/>
        <v>0.10793119915300441</v>
      </c>
      <c r="AK50" s="689">
        <f t="shared" si="32"/>
        <v>6.6439493248539677E-2</v>
      </c>
      <c r="AL50" s="689">
        <f t="shared" si="32"/>
        <v>3.443450954075257E-2</v>
      </c>
      <c r="AM50" s="689">
        <f t="shared" si="32"/>
        <v>1.2740667224552932E-2</v>
      </c>
      <c r="AN50" s="689">
        <f t="shared" si="32"/>
        <v>9.1847249926041831E-16</v>
      </c>
      <c r="AO50" s="689">
        <f t="shared" si="32"/>
        <v>1.1619600625469874E-15</v>
      </c>
      <c r="AP50" s="689">
        <f t="shared" si="32"/>
        <v>1.1912414561231712E-15</v>
      </c>
      <c r="AQ50" s="689">
        <f t="shared" si="32"/>
        <v>1.2212607408174748E-15</v>
      </c>
      <c r="AR50" s="689">
        <f t="shared" si="32"/>
        <v>1.2520365114860751E-15</v>
      </c>
      <c r="AS50" s="689">
        <f t="shared" si="32"/>
        <v>1.2835878315755241E-15</v>
      </c>
      <c r="AT50" s="689">
        <f t="shared" si="32"/>
        <v>1.3159342449312274E-15</v>
      </c>
      <c r="AU50" s="689">
        <f t="shared" si="32"/>
        <v>1.349095787903494E-15</v>
      </c>
      <c r="AV50" s="689">
        <f t="shared" si="32"/>
        <v>1.3830930017586619E-15</v>
      </c>
      <c r="AW50" s="689">
        <f t="shared" si="32"/>
        <v>1.4179469454029804E-15</v>
      </c>
      <c r="AX50" s="689">
        <f t="shared" si="32"/>
        <v>1.4536792084271349E-15</v>
      </c>
      <c r="AY50" s="689">
        <f t="shared" si="32"/>
        <v>1.4903119244794985E-15</v>
      </c>
      <c r="AZ50" s="689">
        <f t="shared" si="32"/>
        <v>1.527867784976382E-15</v>
      </c>
      <c r="BA50" s="689">
        <f t="shared" si="32"/>
        <v>1.5663700531577864E-15</v>
      </c>
      <c r="BB50" s="689">
        <f t="shared" si="32"/>
        <v>1.6058425784973628E-15</v>
      </c>
      <c r="BC50" s="689">
        <f t="shared" si="32"/>
        <v>1.6463098114754958E-15</v>
      </c>
      <c r="BD50" s="689">
        <f t="shared" si="32"/>
        <v>1.6877968187246781E-15</v>
      </c>
      <c r="BE50" s="689">
        <f t="shared" si="32"/>
        <v>1.7303292985565399E-15</v>
      </c>
      <c r="BF50" s="689">
        <f t="shared" si="32"/>
        <v>1.7739335968801645E-15</v>
      </c>
      <c r="BG50" s="689">
        <f t="shared" si="32"/>
        <v>1.8186367235215446E-15</v>
      </c>
      <c r="BH50" s="689">
        <f t="shared" si="32"/>
        <v>1.8644663689542867E-15</v>
      </c>
      <c r="BI50" s="689">
        <f t="shared" si="32"/>
        <v>1.9114509214519349E-15</v>
      </c>
      <c r="BJ50" s="47"/>
      <c r="BK50" s="47"/>
      <c r="BL50" s="47"/>
      <c r="BM50" s="47"/>
    </row>
    <row r="51" spans="1:65">
      <c r="A51" s="47"/>
      <c r="B51" s="47"/>
      <c r="C51" s="47"/>
      <c r="D51" s="47"/>
      <c r="E51" s="47"/>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690"/>
      <c r="BH51" s="690"/>
      <c r="BI51" s="690"/>
      <c r="BJ51" s="47"/>
      <c r="BK51" s="47"/>
      <c r="BL51" s="47"/>
      <c r="BM51" s="47"/>
    </row>
    <row r="52" spans="1:65">
      <c r="A52" s="47"/>
      <c r="B52" s="52" t="s">
        <v>23</v>
      </c>
      <c r="C52" s="47"/>
      <c r="D52" s="47"/>
      <c r="E52" s="47"/>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47"/>
      <c r="BK52" s="47"/>
      <c r="BL52" s="47"/>
      <c r="BM52" s="47"/>
    </row>
    <row r="53" spans="1:65">
      <c r="A53" s="47"/>
      <c r="B53" s="43" t="s">
        <v>213</v>
      </c>
      <c r="C53" s="47"/>
      <c r="D53" s="47"/>
      <c r="E53" s="47"/>
      <c r="F53" s="690"/>
      <c r="G53" s="1447">
        <f>WACC!G13</f>
        <v>0.3</v>
      </c>
      <c r="H53" s="691">
        <f>WACC!H13</f>
        <v>0.3</v>
      </c>
      <c r="I53" s="691">
        <f>WACC!I13</f>
        <v>0.3</v>
      </c>
      <c r="J53" s="691">
        <f>WACC!J13</f>
        <v>0.3</v>
      </c>
      <c r="K53" s="691">
        <f>WACC!K13</f>
        <v>0.3</v>
      </c>
      <c r="L53" s="691">
        <f>WACC!L13</f>
        <v>0.3</v>
      </c>
      <c r="M53" s="691">
        <f>WACC!M13</f>
        <v>0.3</v>
      </c>
      <c r="N53" s="691">
        <f>WACC!N13</f>
        <v>0.3</v>
      </c>
      <c r="O53" s="691">
        <f>WACC!O13</f>
        <v>0.3</v>
      </c>
      <c r="P53" s="691">
        <f>WACC!P13</f>
        <v>0.3</v>
      </c>
      <c r="Q53" s="691">
        <f>WACC!$P13</f>
        <v>0.3</v>
      </c>
      <c r="R53" s="691">
        <f>WACC!$P13</f>
        <v>0.3</v>
      </c>
      <c r="S53" s="691">
        <f>WACC!$P13</f>
        <v>0.3</v>
      </c>
      <c r="T53" s="691">
        <f>WACC!$P13</f>
        <v>0.3</v>
      </c>
      <c r="U53" s="691">
        <f>WACC!$P13</f>
        <v>0.3</v>
      </c>
      <c r="V53" s="691">
        <f>WACC!$P13</f>
        <v>0.3</v>
      </c>
      <c r="W53" s="691">
        <f>WACC!$P13</f>
        <v>0.3</v>
      </c>
      <c r="X53" s="691">
        <f>WACC!$P13</f>
        <v>0.3</v>
      </c>
      <c r="Y53" s="691">
        <f>WACC!$P13</f>
        <v>0.3</v>
      </c>
      <c r="Z53" s="691">
        <f>WACC!$P13</f>
        <v>0.3</v>
      </c>
      <c r="AA53" s="691">
        <f>WACC!$P13</f>
        <v>0.3</v>
      </c>
      <c r="AB53" s="691">
        <f>WACC!$P13</f>
        <v>0.3</v>
      </c>
      <c r="AC53" s="691">
        <f>WACC!$P13</f>
        <v>0.3</v>
      </c>
      <c r="AD53" s="691">
        <f>WACC!$P13</f>
        <v>0.3</v>
      </c>
      <c r="AE53" s="691">
        <f>WACC!$P13</f>
        <v>0.3</v>
      </c>
      <c r="AF53" s="691">
        <f>WACC!$P13</f>
        <v>0.3</v>
      </c>
      <c r="AG53" s="691">
        <f>WACC!$P13</f>
        <v>0.3</v>
      </c>
      <c r="AH53" s="691">
        <f>WACC!$P13</f>
        <v>0.3</v>
      </c>
      <c r="AI53" s="691">
        <f>WACC!$P13</f>
        <v>0.3</v>
      </c>
      <c r="AJ53" s="691">
        <f>WACC!$P13</f>
        <v>0.3</v>
      </c>
      <c r="AK53" s="691">
        <f>WACC!$P13</f>
        <v>0.3</v>
      </c>
      <c r="AL53" s="691">
        <f>WACC!$P13</f>
        <v>0.3</v>
      </c>
      <c r="AM53" s="691">
        <f>WACC!$P13</f>
        <v>0.3</v>
      </c>
      <c r="AN53" s="691">
        <f>WACC!$P13</f>
        <v>0.3</v>
      </c>
      <c r="AO53" s="691">
        <f>WACC!$P13</f>
        <v>0.3</v>
      </c>
      <c r="AP53" s="691">
        <f>WACC!$P13</f>
        <v>0.3</v>
      </c>
      <c r="AQ53" s="691">
        <f>WACC!$P13</f>
        <v>0.3</v>
      </c>
      <c r="AR53" s="691">
        <f>WACC!$P13</f>
        <v>0.3</v>
      </c>
      <c r="AS53" s="691">
        <f>WACC!$P13</f>
        <v>0.3</v>
      </c>
      <c r="AT53" s="691">
        <f>WACC!$P13</f>
        <v>0.3</v>
      </c>
      <c r="AU53" s="691">
        <f>WACC!$P13</f>
        <v>0.3</v>
      </c>
      <c r="AV53" s="691">
        <f>WACC!$P13</f>
        <v>0.3</v>
      </c>
      <c r="AW53" s="691">
        <f>WACC!$P13</f>
        <v>0.3</v>
      </c>
      <c r="AX53" s="691">
        <f>WACC!$P13</f>
        <v>0.3</v>
      </c>
      <c r="AY53" s="691">
        <f>WACC!$P13</f>
        <v>0.3</v>
      </c>
      <c r="AZ53" s="691">
        <f>WACC!$P13</f>
        <v>0.3</v>
      </c>
      <c r="BA53" s="691">
        <f>WACC!$P13</f>
        <v>0.3</v>
      </c>
      <c r="BB53" s="691">
        <f>WACC!$P13</f>
        <v>0.3</v>
      </c>
      <c r="BC53" s="691">
        <f>WACC!$P13</f>
        <v>0.3</v>
      </c>
      <c r="BD53" s="691">
        <f>WACC!$P13</f>
        <v>0.3</v>
      </c>
      <c r="BE53" s="691">
        <f>WACC!$P13</f>
        <v>0.3</v>
      </c>
      <c r="BF53" s="691">
        <f>WACC!$P13</f>
        <v>0.3</v>
      </c>
      <c r="BG53" s="691">
        <f>WACC!$P13</f>
        <v>0.3</v>
      </c>
      <c r="BH53" s="691">
        <f>WACC!$P13</f>
        <v>0.3</v>
      </c>
      <c r="BI53" s="691">
        <f>WACC!$P13</f>
        <v>0.3</v>
      </c>
      <c r="BJ53" s="47"/>
      <c r="BK53" s="47"/>
      <c r="BL53" s="47"/>
      <c r="BM53" s="47"/>
    </row>
    <row r="54" spans="1:65">
      <c r="A54" s="47"/>
      <c r="B54" s="43" t="s">
        <v>24</v>
      </c>
      <c r="C54" s="47"/>
      <c r="D54" s="51"/>
      <c r="E54" s="83"/>
      <c r="F54" s="673"/>
      <c r="G54" s="692">
        <f>G55+F56</f>
        <v>8.127000062966145</v>
      </c>
      <c r="H54" s="692">
        <f>H55+G56</f>
        <v>7.2572005716247183</v>
      </c>
      <c r="I54" s="692">
        <f t="shared" ref="I54:AL54" si="33">I55+H56</f>
        <v>5.7069092222754776</v>
      </c>
      <c r="J54" s="692">
        <f t="shared" si="33"/>
        <v>6.5318130756528916</v>
      </c>
      <c r="K54" s="692">
        <f t="shared" si="33"/>
        <v>4.0069025882540767</v>
      </c>
      <c r="L54" s="692">
        <f t="shared" si="33"/>
        <v>1.0397418256270718</v>
      </c>
      <c r="M54" s="692">
        <f t="shared" si="33"/>
        <v>1.0918552365981187</v>
      </c>
      <c r="N54" s="692">
        <f t="shared" si="33"/>
        <v>-1.0627969574299394</v>
      </c>
      <c r="O54" s="692">
        <f t="shared" si="33"/>
        <v>-2.0984135787289313</v>
      </c>
      <c r="P54" s="692">
        <f t="shared" si="33"/>
        <v>-3.1070555949477443</v>
      </c>
      <c r="Q54" s="692">
        <f t="shared" si="33"/>
        <v>-4.088956366582762</v>
      </c>
      <c r="R54" s="692">
        <f t="shared" si="33"/>
        <v>-3.7078208923752003</v>
      </c>
      <c r="S54" s="692">
        <f t="shared" si="33"/>
        <v>-3.1959041362380702</v>
      </c>
      <c r="T54" s="692">
        <f t="shared" si="33"/>
        <v>-2.6581248442297163</v>
      </c>
      <c r="U54" s="692">
        <f t="shared" si="33"/>
        <v>-2.0948399815688261</v>
      </c>
      <c r="V54" s="692">
        <f t="shared" si="33"/>
        <v>-1.5064409282658895</v>
      </c>
      <c r="W54" s="692">
        <f t="shared" si="33"/>
        <v>-0.43769052247173779</v>
      </c>
      <c r="X54" s="692">
        <f t="shared" si="33"/>
        <v>1.436212676561599</v>
      </c>
      <c r="Y54" s="692">
        <f t="shared" si="33"/>
        <v>2.5478485481317033</v>
      </c>
      <c r="Z54" s="692">
        <f t="shared" si="33"/>
        <v>3.1253213141052694</v>
      </c>
      <c r="AA54" s="692">
        <f t="shared" si="33"/>
        <v>3.625246654572988</v>
      </c>
      <c r="AB54" s="692">
        <f t="shared" si="33"/>
        <v>3.6535755212121401</v>
      </c>
      <c r="AC54" s="692">
        <f t="shared" si="33"/>
        <v>3.6810299860943845</v>
      </c>
      <c r="AD54" s="692">
        <f t="shared" si="33"/>
        <v>1.3056652725632438</v>
      </c>
      <c r="AE54" s="692">
        <f t="shared" si="33"/>
        <v>1.3119038619832077</v>
      </c>
      <c r="AF54" s="692">
        <f t="shared" si="33"/>
        <v>1.3227108461634147</v>
      </c>
      <c r="AG54" s="692">
        <f t="shared" si="33"/>
        <v>1.3332293909177901</v>
      </c>
      <c r="AH54" s="692">
        <f t="shared" si="33"/>
        <v>1.3434380960320385</v>
      </c>
      <c r="AI54" s="692">
        <f t="shared" si="33"/>
        <v>1.3533146658916366</v>
      </c>
      <c r="AJ54" s="692">
        <f t="shared" si="33"/>
        <v>1.122155172003203</v>
      </c>
      <c r="AK54" s="692">
        <f t="shared" si="33"/>
        <v>0.84748390025632503</v>
      </c>
      <c r="AL54" s="692">
        <f t="shared" si="33"/>
        <v>0.5630368049801564</v>
      </c>
      <c r="AM54" s="692">
        <f t="shared" ref="AM54:BI54" si="34">AM55+AL56</f>
        <v>0.322613445086668</v>
      </c>
      <c r="AN54" s="692">
        <f t="shared" si="34"/>
        <v>-3.8088572777039926E-15</v>
      </c>
      <c r="AO54" s="692">
        <f t="shared" si="34"/>
        <v>-3.3896608628054179E-15</v>
      </c>
      <c r="AP54" s="692">
        <f t="shared" si="34"/>
        <v>-2.9599006982513988E-15</v>
      </c>
      <c r="AQ54" s="692">
        <f t="shared" si="34"/>
        <v>-2.5193105775506186E-15</v>
      </c>
      <c r="AR54" s="692">
        <f t="shared" si="34"/>
        <v>-2.0676175858081784E-15</v>
      </c>
      <c r="AS54" s="692">
        <f t="shared" si="34"/>
        <v>-1.6045419306738291E-15</v>
      </c>
      <c r="AT54" s="692">
        <f t="shared" si="34"/>
        <v>-1.1297967690300947E-15</v>
      </c>
      <c r="AU54" s="692">
        <f t="shared" si="34"/>
        <v>-6.4308802931293797E-16</v>
      </c>
      <c r="AV54" s="692">
        <f t="shared" si="34"/>
        <v>-1.4411422935490911E-16</v>
      </c>
      <c r="AW54" s="692">
        <f t="shared" si="34"/>
        <v>4.7410801337040298E-16</v>
      </c>
      <c r="AX54" s="692">
        <f t="shared" si="34"/>
        <v>6.7669541651334067E-16</v>
      </c>
      <c r="AY54" s="692">
        <f t="shared" si="34"/>
        <v>6.9374814100947712E-16</v>
      </c>
      <c r="AZ54" s="692">
        <f t="shared" si="34"/>
        <v>7.1123059416291584E-16</v>
      </c>
      <c r="BA54" s="692">
        <f t="shared" si="34"/>
        <v>7.2915360513582071E-16</v>
      </c>
      <c r="BB54" s="692">
        <f t="shared" si="34"/>
        <v>7.4752827598524315E-16</v>
      </c>
      <c r="BC54" s="692">
        <f t="shared" si="34"/>
        <v>7.6636598854007149E-16</v>
      </c>
      <c r="BD54" s="692">
        <f t="shared" si="34"/>
        <v>7.8567841145128108E-16</v>
      </c>
      <c r="BE54" s="692">
        <f t="shared" si="34"/>
        <v>8.0547750741985359E-16</v>
      </c>
      <c r="BF54" s="692">
        <f t="shared" si="34"/>
        <v>8.2577554060683381E-16</v>
      </c>
      <c r="BG54" s="692">
        <f t="shared" si="34"/>
        <v>8.465850842301261E-16</v>
      </c>
      <c r="BH54" s="692">
        <f t="shared" si="34"/>
        <v>8.67919028352725E-16</v>
      </c>
      <c r="BI54" s="692">
        <f t="shared" si="34"/>
        <v>8.8979058786721327E-16</v>
      </c>
      <c r="BJ54" s="67"/>
      <c r="BK54" s="67"/>
      <c r="BL54" s="67"/>
      <c r="BM54" s="47"/>
    </row>
    <row r="55" spans="1:65">
      <c r="A55" s="47"/>
      <c r="B55" s="47" t="s">
        <v>205</v>
      </c>
      <c r="C55" s="47"/>
      <c r="D55" s="51"/>
      <c r="E55" s="80"/>
      <c r="F55" s="693"/>
      <c r="G55" s="1471">
        <f>G43-G50</f>
        <v>8.127000062966145</v>
      </c>
      <c r="H55" s="694">
        <f t="shared" ref="H55:BI55" si="35">H43-H50</f>
        <v>7.2572005716247183</v>
      </c>
      <c r="I55" s="694">
        <f t="shared" si="35"/>
        <v>5.7069092222754776</v>
      </c>
      <c r="J55" s="694">
        <f t="shared" si="35"/>
        <v>6.5318130756528916</v>
      </c>
      <c r="K55" s="694">
        <f t="shared" si="35"/>
        <v>4.0069025882540767</v>
      </c>
      <c r="L55" s="694">
        <f t="shared" si="35"/>
        <v>1.0397418256270718</v>
      </c>
      <c r="M55" s="694">
        <f t="shared" si="35"/>
        <v>1.0918552365981187</v>
      </c>
      <c r="N55" s="694">
        <f t="shared" si="35"/>
        <v>-1.0627969574299394</v>
      </c>
      <c r="O55" s="694">
        <f t="shared" si="35"/>
        <v>-1.0356166212989919</v>
      </c>
      <c r="P55" s="694">
        <f t="shared" si="35"/>
        <v>-1.008642016218813</v>
      </c>
      <c r="Q55" s="694">
        <f t="shared" si="35"/>
        <v>-0.98190077163501766</v>
      </c>
      <c r="R55" s="694">
        <f t="shared" si="35"/>
        <v>0.38113547420756166</v>
      </c>
      <c r="S55" s="694">
        <f t="shared" si="35"/>
        <v>0.51191675613713006</v>
      </c>
      <c r="T55" s="694">
        <f t="shared" si="35"/>
        <v>0.53777929200835395</v>
      </c>
      <c r="U55" s="694">
        <f t="shared" si="35"/>
        <v>0.56328486266089017</v>
      </c>
      <c r="V55" s="694">
        <f t="shared" si="35"/>
        <v>0.58839905330293663</v>
      </c>
      <c r="W55" s="694">
        <f t="shared" si="35"/>
        <v>1.0687504057941517</v>
      </c>
      <c r="X55" s="694">
        <f t="shared" si="35"/>
        <v>1.8739031990333368</v>
      </c>
      <c r="Y55" s="694">
        <f t="shared" si="35"/>
        <v>2.5478485481317033</v>
      </c>
      <c r="Z55" s="694">
        <f t="shared" si="35"/>
        <v>3.1253213141052694</v>
      </c>
      <c r="AA55" s="694">
        <f t="shared" si="35"/>
        <v>3.625246654572988</v>
      </c>
      <c r="AB55" s="694">
        <f t="shared" si="35"/>
        <v>3.6535755212121401</v>
      </c>
      <c r="AC55" s="694">
        <f t="shared" si="35"/>
        <v>3.6810299860943845</v>
      </c>
      <c r="AD55" s="694">
        <f t="shared" si="35"/>
        <v>1.3056652725632438</v>
      </c>
      <c r="AE55" s="694">
        <f t="shared" si="35"/>
        <v>1.3119038619832077</v>
      </c>
      <c r="AF55" s="694">
        <f t="shared" si="35"/>
        <v>1.3227108461634147</v>
      </c>
      <c r="AG55" s="694">
        <f t="shared" si="35"/>
        <v>1.3332293909177901</v>
      </c>
      <c r="AH55" s="694">
        <f t="shared" si="35"/>
        <v>1.3434380960320385</v>
      </c>
      <c r="AI55" s="694">
        <f t="shared" si="35"/>
        <v>1.3533146658916366</v>
      </c>
      <c r="AJ55" s="694">
        <f t="shared" si="35"/>
        <v>1.122155172003203</v>
      </c>
      <c r="AK55" s="694">
        <f t="shared" si="35"/>
        <v>0.84748390025632503</v>
      </c>
      <c r="AL55" s="694">
        <f t="shared" si="35"/>
        <v>0.5630368049801564</v>
      </c>
      <c r="AM55" s="694">
        <f t="shared" si="35"/>
        <v>0.322613445086668</v>
      </c>
      <c r="AN55" s="694">
        <f t="shared" si="35"/>
        <v>-3.8088572777039926E-15</v>
      </c>
      <c r="AO55" s="694">
        <f t="shared" si="35"/>
        <v>4.1919641489857481E-16</v>
      </c>
      <c r="AP55" s="694">
        <f t="shared" si="35"/>
        <v>4.2976016455401894E-16</v>
      </c>
      <c r="AQ55" s="694">
        <f t="shared" si="35"/>
        <v>4.4059012070078035E-16</v>
      </c>
      <c r="AR55" s="694">
        <f t="shared" si="35"/>
        <v>4.5169299174244001E-16</v>
      </c>
      <c r="AS55" s="694">
        <f t="shared" si="35"/>
        <v>4.6307565513434934E-16</v>
      </c>
      <c r="AT55" s="694">
        <f t="shared" si="35"/>
        <v>4.7474516164373444E-16</v>
      </c>
      <c r="AU55" s="694">
        <f t="shared" si="35"/>
        <v>4.8670873971715669E-16</v>
      </c>
      <c r="AV55" s="694">
        <f t="shared" si="35"/>
        <v>4.9897379995802886E-16</v>
      </c>
      <c r="AW55" s="694">
        <f t="shared" si="35"/>
        <v>6.1822224272531209E-16</v>
      </c>
      <c r="AX55" s="694">
        <f t="shared" si="35"/>
        <v>6.7669541651334067E-16</v>
      </c>
      <c r="AY55" s="694">
        <f t="shared" si="35"/>
        <v>6.9374814100947712E-16</v>
      </c>
      <c r="AZ55" s="694">
        <f t="shared" si="35"/>
        <v>7.1123059416291584E-16</v>
      </c>
      <c r="BA55" s="694">
        <f t="shared" si="35"/>
        <v>7.2915360513582071E-16</v>
      </c>
      <c r="BB55" s="694">
        <f t="shared" si="35"/>
        <v>7.4752827598524315E-16</v>
      </c>
      <c r="BC55" s="694">
        <f t="shared" si="35"/>
        <v>7.6636598854007149E-16</v>
      </c>
      <c r="BD55" s="694">
        <f t="shared" si="35"/>
        <v>7.8567841145128108E-16</v>
      </c>
      <c r="BE55" s="694">
        <f t="shared" si="35"/>
        <v>8.0547750741985359E-16</v>
      </c>
      <c r="BF55" s="694">
        <f t="shared" si="35"/>
        <v>8.2577554060683381E-16</v>
      </c>
      <c r="BG55" s="694">
        <f t="shared" si="35"/>
        <v>8.465850842301261E-16</v>
      </c>
      <c r="BH55" s="694">
        <f t="shared" si="35"/>
        <v>8.67919028352725E-16</v>
      </c>
      <c r="BI55" s="694">
        <f t="shared" si="35"/>
        <v>8.8979058786721327E-16</v>
      </c>
      <c r="BJ55" s="67"/>
      <c r="BK55" s="67"/>
      <c r="BL55" s="67"/>
      <c r="BM55" s="47"/>
    </row>
    <row r="56" spans="1:65">
      <c r="A56" s="47"/>
      <c r="B56" s="47" t="s">
        <v>120</v>
      </c>
      <c r="C56" s="47"/>
      <c r="D56" s="47"/>
      <c r="E56" s="47"/>
      <c r="F56" s="695">
        <f>'PTRM input'!F212</f>
        <v>0</v>
      </c>
      <c r="G56" s="694">
        <f>IF(G54&lt;0,G54,0)</f>
        <v>0</v>
      </c>
      <c r="H56" s="694">
        <f>IF(H54&lt;0,H54,0)</f>
        <v>0</v>
      </c>
      <c r="I56" s="694">
        <f>IF(I54&lt;0,I54,0)</f>
        <v>0</v>
      </c>
      <c r="J56" s="694">
        <f t="shared" ref="J56:BI56" si="36">IF(J54&lt;0,J54,0)</f>
        <v>0</v>
      </c>
      <c r="K56" s="694">
        <f t="shared" si="36"/>
        <v>0</v>
      </c>
      <c r="L56" s="694">
        <f t="shared" si="36"/>
        <v>0</v>
      </c>
      <c r="M56" s="694">
        <f t="shared" si="36"/>
        <v>0</v>
      </c>
      <c r="N56" s="694">
        <f t="shared" si="36"/>
        <v>-1.0627969574299394</v>
      </c>
      <c r="O56" s="694">
        <f t="shared" si="36"/>
        <v>-2.0984135787289313</v>
      </c>
      <c r="P56" s="694">
        <f t="shared" si="36"/>
        <v>-3.1070555949477443</v>
      </c>
      <c r="Q56" s="694">
        <f t="shared" si="36"/>
        <v>-4.088956366582762</v>
      </c>
      <c r="R56" s="694">
        <f t="shared" si="36"/>
        <v>-3.7078208923752003</v>
      </c>
      <c r="S56" s="694">
        <f t="shared" si="36"/>
        <v>-3.1959041362380702</v>
      </c>
      <c r="T56" s="694">
        <f t="shared" si="36"/>
        <v>-2.6581248442297163</v>
      </c>
      <c r="U56" s="694">
        <f t="shared" si="36"/>
        <v>-2.0948399815688261</v>
      </c>
      <c r="V56" s="694">
        <f t="shared" si="36"/>
        <v>-1.5064409282658895</v>
      </c>
      <c r="W56" s="694">
        <f t="shared" si="36"/>
        <v>-0.43769052247173779</v>
      </c>
      <c r="X56" s="694">
        <f t="shared" si="36"/>
        <v>0</v>
      </c>
      <c r="Y56" s="694">
        <f t="shared" si="36"/>
        <v>0</v>
      </c>
      <c r="Z56" s="694">
        <f t="shared" si="36"/>
        <v>0</v>
      </c>
      <c r="AA56" s="694">
        <f t="shared" si="36"/>
        <v>0</v>
      </c>
      <c r="AB56" s="694">
        <f t="shared" si="36"/>
        <v>0</v>
      </c>
      <c r="AC56" s="694">
        <f t="shared" si="36"/>
        <v>0</v>
      </c>
      <c r="AD56" s="694">
        <f t="shared" si="36"/>
        <v>0</v>
      </c>
      <c r="AE56" s="694">
        <f t="shared" si="36"/>
        <v>0</v>
      </c>
      <c r="AF56" s="694">
        <f t="shared" si="36"/>
        <v>0</v>
      </c>
      <c r="AG56" s="694">
        <f t="shared" si="36"/>
        <v>0</v>
      </c>
      <c r="AH56" s="694">
        <f t="shared" si="36"/>
        <v>0</v>
      </c>
      <c r="AI56" s="694">
        <f t="shared" si="36"/>
        <v>0</v>
      </c>
      <c r="AJ56" s="694">
        <f t="shared" si="36"/>
        <v>0</v>
      </c>
      <c r="AK56" s="694">
        <f t="shared" si="36"/>
        <v>0</v>
      </c>
      <c r="AL56" s="694">
        <f t="shared" si="36"/>
        <v>0</v>
      </c>
      <c r="AM56" s="694">
        <f t="shared" si="36"/>
        <v>0</v>
      </c>
      <c r="AN56" s="694">
        <f t="shared" si="36"/>
        <v>-3.8088572777039926E-15</v>
      </c>
      <c r="AO56" s="694">
        <f t="shared" si="36"/>
        <v>-3.3896608628054179E-15</v>
      </c>
      <c r="AP56" s="694">
        <f t="shared" si="36"/>
        <v>-2.9599006982513988E-15</v>
      </c>
      <c r="AQ56" s="694">
        <f t="shared" si="36"/>
        <v>-2.5193105775506186E-15</v>
      </c>
      <c r="AR56" s="694">
        <f t="shared" si="36"/>
        <v>-2.0676175858081784E-15</v>
      </c>
      <c r="AS56" s="694">
        <f t="shared" si="36"/>
        <v>-1.6045419306738291E-15</v>
      </c>
      <c r="AT56" s="694">
        <f t="shared" si="36"/>
        <v>-1.1297967690300947E-15</v>
      </c>
      <c r="AU56" s="694">
        <f t="shared" si="36"/>
        <v>-6.4308802931293797E-16</v>
      </c>
      <c r="AV56" s="694">
        <f t="shared" si="36"/>
        <v>-1.4411422935490911E-16</v>
      </c>
      <c r="AW56" s="694">
        <f t="shared" si="36"/>
        <v>0</v>
      </c>
      <c r="AX56" s="694">
        <f t="shared" si="36"/>
        <v>0</v>
      </c>
      <c r="AY56" s="694">
        <f t="shared" si="36"/>
        <v>0</v>
      </c>
      <c r="AZ56" s="694">
        <f t="shared" si="36"/>
        <v>0</v>
      </c>
      <c r="BA56" s="694">
        <f t="shared" si="36"/>
        <v>0</v>
      </c>
      <c r="BB56" s="694">
        <f t="shared" si="36"/>
        <v>0</v>
      </c>
      <c r="BC56" s="694">
        <f t="shared" si="36"/>
        <v>0</v>
      </c>
      <c r="BD56" s="694">
        <f t="shared" si="36"/>
        <v>0</v>
      </c>
      <c r="BE56" s="694">
        <f t="shared" si="36"/>
        <v>0</v>
      </c>
      <c r="BF56" s="694">
        <f t="shared" si="36"/>
        <v>0</v>
      </c>
      <c r="BG56" s="694">
        <f t="shared" si="36"/>
        <v>0</v>
      </c>
      <c r="BH56" s="694">
        <f t="shared" si="36"/>
        <v>0</v>
      </c>
      <c r="BI56" s="694">
        <f t="shared" si="36"/>
        <v>0</v>
      </c>
      <c r="BJ56" s="67"/>
      <c r="BK56" s="67"/>
      <c r="BL56" s="67"/>
      <c r="BM56" s="47"/>
    </row>
    <row r="57" spans="1:65">
      <c r="A57" s="47"/>
      <c r="B57" s="52" t="s">
        <v>16</v>
      </c>
      <c r="C57" s="51"/>
      <c r="D57" s="47"/>
      <c r="E57" s="84"/>
      <c r="F57" s="696"/>
      <c r="G57" s="694">
        <f>IF(G54&gt;0,G53*G54,0)</f>
        <v>2.4381000188898434</v>
      </c>
      <c r="H57" s="694">
        <f t="shared" ref="H57:BI57" si="37">IF(H54&gt;0,H53*H54,0)</f>
        <v>2.1771601714874156</v>
      </c>
      <c r="I57" s="694">
        <f t="shared" si="37"/>
        <v>1.7120727666826432</v>
      </c>
      <c r="J57" s="694">
        <f t="shared" si="37"/>
        <v>1.9595439226958673</v>
      </c>
      <c r="K57" s="694">
        <f t="shared" si="37"/>
        <v>1.2020707764762231</v>
      </c>
      <c r="L57" s="694">
        <f t="shared" si="37"/>
        <v>0.31192254768812155</v>
      </c>
      <c r="M57" s="694">
        <f t="shared" si="37"/>
        <v>0.32755657097943558</v>
      </c>
      <c r="N57" s="694">
        <f t="shared" si="37"/>
        <v>0</v>
      </c>
      <c r="O57" s="694">
        <f t="shared" si="37"/>
        <v>0</v>
      </c>
      <c r="P57" s="694">
        <f t="shared" si="37"/>
        <v>0</v>
      </c>
      <c r="Q57" s="694">
        <f t="shared" si="37"/>
        <v>0</v>
      </c>
      <c r="R57" s="694">
        <f t="shared" si="37"/>
        <v>0</v>
      </c>
      <c r="S57" s="694">
        <f t="shared" si="37"/>
        <v>0</v>
      </c>
      <c r="T57" s="694">
        <f t="shared" si="37"/>
        <v>0</v>
      </c>
      <c r="U57" s="694">
        <f t="shared" si="37"/>
        <v>0</v>
      </c>
      <c r="V57" s="694">
        <f t="shared" si="37"/>
        <v>0</v>
      </c>
      <c r="W57" s="694">
        <f t="shared" si="37"/>
        <v>0</v>
      </c>
      <c r="X57" s="694">
        <f t="shared" si="37"/>
        <v>0.4308638029684797</v>
      </c>
      <c r="Y57" s="694">
        <f t="shared" si="37"/>
        <v>0.764354564439511</v>
      </c>
      <c r="Z57" s="694">
        <f t="shared" si="37"/>
        <v>0.93759639423158081</v>
      </c>
      <c r="AA57" s="694">
        <f t="shared" si="37"/>
        <v>1.0875739963718964</v>
      </c>
      <c r="AB57" s="694">
        <f t="shared" si="37"/>
        <v>1.096072656363642</v>
      </c>
      <c r="AC57" s="694">
        <f t="shared" si="37"/>
        <v>1.1043089958283152</v>
      </c>
      <c r="AD57" s="694">
        <f t="shared" si="37"/>
        <v>0.39169958176897313</v>
      </c>
      <c r="AE57" s="694">
        <f t="shared" si="37"/>
        <v>0.39357115859496233</v>
      </c>
      <c r="AF57" s="694">
        <f t="shared" si="37"/>
        <v>0.39681325384902438</v>
      </c>
      <c r="AG57" s="694">
        <f t="shared" si="37"/>
        <v>0.39996881727533701</v>
      </c>
      <c r="AH57" s="694">
        <f t="shared" si="37"/>
        <v>0.40303142880961151</v>
      </c>
      <c r="AI57" s="694">
        <f t="shared" si="37"/>
        <v>0.40599439976749097</v>
      </c>
      <c r="AJ57" s="694">
        <f t="shared" si="37"/>
        <v>0.33664655160096091</v>
      </c>
      <c r="AK57" s="694">
        <f t="shared" si="37"/>
        <v>0.25424517007689751</v>
      </c>
      <c r="AL57" s="694">
        <f t="shared" si="37"/>
        <v>0.16891104149404693</v>
      </c>
      <c r="AM57" s="694">
        <f t="shared" si="37"/>
        <v>9.6784033526000401E-2</v>
      </c>
      <c r="AN57" s="694">
        <f t="shared" si="37"/>
        <v>0</v>
      </c>
      <c r="AO57" s="694">
        <f t="shared" si="37"/>
        <v>0</v>
      </c>
      <c r="AP57" s="694">
        <f t="shared" si="37"/>
        <v>0</v>
      </c>
      <c r="AQ57" s="694">
        <f t="shared" si="37"/>
        <v>0</v>
      </c>
      <c r="AR57" s="694">
        <f t="shared" si="37"/>
        <v>0</v>
      </c>
      <c r="AS57" s="694">
        <f t="shared" si="37"/>
        <v>0</v>
      </c>
      <c r="AT57" s="694">
        <f t="shared" si="37"/>
        <v>0</v>
      </c>
      <c r="AU57" s="694">
        <f t="shared" si="37"/>
        <v>0</v>
      </c>
      <c r="AV57" s="694">
        <f t="shared" si="37"/>
        <v>0</v>
      </c>
      <c r="AW57" s="694">
        <f t="shared" si="37"/>
        <v>1.4223240401112088E-16</v>
      </c>
      <c r="AX57" s="694">
        <f t="shared" si="37"/>
        <v>2.0300862495400218E-16</v>
      </c>
      <c r="AY57" s="694">
        <f t="shared" si="37"/>
        <v>2.0812444230284313E-16</v>
      </c>
      <c r="AZ57" s="694">
        <f t="shared" si="37"/>
        <v>2.1336917824887473E-16</v>
      </c>
      <c r="BA57" s="694">
        <f t="shared" si="37"/>
        <v>2.1874608154074619E-16</v>
      </c>
      <c r="BB57" s="694">
        <f t="shared" si="37"/>
        <v>2.2425848279557292E-16</v>
      </c>
      <c r="BC57" s="694">
        <f t="shared" si="37"/>
        <v>2.2990979656202142E-16</v>
      </c>
      <c r="BD57" s="694">
        <f t="shared" si="37"/>
        <v>2.357035234353843E-16</v>
      </c>
      <c r="BE57" s="694">
        <f t="shared" si="37"/>
        <v>2.4164325222595606E-16</v>
      </c>
      <c r="BF57" s="694">
        <f t="shared" si="37"/>
        <v>2.4773266218205015E-16</v>
      </c>
      <c r="BG57" s="694">
        <f t="shared" si="37"/>
        <v>2.5397552526903781E-16</v>
      </c>
      <c r="BH57" s="694">
        <f t="shared" si="37"/>
        <v>2.6037570850581751E-16</v>
      </c>
      <c r="BI57" s="694">
        <f t="shared" si="37"/>
        <v>2.6693717636016395E-16</v>
      </c>
      <c r="BJ57" s="68"/>
      <c r="BK57" s="68"/>
      <c r="BL57" s="68"/>
      <c r="BM57" s="47"/>
    </row>
    <row r="58" spans="1:65">
      <c r="A58" s="47"/>
      <c r="B58" s="43" t="s">
        <v>34</v>
      </c>
      <c r="C58" s="47"/>
      <c r="D58" s="143">
        <f>WACC!$G$7</f>
        <v>0.25</v>
      </c>
      <c r="E58" s="47"/>
      <c r="F58" s="697"/>
      <c r="G58" s="698">
        <f t="shared" ref="G58:AL58" si="38">$D$58*G57</f>
        <v>0.60952500472246085</v>
      </c>
      <c r="H58" s="698">
        <f t="shared" si="38"/>
        <v>0.5442900428718539</v>
      </c>
      <c r="I58" s="698">
        <f t="shared" si="38"/>
        <v>0.4280181916706608</v>
      </c>
      <c r="J58" s="698">
        <f t="shared" si="38"/>
        <v>0.48988598067396683</v>
      </c>
      <c r="K58" s="698">
        <f t="shared" si="38"/>
        <v>0.30051769411905577</v>
      </c>
      <c r="L58" s="698">
        <f t="shared" si="38"/>
        <v>7.7980636922030389E-2</v>
      </c>
      <c r="M58" s="698">
        <f t="shared" si="38"/>
        <v>8.1889142744858895E-2</v>
      </c>
      <c r="N58" s="698">
        <f t="shared" si="38"/>
        <v>0</v>
      </c>
      <c r="O58" s="698">
        <f t="shared" si="38"/>
        <v>0</v>
      </c>
      <c r="P58" s="698">
        <f t="shared" si="38"/>
        <v>0</v>
      </c>
      <c r="Q58" s="698">
        <f t="shared" si="38"/>
        <v>0</v>
      </c>
      <c r="R58" s="698">
        <f t="shared" si="38"/>
        <v>0</v>
      </c>
      <c r="S58" s="698">
        <f t="shared" si="38"/>
        <v>0</v>
      </c>
      <c r="T58" s="698">
        <f t="shared" si="38"/>
        <v>0</v>
      </c>
      <c r="U58" s="698">
        <f t="shared" si="38"/>
        <v>0</v>
      </c>
      <c r="V58" s="698">
        <f t="shared" si="38"/>
        <v>0</v>
      </c>
      <c r="W58" s="698">
        <f t="shared" si="38"/>
        <v>0</v>
      </c>
      <c r="X58" s="698">
        <f t="shared" si="38"/>
        <v>0.10771595074211993</v>
      </c>
      <c r="Y58" s="698">
        <f t="shared" si="38"/>
        <v>0.19108864110987775</v>
      </c>
      <c r="Z58" s="698">
        <f t="shared" si="38"/>
        <v>0.2343990985578952</v>
      </c>
      <c r="AA58" s="698">
        <f t="shared" si="38"/>
        <v>0.27189349909297411</v>
      </c>
      <c r="AB58" s="698">
        <f t="shared" si="38"/>
        <v>0.27401816409091051</v>
      </c>
      <c r="AC58" s="698">
        <f t="shared" si="38"/>
        <v>0.2760772489570788</v>
      </c>
      <c r="AD58" s="698">
        <f t="shared" si="38"/>
        <v>9.7924895442243282E-2</v>
      </c>
      <c r="AE58" s="698">
        <f t="shared" si="38"/>
        <v>9.8392789648740583E-2</v>
      </c>
      <c r="AF58" s="698">
        <f t="shared" si="38"/>
        <v>9.9203313462256096E-2</v>
      </c>
      <c r="AG58" s="698">
        <f t="shared" si="38"/>
        <v>9.9992204318834252E-2</v>
      </c>
      <c r="AH58" s="698">
        <f t="shared" si="38"/>
        <v>0.10075785720240288</v>
      </c>
      <c r="AI58" s="698">
        <f t="shared" si="38"/>
        <v>0.10149859994187274</v>
      </c>
      <c r="AJ58" s="698">
        <f t="shared" si="38"/>
        <v>8.4161637900240227E-2</v>
      </c>
      <c r="AK58" s="698">
        <f t="shared" si="38"/>
        <v>6.3561292519224377E-2</v>
      </c>
      <c r="AL58" s="698">
        <f t="shared" si="38"/>
        <v>4.2227760373511732E-2</v>
      </c>
      <c r="AM58" s="698">
        <f t="shared" ref="AM58:BI58" si="39">$D$58*AM57</f>
        <v>2.41960083815001E-2</v>
      </c>
      <c r="AN58" s="698">
        <f t="shared" si="39"/>
        <v>0</v>
      </c>
      <c r="AO58" s="698">
        <f t="shared" si="39"/>
        <v>0</v>
      </c>
      <c r="AP58" s="698">
        <f t="shared" si="39"/>
        <v>0</v>
      </c>
      <c r="AQ58" s="698">
        <f t="shared" si="39"/>
        <v>0</v>
      </c>
      <c r="AR58" s="698">
        <f t="shared" si="39"/>
        <v>0</v>
      </c>
      <c r="AS58" s="698">
        <f t="shared" si="39"/>
        <v>0</v>
      </c>
      <c r="AT58" s="698">
        <f t="shared" si="39"/>
        <v>0</v>
      </c>
      <c r="AU58" s="698">
        <f t="shared" si="39"/>
        <v>0</v>
      </c>
      <c r="AV58" s="698">
        <f t="shared" si="39"/>
        <v>0</v>
      </c>
      <c r="AW58" s="698">
        <f t="shared" si="39"/>
        <v>3.555810100278022E-17</v>
      </c>
      <c r="AX58" s="698">
        <f t="shared" si="39"/>
        <v>5.0752156238500545E-17</v>
      </c>
      <c r="AY58" s="698">
        <f t="shared" si="39"/>
        <v>5.2031110575710783E-17</v>
      </c>
      <c r="AZ58" s="698">
        <f t="shared" si="39"/>
        <v>5.3342294562218683E-17</v>
      </c>
      <c r="BA58" s="698">
        <f t="shared" si="39"/>
        <v>5.4686520385186549E-17</v>
      </c>
      <c r="BB58" s="698">
        <f t="shared" si="39"/>
        <v>5.6064620698893229E-17</v>
      </c>
      <c r="BC58" s="698">
        <f t="shared" si="39"/>
        <v>5.7477449140505354E-17</v>
      </c>
      <c r="BD58" s="698">
        <f t="shared" si="39"/>
        <v>5.8925880858846074E-17</v>
      </c>
      <c r="BE58" s="698">
        <f t="shared" si="39"/>
        <v>6.0410813056489014E-17</v>
      </c>
      <c r="BF58" s="698">
        <f t="shared" si="39"/>
        <v>6.1933165545512538E-17</v>
      </c>
      <c r="BG58" s="698">
        <f t="shared" si="39"/>
        <v>6.3493881317259453E-17</v>
      </c>
      <c r="BH58" s="698">
        <f t="shared" si="39"/>
        <v>6.5093927126454378E-17</v>
      </c>
      <c r="BI58" s="698">
        <f t="shared" si="39"/>
        <v>6.6734294090040988E-17</v>
      </c>
      <c r="BJ58" s="47"/>
      <c r="BK58" s="47"/>
      <c r="BL58" s="47"/>
      <c r="BM58" s="47"/>
    </row>
    <row r="59" spans="1:65" s="16" customFormat="1" ht="13.5" customHeight="1">
      <c r="A59" s="43"/>
      <c r="B59" s="43"/>
      <c r="C59" s="43"/>
      <c r="D59" s="43" t="s">
        <v>46</v>
      </c>
      <c r="E59" s="43"/>
      <c r="F59" s="81"/>
      <c r="G59" s="494">
        <f>MAX(0,(G25+G26+G28+G30+G32+G40+G41-G50+F56)*G53/(1-(1-$D$35)*G53))</f>
        <v>2.4381000188898425</v>
      </c>
      <c r="H59" s="494">
        <f>MAX(0,(H25+H26+H28+H30+H32+H40+H41-H50+G56)*H53/(1-(1-$D$35)*H53))</f>
        <v>2.1771601714874147</v>
      </c>
      <c r="I59" s="494">
        <f t="shared" ref="I59:BI59" si="40">MAX(0,(I25+I26+I28+I30+I32+I40+I41-I50+H56)*I53/(1-(1-$D$35)*I53))</f>
        <v>1.7120727666826439</v>
      </c>
      <c r="J59" s="494">
        <f t="shared" si="40"/>
        <v>1.9595439226958675</v>
      </c>
      <c r="K59" s="494">
        <f t="shared" si="40"/>
        <v>1.2020707764762226</v>
      </c>
      <c r="L59" s="494">
        <f t="shared" si="40"/>
        <v>0.31192254768812167</v>
      </c>
      <c r="M59" s="494">
        <f t="shared" si="40"/>
        <v>0.32755657097943558</v>
      </c>
      <c r="N59" s="494">
        <f t="shared" si="40"/>
        <v>0</v>
      </c>
      <c r="O59" s="494">
        <f t="shared" si="40"/>
        <v>0</v>
      </c>
      <c r="P59" s="494">
        <f t="shared" si="40"/>
        <v>0</v>
      </c>
      <c r="Q59" s="494">
        <f t="shared" si="40"/>
        <v>0</v>
      </c>
      <c r="R59" s="494">
        <f t="shared" si="40"/>
        <v>0</v>
      </c>
      <c r="S59" s="494">
        <f t="shared" si="40"/>
        <v>0</v>
      </c>
      <c r="T59" s="494">
        <f t="shared" si="40"/>
        <v>0</v>
      </c>
      <c r="U59" s="494">
        <f t="shared" si="40"/>
        <v>0</v>
      </c>
      <c r="V59" s="494">
        <f t="shared" si="40"/>
        <v>0</v>
      </c>
      <c r="W59" s="494">
        <f t="shared" si="40"/>
        <v>0</v>
      </c>
      <c r="X59" s="494">
        <f t="shared" si="40"/>
        <v>0.43086380296847948</v>
      </c>
      <c r="Y59" s="494">
        <f t="shared" si="40"/>
        <v>0.764354564439511</v>
      </c>
      <c r="Z59" s="494">
        <f t="shared" si="40"/>
        <v>0.9375963942315807</v>
      </c>
      <c r="AA59" s="494">
        <f t="shared" si="40"/>
        <v>1.0875739963718964</v>
      </c>
      <c r="AB59" s="494">
        <f t="shared" si="40"/>
        <v>1.096072656363642</v>
      </c>
      <c r="AC59" s="494">
        <f t="shared" si="40"/>
        <v>1.1043089958283152</v>
      </c>
      <c r="AD59" s="494">
        <f t="shared" si="40"/>
        <v>0.39169958176897302</v>
      </c>
      <c r="AE59" s="494">
        <f t="shared" si="40"/>
        <v>0.39357115859496233</v>
      </c>
      <c r="AF59" s="494">
        <f t="shared" si="40"/>
        <v>0.39681325384902438</v>
      </c>
      <c r="AG59" s="494">
        <f t="shared" si="40"/>
        <v>0.39996881727533706</v>
      </c>
      <c r="AH59" s="494">
        <f t="shared" si="40"/>
        <v>0.40303142880961146</v>
      </c>
      <c r="AI59" s="494">
        <f t="shared" si="40"/>
        <v>0.40599439976749091</v>
      </c>
      <c r="AJ59" s="494">
        <f t="shared" si="40"/>
        <v>0.33664655160096085</v>
      </c>
      <c r="AK59" s="494">
        <f t="shared" si="40"/>
        <v>0.25424517007689751</v>
      </c>
      <c r="AL59" s="494">
        <f t="shared" si="40"/>
        <v>0.16891104149404693</v>
      </c>
      <c r="AM59" s="494">
        <f t="shared" si="40"/>
        <v>9.6784033526000388E-2</v>
      </c>
      <c r="AN59" s="494">
        <f t="shared" si="40"/>
        <v>0</v>
      </c>
      <c r="AO59" s="494">
        <f t="shared" si="40"/>
        <v>0</v>
      </c>
      <c r="AP59" s="494">
        <f t="shared" si="40"/>
        <v>0</v>
      </c>
      <c r="AQ59" s="494">
        <f t="shared" si="40"/>
        <v>0</v>
      </c>
      <c r="AR59" s="494">
        <f t="shared" si="40"/>
        <v>0</v>
      </c>
      <c r="AS59" s="494">
        <f t="shared" si="40"/>
        <v>0</v>
      </c>
      <c r="AT59" s="494">
        <f t="shared" si="40"/>
        <v>0</v>
      </c>
      <c r="AU59" s="494">
        <f t="shared" si="40"/>
        <v>0</v>
      </c>
      <c r="AV59" s="494">
        <f t="shared" si="40"/>
        <v>0</v>
      </c>
      <c r="AW59" s="494">
        <f t="shared" si="40"/>
        <v>1.422324040111209E-16</v>
      </c>
      <c r="AX59" s="494">
        <f t="shared" si="40"/>
        <v>2.0300862495400213E-16</v>
      </c>
      <c r="AY59" s="494">
        <f t="shared" si="40"/>
        <v>2.0812444230284311E-16</v>
      </c>
      <c r="AZ59" s="494">
        <f t="shared" si="40"/>
        <v>2.1336917824887478E-16</v>
      </c>
      <c r="BA59" s="494">
        <f t="shared" si="40"/>
        <v>2.1874608154074624E-16</v>
      </c>
      <c r="BB59" s="494">
        <f t="shared" si="40"/>
        <v>2.2425848279557296E-16</v>
      </c>
      <c r="BC59" s="494">
        <f t="shared" si="40"/>
        <v>2.2990979656202142E-16</v>
      </c>
      <c r="BD59" s="494">
        <f t="shared" si="40"/>
        <v>2.3570352343538434E-16</v>
      </c>
      <c r="BE59" s="494">
        <f t="shared" si="40"/>
        <v>2.4164325222595606E-16</v>
      </c>
      <c r="BF59" s="494">
        <f t="shared" si="40"/>
        <v>2.477326621820502E-16</v>
      </c>
      <c r="BG59" s="494">
        <f t="shared" si="40"/>
        <v>2.5397552526903786E-16</v>
      </c>
      <c r="BH59" s="494">
        <f t="shared" si="40"/>
        <v>2.6037570850581746E-16</v>
      </c>
      <c r="BI59" s="494">
        <f t="shared" si="40"/>
        <v>2.6693717636016395E-16</v>
      </c>
      <c r="BJ59" s="43"/>
      <c r="BK59" s="43"/>
      <c r="BL59" s="69"/>
      <c r="BM59" s="69"/>
    </row>
    <row r="60" spans="1:65" s="16" customFormat="1" ht="13.5" customHeight="1">
      <c r="A60" s="43"/>
      <c r="B60" s="43"/>
      <c r="C60" s="43"/>
      <c r="D60" s="43"/>
      <c r="E60" s="43"/>
      <c r="F60" s="81"/>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c r="AE60" s="494"/>
      <c r="AF60" s="494"/>
      <c r="AG60" s="494"/>
      <c r="AH60" s="494"/>
      <c r="AI60" s="494"/>
      <c r="AJ60" s="494"/>
      <c r="AK60" s="494"/>
      <c r="AL60" s="494"/>
      <c r="AM60" s="494"/>
      <c r="AN60" s="494"/>
      <c r="AO60" s="494"/>
      <c r="AP60" s="494"/>
      <c r="AQ60" s="494"/>
      <c r="AR60" s="494"/>
      <c r="AS60" s="494"/>
      <c r="AT60" s="494"/>
      <c r="AU60" s="494"/>
      <c r="AV60" s="494"/>
      <c r="AW60" s="494"/>
      <c r="AX60" s="494"/>
      <c r="AY60" s="494"/>
      <c r="AZ60" s="494"/>
      <c r="BA60" s="494"/>
      <c r="BB60" s="494"/>
      <c r="BC60" s="494"/>
      <c r="BD60" s="494"/>
      <c r="BE60" s="494"/>
      <c r="BF60" s="494"/>
      <c r="BG60" s="494"/>
      <c r="BH60" s="494"/>
      <c r="BI60" s="494"/>
      <c r="BJ60" s="43"/>
      <c r="BK60" s="43"/>
      <c r="BL60" s="69"/>
      <c r="BM60" s="69"/>
    </row>
    <row r="61" spans="1:65" s="61" customFormat="1">
      <c r="A61" s="139"/>
      <c r="B61" s="140" t="s">
        <v>78</v>
      </c>
      <c r="C61" s="139"/>
      <c r="D61" s="141"/>
      <c r="E61" s="13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c r="AV61" s="699"/>
      <c r="AW61" s="699"/>
      <c r="AX61" s="699"/>
      <c r="AY61" s="699"/>
      <c r="AZ61" s="699"/>
      <c r="BA61" s="699"/>
      <c r="BB61" s="699"/>
      <c r="BC61" s="699"/>
      <c r="BD61" s="699"/>
      <c r="BE61" s="699"/>
      <c r="BF61" s="699"/>
      <c r="BG61" s="699"/>
      <c r="BH61" s="699"/>
      <c r="BI61" s="699"/>
      <c r="BJ61" s="77"/>
      <c r="BK61" s="77"/>
      <c r="BL61" s="77"/>
      <c r="BM61" s="77"/>
    </row>
    <row r="62" spans="1:65" s="61" customFormat="1">
      <c r="A62" s="76"/>
      <c r="B62" s="54"/>
      <c r="C62" s="76"/>
      <c r="D62" s="82"/>
      <c r="E62" s="76"/>
      <c r="F62" s="700"/>
      <c r="G62" s="700"/>
      <c r="H62" s="700"/>
      <c r="I62" s="700"/>
      <c r="J62" s="700"/>
      <c r="K62" s="700"/>
      <c r="L62" s="700"/>
      <c r="M62" s="700"/>
      <c r="N62" s="700"/>
      <c r="O62" s="700"/>
      <c r="P62" s="700"/>
      <c r="Q62" s="700"/>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O62" s="700"/>
      <c r="AP62" s="700"/>
      <c r="AQ62" s="700"/>
      <c r="AR62" s="700"/>
      <c r="AS62" s="700"/>
      <c r="AT62" s="700"/>
      <c r="AU62" s="700"/>
      <c r="AV62" s="700"/>
      <c r="AW62" s="700"/>
      <c r="AX62" s="700"/>
      <c r="AY62" s="700"/>
      <c r="AZ62" s="700"/>
      <c r="BA62" s="700"/>
      <c r="BB62" s="700"/>
      <c r="BC62" s="700"/>
      <c r="BD62" s="700"/>
      <c r="BE62" s="700"/>
      <c r="BF62" s="700"/>
      <c r="BG62" s="700"/>
      <c r="BH62" s="700"/>
      <c r="BI62" s="700"/>
      <c r="BJ62" s="77"/>
      <c r="BK62" s="77"/>
      <c r="BL62" s="77"/>
      <c r="BM62" s="77"/>
    </row>
    <row r="63" spans="1:65" s="61" customFormat="1">
      <c r="A63" s="76"/>
      <c r="B63" s="52" t="s">
        <v>86</v>
      </c>
      <c r="C63" s="76"/>
      <c r="D63" s="82"/>
      <c r="E63" s="76"/>
      <c r="F63" s="700"/>
      <c r="G63" s="700"/>
      <c r="H63" s="700"/>
      <c r="I63" s="700"/>
      <c r="J63" s="700"/>
      <c r="K63" s="700"/>
      <c r="L63" s="700"/>
      <c r="M63" s="700"/>
      <c r="N63" s="700"/>
      <c r="O63" s="700"/>
      <c r="P63" s="700"/>
      <c r="Q63" s="700"/>
      <c r="R63" s="700"/>
      <c r="S63" s="700"/>
      <c r="T63" s="700"/>
      <c r="U63" s="700"/>
      <c r="V63" s="700"/>
      <c r="W63" s="700"/>
      <c r="X63" s="700"/>
      <c r="Y63" s="700"/>
      <c r="Z63" s="700"/>
      <c r="AA63" s="700"/>
      <c r="AB63" s="700"/>
      <c r="AC63" s="700"/>
      <c r="AD63" s="700"/>
      <c r="AE63" s="700"/>
      <c r="AF63" s="700"/>
      <c r="AG63" s="700"/>
      <c r="AH63" s="700"/>
      <c r="AI63" s="700"/>
      <c r="AJ63" s="700"/>
      <c r="AK63" s="700"/>
      <c r="AL63" s="700"/>
      <c r="AM63" s="700"/>
      <c r="AN63" s="700"/>
      <c r="AO63" s="700"/>
      <c r="AP63" s="700"/>
      <c r="AQ63" s="700"/>
      <c r="AR63" s="700"/>
      <c r="AS63" s="700"/>
      <c r="AT63" s="700"/>
      <c r="AU63" s="700"/>
      <c r="AV63" s="700"/>
      <c r="AW63" s="700"/>
      <c r="AX63" s="700"/>
      <c r="AY63" s="700"/>
      <c r="AZ63" s="700"/>
      <c r="BA63" s="700"/>
      <c r="BB63" s="700"/>
      <c r="BC63" s="700"/>
      <c r="BD63" s="700"/>
      <c r="BE63" s="700"/>
      <c r="BF63" s="700"/>
      <c r="BG63" s="700"/>
      <c r="BH63" s="700"/>
      <c r="BI63" s="700"/>
      <c r="BJ63" s="77"/>
      <c r="BK63" s="77"/>
      <c r="BL63" s="77"/>
      <c r="BM63" s="77"/>
    </row>
    <row r="64" spans="1:65" s="61" customFormat="1">
      <c r="A64" s="76"/>
      <c r="B64" s="43" t="s">
        <v>35</v>
      </c>
      <c r="C64" s="76"/>
      <c r="D64" s="146" t="s">
        <v>87</v>
      </c>
      <c r="E64" s="147"/>
      <c r="F64" s="701">
        <f ca="1">F65-F66-G64+F67</f>
        <v>-3.5307736987304546E-14</v>
      </c>
      <c r="G64" s="673">
        <f>Assets!F474</f>
        <v>34.786526826130789</v>
      </c>
      <c r="H64" s="674">
        <f>Assets!G474</f>
        <v>35.511586810936471</v>
      </c>
      <c r="I64" s="674">
        <f>Assets!H474</f>
        <v>36.533793714142057</v>
      </c>
      <c r="J64" s="674">
        <f>Assets!I474</f>
        <v>37.482717222198772</v>
      </c>
      <c r="K64" s="674">
        <f>Assets!J474</f>
        <v>37.781965376404031</v>
      </c>
      <c r="L64" s="674">
        <f>Assets!K474</f>
        <v>38.762755172903731</v>
      </c>
      <c r="M64" s="674">
        <f>Assets!L474</f>
        <v>36.134089596643705</v>
      </c>
      <c r="N64" s="674">
        <f>Assets!M474</f>
        <v>33.348323375295173</v>
      </c>
      <c r="O64" s="674">
        <f>Assets!N474</f>
        <v>32.347853899512252</v>
      </c>
      <c r="P64" s="674">
        <f>Assets!O474</f>
        <v>31.275783242873622</v>
      </c>
      <c r="Q64" s="674">
        <f>Assets!P474</f>
        <v>30.129138044000058</v>
      </c>
      <c r="R64" s="674">
        <f>Assets!Q474</f>
        <v>28.904840553712713</v>
      </c>
      <c r="S64" s="674">
        <f>Assets!R474</f>
        <v>27.599705262091422</v>
      </c>
      <c r="T64" s="674">
        <f>Assets!S474</f>
        <v>26.210435421827189</v>
      </c>
      <c r="U64" s="674">
        <f>Assets!T474</f>
        <v>24.733619464783999</v>
      </c>
      <c r="V64" s="674">
        <f>Assets!U474</f>
        <v>23.165727308595557</v>
      </c>
      <c r="W64" s="674">
        <f>Assets!V474</f>
        <v>21.503106550030299</v>
      </c>
      <c r="X64" s="674">
        <f>Assets!W474</f>
        <v>19.741978541763306</v>
      </c>
      <c r="Y64" s="674">
        <f>Assets!X474</f>
        <v>17.878434349096125</v>
      </c>
      <c r="Z64" s="674">
        <f>Assets!Y474</f>
        <v>15.908430583065353</v>
      </c>
      <c r="AA64" s="674">
        <f>Assets!Z474</f>
        <v>13.827785106277583</v>
      </c>
      <c r="AB64" s="674">
        <f>Assets!AA474</f>
        <v>11.632172607702241</v>
      </c>
      <c r="AC64" s="674">
        <f>Assets!AB474</f>
        <v>9.3171200425448113</v>
      </c>
      <c r="AD64" s="674">
        <f>Assets!AC474</f>
        <v>6.8780019332106521</v>
      </c>
      <c r="AE64" s="674">
        <f>Assets!AD474</f>
        <v>6.1714946328086899</v>
      </c>
      <c r="AF64" s="674">
        <f>Assets!AE474</f>
        <v>5.4287835014684092</v>
      </c>
      <c r="AG64" s="674">
        <f>Assets!AF474</f>
        <v>4.6447205831569605</v>
      </c>
      <c r="AH64" s="674">
        <f>Assets!AG474</f>
        <v>3.8176933990878412</v>
      </c>
      <c r="AI64" s="674">
        <f>Assets!AH474</f>
        <v>2.9460344615825109</v>
      </c>
      <c r="AJ64" s="674">
        <f>Assets!AI474</f>
        <v>2.0280195256107554</v>
      </c>
      <c r="AK64" s="674">
        <f>Assets!AJ474</f>
        <v>1.2483933342453903</v>
      </c>
      <c r="AL64" s="674">
        <f>Assets!AK474</f>
        <v>0.64702197558723351</v>
      </c>
      <c r="AM64" s="674">
        <f>Assets!AL474</f>
        <v>0.23939622744368536</v>
      </c>
      <c r="AN64" s="674">
        <f>Assets!AM474</f>
        <v>1.7258032680579076E-14</v>
      </c>
      <c r="AO64" s="674">
        <f>Assets!AN474</f>
        <v>2.1833146609300776E-14</v>
      </c>
      <c r="AP64" s="674">
        <f>Assets!AO474</f>
        <v>2.2383341903855153E-14</v>
      </c>
      <c r="AQ64" s="674">
        <f>Assets!AP474</f>
        <v>2.2947402119832298E-14</v>
      </c>
      <c r="AR64" s="674">
        <f>Assets!AQ474</f>
        <v>2.3525676653252069E-14</v>
      </c>
      <c r="AS64" s="674">
        <f>Assets!AR474</f>
        <v>2.411852370491402E-14</v>
      </c>
      <c r="AT64" s="674">
        <f>Assets!AS474</f>
        <v>2.4726310502277852E-14</v>
      </c>
      <c r="AU64" s="674">
        <f>Assets!AT474</f>
        <v>2.5349413526935251E-14</v>
      </c>
      <c r="AV64" s="674">
        <f>Assets!AU474</f>
        <v>2.5988218747814018E-14</v>
      </c>
      <c r="AW64" s="674">
        <f>Assets!AV474</f>
        <v>2.664312186025893E-14</v>
      </c>
      <c r="AX64" s="674">
        <f>Assets!AW474</f>
        <v>2.7314528531137449E-14</v>
      </c>
      <c r="AY64" s="674">
        <f>Assets!AX474</f>
        <v>2.8002854650122109E-14</v>
      </c>
      <c r="AZ64" s="674">
        <f>Assets!AY474</f>
        <v>2.8708526587305188E-14</v>
      </c>
      <c r="BA64" s="674">
        <f>Assets!AZ474</f>
        <v>2.943198145730527E-14</v>
      </c>
      <c r="BB64" s="674">
        <f>Assets!BA474</f>
        <v>3.0173667390029361E-14</v>
      </c>
      <c r="BC64" s="674">
        <f>Assets!BB474</f>
        <v>3.0934043808258097E-14</v>
      </c>
      <c r="BD64" s="674">
        <f>Assets!BC474</f>
        <v>3.1713581712226196E-14</v>
      </c>
      <c r="BE64" s="674">
        <f>Assets!BD474</f>
        <v>3.2512763971374295E-14</v>
      </c>
      <c r="BF64" s="674">
        <f>Assets!BE474</f>
        <v>3.3332085623452922E-14</v>
      </c>
      <c r="BG64" s="674">
        <f>Assets!BF474</f>
        <v>3.417205418116393E-14</v>
      </c>
      <c r="BH64" s="674">
        <f>Assets!BG474</f>
        <v>3.5033189946529257E-14</v>
      </c>
      <c r="BI64" s="674">
        <f>Assets!BH474</f>
        <v>3.5916026333181792E-14</v>
      </c>
      <c r="BJ64" s="76"/>
      <c r="BK64" s="77"/>
      <c r="BL64" s="77"/>
      <c r="BM64" s="77"/>
    </row>
    <row r="65" spans="1:65" s="61" customFormat="1">
      <c r="A65" s="76"/>
      <c r="B65" s="50" t="s">
        <v>122</v>
      </c>
      <c r="C65" s="76"/>
      <c r="D65" s="82"/>
      <c r="E65" s="76"/>
      <c r="F65" s="1428">
        <f ca="1">SUMPRODUCT(OFFSET(G65,0,0,1,55+1),OFFSET(G13,0,0,1,55+1))</f>
        <v>45.805278642823794</v>
      </c>
      <c r="G65" s="1424">
        <f t="shared" ref="G65:AL65" si="41">SUM(G25:G26,G28)</f>
        <v>5.2085673954451153</v>
      </c>
      <c r="H65" s="1425">
        <f t="shared" si="41"/>
        <v>5.4217657955580325</v>
      </c>
      <c r="I65" s="1425">
        <f t="shared" si="41"/>
        <v>5.6766273094508106</v>
      </c>
      <c r="J65" s="1425">
        <f t="shared" si="41"/>
        <v>5.9337333314857688</v>
      </c>
      <c r="K65" s="1425">
        <f t="shared" si="41"/>
        <v>6.1307717957007029</v>
      </c>
      <c r="L65" s="1425">
        <f t="shared" si="41"/>
        <v>6.4126857362388829</v>
      </c>
      <c r="M65" s="1425">
        <f t="shared" si="41"/>
        <v>6.3131760477728847</v>
      </c>
      <c r="N65" s="1425">
        <f t="shared" si="41"/>
        <v>4.2559328036792348</v>
      </c>
      <c r="O65" s="1425">
        <f t="shared" si="41"/>
        <v>4.2298681543090151</v>
      </c>
      <c r="P65" s="1425">
        <f t="shared" si="41"/>
        <v>4.1997871590428861</v>
      </c>
      <c r="Q65" s="1425">
        <f t="shared" si="41"/>
        <v>4.1655039461426302</v>
      </c>
      <c r="R65" s="1425">
        <f t="shared" si="41"/>
        <v>4.1268258264747235</v>
      </c>
      <c r="S65" s="1425">
        <f t="shared" si="41"/>
        <v>4.0835530679495955</v>
      </c>
      <c r="T65" s="1425">
        <f t="shared" si="41"/>
        <v>4.0354786629219568</v>
      </c>
      <c r="U65" s="1425">
        <f t="shared" si="41"/>
        <v>3.9823880883406546</v>
      </c>
      <c r="V65" s="1425">
        <f t="shared" si="41"/>
        <v>3.9240590584303519</v>
      </c>
      <c r="W65" s="1425">
        <f t="shared" si="41"/>
        <v>3.8602612696809508</v>
      </c>
      <c r="X65" s="1425">
        <f t="shared" si="41"/>
        <v>3.7907561379141148</v>
      </c>
      <c r="Y65" s="1425">
        <f t="shared" si="41"/>
        <v>3.7152965271895315</v>
      </c>
      <c r="Z65" s="1425">
        <f t="shared" si="41"/>
        <v>3.6336264703066079</v>
      </c>
      <c r="AA65" s="1425">
        <f t="shared" si="41"/>
        <v>3.545480880650159</v>
      </c>
      <c r="AB65" s="1425">
        <f t="shared" si="41"/>
        <v>3.4505852551213216</v>
      </c>
      <c r="AC65" s="1425">
        <f t="shared" si="41"/>
        <v>3.3486553678873827</v>
      </c>
      <c r="AD65" s="1425">
        <f t="shared" si="41"/>
        <v>1.3779378491219847</v>
      </c>
      <c r="AE65" s="1425">
        <f t="shared" si="41"/>
        <v>1.3451724373950644</v>
      </c>
      <c r="AF65" s="1425">
        <f t="shared" si="41"/>
        <v>1.3140207637247951</v>
      </c>
      <c r="AG65" s="1425">
        <f t="shared" si="41"/>
        <v>1.2804448073969008</v>
      </c>
      <c r="AH65" s="1425">
        <f t="shared" si="41"/>
        <v>1.2443421671242847</v>
      </c>
      <c r="AI65" s="1425">
        <f t="shared" si="41"/>
        <v>1.2056068201114396</v>
      </c>
      <c r="AJ65" s="1425">
        <f t="shared" si="41"/>
        <v>0.97760145745548654</v>
      </c>
      <c r="AK65" s="1425">
        <f t="shared" si="41"/>
        <v>0.7232395159471916</v>
      </c>
      <c r="AL65" s="1425">
        <f t="shared" si="41"/>
        <v>0.47078803340037378</v>
      </c>
      <c r="AM65" s="1425">
        <f t="shared" ref="AM65:BI65" si="42">SUM(AM25:AM26,AM28)</f>
        <v>0.26276608716672062</v>
      </c>
      <c r="AN65" s="1425">
        <f t="shared" si="42"/>
        <v>-2.8903847784435741E-15</v>
      </c>
      <c r="AO65" s="1425">
        <f t="shared" si="42"/>
        <v>1.5811564774455622E-15</v>
      </c>
      <c r="AP65" s="1425">
        <f t="shared" si="42"/>
        <v>1.6210016206771902E-15</v>
      </c>
      <c r="AQ65" s="1425">
        <f t="shared" si="42"/>
        <v>1.6618508615182551E-15</v>
      </c>
      <c r="AR65" s="1425">
        <f t="shared" si="42"/>
        <v>1.7037295032285151E-15</v>
      </c>
      <c r="AS65" s="1425">
        <f t="shared" si="42"/>
        <v>1.7466634867098734E-15</v>
      </c>
      <c r="AT65" s="1425">
        <f t="shared" si="42"/>
        <v>1.7906794065749618E-15</v>
      </c>
      <c r="AU65" s="1425">
        <f t="shared" si="42"/>
        <v>1.8358045276206507E-15</v>
      </c>
      <c r="AV65" s="1425">
        <f t="shared" si="42"/>
        <v>1.8820668017166907E-15</v>
      </c>
      <c r="AW65" s="1425">
        <f t="shared" si="42"/>
        <v>1.9294948851199519E-15</v>
      </c>
      <c r="AX65" s="1425">
        <f t="shared" si="42"/>
        <v>1.9781181562249738E-15</v>
      </c>
      <c r="AY65" s="1425">
        <f t="shared" si="42"/>
        <v>2.0279667337618433E-15</v>
      </c>
      <c r="AZ65" s="1425">
        <f t="shared" si="42"/>
        <v>2.0790714954526419E-15</v>
      </c>
      <c r="BA65" s="1425">
        <f t="shared" si="42"/>
        <v>2.1314640971380475E-15</v>
      </c>
      <c r="BB65" s="1425">
        <f t="shared" si="42"/>
        <v>2.1851769923859263E-15</v>
      </c>
      <c r="BC65" s="1425">
        <f t="shared" si="42"/>
        <v>2.2402434525940512E-15</v>
      </c>
      <c r="BD65" s="1425">
        <f t="shared" si="42"/>
        <v>2.296697587599421E-15</v>
      </c>
      <c r="BE65" s="1425">
        <f t="shared" si="42"/>
        <v>2.3545743668069265E-15</v>
      </c>
      <c r="BF65" s="1425">
        <f t="shared" si="42"/>
        <v>2.413909640850461E-15</v>
      </c>
      <c r="BG65" s="1425">
        <f t="shared" si="42"/>
        <v>2.4747401637998925E-15</v>
      </c>
      <c r="BH65" s="1425">
        <f t="shared" si="42"/>
        <v>2.5371036159276486E-15</v>
      </c>
      <c r="BI65" s="1425">
        <f t="shared" si="42"/>
        <v>2.6010386270490252E-15</v>
      </c>
      <c r="BJ65" s="1426"/>
      <c r="BK65" s="77"/>
      <c r="BL65" s="77"/>
      <c r="BM65" s="77"/>
    </row>
    <row r="66" spans="1:65" s="61" customFormat="1">
      <c r="A66" s="76"/>
      <c r="B66" s="50" t="s">
        <v>123</v>
      </c>
      <c r="C66" s="76"/>
      <c r="D66" s="82"/>
      <c r="E66" s="76"/>
      <c r="F66" s="702">
        <f ca="1">SUMPRODUCT(OFFSET(G66,0,0,1,55+1),OFFSET(G13,0,0,1,55+1))</f>
        <v>11.018751816693044</v>
      </c>
      <c r="G66" s="696">
        <f>Assets!G41</f>
        <v>2.5377666314839109</v>
      </c>
      <c r="H66" s="703">
        <f>Assets!H41</f>
        <v>2.9773315942800096</v>
      </c>
      <c r="I66" s="703">
        <f>Assets!I41</f>
        <v>3.0591218751329836</v>
      </c>
      <c r="J66" s="703">
        <f>Assets!J41</f>
        <v>2.5739186304599824</v>
      </c>
      <c r="K66" s="703">
        <f>Assets!K41</f>
        <v>3.4232861321558379</v>
      </c>
      <c r="L66" s="703">
        <f>Assets!L41</f>
        <v>0</v>
      </c>
      <c r="M66" s="703">
        <f>Assets!M41</f>
        <v>0</v>
      </c>
      <c r="N66" s="703">
        <f>Assets!N41</f>
        <v>0</v>
      </c>
      <c r="O66" s="703">
        <f>Assets!O41</f>
        <v>0</v>
      </c>
      <c r="P66" s="703">
        <f>Assets!P41</f>
        <v>0</v>
      </c>
      <c r="Q66" s="703">
        <f>Assets!Q41</f>
        <v>0</v>
      </c>
      <c r="R66" s="703">
        <f>Assets!R41</f>
        <v>0</v>
      </c>
      <c r="S66" s="703">
        <f>Assets!S41</f>
        <v>0</v>
      </c>
      <c r="T66" s="703">
        <f>Assets!T41</f>
        <v>0</v>
      </c>
      <c r="U66" s="703">
        <f>Assets!U41</f>
        <v>0</v>
      </c>
      <c r="V66" s="703">
        <f>Assets!V41</f>
        <v>0</v>
      </c>
      <c r="W66" s="703">
        <f>Assets!W41</f>
        <v>0</v>
      </c>
      <c r="X66" s="703">
        <f>Assets!X41</f>
        <v>0</v>
      </c>
      <c r="Y66" s="703">
        <f>Assets!Y41</f>
        <v>0</v>
      </c>
      <c r="Z66" s="703">
        <f>Assets!Z41</f>
        <v>0</v>
      </c>
      <c r="AA66" s="703">
        <f>Assets!AA41</f>
        <v>0</v>
      </c>
      <c r="AB66" s="703">
        <f>Assets!AB41</f>
        <v>0</v>
      </c>
      <c r="AC66" s="703">
        <f>Assets!AC41</f>
        <v>0</v>
      </c>
      <c r="AD66" s="703">
        <f>Assets!AD41</f>
        <v>0</v>
      </c>
      <c r="AE66" s="703">
        <f>Assets!AE41</f>
        <v>0</v>
      </c>
      <c r="AF66" s="703">
        <f>Assets!AF41</f>
        <v>0</v>
      </c>
      <c r="AG66" s="703">
        <f>Assets!AG41</f>
        <v>0</v>
      </c>
      <c r="AH66" s="703">
        <f>Assets!AH41</f>
        <v>0</v>
      </c>
      <c r="AI66" s="703">
        <f>Assets!AI41</f>
        <v>0</v>
      </c>
      <c r="AJ66" s="703">
        <f>Assets!AJ41</f>
        <v>0</v>
      </c>
      <c r="AK66" s="703">
        <f>Assets!AK41</f>
        <v>0</v>
      </c>
      <c r="AL66" s="703">
        <f>Assets!AL41</f>
        <v>0</v>
      </c>
      <c r="AM66" s="703">
        <f>Assets!AM41</f>
        <v>0</v>
      </c>
      <c r="AN66" s="703">
        <f>Assets!AN41</f>
        <v>0</v>
      </c>
      <c r="AO66" s="703">
        <f>Assets!AO41</f>
        <v>0</v>
      </c>
      <c r="AP66" s="703">
        <f>Assets!AP41</f>
        <v>0</v>
      </c>
      <c r="AQ66" s="703">
        <f>Assets!AQ41</f>
        <v>0</v>
      </c>
      <c r="AR66" s="703">
        <f>Assets!AR41</f>
        <v>0</v>
      </c>
      <c r="AS66" s="703">
        <f>Assets!AS41</f>
        <v>0</v>
      </c>
      <c r="AT66" s="703">
        <f>Assets!AT41</f>
        <v>0</v>
      </c>
      <c r="AU66" s="703">
        <f>Assets!AU41</f>
        <v>0</v>
      </c>
      <c r="AV66" s="703">
        <f>Assets!AV41</f>
        <v>0</v>
      </c>
      <c r="AW66" s="703">
        <f>Assets!AW41</f>
        <v>0</v>
      </c>
      <c r="AX66" s="703">
        <f>Assets!AX41</f>
        <v>0</v>
      </c>
      <c r="AY66" s="703">
        <f>Assets!AY41</f>
        <v>0</v>
      </c>
      <c r="AZ66" s="703">
        <f>Assets!AZ41</f>
        <v>0</v>
      </c>
      <c r="BA66" s="703">
        <f>Assets!BA41</f>
        <v>0</v>
      </c>
      <c r="BB66" s="703">
        <f>Assets!BB41</f>
        <v>0</v>
      </c>
      <c r="BC66" s="703">
        <f>Assets!BC41</f>
        <v>0</v>
      </c>
      <c r="BD66" s="703">
        <f>Assets!BD41</f>
        <v>0</v>
      </c>
      <c r="BE66" s="703">
        <f>Assets!BE41</f>
        <v>0</v>
      </c>
      <c r="BF66" s="703">
        <f>Assets!BF41</f>
        <v>0</v>
      </c>
      <c r="BG66" s="703">
        <f>Assets!BG41</f>
        <v>0</v>
      </c>
      <c r="BH66" s="703">
        <f>Assets!BH41</f>
        <v>0</v>
      </c>
      <c r="BI66" s="703">
        <f>Assets!BI41</f>
        <v>0</v>
      </c>
      <c r="BJ66" s="76"/>
      <c r="BK66" s="77"/>
      <c r="BL66" s="77"/>
      <c r="BM66" s="77"/>
    </row>
    <row r="67" spans="1:65" s="61" customFormat="1">
      <c r="A67" s="76"/>
      <c r="B67" s="441" t="s">
        <v>507</v>
      </c>
      <c r="C67" s="76"/>
      <c r="D67" s="82"/>
      <c r="E67" s="76"/>
      <c r="F67" s="702">
        <f ca="1">SUMPRODUCT(OFFSET(G67,0,0,1,55+1),OFFSET(G13,0,0,1,55+1))</f>
        <v>2.1939980070046388E-16</v>
      </c>
      <c r="G67" s="703">
        <v>0</v>
      </c>
      <c r="H67" s="703">
        <v>0</v>
      </c>
      <c r="I67" s="703">
        <v>0</v>
      </c>
      <c r="J67" s="703">
        <v>0</v>
      </c>
      <c r="K67" s="703">
        <v>0</v>
      </c>
      <c r="L67" s="703">
        <v>0</v>
      </c>
      <c r="M67" s="703">
        <v>0</v>
      </c>
      <c r="N67" s="703">
        <v>0</v>
      </c>
      <c r="O67" s="703">
        <v>0</v>
      </c>
      <c r="P67" s="703">
        <v>0</v>
      </c>
      <c r="Q67" s="703">
        <v>0</v>
      </c>
      <c r="R67" s="703">
        <v>0</v>
      </c>
      <c r="S67" s="703">
        <v>0</v>
      </c>
      <c r="T67" s="703">
        <v>0</v>
      </c>
      <c r="U67" s="703">
        <v>0</v>
      </c>
      <c r="V67" s="703">
        <v>0</v>
      </c>
      <c r="W67" s="703">
        <v>0</v>
      </c>
      <c r="X67" s="703">
        <v>0</v>
      </c>
      <c r="Y67" s="703">
        <v>0</v>
      </c>
      <c r="Z67" s="703">
        <v>0</v>
      </c>
      <c r="AA67" s="703">
        <v>0</v>
      </c>
      <c r="AB67" s="703">
        <v>0</v>
      </c>
      <c r="AC67" s="703">
        <v>0</v>
      </c>
      <c r="AD67" s="703">
        <v>0</v>
      </c>
      <c r="AE67" s="703">
        <v>0</v>
      </c>
      <c r="AF67" s="703">
        <v>0</v>
      </c>
      <c r="AG67" s="703">
        <v>0</v>
      </c>
      <c r="AH67" s="703">
        <v>0</v>
      </c>
      <c r="AI67" s="703">
        <v>0</v>
      </c>
      <c r="AJ67" s="703">
        <v>0</v>
      </c>
      <c r="AK67" s="703">
        <v>0</v>
      </c>
      <c r="AL67" s="703">
        <v>0</v>
      </c>
      <c r="AM67" s="703">
        <v>0</v>
      </c>
      <c r="AN67" s="703">
        <v>0</v>
      </c>
      <c r="AO67" s="703">
        <v>0</v>
      </c>
      <c r="AP67" s="703">
        <v>0</v>
      </c>
      <c r="AQ67" s="703">
        <v>0</v>
      </c>
      <c r="AR67" s="703">
        <v>0</v>
      </c>
      <c r="AS67" s="703">
        <v>0</v>
      </c>
      <c r="AT67" s="703">
        <v>0</v>
      </c>
      <c r="AU67" s="703">
        <v>0</v>
      </c>
      <c r="AV67" s="703">
        <v>0</v>
      </c>
      <c r="AW67" s="703">
        <v>0</v>
      </c>
      <c r="AX67" s="703">
        <v>0</v>
      </c>
      <c r="AY67" s="703">
        <v>0</v>
      </c>
      <c r="AZ67" s="703">
        <v>0</v>
      </c>
      <c r="BA67" s="703">
        <v>0</v>
      </c>
      <c r="BB67" s="703">
        <v>0</v>
      </c>
      <c r="BC67" s="703">
        <v>0</v>
      </c>
      <c r="BD67" s="703">
        <v>0</v>
      </c>
      <c r="BE67" s="703">
        <v>0</v>
      </c>
      <c r="BF67" s="703">
        <v>0</v>
      </c>
      <c r="BG67" s="703">
        <v>0</v>
      </c>
      <c r="BH67" s="703">
        <v>0</v>
      </c>
      <c r="BI67" s="703">
        <f>Assets!BI474</f>
        <v>3.6821110196777967E-14</v>
      </c>
      <c r="BJ67" s="621"/>
      <c r="BK67" s="77"/>
      <c r="BL67" s="77"/>
      <c r="BM67" s="77"/>
    </row>
    <row r="68" spans="1:65" s="61" customFormat="1">
      <c r="A68" s="76"/>
      <c r="B68" s="50"/>
      <c r="C68" s="76"/>
      <c r="D68" s="82"/>
      <c r="E68" s="76"/>
      <c r="F68" s="704"/>
      <c r="G68" s="703"/>
      <c r="H68" s="703"/>
      <c r="I68" s="703"/>
      <c r="J68" s="703"/>
      <c r="K68" s="703"/>
      <c r="L68" s="703"/>
      <c r="M68" s="703"/>
      <c r="N68" s="703"/>
      <c r="O68" s="703"/>
      <c r="P68" s="703"/>
      <c r="Q68" s="703"/>
      <c r="R68" s="703"/>
      <c r="S68" s="703"/>
      <c r="T68" s="703"/>
      <c r="U68" s="703"/>
      <c r="V68" s="703"/>
      <c r="W68" s="703"/>
      <c r="X68" s="703"/>
      <c r="Y68" s="703"/>
      <c r="Z68" s="703"/>
      <c r="AA68" s="703"/>
      <c r="AB68" s="703"/>
      <c r="AC68" s="703"/>
      <c r="AD68" s="703"/>
      <c r="AE68" s="703"/>
      <c r="AF68" s="703"/>
      <c r="AG68" s="703"/>
      <c r="AH68" s="703"/>
      <c r="AI68" s="703"/>
      <c r="AJ68" s="703"/>
      <c r="AK68" s="703"/>
      <c r="AL68" s="703"/>
      <c r="AM68" s="703"/>
      <c r="AN68" s="703"/>
      <c r="AO68" s="703"/>
      <c r="AP68" s="703"/>
      <c r="AQ68" s="703"/>
      <c r="AR68" s="703"/>
      <c r="AS68" s="703"/>
      <c r="AT68" s="703"/>
      <c r="AU68" s="703"/>
      <c r="AV68" s="703"/>
      <c r="AW68" s="703"/>
      <c r="AX68" s="703"/>
      <c r="AY68" s="703"/>
      <c r="AZ68" s="703"/>
      <c r="BA68" s="703"/>
      <c r="BB68" s="703"/>
      <c r="BC68" s="703"/>
      <c r="BD68" s="703"/>
      <c r="BE68" s="703"/>
      <c r="BF68" s="703"/>
      <c r="BG68" s="703"/>
      <c r="BH68" s="703"/>
      <c r="BI68" s="703"/>
      <c r="BJ68" s="77"/>
      <c r="BK68" s="77"/>
      <c r="BL68" s="77"/>
      <c r="BM68" s="77"/>
    </row>
    <row r="69" spans="1:65">
      <c r="A69" s="47"/>
      <c r="B69" s="52" t="s">
        <v>22</v>
      </c>
      <c r="C69" s="47"/>
      <c r="D69" s="47"/>
      <c r="E69" s="47"/>
      <c r="F69" s="670"/>
      <c r="G69" s="1431"/>
      <c r="H69" s="670"/>
      <c r="I69" s="670"/>
      <c r="J69" s="670"/>
      <c r="K69" s="670"/>
      <c r="L69" s="670"/>
      <c r="M69" s="670"/>
      <c r="N69" s="670"/>
      <c r="O69" s="670"/>
      <c r="P69" s="670"/>
      <c r="Q69" s="670"/>
      <c r="R69" s="670"/>
      <c r="S69" s="670"/>
      <c r="T69" s="670"/>
      <c r="U69" s="670"/>
      <c r="V69" s="670"/>
      <c r="W69" s="670"/>
      <c r="X69" s="670"/>
      <c r="Y69" s="670"/>
      <c r="Z69" s="670"/>
      <c r="AA69" s="670"/>
      <c r="AB69" s="670"/>
      <c r="AC69" s="670"/>
      <c r="AD69" s="670"/>
      <c r="AE69" s="670"/>
      <c r="AF69" s="670"/>
      <c r="AG69" s="670"/>
      <c r="AH69" s="670"/>
      <c r="AI69" s="670"/>
      <c r="AJ69" s="670"/>
      <c r="AK69" s="670"/>
      <c r="AL69" s="670"/>
      <c r="AM69" s="670"/>
      <c r="AN69" s="670"/>
      <c r="AO69" s="670"/>
      <c r="AP69" s="670"/>
      <c r="AQ69" s="670"/>
      <c r="AR69" s="670"/>
      <c r="AS69" s="670"/>
      <c r="AT69" s="670"/>
      <c r="AU69" s="670"/>
      <c r="AV69" s="670"/>
      <c r="AW69" s="670"/>
      <c r="AX69" s="670"/>
      <c r="AY69" s="670"/>
      <c r="AZ69" s="670"/>
      <c r="BA69" s="670"/>
      <c r="BB69" s="670"/>
      <c r="BC69" s="670"/>
      <c r="BD69" s="670"/>
      <c r="BE69" s="670"/>
      <c r="BF69" s="670"/>
      <c r="BG69" s="670"/>
      <c r="BH69" s="670"/>
      <c r="BI69" s="670"/>
      <c r="BJ69" s="47"/>
      <c r="BK69" s="47"/>
      <c r="BL69" s="47"/>
      <c r="BM69" s="47"/>
    </row>
    <row r="70" spans="1:65">
      <c r="A70" s="47"/>
      <c r="B70" s="47" t="s">
        <v>10</v>
      </c>
      <c r="C70" s="47"/>
      <c r="D70" s="47"/>
      <c r="E70" s="47"/>
      <c r="F70" s="1430">
        <f>Assets!F9+Assets!F41</f>
        <v>34.786526826130789</v>
      </c>
      <c r="G70" s="1415">
        <f>Assets!G9+Assets!G41</f>
        <v>2.5377666314839109</v>
      </c>
      <c r="H70" s="667">
        <f>Assets!H9+Assets!H41</f>
        <v>2.9773315942800096</v>
      </c>
      <c r="I70" s="667">
        <f>Assets!I9+Assets!I41</f>
        <v>3.0591218751329836</v>
      </c>
      <c r="J70" s="667">
        <f>Assets!J9+Assets!J41</f>
        <v>2.5739186304599824</v>
      </c>
      <c r="K70" s="667">
        <f>Assets!K9+Assets!K41</f>
        <v>3.4232861321558379</v>
      </c>
      <c r="L70" s="667">
        <f>Assets!L9+Assets!L41</f>
        <v>0</v>
      </c>
      <c r="M70" s="667">
        <f>Assets!M9+Assets!M41</f>
        <v>0</v>
      </c>
      <c r="N70" s="667">
        <f>Assets!N9+Assets!N41</f>
        <v>0</v>
      </c>
      <c r="O70" s="667">
        <f>Assets!O9+Assets!O41</f>
        <v>0</v>
      </c>
      <c r="P70" s="667">
        <f>Assets!P9+Assets!P41</f>
        <v>0</v>
      </c>
      <c r="Q70" s="667">
        <f>Assets!Q9+Assets!Q41</f>
        <v>0</v>
      </c>
      <c r="R70" s="667">
        <f>Assets!R9+Assets!R41</f>
        <v>0</v>
      </c>
      <c r="S70" s="667">
        <f>Assets!S9+Assets!S41</f>
        <v>0</v>
      </c>
      <c r="T70" s="667">
        <f>Assets!T9+Assets!T41</f>
        <v>0</v>
      </c>
      <c r="U70" s="667">
        <f>Assets!U9+Assets!U41</f>
        <v>0</v>
      </c>
      <c r="V70" s="667">
        <f>Assets!V9+Assets!V41</f>
        <v>0</v>
      </c>
      <c r="W70" s="667">
        <f>Assets!W9+Assets!W41</f>
        <v>0</v>
      </c>
      <c r="X70" s="667">
        <f>Assets!X9+Assets!X41</f>
        <v>0</v>
      </c>
      <c r="Y70" s="667">
        <f>Assets!Y9+Assets!Y41</f>
        <v>0</v>
      </c>
      <c r="Z70" s="667">
        <f>Assets!Z9+Assets!Z41</f>
        <v>0</v>
      </c>
      <c r="AA70" s="667">
        <f>Assets!AA9+Assets!AA41</f>
        <v>0</v>
      </c>
      <c r="AB70" s="667">
        <f>Assets!AB9+Assets!AB41</f>
        <v>0</v>
      </c>
      <c r="AC70" s="667">
        <f>Assets!AC9+Assets!AC41</f>
        <v>0</v>
      </c>
      <c r="AD70" s="667">
        <f>Assets!AD9+Assets!AD41</f>
        <v>0</v>
      </c>
      <c r="AE70" s="667">
        <f>Assets!AE9+Assets!AE41</f>
        <v>0</v>
      </c>
      <c r="AF70" s="667">
        <f>Assets!AF9+Assets!AF41</f>
        <v>0</v>
      </c>
      <c r="AG70" s="667">
        <f>Assets!AG9+Assets!AG41</f>
        <v>0</v>
      </c>
      <c r="AH70" s="667">
        <f>Assets!AH9+Assets!AH41</f>
        <v>0</v>
      </c>
      <c r="AI70" s="667">
        <f>Assets!AI9+Assets!AI41</f>
        <v>0</v>
      </c>
      <c r="AJ70" s="667">
        <f>Assets!AJ9+Assets!AJ41</f>
        <v>0</v>
      </c>
      <c r="AK70" s="667">
        <f>Assets!AK9+Assets!AK41</f>
        <v>0</v>
      </c>
      <c r="AL70" s="667">
        <f>Assets!AL9+Assets!AL41</f>
        <v>0</v>
      </c>
      <c r="AM70" s="667">
        <f>Assets!AM9+Assets!AM41</f>
        <v>0</v>
      </c>
      <c r="AN70" s="667">
        <f>Assets!AN9+Assets!AN41</f>
        <v>0</v>
      </c>
      <c r="AO70" s="667">
        <f>Assets!AO9+Assets!AO41</f>
        <v>0</v>
      </c>
      <c r="AP70" s="667">
        <f>Assets!AP9+Assets!AP41</f>
        <v>0</v>
      </c>
      <c r="AQ70" s="667">
        <f>Assets!AQ9+Assets!AQ41</f>
        <v>0</v>
      </c>
      <c r="AR70" s="667">
        <f>Assets!AR9+Assets!AR41</f>
        <v>0</v>
      </c>
      <c r="AS70" s="667">
        <f>Assets!AS9+Assets!AS41</f>
        <v>0</v>
      </c>
      <c r="AT70" s="667">
        <f>Assets!AT9+Assets!AT41</f>
        <v>0</v>
      </c>
      <c r="AU70" s="667">
        <f>Assets!AU9+Assets!AU41</f>
        <v>0</v>
      </c>
      <c r="AV70" s="667">
        <f>Assets!AV9+Assets!AV41</f>
        <v>0</v>
      </c>
      <c r="AW70" s="667">
        <f>Assets!AW9+Assets!AW41</f>
        <v>0</v>
      </c>
      <c r="AX70" s="667">
        <f>Assets!AX9+Assets!AX41</f>
        <v>0</v>
      </c>
      <c r="AY70" s="667">
        <f>Assets!AY9+Assets!AY41</f>
        <v>0</v>
      </c>
      <c r="AZ70" s="667">
        <f>Assets!AZ9+Assets!AZ41</f>
        <v>0</v>
      </c>
      <c r="BA70" s="667">
        <f>Assets!BA9+Assets!BA41</f>
        <v>0</v>
      </c>
      <c r="BB70" s="667">
        <f>Assets!BB9+Assets!BB41</f>
        <v>0</v>
      </c>
      <c r="BC70" s="667">
        <f>Assets!BC9+Assets!BC41</f>
        <v>0</v>
      </c>
      <c r="BD70" s="667">
        <f>Assets!BD9+Assets!BD41</f>
        <v>0</v>
      </c>
      <c r="BE70" s="667">
        <f>Assets!BE9+Assets!BE41</f>
        <v>0</v>
      </c>
      <c r="BF70" s="667">
        <f>Assets!BF9+Assets!BF41</f>
        <v>0</v>
      </c>
      <c r="BG70" s="667">
        <f>Assets!BG9+Assets!BG41</f>
        <v>0</v>
      </c>
      <c r="BH70" s="667">
        <f>Assets!BH9+Assets!BH41</f>
        <v>0</v>
      </c>
      <c r="BI70" s="667">
        <f>Assets!BI9+Assets!BI41</f>
        <v>0</v>
      </c>
      <c r="BJ70" s="47"/>
      <c r="BK70" s="47"/>
      <c r="BL70" s="47"/>
      <c r="BM70" s="47"/>
    </row>
    <row r="71" spans="1:65">
      <c r="A71" s="47"/>
      <c r="B71" s="47" t="s">
        <v>20</v>
      </c>
      <c r="C71" s="47"/>
      <c r="D71" s="47"/>
      <c r="E71" s="47"/>
      <c r="F71" s="706">
        <f t="shared" ref="F71:AK71" si="43">F26</f>
        <v>0</v>
      </c>
      <c r="G71" s="1433">
        <f t="shared" si="43"/>
        <v>1.8513389576866806</v>
      </c>
      <c r="H71" s="669">
        <f t="shared" si="43"/>
        <v>1.8899266500780389</v>
      </c>
      <c r="I71" s="669">
        <f t="shared" si="43"/>
        <v>1.94432850146664</v>
      </c>
      <c r="J71" s="669">
        <f t="shared" si="43"/>
        <v>1.9948302105654185</v>
      </c>
      <c r="K71" s="669">
        <f t="shared" si="43"/>
        <v>2.0107561973322223</v>
      </c>
      <c r="L71" s="669">
        <f t="shared" si="43"/>
        <v>2.0629538303019368</v>
      </c>
      <c r="M71" s="669">
        <f t="shared" si="43"/>
        <v>1.923056248333378</v>
      </c>
      <c r="N71" s="669">
        <f t="shared" si="43"/>
        <v>1.7747977700332089</v>
      </c>
      <c r="O71" s="669">
        <f t="shared" si="43"/>
        <v>1.721552784532042</v>
      </c>
      <c r="P71" s="669">
        <f t="shared" si="43"/>
        <v>1.6644971841857343</v>
      </c>
      <c r="Q71" s="669">
        <f t="shared" si="43"/>
        <v>1.6034727267016828</v>
      </c>
      <c r="R71" s="669">
        <f t="shared" si="43"/>
        <v>1.5383156142685903</v>
      </c>
      <c r="S71" s="669">
        <f t="shared" si="43"/>
        <v>1.4688563140485056</v>
      </c>
      <c r="T71" s="669">
        <f t="shared" si="43"/>
        <v>1.394919373149643</v>
      </c>
      <c r="U71" s="669">
        <f t="shared" si="43"/>
        <v>1.3163232279158044</v>
      </c>
      <c r="V71" s="669">
        <f t="shared" si="43"/>
        <v>1.2328800073634554</v>
      </c>
      <c r="W71" s="669">
        <f t="shared" si="43"/>
        <v>1.1443953305926124</v>
      </c>
      <c r="X71" s="669">
        <f t="shared" si="43"/>
        <v>1.050668097992643</v>
      </c>
      <c r="Y71" s="669">
        <f t="shared" si="43"/>
        <v>0.9514902760588958</v>
      </c>
      <c r="Z71" s="669">
        <f t="shared" si="43"/>
        <v>0.84664667563073803</v>
      </c>
      <c r="AA71" s="669">
        <f t="shared" si="43"/>
        <v>0.73591472335609298</v>
      </c>
      <c r="AB71" s="669">
        <f t="shared" si="43"/>
        <v>0.61906422618191326</v>
      </c>
      <c r="AC71" s="669">
        <f t="shared" si="43"/>
        <v>0.49585712866423487</v>
      </c>
      <c r="AD71" s="669">
        <f t="shared" si="43"/>
        <v>0.36604726288547085</v>
      </c>
      <c r="AE71" s="669">
        <f t="shared" si="43"/>
        <v>0.32844694435807847</v>
      </c>
      <c r="AF71" s="669">
        <f t="shared" si="43"/>
        <v>0.28891985794814873</v>
      </c>
      <c r="AG71" s="669">
        <f t="shared" si="43"/>
        <v>0.24719202943561344</v>
      </c>
      <c r="AH71" s="669">
        <f t="shared" si="43"/>
        <v>0.2031776426994549</v>
      </c>
      <c r="AI71" s="669">
        <f t="shared" si="43"/>
        <v>0.15678795404542123</v>
      </c>
      <c r="AJ71" s="669">
        <f t="shared" si="43"/>
        <v>0.10793119915300441</v>
      </c>
      <c r="AK71" s="669">
        <f t="shared" si="43"/>
        <v>6.6439493248539677E-2</v>
      </c>
      <c r="AL71" s="669">
        <f t="shared" ref="AL71:BI71" si="44">AL26</f>
        <v>3.443450954075257E-2</v>
      </c>
      <c r="AM71" s="669">
        <f t="shared" si="44"/>
        <v>1.2740667224552932E-2</v>
      </c>
      <c r="AN71" s="669">
        <f t="shared" si="44"/>
        <v>9.1847249926041831E-16</v>
      </c>
      <c r="AO71" s="669">
        <f t="shared" si="44"/>
        <v>1.1619600625469874E-15</v>
      </c>
      <c r="AP71" s="669">
        <f t="shared" si="44"/>
        <v>1.1912414561231712E-15</v>
      </c>
      <c r="AQ71" s="669">
        <f t="shared" si="44"/>
        <v>1.2212607408174748E-15</v>
      </c>
      <c r="AR71" s="669">
        <f t="shared" si="44"/>
        <v>1.2520365114860751E-15</v>
      </c>
      <c r="AS71" s="669">
        <f t="shared" si="44"/>
        <v>1.2835878315755241E-15</v>
      </c>
      <c r="AT71" s="669">
        <f t="shared" si="44"/>
        <v>1.3159342449312274E-15</v>
      </c>
      <c r="AU71" s="669">
        <f t="shared" si="44"/>
        <v>1.349095787903494E-15</v>
      </c>
      <c r="AV71" s="669">
        <f t="shared" si="44"/>
        <v>1.3830930017586619E-15</v>
      </c>
      <c r="AW71" s="669">
        <f t="shared" si="44"/>
        <v>1.4179469454029804E-15</v>
      </c>
      <c r="AX71" s="669">
        <f t="shared" si="44"/>
        <v>1.4536792084271349E-15</v>
      </c>
      <c r="AY71" s="669">
        <f t="shared" si="44"/>
        <v>1.4903119244794985E-15</v>
      </c>
      <c r="AZ71" s="669">
        <f t="shared" si="44"/>
        <v>1.527867784976382E-15</v>
      </c>
      <c r="BA71" s="669">
        <f t="shared" si="44"/>
        <v>1.5663700531577864E-15</v>
      </c>
      <c r="BB71" s="669">
        <f t="shared" si="44"/>
        <v>1.6058425784973628E-15</v>
      </c>
      <c r="BC71" s="669">
        <f t="shared" si="44"/>
        <v>1.6463098114754958E-15</v>
      </c>
      <c r="BD71" s="669">
        <f t="shared" si="44"/>
        <v>1.6877968187246781E-15</v>
      </c>
      <c r="BE71" s="669">
        <f t="shared" si="44"/>
        <v>1.7303292985565399E-15</v>
      </c>
      <c r="BF71" s="669">
        <f t="shared" si="44"/>
        <v>1.7739335968801645E-15</v>
      </c>
      <c r="BG71" s="669">
        <f t="shared" si="44"/>
        <v>1.8186367235215446E-15</v>
      </c>
      <c r="BH71" s="669">
        <f t="shared" si="44"/>
        <v>1.8644663689542867E-15</v>
      </c>
      <c r="BI71" s="669">
        <f t="shared" si="44"/>
        <v>1.9114509214519349E-15</v>
      </c>
      <c r="BJ71" s="47"/>
      <c r="BK71" s="47"/>
      <c r="BL71" s="47"/>
      <c r="BM71" s="47"/>
    </row>
    <row r="72" spans="1:65">
      <c r="A72" s="47"/>
      <c r="B72" s="47" t="s">
        <v>21</v>
      </c>
      <c r="C72" s="47"/>
      <c r="D72" s="47"/>
      <c r="E72" s="47"/>
      <c r="F72" s="1448">
        <f t="shared" ref="F72:AK72" si="45">F19-G19</f>
        <v>-20.871916095678472</v>
      </c>
      <c r="G72" s="1433">
        <f t="shared" si="45"/>
        <v>-0.43503599088341005</v>
      </c>
      <c r="H72" s="669">
        <f t="shared" si="45"/>
        <v>-0.61332414192334994</v>
      </c>
      <c r="I72" s="669">
        <f t="shared" si="45"/>
        <v>-0.56935410483403004</v>
      </c>
      <c r="J72" s="669">
        <f t="shared" si="45"/>
        <v>-0.17954889252315454</v>
      </c>
      <c r="K72" s="669">
        <f t="shared" si="45"/>
        <v>-0.58847387789982264</v>
      </c>
      <c r="L72" s="669">
        <f t="shared" si="45"/>
        <v>1.5771993457560178</v>
      </c>
      <c r="M72" s="669">
        <f t="shared" si="45"/>
        <v>1.6714597328091187</v>
      </c>
      <c r="N72" s="669">
        <f t="shared" si="45"/>
        <v>0.6002816854697528</v>
      </c>
      <c r="O72" s="669">
        <f t="shared" si="45"/>
        <v>0.64324239398317573</v>
      </c>
      <c r="P72" s="669">
        <f t="shared" si="45"/>
        <v>0.68798711932414136</v>
      </c>
      <c r="Q72" s="669">
        <f t="shared" si="45"/>
        <v>0.73457849417240695</v>
      </c>
      <c r="R72" s="669">
        <f t="shared" si="45"/>
        <v>0.78308117497277152</v>
      </c>
      <c r="S72" s="669">
        <f t="shared" si="45"/>
        <v>0.83356190415854137</v>
      </c>
      <c r="T72" s="669">
        <f t="shared" si="45"/>
        <v>0.88608957422591494</v>
      </c>
      <c r="U72" s="669">
        <f t="shared" si="45"/>
        <v>0.94073529371306464</v>
      </c>
      <c r="V72" s="669">
        <f t="shared" si="45"/>
        <v>0.99757245513915471</v>
      </c>
      <c r="W72" s="669">
        <f t="shared" si="45"/>
        <v>1.0566768049601958</v>
      </c>
      <c r="X72" s="669">
        <f t="shared" si="45"/>
        <v>1.1181265156003075</v>
      </c>
      <c r="Y72" s="669">
        <f t="shared" si="45"/>
        <v>1.1820022596184643</v>
      </c>
      <c r="Z72" s="669">
        <f t="shared" si="45"/>
        <v>1.2483872860726617</v>
      </c>
      <c r="AA72" s="669">
        <f t="shared" si="45"/>
        <v>1.3173674991452051</v>
      </c>
      <c r="AB72" s="669">
        <f t="shared" si="45"/>
        <v>1.3890315390944572</v>
      </c>
      <c r="AC72" s="669">
        <f t="shared" si="45"/>
        <v>1.4634708656004962</v>
      </c>
      <c r="AD72" s="669">
        <f t="shared" si="45"/>
        <v>0.42390438024117705</v>
      </c>
      <c r="AE72" s="669">
        <f t="shared" si="45"/>
        <v>0.44562667880416829</v>
      </c>
      <c r="AF72" s="669">
        <f t="shared" si="45"/>
        <v>0.47043775098686913</v>
      </c>
      <c r="AG72" s="669">
        <f t="shared" si="45"/>
        <v>0.49621631044147163</v>
      </c>
      <c r="AH72" s="669">
        <f t="shared" si="45"/>
        <v>0.52299536250319822</v>
      </c>
      <c r="AI72" s="669">
        <f t="shared" si="45"/>
        <v>0.55080896158305315</v>
      </c>
      <c r="AJ72" s="669">
        <f t="shared" si="45"/>
        <v>0.46777571481921909</v>
      </c>
      <c r="AK72" s="669">
        <f t="shared" si="45"/>
        <v>0.36082281519489406</v>
      </c>
      <c r="AL72" s="669">
        <f t="shared" ref="AL72:BH72" si="46">AL19-AM19</f>
        <v>0.24457544888612892</v>
      </c>
      <c r="AM72" s="669">
        <f t="shared" si="46"/>
        <v>0.14363773646620084</v>
      </c>
      <c r="AN72" s="669">
        <f t="shared" si="46"/>
        <v>-2.7450683572330204E-15</v>
      </c>
      <c r="AO72" s="669">
        <f t="shared" si="46"/>
        <v>-3.3011717673262613E-16</v>
      </c>
      <c r="AP72" s="669">
        <f t="shared" si="46"/>
        <v>-3.3843612958628578E-16</v>
      </c>
      <c r="AQ72" s="669">
        <f t="shared" si="46"/>
        <v>-3.4696472005186323E-16</v>
      </c>
      <c r="AR72" s="669">
        <f t="shared" si="46"/>
        <v>-3.5570823099716982E-16</v>
      </c>
      <c r="AS72" s="669">
        <f t="shared" si="46"/>
        <v>-3.6467207841830163E-16</v>
      </c>
      <c r="AT72" s="669">
        <f t="shared" si="46"/>
        <v>-3.7386181479443763E-16</v>
      </c>
      <c r="AU72" s="669">
        <f t="shared" si="46"/>
        <v>-3.832831325272591E-16</v>
      </c>
      <c r="AV72" s="669">
        <f t="shared" si="46"/>
        <v>-3.9294186746694958E-16</v>
      </c>
      <c r="AW72" s="669">
        <f t="shared" si="46"/>
        <v>-4.0284400252710893E-16</v>
      </c>
      <c r="AX72" s="669">
        <f t="shared" si="46"/>
        <v>-4.1299567139079668E-16</v>
      </c>
      <c r="AY72" s="669">
        <f t="shared" si="46"/>
        <v>-4.2340316230984701E-16</v>
      </c>
      <c r="AZ72" s="669">
        <f t="shared" si="46"/>
        <v>-4.3407292200004938E-16</v>
      </c>
      <c r="BA72" s="669">
        <f t="shared" si="46"/>
        <v>-4.4501155963445706E-16</v>
      </c>
      <c r="BB72" s="669">
        <f t="shared" si="46"/>
        <v>-4.5622585093724079E-16</v>
      </c>
      <c r="BC72" s="669">
        <f t="shared" si="46"/>
        <v>-4.6772274238085788E-16</v>
      </c>
      <c r="BD72" s="669">
        <f t="shared" si="46"/>
        <v>-4.7950935548885936E-16</v>
      </c>
      <c r="BE72" s="669">
        <f t="shared" si="46"/>
        <v>-4.9159299124717807E-16</v>
      </c>
      <c r="BF72" s="669">
        <f t="shared" si="46"/>
        <v>-5.0398113462660507E-16</v>
      </c>
      <c r="BG72" s="669">
        <f t="shared" si="46"/>
        <v>-5.1668145921919344E-16</v>
      </c>
      <c r="BH72" s="669">
        <f t="shared" si="46"/>
        <v>-5.297018319915239E-16</v>
      </c>
      <c r="BI72" s="669">
        <f>BI19-Assets!BI474*D19</f>
        <v>-5.4305031815770367E-16</v>
      </c>
      <c r="BJ72" s="620"/>
      <c r="BK72" s="47"/>
      <c r="BL72" s="47"/>
      <c r="BM72" s="47"/>
    </row>
    <row r="73" spans="1:65">
      <c r="A73" s="47"/>
      <c r="B73" s="47"/>
      <c r="C73" s="47"/>
      <c r="D73" s="47"/>
      <c r="E73" s="47"/>
      <c r="F73" s="687"/>
      <c r="G73" s="687"/>
      <c r="H73" s="687"/>
      <c r="I73" s="687"/>
      <c r="J73" s="687"/>
      <c r="K73" s="687"/>
      <c r="L73" s="687"/>
      <c r="M73" s="687"/>
      <c r="N73" s="687"/>
      <c r="O73" s="687"/>
      <c r="P73" s="687"/>
      <c r="Q73" s="687"/>
      <c r="R73" s="687"/>
      <c r="S73" s="687"/>
      <c r="T73" s="687"/>
      <c r="U73" s="687"/>
      <c r="V73" s="687"/>
      <c r="W73" s="687"/>
      <c r="X73" s="687"/>
      <c r="Y73" s="687"/>
      <c r="Z73" s="687"/>
      <c r="AA73" s="687"/>
      <c r="AB73" s="687"/>
      <c r="AC73" s="687"/>
      <c r="AD73" s="687"/>
      <c r="AE73" s="687"/>
      <c r="AF73" s="687"/>
      <c r="AG73" s="687"/>
      <c r="AH73" s="687"/>
      <c r="AI73" s="687"/>
      <c r="AJ73" s="687"/>
      <c r="AK73" s="687"/>
      <c r="AL73" s="687"/>
      <c r="AM73" s="687"/>
      <c r="AN73" s="687"/>
      <c r="AO73" s="687"/>
      <c r="AP73" s="687"/>
      <c r="AQ73" s="687"/>
      <c r="AR73" s="687"/>
      <c r="AS73" s="687"/>
      <c r="AT73" s="687"/>
      <c r="AU73" s="687"/>
      <c r="AV73" s="687"/>
      <c r="AW73" s="687"/>
      <c r="AX73" s="687"/>
      <c r="AY73" s="687"/>
      <c r="AZ73" s="687"/>
      <c r="BA73" s="687"/>
      <c r="BB73" s="687"/>
      <c r="BC73" s="687"/>
      <c r="BD73" s="687"/>
      <c r="BE73" s="687"/>
      <c r="BF73" s="687"/>
      <c r="BG73" s="687"/>
      <c r="BH73" s="687"/>
      <c r="BI73" s="687"/>
      <c r="BJ73" s="47"/>
      <c r="BK73" s="47"/>
      <c r="BL73" s="47"/>
      <c r="BM73" s="47"/>
    </row>
    <row r="74" spans="1:65">
      <c r="A74" s="624"/>
      <c r="B74" s="625" t="s">
        <v>501</v>
      </c>
      <c r="C74" s="624"/>
      <c r="D74" s="624"/>
      <c r="E74" s="624"/>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c r="AS74" s="707"/>
      <c r="AT74" s="707"/>
      <c r="AU74" s="707"/>
      <c r="AV74" s="707"/>
      <c r="AW74" s="707"/>
      <c r="AX74" s="707"/>
      <c r="AY74" s="707"/>
      <c r="AZ74" s="707"/>
      <c r="BA74" s="707"/>
      <c r="BB74" s="707"/>
      <c r="BC74" s="707"/>
      <c r="BD74" s="707"/>
      <c r="BE74" s="707"/>
      <c r="BF74" s="707"/>
      <c r="BG74" s="707"/>
      <c r="BH74" s="707"/>
      <c r="BI74" s="707"/>
      <c r="BJ74" s="624"/>
      <c r="BK74" s="47"/>
      <c r="BL74" s="47"/>
      <c r="BM74" s="47"/>
    </row>
    <row r="75" spans="1:65">
      <c r="A75" s="47"/>
      <c r="B75" s="52"/>
      <c r="C75" s="47"/>
      <c r="D75" s="47"/>
      <c r="E75" s="47"/>
      <c r="F75" s="687"/>
      <c r="G75" s="687"/>
      <c r="H75" s="687"/>
      <c r="I75" s="687"/>
      <c r="J75" s="687"/>
      <c r="K75" s="687"/>
      <c r="L75" s="687"/>
      <c r="M75" s="687"/>
      <c r="N75" s="687"/>
      <c r="O75" s="687"/>
      <c r="P75" s="687"/>
      <c r="Q75" s="687"/>
      <c r="R75" s="687"/>
      <c r="S75" s="687"/>
      <c r="T75" s="687"/>
      <c r="U75" s="687"/>
      <c r="V75" s="687"/>
      <c r="W75" s="687"/>
      <c r="X75" s="687"/>
      <c r="Y75" s="687"/>
      <c r="Z75" s="687"/>
      <c r="AA75" s="687"/>
      <c r="AB75" s="687"/>
      <c r="AC75" s="687"/>
      <c r="AD75" s="687"/>
      <c r="AE75" s="687"/>
      <c r="AF75" s="687"/>
      <c r="AG75" s="687"/>
      <c r="AH75" s="687"/>
      <c r="AI75" s="687"/>
      <c r="AJ75" s="687"/>
      <c r="AK75" s="687"/>
      <c r="AL75" s="687"/>
      <c r="AM75" s="687"/>
      <c r="AN75" s="687"/>
      <c r="AO75" s="687"/>
      <c r="AP75" s="687"/>
      <c r="AQ75" s="687"/>
      <c r="AR75" s="687"/>
      <c r="AS75" s="687"/>
      <c r="AT75" s="687"/>
      <c r="AU75" s="687"/>
      <c r="AV75" s="687"/>
      <c r="AW75" s="687"/>
      <c r="AX75" s="687"/>
      <c r="AY75" s="687"/>
      <c r="AZ75" s="687"/>
      <c r="BA75" s="687"/>
      <c r="BB75" s="687"/>
      <c r="BC75" s="687"/>
      <c r="BD75" s="687"/>
      <c r="BE75" s="687"/>
      <c r="BF75" s="687"/>
      <c r="BG75" s="687"/>
      <c r="BH75" s="687"/>
      <c r="BI75" s="687"/>
      <c r="BJ75" s="47"/>
      <c r="BK75" s="47"/>
      <c r="BL75" s="47"/>
      <c r="BM75" s="47"/>
    </row>
    <row r="76" spans="1:65">
      <c r="A76" s="47"/>
      <c r="B76" s="52" t="s">
        <v>30</v>
      </c>
      <c r="C76" s="47"/>
      <c r="D76" s="47"/>
      <c r="E76" s="47"/>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0"/>
      <c r="BC76" s="670"/>
      <c r="BD76" s="670"/>
      <c r="BE76" s="670"/>
      <c r="BF76" s="670"/>
      <c r="BG76" s="670"/>
      <c r="BH76" s="670"/>
      <c r="BI76" s="670"/>
      <c r="BJ76" s="47"/>
      <c r="BK76" s="47"/>
      <c r="BL76" s="47"/>
      <c r="BM76" s="47"/>
    </row>
    <row r="77" spans="1:65">
      <c r="A77" s="47"/>
      <c r="B77" s="47" t="s">
        <v>81</v>
      </c>
      <c r="C77" s="148" t="s">
        <v>33</v>
      </c>
      <c r="D77" s="149">
        <f ca="1">1-E78/E77</f>
        <v>0.48308563706540786</v>
      </c>
      <c r="E77" s="150">
        <f ca="1">IRR(OFFSET(F77,0,0,1,55+1))</f>
        <v>0.17832355120094179</v>
      </c>
      <c r="F77" s="705">
        <f>F37-F46-F70-F71-F72</f>
        <v>-13.914610730452317</v>
      </c>
      <c r="G77" s="1415">
        <f>SUM(G25:G32)+SUM(G34:G35)-G46-G70-G71-G72</f>
        <v>3.0830728113253159</v>
      </c>
      <c r="H77" s="683">
        <f t="shared" ref="H77:AM77" si="47">H37-H46-H70-H71-H72</f>
        <v>2.8007018217388961</v>
      </c>
      <c r="I77" s="683">
        <f t="shared" si="47"/>
        <v>2.5265856126972004</v>
      </c>
      <c r="J77" s="683">
        <f t="shared" si="47"/>
        <v>3.0141913250054229</v>
      </c>
      <c r="K77" s="683">
        <f t="shared" si="47"/>
        <v>2.1867564264696333</v>
      </c>
      <c r="L77" s="683">
        <f t="shared" si="47"/>
        <v>3.006474470947019</v>
      </c>
      <c r="M77" s="683">
        <f t="shared" si="47"/>
        <v>2.9643274948649649</v>
      </c>
      <c r="N77" s="683">
        <f t="shared" si="47"/>
        <v>1.8808533481762728</v>
      </c>
      <c r="O77" s="683">
        <f t="shared" si="47"/>
        <v>1.8650729757937974</v>
      </c>
      <c r="P77" s="683">
        <f t="shared" si="47"/>
        <v>1.8473028555330107</v>
      </c>
      <c r="Q77" s="683">
        <f t="shared" si="47"/>
        <v>1.8274527252685404</v>
      </c>
      <c r="R77" s="683">
        <f t="shared" si="47"/>
        <v>1.8054290372333615</v>
      </c>
      <c r="S77" s="683">
        <f t="shared" si="47"/>
        <v>1.7811348497425485</v>
      </c>
      <c r="T77" s="683">
        <f t="shared" si="47"/>
        <v>1.7544697155463989</v>
      </c>
      <c r="U77" s="683">
        <f t="shared" si="47"/>
        <v>1.7253295667117854</v>
      </c>
      <c r="V77" s="683">
        <f t="shared" si="47"/>
        <v>1.6936065959277418</v>
      </c>
      <c r="W77" s="683">
        <f t="shared" si="47"/>
        <v>1.6591891341281428</v>
      </c>
      <c r="X77" s="683">
        <f t="shared" si="47"/>
        <v>1.9451093765475242</v>
      </c>
      <c r="Y77" s="683">
        <f t="shared" si="47"/>
        <v>2.1550699148418047</v>
      </c>
      <c r="Z77" s="683">
        <f t="shared" si="47"/>
        <v>2.2417898042768938</v>
      </c>
      <c r="AA77" s="683">
        <f t="shared" si="47"/>
        <v>2.3078791554277829</v>
      </c>
      <c r="AB77" s="683">
        <f t="shared" si="47"/>
        <v>2.2645439821176829</v>
      </c>
      <c r="AC77" s="683">
        <f t="shared" si="47"/>
        <v>2.2175591204938883</v>
      </c>
      <c r="AD77" s="683">
        <f t="shared" si="47"/>
        <v>0.88176089232206678</v>
      </c>
      <c r="AE77" s="683">
        <f t="shared" si="47"/>
        <v>0.86627718317903946</v>
      </c>
      <c r="AF77" s="683">
        <f t="shared" si="47"/>
        <v>0.85227309517654559</v>
      </c>
      <c r="AG77" s="683">
        <f t="shared" si="47"/>
        <v>0.83701308047631851</v>
      </c>
      <c r="AH77" s="683">
        <f t="shared" si="47"/>
        <v>0.82044273352884023</v>
      </c>
      <c r="AI77" s="683">
        <f t="shared" si="47"/>
        <v>0.80250570430858348</v>
      </c>
      <c r="AJ77" s="683">
        <f t="shared" si="47"/>
        <v>0.65437945718398394</v>
      </c>
      <c r="AK77" s="683">
        <f t="shared" si="47"/>
        <v>0.48666108506143096</v>
      </c>
      <c r="AL77" s="683">
        <f t="shared" si="47"/>
        <v>0.31846135609402748</v>
      </c>
      <c r="AM77" s="683">
        <f t="shared" si="47"/>
        <v>0.17897570862046716</v>
      </c>
      <c r="AN77" s="683">
        <f t="shared" ref="AN77:BH77" si="48">AN37-AN46-AN70-AN71-AN72</f>
        <v>-1.0637889204709721E-15</v>
      </c>
      <c r="AO77" s="683">
        <f t="shared" si="48"/>
        <v>7.4931359163120095E-16</v>
      </c>
      <c r="AP77" s="683">
        <f t="shared" si="48"/>
        <v>7.6819629414030473E-16</v>
      </c>
      <c r="AQ77" s="683">
        <f t="shared" si="48"/>
        <v>7.8755484075264358E-16</v>
      </c>
      <c r="AR77" s="683">
        <f t="shared" si="48"/>
        <v>8.0740122273960984E-16</v>
      </c>
      <c r="AS77" s="683">
        <f t="shared" si="48"/>
        <v>8.2774773355265097E-16</v>
      </c>
      <c r="AT77" s="683">
        <f t="shared" si="48"/>
        <v>8.4860697643817207E-16</v>
      </c>
      <c r="AU77" s="683">
        <f t="shared" si="48"/>
        <v>8.6999187224441579E-16</v>
      </c>
      <c r="AV77" s="683">
        <f t="shared" si="48"/>
        <v>8.9191566742497844E-16</v>
      </c>
      <c r="AW77" s="683">
        <f t="shared" si="48"/>
        <v>1.021066245252421E-15</v>
      </c>
      <c r="AX77" s="683">
        <f t="shared" si="48"/>
        <v>1.0896910879041374E-15</v>
      </c>
      <c r="AY77" s="683">
        <f t="shared" si="48"/>
        <v>1.1171513033193241E-15</v>
      </c>
      <c r="AZ77" s="683">
        <f t="shared" si="48"/>
        <v>1.1453035161629652E-15</v>
      </c>
      <c r="BA77" s="683">
        <f t="shared" si="48"/>
        <v>1.1741651647702778E-15</v>
      </c>
      <c r="BB77" s="683">
        <f t="shared" si="48"/>
        <v>1.2037541269224839E-15</v>
      </c>
      <c r="BC77" s="683">
        <f t="shared" si="48"/>
        <v>1.2340887309209294E-15</v>
      </c>
      <c r="BD77" s="683">
        <f t="shared" si="48"/>
        <v>1.2651877669401404E-15</v>
      </c>
      <c r="BE77" s="683">
        <f t="shared" si="48"/>
        <v>1.2970704986670317E-15</v>
      </c>
      <c r="BF77" s="683">
        <f t="shared" si="48"/>
        <v>1.3297566752334389E-15</v>
      </c>
      <c r="BG77" s="683">
        <f t="shared" si="48"/>
        <v>1.3632665434493195E-15</v>
      </c>
      <c r="BH77" s="683">
        <f t="shared" si="48"/>
        <v>1.3976208603442489E-15</v>
      </c>
      <c r="BI77" s="683">
        <f>BI37-BI46-BI70-BI71-BI72+Assets!BI474*$D$18</f>
        <v>1.6161284984736103E-14</v>
      </c>
      <c r="BJ77" s="620"/>
      <c r="BK77" s="47"/>
      <c r="BL77" s="47"/>
      <c r="BM77" s="47"/>
    </row>
    <row r="78" spans="1:65">
      <c r="A78" s="47"/>
      <c r="B78" s="47" t="s">
        <v>82</v>
      </c>
      <c r="C78" s="47"/>
      <c r="D78" s="646"/>
      <c r="E78" s="144">
        <f ca="1">IRR(OFFSET(F78,0,0,1,55+1))</f>
        <v>9.2178004865268948E-2</v>
      </c>
      <c r="F78" s="706">
        <f t="shared" ref="F78:AK78" si="49">F77-F57</f>
        <v>-13.914610730452317</v>
      </c>
      <c r="G78" s="669">
        <f t="shared" si="49"/>
        <v>0.64497279243547245</v>
      </c>
      <c r="H78" s="669">
        <f t="shared" si="49"/>
        <v>0.62354165025148056</v>
      </c>
      <c r="I78" s="669">
        <f t="shared" si="49"/>
        <v>0.8145128460145572</v>
      </c>
      <c r="J78" s="669">
        <f t="shared" si="49"/>
        <v>1.0546474023095556</v>
      </c>
      <c r="K78" s="669">
        <f t="shared" si="49"/>
        <v>0.98468564999341024</v>
      </c>
      <c r="L78" s="669">
        <f t="shared" si="49"/>
        <v>2.6945519232588975</v>
      </c>
      <c r="M78" s="669">
        <f t="shared" si="49"/>
        <v>2.6367709238855292</v>
      </c>
      <c r="N78" s="669">
        <f t="shared" si="49"/>
        <v>1.8808533481762728</v>
      </c>
      <c r="O78" s="669">
        <f t="shared" si="49"/>
        <v>1.8650729757937974</v>
      </c>
      <c r="P78" s="669">
        <f t="shared" si="49"/>
        <v>1.8473028555330107</v>
      </c>
      <c r="Q78" s="669">
        <f t="shared" si="49"/>
        <v>1.8274527252685404</v>
      </c>
      <c r="R78" s="669">
        <f t="shared" si="49"/>
        <v>1.8054290372333615</v>
      </c>
      <c r="S78" s="669">
        <f t="shared" si="49"/>
        <v>1.7811348497425485</v>
      </c>
      <c r="T78" s="669">
        <f t="shared" si="49"/>
        <v>1.7544697155463989</v>
      </c>
      <c r="U78" s="669">
        <f t="shared" si="49"/>
        <v>1.7253295667117854</v>
      </c>
      <c r="V78" s="669">
        <f t="shared" si="49"/>
        <v>1.6936065959277418</v>
      </c>
      <c r="W78" s="669">
        <f t="shared" si="49"/>
        <v>1.6591891341281428</v>
      </c>
      <c r="X78" s="669">
        <f t="shared" si="49"/>
        <v>1.5142455735790445</v>
      </c>
      <c r="Y78" s="669">
        <f t="shared" si="49"/>
        <v>1.3907153504022935</v>
      </c>
      <c r="Z78" s="669">
        <f t="shared" si="49"/>
        <v>1.304193410045313</v>
      </c>
      <c r="AA78" s="669">
        <f t="shared" si="49"/>
        <v>1.2203051590558864</v>
      </c>
      <c r="AB78" s="669">
        <f t="shared" si="49"/>
        <v>1.1684713257540409</v>
      </c>
      <c r="AC78" s="669">
        <f t="shared" si="49"/>
        <v>1.113250124665573</v>
      </c>
      <c r="AD78" s="669">
        <f t="shared" si="49"/>
        <v>0.49006131055309365</v>
      </c>
      <c r="AE78" s="669">
        <f t="shared" si="49"/>
        <v>0.47270602458407712</v>
      </c>
      <c r="AF78" s="669">
        <f t="shared" si="49"/>
        <v>0.45545984132752121</v>
      </c>
      <c r="AG78" s="669">
        <f t="shared" si="49"/>
        <v>0.4370442632009815</v>
      </c>
      <c r="AH78" s="669">
        <f t="shared" si="49"/>
        <v>0.41741130471922872</v>
      </c>
      <c r="AI78" s="669">
        <f t="shared" si="49"/>
        <v>0.39651130454109251</v>
      </c>
      <c r="AJ78" s="669">
        <f t="shared" si="49"/>
        <v>0.31773290558302303</v>
      </c>
      <c r="AK78" s="669">
        <f t="shared" si="49"/>
        <v>0.23241591498453346</v>
      </c>
      <c r="AL78" s="669">
        <f t="shared" ref="AL78:BI78" si="50">AL77-AL57</f>
        <v>0.14955031459998055</v>
      </c>
      <c r="AM78" s="669">
        <f t="shared" si="50"/>
        <v>8.219167509446676E-2</v>
      </c>
      <c r="AN78" s="669">
        <f t="shared" si="50"/>
        <v>-1.0637889204709721E-15</v>
      </c>
      <c r="AO78" s="669">
        <f t="shared" si="50"/>
        <v>7.4931359163120095E-16</v>
      </c>
      <c r="AP78" s="669">
        <f t="shared" si="50"/>
        <v>7.6819629414030473E-16</v>
      </c>
      <c r="AQ78" s="669">
        <f t="shared" si="50"/>
        <v>7.8755484075264358E-16</v>
      </c>
      <c r="AR78" s="669">
        <f t="shared" si="50"/>
        <v>8.0740122273960984E-16</v>
      </c>
      <c r="AS78" s="669">
        <f t="shared" si="50"/>
        <v>8.2774773355265097E-16</v>
      </c>
      <c r="AT78" s="669">
        <f t="shared" si="50"/>
        <v>8.4860697643817207E-16</v>
      </c>
      <c r="AU78" s="669">
        <f t="shared" si="50"/>
        <v>8.6999187224441579E-16</v>
      </c>
      <c r="AV78" s="669">
        <f t="shared" si="50"/>
        <v>8.9191566742497844E-16</v>
      </c>
      <c r="AW78" s="669">
        <f t="shared" si="50"/>
        <v>8.7883384124130017E-16</v>
      </c>
      <c r="AX78" s="669">
        <f t="shared" si="50"/>
        <v>8.8668246295013517E-16</v>
      </c>
      <c r="AY78" s="669">
        <f t="shared" si="50"/>
        <v>9.0902686101648107E-16</v>
      </c>
      <c r="AZ78" s="669">
        <f t="shared" si="50"/>
        <v>9.3193433791409059E-16</v>
      </c>
      <c r="BA78" s="669">
        <f t="shared" si="50"/>
        <v>9.5541908322953168E-16</v>
      </c>
      <c r="BB78" s="669">
        <f t="shared" si="50"/>
        <v>9.7949564412691107E-16</v>
      </c>
      <c r="BC78" s="669">
        <f t="shared" si="50"/>
        <v>1.004178934358908E-15</v>
      </c>
      <c r="BD78" s="669">
        <f t="shared" si="50"/>
        <v>1.0294842435047561E-15</v>
      </c>
      <c r="BE78" s="669">
        <f t="shared" si="50"/>
        <v>1.0554272464410757E-15</v>
      </c>
      <c r="BF78" s="669">
        <f t="shared" si="50"/>
        <v>1.0820240130513888E-15</v>
      </c>
      <c r="BG78" s="669">
        <f t="shared" si="50"/>
        <v>1.1092910181802818E-15</v>
      </c>
      <c r="BH78" s="669">
        <f t="shared" si="50"/>
        <v>1.1372451518384314E-15</v>
      </c>
      <c r="BI78" s="669">
        <f t="shared" si="50"/>
        <v>1.5894347808375938E-14</v>
      </c>
      <c r="BJ78" s="47"/>
      <c r="BK78" s="47"/>
      <c r="BL78" s="47"/>
      <c r="BM78" s="47"/>
    </row>
    <row r="79" spans="1:65">
      <c r="A79" s="47"/>
      <c r="B79" s="47" t="s">
        <v>124</v>
      </c>
      <c r="C79" s="47"/>
      <c r="D79" s="47"/>
      <c r="E79" s="144">
        <f t="shared" ref="E79" ca="1" si="51">IRR(OFFSET(F79,0,0,1,55+1))</f>
        <v>0.11099999999999977</v>
      </c>
      <c r="F79" s="706">
        <f t="shared" ref="F79:AK79" si="52">F78-F35</f>
        <v>-13.914610730452317</v>
      </c>
      <c r="G79" s="669">
        <f t="shared" si="52"/>
        <v>1.2544977971579332</v>
      </c>
      <c r="H79" s="669">
        <f t="shared" si="52"/>
        <v>1.1678316931233343</v>
      </c>
      <c r="I79" s="669">
        <f t="shared" si="52"/>
        <v>1.2425310376852181</v>
      </c>
      <c r="J79" s="669">
        <f t="shared" si="52"/>
        <v>1.5445333829835224</v>
      </c>
      <c r="K79" s="669">
        <f t="shared" si="52"/>
        <v>1.285203344112466</v>
      </c>
      <c r="L79" s="669">
        <f t="shared" si="52"/>
        <v>2.7725325601809279</v>
      </c>
      <c r="M79" s="669">
        <f t="shared" si="52"/>
        <v>2.7186600666303882</v>
      </c>
      <c r="N79" s="669">
        <f t="shared" si="52"/>
        <v>1.8808533481762728</v>
      </c>
      <c r="O79" s="669">
        <f t="shared" si="52"/>
        <v>1.8650729757937974</v>
      </c>
      <c r="P79" s="669">
        <f t="shared" si="52"/>
        <v>1.8473028555330107</v>
      </c>
      <c r="Q79" s="669">
        <f t="shared" si="52"/>
        <v>1.8274527252685404</v>
      </c>
      <c r="R79" s="669">
        <f t="shared" si="52"/>
        <v>1.8054290372333615</v>
      </c>
      <c r="S79" s="669">
        <f t="shared" si="52"/>
        <v>1.7811348497425485</v>
      </c>
      <c r="T79" s="669">
        <f t="shared" si="52"/>
        <v>1.7544697155463989</v>
      </c>
      <c r="U79" s="669">
        <f t="shared" si="52"/>
        <v>1.7253295667117854</v>
      </c>
      <c r="V79" s="669">
        <f t="shared" si="52"/>
        <v>1.6936065959277418</v>
      </c>
      <c r="W79" s="669">
        <f t="shared" si="52"/>
        <v>1.6591891341281428</v>
      </c>
      <c r="X79" s="669">
        <f t="shared" si="52"/>
        <v>1.6219615243211645</v>
      </c>
      <c r="Y79" s="669">
        <f t="shared" si="52"/>
        <v>1.5818039915121713</v>
      </c>
      <c r="Z79" s="669">
        <f t="shared" si="52"/>
        <v>1.5385925086032082</v>
      </c>
      <c r="AA79" s="669">
        <f t="shared" si="52"/>
        <v>1.4921986581488604</v>
      </c>
      <c r="AB79" s="669">
        <f t="shared" si="52"/>
        <v>1.4424894898449514</v>
      </c>
      <c r="AC79" s="669">
        <f t="shared" si="52"/>
        <v>1.3893273736226519</v>
      </c>
      <c r="AD79" s="669">
        <f t="shared" si="52"/>
        <v>0.58798620599533691</v>
      </c>
      <c r="AE79" s="669">
        <f t="shared" si="52"/>
        <v>0.57109881423281772</v>
      </c>
      <c r="AF79" s="669">
        <f t="shared" si="52"/>
        <v>0.55466315478977735</v>
      </c>
      <c r="AG79" s="669">
        <f t="shared" si="52"/>
        <v>0.53703646751981582</v>
      </c>
      <c r="AH79" s="669">
        <f t="shared" si="52"/>
        <v>0.51816916192163154</v>
      </c>
      <c r="AI79" s="669">
        <f t="shared" si="52"/>
        <v>0.49800990448296523</v>
      </c>
      <c r="AJ79" s="669">
        <f t="shared" si="52"/>
        <v>0.40189454348326326</v>
      </c>
      <c r="AK79" s="669">
        <f t="shared" si="52"/>
        <v>0.29597720750375783</v>
      </c>
      <c r="AL79" s="669">
        <f t="shared" ref="AL79:BI79" si="53">AL78-AL35</f>
        <v>0.19177807497349228</v>
      </c>
      <c r="AM79" s="669">
        <f t="shared" si="53"/>
        <v>0.10638768347596686</v>
      </c>
      <c r="AN79" s="669">
        <f t="shared" si="53"/>
        <v>-1.0637889204709721E-15</v>
      </c>
      <c r="AO79" s="669">
        <f t="shared" si="53"/>
        <v>7.4931359163120095E-16</v>
      </c>
      <c r="AP79" s="669">
        <f t="shared" si="53"/>
        <v>7.6819629414030473E-16</v>
      </c>
      <c r="AQ79" s="669">
        <f t="shared" si="53"/>
        <v>7.8755484075264358E-16</v>
      </c>
      <c r="AR79" s="669">
        <f t="shared" si="53"/>
        <v>8.0740122273960984E-16</v>
      </c>
      <c r="AS79" s="669">
        <f t="shared" si="53"/>
        <v>8.2774773355265097E-16</v>
      </c>
      <c r="AT79" s="669">
        <f t="shared" si="53"/>
        <v>8.4860697643817207E-16</v>
      </c>
      <c r="AU79" s="669">
        <f t="shared" si="53"/>
        <v>8.6999187224441579E-16</v>
      </c>
      <c r="AV79" s="669">
        <f t="shared" si="53"/>
        <v>8.9191566742497844E-16</v>
      </c>
      <c r="AW79" s="669">
        <f t="shared" si="53"/>
        <v>9.1439194224408041E-16</v>
      </c>
      <c r="AX79" s="669">
        <f t="shared" si="53"/>
        <v>9.3743461918863574E-16</v>
      </c>
      <c r="AY79" s="669">
        <f t="shared" si="53"/>
        <v>9.6105797159219194E-16</v>
      </c>
      <c r="AZ79" s="669">
        <f t="shared" si="53"/>
        <v>9.8527663247630925E-16</v>
      </c>
      <c r="BA79" s="669">
        <f t="shared" si="53"/>
        <v>1.0101056036147182E-15</v>
      </c>
      <c r="BB79" s="669">
        <f t="shared" si="53"/>
        <v>1.0355602648258043E-15</v>
      </c>
      <c r="BC79" s="669">
        <f t="shared" si="53"/>
        <v>1.0616563834994134E-15</v>
      </c>
      <c r="BD79" s="669">
        <f t="shared" si="53"/>
        <v>1.0884101243636021E-15</v>
      </c>
      <c r="BE79" s="669">
        <f t="shared" si="53"/>
        <v>1.1158380594975648E-15</v>
      </c>
      <c r="BF79" s="669">
        <f t="shared" si="53"/>
        <v>1.1439571785969013E-15</v>
      </c>
      <c r="BG79" s="669">
        <f t="shared" si="53"/>
        <v>1.1727848994975414E-15</v>
      </c>
      <c r="BH79" s="669">
        <f t="shared" si="53"/>
        <v>1.2023390789648858E-15</v>
      </c>
      <c r="BI79" s="669">
        <f t="shared" si="53"/>
        <v>1.5961082102465979E-14</v>
      </c>
      <c r="BJ79" s="47"/>
      <c r="BK79" s="47"/>
      <c r="BL79" s="47"/>
      <c r="BM79" s="47"/>
    </row>
    <row r="80" spans="1:65">
      <c r="A80" s="47"/>
      <c r="B80" s="52" t="s">
        <v>29</v>
      </c>
      <c r="C80" s="47"/>
      <c r="D80" s="47"/>
      <c r="E80" s="86"/>
      <c r="F80" s="670"/>
      <c r="G80" s="670"/>
      <c r="H80" s="670"/>
      <c r="I80" s="670"/>
      <c r="J80" s="670"/>
      <c r="K80" s="670"/>
      <c r="L80" s="670"/>
      <c r="M80" s="670"/>
      <c r="N80" s="670"/>
      <c r="O80" s="670"/>
      <c r="P80" s="670"/>
      <c r="Q80" s="670"/>
      <c r="R80" s="670"/>
      <c r="S80" s="670"/>
      <c r="T80" s="670"/>
      <c r="U80" s="670"/>
      <c r="V80" s="670"/>
      <c r="W80" s="670"/>
      <c r="X80" s="670"/>
      <c r="Y80" s="670"/>
      <c r="Z80" s="670"/>
      <c r="AA80" s="670"/>
      <c r="AB80" s="670"/>
      <c r="AC80" s="670"/>
      <c r="AD80" s="670"/>
      <c r="AE80" s="670"/>
      <c r="AF80" s="670"/>
      <c r="AG80" s="670"/>
      <c r="AH80" s="670"/>
      <c r="AI80" s="670"/>
      <c r="AJ80" s="670"/>
      <c r="AK80" s="670"/>
      <c r="AL80" s="670"/>
      <c r="AM80" s="670"/>
      <c r="AN80" s="670"/>
      <c r="AO80" s="670"/>
      <c r="AP80" s="670"/>
      <c r="AQ80" s="670"/>
      <c r="AR80" s="670"/>
      <c r="AS80" s="670"/>
      <c r="AT80" s="670"/>
      <c r="AU80" s="670"/>
      <c r="AV80" s="670"/>
      <c r="AW80" s="670"/>
      <c r="AX80" s="670"/>
      <c r="AY80" s="670"/>
      <c r="AZ80" s="670"/>
      <c r="BA80" s="670"/>
      <c r="BB80" s="670"/>
      <c r="BC80" s="670"/>
      <c r="BD80" s="670"/>
      <c r="BE80" s="670"/>
      <c r="BF80" s="670"/>
      <c r="BG80" s="670"/>
      <c r="BH80" s="670"/>
      <c r="BI80" s="670"/>
      <c r="BJ80" s="47"/>
      <c r="BK80" s="47"/>
      <c r="BL80" s="47"/>
      <c r="BM80" s="47"/>
    </row>
    <row r="81" spans="1:65">
      <c r="A81" s="47"/>
      <c r="B81" s="47" t="s">
        <v>81</v>
      </c>
      <c r="C81" s="47"/>
      <c r="D81" s="47"/>
      <c r="E81" s="143">
        <f t="shared" ref="E81:E83" ca="1" si="54">IRR(OFFSET(F81,0,0,1,55+1))</f>
        <v>0.14935968709073788</v>
      </c>
      <c r="F81" s="705">
        <f t="shared" ref="F81:AK81" si="55">F77/F$7</f>
        <v>-13.914610730452317</v>
      </c>
      <c r="G81" s="667">
        <f t="shared" si="55"/>
        <v>3.0072891253660905</v>
      </c>
      <c r="H81" s="667">
        <f t="shared" si="55"/>
        <v>2.6647083257461111</v>
      </c>
      <c r="I81" s="667">
        <f t="shared" si="55"/>
        <v>2.344813070247759</v>
      </c>
      <c r="J81" s="667">
        <f t="shared" si="55"/>
        <v>2.7285783289429806</v>
      </c>
      <c r="K81" s="667">
        <f t="shared" si="55"/>
        <v>1.9308895135626429</v>
      </c>
      <c r="L81" s="667">
        <f t="shared" si="55"/>
        <v>2.5894404946117993</v>
      </c>
      <c r="M81" s="667">
        <f t="shared" si="55"/>
        <v>2.4903821774553903</v>
      </c>
      <c r="N81" s="667">
        <f t="shared" si="55"/>
        <v>1.5412963659705199</v>
      </c>
      <c r="O81" s="667">
        <f t="shared" si="55"/>
        <v>1.4907967996273939</v>
      </c>
      <c r="P81" s="667">
        <f t="shared" si="55"/>
        <v>1.4402972332842614</v>
      </c>
      <c r="Q81" s="667">
        <f t="shared" si="55"/>
        <v>1.3897976669411349</v>
      </c>
      <c r="R81" s="667">
        <f t="shared" si="55"/>
        <v>1.3392981005980071</v>
      </c>
      <c r="S81" s="667">
        <f t="shared" si="55"/>
        <v>1.2887985342548749</v>
      </c>
      <c r="T81" s="667">
        <f t="shared" si="55"/>
        <v>1.238298967911746</v>
      </c>
      <c r="U81" s="667">
        <f t="shared" si="55"/>
        <v>1.1877994015686191</v>
      </c>
      <c r="V81" s="667">
        <f t="shared" si="55"/>
        <v>1.1372998352254888</v>
      </c>
      <c r="W81" s="667">
        <f t="shared" si="55"/>
        <v>1.0868002688823617</v>
      </c>
      <c r="X81" s="667">
        <f t="shared" si="55"/>
        <v>1.2427657396345966</v>
      </c>
      <c r="Y81" s="667">
        <f t="shared" si="55"/>
        <v>1.3430680299410154</v>
      </c>
      <c r="Z81" s="667">
        <f t="shared" si="55"/>
        <v>1.3627711765762323</v>
      </c>
      <c r="AA81" s="667">
        <f t="shared" si="55"/>
        <v>1.3684612899426709</v>
      </c>
      <c r="AB81" s="667">
        <f t="shared" si="55"/>
        <v>1.3097596735731378</v>
      </c>
      <c r="AC81" s="667">
        <f t="shared" si="55"/>
        <v>1.2510580572036032</v>
      </c>
      <c r="AD81" s="667">
        <f t="shared" si="55"/>
        <v>0.48522647947235981</v>
      </c>
      <c r="AE81" s="667">
        <f t="shared" si="55"/>
        <v>0.46498820636534788</v>
      </c>
      <c r="AF81" s="667">
        <f t="shared" si="55"/>
        <v>0.44622638213773241</v>
      </c>
      <c r="AG81" s="667">
        <f t="shared" si="55"/>
        <v>0.42746455791011617</v>
      </c>
      <c r="AH81" s="667">
        <f t="shared" si="55"/>
        <v>0.40870273368250054</v>
      </c>
      <c r="AI81" s="667">
        <f t="shared" si="55"/>
        <v>0.38994090945488497</v>
      </c>
      <c r="AJ81" s="667">
        <f t="shared" si="55"/>
        <v>0.31014996163740766</v>
      </c>
      <c r="AK81" s="667">
        <f t="shared" si="55"/>
        <v>0.22498838444332867</v>
      </c>
      <c r="AL81" s="667">
        <f t="shared" ref="AL81:BI81" si="56">AL77/AL$7</f>
        <v>0.14360898732108335</v>
      </c>
      <c r="AM81" s="667">
        <f t="shared" si="56"/>
        <v>7.8724583692055441E-2</v>
      </c>
      <c r="AN81" s="667">
        <f t="shared" si="56"/>
        <v>-4.5641840331022476E-16</v>
      </c>
      <c r="AO81" s="667">
        <f t="shared" si="56"/>
        <v>3.1359035539975518E-16</v>
      </c>
      <c r="AP81" s="667">
        <f t="shared" si="56"/>
        <v>3.1359035539975425E-16</v>
      </c>
      <c r="AQ81" s="667">
        <f t="shared" si="56"/>
        <v>3.1359035539975553E-16</v>
      </c>
      <c r="AR81" s="667">
        <f t="shared" si="56"/>
        <v>3.1359035539975543E-16</v>
      </c>
      <c r="AS81" s="667">
        <f t="shared" si="56"/>
        <v>3.1359035539975656E-16</v>
      </c>
      <c r="AT81" s="667">
        <f t="shared" si="56"/>
        <v>3.1359035539975449E-16</v>
      </c>
      <c r="AU81" s="667">
        <f t="shared" si="56"/>
        <v>3.1359035539975513E-16</v>
      </c>
      <c r="AV81" s="667">
        <f t="shared" si="56"/>
        <v>3.1359035539975637E-16</v>
      </c>
      <c r="AW81" s="667">
        <f t="shared" si="56"/>
        <v>3.5017426547917704E-16</v>
      </c>
      <c r="AX81" s="667">
        <f t="shared" si="56"/>
        <v>3.6452314490749825E-16</v>
      </c>
      <c r="AY81" s="667">
        <f t="shared" si="56"/>
        <v>3.6452314490749909E-16</v>
      </c>
      <c r="AZ81" s="667">
        <f t="shared" si="56"/>
        <v>3.6452314490749726E-16</v>
      </c>
      <c r="BA81" s="667">
        <f t="shared" si="56"/>
        <v>3.6452314490749914E-16</v>
      </c>
      <c r="BB81" s="667">
        <f t="shared" si="56"/>
        <v>3.6452314490749771E-16</v>
      </c>
      <c r="BC81" s="667">
        <f t="shared" si="56"/>
        <v>3.6452314490749741E-16</v>
      </c>
      <c r="BD81" s="667">
        <f t="shared" si="56"/>
        <v>3.6452314490749855E-16</v>
      </c>
      <c r="BE81" s="667">
        <f t="shared" si="56"/>
        <v>3.645231449074985E-16</v>
      </c>
      <c r="BF81" s="667">
        <f t="shared" si="56"/>
        <v>3.64523144907498E-16</v>
      </c>
      <c r="BG81" s="667">
        <f t="shared" si="56"/>
        <v>3.6452314490749751E-16</v>
      </c>
      <c r="BH81" s="667">
        <f t="shared" si="56"/>
        <v>3.6452314490749924E-16</v>
      </c>
      <c r="BI81" s="667">
        <f t="shared" si="56"/>
        <v>4.1115258530174008E-15</v>
      </c>
      <c r="BJ81" s="47"/>
      <c r="BK81" s="47"/>
      <c r="BL81" s="47"/>
      <c r="BM81" s="47"/>
    </row>
    <row r="82" spans="1:65">
      <c r="A82" s="47"/>
      <c r="B82" s="47" t="s">
        <v>82</v>
      </c>
      <c r="C82" s="47"/>
      <c r="D82" s="47"/>
      <c r="E82" s="144">
        <f t="shared" ca="1" si="54"/>
        <v>6.5331647357204536E-2</v>
      </c>
      <c r="F82" s="706">
        <f t="shared" ref="F82:AK82" si="57">F78/F$7</f>
        <v>-13.914610730452317</v>
      </c>
      <c r="G82" s="669">
        <f t="shared" si="57"/>
        <v>0.62911899379191627</v>
      </c>
      <c r="H82" s="669">
        <f t="shared" si="57"/>
        <v>0.59326437894161999</v>
      </c>
      <c r="I82" s="669">
        <f t="shared" si="57"/>
        <v>0.75591357665524883</v>
      </c>
      <c r="J82" s="669">
        <f t="shared" si="57"/>
        <v>0.95471313408172098</v>
      </c>
      <c r="K82" s="669">
        <f t="shared" si="57"/>
        <v>0.86947003914717602</v>
      </c>
      <c r="L82" s="669">
        <f t="shared" si="57"/>
        <v>2.3207853358963888</v>
      </c>
      <c r="M82" s="669">
        <f t="shared" si="57"/>
        <v>2.215196305486562</v>
      </c>
      <c r="N82" s="669">
        <f t="shared" si="57"/>
        <v>1.5412963659705199</v>
      </c>
      <c r="O82" s="669">
        <f t="shared" si="57"/>
        <v>1.4907967996273939</v>
      </c>
      <c r="P82" s="669">
        <f t="shared" si="57"/>
        <v>1.4402972332842614</v>
      </c>
      <c r="Q82" s="669">
        <f t="shared" si="57"/>
        <v>1.3897976669411349</v>
      </c>
      <c r="R82" s="669">
        <f t="shared" si="57"/>
        <v>1.3392981005980071</v>
      </c>
      <c r="S82" s="669">
        <f t="shared" si="57"/>
        <v>1.2887985342548749</v>
      </c>
      <c r="T82" s="669">
        <f t="shared" si="57"/>
        <v>1.238298967911746</v>
      </c>
      <c r="U82" s="669">
        <f t="shared" si="57"/>
        <v>1.1877994015686191</v>
      </c>
      <c r="V82" s="669">
        <f t="shared" si="57"/>
        <v>1.1372998352254888</v>
      </c>
      <c r="W82" s="669">
        <f t="shared" si="57"/>
        <v>1.0868002688823617</v>
      </c>
      <c r="X82" s="669">
        <f t="shared" si="57"/>
        <v>0.96747902350744575</v>
      </c>
      <c r="Y82" s="669">
        <f t="shared" si="57"/>
        <v>0.86671217161446346</v>
      </c>
      <c r="Z82" s="669">
        <f t="shared" si="57"/>
        <v>0.79281170094522169</v>
      </c>
      <c r="AA82" s="669">
        <f t="shared" si="57"/>
        <v>0.72358224136557037</v>
      </c>
      <c r="AB82" s="669">
        <f t="shared" si="57"/>
        <v>0.67581669169791037</v>
      </c>
      <c r="AC82" s="669">
        <f t="shared" si="57"/>
        <v>0.62805114203024892</v>
      </c>
      <c r="AD82" s="669">
        <f t="shared" si="57"/>
        <v>0.26967710466165062</v>
      </c>
      <c r="AE82" s="669">
        <f t="shared" si="57"/>
        <v>0.25373255902091085</v>
      </c>
      <c r="AF82" s="669">
        <f t="shared" si="57"/>
        <v>0.23846604844718852</v>
      </c>
      <c r="AG82" s="669">
        <f t="shared" si="57"/>
        <v>0.22319953787346541</v>
      </c>
      <c r="AH82" s="669">
        <f t="shared" si="57"/>
        <v>0.20793302729974289</v>
      </c>
      <c r="AI82" s="669">
        <f t="shared" si="57"/>
        <v>0.19266651672602039</v>
      </c>
      <c r="AJ82" s="669">
        <f t="shared" si="57"/>
        <v>0.15059282102404078</v>
      </c>
      <c r="AK82" s="669">
        <f t="shared" si="57"/>
        <v>0.10744824855820874</v>
      </c>
      <c r="AL82" s="669">
        <f t="shared" ref="AL82:BI82" si="58">AL78/AL$7</f>
        <v>6.7439169061729101E-2</v>
      </c>
      <c r="AM82" s="669">
        <f t="shared" si="58"/>
        <v>3.6152981064518766E-2</v>
      </c>
      <c r="AN82" s="669">
        <f t="shared" si="58"/>
        <v>-4.5641840331022476E-16</v>
      </c>
      <c r="AO82" s="669">
        <f t="shared" si="58"/>
        <v>3.1359035539975518E-16</v>
      </c>
      <c r="AP82" s="669">
        <f t="shared" si="58"/>
        <v>3.1359035539975425E-16</v>
      </c>
      <c r="AQ82" s="669">
        <f t="shared" si="58"/>
        <v>3.1359035539975553E-16</v>
      </c>
      <c r="AR82" s="669">
        <f t="shared" si="58"/>
        <v>3.1359035539975543E-16</v>
      </c>
      <c r="AS82" s="669">
        <f t="shared" si="58"/>
        <v>3.1359035539975656E-16</v>
      </c>
      <c r="AT82" s="669">
        <f t="shared" si="58"/>
        <v>3.1359035539975449E-16</v>
      </c>
      <c r="AU82" s="669">
        <f t="shared" si="58"/>
        <v>3.1359035539975513E-16</v>
      </c>
      <c r="AV82" s="669">
        <f t="shared" si="58"/>
        <v>3.1359035539975637E-16</v>
      </c>
      <c r="AW82" s="669">
        <f t="shared" si="58"/>
        <v>3.0139571870661276E-16</v>
      </c>
      <c r="AX82" s="669">
        <f t="shared" si="58"/>
        <v>2.9661275889717442E-16</v>
      </c>
      <c r="AY82" s="669">
        <f t="shared" si="58"/>
        <v>2.9661275889717526E-16</v>
      </c>
      <c r="AZ82" s="669">
        <f t="shared" si="58"/>
        <v>2.9661275889717344E-16</v>
      </c>
      <c r="BA82" s="669">
        <f t="shared" si="58"/>
        <v>2.9661275889717531E-16</v>
      </c>
      <c r="BB82" s="669">
        <f t="shared" si="58"/>
        <v>2.9661275889717393E-16</v>
      </c>
      <c r="BC82" s="669">
        <f t="shared" si="58"/>
        <v>2.9661275889717359E-16</v>
      </c>
      <c r="BD82" s="669">
        <f t="shared" si="58"/>
        <v>2.9661275889717467E-16</v>
      </c>
      <c r="BE82" s="669">
        <f t="shared" si="58"/>
        <v>2.9661275889717467E-16</v>
      </c>
      <c r="BF82" s="669">
        <f t="shared" si="58"/>
        <v>2.9661275889717413E-16</v>
      </c>
      <c r="BG82" s="669">
        <f t="shared" si="58"/>
        <v>2.9661275889717364E-16</v>
      </c>
      <c r="BH82" s="669">
        <f t="shared" si="58"/>
        <v>2.9661275889717536E-16</v>
      </c>
      <c r="BI82" s="669">
        <f t="shared" si="58"/>
        <v>4.0436154670070768E-15</v>
      </c>
      <c r="BJ82" s="47"/>
      <c r="BK82" s="47"/>
      <c r="BL82" s="47"/>
      <c r="BM82" s="47"/>
    </row>
    <row r="83" spans="1:65">
      <c r="A83" s="47"/>
      <c r="B83" s="47" t="s">
        <v>124</v>
      </c>
      <c r="C83" s="47"/>
      <c r="D83" s="47"/>
      <c r="E83" s="144">
        <f t="shared" ca="1" si="54"/>
        <v>8.3690987124469318E-2</v>
      </c>
      <c r="F83" s="706">
        <f t="shared" ref="F83:AK83" si="59">F79/F$7</f>
        <v>-13.914610730452317</v>
      </c>
      <c r="G83" s="669">
        <f t="shared" si="59"/>
        <v>1.2236615266854598</v>
      </c>
      <c r="H83" s="669">
        <f t="shared" si="59"/>
        <v>1.1111253656427427</v>
      </c>
      <c r="I83" s="669">
        <f t="shared" si="59"/>
        <v>1.1531384500533763</v>
      </c>
      <c r="J83" s="669">
        <f t="shared" si="59"/>
        <v>1.3981794327970358</v>
      </c>
      <c r="K83" s="669">
        <f t="shared" si="59"/>
        <v>1.1348249077510428</v>
      </c>
      <c r="L83" s="669">
        <f t="shared" si="59"/>
        <v>2.3879491255752412</v>
      </c>
      <c r="M83" s="669">
        <f t="shared" si="59"/>
        <v>2.2839927734787691</v>
      </c>
      <c r="N83" s="669">
        <f t="shared" si="59"/>
        <v>1.5412963659705199</v>
      </c>
      <c r="O83" s="669">
        <f t="shared" si="59"/>
        <v>1.4907967996273939</v>
      </c>
      <c r="P83" s="669">
        <f t="shared" si="59"/>
        <v>1.4402972332842614</v>
      </c>
      <c r="Q83" s="669">
        <f t="shared" si="59"/>
        <v>1.3897976669411349</v>
      </c>
      <c r="R83" s="669">
        <f t="shared" si="59"/>
        <v>1.3392981005980071</v>
      </c>
      <c r="S83" s="669">
        <f t="shared" si="59"/>
        <v>1.2887985342548749</v>
      </c>
      <c r="T83" s="669">
        <f t="shared" si="59"/>
        <v>1.238298967911746</v>
      </c>
      <c r="U83" s="669">
        <f t="shared" si="59"/>
        <v>1.1877994015686191</v>
      </c>
      <c r="V83" s="669">
        <f t="shared" si="59"/>
        <v>1.1372998352254888</v>
      </c>
      <c r="W83" s="669">
        <f t="shared" si="59"/>
        <v>1.0868002688823617</v>
      </c>
      <c r="X83" s="669">
        <f t="shared" si="59"/>
        <v>1.0363007025392335</v>
      </c>
      <c r="Y83" s="669">
        <f t="shared" si="59"/>
        <v>0.98580113619610144</v>
      </c>
      <c r="Z83" s="669">
        <f t="shared" si="59"/>
        <v>0.9353015698529743</v>
      </c>
      <c r="AA83" s="669">
        <f t="shared" si="59"/>
        <v>0.88480200350984539</v>
      </c>
      <c r="AB83" s="669">
        <f t="shared" si="59"/>
        <v>0.83430243716671726</v>
      </c>
      <c r="AC83" s="669">
        <f t="shared" si="59"/>
        <v>0.78380287082358757</v>
      </c>
      <c r="AD83" s="669">
        <f t="shared" si="59"/>
        <v>0.32356444836432791</v>
      </c>
      <c r="AE83" s="669">
        <f t="shared" si="59"/>
        <v>0.30654647085702014</v>
      </c>
      <c r="AF83" s="669">
        <f t="shared" si="59"/>
        <v>0.2904061318698245</v>
      </c>
      <c r="AG83" s="669">
        <f t="shared" si="59"/>
        <v>0.27426579288262815</v>
      </c>
      <c r="AH83" s="669">
        <f t="shared" si="59"/>
        <v>0.25812545389543229</v>
      </c>
      <c r="AI83" s="669">
        <f t="shared" si="59"/>
        <v>0.24198511490823651</v>
      </c>
      <c r="AJ83" s="669">
        <f t="shared" si="59"/>
        <v>0.19048210617738251</v>
      </c>
      <c r="AK83" s="669">
        <f t="shared" si="59"/>
        <v>0.13683328252948873</v>
      </c>
      <c r="AL83" s="669">
        <f t="shared" ref="AL83:BI83" si="60">AL79/AL$7</f>
        <v>8.6481623626567666E-2</v>
      </c>
      <c r="AM83" s="669">
        <f t="shared" si="60"/>
        <v>4.6795881721402935E-2</v>
      </c>
      <c r="AN83" s="669">
        <f t="shared" si="60"/>
        <v>-4.5641840331022476E-16</v>
      </c>
      <c r="AO83" s="669">
        <f t="shared" si="60"/>
        <v>3.1359035539975518E-16</v>
      </c>
      <c r="AP83" s="669">
        <f t="shared" si="60"/>
        <v>3.1359035539975425E-16</v>
      </c>
      <c r="AQ83" s="669">
        <f t="shared" si="60"/>
        <v>3.1359035539975553E-16</v>
      </c>
      <c r="AR83" s="669">
        <f t="shared" si="60"/>
        <v>3.1359035539975543E-16</v>
      </c>
      <c r="AS83" s="669">
        <f t="shared" si="60"/>
        <v>3.1359035539975656E-16</v>
      </c>
      <c r="AT83" s="669">
        <f t="shared" si="60"/>
        <v>3.1359035539975449E-16</v>
      </c>
      <c r="AU83" s="669">
        <f t="shared" si="60"/>
        <v>3.1359035539975513E-16</v>
      </c>
      <c r="AV83" s="669">
        <f t="shared" si="60"/>
        <v>3.1359035539975637E-16</v>
      </c>
      <c r="AW83" s="669">
        <f t="shared" si="60"/>
        <v>3.1359035539975385E-16</v>
      </c>
      <c r="AX83" s="669">
        <f t="shared" si="60"/>
        <v>3.1359035539975538E-16</v>
      </c>
      <c r="AY83" s="669">
        <f t="shared" si="60"/>
        <v>3.1359035539975627E-16</v>
      </c>
      <c r="AZ83" s="669">
        <f t="shared" si="60"/>
        <v>3.1359035539975439E-16</v>
      </c>
      <c r="BA83" s="669">
        <f t="shared" si="60"/>
        <v>3.1359035539975627E-16</v>
      </c>
      <c r="BB83" s="669">
        <f t="shared" si="60"/>
        <v>3.1359035539975489E-16</v>
      </c>
      <c r="BC83" s="669">
        <f t="shared" si="60"/>
        <v>3.1359035539975459E-16</v>
      </c>
      <c r="BD83" s="669">
        <f t="shared" si="60"/>
        <v>3.1359035539975563E-16</v>
      </c>
      <c r="BE83" s="669">
        <f t="shared" si="60"/>
        <v>3.1359035539975563E-16</v>
      </c>
      <c r="BF83" s="669">
        <f t="shared" si="60"/>
        <v>3.1359035539975509E-16</v>
      </c>
      <c r="BG83" s="669">
        <f t="shared" si="60"/>
        <v>3.1359035539975464E-16</v>
      </c>
      <c r="BH83" s="669">
        <f t="shared" si="60"/>
        <v>3.1359035539975632E-16</v>
      </c>
      <c r="BI83" s="669">
        <f t="shared" si="60"/>
        <v>4.0605930635096574E-15</v>
      </c>
      <c r="BJ83" s="47"/>
      <c r="BK83" s="47"/>
      <c r="BL83" s="47"/>
      <c r="BM83" s="47"/>
    </row>
    <row r="84" spans="1:65">
      <c r="A84" s="47"/>
      <c r="B84" s="52" t="s">
        <v>45</v>
      </c>
      <c r="C84" s="47"/>
      <c r="D84" s="47"/>
      <c r="E84" s="86"/>
      <c r="F84" s="670"/>
      <c r="G84" s="670"/>
      <c r="H84" s="670"/>
      <c r="I84" s="670"/>
      <c r="J84" s="670"/>
      <c r="K84" s="670"/>
      <c r="L84" s="670"/>
      <c r="M84" s="670"/>
      <c r="N84" s="670"/>
      <c r="O84" s="670"/>
      <c r="P84" s="670"/>
      <c r="Q84" s="670"/>
      <c r="R84" s="670"/>
      <c r="S84" s="670"/>
      <c r="T84" s="670"/>
      <c r="U84" s="670"/>
      <c r="V84" s="670"/>
      <c r="W84" s="670"/>
      <c r="X84" s="670"/>
      <c r="Y84" s="670"/>
      <c r="Z84" s="670"/>
      <c r="AA84" s="670"/>
      <c r="AB84" s="670"/>
      <c r="AC84" s="670"/>
      <c r="AD84" s="670"/>
      <c r="AE84" s="670"/>
      <c r="AF84" s="670"/>
      <c r="AG84" s="670"/>
      <c r="AH84" s="670"/>
      <c r="AI84" s="670"/>
      <c r="AJ84" s="670"/>
      <c r="AK84" s="670"/>
      <c r="AL84" s="670"/>
      <c r="AM84" s="670"/>
      <c r="AN84" s="670"/>
      <c r="AO84" s="670"/>
      <c r="AP84" s="670"/>
      <c r="AQ84" s="670"/>
      <c r="AR84" s="670"/>
      <c r="AS84" s="670"/>
      <c r="AT84" s="670"/>
      <c r="AU84" s="670"/>
      <c r="AV84" s="670"/>
      <c r="AW84" s="670"/>
      <c r="AX84" s="670"/>
      <c r="AY84" s="670"/>
      <c r="AZ84" s="670"/>
      <c r="BA84" s="670"/>
      <c r="BB84" s="670"/>
      <c r="BC84" s="670"/>
      <c r="BD84" s="670"/>
      <c r="BE84" s="670"/>
      <c r="BF84" s="670"/>
      <c r="BG84" s="670"/>
      <c r="BH84" s="670"/>
      <c r="BI84" s="670"/>
      <c r="BJ84" s="47"/>
      <c r="BK84" s="47"/>
      <c r="BL84" s="47"/>
      <c r="BM84" s="47"/>
    </row>
    <row r="85" spans="1:65">
      <c r="A85" s="47"/>
      <c r="B85" s="43" t="s">
        <v>222</v>
      </c>
      <c r="C85" s="47"/>
      <c r="D85" s="47"/>
      <c r="E85" s="150">
        <f t="shared" ref="E85:E94" ca="1" si="61">IRR(OFFSET(F85,0,0,1,55+1))</f>
        <v>8.8700000000000223E-2</v>
      </c>
      <c r="F85" s="666">
        <f>F72</f>
        <v>-20.871916095678472</v>
      </c>
      <c r="G85" s="671">
        <f t="shared" ref="G85:AL85" si="62">G48+G72</f>
        <v>1.4163029668032705</v>
      </c>
      <c r="H85" s="671">
        <f t="shared" si="62"/>
        <v>1.276602508154689</v>
      </c>
      <c r="I85" s="671">
        <f t="shared" si="62"/>
        <v>1.37497439663261</v>
      </c>
      <c r="J85" s="671">
        <f t="shared" si="62"/>
        <v>1.815281318042264</v>
      </c>
      <c r="K85" s="671">
        <f t="shared" si="62"/>
        <v>1.4222823194323997</v>
      </c>
      <c r="L85" s="671">
        <f t="shared" si="62"/>
        <v>3.6401531760579546</v>
      </c>
      <c r="M85" s="671">
        <f t="shared" si="62"/>
        <v>3.5945159811424965</v>
      </c>
      <c r="N85" s="671">
        <f t="shared" si="62"/>
        <v>2.375079455502962</v>
      </c>
      <c r="O85" s="671">
        <f t="shared" si="62"/>
        <v>2.3647951785152177</v>
      </c>
      <c r="P85" s="671">
        <f t="shared" si="62"/>
        <v>2.3524843035098755</v>
      </c>
      <c r="Q85" s="671">
        <f t="shared" si="62"/>
        <v>2.3380512208740898</v>
      </c>
      <c r="R85" s="671">
        <f t="shared" si="62"/>
        <v>2.3213967892413621</v>
      </c>
      <c r="S85" s="671">
        <f t="shared" si="62"/>
        <v>2.302418218207047</v>
      </c>
      <c r="T85" s="671">
        <f t="shared" si="62"/>
        <v>2.2810089473755579</v>
      </c>
      <c r="U85" s="671">
        <f t="shared" si="62"/>
        <v>2.2570585216288688</v>
      </c>
      <c r="V85" s="671">
        <f t="shared" si="62"/>
        <v>2.2304524625026101</v>
      </c>
      <c r="W85" s="671">
        <f t="shared" si="62"/>
        <v>2.201072135552808</v>
      </c>
      <c r="X85" s="671">
        <f t="shared" si="62"/>
        <v>2.1687946135929508</v>
      </c>
      <c r="Y85" s="671">
        <f t="shared" si="62"/>
        <v>2.1334925356773602</v>
      </c>
      <c r="Z85" s="671">
        <f t="shared" si="62"/>
        <v>2.0950339617033995</v>
      </c>
      <c r="AA85" s="671">
        <f t="shared" si="62"/>
        <v>2.0532822225012981</v>
      </c>
      <c r="AB85" s="671">
        <f t="shared" si="62"/>
        <v>2.0080957652763702</v>
      </c>
      <c r="AC85" s="671">
        <f t="shared" si="62"/>
        <v>1.959327994264731</v>
      </c>
      <c r="AD85" s="671">
        <f t="shared" si="62"/>
        <v>0.7899516431266479</v>
      </c>
      <c r="AE85" s="671">
        <f t="shared" si="62"/>
        <v>0.7740736231622467</v>
      </c>
      <c r="AF85" s="671">
        <f t="shared" si="62"/>
        <v>0.7593576089350178</v>
      </c>
      <c r="AG85" s="671">
        <f t="shared" si="62"/>
        <v>0.7434083398770851</v>
      </c>
      <c r="AH85" s="671">
        <f t="shared" si="62"/>
        <v>0.72617300520265315</v>
      </c>
      <c r="AI85" s="671">
        <f t="shared" si="62"/>
        <v>0.70759691562847438</v>
      </c>
      <c r="AJ85" s="671">
        <f t="shared" si="62"/>
        <v>0.57570691397222351</v>
      </c>
      <c r="AK85" s="671">
        <f t="shared" si="62"/>
        <v>0.42726230844343371</v>
      </c>
      <c r="AL85" s="671">
        <f t="shared" si="62"/>
        <v>0.27900995842688148</v>
      </c>
      <c r="AM85" s="671">
        <f t="shared" ref="AM85:BH85" si="63">AM48+AM72</f>
        <v>0.15637840369075379</v>
      </c>
      <c r="AN85" s="671">
        <f t="shared" si="63"/>
        <v>-1.8265958579726023E-15</v>
      </c>
      <c r="AO85" s="671">
        <f t="shared" si="63"/>
        <v>8.3184288581436123E-16</v>
      </c>
      <c r="AP85" s="671">
        <f t="shared" si="63"/>
        <v>8.5280532653688544E-16</v>
      </c>
      <c r="AQ85" s="671">
        <f t="shared" si="63"/>
        <v>8.7429602076561155E-16</v>
      </c>
      <c r="AR85" s="671">
        <f t="shared" si="63"/>
        <v>8.9632828048890525E-16</v>
      </c>
      <c r="AS85" s="671">
        <f t="shared" si="63"/>
        <v>9.1891575315722243E-16</v>
      </c>
      <c r="AT85" s="671">
        <f t="shared" si="63"/>
        <v>9.4207243013678976E-16</v>
      </c>
      <c r="AU85" s="671">
        <f t="shared" si="63"/>
        <v>9.6581265537623491E-16</v>
      </c>
      <c r="AV85" s="671">
        <f t="shared" si="63"/>
        <v>9.9015113429171228E-16</v>
      </c>
      <c r="AW85" s="671">
        <f t="shared" si="63"/>
        <v>1.0151029428758714E-15</v>
      </c>
      <c r="AX85" s="671">
        <f t="shared" si="63"/>
        <v>1.0406835370363383E-15</v>
      </c>
      <c r="AY85" s="671">
        <f t="shared" si="63"/>
        <v>1.0669087621696515E-15</v>
      </c>
      <c r="AZ85" s="671">
        <f t="shared" si="63"/>
        <v>1.0937948629763326E-15</v>
      </c>
      <c r="BA85" s="671">
        <f t="shared" si="63"/>
        <v>1.1213584935233293E-15</v>
      </c>
      <c r="BB85" s="671">
        <f t="shared" si="63"/>
        <v>1.149616727560122E-15</v>
      </c>
      <c r="BC85" s="671">
        <f t="shared" si="63"/>
        <v>1.178587069094638E-15</v>
      </c>
      <c r="BD85" s="671">
        <f t="shared" si="63"/>
        <v>1.2082874632358187E-15</v>
      </c>
      <c r="BE85" s="671">
        <f t="shared" si="63"/>
        <v>1.2387363073093619E-15</v>
      </c>
      <c r="BF85" s="671">
        <f t="shared" si="63"/>
        <v>1.2699524622535595E-15</v>
      </c>
      <c r="BG85" s="671">
        <f t="shared" si="63"/>
        <v>1.3019552643023512E-15</v>
      </c>
      <c r="BH85" s="671">
        <f t="shared" si="63"/>
        <v>1.3347645369627628E-15</v>
      </c>
      <c r="BI85" s="671">
        <f>BI48+BI72+Assets!$BI$474*$D$19</f>
        <v>2.3461066721361011E-14</v>
      </c>
      <c r="BJ85" s="620"/>
      <c r="BK85" s="47"/>
      <c r="BL85" s="47"/>
      <c r="BM85" s="47"/>
    </row>
    <row r="86" spans="1:65" s="13" customFormat="1">
      <c r="A86" s="78"/>
      <c r="B86" s="78" t="s">
        <v>88</v>
      </c>
      <c r="C86" s="78"/>
      <c r="D86" s="47"/>
      <c r="E86" s="86"/>
      <c r="F86" s="166"/>
      <c r="G86" s="1446">
        <f>MAX(0,MIN(G48+G55,F87+G48))</f>
        <v>1.8513389576866806</v>
      </c>
      <c r="H86" s="708">
        <f t="shared" ref="H86:AL86" si="64">MAX(0,MIN(H48+H55,G87+H48))</f>
        <v>1.8899266500780389</v>
      </c>
      <c r="I86" s="708">
        <f t="shared" si="64"/>
        <v>1.94432850146664</v>
      </c>
      <c r="J86" s="708">
        <f t="shared" si="64"/>
        <v>1.9948302105654185</v>
      </c>
      <c r="K86" s="708">
        <f t="shared" si="64"/>
        <v>2.0107561973322223</v>
      </c>
      <c r="L86" s="708">
        <f t="shared" si="64"/>
        <v>2.0629538303019368</v>
      </c>
      <c r="M86" s="708">
        <f t="shared" si="64"/>
        <v>1.923056248333378</v>
      </c>
      <c r="N86" s="708">
        <f t="shared" si="64"/>
        <v>0.71200081260326953</v>
      </c>
      <c r="O86" s="708">
        <f t="shared" si="64"/>
        <v>0.68593616323305007</v>
      </c>
      <c r="P86" s="708">
        <f t="shared" si="64"/>
        <v>0.65585516796692134</v>
      </c>
      <c r="Q86" s="708">
        <f t="shared" si="64"/>
        <v>0.62157195506666518</v>
      </c>
      <c r="R86" s="708">
        <f t="shared" si="64"/>
        <v>1.919451088476152</v>
      </c>
      <c r="S86" s="708">
        <f t="shared" si="64"/>
        <v>1.9807730701856356</v>
      </c>
      <c r="T86" s="708">
        <f t="shared" si="64"/>
        <v>1.9326986651579969</v>
      </c>
      <c r="U86" s="708">
        <f t="shared" si="64"/>
        <v>1.8796080905766945</v>
      </c>
      <c r="V86" s="708">
        <f t="shared" si="64"/>
        <v>1.821279060666392</v>
      </c>
      <c r="W86" s="708">
        <f t="shared" si="64"/>
        <v>2.2131457363867639</v>
      </c>
      <c r="X86" s="708">
        <f t="shared" si="64"/>
        <v>1.4883586204643817</v>
      </c>
      <c r="Y86" s="708">
        <f t="shared" si="64"/>
        <v>0.9514902760588958</v>
      </c>
      <c r="Z86" s="708">
        <f t="shared" si="64"/>
        <v>0.84664667563073803</v>
      </c>
      <c r="AA86" s="708">
        <f t="shared" si="64"/>
        <v>0.73591472335609298</v>
      </c>
      <c r="AB86" s="708">
        <f t="shared" si="64"/>
        <v>0.61906422618191326</v>
      </c>
      <c r="AC86" s="708">
        <f t="shared" si="64"/>
        <v>0.49585712866423487</v>
      </c>
      <c r="AD86" s="708">
        <f t="shared" si="64"/>
        <v>0.36604726288547085</v>
      </c>
      <c r="AE86" s="708">
        <f t="shared" si="64"/>
        <v>0.32844694435807847</v>
      </c>
      <c r="AF86" s="708">
        <f t="shared" si="64"/>
        <v>0.28891985794814873</v>
      </c>
      <c r="AG86" s="708">
        <f t="shared" si="64"/>
        <v>0.24719202943561344</v>
      </c>
      <c r="AH86" s="708">
        <f t="shared" si="64"/>
        <v>0.2031776426994549</v>
      </c>
      <c r="AI86" s="708">
        <f t="shared" si="64"/>
        <v>0.15678795404542123</v>
      </c>
      <c r="AJ86" s="708">
        <f t="shared" si="64"/>
        <v>0.10793119915300441</v>
      </c>
      <c r="AK86" s="708">
        <f t="shared" si="64"/>
        <v>6.6439493248539677E-2</v>
      </c>
      <c r="AL86" s="708">
        <f t="shared" si="64"/>
        <v>3.443450954075257E-2</v>
      </c>
      <c r="AM86" s="708">
        <f t="shared" ref="AM86:BI86" si="65">MAX(0,MIN(AM48+AM55,AL87+AM48))</f>
        <v>1.2740667224552932E-2</v>
      </c>
      <c r="AN86" s="708">
        <f t="shared" si="65"/>
        <v>0</v>
      </c>
      <c r="AO86" s="708">
        <f t="shared" si="65"/>
        <v>1.5811564774455622E-15</v>
      </c>
      <c r="AP86" s="708">
        <f t="shared" si="65"/>
        <v>1.6210016206771902E-15</v>
      </c>
      <c r="AQ86" s="708">
        <f t="shared" si="65"/>
        <v>1.2907766606252995E-15</v>
      </c>
      <c r="AR86" s="708">
        <f t="shared" si="65"/>
        <v>1.2520365114860751E-15</v>
      </c>
      <c r="AS86" s="708">
        <f t="shared" si="65"/>
        <v>1.2835878315755241E-15</v>
      </c>
      <c r="AT86" s="708">
        <f t="shared" si="65"/>
        <v>1.3159342449312274E-15</v>
      </c>
      <c r="AU86" s="708">
        <f t="shared" si="65"/>
        <v>1.349095787903494E-15</v>
      </c>
      <c r="AV86" s="708">
        <f t="shared" si="65"/>
        <v>1.3830930017586619E-15</v>
      </c>
      <c r="AW86" s="708">
        <f t="shared" si="65"/>
        <v>1.4179469454029804E-15</v>
      </c>
      <c r="AX86" s="708">
        <f t="shared" si="65"/>
        <v>1.4536792084271349E-15</v>
      </c>
      <c r="AY86" s="708">
        <f t="shared" si="65"/>
        <v>1.4903119244794985E-15</v>
      </c>
      <c r="AZ86" s="708">
        <f t="shared" si="65"/>
        <v>1.527867784976382E-15</v>
      </c>
      <c r="BA86" s="708">
        <f t="shared" si="65"/>
        <v>1.5663700531577864E-15</v>
      </c>
      <c r="BB86" s="708">
        <f t="shared" si="65"/>
        <v>1.6058425784973628E-15</v>
      </c>
      <c r="BC86" s="708">
        <f t="shared" si="65"/>
        <v>1.6463098114754958E-15</v>
      </c>
      <c r="BD86" s="708">
        <f t="shared" si="65"/>
        <v>1.6877968187246781E-15</v>
      </c>
      <c r="BE86" s="708">
        <f t="shared" si="65"/>
        <v>1.7303292985565399E-15</v>
      </c>
      <c r="BF86" s="708">
        <f t="shared" si="65"/>
        <v>1.7739335968801645E-15</v>
      </c>
      <c r="BG86" s="708">
        <f t="shared" si="65"/>
        <v>1.8186367235215446E-15</v>
      </c>
      <c r="BH86" s="708">
        <f t="shared" si="65"/>
        <v>1.8644663689542867E-15</v>
      </c>
      <c r="BI86" s="708">
        <f t="shared" si="65"/>
        <v>1.9114509214519349E-15</v>
      </c>
      <c r="BJ86" s="78"/>
      <c r="BK86" s="78"/>
      <c r="BL86" s="78"/>
      <c r="BM86" s="78"/>
    </row>
    <row r="87" spans="1:65" s="11" customFormat="1">
      <c r="A87" s="47"/>
      <c r="B87" s="47" t="s">
        <v>89</v>
      </c>
      <c r="C87" s="47"/>
      <c r="D87" s="51"/>
      <c r="E87" s="86"/>
      <c r="F87" s="152"/>
      <c r="G87" s="152">
        <f t="shared" ref="G87:AL87" si="66">MAX(0,F87+G48-G86)</f>
        <v>0</v>
      </c>
      <c r="H87" s="152">
        <f t="shared" si="66"/>
        <v>0</v>
      </c>
      <c r="I87" s="152">
        <f t="shared" si="66"/>
        <v>0</v>
      </c>
      <c r="J87" s="152">
        <f t="shared" si="66"/>
        <v>0</v>
      </c>
      <c r="K87" s="152">
        <f t="shared" si="66"/>
        <v>0</v>
      </c>
      <c r="L87" s="152">
        <f t="shared" si="66"/>
        <v>0</v>
      </c>
      <c r="M87" s="152">
        <f t="shared" si="66"/>
        <v>0</v>
      </c>
      <c r="N87" s="152">
        <f t="shared" si="66"/>
        <v>1.0627969574299394</v>
      </c>
      <c r="O87" s="152">
        <f t="shared" si="66"/>
        <v>2.0984135787289313</v>
      </c>
      <c r="P87" s="152">
        <f t="shared" si="66"/>
        <v>3.1070555949477443</v>
      </c>
      <c r="Q87" s="152">
        <f t="shared" si="66"/>
        <v>4.088956366582762</v>
      </c>
      <c r="R87" s="152">
        <f t="shared" si="66"/>
        <v>3.7078208923752003</v>
      </c>
      <c r="S87" s="152">
        <f t="shared" si="66"/>
        <v>3.1959041362380707</v>
      </c>
      <c r="T87" s="152">
        <f t="shared" si="66"/>
        <v>2.6581248442297167</v>
      </c>
      <c r="U87" s="152">
        <f t="shared" si="66"/>
        <v>2.0948399815688266</v>
      </c>
      <c r="V87" s="152">
        <f t="shared" si="66"/>
        <v>1.5064409282658899</v>
      </c>
      <c r="W87" s="152">
        <f t="shared" si="66"/>
        <v>0.43769052247173867</v>
      </c>
      <c r="X87" s="152">
        <f t="shared" si="66"/>
        <v>0</v>
      </c>
      <c r="Y87" s="152">
        <f t="shared" si="66"/>
        <v>0</v>
      </c>
      <c r="Z87" s="152">
        <f t="shared" si="66"/>
        <v>0</v>
      </c>
      <c r="AA87" s="152">
        <f t="shared" si="66"/>
        <v>0</v>
      </c>
      <c r="AB87" s="152">
        <f t="shared" si="66"/>
        <v>0</v>
      </c>
      <c r="AC87" s="152">
        <f t="shared" si="66"/>
        <v>0</v>
      </c>
      <c r="AD87" s="152">
        <f t="shared" si="66"/>
        <v>0</v>
      </c>
      <c r="AE87" s="152">
        <f t="shared" si="66"/>
        <v>0</v>
      </c>
      <c r="AF87" s="152">
        <f t="shared" si="66"/>
        <v>0</v>
      </c>
      <c r="AG87" s="152">
        <f t="shared" si="66"/>
        <v>0</v>
      </c>
      <c r="AH87" s="152">
        <f t="shared" si="66"/>
        <v>0</v>
      </c>
      <c r="AI87" s="152">
        <f t="shared" si="66"/>
        <v>0</v>
      </c>
      <c r="AJ87" s="152">
        <f t="shared" si="66"/>
        <v>0</v>
      </c>
      <c r="AK87" s="152">
        <f t="shared" si="66"/>
        <v>0</v>
      </c>
      <c r="AL87" s="152">
        <f t="shared" si="66"/>
        <v>0</v>
      </c>
      <c r="AM87" s="152">
        <f t="shared" ref="AM87:BI87" si="67">MAX(0,AL87+AM48-AM86)</f>
        <v>0</v>
      </c>
      <c r="AN87" s="152">
        <f t="shared" si="67"/>
        <v>9.1847249926041831E-16</v>
      </c>
      <c r="AO87" s="152">
        <f t="shared" si="67"/>
        <v>4.9927608436184369E-16</v>
      </c>
      <c r="AP87" s="152">
        <f t="shared" si="67"/>
        <v>6.9515919807824745E-17</v>
      </c>
      <c r="AQ87" s="152">
        <f t="shared" si="67"/>
        <v>0</v>
      </c>
      <c r="AR87" s="152">
        <f t="shared" si="67"/>
        <v>0</v>
      </c>
      <c r="AS87" s="152">
        <f t="shared" si="67"/>
        <v>0</v>
      </c>
      <c r="AT87" s="152">
        <f t="shared" si="67"/>
        <v>0</v>
      </c>
      <c r="AU87" s="152">
        <f t="shared" si="67"/>
        <v>0</v>
      </c>
      <c r="AV87" s="152">
        <f t="shared" si="67"/>
        <v>0</v>
      </c>
      <c r="AW87" s="152">
        <f t="shared" si="67"/>
        <v>0</v>
      </c>
      <c r="AX87" s="152">
        <f t="shared" si="67"/>
        <v>0</v>
      </c>
      <c r="AY87" s="152">
        <f t="shared" si="67"/>
        <v>0</v>
      </c>
      <c r="AZ87" s="152">
        <f t="shared" si="67"/>
        <v>0</v>
      </c>
      <c r="BA87" s="152">
        <f t="shared" si="67"/>
        <v>0</v>
      </c>
      <c r="BB87" s="152">
        <f t="shared" si="67"/>
        <v>0</v>
      </c>
      <c r="BC87" s="152">
        <f t="shared" si="67"/>
        <v>0</v>
      </c>
      <c r="BD87" s="152">
        <f t="shared" si="67"/>
        <v>0</v>
      </c>
      <c r="BE87" s="152">
        <f t="shared" si="67"/>
        <v>0</v>
      </c>
      <c r="BF87" s="152">
        <f t="shared" si="67"/>
        <v>0</v>
      </c>
      <c r="BG87" s="152">
        <f t="shared" si="67"/>
        <v>0</v>
      </c>
      <c r="BH87" s="152">
        <f t="shared" si="67"/>
        <v>0</v>
      </c>
      <c r="BI87" s="152">
        <f t="shared" si="67"/>
        <v>0</v>
      </c>
      <c r="BJ87" s="47"/>
      <c r="BK87" s="47"/>
      <c r="BL87" s="47"/>
      <c r="BM87" s="47"/>
    </row>
    <row r="88" spans="1:65">
      <c r="A88" s="47"/>
      <c r="B88" s="47" t="s">
        <v>45</v>
      </c>
      <c r="C88" s="146" t="s">
        <v>42</v>
      </c>
      <c r="D88" s="151">
        <f ca="1">1-$E$88/$E$85</f>
        <v>0.28957160205039756</v>
      </c>
      <c r="E88" s="150">
        <f t="shared" ca="1" si="61"/>
        <v>6.3014998898129893E-2</v>
      </c>
      <c r="F88" s="706">
        <f>F72</f>
        <v>-20.871916095678472</v>
      </c>
      <c r="G88" s="1433">
        <f t="shared" ref="G88:AL88" si="68">G48-G86*G53+G72</f>
        <v>0.86090127949726636</v>
      </c>
      <c r="H88" s="669">
        <f t="shared" si="68"/>
        <v>0.70962451313127728</v>
      </c>
      <c r="I88" s="669">
        <f t="shared" si="68"/>
        <v>0.79167584619261788</v>
      </c>
      <c r="J88" s="669">
        <f t="shared" si="68"/>
        <v>1.2168322548726385</v>
      </c>
      <c r="K88" s="669">
        <f t="shared" si="68"/>
        <v>0.8190554602327329</v>
      </c>
      <c r="L88" s="669">
        <f t="shared" si="68"/>
        <v>3.0212670269673736</v>
      </c>
      <c r="M88" s="669">
        <f t="shared" si="68"/>
        <v>3.0175991066424834</v>
      </c>
      <c r="N88" s="669">
        <f t="shared" si="68"/>
        <v>2.1614792117219808</v>
      </c>
      <c r="O88" s="669">
        <f t="shared" si="68"/>
        <v>2.1590143295453026</v>
      </c>
      <c r="P88" s="669">
        <f t="shared" si="68"/>
        <v>2.1557277531197991</v>
      </c>
      <c r="Q88" s="669">
        <f t="shared" si="68"/>
        <v>2.1515796343540901</v>
      </c>
      <c r="R88" s="669">
        <f t="shared" si="68"/>
        <v>1.7455614626985163</v>
      </c>
      <c r="S88" s="669">
        <f t="shared" si="68"/>
        <v>1.7081862971513564</v>
      </c>
      <c r="T88" s="669">
        <f t="shared" si="68"/>
        <v>1.7011993478281588</v>
      </c>
      <c r="U88" s="669">
        <f t="shared" si="68"/>
        <v>1.6931760944558607</v>
      </c>
      <c r="V88" s="669">
        <f t="shared" si="68"/>
        <v>1.6840687443026925</v>
      </c>
      <c r="W88" s="669">
        <f t="shared" si="68"/>
        <v>1.5371284146367792</v>
      </c>
      <c r="X88" s="669">
        <f t="shared" si="68"/>
        <v>1.7222870274536359</v>
      </c>
      <c r="Y88" s="669">
        <f t="shared" si="68"/>
        <v>1.8480454528596915</v>
      </c>
      <c r="Z88" s="669">
        <f t="shared" si="68"/>
        <v>1.8410399590141784</v>
      </c>
      <c r="AA88" s="669">
        <f t="shared" si="68"/>
        <v>1.8325078054944703</v>
      </c>
      <c r="AB88" s="669">
        <f t="shared" si="68"/>
        <v>1.8223764974217964</v>
      </c>
      <c r="AC88" s="669">
        <f t="shared" si="68"/>
        <v>1.8105708556654605</v>
      </c>
      <c r="AD88" s="669">
        <f t="shared" si="68"/>
        <v>0.68013746426100663</v>
      </c>
      <c r="AE88" s="669">
        <f t="shared" si="68"/>
        <v>0.67553953985482318</v>
      </c>
      <c r="AF88" s="669">
        <f t="shared" si="68"/>
        <v>0.67268165155057325</v>
      </c>
      <c r="AG88" s="669">
        <f t="shared" si="68"/>
        <v>0.66925073104640109</v>
      </c>
      <c r="AH88" s="669">
        <f t="shared" si="68"/>
        <v>0.66521971239281663</v>
      </c>
      <c r="AI88" s="669">
        <f t="shared" si="68"/>
        <v>0.660560529414848</v>
      </c>
      <c r="AJ88" s="669">
        <f t="shared" si="68"/>
        <v>0.54332755422632217</v>
      </c>
      <c r="AK88" s="669">
        <f t="shared" si="68"/>
        <v>0.40733046046887184</v>
      </c>
      <c r="AL88" s="669">
        <f t="shared" si="68"/>
        <v>0.2686796055646557</v>
      </c>
      <c r="AM88" s="669">
        <f t="shared" ref="AM88:BH88" si="69">AM48-AM86*AM53+AM72</f>
        <v>0.15255620352338789</v>
      </c>
      <c r="AN88" s="669">
        <f t="shared" si="69"/>
        <v>-1.8265958579726023E-15</v>
      </c>
      <c r="AO88" s="669">
        <f t="shared" si="69"/>
        <v>3.5749594258069261E-16</v>
      </c>
      <c r="AP88" s="669">
        <f t="shared" si="69"/>
        <v>3.6650484033372845E-16</v>
      </c>
      <c r="AQ88" s="669">
        <f t="shared" si="69"/>
        <v>4.8706302257802171E-16</v>
      </c>
      <c r="AR88" s="669">
        <f t="shared" si="69"/>
        <v>5.2071732704308269E-16</v>
      </c>
      <c r="AS88" s="669">
        <f t="shared" si="69"/>
        <v>5.3383940368456529E-16</v>
      </c>
      <c r="AT88" s="669">
        <f t="shared" si="69"/>
        <v>5.4729215665742148E-16</v>
      </c>
      <c r="AU88" s="669">
        <f t="shared" si="69"/>
        <v>5.6108391900518676E-16</v>
      </c>
      <c r="AV88" s="669">
        <f t="shared" si="69"/>
        <v>5.7522323376411382E-16</v>
      </c>
      <c r="AW88" s="669">
        <f t="shared" si="69"/>
        <v>5.8971885925497733E-16</v>
      </c>
      <c r="AX88" s="669">
        <f t="shared" si="69"/>
        <v>6.0457977450819778E-16</v>
      </c>
      <c r="AY88" s="669">
        <f t="shared" si="69"/>
        <v>6.1981518482580212E-16</v>
      </c>
      <c r="AZ88" s="669">
        <f t="shared" si="69"/>
        <v>6.3543452748341807E-16</v>
      </c>
      <c r="BA88" s="669">
        <f t="shared" si="69"/>
        <v>6.5144747757599336E-16</v>
      </c>
      <c r="BB88" s="669">
        <f t="shared" si="69"/>
        <v>6.6786395401091303E-16</v>
      </c>
      <c r="BC88" s="669">
        <f t="shared" si="69"/>
        <v>6.8469412565198933E-16</v>
      </c>
      <c r="BD88" s="669">
        <f t="shared" si="69"/>
        <v>7.0194841761841531E-16</v>
      </c>
      <c r="BE88" s="669">
        <f t="shared" si="69"/>
        <v>7.1963751774240004E-16</v>
      </c>
      <c r="BF88" s="669">
        <f t="shared" si="69"/>
        <v>7.3777238318951011E-16</v>
      </c>
      <c r="BG88" s="669">
        <f t="shared" si="69"/>
        <v>7.5636424724588774E-16</v>
      </c>
      <c r="BH88" s="669">
        <f t="shared" si="69"/>
        <v>7.7542462627647697E-16</v>
      </c>
      <c r="BI88" s="669">
        <f>BI48-BI86*BI53+BI72+Assets!BI474*$D$19</f>
        <v>2.2887631444925431E-14</v>
      </c>
      <c r="BJ88" s="620"/>
      <c r="BK88" s="47"/>
      <c r="BL88" s="47"/>
      <c r="BM88" s="47"/>
    </row>
    <row r="89" spans="1:65">
      <c r="A89" s="47"/>
      <c r="B89" s="52" t="s">
        <v>32</v>
      </c>
      <c r="C89" s="78"/>
      <c r="D89" s="78"/>
      <c r="E89" s="86"/>
      <c r="F89" s="670"/>
      <c r="G89" s="670"/>
      <c r="H89" s="670"/>
      <c r="I89" s="670"/>
      <c r="J89" s="670"/>
      <c r="K89" s="670"/>
      <c r="L89" s="670"/>
      <c r="M89" s="670"/>
      <c r="N89" s="670"/>
      <c r="O89" s="670"/>
      <c r="P89" s="670"/>
      <c r="Q89" s="670"/>
      <c r="R89" s="670"/>
      <c r="S89" s="670"/>
      <c r="T89" s="670"/>
      <c r="U89" s="670"/>
      <c r="V89" s="670"/>
      <c r="W89" s="670"/>
      <c r="X89" s="670"/>
      <c r="Y89" s="670"/>
      <c r="Z89" s="670"/>
      <c r="AA89" s="670"/>
      <c r="AB89" s="670"/>
      <c r="AC89" s="670"/>
      <c r="AD89" s="670"/>
      <c r="AE89" s="670"/>
      <c r="AF89" s="670"/>
      <c r="AG89" s="670"/>
      <c r="AH89" s="670"/>
      <c r="AI89" s="670"/>
      <c r="AJ89" s="670"/>
      <c r="AK89" s="670"/>
      <c r="AL89" s="670"/>
      <c r="AM89" s="670"/>
      <c r="AN89" s="670"/>
      <c r="AO89" s="670"/>
      <c r="AP89" s="670"/>
      <c r="AQ89" s="670"/>
      <c r="AR89" s="670"/>
      <c r="AS89" s="670"/>
      <c r="AT89" s="670"/>
      <c r="AU89" s="670"/>
      <c r="AV89" s="670"/>
      <c r="AW89" s="670"/>
      <c r="AX89" s="670"/>
      <c r="AY89" s="670"/>
      <c r="AZ89" s="670"/>
      <c r="BA89" s="670"/>
      <c r="BB89" s="670"/>
      <c r="BC89" s="670"/>
      <c r="BD89" s="670"/>
      <c r="BE89" s="670"/>
      <c r="BF89" s="670"/>
      <c r="BG89" s="670"/>
      <c r="BH89" s="670"/>
      <c r="BI89" s="670"/>
      <c r="BJ89" s="47"/>
      <c r="BK89" s="47"/>
      <c r="BL89" s="47"/>
      <c r="BM89" s="47"/>
    </row>
    <row r="90" spans="1:65">
      <c r="A90" s="47"/>
      <c r="B90" s="47" t="s">
        <v>180</v>
      </c>
      <c r="C90" s="78"/>
      <c r="D90" s="78"/>
      <c r="E90" s="143">
        <f t="shared" ca="1" si="61"/>
        <v>0.12158948107109557</v>
      </c>
      <c r="F90" s="1438">
        <f t="shared" ref="F90:AK90" si="70">F37-F70-F30</f>
        <v>-34.786526826130789</v>
      </c>
      <c r="G90" s="497">
        <f t="shared" si="70"/>
        <v>4.4993757781285888</v>
      </c>
      <c r="H90" s="497">
        <f t="shared" si="70"/>
        <v>4.0773043298935852</v>
      </c>
      <c r="I90" s="497">
        <f t="shared" si="70"/>
        <v>3.9015600093298097</v>
      </c>
      <c r="J90" s="497">
        <f t="shared" si="70"/>
        <v>4.829472643047688</v>
      </c>
      <c r="K90" s="497">
        <f t="shared" si="70"/>
        <v>3.6090387459020334</v>
      </c>
      <c r="L90" s="497">
        <f t="shared" si="70"/>
        <v>6.6466276470049737</v>
      </c>
      <c r="M90" s="497">
        <f t="shared" si="70"/>
        <v>6.5588434760074614</v>
      </c>
      <c r="N90" s="497">
        <f t="shared" si="70"/>
        <v>4.2559328036792348</v>
      </c>
      <c r="O90" s="497">
        <f t="shared" si="70"/>
        <v>4.2298681543090151</v>
      </c>
      <c r="P90" s="497">
        <f t="shared" si="70"/>
        <v>4.1997871590428861</v>
      </c>
      <c r="Q90" s="497">
        <f t="shared" si="70"/>
        <v>4.1655039461426302</v>
      </c>
      <c r="R90" s="497">
        <f t="shared" si="70"/>
        <v>4.1268258264747235</v>
      </c>
      <c r="S90" s="497">
        <f t="shared" si="70"/>
        <v>4.0835530679495955</v>
      </c>
      <c r="T90" s="497">
        <f t="shared" si="70"/>
        <v>4.0354786629219568</v>
      </c>
      <c r="U90" s="497">
        <f t="shared" si="70"/>
        <v>3.9823880883406546</v>
      </c>
      <c r="V90" s="497">
        <f t="shared" si="70"/>
        <v>3.9240590584303519</v>
      </c>
      <c r="W90" s="497">
        <f t="shared" si="70"/>
        <v>3.8602612696809508</v>
      </c>
      <c r="X90" s="497">
        <f t="shared" si="70"/>
        <v>4.113903990140475</v>
      </c>
      <c r="Y90" s="497">
        <f t="shared" si="70"/>
        <v>4.2885624505191648</v>
      </c>
      <c r="Z90" s="497">
        <f t="shared" si="70"/>
        <v>4.3368237659802933</v>
      </c>
      <c r="AA90" s="497">
        <f t="shared" si="70"/>
        <v>4.361161377929081</v>
      </c>
      <c r="AB90" s="497">
        <f t="shared" si="70"/>
        <v>4.2726397473940532</v>
      </c>
      <c r="AC90" s="497">
        <f t="shared" si="70"/>
        <v>4.1768871147586193</v>
      </c>
      <c r="AD90" s="497">
        <f t="shared" si="70"/>
        <v>1.6717125354487146</v>
      </c>
      <c r="AE90" s="497">
        <f t="shared" si="70"/>
        <v>1.6403508063412862</v>
      </c>
      <c r="AF90" s="497">
        <f t="shared" si="70"/>
        <v>1.6116307041115634</v>
      </c>
      <c r="AG90" s="497">
        <f t="shared" si="70"/>
        <v>1.5804214203534035</v>
      </c>
      <c r="AH90" s="497">
        <f t="shared" si="70"/>
        <v>1.5466157387314934</v>
      </c>
      <c r="AI90" s="497">
        <f t="shared" si="70"/>
        <v>1.5101026199370577</v>
      </c>
      <c r="AJ90" s="497">
        <f t="shared" si="70"/>
        <v>1.2300863711562073</v>
      </c>
      <c r="AK90" s="497">
        <f t="shared" si="70"/>
        <v>0.91392339350486473</v>
      </c>
      <c r="AL90" s="497">
        <f t="shared" ref="AL90:BH90" si="71">AL37-AL70-AL30</f>
        <v>0.59747131452090896</v>
      </c>
      <c r="AM90" s="497">
        <f t="shared" si="71"/>
        <v>0.33535411231122092</v>
      </c>
      <c r="AN90" s="497">
        <f t="shared" si="71"/>
        <v>-2.8903847784435741E-15</v>
      </c>
      <c r="AO90" s="497">
        <f t="shared" si="71"/>
        <v>1.5811564774455622E-15</v>
      </c>
      <c r="AP90" s="497">
        <f t="shared" si="71"/>
        <v>1.6210016206771902E-15</v>
      </c>
      <c r="AQ90" s="497">
        <f t="shared" si="71"/>
        <v>1.6618508615182551E-15</v>
      </c>
      <c r="AR90" s="497">
        <f t="shared" si="71"/>
        <v>1.7037295032285151E-15</v>
      </c>
      <c r="AS90" s="497">
        <f t="shared" si="71"/>
        <v>1.7466634867098734E-15</v>
      </c>
      <c r="AT90" s="497">
        <f t="shared" si="71"/>
        <v>1.7906794065749618E-15</v>
      </c>
      <c r="AU90" s="497">
        <f t="shared" si="71"/>
        <v>1.8358045276206507E-15</v>
      </c>
      <c r="AV90" s="497">
        <f t="shared" si="71"/>
        <v>1.8820668017166907E-15</v>
      </c>
      <c r="AW90" s="497">
        <f t="shared" si="71"/>
        <v>2.0361691881282925E-15</v>
      </c>
      <c r="AX90" s="497">
        <f t="shared" si="71"/>
        <v>2.1303746249404756E-15</v>
      </c>
      <c r="AY90" s="497">
        <f t="shared" si="71"/>
        <v>2.1840600654889757E-15</v>
      </c>
      <c r="AZ90" s="497">
        <f t="shared" si="71"/>
        <v>2.2390983791392979E-15</v>
      </c>
      <c r="BA90" s="497">
        <f t="shared" si="71"/>
        <v>2.2955236582936071E-15</v>
      </c>
      <c r="BB90" s="497">
        <f t="shared" si="71"/>
        <v>2.3533708544826059E-15</v>
      </c>
      <c r="BC90" s="497">
        <f t="shared" si="71"/>
        <v>2.4126758000155673E-15</v>
      </c>
      <c r="BD90" s="497">
        <f t="shared" si="71"/>
        <v>2.4734752301759592E-15</v>
      </c>
      <c r="BE90" s="497">
        <f t="shared" si="71"/>
        <v>2.5358068059763935E-15</v>
      </c>
      <c r="BF90" s="497">
        <f t="shared" si="71"/>
        <v>2.5997091374869983E-15</v>
      </c>
      <c r="BG90" s="497">
        <f t="shared" si="71"/>
        <v>2.6652218077516707E-15</v>
      </c>
      <c r="BH90" s="497">
        <f t="shared" si="71"/>
        <v>2.7323853973070117E-15</v>
      </c>
      <c r="BI90" s="497">
        <f>BI37-BI70-BI30+Assets!BI474</f>
        <v>3.9622351706097114E-14</v>
      </c>
      <c r="BJ90" s="620"/>
      <c r="BK90" s="47"/>
      <c r="BL90" s="47"/>
      <c r="BM90" s="47"/>
    </row>
    <row r="91" spans="1:65">
      <c r="A91" s="47"/>
      <c r="B91" s="47" t="s">
        <v>181</v>
      </c>
      <c r="C91" s="78"/>
      <c r="D91" s="78"/>
      <c r="E91" s="144">
        <f t="shared" ca="1" si="61"/>
        <v>9.0120452824511199E-2</v>
      </c>
      <c r="F91" s="710">
        <f t="shared" ref="F91:AK91" si="72">F90-F57</f>
        <v>-34.786526826130789</v>
      </c>
      <c r="G91" s="152">
        <f t="shared" si="72"/>
        <v>2.0612757592387454</v>
      </c>
      <c r="H91" s="152">
        <f t="shared" si="72"/>
        <v>1.9001441584061696</v>
      </c>
      <c r="I91" s="152">
        <f t="shared" si="72"/>
        <v>2.1894872426471665</v>
      </c>
      <c r="J91" s="152">
        <f t="shared" si="72"/>
        <v>2.8699287203518207</v>
      </c>
      <c r="K91" s="152">
        <f t="shared" si="72"/>
        <v>2.4069679694258106</v>
      </c>
      <c r="L91" s="152">
        <f t="shared" si="72"/>
        <v>6.3347050993168521</v>
      </c>
      <c r="M91" s="152">
        <f t="shared" si="72"/>
        <v>6.2312869050280257</v>
      </c>
      <c r="N91" s="152">
        <f t="shared" si="72"/>
        <v>4.2559328036792348</v>
      </c>
      <c r="O91" s="152">
        <f t="shared" si="72"/>
        <v>4.2298681543090151</v>
      </c>
      <c r="P91" s="152">
        <f t="shared" si="72"/>
        <v>4.1997871590428861</v>
      </c>
      <c r="Q91" s="152">
        <f t="shared" si="72"/>
        <v>4.1655039461426302</v>
      </c>
      <c r="R91" s="152">
        <f t="shared" si="72"/>
        <v>4.1268258264747235</v>
      </c>
      <c r="S91" s="152">
        <f t="shared" si="72"/>
        <v>4.0835530679495955</v>
      </c>
      <c r="T91" s="152">
        <f t="shared" si="72"/>
        <v>4.0354786629219568</v>
      </c>
      <c r="U91" s="152">
        <f t="shared" si="72"/>
        <v>3.9823880883406546</v>
      </c>
      <c r="V91" s="152">
        <f t="shared" si="72"/>
        <v>3.9240590584303519</v>
      </c>
      <c r="W91" s="152">
        <f t="shared" si="72"/>
        <v>3.8602612696809508</v>
      </c>
      <c r="X91" s="152">
        <f t="shared" si="72"/>
        <v>3.6830401871719953</v>
      </c>
      <c r="Y91" s="152">
        <f t="shared" si="72"/>
        <v>3.5242078860796537</v>
      </c>
      <c r="Z91" s="152">
        <f t="shared" si="72"/>
        <v>3.3992273717487125</v>
      </c>
      <c r="AA91" s="152">
        <f t="shared" si="72"/>
        <v>3.2735873815571845</v>
      </c>
      <c r="AB91" s="152">
        <f t="shared" si="72"/>
        <v>3.1765670910304111</v>
      </c>
      <c r="AC91" s="152">
        <f t="shared" si="72"/>
        <v>3.0725781189303039</v>
      </c>
      <c r="AD91" s="152">
        <f t="shared" si="72"/>
        <v>1.2800129536797415</v>
      </c>
      <c r="AE91" s="152">
        <f t="shared" si="72"/>
        <v>1.2467796477463238</v>
      </c>
      <c r="AF91" s="152">
        <f t="shared" si="72"/>
        <v>1.2148174502625391</v>
      </c>
      <c r="AG91" s="152">
        <f t="shared" si="72"/>
        <v>1.1804526030780664</v>
      </c>
      <c r="AH91" s="152">
        <f t="shared" si="72"/>
        <v>1.1435843099218819</v>
      </c>
      <c r="AI91" s="152">
        <f t="shared" si="72"/>
        <v>1.1041082201695667</v>
      </c>
      <c r="AJ91" s="152">
        <f t="shared" si="72"/>
        <v>0.89343981955524643</v>
      </c>
      <c r="AK91" s="152">
        <f t="shared" si="72"/>
        <v>0.65967822342796723</v>
      </c>
      <c r="AL91" s="152">
        <f t="shared" ref="AL91:BI91" si="73">AL90-AL57</f>
        <v>0.42856027302686206</v>
      </c>
      <c r="AM91" s="152">
        <f t="shared" si="73"/>
        <v>0.23857007878522052</v>
      </c>
      <c r="AN91" s="152">
        <f t="shared" si="73"/>
        <v>-2.8903847784435741E-15</v>
      </c>
      <c r="AO91" s="152">
        <f t="shared" si="73"/>
        <v>1.5811564774455622E-15</v>
      </c>
      <c r="AP91" s="152">
        <f t="shared" si="73"/>
        <v>1.6210016206771902E-15</v>
      </c>
      <c r="AQ91" s="152">
        <f t="shared" si="73"/>
        <v>1.6618508615182551E-15</v>
      </c>
      <c r="AR91" s="152">
        <f t="shared" si="73"/>
        <v>1.7037295032285151E-15</v>
      </c>
      <c r="AS91" s="152">
        <f t="shared" si="73"/>
        <v>1.7466634867098734E-15</v>
      </c>
      <c r="AT91" s="152">
        <f t="shared" si="73"/>
        <v>1.7906794065749618E-15</v>
      </c>
      <c r="AU91" s="152">
        <f t="shared" si="73"/>
        <v>1.8358045276206507E-15</v>
      </c>
      <c r="AV91" s="152">
        <f t="shared" si="73"/>
        <v>1.8820668017166907E-15</v>
      </c>
      <c r="AW91" s="152">
        <f t="shared" si="73"/>
        <v>1.8939367841171715E-15</v>
      </c>
      <c r="AX91" s="152">
        <f t="shared" si="73"/>
        <v>1.9273659999864733E-15</v>
      </c>
      <c r="AY91" s="152">
        <f t="shared" si="73"/>
        <v>1.9759356231861326E-15</v>
      </c>
      <c r="AZ91" s="152">
        <f t="shared" si="73"/>
        <v>2.0257292008904232E-15</v>
      </c>
      <c r="BA91" s="152">
        <f t="shared" si="73"/>
        <v>2.076777576752861E-15</v>
      </c>
      <c r="BB91" s="152">
        <f t="shared" si="73"/>
        <v>2.129112371687033E-15</v>
      </c>
      <c r="BC91" s="152">
        <f t="shared" si="73"/>
        <v>2.182766003453546E-15</v>
      </c>
      <c r="BD91" s="152">
        <f t="shared" si="73"/>
        <v>2.2377717067405748E-15</v>
      </c>
      <c r="BE91" s="152">
        <f t="shared" si="73"/>
        <v>2.2941635537504376E-15</v>
      </c>
      <c r="BF91" s="152">
        <f t="shared" si="73"/>
        <v>2.3519764753049482E-15</v>
      </c>
      <c r="BG91" s="152">
        <f t="shared" si="73"/>
        <v>2.411246282482633E-15</v>
      </c>
      <c r="BH91" s="152">
        <f t="shared" si="73"/>
        <v>2.4720096888011943E-15</v>
      </c>
      <c r="BI91" s="152">
        <f t="shared" si="73"/>
        <v>3.9355414529736949E-14</v>
      </c>
      <c r="BJ91" s="47"/>
      <c r="BK91" s="47"/>
      <c r="BL91" s="47"/>
      <c r="BM91" s="47"/>
    </row>
    <row r="92" spans="1:65">
      <c r="A92" s="47"/>
      <c r="B92" s="47" t="s">
        <v>182</v>
      </c>
      <c r="C92" s="47"/>
      <c r="D92" s="47"/>
      <c r="E92" s="1436">
        <f ca="1">IRR(OFFSET(F92,0,0,1,55+1))</f>
        <v>9.4020172718275674E-2</v>
      </c>
      <c r="F92" s="1434">
        <f t="shared" ref="F92:AK92" si="74">F90/F$7</f>
        <v>-34.786526826130789</v>
      </c>
      <c r="G92" s="1435">
        <f t="shared" si="74"/>
        <v>4.3887785584555106</v>
      </c>
      <c r="H92" s="1435">
        <f t="shared" si="74"/>
        <v>3.8793229290372531</v>
      </c>
      <c r="I92" s="1435">
        <f t="shared" si="74"/>
        <v>3.6208663811974704</v>
      </c>
      <c r="J92" s="1435">
        <f t="shared" si="74"/>
        <v>4.371850680055684</v>
      </c>
      <c r="K92" s="1435">
        <f t="shared" si="74"/>
        <v>3.1867541277808975</v>
      </c>
      <c r="L92" s="1435">
        <f t="shared" si="74"/>
        <v>5.7246608770769489</v>
      </c>
      <c r="M92" s="1435">
        <f t="shared" si="74"/>
        <v>5.5101964697435069</v>
      </c>
      <c r="N92" s="1435">
        <f t="shared" si="74"/>
        <v>3.4875944849639402</v>
      </c>
      <c r="O92" s="1435">
        <f t="shared" si="74"/>
        <v>3.3810333371035286</v>
      </c>
      <c r="P92" s="1435">
        <f t="shared" si="74"/>
        <v>3.2744721892431161</v>
      </c>
      <c r="Q92" s="1435">
        <f t="shared" si="74"/>
        <v>3.1679110413827019</v>
      </c>
      <c r="R92" s="1435">
        <f t="shared" si="74"/>
        <v>3.0613498935222885</v>
      </c>
      <c r="S92" s="1435">
        <f t="shared" si="74"/>
        <v>2.9547887456618747</v>
      </c>
      <c r="T92" s="1435">
        <f t="shared" si="74"/>
        <v>2.8482275978014608</v>
      </c>
      <c r="U92" s="1435">
        <f t="shared" si="74"/>
        <v>2.7416664499410479</v>
      </c>
      <c r="V92" s="1435">
        <f t="shared" si="74"/>
        <v>2.6351053020806336</v>
      </c>
      <c r="W92" s="1435">
        <f t="shared" si="74"/>
        <v>2.5285441542202198</v>
      </c>
      <c r="X92" s="1435">
        <f t="shared" si="74"/>
        <v>2.6284480434551702</v>
      </c>
      <c r="Y92" s="1435">
        <f t="shared" si="74"/>
        <v>2.6726887522443072</v>
      </c>
      <c r="Z92" s="1435">
        <f t="shared" si="74"/>
        <v>2.636330317362237</v>
      </c>
      <c r="AA92" s="1435">
        <f t="shared" si="74"/>
        <v>2.5859588492113912</v>
      </c>
      <c r="AB92" s="1435">
        <f t="shared" si="74"/>
        <v>2.4711956513245728</v>
      </c>
      <c r="AC92" s="1435">
        <f t="shared" si="74"/>
        <v>2.3564324534377543</v>
      </c>
      <c r="AD92" s="1435">
        <f t="shared" si="74"/>
        <v>0.91993101001502919</v>
      </c>
      <c r="AE92" s="1435">
        <f t="shared" si="74"/>
        <v>0.88048466941203651</v>
      </c>
      <c r="AF92" s="1435">
        <f t="shared" si="74"/>
        <v>0.84380481151856523</v>
      </c>
      <c r="AG92" s="1435">
        <f t="shared" si="74"/>
        <v>0.80712495362509384</v>
      </c>
      <c r="AH92" s="1435">
        <f t="shared" si="74"/>
        <v>0.77044509573162256</v>
      </c>
      <c r="AI92" s="1435">
        <f t="shared" si="74"/>
        <v>0.73376523783815117</v>
      </c>
      <c r="AJ92" s="1435">
        <f t="shared" si="74"/>
        <v>0.58301225173933113</v>
      </c>
      <c r="AK92" s="1435">
        <f t="shared" si="74"/>
        <v>0.42251610848167254</v>
      </c>
      <c r="AL92" s="1435">
        <f t="shared" ref="AL92:BI92" si="75">AL90/AL$7</f>
        <v>0.26942751071627863</v>
      </c>
      <c r="AM92" s="1435">
        <f t="shared" si="75"/>
        <v>0.14750947536184567</v>
      </c>
      <c r="AN92" s="1435">
        <f t="shared" si="75"/>
        <v>-1.2401189560663334E-15</v>
      </c>
      <c r="AO92" s="1435">
        <f t="shared" si="75"/>
        <v>6.6171950868444992E-16</v>
      </c>
      <c r="AP92" s="1435">
        <f t="shared" si="75"/>
        <v>6.6171950868445002E-16</v>
      </c>
      <c r="AQ92" s="1435">
        <f t="shared" si="75"/>
        <v>6.6171950868444992E-16</v>
      </c>
      <c r="AR92" s="1435">
        <f t="shared" si="75"/>
        <v>6.6171950868445002E-16</v>
      </c>
      <c r="AS92" s="1435">
        <f t="shared" si="75"/>
        <v>6.6171950868444992E-16</v>
      </c>
      <c r="AT92" s="1435">
        <f t="shared" si="75"/>
        <v>6.6171950868444992E-16</v>
      </c>
      <c r="AU92" s="1435">
        <f t="shared" si="75"/>
        <v>6.6171950868444982E-16</v>
      </c>
      <c r="AV92" s="1435">
        <f t="shared" si="75"/>
        <v>6.6171950868444972E-16</v>
      </c>
      <c r="AW92" s="1435">
        <f t="shared" si="75"/>
        <v>6.9830341876387321E-16</v>
      </c>
      <c r="AX92" s="1435">
        <f t="shared" si="75"/>
        <v>7.1265229819219274E-16</v>
      </c>
      <c r="AY92" s="1435">
        <f t="shared" si="75"/>
        <v>7.1265229819219284E-16</v>
      </c>
      <c r="AZ92" s="1435">
        <f t="shared" si="75"/>
        <v>7.1265229819219294E-16</v>
      </c>
      <c r="BA92" s="1435">
        <f t="shared" si="75"/>
        <v>7.1265229819219274E-16</v>
      </c>
      <c r="BB92" s="1435">
        <f t="shared" si="75"/>
        <v>7.1265229819219274E-16</v>
      </c>
      <c r="BC92" s="1435">
        <f t="shared" si="75"/>
        <v>7.1265229819219274E-16</v>
      </c>
      <c r="BD92" s="1435">
        <f t="shared" si="75"/>
        <v>7.1265229819219274E-16</v>
      </c>
      <c r="BE92" s="1435">
        <f t="shared" si="75"/>
        <v>7.1265229819219294E-16</v>
      </c>
      <c r="BF92" s="1435">
        <f t="shared" si="75"/>
        <v>7.1265229819219294E-16</v>
      </c>
      <c r="BG92" s="1435">
        <f t="shared" si="75"/>
        <v>7.1265229819219294E-16</v>
      </c>
      <c r="BH92" s="1435">
        <f t="shared" si="75"/>
        <v>7.1265229819219284E-16</v>
      </c>
      <c r="BI92" s="1435">
        <f t="shared" si="75"/>
        <v>1.0080159068466951E-14</v>
      </c>
      <c r="BJ92" s="47"/>
      <c r="BK92" s="47"/>
      <c r="BL92" s="47"/>
      <c r="BM92" s="47"/>
    </row>
    <row r="93" spans="1:65">
      <c r="A93" s="47"/>
      <c r="B93" s="47" t="s">
        <v>183</v>
      </c>
      <c r="C93" s="47"/>
      <c r="D93" s="47"/>
      <c r="E93" s="144">
        <f t="shared" ca="1" si="61"/>
        <v>6.3324671112480191E-2</v>
      </c>
      <c r="F93" s="713">
        <f t="shared" ref="F93:AK93" si="76">F91/F$7</f>
        <v>-34.786526826130789</v>
      </c>
      <c r="G93" s="152">
        <f t="shared" si="76"/>
        <v>2.010608426881336</v>
      </c>
      <c r="H93" s="152">
        <f t="shared" si="76"/>
        <v>1.8078789822327619</v>
      </c>
      <c r="I93" s="152">
        <f t="shared" si="76"/>
        <v>2.0319668876049604</v>
      </c>
      <c r="J93" s="152">
        <f t="shared" si="76"/>
        <v>2.5979854851944242</v>
      </c>
      <c r="K93" s="152">
        <f t="shared" si="76"/>
        <v>2.1253346533654307</v>
      </c>
      <c r="L93" s="152">
        <f t="shared" si="76"/>
        <v>5.4560057183615385</v>
      </c>
      <c r="M93" s="152">
        <f t="shared" si="76"/>
        <v>5.2350105977746786</v>
      </c>
      <c r="N93" s="152">
        <f t="shared" si="76"/>
        <v>3.4875944849639402</v>
      </c>
      <c r="O93" s="152">
        <f t="shared" si="76"/>
        <v>3.3810333371035286</v>
      </c>
      <c r="P93" s="152">
        <f t="shared" si="76"/>
        <v>3.2744721892431161</v>
      </c>
      <c r="Q93" s="152">
        <f t="shared" si="76"/>
        <v>3.1679110413827019</v>
      </c>
      <c r="R93" s="152">
        <f t="shared" si="76"/>
        <v>3.0613498935222885</v>
      </c>
      <c r="S93" s="152">
        <f t="shared" si="76"/>
        <v>2.9547887456618747</v>
      </c>
      <c r="T93" s="152">
        <f t="shared" si="76"/>
        <v>2.8482275978014608</v>
      </c>
      <c r="U93" s="152">
        <f t="shared" si="76"/>
        <v>2.7416664499410479</v>
      </c>
      <c r="V93" s="152">
        <f t="shared" si="76"/>
        <v>2.6351053020806336</v>
      </c>
      <c r="W93" s="152">
        <f t="shared" si="76"/>
        <v>2.5285441542202198</v>
      </c>
      <c r="X93" s="152">
        <f t="shared" si="76"/>
        <v>2.3531613273280194</v>
      </c>
      <c r="Y93" s="152">
        <f t="shared" si="76"/>
        <v>2.1963328939177553</v>
      </c>
      <c r="Z93" s="152">
        <f t="shared" si="76"/>
        <v>2.0663708417312265</v>
      </c>
      <c r="AA93" s="152">
        <f t="shared" si="76"/>
        <v>1.9410798006342904</v>
      </c>
      <c r="AB93" s="152">
        <f t="shared" si="76"/>
        <v>1.8372526694493454</v>
      </c>
      <c r="AC93" s="152">
        <f t="shared" si="76"/>
        <v>1.7334255382643999</v>
      </c>
      <c r="AD93" s="152">
        <f t="shared" si="76"/>
        <v>0.70438163520432007</v>
      </c>
      <c r="AE93" s="152">
        <f t="shared" si="76"/>
        <v>0.66922902206759949</v>
      </c>
      <c r="AF93" s="152">
        <f t="shared" si="76"/>
        <v>0.63604447782802132</v>
      </c>
      <c r="AG93" s="152">
        <f t="shared" si="76"/>
        <v>0.60285993358844303</v>
      </c>
      <c r="AH93" s="152">
        <f t="shared" si="76"/>
        <v>0.56967538934886486</v>
      </c>
      <c r="AI93" s="152">
        <f t="shared" si="76"/>
        <v>0.53649084510928657</v>
      </c>
      <c r="AJ93" s="152">
        <f t="shared" si="76"/>
        <v>0.42345511112596429</v>
      </c>
      <c r="AK93" s="152">
        <f t="shared" si="76"/>
        <v>0.30497597259655262</v>
      </c>
      <c r="AL93" s="152">
        <f t="shared" ref="AL93:BI93" si="77">AL91/AL$7</f>
        <v>0.1932576924569244</v>
      </c>
      <c r="AM93" s="152">
        <f t="shared" si="77"/>
        <v>0.10493787273430899</v>
      </c>
      <c r="AN93" s="152">
        <f t="shared" si="77"/>
        <v>-1.2401189560663334E-15</v>
      </c>
      <c r="AO93" s="152">
        <f t="shared" si="77"/>
        <v>6.6171950868444992E-16</v>
      </c>
      <c r="AP93" s="152">
        <f t="shared" si="77"/>
        <v>6.6171950868445002E-16</v>
      </c>
      <c r="AQ93" s="152">
        <f t="shared" si="77"/>
        <v>6.6171950868444992E-16</v>
      </c>
      <c r="AR93" s="152">
        <f t="shared" si="77"/>
        <v>6.6171950868445002E-16</v>
      </c>
      <c r="AS93" s="152">
        <f t="shared" si="77"/>
        <v>6.6171950868444992E-16</v>
      </c>
      <c r="AT93" s="152">
        <f t="shared" si="77"/>
        <v>6.6171950868444992E-16</v>
      </c>
      <c r="AU93" s="152">
        <f t="shared" si="77"/>
        <v>6.6171950868444982E-16</v>
      </c>
      <c r="AV93" s="152">
        <f t="shared" si="77"/>
        <v>6.6171950868444972E-16</v>
      </c>
      <c r="AW93" s="152">
        <f t="shared" si="77"/>
        <v>6.4952487199130892E-16</v>
      </c>
      <c r="AX93" s="152">
        <f t="shared" si="77"/>
        <v>6.4474191218186892E-16</v>
      </c>
      <c r="AY93" s="152">
        <f t="shared" si="77"/>
        <v>6.4474191218186901E-16</v>
      </c>
      <c r="AZ93" s="152">
        <f t="shared" si="77"/>
        <v>6.4474191218186911E-16</v>
      </c>
      <c r="BA93" s="152">
        <f t="shared" si="77"/>
        <v>6.4474191218186892E-16</v>
      </c>
      <c r="BB93" s="152">
        <f t="shared" si="77"/>
        <v>6.4474191218186892E-16</v>
      </c>
      <c r="BC93" s="152">
        <f t="shared" si="77"/>
        <v>6.4474191218186892E-16</v>
      </c>
      <c r="BD93" s="152">
        <f t="shared" si="77"/>
        <v>6.4474191218186892E-16</v>
      </c>
      <c r="BE93" s="152">
        <f t="shared" si="77"/>
        <v>6.4474191218186911E-16</v>
      </c>
      <c r="BF93" s="152">
        <f t="shared" si="77"/>
        <v>6.4474191218186911E-16</v>
      </c>
      <c r="BG93" s="152">
        <f t="shared" si="77"/>
        <v>6.4474191218186911E-16</v>
      </c>
      <c r="BH93" s="152">
        <f t="shared" si="77"/>
        <v>6.4474191218186892E-16</v>
      </c>
      <c r="BI93" s="152">
        <f t="shared" si="77"/>
        <v>1.0012248682456627E-14</v>
      </c>
      <c r="BJ93" s="47"/>
      <c r="BK93" s="47"/>
      <c r="BL93" s="47"/>
      <c r="BM93" s="47"/>
    </row>
    <row r="94" spans="1:65">
      <c r="A94" s="47"/>
      <c r="B94" s="47" t="s">
        <v>125</v>
      </c>
      <c r="C94" s="78"/>
      <c r="D94" s="78"/>
      <c r="E94" s="144">
        <f t="shared" ca="1" si="61"/>
        <v>9.7619999999998708E-2</v>
      </c>
      <c r="F94" s="714">
        <f t="shared" ref="F94:AL94" si="78">(F90-F57+F58)</f>
        <v>-34.786526826130789</v>
      </c>
      <c r="G94" s="153">
        <f t="shared" si="78"/>
        <v>2.6708007639612061</v>
      </c>
      <c r="H94" s="153">
        <f t="shared" si="78"/>
        <v>2.4444342012780234</v>
      </c>
      <c r="I94" s="153">
        <f t="shared" si="78"/>
        <v>2.6175054343178275</v>
      </c>
      <c r="J94" s="153">
        <f t="shared" si="78"/>
        <v>3.3598147010257877</v>
      </c>
      <c r="K94" s="153">
        <f t="shared" si="78"/>
        <v>2.7074856635448663</v>
      </c>
      <c r="L94" s="153">
        <f t="shared" si="78"/>
        <v>6.4126857362388829</v>
      </c>
      <c r="M94" s="153">
        <f t="shared" si="78"/>
        <v>6.3131760477728847</v>
      </c>
      <c r="N94" s="153">
        <f t="shared" si="78"/>
        <v>4.2559328036792348</v>
      </c>
      <c r="O94" s="153">
        <f t="shared" si="78"/>
        <v>4.2298681543090151</v>
      </c>
      <c r="P94" s="153">
        <f t="shared" si="78"/>
        <v>4.1997871590428861</v>
      </c>
      <c r="Q94" s="153">
        <f t="shared" si="78"/>
        <v>4.1655039461426302</v>
      </c>
      <c r="R94" s="153">
        <f t="shared" si="78"/>
        <v>4.1268258264747235</v>
      </c>
      <c r="S94" s="153">
        <f t="shared" si="78"/>
        <v>4.0835530679495955</v>
      </c>
      <c r="T94" s="153">
        <f t="shared" si="78"/>
        <v>4.0354786629219568</v>
      </c>
      <c r="U94" s="153">
        <f t="shared" si="78"/>
        <v>3.9823880883406546</v>
      </c>
      <c r="V94" s="153">
        <f t="shared" si="78"/>
        <v>3.9240590584303519</v>
      </c>
      <c r="W94" s="153">
        <f t="shared" si="78"/>
        <v>3.8602612696809508</v>
      </c>
      <c r="X94" s="153">
        <f t="shared" si="78"/>
        <v>3.7907561379141153</v>
      </c>
      <c r="Y94" s="153">
        <f t="shared" si="78"/>
        <v>3.7152965271895315</v>
      </c>
      <c r="Z94" s="153">
        <f t="shared" si="78"/>
        <v>3.6336264703066075</v>
      </c>
      <c r="AA94" s="153">
        <f t="shared" si="78"/>
        <v>3.5454808806501585</v>
      </c>
      <c r="AB94" s="153">
        <f t="shared" si="78"/>
        <v>3.4505852551213216</v>
      </c>
      <c r="AC94" s="153">
        <f t="shared" si="78"/>
        <v>3.3486553678873827</v>
      </c>
      <c r="AD94" s="153">
        <f t="shared" si="78"/>
        <v>1.3779378491219849</v>
      </c>
      <c r="AE94" s="153">
        <f t="shared" si="78"/>
        <v>1.3451724373950644</v>
      </c>
      <c r="AF94" s="153">
        <f t="shared" si="78"/>
        <v>1.3140207637247951</v>
      </c>
      <c r="AG94" s="153">
        <f t="shared" si="78"/>
        <v>1.2804448073969006</v>
      </c>
      <c r="AH94" s="153">
        <f t="shared" si="78"/>
        <v>1.2443421671242847</v>
      </c>
      <c r="AI94" s="153">
        <f t="shared" si="78"/>
        <v>1.2056068201114394</v>
      </c>
      <c r="AJ94" s="153">
        <f t="shared" si="78"/>
        <v>0.97760145745548666</v>
      </c>
      <c r="AK94" s="153">
        <f t="shared" si="78"/>
        <v>0.7232395159471916</v>
      </c>
      <c r="AL94" s="153">
        <f t="shared" si="78"/>
        <v>0.47078803340037378</v>
      </c>
      <c r="AM94" s="153">
        <f t="shared" ref="AM94:BI94" si="79">(AM90-AM57+AM58)</f>
        <v>0.26276608716672062</v>
      </c>
      <c r="AN94" s="153">
        <f t="shared" si="79"/>
        <v>-2.8903847784435741E-15</v>
      </c>
      <c r="AO94" s="153">
        <f t="shared" si="79"/>
        <v>1.5811564774455622E-15</v>
      </c>
      <c r="AP94" s="153">
        <f t="shared" si="79"/>
        <v>1.6210016206771902E-15</v>
      </c>
      <c r="AQ94" s="153">
        <f t="shared" si="79"/>
        <v>1.6618508615182551E-15</v>
      </c>
      <c r="AR94" s="153">
        <f t="shared" si="79"/>
        <v>1.7037295032285151E-15</v>
      </c>
      <c r="AS94" s="153">
        <f t="shared" si="79"/>
        <v>1.7466634867098734E-15</v>
      </c>
      <c r="AT94" s="153">
        <f t="shared" si="79"/>
        <v>1.7906794065749618E-15</v>
      </c>
      <c r="AU94" s="153">
        <f t="shared" si="79"/>
        <v>1.8358045276206507E-15</v>
      </c>
      <c r="AV94" s="153">
        <f t="shared" si="79"/>
        <v>1.8820668017166907E-15</v>
      </c>
      <c r="AW94" s="153">
        <f t="shared" si="79"/>
        <v>1.9294948851199519E-15</v>
      </c>
      <c r="AX94" s="153">
        <f t="shared" si="79"/>
        <v>1.9781181562249738E-15</v>
      </c>
      <c r="AY94" s="153">
        <f t="shared" si="79"/>
        <v>2.0279667337618433E-15</v>
      </c>
      <c r="AZ94" s="153">
        <f t="shared" si="79"/>
        <v>2.0790714954526419E-15</v>
      </c>
      <c r="BA94" s="153">
        <f t="shared" si="79"/>
        <v>2.1314640971380475E-15</v>
      </c>
      <c r="BB94" s="153">
        <f t="shared" si="79"/>
        <v>2.1851769923859263E-15</v>
      </c>
      <c r="BC94" s="153">
        <f t="shared" si="79"/>
        <v>2.2402434525940512E-15</v>
      </c>
      <c r="BD94" s="153">
        <f t="shared" si="79"/>
        <v>2.296697587599421E-15</v>
      </c>
      <c r="BE94" s="153">
        <f t="shared" si="79"/>
        <v>2.3545743668069265E-15</v>
      </c>
      <c r="BF94" s="153">
        <f t="shared" si="79"/>
        <v>2.413909640850461E-15</v>
      </c>
      <c r="BG94" s="153">
        <f t="shared" si="79"/>
        <v>2.4747401637998925E-15</v>
      </c>
      <c r="BH94" s="153">
        <f t="shared" si="79"/>
        <v>2.5371036159276486E-15</v>
      </c>
      <c r="BI94" s="153">
        <f t="shared" si="79"/>
        <v>3.942214882382699E-14</v>
      </c>
      <c r="BJ94" s="47"/>
      <c r="BK94" s="47"/>
      <c r="BL94" s="47"/>
      <c r="BM94" s="47"/>
    </row>
    <row r="95" spans="1:65">
      <c r="A95" s="47"/>
      <c r="B95" s="47" t="s">
        <v>126</v>
      </c>
      <c r="C95" s="47"/>
      <c r="D95" s="47"/>
      <c r="E95" s="1436">
        <f ca="1">IRR(OFFSET(F95,0,0,1,55+1))</f>
        <v>7.0639875146312869E-2</v>
      </c>
      <c r="F95" s="1434">
        <f>F94/F$7</f>
        <v>-34.786526826130789</v>
      </c>
      <c r="G95" s="1435">
        <f t="shared" ref="G95:AK95" si="80">G94/G$7</f>
        <v>2.6051509597748796</v>
      </c>
      <c r="H95" s="1435">
        <f t="shared" si="80"/>
        <v>2.3257399689338847</v>
      </c>
      <c r="I95" s="1435">
        <f t="shared" si="80"/>
        <v>2.429191761003088</v>
      </c>
      <c r="J95" s="1435">
        <f t="shared" si="80"/>
        <v>3.0414517839097392</v>
      </c>
      <c r="K95" s="1435">
        <f t="shared" si="80"/>
        <v>2.3906895219692976</v>
      </c>
      <c r="L95" s="1435">
        <f t="shared" si="80"/>
        <v>5.5231695080403913</v>
      </c>
      <c r="M95" s="1435">
        <f t="shared" si="80"/>
        <v>5.3038070657668852</v>
      </c>
      <c r="N95" s="1435">
        <f t="shared" si="80"/>
        <v>3.4875944849639402</v>
      </c>
      <c r="O95" s="1435">
        <f t="shared" si="80"/>
        <v>3.3810333371035286</v>
      </c>
      <c r="P95" s="1435">
        <f t="shared" si="80"/>
        <v>3.2744721892431161</v>
      </c>
      <c r="Q95" s="1435">
        <f t="shared" si="80"/>
        <v>3.1679110413827019</v>
      </c>
      <c r="R95" s="1435">
        <f t="shared" si="80"/>
        <v>3.0613498935222885</v>
      </c>
      <c r="S95" s="1435">
        <f t="shared" si="80"/>
        <v>2.9547887456618747</v>
      </c>
      <c r="T95" s="1435">
        <f t="shared" si="80"/>
        <v>2.8482275978014608</v>
      </c>
      <c r="U95" s="1435">
        <f t="shared" si="80"/>
        <v>2.7416664499410479</v>
      </c>
      <c r="V95" s="1435">
        <f t="shared" si="80"/>
        <v>2.6351053020806336</v>
      </c>
      <c r="W95" s="1435">
        <f t="shared" si="80"/>
        <v>2.5285441542202198</v>
      </c>
      <c r="X95" s="1435">
        <f t="shared" si="80"/>
        <v>2.4219830063598069</v>
      </c>
      <c r="Y95" s="1435">
        <f t="shared" si="80"/>
        <v>2.3154218584993931</v>
      </c>
      <c r="Z95" s="1435">
        <f t="shared" si="80"/>
        <v>2.2088607106389793</v>
      </c>
      <c r="AA95" s="1435">
        <f t="shared" si="80"/>
        <v>2.1022995627785654</v>
      </c>
      <c r="AB95" s="1435">
        <f t="shared" si="80"/>
        <v>1.9957384149181523</v>
      </c>
      <c r="AC95" s="1435">
        <f t="shared" si="80"/>
        <v>1.8891772670577387</v>
      </c>
      <c r="AD95" s="1435">
        <f t="shared" si="80"/>
        <v>0.7582689789069974</v>
      </c>
      <c r="AE95" s="1435">
        <f t="shared" si="80"/>
        <v>0.72204293390370877</v>
      </c>
      <c r="AF95" s="1435">
        <f t="shared" si="80"/>
        <v>0.68798456125065732</v>
      </c>
      <c r="AG95" s="1435">
        <f t="shared" si="80"/>
        <v>0.65392618859760565</v>
      </c>
      <c r="AH95" s="1435">
        <f t="shared" si="80"/>
        <v>0.6198678159445542</v>
      </c>
      <c r="AI95" s="1435">
        <f t="shared" si="80"/>
        <v>0.58580944329150275</v>
      </c>
      <c r="AJ95" s="1435">
        <f t="shared" si="80"/>
        <v>0.46334439627930596</v>
      </c>
      <c r="AK95" s="1435">
        <f t="shared" si="80"/>
        <v>0.33436100656783263</v>
      </c>
      <c r="AL95" s="1435">
        <f t="shared" ref="AL95:BI95" si="81">AL94/AL$7</f>
        <v>0.21230014702176297</v>
      </c>
      <c r="AM95" s="1435">
        <f t="shared" si="81"/>
        <v>0.11558077339119316</v>
      </c>
      <c r="AN95" s="1435">
        <f t="shared" si="81"/>
        <v>-1.2401189560663334E-15</v>
      </c>
      <c r="AO95" s="1435">
        <f t="shared" si="81"/>
        <v>6.6171950868444992E-16</v>
      </c>
      <c r="AP95" s="1435">
        <f t="shared" si="81"/>
        <v>6.6171950868445002E-16</v>
      </c>
      <c r="AQ95" s="1435">
        <f t="shared" si="81"/>
        <v>6.6171950868444992E-16</v>
      </c>
      <c r="AR95" s="1435">
        <f t="shared" si="81"/>
        <v>6.6171950868445002E-16</v>
      </c>
      <c r="AS95" s="1435">
        <f t="shared" si="81"/>
        <v>6.6171950868444992E-16</v>
      </c>
      <c r="AT95" s="1435">
        <f t="shared" si="81"/>
        <v>6.6171950868444992E-16</v>
      </c>
      <c r="AU95" s="1435">
        <f t="shared" si="81"/>
        <v>6.6171950868444982E-16</v>
      </c>
      <c r="AV95" s="1435">
        <f t="shared" si="81"/>
        <v>6.6171950868444972E-16</v>
      </c>
      <c r="AW95" s="1435">
        <f t="shared" si="81"/>
        <v>6.6171950868445002E-16</v>
      </c>
      <c r="AX95" s="1435">
        <f t="shared" si="81"/>
        <v>6.6171950868444982E-16</v>
      </c>
      <c r="AY95" s="1435">
        <f t="shared" si="81"/>
        <v>6.6171950868444992E-16</v>
      </c>
      <c r="AZ95" s="1435">
        <f t="shared" si="81"/>
        <v>6.6171950868445002E-16</v>
      </c>
      <c r="BA95" s="1435">
        <f t="shared" si="81"/>
        <v>6.6171950868444982E-16</v>
      </c>
      <c r="BB95" s="1435">
        <f t="shared" si="81"/>
        <v>6.6171950868444992E-16</v>
      </c>
      <c r="BC95" s="1435">
        <f t="shared" si="81"/>
        <v>6.6171950868444982E-16</v>
      </c>
      <c r="BD95" s="1435">
        <f t="shared" si="81"/>
        <v>6.6171950868444992E-16</v>
      </c>
      <c r="BE95" s="1435">
        <f t="shared" si="81"/>
        <v>6.6171950868445002E-16</v>
      </c>
      <c r="BF95" s="1435">
        <f t="shared" si="81"/>
        <v>6.6171950868445012E-16</v>
      </c>
      <c r="BG95" s="1435">
        <f t="shared" si="81"/>
        <v>6.6171950868445012E-16</v>
      </c>
      <c r="BH95" s="1435">
        <f t="shared" si="81"/>
        <v>6.6171950868444992E-16</v>
      </c>
      <c r="BI95" s="1435">
        <f t="shared" si="81"/>
        <v>1.0029226278959208E-14</v>
      </c>
      <c r="BJ95" s="47"/>
      <c r="BK95" s="47"/>
      <c r="BL95" s="47"/>
      <c r="BM95" s="47"/>
    </row>
    <row r="96" spans="1:65">
      <c r="A96" s="47"/>
      <c r="B96" s="47"/>
      <c r="C96" s="47"/>
      <c r="D96" s="47"/>
      <c r="E96" s="47"/>
      <c r="F96" s="687"/>
      <c r="G96" s="687"/>
      <c r="H96" s="687"/>
      <c r="I96" s="687"/>
      <c r="J96" s="687"/>
      <c r="K96" s="687"/>
      <c r="L96" s="687"/>
      <c r="M96" s="687"/>
      <c r="N96" s="687"/>
      <c r="O96" s="687"/>
      <c r="P96" s="687"/>
      <c r="Q96" s="687"/>
      <c r="R96" s="687"/>
      <c r="S96" s="687"/>
      <c r="T96" s="687"/>
      <c r="U96" s="687"/>
      <c r="V96" s="687"/>
      <c r="W96" s="687"/>
      <c r="X96" s="687"/>
      <c r="Y96" s="687"/>
      <c r="Z96" s="687"/>
      <c r="AA96" s="687"/>
      <c r="AB96" s="687"/>
      <c r="AC96" s="687"/>
      <c r="AD96" s="687"/>
      <c r="AE96" s="687"/>
      <c r="AF96" s="687"/>
      <c r="AG96" s="687"/>
      <c r="AH96" s="687"/>
      <c r="AI96" s="687"/>
      <c r="AJ96" s="687"/>
      <c r="AK96" s="687"/>
      <c r="AL96" s="687"/>
      <c r="AM96" s="687"/>
      <c r="AN96" s="687"/>
      <c r="AO96" s="687"/>
      <c r="AP96" s="687"/>
      <c r="AQ96" s="687"/>
      <c r="AR96" s="687"/>
      <c r="AS96" s="687"/>
      <c r="AT96" s="687"/>
      <c r="AU96" s="687"/>
      <c r="AV96" s="687"/>
      <c r="AW96" s="687"/>
      <c r="AX96" s="687"/>
      <c r="AY96" s="687"/>
      <c r="AZ96" s="687"/>
      <c r="BA96" s="687"/>
      <c r="BB96" s="687"/>
      <c r="BC96" s="687"/>
      <c r="BD96" s="687"/>
      <c r="BE96" s="687"/>
      <c r="BF96" s="687"/>
      <c r="BG96" s="687"/>
      <c r="BH96" s="687"/>
      <c r="BI96" s="687"/>
      <c r="BJ96" s="47"/>
      <c r="BK96" s="47"/>
      <c r="BL96" s="47"/>
      <c r="BM96" s="47"/>
    </row>
    <row r="97" spans="1:65">
      <c r="A97" s="624"/>
      <c r="B97" s="625" t="s">
        <v>502</v>
      </c>
      <c r="C97" s="624"/>
      <c r="D97" s="624"/>
      <c r="E97" s="624"/>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c r="AG97" s="707"/>
      <c r="AH97" s="707"/>
      <c r="AI97" s="707"/>
      <c r="AJ97" s="707"/>
      <c r="AK97" s="707"/>
      <c r="AL97" s="707"/>
      <c r="AM97" s="707"/>
      <c r="AN97" s="707"/>
      <c r="AO97" s="707"/>
      <c r="AP97" s="707"/>
      <c r="AQ97" s="707"/>
      <c r="AR97" s="707"/>
      <c r="AS97" s="707"/>
      <c r="AT97" s="707"/>
      <c r="AU97" s="707"/>
      <c r="AV97" s="707"/>
      <c r="AW97" s="707"/>
      <c r="AX97" s="707"/>
      <c r="AY97" s="707"/>
      <c r="AZ97" s="707"/>
      <c r="BA97" s="707"/>
      <c r="BB97" s="707"/>
      <c r="BC97" s="707"/>
      <c r="BD97" s="707"/>
      <c r="BE97" s="707"/>
      <c r="BF97" s="707"/>
      <c r="BG97" s="707"/>
      <c r="BH97" s="707"/>
      <c r="BI97" s="707"/>
      <c r="BJ97" s="624"/>
      <c r="BK97" s="47"/>
      <c r="BL97" s="47"/>
      <c r="BM97" s="47"/>
    </row>
    <row r="98" spans="1:65">
      <c r="A98" s="47"/>
      <c r="B98" s="52"/>
      <c r="C98" s="47"/>
      <c r="D98" s="47"/>
      <c r="E98" s="47"/>
      <c r="F98" s="687"/>
      <c r="G98" s="687"/>
      <c r="H98" s="687"/>
      <c r="I98" s="687"/>
      <c r="J98" s="687"/>
      <c r="K98" s="687"/>
      <c r="L98" s="687"/>
      <c r="M98" s="687"/>
      <c r="N98" s="687"/>
      <c r="O98" s="687"/>
      <c r="P98" s="687"/>
      <c r="Q98" s="687"/>
      <c r="R98" s="687"/>
      <c r="S98" s="687"/>
      <c r="T98" s="687"/>
      <c r="U98" s="687"/>
      <c r="V98" s="687"/>
      <c r="W98" s="687"/>
      <c r="X98" s="687"/>
      <c r="Y98" s="687"/>
      <c r="Z98" s="687"/>
      <c r="AA98" s="687"/>
      <c r="AB98" s="687"/>
      <c r="AC98" s="687"/>
      <c r="AD98" s="687"/>
      <c r="AE98" s="687"/>
      <c r="AF98" s="687"/>
      <c r="AG98" s="687"/>
      <c r="AH98" s="687"/>
      <c r="AI98" s="687"/>
      <c r="AJ98" s="687"/>
      <c r="AK98" s="687"/>
      <c r="AL98" s="687"/>
      <c r="AM98" s="687"/>
      <c r="AN98" s="687"/>
      <c r="AO98" s="687"/>
      <c r="AP98" s="687"/>
      <c r="AQ98" s="687"/>
      <c r="AR98" s="687"/>
      <c r="AS98" s="687"/>
      <c r="AT98" s="687"/>
      <c r="AU98" s="687"/>
      <c r="AV98" s="687"/>
      <c r="AW98" s="687"/>
      <c r="AX98" s="687"/>
      <c r="AY98" s="687"/>
      <c r="AZ98" s="687"/>
      <c r="BA98" s="687"/>
      <c r="BB98" s="687"/>
      <c r="BC98" s="687"/>
      <c r="BD98" s="687"/>
      <c r="BE98" s="687"/>
      <c r="BF98" s="687"/>
      <c r="BG98" s="687"/>
      <c r="BH98" s="687"/>
      <c r="BI98" s="687"/>
      <c r="BJ98" s="47"/>
      <c r="BK98" s="47"/>
      <c r="BL98" s="47"/>
      <c r="BM98" s="47"/>
    </row>
    <row r="99" spans="1:65">
      <c r="A99" s="47"/>
      <c r="B99" s="52" t="s">
        <v>411</v>
      </c>
      <c r="C99" s="47"/>
      <c r="D99" s="47"/>
      <c r="E99" s="47"/>
      <c r="F99" s="687"/>
      <c r="G99" s="687"/>
      <c r="H99" s="687"/>
      <c r="I99" s="687"/>
      <c r="J99" s="687"/>
      <c r="K99" s="687"/>
      <c r="L99" s="687"/>
      <c r="M99" s="687"/>
      <c r="N99" s="687"/>
      <c r="O99" s="687"/>
      <c r="P99" s="687"/>
      <c r="Q99" s="687"/>
      <c r="R99" s="687"/>
      <c r="S99" s="687"/>
      <c r="T99" s="687"/>
      <c r="U99" s="687"/>
      <c r="V99" s="687"/>
      <c r="W99" s="687"/>
      <c r="X99" s="687"/>
      <c r="Y99" s="687"/>
      <c r="Z99" s="687"/>
      <c r="AA99" s="687"/>
      <c r="AB99" s="687"/>
      <c r="AC99" s="687"/>
      <c r="AD99" s="687"/>
      <c r="AE99" s="687"/>
      <c r="AF99" s="687"/>
      <c r="AG99" s="687"/>
      <c r="AH99" s="687"/>
      <c r="AI99" s="687"/>
      <c r="AJ99" s="687"/>
      <c r="AK99" s="687"/>
      <c r="AL99" s="687"/>
      <c r="AM99" s="687"/>
      <c r="AN99" s="687"/>
      <c r="AO99" s="687"/>
      <c r="AP99" s="687"/>
      <c r="AQ99" s="687"/>
      <c r="AR99" s="687"/>
      <c r="AS99" s="687"/>
      <c r="AT99" s="687"/>
      <c r="AU99" s="687"/>
      <c r="AV99" s="687"/>
      <c r="AW99" s="687"/>
      <c r="AX99" s="687"/>
      <c r="AY99" s="687"/>
      <c r="AZ99" s="687"/>
      <c r="BA99" s="687"/>
      <c r="BB99" s="687"/>
      <c r="BC99" s="687"/>
      <c r="BD99" s="687"/>
      <c r="BE99" s="687"/>
      <c r="BF99" s="687"/>
      <c r="BG99" s="687"/>
      <c r="BH99" s="687"/>
      <c r="BI99" s="687"/>
      <c r="BJ99" s="47"/>
      <c r="BK99" s="47"/>
      <c r="BL99" s="47"/>
      <c r="BM99" s="47"/>
    </row>
    <row r="100" spans="1:65" s="61" customFormat="1">
      <c r="A100" s="52"/>
      <c r="B100" s="627" t="s">
        <v>580</v>
      </c>
      <c r="C100" s="52"/>
      <c r="D100" s="52"/>
      <c r="E100" s="623"/>
      <c r="F100" s="711"/>
      <c r="G100" s="626">
        <f t="shared" ref="G100:AL100" si="82">MAX(0,(G25+G26+G28+G30+G40-G46-G47-G48+F56)*G53/(1-(1-$D$35)*G53))</f>
        <v>2.4381000188898425</v>
      </c>
      <c r="H100" s="626">
        <f t="shared" si="82"/>
        <v>2.1771601714874147</v>
      </c>
      <c r="I100" s="626">
        <f t="shared" si="82"/>
        <v>1.7120727666826436</v>
      </c>
      <c r="J100" s="626">
        <f t="shared" si="82"/>
        <v>1.9595439226958675</v>
      </c>
      <c r="K100" s="626">
        <f t="shared" si="82"/>
        <v>1.2020707764762222</v>
      </c>
      <c r="L100" s="626">
        <f t="shared" si="82"/>
        <v>0.31192254768812167</v>
      </c>
      <c r="M100" s="626">
        <f t="shared" si="82"/>
        <v>0.32755657097943541</v>
      </c>
      <c r="N100" s="626">
        <f t="shared" si="82"/>
        <v>0</v>
      </c>
      <c r="O100" s="626">
        <f t="shared" si="82"/>
        <v>0</v>
      </c>
      <c r="P100" s="626">
        <f t="shared" si="82"/>
        <v>0</v>
      </c>
      <c r="Q100" s="626">
        <f t="shared" si="82"/>
        <v>0</v>
      </c>
      <c r="R100" s="626">
        <f t="shared" si="82"/>
        <v>0</v>
      </c>
      <c r="S100" s="626">
        <f t="shared" si="82"/>
        <v>0</v>
      </c>
      <c r="T100" s="626">
        <f t="shared" si="82"/>
        <v>0</v>
      </c>
      <c r="U100" s="626">
        <f t="shared" si="82"/>
        <v>0</v>
      </c>
      <c r="V100" s="626">
        <f t="shared" si="82"/>
        <v>0</v>
      </c>
      <c r="W100" s="626">
        <f t="shared" si="82"/>
        <v>0</v>
      </c>
      <c r="X100" s="626">
        <f t="shared" si="82"/>
        <v>0.43086380296847943</v>
      </c>
      <c r="Y100" s="626">
        <f t="shared" si="82"/>
        <v>0.764354564439511</v>
      </c>
      <c r="Z100" s="626">
        <f t="shared" si="82"/>
        <v>0.9375963942315807</v>
      </c>
      <c r="AA100" s="626">
        <f t="shared" si="82"/>
        <v>1.0875739963718964</v>
      </c>
      <c r="AB100" s="626">
        <f t="shared" si="82"/>
        <v>1.096072656363642</v>
      </c>
      <c r="AC100" s="626">
        <f t="shared" si="82"/>
        <v>1.1043089958283152</v>
      </c>
      <c r="AD100" s="626">
        <f t="shared" si="82"/>
        <v>0.39169958176897302</v>
      </c>
      <c r="AE100" s="626">
        <f t="shared" si="82"/>
        <v>0.39357115859496233</v>
      </c>
      <c r="AF100" s="626">
        <f t="shared" si="82"/>
        <v>0.39681325384902438</v>
      </c>
      <c r="AG100" s="626">
        <f t="shared" si="82"/>
        <v>0.39996881727533706</v>
      </c>
      <c r="AH100" s="626">
        <f t="shared" si="82"/>
        <v>0.40303142880961146</v>
      </c>
      <c r="AI100" s="626">
        <f t="shared" si="82"/>
        <v>0.40599439976749091</v>
      </c>
      <c r="AJ100" s="626">
        <f t="shared" si="82"/>
        <v>0.33664655160096085</v>
      </c>
      <c r="AK100" s="626">
        <f t="shared" si="82"/>
        <v>0.25424517007689751</v>
      </c>
      <c r="AL100" s="626">
        <f t="shared" si="82"/>
        <v>0.16891104149404693</v>
      </c>
      <c r="AM100" s="626">
        <f t="shared" ref="AM100:BI100" si="83">MAX(0,(AM25+AM26+AM28+AM30+AM40-AM46-AM47-AM48+AL56)*AM53/(1-(1-$D$35)*AM53))</f>
        <v>9.6784033526000388E-2</v>
      </c>
      <c r="AN100" s="626">
        <f t="shared" si="83"/>
        <v>0</v>
      </c>
      <c r="AO100" s="626">
        <f t="shared" si="83"/>
        <v>0</v>
      </c>
      <c r="AP100" s="626">
        <f t="shared" si="83"/>
        <v>0</v>
      </c>
      <c r="AQ100" s="626">
        <f t="shared" si="83"/>
        <v>0</v>
      </c>
      <c r="AR100" s="626">
        <f t="shared" si="83"/>
        <v>0</v>
      </c>
      <c r="AS100" s="626">
        <f t="shared" si="83"/>
        <v>0</v>
      </c>
      <c r="AT100" s="626">
        <f t="shared" si="83"/>
        <v>0</v>
      </c>
      <c r="AU100" s="626">
        <f t="shared" si="83"/>
        <v>0</v>
      </c>
      <c r="AV100" s="626">
        <f t="shared" si="83"/>
        <v>0</v>
      </c>
      <c r="AW100" s="626">
        <f t="shared" si="83"/>
        <v>1.422324040111209E-16</v>
      </c>
      <c r="AX100" s="626">
        <f t="shared" si="83"/>
        <v>2.0300862495400213E-16</v>
      </c>
      <c r="AY100" s="626">
        <f t="shared" si="83"/>
        <v>2.0812444230284311E-16</v>
      </c>
      <c r="AZ100" s="626">
        <f t="shared" si="83"/>
        <v>2.1336917824887478E-16</v>
      </c>
      <c r="BA100" s="626">
        <f t="shared" si="83"/>
        <v>2.1874608154074624E-16</v>
      </c>
      <c r="BB100" s="626">
        <f t="shared" si="83"/>
        <v>2.2425848279557296E-16</v>
      </c>
      <c r="BC100" s="626">
        <f t="shared" si="83"/>
        <v>2.2990979656202142E-16</v>
      </c>
      <c r="BD100" s="626">
        <f t="shared" si="83"/>
        <v>2.3570352343538434E-16</v>
      </c>
      <c r="BE100" s="626">
        <f t="shared" si="83"/>
        <v>2.4164325222595606E-16</v>
      </c>
      <c r="BF100" s="626">
        <f t="shared" si="83"/>
        <v>2.477326621820502E-16</v>
      </c>
      <c r="BG100" s="626">
        <f t="shared" si="83"/>
        <v>2.5397552526903786E-16</v>
      </c>
      <c r="BH100" s="626">
        <f t="shared" si="83"/>
        <v>2.6037570850581746E-16</v>
      </c>
      <c r="BI100" s="626">
        <f t="shared" si="83"/>
        <v>2.6693717636016395E-16</v>
      </c>
      <c r="BJ100" s="52"/>
      <c r="BK100" s="52"/>
      <c r="BL100" s="77"/>
      <c r="BM100" s="77"/>
    </row>
    <row r="101" spans="1:65" s="16" customFormat="1" ht="13.5" customHeight="1">
      <c r="A101" s="43"/>
      <c r="B101" s="627" t="s">
        <v>406</v>
      </c>
      <c r="C101" s="43"/>
      <c r="D101" s="43"/>
      <c r="E101" s="622"/>
      <c r="F101" s="81"/>
      <c r="G101" s="494">
        <f>-$D$35*G100</f>
        <v>-0.60952500472246063</v>
      </c>
      <c r="H101" s="494">
        <f t="shared" ref="H101:BI101" si="84">-$D$35*H100</f>
        <v>-0.54429004287185367</v>
      </c>
      <c r="I101" s="494">
        <f t="shared" si="84"/>
        <v>-0.42801819167066091</v>
      </c>
      <c r="J101" s="494">
        <f t="shared" si="84"/>
        <v>-0.48988598067396688</v>
      </c>
      <c r="K101" s="494">
        <f t="shared" si="84"/>
        <v>-0.30051769411905555</v>
      </c>
      <c r="L101" s="494">
        <f t="shared" si="84"/>
        <v>-7.7980636922030416E-2</v>
      </c>
      <c r="M101" s="494">
        <f t="shared" si="84"/>
        <v>-8.1889142744858853E-2</v>
      </c>
      <c r="N101" s="494">
        <f t="shared" si="84"/>
        <v>0</v>
      </c>
      <c r="O101" s="494">
        <f t="shared" si="84"/>
        <v>0</v>
      </c>
      <c r="P101" s="494">
        <f t="shared" si="84"/>
        <v>0</v>
      </c>
      <c r="Q101" s="494">
        <f t="shared" si="84"/>
        <v>0</v>
      </c>
      <c r="R101" s="494">
        <f t="shared" si="84"/>
        <v>0</v>
      </c>
      <c r="S101" s="494">
        <f t="shared" si="84"/>
        <v>0</v>
      </c>
      <c r="T101" s="494">
        <f t="shared" si="84"/>
        <v>0</v>
      </c>
      <c r="U101" s="494">
        <f t="shared" si="84"/>
        <v>0</v>
      </c>
      <c r="V101" s="494">
        <f t="shared" si="84"/>
        <v>0</v>
      </c>
      <c r="W101" s="494">
        <f t="shared" si="84"/>
        <v>0</v>
      </c>
      <c r="X101" s="494">
        <f t="shared" si="84"/>
        <v>-0.10771595074211986</v>
      </c>
      <c r="Y101" s="494">
        <f t="shared" si="84"/>
        <v>-0.19108864110987775</v>
      </c>
      <c r="Z101" s="494">
        <f t="shared" si="84"/>
        <v>-0.23439909855789517</v>
      </c>
      <c r="AA101" s="494">
        <f t="shared" si="84"/>
        <v>-0.27189349909297411</v>
      </c>
      <c r="AB101" s="494">
        <f t="shared" si="84"/>
        <v>-0.27401816409091051</v>
      </c>
      <c r="AC101" s="494">
        <f t="shared" si="84"/>
        <v>-0.2760772489570788</v>
      </c>
      <c r="AD101" s="494">
        <f t="shared" si="84"/>
        <v>-9.7924895442243254E-2</v>
      </c>
      <c r="AE101" s="494">
        <f t="shared" si="84"/>
        <v>-9.8392789648740583E-2</v>
      </c>
      <c r="AF101" s="494">
        <f t="shared" si="84"/>
        <v>-9.9203313462256096E-2</v>
      </c>
      <c r="AG101" s="494">
        <f t="shared" si="84"/>
        <v>-9.9992204318834266E-2</v>
      </c>
      <c r="AH101" s="494">
        <f t="shared" si="84"/>
        <v>-0.10075785720240286</v>
      </c>
      <c r="AI101" s="494">
        <f t="shared" si="84"/>
        <v>-0.10149859994187273</v>
      </c>
      <c r="AJ101" s="494">
        <f t="shared" si="84"/>
        <v>-8.4161637900240213E-2</v>
      </c>
      <c r="AK101" s="494">
        <f t="shared" si="84"/>
        <v>-6.3561292519224377E-2</v>
      </c>
      <c r="AL101" s="494">
        <f t="shared" si="84"/>
        <v>-4.2227760373511732E-2</v>
      </c>
      <c r="AM101" s="494">
        <f t="shared" si="84"/>
        <v>-2.4196008381500097E-2</v>
      </c>
      <c r="AN101" s="494">
        <f t="shared" si="84"/>
        <v>0</v>
      </c>
      <c r="AO101" s="494">
        <f t="shared" si="84"/>
        <v>0</v>
      </c>
      <c r="AP101" s="494">
        <f t="shared" si="84"/>
        <v>0</v>
      </c>
      <c r="AQ101" s="494">
        <f t="shared" si="84"/>
        <v>0</v>
      </c>
      <c r="AR101" s="494">
        <f t="shared" si="84"/>
        <v>0</v>
      </c>
      <c r="AS101" s="494">
        <f t="shared" si="84"/>
        <v>0</v>
      </c>
      <c r="AT101" s="494">
        <f t="shared" si="84"/>
        <v>0</v>
      </c>
      <c r="AU101" s="494">
        <f t="shared" si="84"/>
        <v>0</v>
      </c>
      <c r="AV101" s="494">
        <f t="shared" si="84"/>
        <v>0</v>
      </c>
      <c r="AW101" s="494">
        <f t="shared" si="84"/>
        <v>-3.5558101002780226E-17</v>
      </c>
      <c r="AX101" s="494">
        <f t="shared" si="84"/>
        <v>-5.0752156238500533E-17</v>
      </c>
      <c r="AY101" s="494">
        <f t="shared" si="84"/>
        <v>-5.2031110575710777E-17</v>
      </c>
      <c r="AZ101" s="494">
        <f t="shared" si="84"/>
        <v>-5.3342294562218696E-17</v>
      </c>
      <c r="BA101" s="494">
        <f t="shared" si="84"/>
        <v>-5.4686520385186561E-17</v>
      </c>
      <c r="BB101" s="494">
        <f t="shared" si="84"/>
        <v>-5.6064620698893241E-17</v>
      </c>
      <c r="BC101" s="494">
        <f t="shared" si="84"/>
        <v>-5.7477449140505354E-17</v>
      </c>
      <c r="BD101" s="494">
        <f t="shared" si="84"/>
        <v>-5.8925880858846086E-17</v>
      </c>
      <c r="BE101" s="494">
        <f t="shared" si="84"/>
        <v>-6.0410813056489014E-17</v>
      </c>
      <c r="BF101" s="494">
        <f t="shared" si="84"/>
        <v>-6.193316554551255E-17</v>
      </c>
      <c r="BG101" s="494">
        <f t="shared" si="84"/>
        <v>-6.3493881317259465E-17</v>
      </c>
      <c r="BH101" s="494">
        <f t="shared" si="84"/>
        <v>-6.5093927126454365E-17</v>
      </c>
      <c r="BI101" s="494">
        <f t="shared" si="84"/>
        <v>-6.6734294090040988E-17</v>
      </c>
      <c r="BJ101" s="43"/>
      <c r="BK101" s="43"/>
      <c r="BL101" s="69"/>
      <c r="BM101" s="69"/>
    </row>
    <row r="102" spans="1:65" s="16" customFormat="1" ht="13.5" customHeight="1">
      <c r="A102" s="43"/>
      <c r="B102" s="628" t="s">
        <v>405</v>
      </c>
      <c r="C102" s="43"/>
      <c r="D102" s="43"/>
      <c r="E102" s="622"/>
      <c r="F102" s="81"/>
      <c r="G102" s="494">
        <f>SUM(G25:G30)+SUM(G100:G101)</f>
        <v>12.585327029005274</v>
      </c>
      <c r="H102" s="494">
        <f t="shared" ref="H102:BI102" si="85">SUM(H25:H30)+SUM(H100:H101)</f>
        <v>13.140161558741951</v>
      </c>
      <c r="I102" s="494">
        <f t="shared" si="85"/>
        <v>13.864930915668488</v>
      </c>
      <c r="J102" s="494">
        <f t="shared" si="85"/>
        <v>15.111304055194122</v>
      </c>
      <c r="K102" s="494">
        <f t="shared" si="85"/>
        <v>15.115268073675859</v>
      </c>
      <c r="L102" s="494">
        <f t="shared" si="85"/>
        <v>6.6466276470049745</v>
      </c>
      <c r="M102" s="494">
        <f t="shared" si="85"/>
        <v>6.5588434760074614</v>
      </c>
      <c r="N102" s="494">
        <f t="shared" si="85"/>
        <v>4.2559328036792348</v>
      </c>
      <c r="O102" s="494">
        <f t="shared" si="85"/>
        <v>4.2298681543090151</v>
      </c>
      <c r="P102" s="494">
        <f t="shared" si="85"/>
        <v>4.1997871590428861</v>
      </c>
      <c r="Q102" s="494">
        <f t="shared" si="85"/>
        <v>4.1655039461426302</v>
      </c>
      <c r="R102" s="494">
        <f t="shared" si="85"/>
        <v>4.1268258264747235</v>
      </c>
      <c r="S102" s="494">
        <f t="shared" si="85"/>
        <v>4.0835530679495955</v>
      </c>
      <c r="T102" s="494">
        <f t="shared" si="85"/>
        <v>4.0354786629219568</v>
      </c>
      <c r="U102" s="494">
        <f t="shared" si="85"/>
        <v>3.9823880883406546</v>
      </c>
      <c r="V102" s="494">
        <f t="shared" si="85"/>
        <v>3.9240590584303519</v>
      </c>
      <c r="W102" s="494">
        <f t="shared" si="85"/>
        <v>3.8602612696809508</v>
      </c>
      <c r="X102" s="494">
        <f t="shared" si="85"/>
        <v>4.1139039901404741</v>
      </c>
      <c r="Y102" s="494">
        <f t="shared" si="85"/>
        <v>4.2885624505191648</v>
      </c>
      <c r="Z102" s="494">
        <f t="shared" si="85"/>
        <v>4.3368237659802933</v>
      </c>
      <c r="AA102" s="494">
        <f t="shared" si="85"/>
        <v>4.361161377929081</v>
      </c>
      <c r="AB102" s="494">
        <f t="shared" si="85"/>
        <v>4.2726397473940532</v>
      </c>
      <c r="AC102" s="494">
        <f t="shared" si="85"/>
        <v>4.1768871147586193</v>
      </c>
      <c r="AD102" s="494">
        <f t="shared" si="85"/>
        <v>1.6717125354487146</v>
      </c>
      <c r="AE102" s="494">
        <f t="shared" si="85"/>
        <v>1.6403508063412862</v>
      </c>
      <c r="AF102" s="494">
        <f t="shared" si="85"/>
        <v>1.6116307041115634</v>
      </c>
      <c r="AG102" s="494">
        <f t="shared" si="85"/>
        <v>1.5804214203534035</v>
      </c>
      <c r="AH102" s="494">
        <f t="shared" si="85"/>
        <v>1.5466157387314934</v>
      </c>
      <c r="AI102" s="494">
        <f t="shared" si="85"/>
        <v>1.5101026199370577</v>
      </c>
      <c r="AJ102" s="494">
        <f t="shared" si="85"/>
        <v>1.2300863711562071</v>
      </c>
      <c r="AK102" s="494">
        <f t="shared" si="85"/>
        <v>0.91392339350486473</v>
      </c>
      <c r="AL102" s="494">
        <f t="shared" si="85"/>
        <v>0.59747131452090896</v>
      </c>
      <c r="AM102" s="494">
        <f t="shared" si="85"/>
        <v>0.33535411231122092</v>
      </c>
      <c r="AN102" s="494">
        <f t="shared" si="85"/>
        <v>-2.8903847784435741E-15</v>
      </c>
      <c r="AO102" s="494">
        <f t="shared" si="85"/>
        <v>1.5811564774455622E-15</v>
      </c>
      <c r="AP102" s="494">
        <f t="shared" si="85"/>
        <v>1.6210016206771902E-15</v>
      </c>
      <c r="AQ102" s="494">
        <f t="shared" si="85"/>
        <v>1.6618508615182551E-15</v>
      </c>
      <c r="AR102" s="494">
        <f t="shared" si="85"/>
        <v>1.7037295032285151E-15</v>
      </c>
      <c r="AS102" s="494">
        <f t="shared" si="85"/>
        <v>1.7466634867098734E-15</v>
      </c>
      <c r="AT102" s="494">
        <f t="shared" si="85"/>
        <v>1.7906794065749618E-15</v>
      </c>
      <c r="AU102" s="494">
        <f t="shared" si="85"/>
        <v>1.8358045276206507E-15</v>
      </c>
      <c r="AV102" s="494">
        <f t="shared" si="85"/>
        <v>1.8820668017166907E-15</v>
      </c>
      <c r="AW102" s="494">
        <f t="shared" si="85"/>
        <v>2.0361691881282925E-15</v>
      </c>
      <c r="AX102" s="494">
        <f t="shared" si="85"/>
        <v>2.1303746249404756E-15</v>
      </c>
      <c r="AY102" s="494">
        <f t="shared" si="85"/>
        <v>2.1840600654889757E-15</v>
      </c>
      <c r="AZ102" s="494">
        <f t="shared" si="85"/>
        <v>2.2390983791392979E-15</v>
      </c>
      <c r="BA102" s="494">
        <f t="shared" si="85"/>
        <v>2.2955236582936071E-15</v>
      </c>
      <c r="BB102" s="494">
        <f t="shared" si="85"/>
        <v>2.3533708544826059E-15</v>
      </c>
      <c r="BC102" s="494">
        <f t="shared" si="85"/>
        <v>2.4126758000155673E-15</v>
      </c>
      <c r="BD102" s="494">
        <f t="shared" si="85"/>
        <v>2.4734752301759592E-15</v>
      </c>
      <c r="BE102" s="494">
        <f t="shared" si="85"/>
        <v>2.5358068059763935E-15</v>
      </c>
      <c r="BF102" s="494">
        <f t="shared" si="85"/>
        <v>2.5997091374869987E-15</v>
      </c>
      <c r="BG102" s="494">
        <f t="shared" si="85"/>
        <v>2.6652218077516707E-15</v>
      </c>
      <c r="BH102" s="494">
        <f t="shared" si="85"/>
        <v>2.7323853973070117E-15</v>
      </c>
      <c r="BI102" s="494">
        <f t="shared" si="85"/>
        <v>2.8012415093191482E-15</v>
      </c>
      <c r="BJ102" s="43"/>
      <c r="BK102" s="43"/>
      <c r="BL102" s="69"/>
      <c r="BM102" s="69"/>
    </row>
    <row r="103" spans="1:65" s="16" customFormat="1" ht="13.5" customHeight="1">
      <c r="A103" s="43"/>
      <c r="B103" s="627" t="s">
        <v>410</v>
      </c>
      <c r="C103" s="43"/>
      <c r="D103" s="43"/>
      <c r="E103" s="622"/>
      <c r="F103" s="81"/>
      <c r="G103" s="494">
        <f>G102+G40-G46-G47-G48</f>
        <v>8.1270000629661414</v>
      </c>
      <c r="H103" s="494">
        <f t="shared" ref="H103:BI103" si="86">H102+H40-H46-H47-H48</f>
        <v>7.2572005716247201</v>
      </c>
      <c r="I103" s="494">
        <f t="shared" si="86"/>
        <v>5.7069092222754767</v>
      </c>
      <c r="J103" s="494">
        <f t="shared" si="86"/>
        <v>6.5318130756528872</v>
      </c>
      <c r="K103" s="494">
        <f t="shared" si="86"/>
        <v>4.0069025882540723</v>
      </c>
      <c r="L103" s="494">
        <f t="shared" si="86"/>
        <v>1.0397418256270727</v>
      </c>
      <c r="M103" s="494">
        <f t="shared" si="86"/>
        <v>1.0918552365981185</v>
      </c>
      <c r="N103" s="494">
        <f t="shared" si="86"/>
        <v>-1.0627969574299392</v>
      </c>
      <c r="O103" s="494">
        <f t="shared" si="86"/>
        <v>-1.0356166212989919</v>
      </c>
      <c r="P103" s="494">
        <f t="shared" si="86"/>
        <v>-1.0086420162188132</v>
      </c>
      <c r="Q103" s="494">
        <f t="shared" si="86"/>
        <v>-0.98190077163501766</v>
      </c>
      <c r="R103" s="494">
        <f t="shared" si="86"/>
        <v>0.38113547420756144</v>
      </c>
      <c r="S103" s="494">
        <f t="shared" si="86"/>
        <v>0.51191675613713006</v>
      </c>
      <c r="T103" s="494">
        <f t="shared" si="86"/>
        <v>0.53777929200835395</v>
      </c>
      <c r="U103" s="494">
        <f t="shared" si="86"/>
        <v>0.5632848626608904</v>
      </c>
      <c r="V103" s="494">
        <f t="shared" si="86"/>
        <v>0.58839905330293663</v>
      </c>
      <c r="W103" s="494">
        <f t="shared" si="86"/>
        <v>1.0687504057941519</v>
      </c>
      <c r="X103" s="494">
        <f t="shared" si="86"/>
        <v>1.8739031990333357</v>
      </c>
      <c r="Y103" s="494">
        <f t="shared" si="86"/>
        <v>2.5478485481317033</v>
      </c>
      <c r="Z103" s="494">
        <f t="shared" si="86"/>
        <v>3.1253213141052694</v>
      </c>
      <c r="AA103" s="494">
        <f t="shared" si="86"/>
        <v>3.625246654572988</v>
      </c>
      <c r="AB103" s="494">
        <f t="shared" si="86"/>
        <v>3.6535755212121401</v>
      </c>
      <c r="AC103" s="494">
        <f t="shared" si="86"/>
        <v>3.6810299860943845</v>
      </c>
      <c r="AD103" s="494">
        <f t="shared" si="86"/>
        <v>1.3056652725632438</v>
      </c>
      <c r="AE103" s="494">
        <f t="shared" si="86"/>
        <v>1.3119038619832077</v>
      </c>
      <c r="AF103" s="494">
        <f t="shared" si="86"/>
        <v>1.3227108461634147</v>
      </c>
      <c r="AG103" s="494">
        <f t="shared" si="86"/>
        <v>1.3332293909177901</v>
      </c>
      <c r="AH103" s="494">
        <f t="shared" si="86"/>
        <v>1.3434380960320385</v>
      </c>
      <c r="AI103" s="494">
        <f t="shared" si="86"/>
        <v>1.3533146658916366</v>
      </c>
      <c r="AJ103" s="494">
        <f t="shared" si="86"/>
        <v>1.1221551720032028</v>
      </c>
      <c r="AK103" s="494">
        <f t="shared" si="86"/>
        <v>0.84748390025632503</v>
      </c>
      <c r="AL103" s="494">
        <f t="shared" si="86"/>
        <v>0.5630368049801564</v>
      </c>
      <c r="AM103" s="494">
        <f t="shared" si="86"/>
        <v>0.322613445086668</v>
      </c>
      <c r="AN103" s="494">
        <f t="shared" si="86"/>
        <v>-3.8088572777039926E-15</v>
      </c>
      <c r="AO103" s="494">
        <f t="shared" si="86"/>
        <v>4.1919641489857481E-16</v>
      </c>
      <c r="AP103" s="494">
        <f t="shared" si="86"/>
        <v>4.2976016455401894E-16</v>
      </c>
      <c r="AQ103" s="494">
        <f t="shared" si="86"/>
        <v>4.4059012070078035E-16</v>
      </c>
      <c r="AR103" s="494">
        <f t="shared" si="86"/>
        <v>4.5169299174244001E-16</v>
      </c>
      <c r="AS103" s="494">
        <f t="shared" si="86"/>
        <v>4.6307565513434934E-16</v>
      </c>
      <c r="AT103" s="494">
        <f t="shared" si="86"/>
        <v>4.7474516164373444E-16</v>
      </c>
      <c r="AU103" s="494">
        <f t="shared" si="86"/>
        <v>4.8670873971715669E-16</v>
      </c>
      <c r="AV103" s="494">
        <f t="shared" si="86"/>
        <v>4.9897379995802886E-16</v>
      </c>
      <c r="AW103" s="494">
        <f t="shared" si="86"/>
        <v>6.1822224272531209E-16</v>
      </c>
      <c r="AX103" s="494">
        <f t="shared" si="86"/>
        <v>6.7669541651334067E-16</v>
      </c>
      <c r="AY103" s="494">
        <f t="shared" si="86"/>
        <v>6.9374814100947712E-16</v>
      </c>
      <c r="AZ103" s="494">
        <f t="shared" si="86"/>
        <v>7.1123059416291584E-16</v>
      </c>
      <c r="BA103" s="494">
        <f t="shared" si="86"/>
        <v>7.2915360513582071E-16</v>
      </c>
      <c r="BB103" s="494">
        <f t="shared" si="86"/>
        <v>7.4752827598524315E-16</v>
      </c>
      <c r="BC103" s="494">
        <f t="shared" si="86"/>
        <v>7.6636598854007149E-16</v>
      </c>
      <c r="BD103" s="494">
        <f t="shared" si="86"/>
        <v>7.8567841145128108E-16</v>
      </c>
      <c r="BE103" s="494">
        <f t="shared" si="86"/>
        <v>8.0547750741985359E-16</v>
      </c>
      <c r="BF103" s="494">
        <f t="shared" si="86"/>
        <v>8.257755406068342E-16</v>
      </c>
      <c r="BG103" s="494">
        <f t="shared" si="86"/>
        <v>8.465850842301261E-16</v>
      </c>
      <c r="BH103" s="494">
        <f t="shared" si="86"/>
        <v>8.67919028352725E-16</v>
      </c>
      <c r="BI103" s="494">
        <f t="shared" si="86"/>
        <v>8.8979058786721327E-16</v>
      </c>
      <c r="BJ103" s="43"/>
      <c r="BK103" s="43"/>
      <c r="BL103" s="69"/>
      <c r="BM103" s="69"/>
    </row>
    <row r="104" spans="1:65" s="16" customFormat="1" ht="13.5" customHeight="1">
      <c r="A104" s="43"/>
      <c r="B104" s="627" t="s">
        <v>407</v>
      </c>
      <c r="C104" s="43"/>
      <c r="D104" s="43"/>
      <c r="E104" s="622"/>
      <c r="F104" s="81"/>
      <c r="G104" s="630">
        <f>F106+G103</f>
        <v>8.1270000629661414</v>
      </c>
      <c r="H104" s="630">
        <f t="shared" ref="H104:BI104" si="87">G106+H103</f>
        <v>7.2572005716247201</v>
      </c>
      <c r="I104" s="630">
        <f t="shared" si="87"/>
        <v>5.7069092222754767</v>
      </c>
      <c r="J104" s="630">
        <f t="shared" si="87"/>
        <v>6.5318130756528872</v>
      </c>
      <c r="K104" s="630">
        <f t="shared" si="87"/>
        <v>4.0069025882540723</v>
      </c>
      <c r="L104" s="630">
        <f t="shared" si="87"/>
        <v>1.0397418256270727</v>
      </c>
      <c r="M104" s="630">
        <f t="shared" si="87"/>
        <v>1.0918552365981185</v>
      </c>
      <c r="N104" s="630">
        <f t="shared" si="87"/>
        <v>-1.0627969574299392</v>
      </c>
      <c r="O104" s="630">
        <f t="shared" si="87"/>
        <v>-2.0984135787289313</v>
      </c>
      <c r="P104" s="630">
        <f t="shared" si="87"/>
        <v>-3.1070555949477443</v>
      </c>
      <c r="Q104" s="630">
        <f t="shared" si="87"/>
        <v>-4.088956366582762</v>
      </c>
      <c r="R104" s="630">
        <f t="shared" si="87"/>
        <v>-3.7078208923752003</v>
      </c>
      <c r="S104" s="630">
        <f t="shared" si="87"/>
        <v>-3.1959041362380702</v>
      </c>
      <c r="T104" s="630">
        <f t="shared" si="87"/>
        <v>-2.6581248442297163</v>
      </c>
      <c r="U104" s="630">
        <f t="shared" si="87"/>
        <v>-2.0948399815688257</v>
      </c>
      <c r="V104" s="630">
        <f t="shared" si="87"/>
        <v>-1.506440928265889</v>
      </c>
      <c r="W104" s="630">
        <f t="shared" si="87"/>
        <v>-0.43769052247173712</v>
      </c>
      <c r="X104" s="630">
        <f t="shared" si="87"/>
        <v>1.4362126765615986</v>
      </c>
      <c r="Y104" s="630">
        <f t="shared" si="87"/>
        <v>2.5478485481317033</v>
      </c>
      <c r="Z104" s="630">
        <f t="shared" si="87"/>
        <v>3.1253213141052694</v>
      </c>
      <c r="AA104" s="630">
        <f t="shared" si="87"/>
        <v>3.625246654572988</v>
      </c>
      <c r="AB104" s="630">
        <f t="shared" si="87"/>
        <v>3.6535755212121401</v>
      </c>
      <c r="AC104" s="630">
        <f t="shared" si="87"/>
        <v>3.6810299860943845</v>
      </c>
      <c r="AD104" s="630">
        <f t="shared" si="87"/>
        <v>1.3056652725632438</v>
      </c>
      <c r="AE104" s="630">
        <f t="shared" si="87"/>
        <v>1.3119038619832077</v>
      </c>
      <c r="AF104" s="630">
        <f t="shared" si="87"/>
        <v>1.3227108461634147</v>
      </c>
      <c r="AG104" s="630">
        <f t="shared" si="87"/>
        <v>1.3332293909177901</v>
      </c>
      <c r="AH104" s="630">
        <f t="shared" si="87"/>
        <v>1.3434380960320385</v>
      </c>
      <c r="AI104" s="630">
        <f t="shared" si="87"/>
        <v>1.3533146658916366</v>
      </c>
      <c r="AJ104" s="630">
        <f t="shared" si="87"/>
        <v>1.1221551720032028</v>
      </c>
      <c r="AK104" s="630">
        <f t="shared" si="87"/>
        <v>0.84748390025632503</v>
      </c>
      <c r="AL104" s="630">
        <f t="shared" si="87"/>
        <v>0.5630368049801564</v>
      </c>
      <c r="AM104" s="630">
        <f t="shared" si="87"/>
        <v>0.322613445086668</v>
      </c>
      <c r="AN104" s="630">
        <f t="shared" si="87"/>
        <v>-3.8088572777039926E-15</v>
      </c>
      <c r="AO104" s="630">
        <f t="shared" si="87"/>
        <v>-3.3896608628054179E-15</v>
      </c>
      <c r="AP104" s="630">
        <f t="shared" si="87"/>
        <v>-2.9599006982513988E-15</v>
      </c>
      <c r="AQ104" s="630">
        <f t="shared" si="87"/>
        <v>-2.5193105775506186E-15</v>
      </c>
      <c r="AR104" s="630">
        <f t="shared" si="87"/>
        <v>-2.0676175858081784E-15</v>
      </c>
      <c r="AS104" s="630">
        <f t="shared" si="87"/>
        <v>-1.6045419306738291E-15</v>
      </c>
      <c r="AT104" s="630">
        <f t="shared" si="87"/>
        <v>-1.1297967690300947E-15</v>
      </c>
      <c r="AU104" s="630">
        <f t="shared" si="87"/>
        <v>-6.4308802931293797E-16</v>
      </c>
      <c r="AV104" s="630">
        <f t="shared" si="87"/>
        <v>-1.4411422935490911E-16</v>
      </c>
      <c r="AW104" s="630">
        <f t="shared" si="87"/>
        <v>4.7410801337040298E-16</v>
      </c>
      <c r="AX104" s="630">
        <f t="shared" si="87"/>
        <v>6.7669541651334067E-16</v>
      </c>
      <c r="AY104" s="630">
        <f t="shared" si="87"/>
        <v>6.9374814100947712E-16</v>
      </c>
      <c r="AZ104" s="630">
        <f t="shared" si="87"/>
        <v>7.1123059416291584E-16</v>
      </c>
      <c r="BA104" s="630">
        <f t="shared" si="87"/>
        <v>7.2915360513582071E-16</v>
      </c>
      <c r="BB104" s="630">
        <f t="shared" si="87"/>
        <v>7.4752827598524315E-16</v>
      </c>
      <c r="BC104" s="630">
        <f t="shared" si="87"/>
        <v>7.6636598854007149E-16</v>
      </c>
      <c r="BD104" s="630">
        <f t="shared" si="87"/>
        <v>7.8567841145128108E-16</v>
      </c>
      <c r="BE104" s="630">
        <f t="shared" si="87"/>
        <v>8.0547750741985359E-16</v>
      </c>
      <c r="BF104" s="630">
        <f t="shared" si="87"/>
        <v>8.257755406068342E-16</v>
      </c>
      <c r="BG104" s="630">
        <f t="shared" si="87"/>
        <v>8.465850842301261E-16</v>
      </c>
      <c r="BH104" s="630">
        <f t="shared" si="87"/>
        <v>8.67919028352725E-16</v>
      </c>
      <c r="BI104" s="630">
        <f t="shared" si="87"/>
        <v>8.8979058786721327E-16</v>
      </c>
      <c r="BJ104" s="631"/>
      <c r="BK104" s="631"/>
      <c r="BL104" s="69"/>
      <c r="BM104" s="69"/>
    </row>
    <row r="105" spans="1:65" s="16" customFormat="1" ht="13.5" customHeight="1">
      <c r="A105" s="43"/>
      <c r="B105" s="627" t="s">
        <v>408</v>
      </c>
      <c r="C105" s="43"/>
      <c r="D105" s="43"/>
      <c r="E105" s="622"/>
      <c r="F105" s="81"/>
      <c r="G105" s="494">
        <f>IF(G104&gt;0,G53*G104,0)</f>
        <v>2.4381000188898425</v>
      </c>
      <c r="H105" s="494">
        <f t="shared" ref="H105:BI105" si="88">IF(H104&gt;0,H53*H104,0)</f>
        <v>2.177160171487416</v>
      </c>
      <c r="I105" s="494">
        <f t="shared" si="88"/>
        <v>1.712072766682643</v>
      </c>
      <c r="J105" s="494">
        <f t="shared" si="88"/>
        <v>1.959543922695866</v>
      </c>
      <c r="K105" s="494">
        <f t="shared" si="88"/>
        <v>1.2020707764762217</v>
      </c>
      <c r="L105" s="494">
        <f t="shared" si="88"/>
        <v>0.31192254768812183</v>
      </c>
      <c r="M105" s="494">
        <f t="shared" si="88"/>
        <v>0.32755657097943552</v>
      </c>
      <c r="N105" s="494">
        <f t="shared" si="88"/>
        <v>0</v>
      </c>
      <c r="O105" s="494">
        <f t="shared" si="88"/>
        <v>0</v>
      </c>
      <c r="P105" s="494">
        <f t="shared" si="88"/>
        <v>0</v>
      </c>
      <c r="Q105" s="494">
        <f t="shared" si="88"/>
        <v>0</v>
      </c>
      <c r="R105" s="494">
        <f t="shared" si="88"/>
        <v>0</v>
      </c>
      <c r="S105" s="494">
        <f t="shared" si="88"/>
        <v>0</v>
      </c>
      <c r="T105" s="494">
        <f t="shared" si="88"/>
        <v>0</v>
      </c>
      <c r="U105" s="494">
        <f t="shared" si="88"/>
        <v>0</v>
      </c>
      <c r="V105" s="494">
        <f t="shared" si="88"/>
        <v>0</v>
      </c>
      <c r="W105" s="494">
        <f t="shared" si="88"/>
        <v>0</v>
      </c>
      <c r="X105" s="494">
        <f t="shared" si="88"/>
        <v>0.43086380296847954</v>
      </c>
      <c r="Y105" s="494">
        <f t="shared" si="88"/>
        <v>0.764354564439511</v>
      </c>
      <c r="Z105" s="494">
        <f t="shared" si="88"/>
        <v>0.93759639423158081</v>
      </c>
      <c r="AA105" s="494">
        <f t="shared" si="88"/>
        <v>1.0875739963718964</v>
      </c>
      <c r="AB105" s="494">
        <f t="shared" si="88"/>
        <v>1.096072656363642</v>
      </c>
      <c r="AC105" s="494">
        <f t="shared" si="88"/>
        <v>1.1043089958283152</v>
      </c>
      <c r="AD105" s="494">
        <f t="shared" si="88"/>
        <v>0.39169958176897313</v>
      </c>
      <c r="AE105" s="494">
        <f t="shared" si="88"/>
        <v>0.39357115859496233</v>
      </c>
      <c r="AF105" s="494">
        <f t="shared" si="88"/>
        <v>0.39681325384902438</v>
      </c>
      <c r="AG105" s="494">
        <f t="shared" si="88"/>
        <v>0.39996881727533701</v>
      </c>
      <c r="AH105" s="494">
        <f t="shared" si="88"/>
        <v>0.40303142880961151</v>
      </c>
      <c r="AI105" s="494">
        <f t="shared" si="88"/>
        <v>0.40599439976749097</v>
      </c>
      <c r="AJ105" s="494">
        <f t="shared" si="88"/>
        <v>0.33664655160096085</v>
      </c>
      <c r="AK105" s="494">
        <f t="shared" si="88"/>
        <v>0.25424517007689751</v>
      </c>
      <c r="AL105" s="494">
        <f t="shared" si="88"/>
        <v>0.16891104149404693</v>
      </c>
      <c r="AM105" s="494">
        <f t="shared" si="88"/>
        <v>9.6784033526000401E-2</v>
      </c>
      <c r="AN105" s="494">
        <f t="shared" si="88"/>
        <v>0</v>
      </c>
      <c r="AO105" s="494">
        <f t="shared" si="88"/>
        <v>0</v>
      </c>
      <c r="AP105" s="494">
        <f t="shared" si="88"/>
        <v>0</v>
      </c>
      <c r="AQ105" s="494">
        <f t="shared" si="88"/>
        <v>0</v>
      </c>
      <c r="AR105" s="494">
        <f t="shared" si="88"/>
        <v>0</v>
      </c>
      <c r="AS105" s="494">
        <f t="shared" si="88"/>
        <v>0</v>
      </c>
      <c r="AT105" s="494">
        <f t="shared" si="88"/>
        <v>0</v>
      </c>
      <c r="AU105" s="494">
        <f t="shared" si="88"/>
        <v>0</v>
      </c>
      <c r="AV105" s="494">
        <f t="shared" si="88"/>
        <v>0</v>
      </c>
      <c r="AW105" s="494">
        <f t="shared" si="88"/>
        <v>1.4223240401112088E-16</v>
      </c>
      <c r="AX105" s="494">
        <f t="shared" si="88"/>
        <v>2.0300862495400218E-16</v>
      </c>
      <c r="AY105" s="494">
        <f t="shared" si="88"/>
        <v>2.0812444230284313E-16</v>
      </c>
      <c r="AZ105" s="494">
        <f t="shared" si="88"/>
        <v>2.1336917824887473E-16</v>
      </c>
      <c r="BA105" s="494">
        <f t="shared" si="88"/>
        <v>2.1874608154074619E-16</v>
      </c>
      <c r="BB105" s="494">
        <f t="shared" si="88"/>
        <v>2.2425848279557292E-16</v>
      </c>
      <c r="BC105" s="494">
        <f t="shared" si="88"/>
        <v>2.2990979656202142E-16</v>
      </c>
      <c r="BD105" s="494">
        <f t="shared" si="88"/>
        <v>2.357035234353843E-16</v>
      </c>
      <c r="BE105" s="494">
        <f t="shared" si="88"/>
        <v>2.4164325222595606E-16</v>
      </c>
      <c r="BF105" s="494">
        <f t="shared" si="88"/>
        <v>2.4773266218205025E-16</v>
      </c>
      <c r="BG105" s="494">
        <f t="shared" si="88"/>
        <v>2.5397552526903781E-16</v>
      </c>
      <c r="BH105" s="494">
        <f t="shared" si="88"/>
        <v>2.6037570850581751E-16</v>
      </c>
      <c r="BI105" s="494">
        <f t="shared" si="88"/>
        <v>2.6693717636016395E-16</v>
      </c>
      <c r="BJ105" s="43"/>
      <c r="BK105" s="43"/>
      <c r="BL105" s="69"/>
      <c r="BM105" s="69"/>
    </row>
    <row r="106" spans="1:65" s="16" customFormat="1" ht="13.5" customHeight="1">
      <c r="A106" s="43"/>
      <c r="B106" s="627" t="s">
        <v>409</v>
      </c>
      <c r="C106" s="43"/>
      <c r="D106" s="43"/>
      <c r="E106" s="622"/>
      <c r="F106" s="81">
        <f>F56</f>
        <v>0</v>
      </c>
      <c r="G106" s="494">
        <f>IF(G104&lt;0,G104,0)</f>
        <v>0</v>
      </c>
      <c r="H106" s="494">
        <f t="shared" ref="H106:BI106" si="89">IF(H104&lt;0,H104,0)</f>
        <v>0</v>
      </c>
      <c r="I106" s="494">
        <f t="shared" si="89"/>
        <v>0</v>
      </c>
      <c r="J106" s="494">
        <f t="shared" si="89"/>
        <v>0</v>
      </c>
      <c r="K106" s="494">
        <f t="shared" si="89"/>
        <v>0</v>
      </c>
      <c r="L106" s="494">
        <f t="shared" si="89"/>
        <v>0</v>
      </c>
      <c r="M106" s="494">
        <f t="shared" si="89"/>
        <v>0</v>
      </c>
      <c r="N106" s="494">
        <f t="shared" si="89"/>
        <v>-1.0627969574299392</v>
      </c>
      <c r="O106" s="494">
        <f t="shared" si="89"/>
        <v>-2.0984135787289313</v>
      </c>
      <c r="P106" s="494">
        <f t="shared" si="89"/>
        <v>-3.1070555949477443</v>
      </c>
      <c r="Q106" s="494">
        <f t="shared" si="89"/>
        <v>-4.088956366582762</v>
      </c>
      <c r="R106" s="494">
        <f t="shared" si="89"/>
        <v>-3.7078208923752003</v>
      </c>
      <c r="S106" s="494">
        <f t="shared" si="89"/>
        <v>-3.1959041362380702</v>
      </c>
      <c r="T106" s="494">
        <f t="shared" si="89"/>
        <v>-2.6581248442297163</v>
      </c>
      <c r="U106" s="494">
        <f t="shared" si="89"/>
        <v>-2.0948399815688257</v>
      </c>
      <c r="V106" s="494">
        <f t="shared" si="89"/>
        <v>-1.506440928265889</v>
      </c>
      <c r="W106" s="494">
        <f t="shared" si="89"/>
        <v>-0.43769052247173712</v>
      </c>
      <c r="X106" s="494">
        <f t="shared" si="89"/>
        <v>0</v>
      </c>
      <c r="Y106" s="494">
        <f t="shared" si="89"/>
        <v>0</v>
      </c>
      <c r="Z106" s="494">
        <f t="shared" si="89"/>
        <v>0</v>
      </c>
      <c r="AA106" s="494">
        <f t="shared" si="89"/>
        <v>0</v>
      </c>
      <c r="AB106" s="494">
        <f t="shared" si="89"/>
        <v>0</v>
      </c>
      <c r="AC106" s="494">
        <f t="shared" si="89"/>
        <v>0</v>
      </c>
      <c r="AD106" s="494">
        <f t="shared" si="89"/>
        <v>0</v>
      </c>
      <c r="AE106" s="494">
        <f t="shared" si="89"/>
        <v>0</v>
      </c>
      <c r="AF106" s="494">
        <f t="shared" si="89"/>
        <v>0</v>
      </c>
      <c r="AG106" s="494">
        <f t="shared" si="89"/>
        <v>0</v>
      </c>
      <c r="AH106" s="494">
        <f t="shared" si="89"/>
        <v>0</v>
      </c>
      <c r="AI106" s="494">
        <f t="shared" si="89"/>
        <v>0</v>
      </c>
      <c r="AJ106" s="494">
        <f t="shared" si="89"/>
        <v>0</v>
      </c>
      <c r="AK106" s="494">
        <f t="shared" si="89"/>
        <v>0</v>
      </c>
      <c r="AL106" s="494">
        <f t="shared" si="89"/>
        <v>0</v>
      </c>
      <c r="AM106" s="494">
        <f t="shared" si="89"/>
        <v>0</v>
      </c>
      <c r="AN106" s="494">
        <f t="shared" si="89"/>
        <v>-3.8088572777039926E-15</v>
      </c>
      <c r="AO106" s="494">
        <f t="shared" si="89"/>
        <v>-3.3896608628054179E-15</v>
      </c>
      <c r="AP106" s="494">
        <f t="shared" si="89"/>
        <v>-2.9599006982513988E-15</v>
      </c>
      <c r="AQ106" s="494">
        <f t="shared" si="89"/>
        <v>-2.5193105775506186E-15</v>
      </c>
      <c r="AR106" s="494">
        <f t="shared" si="89"/>
        <v>-2.0676175858081784E-15</v>
      </c>
      <c r="AS106" s="494">
        <f t="shared" si="89"/>
        <v>-1.6045419306738291E-15</v>
      </c>
      <c r="AT106" s="494">
        <f t="shared" si="89"/>
        <v>-1.1297967690300947E-15</v>
      </c>
      <c r="AU106" s="494">
        <f t="shared" si="89"/>
        <v>-6.4308802931293797E-16</v>
      </c>
      <c r="AV106" s="494">
        <f t="shared" si="89"/>
        <v>-1.4411422935490911E-16</v>
      </c>
      <c r="AW106" s="494">
        <f t="shared" si="89"/>
        <v>0</v>
      </c>
      <c r="AX106" s="494">
        <f t="shared" si="89"/>
        <v>0</v>
      </c>
      <c r="AY106" s="494">
        <f t="shared" si="89"/>
        <v>0</v>
      </c>
      <c r="AZ106" s="494">
        <f t="shared" si="89"/>
        <v>0</v>
      </c>
      <c r="BA106" s="494">
        <f t="shared" si="89"/>
        <v>0</v>
      </c>
      <c r="BB106" s="494">
        <f t="shared" si="89"/>
        <v>0</v>
      </c>
      <c r="BC106" s="494">
        <f t="shared" si="89"/>
        <v>0</v>
      </c>
      <c r="BD106" s="494">
        <f t="shared" si="89"/>
        <v>0</v>
      </c>
      <c r="BE106" s="494">
        <f t="shared" si="89"/>
        <v>0</v>
      </c>
      <c r="BF106" s="494">
        <f t="shared" si="89"/>
        <v>0</v>
      </c>
      <c r="BG106" s="494">
        <f t="shared" si="89"/>
        <v>0</v>
      </c>
      <c r="BH106" s="494">
        <f t="shared" si="89"/>
        <v>0</v>
      </c>
      <c r="BI106" s="494">
        <f t="shared" si="89"/>
        <v>0</v>
      </c>
      <c r="BJ106" s="43"/>
      <c r="BK106" s="43"/>
      <c r="BL106" s="69"/>
      <c r="BM106" s="69"/>
    </row>
    <row r="107" spans="1:65">
      <c r="A107" s="47"/>
      <c r="B107" s="47"/>
      <c r="C107" s="47"/>
      <c r="D107" s="47"/>
      <c r="E107" s="47"/>
      <c r="F107" s="687"/>
      <c r="G107" s="687"/>
      <c r="H107" s="687"/>
      <c r="I107" s="687"/>
      <c r="J107" s="687"/>
      <c r="K107" s="687"/>
      <c r="L107" s="687"/>
      <c r="M107" s="687"/>
      <c r="N107" s="687"/>
      <c r="O107" s="687"/>
      <c r="P107" s="687"/>
      <c r="Q107" s="687"/>
      <c r="R107" s="687"/>
      <c r="S107" s="687"/>
      <c r="T107" s="687"/>
      <c r="U107" s="687"/>
      <c r="V107" s="687"/>
      <c r="W107" s="687"/>
      <c r="X107" s="687"/>
      <c r="Y107" s="687"/>
      <c r="Z107" s="687"/>
      <c r="AA107" s="687"/>
      <c r="AB107" s="687"/>
      <c r="AC107" s="687"/>
      <c r="AD107" s="687"/>
      <c r="AE107" s="687"/>
      <c r="AF107" s="687"/>
      <c r="AG107" s="687"/>
      <c r="AH107" s="687"/>
      <c r="AI107" s="687"/>
      <c r="AJ107" s="687"/>
      <c r="AK107" s="687"/>
      <c r="AL107" s="687"/>
      <c r="AM107" s="687"/>
      <c r="AN107" s="687"/>
      <c r="AO107" s="687"/>
      <c r="AP107" s="687"/>
      <c r="AQ107" s="687"/>
      <c r="AR107" s="687"/>
      <c r="AS107" s="687"/>
      <c r="AT107" s="687"/>
      <c r="AU107" s="687"/>
      <c r="AV107" s="687"/>
      <c r="AW107" s="687"/>
      <c r="AX107" s="687"/>
      <c r="AY107" s="687"/>
      <c r="AZ107" s="687"/>
      <c r="BA107" s="687"/>
      <c r="BB107" s="687"/>
      <c r="BC107" s="687"/>
      <c r="BD107" s="687"/>
      <c r="BE107" s="687"/>
      <c r="BF107" s="687"/>
      <c r="BG107" s="687"/>
      <c r="BH107" s="687"/>
      <c r="BI107" s="687"/>
      <c r="BJ107" s="47"/>
      <c r="BK107" s="47"/>
      <c r="BL107" s="47"/>
      <c r="BM107" s="47"/>
    </row>
    <row r="108" spans="1:65">
      <c r="A108" s="47"/>
      <c r="B108" s="52" t="s">
        <v>403</v>
      </c>
      <c r="C108" s="47"/>
      <c r="D108" s="47"/>
      <c r="E108" s="47"/>
      <c r="F108" s="670"/>
      <c r="G108" s="670"/>
      <c r="H108" s="670"/>
      <c r="I108" s="670"/>
      <c r="J108" s="670"/>
      <c r="K108" s="670"/>
      <c r="L108" s="670"/>
      <c r="M108" s="670"/>
      <c r="N108" s="670"/>
      <c r="O108" s="670"/>
      <c r="P108" s="670"/>
      <c r="Q108" s="670"/>
      <c r="R108" s="670"/>
      <c r="S108" s="670"/>
      <c r="T108" s="670"/>
      <c r="U108" s="670"/>
      <c r="V108" s="670"/>
      <c r="W108" s="670"/>
      <c r="X108" s="670"/>
      <c r="Y108" s="670"/>
      <c r="Z108" s="670"/>
      <c r="AA108" s="670"/>
      <c r="AB108" s="670"/>
      <c r="AC108" s="670"/>
      <c r="AD108" s="670"/>
      <c r="AE108" s="670"/>
      <c r="AF108" s="670"/>
      <c r="AG108" s="670"/>
      <c r="AH108" s="670"/>
      <c r="AI108" s="670"/>
      <c r="AJ108" s="670"/>
      <c r="AK108" s="670"/>
      <c r="AL108" s="670"/>
      <c r="AM108" s="670"/>
      <c r="AN108" s="670"/>
      <c r="AO108" s="670"/>
      <c r="AP108" s="670"/>
      <c r="AQ108" s="670"/>
      <c r="AR108" s="670"/>
      <c r="AS108" s="670"/>
      <c r="AT108" s="670"/>
      <c r="AU108" s="670"/>
      <c r="AV108" s="670"/>
      <c r="AW108" s="670"/>
      <c r="AX108" s="670"/>
      <c r="AY108" s="670"/>
      <c r="AZ108" s="670"/>
      <c r="BA108" s="670"/>
      <c r="BB108" s="670"/>
      <c r="BC108" s="670"/>
      <c r="BD108" s="670"/>
      <c r="BE108" s="670"/>
      <c r="BF108" s="670"/>
      <c r="BG108" s="670"/>
      <c r="BH108" s="670"/>
      <c r="BI108" s="670"/>
      <c r="BJ108" s="47"/>
      <c r="BK108" s="47"/>
      <c r="BL108" s="47"/>
      <c r="BM108" s="47"/>
    </row>
    <row r="109" spans="1:65">
      <c r="A109" s="47"/>
      <c r="B109" s="47" t="s">
        <v>81</v>
      </c>
      <c r="C109" s="148" t="s">
        <v>33</v>
      </c>
      <c r="D109" s="149">
        <f ca="1">1-E110/E109</f>
        <v>0.48308563706540786</v>
      </c>
      <c r="E109" s="1437">
        <f ca="1">IRR(OFFSET(F109,0,0,1,55+1))</f>
        <v>0.17832355120094179</v>
      </c>
      <c r="F109" s="1430">
        <f>SUM(F25:F30)+SUM(F100:F101)-F46-F70-F71-F72</f>
        <v>-13.914610730452317</v>
      </c>
      <c r="G109" s="1415">
        <f>SUM(G25:G30)+SUM(G100:G101)-G46-G70-G71-G72</f>
        <v>3.0830728113253159</v>
      </c>
      <c r="H109" s="1415">
        <f t="shared" ref="H109:AM109" si="90">H25+H26+H28+H30+H100+H101-H46-H70-H71-H72</f>
        <v>2.8007018217388961</v>
      </c>
      <c r="I109" s="1415">
        <f t="shared" si="90"/>
        <v>2.5265856126972004</v>
      </c>
      <c r="J109" s="1415">
        <f t="shared" si="90"/>
        <v>3.0141913250054229</v>
      </c>
      <c r="K109" s="1415">
        <f t="shared" si="90"/>
        <v>2.1867564264696333</v>
      </c>
      <c r="L109" s="1415">
        <f t="shared" si="90"/>
        <v>3.006474470947019</v>
      </c>
      <c r="M109" s="1415">
        <f t="shared" si="90"/>
        <v>2.9643274948649649</v>
      </c>
      <c r="N109" s="1415">
        <f t="shared" si="90"/>
        <v>1.8808533481762728</v>
      </c>
      <c r="O109" s="1415">
        <f t="shared" si="90"/>
        <v>1.8650729757937974</v>
      </c>
      <c r="P109" s="1415">
        <f t="shared" si="90"/>
        <v>1.8473028555330107</v>
      </c>
      <c r="Q109" s="1415">
        <f t="shared" si="90"/>
        <v>1.8274527252685404</v>
      </c>
      <c r="R109" s="1415">
        <f t="shared" si="90"/>
        <v>1.8054290372333615</v>
      </c>
      <c r="S109" s="1415">
        <f t="shared" si="90"/>
        <v>1.7811348497425485</v>
      </c>
      <c r="T109" s="1415">
        <f t="shared" si="90"/>
        <v>1.7544697155463989</v>
      </c>
      <c r="U109" s="1415">
        <f t="shared" si="90"/>
        <v>1.7253295667117854</v>
      </c>
      <c r="V109" s="1415">
        <f t="shared" si="90"/>
        <v>1.6936065959277418</v>
      </c>
      <c r="W109" s="1415">
        <f t="shared" si="90"/>
        <v>1.6591891341281428</v>
      </c>
      <c r="X109" s="1415">
        <f t="shared" si="90"/>
        <v>1.9451093765475242</v>
      </c>
      <c r="Y109" s="1415">
        <f t="shared" si="90"/>
        <v>2.1550699148418047</v>
      </c>
      <c r="Z109" s="1415">
        <f t="shared" si="90"/>
        <v>2.2417898042768938</v>
      </c>
      <c r="AA109" s="1415">
        <f t="shared" si="90"/>
        <v>2.3078791554277829</v>
      </c>
      <c r="AB109" s="1415">
        <f t="shared" si="90"/>
        <v>2.2645439821176829</v>
      </c>
      <c r="AC109" s="1415">
        <f t="shared" si="90"/>
        <v>2.2175591204938883</v>
      </c>
      <c r="AD109" s="1415">
        <f t="shared" si="90"/>
        <v>0.88176089232206678</v>
      </c>
      <c r="AE109" s="1415">
        <f t="shared" si="90"/>
        <v>0.86627718317903946</v>
      </c>
      <c r="AF109" s="1415">
        <f t="shared" si="90"/>
        <v>0.85227309517654559</v>
      </c>
      <c r="AG109" s="1415">
        <f t="shared" si="90"/>
        <v>0.83701308047631851</v>
      </c>
      <c r="AH109" s="1415">
        <f t="shared" si="90"/>
        <v>0.82044273352884023</v>
      </c>
      <c r="AI109" s="1415">
        <f t="shared" si="90"/>
        <v>0.80250570430858348</v>
      </c>
      <c r="AJ109" s="1415">
        <f t="shared" si="90"/>
        <v>0.65437945718398394</v>
      </c>
      <c r="AK109" s="1415">
        <f t="shared" si="90"/>
        <v>0.48666108506143096</v>
      </c>
      <c r="AL109" s="1415">
        <f t="shared" si="90"/>
        <v>0.31846135609402748</v>
      </c>
      <c r="AM109" s="1415">
        <f t="shared" si="90"/>
        <v>0.17897570862046716</v>
      </c>
      <c r="AN109" s="1415">
        <f t="shared" ref="AN109:BH109" si="91">AN25+AN26+AN28+AN30+AN100+AN101-AN46-AN70-AN71-AN72</f>
        <v>-1.0637889204709721E-15</v>
      </c>
      <c r="AO109" s="1415">
        <f t="shared" si="91"/>
        <v>7.4931359163120095E-16</v>
      </c>
      <c r="AP109" s="1415">
        <f t="shared" si="91"/>
        <v>7.6819629414030473E-16</v>
      </c>
      <c r="AQ109" s="1415">
        <f t="shared" si="91"/>
        <v>7.8755484075264358E-16</v>
      </c>
      <c r="AR109" s="1415">
        <f t="shared" si="91"/>
        <v>8.0740122273960984E-16</v>
      </c>
      <c r="AS109" s="1415">
        <f t="shared" si="91"/>
        <v>8.2774773355265097E-16</v>
      </c>
      <c r="AT109" s="1415">
        <f t="shared" si="91"/>
        <v>8.4860697643817207E-16</v>
      </c>
      <c r="AU109" s="1415">
        <f t="shared" si="91"/>
        <v>8.6999187224441579E-16</v>
      </c>
      <c r="AV109" s="1415">
        <f t="shared" si="91"/>
        <v>8.9191566742497844E-16</v>
      </c>
      <c r="AW109" s="1415">
        <f t="shared" si="91"/>
        <v>1.021066245252421E-15</v>
      </c>
      <c r="AX109" s="1415">
        <f t="shared" si="91"/>
        <v>1.0896910879041374E-15</v>
      </c>
      <c r="AY109" s="1415">
        <f t="shared" si="91"/>
        <v>1.1171513033193241E-15</v>
      </c>
      <c r="AZ109" s="1415">
        <f t="shared" si="91"/>
        <v>1.1453035161629652E-15</v>
      </c>
      <c r="BA109" s="1415">
        <f t="shared" si="91"/>
        <v>1.1741651647702778E-15</v>
      </c>
      <c r="BB109" s="1415">
        <f t="shared" si="91"/>
        <v>1.2037541269224839E-15</v>
      </c>
      <c r="BC109" s="1415">
        <f t="shared" si="91"/>
        <v>1.2340887309209294E-15</v>
      </c>
      <c r="BD109" s="1415">
        <f t="shared" si="91"/>
        <v>1.2651877669401404E-15</v>
      </c>
      <c r="BE109" s="1415">
        <f t="shared" si="91"/>
        <v>1.2970704986670317E-15</v>
      </c>
      <c r="BF109" s="1415">
        <f t="shared" si="91"/>
        <v>1.3297566752334389E-15</v>
      </c>
      <c r="BG109" s="1415">
        <f t="shared" si="91"/>
        <v>1.3632665434493195E-15</v>
      </c>
      <c r="BH109" s="1415">
        <f t="shared" si="91"/>
        <v>1.3976208603442489E-15</v>
      </c>
      <c r="BI109" s="1415">
        <f>BI25+BI26+BI28+BI30+BI100+BI101-BI46-BI70-BI71-BI72+Assets!BI474*$D$18</f>
        <v>1.6161284984736103E-14</v>
      </c>
      <c r="BJ109" s="620"/>
      <c r="BK109" s="47"/>
      <c r="BL109" s="47"/>
      <c r="BM109" s="47"/>
    </row>
    <row r="110" spans="1:65">
      <c r="A110" s="47"/>
      <c r="B110" s="47" t="s">
        <v>82</v>
      </c>
      <c r="C110" s="47"/>
      <c r="D110" s="47"/>
      <c r="E110" s="144">
        <f ca="1">IRR(OFFSET(F110,0,0,1,55+1))</f>
        <v>9.2178004865268948E-2</v>
      </c>
      <c r="F110" s="706">
        <f t="shared" ref="F110:AK110" si="92">F109-F100</f>
        <v>-13.914610730452317</v>
      </c>
      <c r="G110" s="669">
        <f t="shared" si="92"/>
        <v>0.64497279243547334</v>
      </c>
      <c r="H110" s="669">
        <f t="shared" si="92"/>
        <v>0.62354165025148145</v>
      </c>
      <c r="I110" s="669">
        <f t="shared" si="92"/>
        <v>0.81451284601455676</v>
      </c>
      <c r="J110" s="669">
        <f t="shared" si="92"/>
        <v>1.0546474023095553</v>
      </c>
      <c r="K110" s="669">
        <f t="shared" si="92"/>
        <v>0.98468564999341113</v>
      </c>
      <c r="L110" s="669">
        <f t="shared" si="92"/>
        <v>2.6945519232588975</v>
      </c>
      <c r="M110" s="669">
        <f t="shared" si="92"/>
        <v>2.6367709238855297</v>
      </c>
      <c r="N110" s="669">
        <f t="shared" si="92"/>
        <v>1.8808533481762728</v>
      </c>
      <c r="O110" s="669">
        <f t="shared" si="92"/>
        <v>1.8650729757937974</v>
      </c>
      <c r="P110" s="669">
        <f t="shared" si="92"/>
        <v>1.8473028555330107</v>
      </c>
      <c r="Q110" s="669">
        <f t="shared" si="92"/>
        <v>1.8274527252685404</v>
      </c>
      <c r="R110" s="669">
        <f t="shared" si="92"/>
        <v>1.8054290372333615</v>
      </c>
      <c r="S110" s="669">
        <f t="shared" si="92"/>
        <v>1.7811348497425485</v>
      </c>
      <c r="T110" s="669">
        <f t="shared" si="92"/>
        <v>1.7544697155463989</v>
      </c>
      <c r="U110" s="669">
        <f t="shared" si="92"/>
        <v>1.7253295667117854</v>
      </c>
      <c r="V110" s="669">
        <f t="shared" si="92"/>
        <v>1.6936065959277418</v>
      </c>
      <c r="W110" s="669">
        <f t="shared" si="92"/>
        <v>1.6591891341281428</v>
      </c>
      <c r="X110" s="669">
        <f t="shared" si="92"/>
        <v>1.5142455735790448</v>
      </c>
      <c r="Y110" s="669">
        <f t="shared" si="92"/>
        <v>1.3907153504022935</v>
      </c>
      <c r="Z110" s="669">
        <f t="shared" si="92"/>
        <v>1.304193410045313</v>
      </c>
      <c r="AA110" s="669">
        <f t="shared" si="92"/>
        <v>1.2203051590558864</v>
      </c>
      <c r="AB110" s="669">
        <f t="shared" si="92"/>
        <v>1.1684713257540409</v>
      </c>
      <c r="AC110" s="669">
        <f t="shared" si="92"/>
        <v>1.113250124665573</v>
      </c>
      <c r="AD110" s="669">
        <f t="shared" si="92"/>
        <v>0.49006131055309377</v>
      </c>
      <c r="AE110" s="669">
        <f t="shared" si="92"/>
        <v>0.47270602458407712</v>
      </c>
      <c r="AF110" s="669">
        <f t="shared" si="92"/>
        <v>0.45545984132752121</v>
      </c>
      <c r="AG110" s="669">
        <f t="shared" si="92"/>
        <v>0.43704426320098144</v>
      </c>
      <c r="AH110" s="669">
        <f t="shared" si="92"/>
        <v>0.41741130471922877</v>
      </c>
      <c r="AI110" s="669">
        <f t="shared" si="92"/>
        <v>0.39651130454109257</v>
      </c>
      <c r="AJ110" s="669">
        <f t="shared" si="92"/>
        <v>0.31773290558302308</v>
      </c>
      <c r="AK110" s="669">
        <f t="shared" si="92"/>
        <v>0.23241591498453346</v>
      </c>
      <c r="AL110" s="669">
        <f t="shared" ref="AL110:BI110" si="93">AL109-AL100</f>
        <v>0.14955031459998055</v>
      </c>
      <c r="AM110" s="669">
        <f t="shared" si="93"/>
        <v>8.2191675094466773E-2</v>
      </c>
      <c r="AN110" s="669">
        <f t="shared" si="93"/>
        <v>-1.0637889204709721E-15</v>
      </c>
      <c r="AO110" s="669">
        <f t="shared" si="93"/>
        <v>7.4931359163120095E-16</v>
      </c>
      <c r="AP110" s="669">
        <f t="shared" si="93"/>
        <v>7.6819629414030473E-16</v>
      </c>
      <c r="AQ110" s="669">
        <f t="shared" si="93"/>
        <v>7.8755484075264358E-16</v>
      </c>
      <c r="AR110" s="669">
        <f t="shared" si="93"/>
        <v>8.0740122273960984E-16</v>
      </c>
      <c r="AS110" s="669">
        <f t="shared" si="93"/>
        <v>8.2774773355265097E-16</v>
      </c>
      <c r="AT110" s="669">
        <f t="shared" si="93"/>
        <v>8.4860697643817207E-16</v>
      </c>
      <c r="AU110" s="669">
        <f t="shared" si="93"/>
        <v>8.6999187224441579E-16</v>
      </c>
      <c r="AV110" s="669">
        <f t="shared" si="93"/>
        <v>8.9191566742497844E-16</v>
      </c>
      <c r="AW110" s="669">
        <f t="shared" si="93"/>
        <v>8.7883384124130007E-16</v>
      </c>
      <c r="AX110" s="669">
        <f t="shared" si="93"/>
        <v>8.8668246295013527E-16</v>
      </c>
      <c r="AY110" s="669">
        <f t="shared" si="93"/>
        <v>9.0902686101648107E-16</v>
      </c>
      <c r="AZ110" s="669">
        <f t="shared" si="93"/>
        <v>9.3193433791409039E-16</v>
      </c>
      <c r="BA110" s="669">
        <f t="shared" si="93"/>
        <v>9.5541908322953148E-16</v>
      </c>
      <c r="BB110" s="669">
        <f t="shared" si="93"/>
        <v>9.7949564412691107E-16</v>
      </c>
      <c r="BC110" s="669">
        <f t="shared" si="93"/>
        <v>1.004178934358908E-15</v>
      </c>
      <c r="BD110" s="669">
        <f t="shared" si="93"/>
        <v>1.0294842435047561E-15</v>
      </c>
      <c r="BE110" s="669">
        <f t="shared" si="93"/>
        <v>1.0554272464410757E-15</v>
      </c>
      <c r="BF110" s="669">
        <f t="shared" si="93"/>
        <v>1.0820240130513888E-15</v>
      </c>
      <c r="BG110" s="669">
        <f t="shared" si="93"/>
        <v>1.1092910181802816E-15</v>
      </c>
      <c r="BH110" s="669">
        <f t="shared" si="93"/>
        <v>1.1372451518384314E-15</v>
      </c>
      <c r="BI110" s="669">
        <f t="shared" si="93"/>
        <v>1.5894347808375938E-14</v>
      </c>
      <c r="BJ110" s="47"/>
      <c r="BK110" s="47"/>
      <c r="BL110" s="47"/>
      <c r="BM110" s="47"/>
    </row>
    <row r="111" spans="1:65">
      <c r="A111" s="47"/>
      <c r="B111" s="47" t="s">
        <v>124</v>
      </c>
      <c r="C111" s="47"/>
      <c r="D111" s="47"/>
      <c r="E111" s="144">
        <f ca="1">IRR(OFFSET(F111,0,0,1,55+1))</f>
        <v>0.11099999999999977</v>
      </c>
      <c r="F111" s="706">
        <f>F110-($D$35*F100)</f>
        <v>-13.914610730452317</v>
      </c>
      <c r="G111" s="669">
        <f t="shared" ref="G111:AL111" si="94">G110-G101</f>
        <v>1.2544977971579341</v>
      </c>
      <c r="H111" s="669">
        <f t="shared" si="94"/>
        <v>1.1678316931233352</v>
      </c>
      <c r="I111" s="669">
        <f t="shared" si="94"/>
        <v>1.2425310376852177</v>
      </c>
      <c r="J111" s="669">
        <f t="shared" si="94"/>
        <v>1.5445333829835222</v>
      </c>
      <c r="K111" s="669">
        <f t="shared" si="94"/>
        <v>1.2852033441124666</v>
      </c>
      <c r="L111" s="669">
        <f t="shared" si="94"/>
        <v>2.7725325601809279</v>
      </c>
      <c r="M111" s="669">
        <f t="shared" si="94"/>
        <v>2.7186600666303886</v>
      </c>
      <c r="N111" s="669">
        <f t="shared" si="94"/>
        <v>1.8808533481762728</v>
      </c>
      <c r="O111" s="669">
        <f t="shared" si="94"/>
        <v>1.8650729757937974</v>
      </c>
      <c r="P111" s="669">
        <f t="shared" si="94"/>
        <v>1.8473028555330107</v>
      </c>
      <c r="Q111" s="669">
        <f t="shared" si="94"/>
        <v>1.8274527252685404</v>
      </c>
      <c r="R111" s="669">
        <f t="shared" si="94"/>
        <v>1.8054290372333615</v>
      </c>
      <c r="S111" s="669">
        <f t="shared" si="94"/>
        <v>1.7811348497425485</v>
      </c>
      <c r="T111" s="669">
        <f t="shared" si="94"/>
        <v>1.7544697155463989</v>
      </c>
      <c r="U111" s="669">
        <f t="shared" si="94"/>
        <v>1.7253295667117854</v>
      </c>
      <c r="V111" s="669">
        <f t="shared" si="94"/>
        <v>1.6936065959277418</v>
      </c>
      <c r="W111" s="669">
        <f t="shared" si="94"/>
        <v>1.6591891341281428</v>
      </c>
      <c r="X111" s="669">
        <f t="shared" si="94"/>
        <v>1.6219615243211647</v>
      </c>
      <c r="Y111" s="669">
        <f t="shared" si="94"/>
        <v>1.5818039915121713</v>
      </c>
      <c r="Z111" s="669">
        <f t="shared" si="94"/>
        <v>1.5385925086032082</v>
      </c>
      <c r="AA111" s="669">
        <f t="shared" si="94"/>
        <v>1.4921986581488604</v>
      </c>
      <c r="AB111" s="669">
        <f t="shared" si="94"/>
        <v>1.4424894898449514</v>
      </c>
      <c r="AC111" s="669">
        <f t="shared" si="94"/>
        <v>1.3893273736226519</v>
      </c>
      <c r="AD111" s="669">
        <f t="shared" si="94"/>
        <v>0.58798620599533702</v>
      </c>
      <c r="AE111" s="669">
        <f t="shared" si="94"/>
        <v>0.57109881423281772</v>
      </c>
      <c r="AF111" s="669">
        <f t="shared" si="94"/>
        <v>0.55466315478977735</v>
      </c>
      <c r="AG111" s="669">
        <f t="shared" si="94"/>
        <v>0.53703646751981571</v>
      </c>
      <c r="AH111" s="669">
        <f t="shared" si="94"/>
        <v>0.51816916192163165</v>
      </c>
      <c r="AI111" s="669">
        <f t="shared" si="94"/>
        <v>0.49800990448296528</v>
      </c>
      <c r="AJ111" s="669">
        <f t="shared" si="94"/>
        <v>0.40189454348326331</v>
      </c>
      <c r="AK111" s="669">
        <f t="shared" si="94"/>
        <v>0.29597720750375783</v>
      </c>
      <c r="AL111" s="669">
        <f t="shared" si="94"/>
        <v>0.19177807497349228</v>
      </c>
      <c r="AM111" s="669">
        <f t="shared" ref="AM111:BI111" si="95">AM110-AM101</f>
        <v>0.10638768347596687</v>
      </c>
      <c r="AN111" s="669">
        <f t="shared" si="95"/>
        <v>-1.0637889204709721E-15</v>
      </c>
      <c r="AO111" s="669">
        <f t="shared" si="95"/>
        <v>7.4931359163120095E-16</v>
      </c>
      <c r="AP111" s="669">
        <f t="shared" si="95"/>
        <v>7.6819629414030473E-16</v>
      </c>
      <c r="AQ111" s="669">
        <f t="shared" si="95"/>
        <v>7.8755484075264358E-16</v>
      </c>
      <c r="AR111" s="669">
        <f t="shared" si="95"/>
        <v>8.0740122273960984E-16</v>
      </c>
      <c r="AS111" s="669">
        <f t="shared" si="95"/>
        <v>8.2774773355265097E-16</v>
      </c>
      <c r="AT111" s="669">
        <f t="shared" si="95"/>
        <v>8.4860697643817207E-16</v>
      </c>
      <c r="AU111" s="669">
        <f t="shared" si="95"/>
        <v>8.6999187224441579E-16</v>
      </c>
      <c r="AV111" s="669">
        <f t="shared" si="95"/>
        <v>8.9191566742497844E-16</v>
      </c>
      <c r="AW111" s="669">
        <f t="shared" si="95"/>
        <v>9.1439194224408021E-16</v>
      </c>
      <c r="AX111" s="669">
        <f t="shared" si="95"/>
        <v>9.3743461918863574E-16</v>
      </c>
      <c r="AY111" s="669">
        <f t="shared" si="95"/>
        <v>9.6105797159219194E-16</v>
      </c>
      <c r="AZ111" s="669">
        <f t="shared" si="95"/>
        <v>9.8527663247630905E-16</v>
      </c>
      <c r="BA111" s="669">
        <f t="shared" si="95"/>
        <v>1.010105603614718E-15</v>
      </c>
      <c r="BB111" s="669">
        <f t="shared" si="95"/>
        <v>1.0355602648258043E-15</v>
      </c>
      <c r="BC111" s="669">
        <f t="shared" si="95"/>
        <v>1.0616563834994134E-15</v>
      </c>
      <c r="BD111" s="669">
        <f t="shared" si="95"/>
        <v>1.0884101243636021E-15</v>
      </c>
      <c r="BE111" s="669">
        <f t="shared" si="95"/>
        <v>1.1158380594975648E-15</v>
      </c>
      <c r="BF111" s="669">
        <f t="shared" si="95"/>
        <v>1.1439571785969013E-15</v>
      </c>
      <c r="BG111" s="669">
        <f t="shared" si="95"/>
        <v>1.1727848994975412E-15</v>
      </c>
      <c r="BH111" s="669">
        <f t="shared" si="95"/>
        <v>1.2023390789648858E-15</v>
      </c>
      <c r="BI111" s="669">
        <f t="shared" si="95"/>
        <v>1.5961082102465979E-14</v>
      </c>
      <c r="BJ111" s="47"/>
      <c r="BK111" s="47"/>
      <c r="BL111" s="47"/>
      <c r="BM111" s="47"/>
    </row>
    <row r="112" spans="1:65">
      <c r="A112" s="47"/>
      <c r="B112" s="629" t="s">
        <v>413</v>
      </c>
      <c r="C112" s="47"/>
      <c r="D112" s="47"/>
      <c r="E112" s="86"/>
      <c r="F112" s="670"/>
      <c r="G112" s="670"/>
      <c r="H112" s="670"/>
      <c r="I112" s="670"/>
      <c r="J112" s="670"/>
      <c r="K112" s="670"/>
      <c r="L112" s="670"/>
      <c r="M112" s="670"/>
      <c r="N112" s="670"/>
      <c r="O112" s="670"/>
      <c r="P112" s="670"/>
      <c r="Q112" s="670"/>
      <c r="R112" s="670"/>
      <c r="S112" s="670"/>
      <c r="T112" s="670"/>
      <c r="U112" s="670"/>
      <c r="V112" s="670"/>
      <c r="W112" s="670"/>
      <c r="X112" s="670"/>
      <c r="Y112" s="670"/>
      <c r="Z112" s="670"/>
      <c r="AA112" s="670"/>
      <c r="AB112" s="670"/>
      <c r="AC112" s="670"/>
      <c r="AD112" s="670"/>
      <c r="AE112" s="670"/>
      <c r="AF112" s="670"/>
      <c r="AG112" s="670"/>
      <c r="AH112" s="670"/>
      <c r="AI112" s="670"/>
      <c r="AJ112" s="670"/>
      <c r="AK112" s="670"/>
      <c r="AL112" s="670"/>
      <c r="AM112" s="670"/>
      <c r="AN112" s="670"/>
      <c r="AO112" s="670"/>
      <c r="AP112" s="670"/>
      <c r="AQ112" s="670"/>
      <c r="AR112" s="670"/>
      <c r="AS112" s="670"/>
      <c r="AT112" s="670"/>
      <c r="AU112" s="670"/>
      <c r="AV112" s="670"/>
      <c r="AW112" s="670"/>
      <c r="AX112" s="670"/>
      <c r="AY112" s="670"/>
      <c r="AZ112" s="670"/>
      <c r="BA112" s="670"/>
      <c r="BB112" s="670"/>
      <c r="BC112" s="670"/>
      <c r="BD112" s="670"/>
      <c r="BE112" s="670"/>
      <c r="BF112" s="670"/>
      <c r="BG112" s="670"/>
      <c r="BH112" s="670"/>
      <c r="BI112" s="670"/>
      <c r="BJ112" s="47"/>
      <c r="BK112" s="47"/>
      <c r="BL112" s="47"/>
      <c r="BM112" s="47"/>
    </row>
    <row r="113" spans="1:65">
      <c r="A113" s="47"/>
      <c r="B113" s="47" t="s">
        <v>81</v>
      </c>
      <c r="C113" s="47"/>
      <c r="D113" s="47"/>
      <c r="E113" s="143">
        <f ca="1">IRR(OFFSET(F113,0,0,1,55+1))</f>
        <v>0.14935968709073788</v>
      </c>
      <c r="F113" s="705">
        <f t="shared" ref="F113:AK113" si="96">F109/F$7</f>
        <v>-13.914610730452317</v>
      </c>
      <c r="G113" s="667">
        <f t="shared" si="96"/>
        <v>3.0072891253660905</v>
      </c>
      <c r="H113" s="667">
        <f t="shared" si="96"/>
        <v>2.6647083257461111</v>
      </c>
      <c r="I113" s="667">
        <f t="shared" si="96"/>
        <v>2.344813070247759</v>
      </c>
      <c r="J113" s="667">
        <f t="shared" si="96"/>
        <v>2.7285783289429806</v>
      </c>
      <c r="K113" s="667">
        <f t="shared" si="96"/>
        <v>1.9308895135626429</v>
      </c>
      <c r="L113" s="667">
        <f t="shared" si="96"/>
        <v>2.5894404946117993</v>
      </c>
      <c r="M113" s="667">
        <f t="shared" si="96"/>
        <v>2.4903821774553903</v>
      </c>
      <c r="N113" s="667">
        <f t="shared" si="96"/>
        <v>1.5412963659705199</v>
      </c>
      <c r="O113" s="667">
        <f t="shared" si="96"/>
        <v>1.4907967996273939</v>
      </c>
      <c r="P113" s="667">
        <f t="shared" si="96"/>
        <v>1.4402972332842614</v>
      </c>
      <c r="Q113" s="667">
        <f t="shared" si="96"/>
        <v>1.3897976669411349</v>
      </c>
      <c r="R113" s="667">
        <f t="shared" si="96"/>
        <v>1.3392981005980071</v>
      </c>
      <c r="S113" s="667">
        <f t="shared" si="96"/>
        <v>1.2887985342548749</v>
      </c>
      <c r="T113" s="667">
        <f t="shared" si="96"/>
        <v>1.238298967911746</v>
      </c>
      <c r="U113" s="667">
        <f t="shared" si="96"/>
        <v>1.1877994015686191</v>
      </c>
      <c r="V113" s="667">
        <f t="shared" si="96"/>
        <v>1.1372998352254888</v>
      </c>
      <c r="W113" s="667">
        <f t="shared" si="96"/>
        <v>1.0868002688823617</v>
      </c>
      <c r="X113" s="667">
        <f t="shared" si="96"/>
        <v>1.2427657396345966</v>
      </c>
      <c r="Y113" s="667">
        <f t="shared" si="96"/>
        <v>1.3430680299410154</v>
      </c>
      <c r="Z113" s="667">
        <f t="shared" si="96"/>
        <v>1.3627711765762323</v>
      </c>
      <c r="AA113" s="667">
        <f t="shared" si="96"/>
        <v>1.3684612899426709</v>
      </c>
      <c r="AB113" s="667">
        <f t="shared" si="96"/>
        <v>1.3097596735731378</v>
      </c>
      <c r="AC113" s="667">
        <f t="shared" si="96"/>
        <v>1.2510580572036032</v>
      </c>
      <c r="AD113" s="667">
        <f t="shared" si="96"/>
        <v>0.48522647947235981</v>
      </c>
      <c r="AE113" s="667">
        <f t="shared" si="96"/>
        <v>0.46498820636534788</v>
      </c>
      <c r="AF113" s="667">
        <f t="shared" si="96"/>
        <v>0.44622638213773241</v>
      </c>
      <c r="AG113" s="667">
        <f t="shared" si="96"/>
        <v>0.42746455791011617</v>
      </c>
      <c r="AH113" s="667">
        <f t="shared" si="96"/>
        <v>0.40870273368250054</v>
      </c>
      <c r="AI113" s="667">
        <f t="shared" si="96"/>
        <v>0.38994090945488497</v>
      </c>
      <c r="AJ113" s="667">
        <f t="shared" si="96"/>
        <v>0.31014996163740766</v>
      </c>
      <c r="AK113" s="667">
        <f t="shared" si="96"/>
        <v>0.22498838444332867</v>
      </c>
      <c r="AL113" s="667">
        <f t="shared" ref="AL113:BI113" si="97">AL109/AL$7</f>
        <v>0.14360898732108335</v>
      </c>
      <c r="AM113" s="667">
        <f t="shared" si="97"/>
        <v>7.8724583692055441E-2</v>
      </c>
      <c r="AN113" s="667">
        <f t="shared" si="97"/>
        <v>-4.5641840331022476E-16</v>
      </c>
      <c r="AO113" s="667">
        <f t="shared" si="97"/>
        <v>3.1359035539975518E-16</v>
      </c>
      <c r="AP113" s="667">
        <f t="shared" si="97"/>
        <v>3.1359035539975425E-16</v>
      </c>
      <c r="AQ113" s="667">
        <f t="shared" si="97"/>
        <v>3.1359035539975553E-16</v>
      </c>
      <c r="AR113" s="667">
        <f t="shared" si="97"/>
        <v>3.1359035539975543E-16</v>
      </c>
      <c r="AS113" s="667">
        <f t="shared" si="97"/>
        <v>3.1359035539975656E-16</v>
      </c>
      <c r="AT113" s="667">
        <f t="shared" si="97"/>
        <v>3.1359035539975449E-16</v>
      </c>
      <c r="AU113" s="667">
        <f t="shared" si="97"/>
        <v>3.1359035539975513E-16</v>
      </c>
      <c r="AV113" s="667">
        <f t="shared" si="97"/>
        <v>3.1359035539975637E-16</v>
      </c>
      <c r="AW113" s="667">
        <f t="shared" si="97"/>
        <v>3.5017426547917704E-16</v>
      </c>
      <c r="AX113" s="667">
        <f t="shared" si="97"/>
        <v>3.6452314490749825E-16</v>
      </c>
      <c r="AY113" s="667">
        <f t="shared" si="97"/>
        <v>3.6452314490749909E-16</v>
      </c>
      <c r="AZ113" s="667">
        <f t="shared" si="97"/>
        <v>3.6452314490749726E-16</v>
      </c>
      <c r="BA113" s="667">
        <f t="shared" si="97"/>
        <v>3.6452314490749914E-16</v>
      </c>
      <c r="BB113" s="667">
        <f t="shared" si="97"/>
        <v>3.6452314490749771E-16</v>
      </c>
      <c r="BC113" s="667">
        <f t="shared" si="97"/>
        <v>3.6452314490749741E-16</v>
      </c>
      <c r="BD113" s="667">
        <f t="shared" si="97"/>
        <v>3.6452314490749855E-16</v>
      </c>
      <c r="BE113" s="667">
        <f t="shared" si="97"/>
        <v>3.645231449074985E-16</v>
      </c>
      <c r="BF113" s="667">
        <f t="shared" si="97"/>
        <v>3.64523144907498E-16</v>
      </c>
      <c r="BG113" s="667">
        <f t="shared" si="97"/>
        <v>3.6452314490749751E-16</v>
      </c>
      <c r="BH113" s="667">
        <f t="shared" si="97"/>
        <v>3.6452314490749924E-16</v>
      </c>
      <c r="BI113" s="667">
        <f t="shared" si="97"/>
        <v>4.1115258530174008E-15</v>
      </c>
      <c r="BJ113" s="47"/>
      <c r="BK113" s="47"/>
      <c r="BL113" s="47"/>
      <c r="BM113" s="47"/>
    </row>
    <row r="114" spans="1:65">
      <c r="A114" s="47"/>
      <c r="B114" s="47" t="s">
        <v>82</v>
      </c>
      <c r="C114" s="47"/>
      <c r="D114" s="47"/>
      <c r="E114" s="144">
        <f ca="1">IRR(OFFSET(F114,0,0,1,55+1))</f>
        <v>6.5331647357204536E-2</v>
      </c>
      <c r="F114" s="706">
        <f t="shared" ref="F114:AK114" si="98">F110/F$7</f>
        <v>-13.914610730452317</v>
      </c>
      <c r="G114" s="669">
        <f t="shared" si="98"/>
        <v>0.62911899379191705</v>
      </c>
      <c r="H114" s="669">
        <f t="shared" si="98"/>
        <v>0.59326437894162087</v>
      </c>
      <c r="I114" s="669">
        <f t="shared" si="98"/>
        <v>0.75591357665524839</v>
      </c>
      <c r="J114" s="669">
        <f t="shared" si="98"/>
        <v>0.95471313408172076</v>
      </c>
      <c r="K114" s="669">
        <f t="shared" si="98"/>
        <v>0.8694700391471768</v>
      </c>
      <c r="L114" s="669">
        <f t="shared" si="98"/>
        <v>2.3207853358963888</v>
      </c>
      <c r="M114" s="669">
        <f t="shared" si="98"/>
        <v>2.2151963054865624</v>
      </c>
      <c r="N114" s="669">
        <f t="shared" si="98"/>
        <v>1.5412963659705199</v>
      </c>
      <c r="O114" s="669">
        <f t="shared" si="98"/>
        <v>1.4907967996273939</v>
      </c>
      <c r="P114" s="669">
        <f t="shared" si="98"/>
        <v>1.4402972332842614</v>
      </c>
      <c r="Q114" s="669">
        <f t="shared" si="98"/>
        <v>1.3897976669411349</v>
      </c>
      <c r="R114" s="669">
        <f t="shared" si="98"/>
        <v>1.3392981005980071</v>
      </c>
      <c r="S114" s="669">
        <f t="shared" si="98"/>
        <v>1.2887985342548749</v>
      </c>
      <c r="T114" s="669">
        <f t="shared" si="98"/>
        <v>1.238298967911746</v>
      </c>
      <c r="U114" s="669">
        <f t="shared" si="98"/>
        <v>1.1877994015686191</v>
      </c>
      <c r="V114" s="669">
        <f t="shared" si="98"/>
        <v>1.1372998352254888</v>
      </c>
      <c r="W114" s="669">
        <f t="shared" si="98"/>
        <v>1.0868002688823617</v>
      </c>
      <c r="X114" s="669">
        <f t="shared" si="98"/>
        <v>0.96747902350744586</v>
      </c>
      <c r="Y114" s="669">
        <f t="shared" si="98"/>
        <v>0.86671217161446346</v>
      </c>
      <c r="Z114" s="669">
        <f t="shared" si="98"/>
        <v>0.79281170094522169</v>
      </c>
      <c r="AA114" s="669">
        <f t="shared" si="98"/>
        <v>0.72358224136557037</v>
      </c>
      <c r="AB114" s="669">
        <f t="shared" si="98"/>
        <v>0.67581669169791037</v>
      </c>
      <c r="AC114" s="669">
        <f t="shared" si="98"/>
        <v>0.62805114203024892</v>
      </c>
      <c r="AD114" s="669">
        <f t="shared" si="98"/>
        <v>0.26967710466165068</v>
      </c>
      <c r="AE114" s="669">
        <f t="shared" si="98"/>
        <v>0.25373255902091085</v>
      </c>
      <c r="AF114" s="669">
        <f t="shared" si="98"/>
        <v>0.23846604844718852</v>
      </c>
      <c r="AG114" s="669">
        <f t="shared" si="98"/>
        <v>0.22319953787346539</v>
      </c>
      <c r="AH114" s="669">
        <f t="shared" si="98"/>
        <v>0.20793302729974292</v>
      </c>
      <c r="AI114" s="669">
        <f t="shared" si="98"/>
        <v>0.19266651672602042</v>
      </c>
      <c r="AJ114" s="669">
        <f t="shared" si="98"/>
        <v>0.15059282102404081</v>
      </c>
      <c r="AK114" s="669">
        <f t="shared" si="98"/>
        <v>0.10744824855820874</v>
      </c>
      <c r="AL114" s="669">
        <f t="shared" ref="AL114:BI114" si="99">AL110/AL$7</f>
        <v>6.7439169061729101E-2</v>
      </c>
      <c r="AM114" s="669">
        <f t="shared" si="99"/>
        <v>3.6152981064518773E-2</v>
      </c>
      <c r="AN114" s="669">
        <f t="shared" si="99"/>
        <v>-4.5641840331022476E-16</v>
      </c>
      <c r="AO114" s="669">
        <f t="shared" si="99"/>
        <v>3.1359035539975518E-16</v>
      </c>
      <c r="AP114" s="669">
        <f t="shared" si="99"/>
        <v>3.1359035539975425E-16</v>
      </c>
      <c r="AQ114" s="669">
        <f t="shared" si="99"/>
        <v>3.1359035539975553E-16</v>
      </c>
      <c r="AR114" s="669">
        <f t="shared" si="99"/>
        <v>3.1359035539975543E-16</v>
      </c>
      <c r="AS114" s="669">
        <f t="shared" si="99"/>
        <v>3.1359035539975656E-16</v>
      </c>
      <c r="AT114" s="669">
        <f t="shared" si="99"/>
        <v>3.1359035539975449E-16</v>
      </c>
      <c r="AU114" s="669">
        <f t="shared" si="99"/>
        <v>3.1359035539975513E-16</v>
      </c>
      <c r="AV114" s="669">
        <f t="shared" si="99"/>
        <v>3.1359035539975637E-16</v>
      </c>
      <c r="AW114" s="669">
        <f t="shared" si="99"/>
        <v>3.0139571870661271E-16</v>
      </c>
      <c r="AX114" s="669">
        <f t="shared" si="99"/>
        <v>2.9661275889717442E-16</v>
      </c>
      <c r="AY114" s="669">
        <f t="shared" si="99"/>
        <v>2.9661275889717526E-16</v>
      </c>
      <c r="AZ114" s="669">
        <f t="shared" si="99"/>
        <v>2.9661275889717334E-16</v>
      </c>
      <c r="BA114" s="669">
        <f t="shared" si="99"/>
        <v>2.9661275889717526E-16</v>
      </c>
      <c r="BB114" s="669">
        <f t="shared" si="99"/>
        <v>2.9661275889717393E-16</v>
      </c>
      <c r="BC114" s="669">
        <f t="shared" si="99"/>
        <v>2.9661275889717359E-16</v>
      </c>
      <c r="BD114" s="669">
        <f t="shared" si="99"/>
        <v>2.9661275889717467E-16</v>
      </c>
      <c r="BE114" s="669">
        <f t="shared" si="99"/>
        <v>2.9661275889717467E-16</v>
      </c>
      <c r="BF114" s="669">
        <f t="shared" si="99"/>
        <v>2.9661275889717413E-16</v>
      </c>
      <c r="BG114" s="669">
        <f t="shared" si="99"/>
        <v>2.9661275889717359E-16</v>
      </c>
      <c r="BH114" s="669">
        <f t="shared" si="99"/>
        <v>2.9661275889717536E-16</v>
      </c>
      <c r="BI114" s="669">
        <f t="shared" si="99"/>
        <v>4.0436154670070768E-15</v>
      </c>
      <c r="BJ114" s="47"/>
      <c r="BK114" s="47"/>
      <c r="BL114" s="47"/>
      <c r="BM114" s="47"/>
    </row>
    <row r="115" spans="1:65">
      <c r="A115" s="47"/>
      <c r="B115" s="47" t="s">
        <v>124</v>
      </c>
      <c r="C115" s="47"/>
      <c r="D115" s="47"/>
      <c r="E115" s="144">
        <f ca="1">IRR(OFFSET(F115,0,0,1,55+1))</f>
        <v>8.3690987124469318E-2</v>
      </c>
      <c r="F115" s="706">
        <f t="shared" ref="F115:AK115" si="100">F111/F$7</f>
        <v>-13.914610730452317</v>
      </c>
      <c r="G115" s="669">
        <f t="shared" si="100"/>
        <v>1.2236615266854607</v>
      </c>
      <c r="H115" s="669">
        <f t="shared" si="100"/>
        <v>1.1111253656427436</v>
      </c>
      <c r="I115" s="669">
        <f t="shared" si="100"/>
        <v>1.1531384500533759</v>
      </c>
      <c r="J115" s="669">
        <f t="shared" si="100"/>
        <v>1.3981794327970356</v>
      </c>
      <c r="K115" s="669">
        <f t="shared" si="100"/>
        <v>1.1348249077510433</v>
      </c>
      <c r="L115" s="669">
        <f t="shared" si="100"/>
        <v>2.3879491255752412</v>
      </c>
      <c r="M115" s="669">
        <f t="shared" si="100"/>
        <v>2.2839927734787695</v>
      </c>
      <c r="N115" s="669">
        <f t="shared" si="100"/>
        <v>1.5412963659705199</v>
      </c>
      <c r="O115" s="669">
        <f t="shared" si="100"/>
        <v>1.4907967996273939</v>
      </c>
      <c r="P115" s="669">
        <f t="shared" si="100"/>
        <v>1.4402972332842614</v>
      </c>
      <c r="Q115" s="669">
        <f t="shared" si="100"/>
        <v>1.3897976669411349</v>
      </c>
      <c r="R115" s="669">
        <f t="shared" si="100"/>
        <v>1.3392981005980071</v>
      </c>
      <c r="S115" s="669">
        <f t="shared" si="100"/>
        <v>1.2887985342548749</v>
      </c>
      <c r="T115" s="669">
        <f t="shared" si="100"/>
        <v>1.238298967911746</v>
      </c>
      <c r="U115" s="669">
        <f t="shared" si="100"/>
        <v>1.1877994015686191</v>
      </c>
      <c r="V115" s="669">
        <f t="shared" si="100"/>
        <v>1.1372998352254888</v>
      </c>
      <c r="W115" s="669">
        <f t="shared" si="100"/>
        <v>1.0868002688823617</v>
      </c>
      <c r="X115" s="669">
        <f t="shared" si="100"/>
        <v>1.0363007025392337</v>
      </c>
      <c r="Y115" s="669">
        <f t="shared" si="100"/>
        <v>0.98580113619610144</v>
      </c>
      <c r="Z115" s="669">
        <f t="shared" si="100"/>
        <v>0.9353015698529743</v>
      </c>
      <c r="AA115" s="669">
        <f t="shared" si="100"/>
        <v>0.88480200350984539</v>
      </c>
      <c r="AB115" s="669">
        <f t="shared" si="100"/>
        <v>0.83430243716671726</v>
      </c>
      <c r="AC115" s="669">
        <f t="shared" si="100"/>
        <v>0.78380287082358757</v>
      </c>
      <c r="AD115" s="669">
        <f t="shared" si="100"/>
        <v>0.32356444836432796</v>
      </c>
      <c r="AE115" s="669">
        <f t="shared" si="100"/>
        <v>0.30654647085702014</v>
      </c>
      <c r="AF115" s="669">
        <f t="shared" si="100"/>
        <v>0.2904061318698245</v>
      </c>
      <c r="AG115" s="669">
        <f t="shared" si="100"/>
        <v>0.27426579288262809</v>
      </c>
      <c r="AH115" s="669">
        <f t="shared" si="100"/>
        <v>0.25812545389543234</v>
      </c>
      <c r="AI115" s="669">
        <f t="shared" si="100"/>
        <v>0.24198511490823654</v>
      </c>
      <c r="AJ115" s="669">
        <f t="shared" si="100"/>
        <v>0.19048210617738254</v>
      </c>
      <c r="AK115" s="669">
        <f t="shared" si="100"/>
        <v>0.13683328252948873</v>
      </c>
      <c r="AL115" s="669">
        <f t="shared" ref="AL115:BI115" si="101">AL111/AL$7</f>
        <v>8.6481623626567666E-2</v>
      </c>
      <c r="AM115" s="669">
        <f t="shared" si="101"/>
        <v>4.6795881721402942E-2</v>
      </c>
      <c r="AN115" s="669">
        <f t="shared" si="101"/>
        <v>-4.5641840331022476E-16</v>
      </c>
      <c r="AO115" s="669">
        <f t="shared" si="101"/>
        <v>3.1359035539975518E-16</v>
      </c>
      <c r="AP115" s="669">
        <f t="shared" si="101"/>
        <v>3.1359035539975425E-16</v>
      </c>
      <c r="AQ115" s="669">
        <f t="shared" si="101"/>
        <v>3.1359035539975553E-16</v>
      </c>
      <c r="AR115" s="669">
        <f t="shared" si="101"/>
        <v>3.1359035539975543E-16</v>
      </c>
      <c r="AS115" s="669">
        <f t="shared" si="101"/>
        <v>3.1359035539975656E-16</v>
      </c>
      <c r="AT115" s="669">
        <f t="shared" si="101"/>
        <v>3.1359035539975449E-16</v>
      </c>
      <c r="AU115" s="669">
        <f t="shared" si="101"/>
        <v>3.1359035539975513E-16</v>
      </c>
      <c r="AV115" s="669">
        <f t="shared" si="101"/>
        <v>3.1359035539975637E-16</v>
      </c>
      <c r="AW115" s="669">
        <f t="shared" si="101"/>
        <v>3.1359035539975375E-16</v>
      </c>
      <c r="AX115" s="669">
        <f t="shared" si="101"/>
        <v>3.1359035539975538E-16</v>
      </c>
      <c r="AY115" s="669">
        <f t="shared" si="101"/>
        <v>3.1359035539975627E-16</v>
      </c>
      <c r="AZ115" s="669">
        <f t="shared" si="101"/>
        <v>3.1359035539975435E-16</v>
      </c>
      <c r="BA115" s="669">
        <f t="shared" si="101"/>
        <v>3.1359035539975622E-16</v>
      </c>
      <c r="BB115" s="669">
        <f t="shared" si="101"/>
        <v>3.1359035539975489E-16</v>
      </c>
      <c r="BC115" s="669">
        <f t="shared" si="101"/>
        <v>3.1359035539975459E-16</v>
      </c>
      <c r="BD115" s="669">
        <f t="shared" si="101"/>
        <v>3.1359035539975563E-16</v>
      </c>
      <c r="BE115" s="669">
        <f t="shared" si="101"/>
        <v>3.1359035539975563E-16</v>
      </c>
      <c r="BF115" s="669">
        <f t="shared" si="101"/>
        <v>3.1359035539975509E-16</v>
      </c>
      <c r="BG115" s="669">
        <f t="shared" si="101"/>
        <v>3.1359035539975459E-16</v>
      </c>
      <c r="BH115" s="669">
        <f t="shared" si="101"/>
        <v>3.1359035539975632E-16</v>
      </c>
      <c r="BI115" s="669">
        <f t="shared" si="101"/>
        <v>4.0605930635096574E-15</v>
      </c>
      <c r="BJ115" s="47"/>
      <c r="BK115" s="47"/>
      <c r="BL115" s="47"/>
      <c r="BM115" s="47"/>
    </row>
    <row r="116" spans="1:65">
      <c r="A116" s="47"/>
      <c r="B116" s="52" t="s">
        <v>412</v>
      </c>
      <c r="C116" s="47"/>
      <c r="D116" s="47"/>
      <c r="E116" s="86"/>
      <c r="F116" s="670"/>
      <c r="G116" s="670"/>
      <c r="H116" s="670"/>
      <c r="I116" s="670"/>
      <c r="J116" s="670"/>
      <c r="K116" s="670"/>
      <c r="L116" s="670"/>
      <c r="M116" s="670"/>
      <c r="N116" s="670"/>
      <c r="O116" s="670"/>
      <c r="P116" s="670"/>
      <c r="Q116" s="670"/>
      <c r="R116" s="670"/>
      <c r="S116" s="670"/>
      <c r="T116" s="670"/>
      <c r="U116" s="670"/>
      <c r="V116" s="670"/>
      <c r="W116" s="670"/>
      <c r="X116" s="670"/>
      <c r="Y116" s="670"/>
      <c r="Z116" s="670"/>
      <c r="AA116" s="670"/>
      <c r="AB116" s="670"/>
      <c r="AC116" s="670"/>
      <c r="AD116" s="670"/>
      <c r="AE116" s="670"/>
      <c r="AF116" s="670"/>
      <c r="AG116" s="670"/>
      <c r="AH116" s="670"/>
      <c r="AI116" s="670"/>
      <c r="AJ116" s="670"/>
      <c r="AK116" s="670"/>
      <c r="AL116" s="670"/>
      <c r="AM116" s="670"/>
      <c r="AN116" s="670"/>
      <c r="AO116" s="670"/>
      <c r="AP116" s="670"/>
      <c r="AQ116" s="670"/>
      <c r="AR116" s="670"/>
      <c r="AS116" s="670"/>
      <c r="AT116" s="670"/>
      <c r="AU116" s="670"/>
      <c r="AV116" s="670"/>
      <c r="AW116" s="670"/>
      <c r="AX116" s="670"/>
      <c r="AY116" s="670"/>
      <c r="AZ116" s="670"/>
      <c r="BA116" s="670"/>
      <c r="BB116" s="670"/>
      <c r="BC116" s="670"/>
      <c r="BD116" s="670"/>
      <c r="BE116" s="670"/>
      <c r="BF116" s="670"/>
      <c r="BG116" s="670"/>
      <c r="BH116" s="670"/>
      <c r="BI116" s="670"/>
      <c r="BJ116" s="47"/>
      <c r="BK116" s="47"/>
      <c r="BL116" s="47"/>
      <c r="BM116" s="47"/>
    </row>
    <row r="117" spans="1:65">
      <c r="A117" s="47"/>
      <c r="B117" s="43" t="s">
        <v>222</v>
      </c>
      <c r="C117" s="47"/>
      <c r="D117" s="47"/>
      <c r="E117" s="150">
        <f t="shared" ref="E117" ca="1" si="102">IRR(OFFSET(F117,0,0,1,55+1))</f>
        <v>8.8700000000000223E-2</v>
      </c>
      <c r="F117" s="666">
        <f>F72</f>
        <v>-20.871916095678472</v>
      </c>
      <c r="G117" s="671">
        <f>G48+G72</f>
        <v>1.4163029668032705</v>
      </c>
      <c r="H117" s="671">
        <f t="shared" ref="H117:BH117" si="103">H48+H72</f>
        <v>1.276602508154689</v>
      </c>
      <c r="I117" s="671">
        <f t="shared" si="103"/>
        <v>1.37497439663261</v>
      </c>
      <c r="J117" s="671">
        <f t="shared" si="103"/>
        <v>1.815281318042264</v>
      </c>
      <c r="K117" s="671">
        <f t="shared" si="103"/>
        <v>1.4222823194323997</v>
      </c>
      <c r="L117" s="671">
        <f t="shared" si="103"/>
        <v>3.6401531760579546</v>
      </c>
      <c r="M117" s="671">
        <f t="shared" si="103"/>
        <v>3.5945159811424965</v>
      </c>
      <c r="N117" s="671">
        <f t="shared" si="103"/>
        <v>2.375079455502962</v>
      </c>
      <c r="O117" s="671">
        <f t="shared" si="103"/>
        <v>2.3647951785152177</v>
      </c>
      <c r="P117" s="671">
        <f t="shared" si="103"/>
        <v>2.3524843035098755</v>
      </c>
      <c r="Q117" s="671">
        <f t="shared" si="103"/>
        <v>2.3380512208740898</v>
      </c>
      <c r="R117" s="671">
        <f t="shared" si="103"/>
        <v>2.3213967892413621</v>
      </c>
      <c r="S117" s="671">
        <f t="shared" si="103"/>
        <v>2.302418218207047</v>
      </c>
      <c r="T117" s="671">
        <f t="shared" si="103"/>
        <v>2.2810089473755579</v>
      </c>
      <c r="U117" s="671">
        <f t="shared" si="103"/>
        <v>2.2570585216288688</v>
      </c>
      <c r="V117" s="671">
        <f t="shared" si="103"/>
        <v>2.2304524625026101</v>
      </c>
      <c r="W117" s="671">
        <f t="shared" si="103"/>
        <v>2.201072135552808</v>
      </c>
      <c r="X117" s="671">
        <f t="shared" si="103"/>
        <v>2.1687946135929508</v>
      </c>
      <c r="Y117" s="671">
        <f t="shared" si="103"/>
        <v>2.1334925356773602</v>
      </c>
      <c r="Z117" s="671">
        <f t="shared" si="103"/>
        <v>2.0950339617033995</v>
      </c>
      <c r="AA117" s="671">
        <f t="shared" si="103"/>
        <v>2.0532822225012981</v>
      </c>
      <c r="AB117" s="671">
        <f t="shared" si="103"/>
        <v>2.0080957652763702</v>
      </c>
      <c r="AC117" s="671">
        <f t="shared" si="103"/>
        <v>1.959327994264731</v>
      </c>
      <c r="AD117" s="671">
        <f t="shared" si="103"/>
        <v>0.7899516431266479</v>
      </c>
      <c r="AE117" s="671">
        <f t="shared" si="103"/>
        <v>0.7740736231622467</v>
      </c>
      <c r="AF117" s="671">
        <f t="shared" si="103"/>
        <v>0.7593576089350178</v>
      </c>
      <c r="AG117" s="671">
        <f t="shared" si="103"/>
        <v>0.7434083398770851</v>
      </c>
      <c r="AH117" s="671">
        <f t="shared" si="103"/>
        <v>0.72617300520265315</v>
      </c>
      <c r="AI117" s="671">
        <f t="shared" si="103"/>
        <v>0.70759691562847438</v>
      </c>
      <c r="AJ117" s="671">
        <f t="shared" si="103"/>
        <v>0.57570691397222351</v>
      </c>
      <c r="AK117" s="671">
        <f t="shared" si="103"/>
        <v>0.42726230844343371</v>
      </c>
      <c r="AL117" s="671">
        <f t="shared" si="103"/>
        <v>0.27900995842688148</v>
      </c>
      <c r="AM117" s="671">
        <f t="shared" si="103"/>
        <v>0.15637840369075379</v>
      </c>
      <c r="AN117" s="671">
        <f t="shared" si="103"/>
        <v>-1.8265958579726023E-15</v>
      </c>
      <c r="AO117" s="671">
        <f t="shared" si="103"/>
        <v>8.3184288581436123E-16</v>
      </c>
      <c r="AP117" s="671">
        <f t="shared" si="103"/>
        <v>8.5280532653688544E-16</v>
      </c>
      <c r="AQ117" s="671">
        <f t="shared" si="103"/>
        <v>8.7429602076561155E-16</v>
      </c>
      <c r="AR117" s="671">
        <f t="shared" si="103"/>
        <v>8.9632828048890525E-16</v>
      </c>
      <c r="AS117" s="671">
        <f t="shared" si="103"/>
        <v>9.1891575315722243E-16</v>
      </c>
      <c r="AT117" s="671">
        <f t="shared" si="103"/>
        <v>9.4207243013678976E-16</v>
      </c>
      <c r="AU117" s="671">
        <f t="shared" si="103"/>
        <v>9.6581265537623491E-16</v>
      </c>
      <c r="AV117" s="671">
        <f t="shared" si="103"/>
        <v>9.9015113429171228E-16</v>
      </c>
      <c r="AW117" s="671">
        <f t="shared" si="103"/>
        <v>1.0151029428758714E-15</v>
      </c>
      <c r="AX117" s="671">
        <f t="shared" si="103"/>
        <v>1.0406835370363383E-15</v>
      </c>
      <c r="AY117" s="671">
        <f t="shared" si="103"/>
        <v>1.0669087621696515E-15</v>
      </c>
      <c r="AZ117" s="671">
        <f t="shared" si="103"/>
        <v>1.0937948629763326E-15</v>
      </c>
      <c r="BA117" s="671">
        <f t="shared" si="103"/>
        <v>1.1213584935233293E-15</v>
      </c>
      <c r="BB117" s="671">
        <f t="shared" si="103"/>
        <v>1.149616727560122E-15</v>
      </c>
      <c r="BC117" s="671">
        <f t="shared" si="103"/>
        <v>1.178587069094638E-15</v>
      </c>
      <c r="BD117" s="671">
        <f t="shared" si="103"/>
        <v>1.2082874632358187E-15</v>
      </c>
      <c r="BE117" s="671">
        <f t="shared" si="103"/>
        <v>1.2387363073093619E-15</v>
      </c>
      <c r="BF117" s="671">
        <f t="shared" si="103"/>
        <v>1.2699524622535595E-15</v>
      </c>
      <c r="BG117" s="671">
        <f t="shared" si="103"/>
        <v>1.3019552643023512E-15</v>
      </c>
      <c r="BH117" s="671">
        <f t="shared" si="103"/>
        <v>1.3347645369627628E-15</v>
      </c>
      <c r="BI117" s="671">
        <f>BI48+BI72+Assets!$BI$474*$D$19</f>
        <v>2.3461066721361011E-14</v>
      </c>
      <c r="BJ117" s="620"/>
      <c r="BK117" s="47"/>
      <c r="BL117" s="47"/>
      <c r="BM117" s="47"/>
    </row>
    <row r="118" spans="1:65" s="13" customFormat="1">
      <c r="A118" s="78"/>
      <c r="B118" s="78" t="s">
        <v>88</v>
      </c>
      <c r="C118" s="78"/>
      <c r="D118" s="47"/>
      <c r="E118" s="86"/>
      <c r="F118" s="166"/>
      <c r="G118" s="708">
        <f>MAX(0,MIN(G48+G103,F119+G48))</f>
        <v>1.8513389576866806</v>
      </c>
      <c r="H118" s="708">
        <f t="shared" ref="H118:BI118" si="104">MAX(0,MIN(H48+H103,G119+H48))</f>
        <v>1.8899266500780389</v>
      </c>
      <c r="I118" s="708">
        <f t="shared" si="104"/>
        <v>1.94432850146664</v>
      </c>
      <c r="J118" s="708">
        <f t="shared" si="104"/>
        <v>1.9948302105654185</v>
      </c>
      <c r="K118" s="708">
        <f t="shared" si="104"/>
        <v>2.0107561973322223</v>
      </c>
      <c r="L118" s="708">
        <f t="shared" si="104"/>
        <v>2.0629538303019368</v>
      </c>
      <c r="M118" s="708">
        <f t="shared" si="104"/>
        <v>1.923056248333378</v>
      </c>
      <c r="N118" s="708">
        <f t="shared" si="104"/>
        <v>0.71200081260326975</v>
      </c>
      <c r="O118" s="708">
        <f t="shared" si="104"/>
        <v>0.68593616323305007</v>
      </c>
      <c r="P118" s="708">
        <f t="shared" si="104"/>
        <v>0.65585516796692112</v>
      </c>
      <c r="Q118" s="708">
        <f t="shared" si="104"/>
        <v>0.62157195506666518</v>
      </c>
      <c r="R118" s="708">
        <f t="shared" si="104"/>
        <v>1.9194510884761518</v>
      </c>
      <c r="S118" s="708">
        <f t="shared" si="104"/>
        <v>1.9807730701856356</v>
      </c>
      <c r="T118" s="708">
        <f t="shared" si="104"/>
        <v>1.9326986651579969</v>
      </c>
      <c r="U118" s="708">
        <f t="shared" si="104"/>
        <v>1.8796080905766948</v>
      </c>
      <c r="V118" s="708">
        <f t="shared" si="104"/>
        <v>1.821279060666392</v>
      </c>
      <c r="W118" s="708">
        <f t="shared" si="104"/>
        <v>2.2131457363867644</v>
      </c>
      <c r="X118" s="708">
        <f t="shared" si="104"/>
        <v>1.4883586204643813</v>
      </c>
      <c r="Y118" s="708">
        <f t="shared" si="104"/>
        <v>0.9514902760588958</v>
      </c>
      <c r="Z118" s="708">
        <f t="shared" si="104"/>
        <v>0.84664667563073803</v>
      </c>
      <c r="AA118" s="708">
        <f t="shared" si="104"/>
        <v>0.73591472335609298</v>
      </c>
      <c r="AB118" s="708">
        <f t="shared" si="104"/>
        <v>0.61906422618191326</v>
      </c>
      <c r="AC118" s="708">
        <f t="shared" si="104"/>
        <v>0.49585712866423487</v>
      </c>
      <c r="AD118" s="708">
        <f t="shared" si="104"/>
        <v>0.36604726288547085</v>
      </c>
      <c r="AE118" s="708">
        <f t="shared" si="104"/>
        <v>0.32844694435807847</v>
      </c>
      <c r="AF118" s="708">
        <f t="shared" si="104"/>
        <v>0.28891985794814873</v>
      </c>
      <c r="AG118" s="708">
        <f t="shared" si="104"/>
        <v>0.24719202943561344</v>
      </c>
      <c r="AH118" s="708">
        <f t="shared" si="104"/>
        <v>0.2031776426994549</v>
      </c>
      <c r="AI118" s="708">
        <f t="shared" si="104"/>
        <v>0.15678795404542123</v>
      </c>
      <c r="AJ118" s="708">
        <f t="shared" si="104"/>
        <v>0.10793119915300441</v>
      </c>
      <c r="AK118" s="708">
        <f t="shared" si="104"/>
        <v>6.6439493248539677E-2</v>
      </c>
      <c r="AL118" s="708">
        <f t="shared" si="104"/>
        <v>3.443450954075257E-2</v>
      </c>
      <c r="AM118" s="708">
        <f t="shared" si="104"/>
        <v>1.2740667224552932E-2</v>
      </c>
      <c r="AN118" s="708">
        <f t="shared" si="104"/>
        <v>0</v>
      </c>
      <c r="AO118" s="708">
        <f t="shared" si="104"/>
        <v>1.5811564774455622E-15</v>
      </c>
      <c r="AP118" s="708">
        <f t="shared" si="104"/>
        <v>1.6210016206771902E-15</v>
      </c>
      <c r="AQ118" s="708">
        <f t="shared" si="104"/>
        <v>1.2907766606252995E-15</v>
      </c>
      <c r="AR118" s="708">
        <f t="shared" si="104"/>
        <v>1.2520365114860751E-15</v>
      </c>
      <c r="AS118" s="708">
        <f t="shared" si="104"/>
        <v>1.2835878315755241E-15</v>
      </c>
      <c r="AT118" s="708">
        <f t="shared" si="104"/>
        <v>1.3159342449312274E-15</v>
      </c>
      <c r="AU118" s="708">
        <f t="shared" si="104"/>
        <v>1.349095787903494E-15</v>
      </c>
      <c r="AV118" s="708">
        <f t="shared" si="104"/>
        <v>1.3830930017586619E-15</v>
      </c>
      <c r="AW118" s="708">
        <f t="shared" si="104"/>
        <v>1.4179469454029804E-15</v>
      </c>
      <c r="AX118" s="708">
        <f t="shared" si="104"/>
        <v>1.4536792084271349E-15</v>
      </c>
      <c r="AY118" s="708">
        <f t="shared" si="104"/>
        <v>1.4903119244794985E-15</v>
      </c>
      <c r="AZ118" s="708">
        <f t="shared" si="104"/>
        <v>1.527867784976382E-15</v>
      </c>
      <c r="BA118" s="708">
        <f t="shared" si="104"/>
        <v>1.5663700531577864E-15</v>
      </c>
      <c r="BB118" s="708">
        <f t="shared" si="104"/>
        <v>1.6058425784973628E-15</v>
      </c>
      <c r="BC118" s="708">
        <f t="shared" si="104"/>
        <v>1.6463098114754958E-15</v>
      </c>
      <c r="BD118" s="708">
        <f t="shared" si="104"/>
        <v>1.6877968187246781E-15</v>
      </c>
      <c r="BE118" s="708">
        <f t="shared" si="104"/>
        <v>1.7303292985565399E-15</v>
      </c>
      <c r="BF118" s="708">
        <f t="shared" si="104"/>
        <v>1.7739335968801645E-15</v>
      </c>
      <c r="BG118" s="708">
        <f t="shared" si="104"/>
        <v>1.8186367235215446E-15</v>
      </c>
      <c r="BH118" s="708">
        <f t="shared" si="104"/>
        <v>1.8644663689542867E-15</v>
      </c>
      <c r="BI118" s="708">
        <f t="shared" si="104"/>
        <v>1.9114509214519349E-15</v>
      </c>
      <c r="BJ118" s="78"/>
      <c r="BK118" s="78"/>
      <c r="BL118" s="78"/>
      <c r="BM118" s="78"/>
    </row>
    <row r="119" spans="1:65" s="11" customFormat="1">
      <c r="A119" s="47"/>
      <c r="B119" s="47" t="s">
        <v>89</v>
      </c>
      <c r="C119" s="47"/>
      <c r="D119" s="51"/>
      <c r="E119" s="86"/>
      <c r="F119" s="712"/>
      <c r="G119" s="152">
        <f>MAX(0,F119+G48-G118)</f>
        <v>0</v>
      </c>
      <c r="H119" s="152">
        <f t="shared" ref="H119:BI119" si="105">MAX(0,G119+H48-H118)</f>
        <v>0</v>
      </c>
      <c r="I119" s="152">
        <f t="shared" si="105"/>
        <v>0</v>
      </c>
      <c r="J119" s="152">
        <f t="shared" si="105"/>
        <v>0</v>
      </c>
      <c r="K119" s="152">
        <f t="shared" si="105"/>
        <v>0</v>
      </c>
      <c r="L119" s="152">
        <f t="shared" si="105"/>
        <v>0</v>
      </c>
      <c r="M119" s="152">
        <f t="shared" si="105"/>
        <v>0</v>
      </c>
      <c r="N119" s="152">
        <f t="shared" si="105"/>
        <v>1.0627969574299392</v>
      </c>
      <c r="O119" s="152">
        <f t="shared" si="105"/>
        <v>2.0984135787289313</v>
      </c>
      <c r="P119" s="152">
        <f t="shared" si="105"/>
        <v>3.1070555949477443</v>
      </c>
      <c r="Q119" s="152">
        <f t="shared" si="105"/>
        <v>4.088956366582762</v>
      </c>
      <c r="R119" s="152">
        <f t="shared" si="105"/>
        <v>3.7078208923752007</v>
      </c>
      <c r="S119" s="152">
        <f t="shared" si="105"/>
        <v>3.1959041362380707</v>
      </c>
      <c r="T119" s="152">
        <f t="shared" si="105"/>
        <v>2.6581248442297167</v>
      </c>
      <c r="U119" s="152">
        <f t="shared" si="105"/>
        <v>2.0948399815688266</v>
      </c>
      <c r="V119" s="152">
        <f t="shared" si="105"/>
        <v>1.5064409282658899</v>
      </c>
      <c r="W119" s="152">
        <f t="shared" si="105"/>
        <v>0.43769052247173823</v>
      </c>
      <c r="X119" s="152">
        <f t="shared" si="105"/>
        <v>0</v>
      </c>
      <c r="Y119" s="152">
        <f t="shared" si="105"/>
        <v>0</v>
      </c>
      <c r="Z119" s="152">
        <f t="shared" si="105"/>
        <v>0</v>
      </c>
      <c r="AA119" s="152">
        <f t="shared" si="105"/>
        <v>0</v>
      </c>
      <c r="AB119" s="152">
        <f t="shared" si="105"/>
        <v>0</v>
      </c>
      <c r="AC119" s="152">
        <f t="shared" si="105"/>
        <v>0</v>
      </c>
      <c r="AD119" s="152">
        <f t="shared" si="105"/>
        <v>0</v>
      </c>
      <c r="AE119" s="152">
        <f t="shared" si="105"/>
        <v>0</v>
      </c>
      <c r="AF119" s="152">
        <f t="shared" si="105"/>
        <v>0</v>
      </c>
      <c r="AG119" s="152">
        <f t="shared" si="105"/>
        <v>0</v>
      </c>
      <c r="AH119" s="152">
        <f t="shared" si="105"/>
        <v>0</v>
      </c>
      <c r="AI119" s="152">
        <f t="shared" si="105"/>
        <v>0</v>
      </c>
      <c r="AJ119" s="152">
        <f t="shared" si="105"/>
        <v>0</v>
      </c>
      <c r="AK119" s="152">
        <f t="shared" si="105"/>
        <v>0</v>
      </c>
      <c r="AL119" s="152">
        <f t="shared" si="105"/>
        <v>0</v>
      </c>
      <c r="AM119" s="152">
        <f t="shared" si="105"/>
        <v>0</v>
      </c>
      <c r="AN119" s="152">
        <f t="shared" si="105"/>
        <v>9.1847249926041831E-16</v>
      </c>
      <c r="AO119" s="152">
        <f t="shared" si="105"/>
        <v>4.9927608436184369E-16</v>
      </c>
      <c r="AP119" s="152">
        <f t="shared" si="105"/>
        <v>6.9515919807824745E-17</v>
      </c>
      <c r="AQ119" s="152">
        <f t="shared" si="105"/>
        <v>0</v>
      </c>
      <c r="AR119" s="152">
        <f t="shared" si="105"/>
        <v>0</v>
      </c>
      <c r="AS119" s="152">
        <f t="shared" si="105"/>
        <v>0</v>
      </c>
      <c r="AT119" s="152">
        <f t="shared" si="105"/>
        <v>0</v>
      </c>
      <c r="AU119" s="152">
        <f t="shared" si="105"/>
        <v>0</v>
      </c>
      <c r="AV119" s="152">
        <f t="shared" si="105"/>
        <v>0</v>
      </c>
      <c r="AW119" s="152">
        <f t="shared" si="105"/>
        <v>0</v>
      </c>
      <c r="AX119" s="152">
        <f t="shared" si="105"/>
        <v>0</v>
      </c>
      <c r="AY119" s="152">
        <f t="shared" si="105"/>
        <v>0</v>
      </c>
      <c r="AZ119" s="152">
        <f t="shared" si="105"/>
        <v>0</v>
      </c>
      <c r="BA119" s="152">
        <f t="shared" si="105"/>
        <v>0</v>
      </c>
      <c r="BB119" s="152">
        <f t="shared" si="105"/>
        <v>0</v>
      </c>
      <c r="BC119" s="152">
        <f t="shared" si="105"/>
        <v>0</v>
      </c>
      <c r="BD119" s="152">
        <f t="shared" si="105"/>
        <v>0</v>
      </c>
      <c r="BE119" s="152">
        <f t="shared" si="105"/>
        <v>0</v>
      </c>
      <c r="BF119" s="152">
        <f t="shared" si="105"/>
        <v>0</v>
      </c>
      <c r="BG119" s="152">
        <f t="shared" si="105"/>
        <v>0</v>
      </c>
      <c r="BH119" s="152">
        <f t="shared" si="105"/>
        <v>0</v>
      </c>
      <c r="BI119" s="152">
        <f t="shared" si="105"/>
        <v>0</v>
      </c>
      <c r="BJ119" s="47"/>
      <c r="BK119" s="47"/>
      <c r="BL119" s="47"/>
      <c r="BM119" s="47"/>
    </row>
    <row r="120" spans="1:65">
      <c r="A120" s="47"/>
      <c r="B120" s="47" t="s">
        <v>45</v>
      </c>
      <c r="C120" s="146" t="s">
        <v>42</v>
      </c>
      <c r="D120" s="151">
        <f ca="1">1-$E$120/$E$117</f>
        <v>0.28957160205039756</v>
      </c>
      <c r="E120" s="150">
        <f t="shared" ref="E120" ca="1" si="106">IRR(OFFSET(F120,0,0,1,55+1))</f>
        <v>6.3014998898129893E-2</v>
      </c>
      <c r="F120" s="706">
        <f>F72</f>
        <v>-20.871916095678472</v>
      </c>
      <c r="G120" s="669">
        <f>G48-G118*G53+G72</f>
        <v>0.86090127949726636</v>
      </c>
      <c r="H120" s="669">
        <f t="shared" ref="H120:BH120" si="107">H48-H118*H53+H72</f>
        <v>0.70962451313127728</v>
      </c>
      <c r="I120" s="669">
        <f t="shared" si="107"/>
        <v>0.79167584619261788</v>
      </c>
      <c r="J120" s="669">
        <f t="shared" si="107"/>
        <v>1.2168322548726385</v>
      </c>
      <c r="K120" s="669">
        <f t="shared" si="107"/>
        <v>0.8190554602327329</v>
      </c>
      <c r="L120" s="669">
        <f t="shared" si="107"/>
        <v>3.0212670269673736</v>
      </c>
      <c r="M120" s="669">
        <f t="shared" si="107"/>
        <v>3.0175991066424834</v>
      </c>
      <c r="N120" s="669">
        <f t="shared" si="107"/>
        <v>2.1614792117219808</v>
      </c>
      <c r="O120" s="669">
        <f t="shared" si="107"/>
        <v>2.1590143295453026</v>
      </c>
      <c r="P120" s="669">
        <f t="shared" si="107"/>
        <v>2.1557277531197991</v>
      </c>
      <c r="Q120" s="669">
        <f t="shared" si="107"/>
        <v>2.1515796343540901</v>
      </c>
      <c r="R120" s="669">
        <f t="shared" si="107"/>
        <v>1.7455614626985163</v>
      </c>
      <c r="S120" s="669">
        <f t="shared" si="107"/>
        <v>1.7081862971513564</v>
      </c>
      <c r="T120" s="669">
        <f t="shared" si="107"/>
        <v>1.7011993478281588</v>
      </c>
      <c r="U120" s="669">
        <f t="shared" si="107"/>
        <v>1.6931760944558607</v>
      </c>
      <c r="V120" s="669">
        <f t="shared" si="107"/>
        <v>1.6840687443026925</v>
      </c>
      <c r="W120" s="669">
        <f t="shared" si="107"/>
        <v>1.537128414636779</v>
      </c>
      <c r="X120" s="669">
        <f t="shared" si="107"/>
        <v>1.7222870274536362</v>
      </c>
      <c r="Y120" s="669">
        <f t="shared" si="107"/>
        <v>1.8480454528596915</v>
      </c>
      <c r="Z120" s="669">
        <f t="shared" si="107"/>
        <v>1.8410399590141784</v>
      </c>
      <c r="AA120" s="669">
        <f t="shared" si="107"/>
        <v>1.8325078054944703</v>
      </c>
      <c r="AB120" s="669">
        <f t="shared" si="107"/>
        <v>1.8223764974217964</v>
      </c>
      <c r="AC120" s="669">
        <f t="shared" si="107"/>
        <v>1.8105708556654605</v>
      </c>
      <c r="AD120" s="669">
        <f t="shared" si="107"/>
        <v>0.68013746426100663</v>
      </c>
      <c r="AE120" s="669">
        <f t="shared" si="107"/>
        <v>0.67553953985482318</v>
      </c>
      <c r="AF120" s="669">
        <f t="shared" si="107"/>
        <v>0.67268165155057325</v>
      </c>
      <c r="AG120" s="669">
        <f t="shared" si="107"/>
        <v>0.66925073104640109</v>
      </c>
      <c r="AH120" s="669">
        <f t="shared" si="107"/>
        <v>0.66521971239281663</v>
      </c>
      <c r="AI120" s="669">
        <f t="shared" si="107"/>
        <v>0.660560529414848</v>
      </c>
      <c r="AJ120" s="669">
        <f t="shared" si="107"/>
        <v>0.54332755422632217</v>
      </c>
      <c r="AK120" s="669">
        <f t="shared" si="107"/>
        <v>0.40733046046887184</v>
      </c>
      <c r="AL120" s="669">
        <f t="shared" si="107"/>
        <v>0.2686796055646557</v>
      </c>
      <c r="AM120" s="669">
        <f t="shared" si="107"/>
        <v>0.15255620352338789</v>
      </c>
      <c r="AN120" s="669">
        <f t="shared" si="107"/>
        <v>-1.8265958579726023E-15</v>
      </c>
      <c r="AO120" s="669">
        <f t="shared" si="107"/>
        <v>3.5749594258069261E-16</v>
      </c>
      <c r="AP120" s="669">
        <f t="shared" si="107"/>
        <v>3.6650484033372845E-16</v>
      </c>
      <c r="AQ120" s="669">
        <f t="shared" si="107"/>
        <v>4.8706302257802171E-16</v>
      </c>
      <c r="AR120" s="669">
        <f t="shared" si="107"/>
        <v>5.2071732704308269E-16</v>
      </c>
      <c r="AS120" s="669">
        <f t="shared" si="107"/>
        <v>5.3383940368456529E-16</v>
      </c>
      <c r="AT120" s="669">
        <f t="shared" si="107"/>
        <v>5.4729215665742148E-16</v>
      </c>
      <c r="AU120" s="669">
        <f t="shared" si="107"/>
        <v>5.6108391900518676E-16</v>
      </c>
      <c r="AV120" s="669">
        <f t="shared" si="107"/>
        <v>5.7522323376411382E-16</v>
      </c>
      <c r="AW120" s="669">
        <f t="shared" si="107"/>
        <v>5.8971885925497733E-16</v>
      </c>
      <c r="AX120" s="669">
        <f t="shared" si="107"/>
        <v>6.0457977450819778E-16</v>
      </c>
      <c r="AY120" s="669">
        <f t="shared" si="107"/>
        <v>6.1981518482580212E-16</v>
      </c>
      <c r="AZ120" s="669">
        <f t="shared" si="107"/>
        <v>6.3543452748341807E-16</v>
      </c>
      <c r="BA120" s="669">
        <f t="shared" si="107"/>
        <v>6.5144747757599336E-16</v>
      </c>
      <c r="BB120" s="669">
        <f t="shared" si="107"/>
        <v>6.6786395401091303E-16</v>
      </c>
      <c r="BC120" s="669">
        <f t="shared" si="107"/>
        <v>6.8469412565198933E-16</v>
      </c>
      <c r="BD120" s="669">
        <f t="shared" si="107"/>
        <v>7.0194841761841531E-16</v>
      </c>
      <c r="BE120" s="669">
        <f t="shared" si="107"/>
        <v>7.1963751774240004E-16</v>
      </c>
      <c r="BF120" s="669">
        <f t="shared" si="107"/>
        <v>7.3777238318951011E-16</v>
      </c>
      <c r="BG120" s="669">
        <f t="shared" si="107"/>
        <v>7.5636424724588774E-16</v>
      </c>
      <c r="BH120" s="669">
        <f t="shared" si="107"/>
        <v>7.7542462627647697E-16</v>
      </c>
      <c r="BI120" s="669">
        <f>BI48-BI118*BI53+BI72+Assets!BI474*$D$19</f>
        <v>2.2887631444925431E-14</v>
      </c>
      <c r="BJ120" s="620"/>
      <c r="BK120" s="47"/>
      <c r="BL120" s="47"/>
      <c r="BM120" s="47"/>
    </row>
    <row r="121" spans="1:65">
      <c r="A121" s="47"/>
      <c r="B121" s="52" t="s">
        <v>32</v>
      </c>
      <c r="C121" s="47"/>
      <c r="D121" s="47"/>
      <c r="E121" s="86"/>
      <c r="F121" s="670"/>
      <c r="G121" s="670"/>
      <c r="H121" s="670"/>
      <c r="I121" s="670"/>
      <c r="J121" s="670"/>
      <c r="K121" s="670"/>
      <c r="L121" s="670"/>
      <c r="M121" s="670"/>
      <c r="N121" s="670"/>
      <c r="O121" s="670"/>
      <c r="P121" s="670"/>
      <c r="Q121" s="670"/>
      <c r="R121" s="670"/>
      <c r="S121" s="670"/>
      <c r="T121" s="670"/>
      <c r="U121" s="670"/>
      <c r="V121" s="670"/>
      <c r="W121" s="670"/>
      <c r="X121" s="670"/>
      <c r="Y121" s="670"/>
      <c r="Z121" s="670"/>
      <c r="AA121" s="670"/>
      <c r="AB121" s="670"/>
      <c r="AC121" s="670"/>
      <c r="AD121" s="670"/>
      <c r="AE121" s="670"/>
      <c r="AF121" s="670"/>
      <c r="AG121" s="670"/>
      <c r="AH121" s="670"/>
      <c r="AI121" s="670"/>
      <c r="AJ121" s="670"/>
      <c r="AK121" s="670"/>
      <c r="AL121" s="670"/>
      <c r="AM121" s="670"/>
      <c r="AN121" s="670"/>
      <c r="AO121" s="670"/>
      <c r="AP121" s="670"/>
      <c r="AQ121" s="670"/>
      <c r="AR121" s="670"/>
      <c r="AS121" s="670"/>
      <c r="AT121" s="670"/>
      <c r="AU121" s="670"/>
      <c r="AV121" s="670"/>
      <c r="AW121" s="670"/>
      <c r="AX121" s="670"/>
      <c r="AY121" s="670"/>
      <c r="AZ121" s="670"/>
      <c r="BA121" s="670"/>
      <c r="BB121" s="670"/>
      <c r="BC121" s="670"/>
      <c r="BD121" s="670"/>
      <c r="BE121" s="670"/>
      <c r="BF121" s="670"/>
      <c r="BG121" s="670"/>
      <c r="BH121" s="670"/>
      <c r="BI121" s="670"/>
      <c r="BJ121" s="47"/>
      <c r="BK121" s="47"/>
      <c r="BL121" s="47"/>
      <c r="BM121" s="47"/>
    </row>
    <row r="122" spans="1:65">
      <c r="A122" s="47"/>
      <c r="B122" s="47" t="s">
        <v>180</v>
      </c>
      <c r="C122" s="47"/>
      <c r="D122" s="47"/>
      <c r="E122" s="143">
        <f t="shared" ref="E122:E127" ca="1" si="108">IRR(OFFSET(F122,0,0,1,55+1))</f>
        <v>0.12158948107109557</v>
      </c>
      <c r="F122" s="709">
        <f>F102-F70-F30</f>
        <v>-34.786526826130789</v>
      </c>
      <c r="G122" s="497">
        <f t="shared" ref="G122:BH122" si="109">G102-G70-G30</f>
        <v>4.4993757781285852</v>
      </c>
      <c r="H122" s="497">
        <f t="shared" si="109"/>
        <v>4.0773043298935852</v>
      </c>
      <c r="I122" s="497">
        <f t="shared" si="109"/>
        <v>3.9015600093298097</v>
      </c>
      <c r="J122" s="497">
        <f t="shared" si="109"/>
        <v>4.8294726430476862</v>
      </c>
      <c r="K122" s="497">
        <f t="shared" si="109"/>
        <v>3.6090387459020317</v>
      </c>
      <c r="L122" s="497">
        <f t="shared" si="109"/>
        <v>6.6466276470049745</v>
      </c>
      <c r="M122" s="497">
        <f t="shared" si="109"/>
        <v>6.5588434760074614</v>
      </c>
      <c r="N122" s="497">
        <f t="shared" si="109"/>
        <v>4.2559328036792348</v>
      </c>
      <c r="O122" s="497">
        <f t="shared" si="109"/>
        <v>4.2298681543090151</v>
      </c>
      <c r="P122" s="497">
        <f t="shared" si="109"/>
        <v>4.1997871590428861</v>
      </c>
      <c r="Q122" s="497">
        <f t="shared" si="109"/>
        <v>4.1655039461426302</v>
      </c>
      <c r="R122" s="497">
        <f t="shared" si="109"/>
        <v>4.1268258264747235</v>
      </c>
      <c r="S122" s="497">
        <f t="shared" si="109"/>
        <v>4.0835530679495955</v>
      </c>
      <c r="T122" s="497">
        <f t="shared" si="109"/>
        <v>4.0354786629219568</v>
      </c>
      <c r="U122" s="497">
        <f t="shared" si="109"/>
        <v>3.9823880883406546</v>
      </c>
      <c r="V122" s="497">
        <f t="shared" si="109"/>
        <v>3.9240590584303519</v>
      </c>
      <c r="W122" s="497">
        <f t="shared" si="109"/>
        <v>3.8602612696809508</v>
      </c>
      <c r="X122" s="497">
        <f t="shared" si="109"/>
        <v>4.1139039901404741</v>
      </c>
      <c r="Y122" s="497">
        <f t="shared" si="109"/>
        <v>4.2885624505191648</v>
      </c>
      <c r="Z122" s="497">
        <f t="shared" si="109"/>
        <v>4.3368237659802933</v>
      </c>
      <c r="AA122" s="497">
        <f t="shared" si="109"/>
        <v>4.361161377929081</v>
      </c>
      <c r="AB122" s="497">
        <f t="shared" si="109"/>
        <v>4.2726397473940532</v>
      </c>
      <c r="AC122" s="497">
        <f t="shared" si="109"/>
        <v>4.1768871147586193</v>
      </c>
      <c r="AD122" s="497">
        <f t="shared" si="109"/>
        <v>1.6717125354487146</v>
      </c>
      <c r="AE122" s="497">
        <f t="shared" si="109"/>
        <v>1.6403508063412862</v>
      </c>
      <c r="AF122" s="497">
        <f t="shared" si="109"/>
        <v>1.6116307041115634</v>
      </c>
      <c r="AG122" s="497">
        <f t="shared" si="109"/>
        <v>1.5804214203534035</v>
      </c>
      <c r="AH122" s="497">
        <f t="shared" si="109"/>
        <v>1.5466157387314934</v>
      </c>
      <c r="AI122" s="497">
        <f t="shared" si="109"/>
        <v>1.5101026199370577</v>
      </c>
      <c r="AJ122" s="497">
        <f t="shared" si="109"/>
        <v>1.2300863711562071</v>
      </c>
      <c r="AK122" s="497">
        <f t="shared" si="109"/>
        <v>0.91392339350486473</v>
      </c>
      <c r="AL122" s="497">
        <f t="shared" si="109"/>
        <v>0.59747131452090896</v>
      </c>
      <c r="AM122" s="497">
        <f t="shared" si="109"/>
        <v>0.33535411231122092</v>
      </c>
      <c r="AN122" s="497">
        <f t="shared" si="109"/>
        <v>-2.8903847784435741E-15</v>
      </c>
      <c r="AO122" s="497">
        <f t="shared" si="109"/>
        <v>1.5811564774455622E-15</v>
      </c>
      <c r="AP122" s="497">
        <f t="shared" si="109"/>
        <v>1.6210016206771902E-15</v>
      </c>
      <c r="AQ122" s="497">
        <f t="shared" si="109"/>
        <v>1.6618508615182551E-15</v>
      </c>
      <c r="AR122" s="497">
        <f t="shared" si="109"/>
        <v>1.7037295032285151E-15</v>
      </c>
      <c r="AS122" s="497">
        <f t="shared" si="109"/>
        <v>1.7466634867098734E-15</v>
      </c>
      <c r="AT122" s="497">
        <f t="shared" si="109"/>
        <v>1.7906794065749618E-15</v>
      </c>
      <c r="AU122" s="497">
        <f t="shared" si="109"/>
        <v>1.8358045276206507E-15</v>
      </c>
      <c r="AV122" s="497">
        <f t="shared" si="109"/>
        <v>1.8820668017166907E-15</v>
      </c>
      <c r="AW122" s="497">
        <f t="shared" si="109"/>
        <v>2.0361691881282925E-15</v>
      </c>
      <c r="AX122" s="497">
        <f t="shared" si="109"/>
        <v>2.1303746249404756E-15</v>
      </c>
      <c r="AY122" s="497">
        <f t="shared" si="109"/>
        <v>2.1840600654889757E-15</v>
      </c>
      <c r="AZ122" s="497">
        <f t="shared" si="109"/>
        <v>2.2390983791392979E-15</v>
      </c>
      <c r="BA122" s="497">
        <f t="shared" si="109"/>
        <v>2.2955236582936071E-15</v>
      </c>
      <c r="BB122" s="497">
        <f t="shared" si="109"/>
        <v>2.3533708544826059E-15</v>
      </c>
      <c r="BC122" s="497">
        <f t="shared" si="109"/>
        <v>2.4126758000155673E-15</v>
      </c>
      <c r="BD122" s="497">
        <f t="shared" si="109"/>
        <v>2.4734752301759592E-15</v>
      </c>
      <c r="BE122" s="497">
        <f t="shared" si="109"/>
        <v>2.5358068059763935E-15</v>
      </c>
      <c r="BF122" s="497">
        <f t="shared" si="109"/>
        <v>2.5997091374869987E-15</v>
      </c>
      <c r="BG122" s="497">
        <f t="shared" si="109"/>
        <v>2.6652218077516707E-15</v>
      </c>
      <c r="BH122" s="497">
        <f t="shared" si="109"/>
        <v>2.7323853973070117E-15</v>
      </c>
      <c r="BI122" s="497">
        <f>BI102-BI70-BI30+Assets!BI474</f>
        <v>3.9622351706097114E-14</v>
      </c>
      <c r="BJ122" s="620"/>
      <c r="BK122" s="47"/>
      <c r="BL122" s="47"/>
      <c r="BM122" s="47"/>
    </row>
    <row r="123" spans="1:65">
      <c r="A123" s="47"/>
      <c r="B123" s="47" t="s">
        <v>181</v>
      </c>
      <c r="C123" s="47"/>
      <c r="D123" s="47"/>
      <c r="E123" s="144">
        <f t="shared" ca="1" si="108"/>
        <v>9.0120452824511199E-2</v>
      </c>
      <c r="F123" s="713">
        <f>F122-F105</f>
        <v>-34.786526826130789</v>
      </c>
      <c r="G123" s="152">
        <f t="shared" ref="G123:BI123" si="110">G122-G105</f>
        <v>2.0612757592387427</v>
      </c>
      <c r="H123" s="152">
        <f t="shared" si="110"/>
        <v>1.9001441584061691</v>
      </c>
      <c r="I123" s="152">
        <f t="shared" si="110"/>
        <v>2.189487242647167</v>
      </c>
      <c r="J123" s="152">
        <f t="shared" si="110"/>
        <v>2.8699287203518202</v>
      </c>
      <c r="K123" s="152">
        <f t="shared" si="110"/>
        <v>2.4069679694258097</v>
      </c>
      <c r="L123" s="152">
        <f t="shared" si="110"/>
        <v>6.334705099316853</v>
      </c>
      <c r="M123" s="152">
        <f t="shared" si="110"/>
        <v>6.2312869050280257</v>
      </c>
      <c r="N123" s="152">
        <f t="shared" si="110"/>
        <v>4.2559328036792348</v>
      </c>
      <c r="O123" s="152">
        <f t="shared" si="110"/>
        <v>4.2298681543090151</v>
      </c>
      <c r="P123" s="152">
        <f t="shared" si="110"/>
        <v>4.1997871590428861</v>
      </c>
      <c r="Q123" s="152">
        <f t="shared" si="110"/>
        <v>4.1655039461426302</v>
      </c>
      <c r="R123" s="152">
        <f t="shared" si="110"/>
        <v>4.1268258264747235</v>
      </c>
      <c r="S123" s="152">
        <f t="shared" si="110"/>
        <v>4.0835530679495955</v>
      </c>
      <c r="T123" s="152">
        <f t="shared" si="110"/>
        <v>4.0354786629219568</v>
      </c>
      <c r="U123" s="152">
        <f t="shared" si="110"/>
        <v>3.9823880883406546</v>
      </c>
      <c r="V123" s="152">
        <f t="shared" si="110"/>
        <v>3.9240590584303519</v>
      </c>
      <c r="W123" s="152">
        <f t="shared" si="110"/>
        <v>3.8602612696809508</v>
      </c>
      <c r="X123" s="152">
        <f t="shared" si="110"/>
        <v>3.6830401871719944</v>
      </c>
      <c r="Y123" s="152">
        <f t="shared" si="110"/>
        <v>3.5242078860796537</v>
      </c>
      <c r="Z123" s="152">
        <f t="shared" si="110"/>
        <v>3.3992273717487125</v>
      </c>
      <c r="AA123" s="152">
        <f t="shared" si="110"/>
        <v>3.2735873815571845</v>
      </c>
      <c r="AB123" s="152">
        <f t="shared" si="110"/>
        <v>3.1765670910304111</v>
      </c>
      <c r="AC123" s="152">
        <f t="shared" si="110"/>
        <v>3.0725781189303039</v>
      </c>
      <c r="AD123" s="152">
        <f t="shared" si="110"/>
        <v>1.2800129536797415</v>
      </c>
      <c r="AE123" s="152">
        <f t="shared" si="110"/>
        <v>1.2467796477463238</v>
      </c>
      <c r="AF123" s="152">
        <f t="shared" si="110"/>
        <v>1.2148174502625391</v>
      </c>
      <c r="AG123" s="152">
        <f t="shared" si="110"/>
        <v>1.1804526030780664</v>
      </c>
      <c r="AH123" s="152">
        <f t="shared" si="110"/>
        <v>1.1435843099218819</v>
      </c>
      <c r="AI123" s="152">
        <f t="shared" si="110"/>
        <v>1.1041082201695667</v>
      </c>
      <c r="AJ123" s="152">
        <f t="shared" si="110"/>
        <v>0.89343981955524621</v>
      </c>
      <c r="AK123" s="152">
        <f t="shared" si="110"/>
        <v>0.65967822342796723</v>
      </c>
      <c r="AL123" s="152">
        <f t="shared" si="110"/>
        <v>0.42856027302686206</v>
      </c>
      <c r="AM123" s="152">
        <f t="shared" si="110"/>
        <v>0.23857007878522052</v>
      </c>
      <c r="AN123" s="152">
        <f t="shared" si="110"/>
        <v>-2.8903847784435741E-15</v>
      </c>
      <c r="AO123" s="152">
        <f t="shared" si="110"/>
        <v>1.5811564774455622E-15</v>
      </c>
      <c r="AP123" s="152">
        <f t="shared" si="110"/>
        <v>1.6210016206771902E-15</v>
      </c>
      <c r="AQ123" s="152">
        <f t="shared" si="110"/>
        <v>1.6618508615182551E-15</v>
      </c>
      <c r="AR123" s="152">
        <f t="shared" si="110"/>
        <v>1.7037295032285151E-15</v>
      </c>
      <c r="AS123" s="152">
        <f t="shared" si="110"/>
        <v>1.7466634867098734E-15</v>
      </c>
      <c r="AT123" s="152">
        <f t="shared" si="110"/>
        <v>1.7906794065749618E-15</v>
      </c>
      <c r="AU123" s="152">
        <f t="shared" si="110"/>
        <v>1.8358045276206507E-15</v>
      </c>
      <c r="AV123" s="152">
        <f t="shared" si="110"/>
        <v>1.8820668017166907E-15</v>
      </c>
      <c r="AW123" s="152">
        <f t="shared" si="110"/>
        <v>1.8939367841171715E-15</v>
      </c>
      <c r="AX123" s="152">
        <f t="shared" si="110"/>
        <v>1.9273659999864733E-15</v>
      </c>
      <c r="AY123" s="152">
        <f t="shared" si="110"/>
        <v>1.9759356231861326E-15</v>
      </c>
      <c r="AZ123" s="152">
        <f t="shared" si="110"/>
        <v>2.0257292008904232E-15</v>
      </c>
      <c r="BA123" s="152">
        <f t="shared" si="110"/>
        <v>2.076777576752861E-15</v>
      </c>
      <c r="BB123" s="152">
        <f t="shared" si="110"/>
        <v>2.129112371687033E-15</v>
      </c>
      <c r="BC123" s="152">
        <f t="shared" si="110"/>
        <v>2.182766003453546E-15</v>
      </c>
      <c r="BD123" s="152">
        <f t="shared" si="110"/>
        <v>2.2377717067405748E-15</v>
      </c>
      <c r="BE123" s="152">
        <f t="shared" si="110"/>
        <v>2.2941635537504376E-15</v>
      </c>
      <c r="BF123" s="152">
        <f t="shared" si="110"/>
        <v>2.3519764753049486E-15</v>
      </c>
      <c r="BG123" s="152">
        <f t="shared" si="110"/>
        <v>2.411246282482633E-15</v>
      </c>
      <c r="BH123" s="152">
        <f t="shared" si="110"/>
        <v>2.4720096888011943E-15</v>
      </c>
      <c r="BI123" s="152">
        <f t="shared" si="110"/>
        <v>3.9355414529736949E-14</v>
      </c>
      <c r="BJ123" s="47"/>
      <c r="BK123" s="47"/>
      <c r="BL123" s="47"/>
      <c r="BM123" s="47"/>
    </row>
    <row r="124" spans="1:65">
      <c r="A124" s="47"/>
      <c r="B124" s="47" t="s">
        <v>182</v>
      </c>
      <c r="C124" s="47"/>
      <c r="D124" s="47"/>
      <c r="E124" s="144">
        <f t="shared" ca="1" si="108"/>
        <v>9.4020172718275674E-2</v>
      </c>
      <c r="F124" s="713">
        <f t="shared" ref="F124:BI124" si="111">F122/F$7</f>
        <v>-34.786526826130789</v>
      </c>
      <c r="G124" s="152">
        <f t="shared" si="111"/>
        <v>4.388778558455507</v>
      </c>
      <c r="H124" s="152">
        <f t="shared" si="111"/>
        <v>3.8793229290372531</v>
      </c>
      <c r="I124" s="152">
        <f t="shared" si="111"/>
        <v>3.6208663811974704</v>
      </c>
      <c r="J124" s="152">
        <f t="shared" si="111"/>
        <v>4.3718506800556822</v>
      </c>
      <c r="K124" s="152">
        <f t="shared" si="111"/>
        <v>3.1867541277808957</v>
      </c>
      <c r="L124" s="152">
        <f t="shared" si="111"/>
        <v>5.7246608770769498</v>
      </c>
      <c r="M124" s="152">
        <f t="shared" si="111"/>
        <v>5.5101964697435069</v>
      </c>
      <c r="N124" s="152">
        <f t="shared" si="111"/>
        <v>3.4875944849639402</v>
      </c>
      <c r="O124" s="152">
        <f t="shared" si="111"/>
        <v>3.3810333371035286</v>
      </c>
      <c r="P124" s="152">
        <f t="shared" si="111"/>
        <v>3.2744721892431161</v>
      </c>
      <c r="Q124" s="152">
        <f t="shared" si="111"/>
        <v>3.1679110413827019</v>
      </c>
      <c r="R124" s="152">
        <f t="shared" si="111"/>
        <v>3.0613498935222885</v>
      </c>
      <c r="S124" s="152">
        <f t="shared" si="111"/>
        <v>2.9547887456618747</v>
      </c>
      <c r="T124" s="152">
        <f t="shared" si="111"/>
        <v>2.8482275978014608</v>
      </c>
      <c r="U124" s="152">
        <f t="shared" si="111"/>
        <v>2.7416664499410479</v>
      </c>
      <c r="V124" s="152">
        <f t="shared" si="111"/>
        <v>2.6351053020806336</v>
      </c>
      <c r="W124" s="152">
        <f t="shared" si="111"/>
        <v>2.5285441542202198</v>
      </c>
      <c r="X124" s="152">
        <f t="shared" si="111"/>
        <v>2.6284480434551694</v>
      </c>
      <c r="Y124" s="152">
        <f t="shared" si="111"/>
        <v>2.6726887522443072</v>
      </c>
      <c r="Z124" s="152">
        <f t="shared" si="111"/>
        <v>2.636330317362237</v>
      </c>
      <c r="AA124" s="152">
        <f t="shared" si="111"/>
        <v>2.5859588492113912</v>
      </c>
      <c r="AB124" s="152">
        <f t="shared" si="111"/>
        <v>2.4711956513245728</v>
      </c>
      <c r="AC124" s="152">
        <f t="shared" si="111"/>
        <v>2.3564324534377543</v>
      </c>
      <c r="AD124" s="152">
        <f t="shared" si="111"/>
        <v>0.91993101001502919</v>
      </c>
      <c r="AE124" s="152">
        <f t="shared" si="111"/>
        <v>0.88048466941203651</v>
      </c>
      <c r="AF124" s="152">
        <f t="shared" si="111"/>
        <v>0.84380481151856523</v>
      </c>
      <c r="AG124" s="152">
        <f t="shared" si="111"/>
        <v>0.80712495362509384</v>
      </c>
      <c r="AH124" s="152">
        <f t="shared" si="111"/>
        <v>0.77044509573162256</v>
      </c>
      <c r="AI124" s="152">
        <f t="shared" si="111"/>
        <v>0.73376523783815117</v>
      </c>
      <c r="AJ124" s="152">
        <f t="shared" si="111"/>
        <v>0.58301225173933102</v>
      </c>
      <c r="AK124" s="152">
        <f t="shared" si="111"/>
        <v>0.42251610848167254</v>
      </c>
      <c r="AL124" s="152">
        <f t="shared" si="111"/>
        <v>0.26942751071627863</v>
      </c>
      <c r="AM124" s="152">
        <f t="shared" si="111"/>
        <v>0.14750947536184567</v>
      </c>
      <c r="AN124" s="152">
        <f t="shared" si="111"/>
        <v>-1.2401189560663334E-15</v>
      </c>
      <c r="AO124" s="152">
        <f t="shared" si="111"/>
        <v>6.6171950868444992E-16</v>
      </c>
      <c r="AP124" s="152">
        <f t="shared" si="111"/>
        <v>6.6171950868445002E-16</v>
      </c>
      <c r="AQ124" s="152">
        <f t="shared" si="111"/>
        <v>6.6171950868444992E-16</v>
      </c>
      <c r="AR124" s="152">
        <f t="shared" si="111"/>
        <v>6.6171950868445002E-16</v>
      </c>
      <c r="AS124" s="152">
        <f t="shared" si="111"/>
        <v>6.6171950868444992E-16</v>
      </c>
      <c r="AT124" s="152">
        <f t="shared" si="111"/>
        <v>6.6171950868444992E-16</v>
      </c>
      <c r="AU124" s="152">
        <f t="shared" si="111"/>
        <v>6.6171950868444982E-16</v>
      </c>
      <c r="AV124" s="152">
        <f t="shared" si="111"/>
        <v>6.6171950868444972E-16</v>
      </c>
      <c r="AW124" s="152">
        <f t="shared" si="111"/>
        <v>6.9830341876387321E-16</v>
      </c>
      <c r="AX124" s="152">
        <f t="shared" si="111"/>
        <v>7.1265229819219274E-16</v>
      </c>
      <c r="AY124" s="152">
        <f t="shared" si="111"/>
        <v>7.1265229819219284E-16</v>
      </c>
      <c r="AZ124" s="152">
        <f t="shared" si="111"/>
        <v>7.1265229819219294E-16</v>
      </c>
      <c r="BA124" s="152">
        <f t="shared" si="111"/>
        <v>7.1265229819219274E-16</v>
      </c>
      <c r="BB124" s="152">
        <f t="shared" si="111"/>
        <v>7.1265229819219274E-16</v>
      </c>
      <c r="BC124" s="152">
        <f t="shared" si="111"/>
        <v>7.1265229819219274E-16</v>
      </c>
      <c r="BD124" s="152">
        <f t="shared" si="111"/>
        <v>7.1265229819219274E-16</v>
      </c>
      <c r="BE124" s="152">
        <f t="shared" si="111"/>
        <v>7.1265229819219294E-16</v>
      </c>
      <c r="BF124" s="152">
        <f t="shared" si="111"/>
        <v>7.1265229819219304E-16</v>
      </c>
      <c r="BG124" s="152">
        <f t="shared" si="111"/>
        <v>7.1265229819219294E-16</v>
      </c>
      <c r="BH124" s="152">
        <f t="shared" si="111"/>
        <v>7.1265229819219284E-16</v>
      </c>
      <c r="BI124" s="152">
        <f t="shared" si="111"/>
        <v>1.0080159068466951E-14</v>
      </c>
      <c r="BJ124" s="47"/>
      <c r="BK124" s="47"/>
      <c r="BL124" s="47"/>
      <c r="BM124" s="47"/>
    </row>
    <row r="125" spans="1:65">
      <c r="A125" s="47"/>
      <c r="B125" s="47" t="s">
        <v>183</v>
      </c>
      <c r="C125" s="47"/>
      <c r="D125" s="47"/>
      <c r="E125" s="144">
        <f t="shared" ca="1" si="108"/>
        <v>6.3324671112480191E-2</v>
      </c>
      <c r="F125" s="713">
        <f t="shared" ref="F125:BI125" si="112">F123/F$7</f>
        <v>-34.786526826130789</v>
      </c>
      <c r="G125" s="152">
        <f t="shared" si="112"/>
        <v>2.0106084268813333</v>
      </c>
      <c r="H125" s="152">
        <f t="shared" si="112"/>
        <v>1.8078789822327614</v>
      </c>
      <c r="I125" s="152">
        <f t="shared" si="112"/>
        <v>2.0319668876049608</v>
      </c>
      <c r="J125" s="152">
        <f t="shared" si="112"/>
        <v>2.5979854851944237</v>
      </c>
      <c r="K125" s="152">
        <f t="shared" si="112"/>
        <v>2.1253346533654298</v>
      </c>
      <c r="L125" s="152">
        <f t="shared" si="112"/>
        <v>5.4560057183615394</v>
      </c>
      <c r="M125" s="152">
        <f t="shared" si="112"/>
        <v>5.2350105977746786</v>
      </c>
      <c r="N125" s="152">
        <f t="shared" si="112"/>
        <v>3.4875944849639402</v>
      </c>
      <c r="O125" s="152">
        <f t="shared" si="112"/>
        <v>3.3810333371035286</v>
      </c>
      <c r="P125" s="152">
        <f t="shared" si="112"/>
        <v>3.2744721892431161</v>
      </c>
      <c r="Q125" s="152">
        <f t="shared" si="112"/>
        <v>3.1679110413827019</v>
      </c>
      <c r="R125" s="152">
        <f t="shared" si="112"/>
        <v>3.0613498935222885</v>
      </c>
      <c r="S125" s="152">
        <f t="shared" si="112"/>
        <v>2.9547887456618747</v>
      </c>
      <c r="T125" s="152">
        <f t="shared" si="112"/>
        <v>2.8482275978014608</v>
      </c>
      <c r="U125" s="152">
        <f t="shared" si="112"/>
        <v>2.7416664499410479</v>
      </c>
      <c r="V125" s="152">
        <f t="shared" si="112"/>
        <v>2.6351053020806336</v>
      </c>
      <c r="W125" s="152">
        <f t="shared" si="112"/>
        <v>2.5285441542202198</v>
      </c>
      <c r="X125" s="152">
        <f t="shared" si="112"/>
        <v>2.3531613273280185</v>
      </c>
      <c r="Y125" s="152">
        <f t="shared" si="112"/>
        <v>2.1963328939177553</v>
      </c>
      <c r="Z125" s="152">
        <f t="shared" si="112"/>
        <v>2.0663708417312265</v>
      </c>
      <c r="AA125" s="152">
        <f t="shared" si="112"/>
        <v>1.9410798006342904</v>
      </c>
      <c r="AB125" s="152">
        <f t="shared" si="112"/>
        <v>1.8372526694493454</v>
      </c>
      <c r="AC125" s="152">
        <f t="shared" si="112"/>
        <v>1.7334255382643999</v>
      </c>
      <c r="AD125" s="152">
        <f t="shared" si="112"/>
        <v>0.70438163520432007</v>
      </c>
      <c r="AE125" s="152">
        <f t="shared" si="112"/>
        <v>0.66922902206759949</v>
      </c>
      <c r="AF125" s="152">
        <f t="shared" si="112"/>
        <v>0.63604447782802132</v>
      </c>
      <c r="AG125" s="152">
        <f t="shared" si="112"/>
        <v>0.60285993358844303</v>
      </c>
      <c r="AH125" s="152">
        <f t="shared" si="112"/>
        <v>0.56967538934886486</v>
      </c>
      <c r="AI125" s="152">
        <f t="shared" si="112"/>
        <v>0.53649084510928657</v>
      </c>
      <c r="AJ125" s="152">
        <f t="shared" si="112"/>
        <v>0.42345511112596418</v>
      </c>
      <c r="AK125" s="152">
        <f t="shared" si="112"/>
        <v>0.30497597259655262</v>
      </c>
      <c r="AL125" s="152">
        <f t="shared" si="112"/>
        <v>0.1932576924569244</v>
      </c>
      <c r="AM125" s="152">
        <f t="shared" si="112"/>
        <v>0.10493787273430899</v>
      </c>
      <c r="AN125" s="152">
        <f t="shared" si="112"/>
        <v>-1.2401189560663334E-15</v>
      </c>
      <c r="AO125" s="152">
        <f t="shared" si="112"/>
        <v>6.6171950868444992E-16</v>
      </c>
      <c r="AP125" s="152">
        <f t="shared" si="112"/>
        <v>6.6171950868445002E-16</v>
      </c>
      <c r="AQ125" s="152">
        <f t="shared" si="112"/>
        <v>6.6171950868444992E-16</v>
      </c>
      <c r="AR125" s="152">
        <f t="shared" si="112"/>
        <v>6.6171950868445002E-16</v>
      </c>
      <c r="AS125" s="152">
        <f t="shared" si="112"/>
        <v>6.6171950868444992E-16</v>
      </c>
      <c r="AT125" s="152">
        <f t="shared" si="112"/>
        <v>6.6171950868444992E-16</v>
      </c>
      <c r="AU125" s="152">
        <f t="shared" si="112"/>
        <v>6.6171950868444982E-16</v>
      </c>
      <c r="AV125" s="152">
        <f t="shared" si="112"/>
        <v>6.6171950868444972E-16</v>
      </c>
      <c r="AW125" s="152">
        <f t="shared" si="112"/>
        <v>6.4952487199130892E-16</v>
      </c>
      <c r="AX125" s="152">
        <f t="shared" si="112"/>
        <v>6.4474191218186892E-16</v>
      </c>
      <c r="AY125" s="152">
        <f t="shared" si="112"/>
        <v>6.4474191218186901E-16</v>
      </c>
      <c r="AZ125" s="152">
        <f t="shared" si="112"/>
        <v>6.4474191218186911E-16</v>
      </c>
      <c r="BA125" s="152">
        <f t="shared" si="112"/>
        <v>6.4474191218186892E-16</v>
      </c>
      <c r="BB125" s="152">
        <f t="shared" si="112"/>
        <v>6.4474191218186892E-16</v>
      </c>
      <c r="BC125" s="152">
        <f t="shared" si="112"/>
        <v>6.4474191218186892E-16</v>
      </c>
      <c r="BD125" s="152">
        <f t="shared" si="112"/>
        <v>6.4474191218186892E-16</v>
      </c>
      <c r="BE125" s="152">
        <f t="shared" si="112"/>
        <v>6.4474191218186911E-16</v>
      </c>
      <c r="BF125" s="152">
        <f t="shared" si="112"/>
        <v>6.4474191218186921E-16</v>
      </c>
      <c r="BG125" s="152">
        <f t="shared" si="112"/>
        <v>6.4474191218186911E-16</v>
      </c>
      <c r="BH125" s="152">
        <f t="shared" si="112"/>
        <v>6.4474191218186892E-16</v>
      </c>
      <c r="BI125" s="152">
        <f t="shared" si="112"/>
        <v>1.0012248682456627E-14</v>
      </c>
      <c r="BJ125" s="47"/>
      <c r="BK125" s="47"/>
      <c r="BL125" s="47"/>
      <c r="BM125" s="47"/>
    </row>
    <row r="126" spans="1:65">
      <c r="A126" s="47"/>
      <c r="B126" s="47" t="s">
        <v>125</v>
      </c>
      <c r="C126" s="47"/>
      <c r="D126" s="47"/>
      <c r="E126" s="144">
        <f t="shared" ca="1" si="108"/>
        <v>9.7619999999998486E-2</v>
      </c>
      <c r="F126" s="714">
        <f>(F122-F105-F101)</f>
        <v>-34.786526826130789</v>
      </c>
      <c r="G126" s="153">
        <f>(G122-G105-G101)</f>
        <v>2.6708007639612035</v>
      </c>
      <c r="H126" s="153">
        <f t="shared" ref="H126:BI126" si="113">(H122-H105-H101)</f>
        <v>2.4444342012780229</v>
      </c>
      <c r="I126" s="153">
        <f t="shared" si="113"/>
        <v>2.6175054343178279</v>
      </c>
      <c r="J126" s="153">
        <f t="shared" si="113"/>
        <v>3.3598147010257873</v>
      </c>
      <c r="K126" s="153">
        <f t="shared" si="113"/>
        <v>2.7074856635448654</v>
      </c>
      <c r="L126" s="153">
        <f t="shared" si="113"/>
        <v>6.4126857362388838</v>
      </c>
      <c r="M126" s="153">
        <f t="shared" si="113"/>
        <v>6.3131760477728847</v>
      </c>
      <c r="N126" s="153">
        <f t="shared" si="113"/>
        <v>4.2559328036792348</v>
      </c>
      <c r="O126" s="153">
        <f t="shared" si="113"/>
        <v>4.2298681543090151</v>
      </c>
      <c r="P126" s="153">
        <f t="shared" si="113"/>
        <v>4.1997871590428861</v>
      </c>
      <c r="Q126" s="153">
        <f t="shared" si="113"/>
        <v>4.1655039461426302</v>
      </c>
      <c r="R126" s="153">
        <f t="shared" si="113"/>
        <v>4.1268258264747235</v>
      </c>
      <c r="S126" s="153">
        <f t="shared" si="113"/>
        <v>4.0835530679495955</v>
      </c>
      <c r="T126" s="153">
        <f t="shared" si="113"/>
        <v>4.0354786629219568</v>
      </c>
      <c r="U126" s="153">
        <f t="shared" si="113"/>
        <v>3.9823880883406546</v>
      </c>
      <c r="V126" s="153">
        <f t="shared" si="113"/>
        <v>3.9240590584303519</v>
      </c>
      <c r="W126" s="153">
        <f t="shared" si="113"/>
        <v>3.8602612696809508</v>
      </c>
      <c r="X126" s="153">
        <f t="shared" si="113"/>
        <v>3.7907561379141144</v>
      </c>
      <c r="Y126" s="153">
        <f t="shared" si="113"/>
        <v>3.7152965271895315</v>
      </c>
      <c r="Z126" s="153">
        <f t="shared" si="113"/>
        <v>3.6336264703066075</v>
      </c>
      <c r="AA126" s="153">
        <f t="shared" si="113"/>
        <v>3.5454808806501585</v>
      </c>
      <c r="AB126" s="153">
        <f t="shared" si="113"/>
        <v>3.4505852551213216</v>
      </c>
      <c r="AC126" s="153">
        <f t="shared" si="113"/>
        <v>3.3486553678873827</v>
      </c>
      <c r="AD126" s="153">
        <f t="shared" si="113"/>
        <v>1.3779378491219849</v>
      </c>
      <c r="AE126" s="153">
        <f t="shared" si="113"/>
        <v>1.3451724373950644</v>
      </c>
      <c r="AF126" s="153">
        <f t="shared" si="113"/>
        <v>1.3140207637247951</v>
      </c>
      <c r="AG126" s="153">
        <f t="shared" si="113"/>
        <v>1.2804448073969006</v>
      </c>
      <c r="AH126" s="153">
        <f t="shared" si="113"/>
        <v>1.2443421671242847</v>
      </c>
      <c r="AI126" s="153">
        <f t="shared" si="113"/>
        <v>1.2056068201114394</v>
      </c>
      <c r="AJ126" s="153">
        <f t="shared" si="113"/>
        <v>0.97760145745548643</v>
      </c>
      <c r="AK126" s="153">
        <f t="shared" si="113"/>
        <v>0.7232395159471916</v>
      </c>
      <c r="AL126" s="153">
        <f t="shared" si="113"/>
        <v>0.47078803340037378</v>
      </c>
      <c r="AM126" s="153">
        <f t="shared" si="113"/>
        <v>0.26276608716672062</v>
      </c>
      <c r="AN126" s="153">
        <f t="shared" si="113"/>
        <v>-2.8903847784435741E-15</v>
      </c>
      <c r="AO126" s="153">
        <f t="shared" si="113"/>
        <v>1.5811564774455622E-15</v>
      </c>
      <c r="AP126" s="153">
        <f t="shared" si="113"/>
        <v>1.6210016206771902E-15</v>
      </c>
      <c r="AQ126" s="153">
        <f t="shared" si="113"/>
        <v>1.6618508615182551E-15</v>
      </c>
      <c r="AR126" s="153">
        <f t="shared" si="113"/>
        <v>1.7037295032285151E-15</v>
      </c>
      <c r="AS126" s="153">
        <f t="shared" si="113"/>
        <v>1.7466634867098734E-15</v>
      </c>
      <c r="AT126" s="153">
        <f t="shared" si="113"/>
        <v>1.7906794065749618E-15</v>
      </c>
      <c r="AU126" s="153">
        <f t="shared" si="113"/>
        <v>1.8358045276206507E-15</v>
      </c>
      <c r="AV126" s="153">
        <f t="shared" si="113"/>
        <v>1.8820668017166907E-15</v>
      </c>
      <c r="AW126" s="153">
        <f t="shared" si="113"/>
        <v>1.9294948851199519E-15</v>
      </c>
      <c r="AX126" s="153">
        <f t="shared" si="113"/>
        <v>1.9781181562249738E-15</v>
      </c>
      <c r="AY126" s="153">
        <f t="shared" si="113"/>
        <v>2.0279667337618433E-15</v>
      </c>
      <c r="AZ126" s="153">
        <f t="shared" si="113"/>
        <v>2.0790714954526419E-15</v>
      </c>
      <c r="BA126" s="153">
        <f t="shared" si="113"/>
        <v>2.1314640971380475E-15</v>
      </c>
      <c r="BB126" s="153">
        <f t="shared" si="113"/>
        <v>2.1851769923859263E-15</v>
      </c>
      <c r="BC126" s="153">
        <f t="shared" si="113"/>
        <v>2.2402434525940512E-15</v>
      </c>
      <c r="BD126" s="153">
        <f t="shared" si="113"/>
        <v>2.296697587599421E-15</v>
      </c>
      <c r="BE126" s="153">
        <f t="shared" si="113"/>
        <v>2.3545743668069265E-15</v>
      </c>
      <c r="BF126" s="153">
        <f t="shared" si="113"/>
        <v>2.4139096408504614E-15</v>
      </c>
      <c r="BG126" s="153">
        <f t="shared" si="113"/>
        <v>2.4747401637998925E-15</v>
      </c>
      <c r="BH126" s="153">
        <f t="shared" si="113"/>
        <v>2.5371036159276486E-15</v>
      </c>
      <c r="BI126" s="153">
        <f t="shared" si="113"/>
        <v>3.942214882382699E-14</v>
      </c>
      <c r="BJ126" s="47"/>
      <c r="BK126" s="47"/>
      <c r="BL126" s="47"/>
      <c r="BM126" s="47"/>
    </row>
    <row r="127" spans="1:65">
      <c r="A127" s="47"/>
      <c r="B127" s="47" t="s">
        <v>126</v>
      </c>
      <c r="C127" s="47"/>
      <c r="D127" s="47"/>
      <c r="E127" s="144">
        <f t="shared" ca="1" si="108"/>
        <v>7.0639875146312869E-2</v>
      </c>
      <c r="F127" s="710">
        <f>F126/F$7</f>
        <v>-34.786526826130789</v>
      </c>
      <c r="G127" s="152">
        <f t="shared" ref="G127:BI127" si="114">G126/G$7</f>
        <v>2.605150959774877</v>
      </c>
      <c r="H127" s="152">
        <f t="shared" si="114"/>
        <v>2.3257399689338842</v>
      </c>
      <c r="I127" s="152">
        <f t="shared" si="114"/>
        <v>2.4291917610030884</v>
      </c>
      <c r="J127" s="152">
        <f t="shared" si="114"/>
        <v>3.0414517839097388</v>
      </c>
      <c r="K127" s="152">
        <f t="shared" si="114"/>
        <v>2.3906895219692967</v>
      </c>
      <c r="L127" s="152">
        <f t="shared" si="114"/>
        <v>5.5231695080403922</v>
      </c>
      <c r="M127" s="152">
        <f t="shared" si="114"/>
        <v>5.3038070657668852</v>
      </c>
      <c r="N127" s="152">
        <f t="shared" si="114"/>
        <v>3.4875944849639402</v>
      </c>
      <c r="O127" s="152">
        <f t="shared" si="114"/>
        <v>3.3810333371035286</v>
      </c>
      <c r="P127" s="152">
        <f t="shared" si="114"/>
        <v>3.2744721892431161</v>
      </c>
      <c r="Q127" s="152">
        <f t="shared" si="114"/>
        <v>3.1679110413827019</v>
      </c>
      <c r="R127" s="152">
        <f t="shared" si="114"/>
        <v>3.0613498935222885</v>
      </c>
      <c r="S127" s="152">
        <f t="shared" si="114"/>
        <v>2.9547887456618747</v>
      </c>
      <c r="T127" s="152">
        <f t="shared" si="114"/>
        <v>2.8482275978014608</v>
      </c>
      <c r="U127" s="152">
        <f t="shared" si="114"/>
        <v>2.7416664499410479</v>
      </c>
      <c r="V127" s="152">
        <f t="shared" si="114"/>
        <v>2.6351053020806336</v>
      </c>
      <c r="W127" s="152">
        <f t="shared" si="114"/>
        <v>2.5285441542202198</v>
      </c>
      <c r="X127" s="152">
        <f t="shared" si="114"/>
        <v>2.4219830063598065</v>
      </c>
      <c r="Y127" s="152">
        <f t="shared" si="114"/>
        <v>2.3154218584993931</v>
      </c>
      <c r="Z127" s="152">
        <f t="shared" si="114"/>
        <v>2.2088607106389793</v>
      </c>
      <c r="AA127" s="152">
        <f t="shared" si="114"/>
        <v>2.1022995627785654</v>
      </c>
      <c r="AB127" s="152">
        <f t="shared" si="114"/>
        <v>1.9957384149181523</v>
      </c>
      <c r="AC127" s="152">
        <f t="shared" si="114"/>
        <v>1.8891772670577387</v>
      </c>
      <c r="AD127" s="152">
        <f t="shared" si="114"/>
        <v>0.7582689789069974</v>
      </c>
      <c r="AE127" s="152">
        <f t="shared" si="114"/>
        <v>0.72204293390370877</v>
      </c>
      <c r="AF127" s="152">
        <f t="shared" si="114"/>
        <v>0.68798456125065732</v>
      </c>
      <c r="AG127" s="152">
        <f t="shared" si="114"/>
        <v>0.65392618859760565</v>
      </c>
      <c r="AH127" s="152">
        <f t="shared" si="114"/>
        <v>0.6198678159445542</v>
      </c>
      <c r="AI127" s="152">
        <f t="shared" si="114"/>
        <v>0.58580944329150275</v>
      </c>
      <c r="AJ127" s="152">
        <f t="shared" si="114"/>
        <v>0.46334439627930585</v>
      </c>
      <c r="AK127" s="152">
        <f t="shared" si="114"/>
        <v>0.33436100656783263</v>
      </c>
      <c r="AL127" s="152">
        <f t="shared" si="114"/>
        <v>0.21230014702176297</v>
      </c>
      <c r="AM127" s="152">
        <f t="shared" si="114"/>
        <v>0.11558077339119316</v>
      </c>
      <c r="AN127" s="152">
        <f t="shared" si="114"/>
        <v>-1.2401189560663334E-15</v>
      </c>
      <c r="AO127" s="152">
        <f t="shared" si="114"/>
        <v>6.6171950868444992E-16</v>
      </c>
      <c r="AP127" s="152">
        <f t="shared" si="114"/>
        <v>6.6171950868445002E-16</v>
      </c>
      <c r="AQ127" s="152">
        <f t="shared" si="114"/>
        <v>6.6171950868444992E-16</v>
      </c>
      <c r="AR127" s="152">
        <f t="shared" si="114"/>
        <v>6.6171950868445002E-16</v>
      </c>
      <c r="AS127" s="152">
        <f t="shared" si="114"/>
        <v>6.6171950868444992E-16</v>
      </c>
      <c r="AT127" s="152">
        <f t="shared" si="114"/>
        <v>6.6171950868444992E-16</v>
      </c>
      <c r="AU127" s="152">
        <f t="shared" si="114"/>
        <v>6.6171950868444982E-16</v>
      </c>
      <c r="AV127" s="152">
        <f t="shared" si="114"/>
        <v>6.6171950868444972E-16</v>
      </c>
      <c r="AW127" s="152">
        <f t="shared" si="114"/>
        <v>6.6171950868445002E-16</v>
      </c>
      <c r="AX127" s="152">
        <f t="shared" si="114"/>
        <v>6.6171950868444982E-16</v>
      </c>
      <c r="AY127" s="152">
        <f t="shared" si="114"/>
        <v>6.6171950868444992E-16</v>
      </c>
      <c r="AZ127" s="152">
        <f t="shared" si="114"/>
        <v>6.6171950868445002E-16</v>
      </c>
      <c r="BA127" s="152">
        <f t="shared" si="114"/>
        <v>6.6171950868444982E-16</v>
      </c>
      <c r="BB127" s="152">
        <f t="shared" si="114"/>
        <v>6.6171950868444992E-16</v>
      </c>
      <c r="BC127" s="152">
        <f t="shared" si="114"/>
        <v>6.6171950868444982E-16</v>
      </c>
      <c r="BD127" s="152">
        <f t="shared" si="114"/>
        <v>6.6171950868444992E-16</v>
      </c>
      <c r="BE127" s="152">
        <f t="shared" si="114"/>
        <v>6.6171950868445002E-16</v>
      </c>
      <c r="BF127" s="152">
        <f t="shared" si="114"/>
        <v>6.6171950868445022E-16</v>
      </c>
      <c r="BG127" s="152">
        <f t="shared" si="114"/>
        <v>6.6171950868445012E-16</v>
      </c>
      <c r="BH127" s="152">
        <f t="shared" si="114"/>
        <v>6.6171950868444992E-16</v>
      </c>
      <c r="BI127" s="152">
        <f t="shared" si="114"/>
        <v>1.0029226278959208E-14</v>
      </c>
      <c r="BJ127" s="47"/>
      <c r="BK127" s="47"/>
      <c r="BL127" s="47"/>
      <c r="BM127" s="47"/>
    </row>
    <row r="128" spans="1:65">
      <c r="A128" s="47"/>
      <c r="B128" s="52"/>
      <c r="C128" s="47"/>
      <c r="D128" s="47"/>
      <c r="E128" s="47"/>
      <c r="F128" s="687"/>
      <c r="G128" s="687"/>
      <c r="H128" s="687"/>
      <c r="I128" s="687"/>
      <c r="J128" s="687"/>
      <c r="K128" s="687"/>
      <c r="L128" s="687"/>
      <c r="M128" s="687"/>
      <c r="N128" s="687"/>
      <c r="O128" s="687"/>
      <c r="P128" s="687"/>
      <c r="Q128" s="687"/>
      <c r="R128" s="687"/>
      <c r="S128" s="687"/>
      <c r="T128" s="687"/>
      <c r="U128" s="687"/>
      <c r="V128" s="687"/>
      <c r="W128" s="687"/>
      <c r="X128" s="687"/>
      <c r="Y128" s="687"/>
      <c r="Z128" s="687"/>
      <c r="AA128" s="687"/>
      <c r="AB128" s="687"/>
      <c r="AC128" s="687"/>
      <c r="AD128" s="687"/>
      <c r="AE128" s="687"/>
      <c r="AF128" s="687"/>
      <c r="AG128" s="687"/>
      <c r="AH128" s="687"/>
      <c r="AI128" s="687"/>
      <c r="AJ128" s="687"/>
      <c r="AK128" s="687"/>
      <c r="AL128" s="687"/>
      <c r="AM128" s="687"/>
      <c r="AN128" s="687"/>
      <c r="AO128" s="687"/>
      <c r="AP128" s="687"/>
      <c r="AQ128" s="687"/>
      <c r="AR128" s="687"/>
      <c r="AS128" s="687"/>
      <c r="AT128" s="687"/>
      <c r="AU128" s="687"/>
      <c r="AV128" s="687"/>
      <c r="AW128" s="687"/>
      <c r="AX128" s="687"/>
      <c r="AY128" s="687"/>
      <c r="AZ128" s="687"/>
      <c r="BA128" s="687"/>
      <c r="BB128" s="687"/>
      <c r="BC128" s="687"/>
      <c r="BD128" s="687"/>
      <c r="BE128" s="687"/>
      <c r="BF128" s="687"/>
      <c r="BG128" s="687"/>
      <c r="BH128" s="687"/>
      <c r="BI128" s="687"/>
      <c r="BJ128" s="47"/>
      <c r="BK128" s="47"/>
      <c r="BL128" s="47"/>
      <c r="BM128" s="47"/>
    </row>
    <row r="129" spans="1:65">
      <c r="A129" s="624"/>
      <c r="B129" s="625" t="s">
        <v>503</v>
      </c>
      <c r="C129" s="624"/>
      <c r="D129" s="624"/>
      <c r="E129" s="624"/>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7"/>
      <c r="AC129" s="707"/>
      <c r="AD129" s="707"/>
      <c r="AE129" s="707"/>
      <c r="AF129" s="707"/>
      <c r="AG129" s="707"/>
      <c r="AH129" s="707"/>
      <c r="AI129" s="707"/>
      <c r="AJ129" s="707"/>
      <c r="AK129" s="707"/>
      <c r="AL129" s="707"/>
      <c r="AM129" s="707"/>
      <c r="AN129" s="707"/>
      <c r="AO129" s="707"/>
      <c r="AP129" s="707"/>
      <c r="AQ129" s="707"/>
      <c r="AR129" s="707"/>
      <c r="AS129" s="707"/>
      <c r="AT129" s="707"/>
      <c r="AU129" s="707"/>
      <c r="AV129" s="707"/>
      <c r="AW129" s="707"/>
      <c r="AX129" s="707"/>
      <c r="AY129" s="707"/>
      <c r="AZ129" s="707"/>
      <c r="BA129" s="707"/>
      <c r="BB129" s="707"/>
      <c r="BC129" s="707"/>
      <c r="BD129" s="707"/>
      <c r="BE129" s="707"/>
      <c r="BF129" s="707"/>
      <c r="BG129" s="707"/>
      <c r="BH129" s="707"/>
      <c r="BI129" s="707"/>
      <c r="BJ129" s="624"/>
      <c r="BK129" s="47"/>
      <c r="BL129" s="47"/>
      <c r="BM129" s="47"/>
    </row>
    <row r="130" spans="1:65">
      <c r="A130" s="47"/>
      <c r="C130" s="47"/>
      <c r="D130" s="47"/>
      <c r="E130" s="47"/>
      <c r="F130" s="670"/>
      <c r="G130" s="670"/>
      <c r="H130" s="670"/>
      <c r="I130" s="670"/>
      <c r="J130" s="670"/>
      <c r="K130" s="670"/>
      <c r="L130" s="670"/>
      <c r="M130" s="670"/>
      <c r="N130" s="670"/>
      <c r="O130" s="670"/>
      <c r="P130" s="670"/>
      <c r="Q130" s="670"/>
      <c r="R130" s="670"/>
      <c r="S130" s="670"/>
      <c r="T130" s="670"/>
      <c r="U130" s="670"/>
      <c r="V130" s="670"/>
      <c r="W130" s="670"/>
      <c r="X130" s="670"/>
      <c r="Y130" s="670"/>
      <c r="Z130" s="670"/>
      <c r="AA130" s="670"/>
      <c r="AB130" s="670"/>
      <c r="AC130" s="670"/>
      <c r="AD130" s="670"/>
      <c r="AE130" s="670"/>
      <c r="AF130" s="670"/>
      <c r="AG130" s="670"/>
      <c r="AH130" s="670"/>
      <c r="AI130" s="670"/>
      <c r="AJ130" s="670"/>
      <c r="AK130" s="670"/>
      <c r="AL130" s="670"/>
      <c r="AM130" s="670"/>
      <c r="AN130" s="670"/>
      <c r="AO130" s="670"/>
      <c r="AP130" s="670"/>
      <c r="AQ130" s="670"/>
      <c r="AR130" s="670"/>
      <c r="AS130" s="670"/>
      <c r="AT130" s="670"/>
      <c r="AU130" s="670"/>
      <c r="AV130" s="670"/>
      <c r="AW130" s="670"/>
      <c r="AX130" s="670"/>
      <c r="AY130" s="670"/>
      <c r="AZ130" s="670"/>
      <c r="BA130" s="670"/>
      <c r="BB130" s="670"/>
      <c r="BC130" s="670"/>
      <c r="BD130" s="670"/>
      <c r="BE130" s="670"/>
      <c r="BF130" s="670"/>
      <c r="BG130" s="670"/>
      <c r="BH130" s="670"/>
      <c r="BI130" s="670"/>
      <c r="BJ130" s="47"/>
      <c r="BK130" s="47"/>
      <c r="BL130" s="47"/>
      <c r="BM130" s="47"/>
    </row>
    <row r="131" spans="1:65">
      <c r="A131" s="47"/>
      <c r="B131" s="52" t="s">
        <v>31</v>
      </c>
      <c r="C131" s="47"/>
      <c r="D131" s="47"/>
      <c r="E131" s="47"/>
      <c r="F131" s="687"/>
      <c r="G131" s="687"/>
      <c r="H131" s="687"/>
      <c r="I131" s="687"/>
      <c r="J131" s="98"/>
      <c r="K131" s="98"/>
      <c r="L131" s="98"/>
      <c r="M131" s="687"/>
      <c r="N131" s="687"/>
      <c r="O131" s="687"/>
      <c r="P131" s="687"/>
      <c r="Q131" s="687"/>
      <c r="R131" s="687"/>
      <c r="S131" s="687"/>
      <c r="T131" s="687"/>
      <c r="U131" s="687"/>
      <c r="V131" s="687"/>
      <c r="W131" s="687"/>
      <c r="X131" s="687"/>
      <c r="Y131" s="687"/>
      <c r="Z131" s="687"/>
      <c r="AA131" s="687"/>
      <c r="AB131" s="687"/>
      <c r="AC131" s="687"/>
      <c r="AD131" s="687"/>
      <c r="AE131" s="687"/>
      <c r="AF131" s="687"/>
      <c r="AG131" s="687"/>
      <c r="AH131" s="687"/>
      <c r="AI131" s="687"/>
      <c r="AJ131" s="687"/>
      <c r="AK131" s="687"/>
      <c r="AL131" s="687"/>
      <c r="AM131" s="687"/>
      <c r="AN131" s="687"/>
      <c r="AO131" s="687"/>
      <c r="AP131" s="687"/>
      <c r="AQ131" s="687"/>
      <c r="AR131" s="687"/>
      <c r="AS131" s="687"/>
      <c r="AT131" s="687"/>
      <c r="AU131" s="687"/>
      <c r="AV131" s="687"/>
      <c r="AW131" s="687"/>
      <c r="AX131" s="687"/>
      <c r="AY131" s="687"/>
      <c r="AZ131" s="687"/>
      <c r="BA131" s="687"/>
      <c r="BB131" s="687"/>
      <c r="BC131" s="687"/>
      <c r="BD131" s="687"/>
      <c r="BE131" s="687"/>
      <c r="BF131" s="687"/>
      <c r="BG131" s="687"/>
      <c r="BH131" s="687"/>
      <c r="BI131" s="687"/>
      <c r="BJ131" s="47"/>
      <c r="BK131" s="47"/>
      <c r="BL131" s="47"/>
      <c r="BM131" s="47"/>
    </row>
    <row r="132" spans="1:65">
      <c r="A132" s="47"/>
      <c r="B132" s="47" t="s">
        <v>184</v>
      </c>
      <c r="C132" s="47"/>
      <c r="D132" s="47"/>
      <c r="E132" s="47"/>
      <c r="F132" s="687"/>
      <c r="G132" s="154">
        <f t="shared" ref="G132:AL132" si="115">G111</f>
        <v>1.2544977971579341</v>
      </c>
      <c r="H132" s="155">
        <f t="shared" si="115"/>
        <v>1.1678316931233352</v>
      </c>
      <c r="I132" s="155">
        <f t="shared" si="115"/>
        <v>1.2425310376852177</v>
      </c>
      <c r="J132" s="155">
        <f t="shared" si="115"/>
        <v>1.5445333829835222</v>
      </c>
      <c r="K132" s="155">
        <f t="shared" si="115"/>
        <v>1.2852033441124666</v>
      </c>
      <c r="L132" s="155">
        <f t="shared" si="115"/>
        <v>2.7725325601809279</v>
      </c>
      <c r="M132" s="155">
        <f t="shared" si="115"/>
        <v>2.7186600666303886</v>
      </c>
      <c r="N132" s="155">
        <f t="shared" si="115"/>
        <v>1.8808533481762728</v>
      </c>
      <c r="O132" s="155">
        <f t="shared" si="115"/>
        <v>1.8650729757937974</v>
      </c>
      <c r="P132" s="155">
        <f t="shared" si="115"/>
        <v>1.8473028555330107</v>
      </c>
      <c r="Q132" s="155">
        <f t="shared" si="115"/>
        <v>1.8274527252685404</v>
      </c>
      <c r="R132" s="155">
        <f t="shared" si="115"/>
        <v>1.8054290372333615</v>
      </c>
      <c r="S132" s="155">
        <f t="shared" si="115"/>
        <v>1.7811348497425485</v>
      </c>
      <c r="T132" s="155">
        <f t="shared" si="115"/>
        <v>1.7544697155463989</v>
      </c>
      <c r="U132" s="155">
        <f t="shared" si="115"/>
        <v>1.7253295667117854</v>
      </c>
      <c r="V132" s="155">
        <f t="shared" si="115"/>
        <v>1.6936065959277418</v>
      </c>
      <c r="W132" s="155">
        <f t="shared" si="115"/>
        <v>1.6591891341281428</v>
      </c>
      <c r="X132" s="155">
        <f t="shared" si="115"/>
        <v>1.6219615243211647</v>
      </c>
      <c r="Y132" s="155">
        <f t="shared" si="115"/>
        <v>1.5818039915121713</v>
      </c>
      <c r="Z132" s="155">
        <f t="shared" si="115"/>
        <v>1.5385925086032082</v>
      </c>
      <c r="AA132" s="155">
        <f t="shared" si="115"/>
        <v>1.4921986581488604</v>
      </c>
      <c r="AB132" s="155">
        <f t="shared" si="115"/>
        <v>1.4424894898449514</v>
      </c>
      <c r="AC132" s="155">
        <f t="shared" si="115"/>
        <v>1.3893273736226519</v>
      </c>
      <c r="AD132" s="155">
        <f t="shared" si="115"/>
        <v>0.58798620599533702</v>
      </c>
      <c r="AE132" s="155">
        <f t="shared" si="115"/>
        <v>0.57109881423281772</v>
      </c>
      <c r="AF132" s="155">
        <f t="shared" si="115"/>
        <v>0.55466315478977735</v>
      </c>
      <c r="AG132" s="155">
        <f t="shared" si="115"/>
        <v>0.53703646751981571</v>
      </c>
      <c r="AH132" s="155">
        <f t="shared" si="115"/>
        <v>0.51816916192163165</v>
      </c>
      <c r="AI132" s="155">
        <f t="shared" si="115"/>
        <v>0.49800990448296528</v>
      </c>
      <c r="AJ132" s="155">
        <f t="shared" si="115"/>
        <v>0.40189454348326331</v>
      </c>
      <c r="AK132" s="155">
        <f t="shared" si="115"/>
        <v>0.29597720750375783</v>
      </c>
      <c r="AL132" s="155">
        <f t="shared" si="115"/>
        <v>0.19177807497349228</v>
      </c>
      <c r="AM132" s="155">
        <f t="shared" ref="AM132:BH132" si="116">AM111</f>
        <v>0.10638768347596687</v>
      </c>
      <c r="AN132" s="155">
        <f t="shared" si="116"/>
        <v>-1.0637889204709721E-15</v>
      </c>
      <c r="AO132" s="155">
        <f t="shared" si="116"/>
        <v>7.4931359163120095E-16</v>
      </c>
      <c r="AP132" s="155">
        <f t="shared" si="116"/>
        <v>7.6819629414030473E-16</v>
      </c>
      <c r="AQ132" s="155">
        <f t="shared" si="116"/>
        <v>7.8755484075264358E-16</v>
      </c>
      <c r="AR132" s="155">
        <f t="shared" si="116"/>
        <v>8.0740122273960984E-16</v>
      </c>
      <c r="AS132" s="155">
        <f t="shared" si="116"/>
        <v>8.2774773355265097E-16</v>
      </c>
      <c r="AT132" s="155">
        <f t="shared" si="116"/>
        <v>8.4860697643817207E-16</v>
      </c>
      <c r="AU132" s="155">
        <f t="shared" si="116"/>
        <v>8.6999187224441579E-16</v>
      </c>
      <c r="AV132" s="155">
        <f t="shared" si="116"/>
        <v>8.9191566742497844E-16</v>
      </c>
      <c r="AW132" s="155">
        <f t="shared" si="116"/>
        <v>9.1439194224408021E-16</v>
      </c>
      <c r="AX132" s="155">
        <f t="shared" si="116"/>
        <v>9.3743461918863574E-16</v>
      </c>
      <c r="AY132" s="155">
        <f t="shared" si="116"/>
        <v>9.6105797159219194E-16</v>
      </c>
      <c r="AZ132" s="155">
        <f t="shared" si="116"/>
        <v>9.8527663247630905E-16</v>
      </c>
      <c r="BA132" s="155">
        <f t="shared" si="116"/>
        <v>1.010105603614718E-15</v>
      </c>
      <c r="BB132" s="155">
        <f t="shared" si="116"/>
        <v>1.0355602648258043E-15</v>
      </c>
      <c r="BC132" s="155">
        <f t="shared" si="116"/>
        <v>1.0616563834994134E-15</v>
      </c>
      <c r="BD132" s="155">
        <f t="shared" si="116"/>
        <v>1.0884101243636021E-15</v>
      </c>
      <c r="BE132" s="155">
        <f t="shared" si="116"/>
        <v>1.1158380594975648E-15</v>
      </c>
      <c r="BF132" s="155">
        <f t="shared" si="116"/>
        <v>1.1439571785969013E-15</v>
      </c>
      <c r="BG132" s="155">
        <f t="shared" si="116"/>
        <v>1.1727848994975412E-15</v>
      </c>
      <c r="BH132" s="155">
        <f t="shared" si="116"/>
        <v>1.2023390789648858E-15</v>
      </c>
      <c r="BI132" s="155">
        <f>BI111-Assets!BI474*D18</f>
        <v>1.2326380237547916E-15</v>
      </c>
      <c r="BJ132" s="620"/>
      <c r="BK132" s="47"/>
      <c r="BL132" s="47"/>
      <c r="BM132" s="47"/>
    </row>
    <row r="133" spans="1:65">
      <c r="A133" s="47"/>
      <c r="B133" s="47" t="s">
        <v>127</v>
      </c>
      <c r="C133" s="47"/>
      <c r="D133" s="47"/>
      <c r="E133" s="47"/>
      <c r="F133" s="687"/>
      <c r="G133" s="156">
        <f t="shared" ref="G133:AL133" si="117">G70</f>
        <v>2.5377666314839109</v>
      </c>
      <c r="H133" s="157">
        <f t="shared" si="117"/>
        <v>2.9773315942800096</v>
      </c>
      <c r="I133" s="157">
        <f t="shared" si="117"/>
        <v>3.0591218751329836</v>
      </c>
      <c r="J133" s="157">
        <f t="shared" si="117"/>
        <v>2.5739186304599824</v>
      </c>
      <c r="K133" s="157">
        <f t="shared" si="117"/>
        <v>3.4232861321558379</v>
      </c>
      <c r="L133" s="157">
        <f t="shared" si="117"/>
        <v>0</v>
      </c>
      <c r="M133" s="157">
        <f t="shared" si="117"/>
        <v>0</v>
      </c>
      <c r="N133" s="157">
        <f t="shared" si="117"/>
        <v>0</v>
      </c>
      <c r="O133" s="157">
        <f t="shared" si="117"/>
        <v>0</v>
      </c>
      <c r="P133" s="157">
        <f t="shared" si="117"/>
        <v>0</v>
      </c>
      <c r="Q133" s="157">
        <f t="shared" si="117"/>
        <v>0</v>
      </c>
      <c r="R133" s="157">
        <f t="shared" si="117"/>
        <v>0</v>
      </c>
      <c r="S133" s="157">
        <f t="shared" si="117"/>
        <v>0</v>
      </c>
      <c r="T133" s="157">
        <f t="shared" si="117"/>
        <v>0</v>
      </c>
      <c r="U133" s="157">
        <f t="shared" si="117"/>
        <v>0</v>
      </c>
      <c r="V133" s="157">
        <f t="shared" si="117"/>
        <v>0</v>
      </c>
      <c r="W133" s="157">
        <f t="shared" si="117"/>
        <v>0</v>
      </c>
      <c r="X133" s="157">
        <f t="shared" si="117"/>
        <v>0</v>
      </c>
      <c r="Y133" s="157">
        <f t="shared" si="117"/>
        <v>0</v>
      </c>
      <c r="Z133" s="157">
        <f t="shared" si="117"/>
        <v>0</v>
      </c>
      <c r="AA133" s="157">
        <f t="shared" si="117"/>
        <v>0</v>
      </c>
      <c r="AB133" s="157">
        <f t="shared" si="117"/>
        <v>0</v>
      </c>
      <c r="AC133" s="157">
        <f t="shared" si="117"/>
        <v>0</v>
      </c>
      <c r="AD133" s="157">
        <f t="shared" si="117"/>
        <v>0</v>
      </c>
      <c r="AE133" s="157">
        <f t="shared" si="117"/>
        <v>0</v>
      </c>
      <c r="AF133" s="157">
        <f t="shared" si="117"/>
        <v>0</v>
      </c>
      <c r="AG133" s="157">
        <f t="shared" si="117"/>
        <v>0</v>
      </c>
      <c r="AH133" s="157">
        <f t="shared" si="117"/>
        <v>0</v>
      </c>
      <c r="AI133" s="157">
        <f t="shared" si="117"/>
        <v>0</v>
      </c>
      <c r="AJ133" s="157">
        <f t="shared" si="117"/>
        <v>0</v>
      </c>
      <c r="AK133" s="157">
        <f t="shared" si="117"/>
        <v>0</v>
      </c>
      <c r="AL133" s="157">
        <f t="shared" si="117"/>
        <v>0</v>
      </c>
      <c r="AM133" s="157">
        <f t="shared" ref="AM133:BI133" si="118">AM70</f>
        <v>0</v>
      </c>
      <c r="AN133" s="157">
        <f t="shared" si="118"/>
        <v>0</v>
      </c>
      <c r="AO133" s="157">
        <f t="shared" si="118"/>
        <v>0</v>
      </c>
      <c r="AP133" s="157">
        <f t="shared" si="118"/>
        <v>0</v>
      </c>
      <c r="AQ133" s="157">
        <f t="shared" si="118"/>
        <v>0</v>
      </c>
      <c r="AR133" s="157">
        <f t="shared" si="118"/>
        <v>0</v>
      </c>
      <c r="AS133" s="157">
        <f t="shared" si="118"/>
        <v>0</v>
      </c>
      <c r="AT133" s="157">
        <f t="shared" si="118"/>
        <v>0</v>
      </c>
      <c r="AU133" s="157">
        <f t="shared" si="118"/>
        <v>0</v>
      </c>
      <c r="AV133" s="157">
        <f t="shared" si="118"/>
        <v>0</v>
      </c>
      <c r="AW133" s="157">
        <f t="shared" si="118"/>
        <v>0</v>
      </c>
      <c r="AX133" s="157">
        <f t="shared" si="118"/>
        <v>0</v>
      </c>
      <c r="AY133" s="157">
        <f t="shared" si="118"/>
        <v>0</v>
      </c>
      <c r="AZ133" s="157">
        <f t="shared" si="118"/>
        <v>0</v>
      </c>
      <c r="BA133" s="157">
        <f t="shared" si="118"/>
        <v>0</v>
      </c>
      <c r="BB133" s="157">
        <f t="shared" si="118"/>
        <v>0</v>
      </c>
      <c r="BC133" s="157">
        <f t="shared" si="118"/>
        <v>0</v>
      </c>
      <c r="BD133" s="157">
        <f t="shared" si="118"/>
        <v>0</v>
      </c>
      <c r="BE133" s="157">
        <f t="shared" si="118"/>
        <v>0</v>
      </c>
      <c r="BF133" s="157">
        <f t="shared" si="118"/>
        <v>0</v>
      </c>
      <c r="BG133" s="157">
        <f t="shared" si="118"/>
        <v>0</v>
      </c>
      <c r="BH133" s="157">
        <f t="shared" si="118"/>
        <v>0</v>
      </c>
      <c r="BI133" s="157">
        <f t="shared" si="118"/>
        <v>0</v>
      </c>
      <c r="BJ133" s="47"/>
      <c r="BK133" s="47"/>
      <c r="BL133" s="47"/>
      <c r="BM133" s="47"/>
    </row>
    <row r="134" spans="1:65">
      <c r="A134" s="47"/>
      <c r="B134" s="47" t="s">
        <v>128</v>
      </c>
      <c r="C134" s="47"/>
      <c r="D134" s="47"/>
      <c r="E134" s="47"/>
      <c r="F134" s="687"/>
      <c r="G134" s="1455">
        <f>-Assets!G473</f>
        <v>-1.812706646678228</v>
      </c>
      <c r="H134" s="157">
        <f>-Assets!H473</f>
        <v>-1.9551246910744142</v>
      </c>
      <c r="I134" s="157">
        <f>-Assets!I473</f>
        <v>-2.1101983670762632</v>
      </c>
      <c r="J134" s="157">
        <f>-Assets!J473</f>
        <v>-2.274670476254725</v>
      </c>
      <c r="K134" s="157">
        <f>-Assets!K473</f>
        <v>-2.4424963356561413</v>
      </c>
      <c r="L134" s="157">
        <f>-Assets!L473</f>
        <v>-2.6286655762600204</v>
      </c>
      <c r="M134" s="157">
        <f>-Assets!M473</f>
        <v>-2.7857662213485259</v>
      </c>
      <c r="N134" s="157">
        <f>-Assets!N473</f>
        <v>-1.0004694757829204</v>
      </c>
      <c r="O134" s="157">
        <f>-Assets!O473</f>
        <v>-1.0720706566386293</v>
      </c>
      <c r="P134" s="157">
        <f>-Assets!P473</f>
        <v>-1.1466451988735624</v>
      </c>
      <c r="Q134" s="157">
        <f>-Assets!Q473</f>
        <v>-1.2242974902873445</v>
      </c>
      <c r="R134" s="157">
        <f>-Assets!R473</f>
        <v>-1.3051352916212884</v>
      </c>
      <c r="S134" s="157">
        <f>-Assets!S473</f>
        <v>-1.3892698402642307</v>
      </c>
      <c r="T134" s="157">
        <f>-Assets!T473</f>
        <v>-1.4768159570431867</v>
      </c>
      <c r="U134" s="157">
        <f>-Assets!U473</f>
        <v>-1.5678921561884405</v>
      </c>
      <c r="V134" s="157">
        <f>-Assets!V473</f>
        <v>-1.6626207585652537</v>
      </c>
      <c r="W134" s="157">
        <f>-Assets!W473</f>
        <v>-1.7611280082669931</v>
      </c>
      <c r="X134" s="157">
        <f>-Assets!X473</f>
        <v>-1.8635441926671807</v>
      </c>
      <c r="Y134" s="157">
        <f>-Assets!Y473</f>
        <v>-1.9700037660307677</v>
      </c>
      <c r="Z134" s="157">
        <f>-Assets!Z473</f>
        <v>-2.080645476787768</v>
      </c>
      <c r="AA134" s="157">
        <f>-Assets!AA473</f>
        <v>-2.1956124985753411</v>
      </c>
      <c r="AB134" s="157">
        <f>-Assets!AB473</f>
        <v>-2.315052565157429</v>
      </c>
      <c r="AC134" s="157">
        <f>-Assets!AC473</f>
        <v>-2.4391181093341583</v>
      </c>
      <c r="AD134" s="157">
        <f>-Assets!AD473</f>
        <v>-0.70650730040196086</v>
      </c>
      <c r="AE134" s="157">
        <f>-Assets!AE473</f>
        <v>-0.74271113134028</v>
      </c>
      <c r="AF134" s="157">
        <f>-Assets!AF473</f>
        <v>-0.78406291831144892</v>
      </c>
      <c r="AG134" s="157">
        <f>-Assets!AG473</f>
        <v>-0.82702718406911835</v>
      </c>
      <c r="AH134" s="157">
        <f>-Assets!AH473</f>
        <v>-0.87165893750532975</v>
      </c>
      <c r="AI134" s="157">
        <f>-Assets!AI473</f>
        <v>-0.91801493597175499</v>
      </c>
      <c r="AJ134" s="157">
        <f>-Assets!AJ473</f>
        <v>-0.7796261913653646</v>
      </c>
      <c r="AK134" s="157">
        <f>-Assets!AK473</f>
        <v>-0.60137135865815661</v>
      </c>
      <c r="AL134" s="157">
        <f>-Assets!AL473</f>
        <v>-0.40762574814354807</v>
      </c>
      <c r="AM134" s="157">
        <f>-Assets!AM473</f>
        <v>-0.23939622744366804</v>
      </c>
      <c r="AN134" s="157">
        <f>-Assets!AN473</f>
        <v>4.5751139287217034E-15</v>
      </c>
      <c r="AO134" s="157">
        <f>-Assets!AO473</f>
        <v>5.5019529455437958E-16</v>
      </c>
      <c r="AP134" s="157">
        <f>-Assets!AP473</f>
        <v>5.6406021597714987E-16</v>
      </c>
      <c r="AQ134" s="157">
        <f>-Assets!AQ473</f>
        <v>5.7827453341977395E-16</v>
      </c>
      <c r="AR134" s="157">
        <f>-Assets!AR473</f>
        <v>5.9284705166195214E-16</v>
      </c>
      <c r="AS134" s="157">
        <f>-Assets!AS473</f>
        <v>6.0778679736383329E-16</v>
      </c>
      <c r="AT134" s="157">
        <f>-Assets!AT473</f>
        <v>6.2310302465740191E-16</v>
      </c>
      <c r="AU134" s="157">
        <f>-Assets!AU473</f>
        <v>6.3880522087876836E-16</v>
      </c>
      <c r="AV134" s="157">
        <f>-Assets!AV473</f>
        <v>6.5490311244491324E-16</v>
      </c>
      <c r="AW134" s="157">
        <f>-Assets!AW473</f>
        <v>6.7140667087852501E-16</v>
      </c>
      <c r="AX134" s="157">
        <f>-Assets!AX473</f>
        <v>6.8832611898466373E-16</v>
      </c>
      <c r="AY134" s="157">
        <f>-Assets!AY473</f>
        <v>7.0567193718307714E-16</v>
      </c>
      <c r="AZ134" s="157">
        <f>-Assets!AZ473</f>
        <v>7.2345487000009078E-16</v>
      </c>
      <c r="BA134" s="157">
        <f>-Assets!BA473</f>
        <v>7.4168593272409277E-16</v>
      </c>
      <c r="BB134" s="157">
        <f>-Assets!BB473</f>
        <v>7.6037641822873994E-16</v>
      </c>
      <c r="BC134" s="157">
        <f>-Assets!BC473</f>
        <v>7.7953790396810409E-16</v>
      </c>
      <c r="BD134" s="157">
        <f>-Assets!BD473</f>
        <v>7.9918225914810012E-16</v>
      </c>
      <c r="BE134" s="157">
        <f>-Assets!BE473</f>
        <v>8.1932165207863218E-16</v>
      </c>
      <c r="BF134" s="157">
        <f>-Assets!BF473</f>
        <v>8.3996855771101367E-16</v>
      </c>
      <c r="BG134" s="157">
        <f>-Assets!BG473</f>
        <v>8.6113576536533105E-16</v>
      </c>
      <c r="BH134" s="157">
        <f>-Assets!BH473</f>
        <v>8.828363866525373E-16</v>
      </c>
      <c r="BI134" s="157">
        <f>-Assets!BI473</f>
        <v>9.050838635961812E-16</v>
      </c>
      <c r="BJ134" s="47"/>
      <c r="BK134" s="47"/>
      <c r="BL134" s="47"/>
      <c r="BM134" s="47"/>
    </row>
    <row r="135" spans="1:65">
      <c r="A135" s="47"/>
      <c r="B135" s="47" t="s">
        <v>132</v>
      </c>
      <c r="C135" s="47"/>
      <c r="D135" s="47"/>
      <c r="E135" s="47"/>
      <c r="F135" s="687"/>
      <c r="G135" s="156">
        <f t="shared" ref="G135:AL135" si="119">G72</f>
        <v>-0.43503599088341005</v>
      </c>
      <c r="H135" s="157">
        <f t="shared" si="119"/>
        <v>-0.61332414192334994</v>
      </c>
      <c r="I135" s="157">
        <f t="shared" si="119"/>
        <v>-0.56935410483403004</v>
      </c>
      <c r="J135" s="157">
        <f t="shared" si="119"/>
        <v>-0.17954889252315454</v>
      </c>
      <c r="K135" s="157">
        <f t="shared" si="119"/>
        <v>-0.58847387789982264</v>
      </c>
      <c r="L135" s="157">
        <f t="shared" si="119"/>
        <v>1.5771993457560178</v>
      </c>
      <c r="M135" s="157">
        <f t="shared" si="119"/>
        <v>1.6714597328091187</v>
      </c>
      <c r="N135" s="157">
        <f t="shared" si="119"/>
        <v>0.6002816854697528</v>
      </c>
      <c r="O135" s="157">
        <f t="shared" si="119"/>
        <v>0.64324239398317573</v>
      </c>
      <c r="P135" s="157">
        <f t="shared" si="119"/>
        <v>0.68798711932414136</v>
      </c>
      <c r="Q135" s="157">
        <f t="shared" si="119"/>
        <v>0.73457849417240695</v>
      </c>
      <c r="R135" s="157">
        <f t="shared" si="119"/>
        <v>0.78308117497277152</v>
      </c>
      <c r="S135" s="157">
        <f t="shared" si="119"/>
        <v>0.83356190415854137</v>
      </c>
      <c r="T135" s="157">
        <f t="shared" si="119"/>
        <v>0.88608957422591494</v>
      </c>
      <c r="U135" s="157">
        <f t="shared" si="119"/>
        <v>0.94073529371306464</v>
      </c>
      <c r="V135" s="157">
        <f t="shared" si="119"/>
        <v>0.99757245513915471</v>
      </c>
      <c r="W135" s="157">
        <f t="shared" si="119"/>
        <v>1.0566768049601958</v>
      </c>
      <c r="X135" s="157">
        <f t="shared" si="119"/>
        <v>1.1181265156003075</v>
      </c>
      <c r="Y135" s="157">
        <f t="shared" si="119"/>
        <v>1.1820022596184643</v>
      </c>
      <c r="Z135" s="157">
        <f t="shared" si="119"/>
        <v>1.2483872860726617</v>
      </c>
      <c r="AA135" s="157">
        <f t="shared" si="119"/>
        <v>1.3173674991452051</v>
      </c>
      <c r="AB135" s="157">
        <f t="shared" si="119"/>
        <v>1.3890315390944572</v>
      </c>
      <c r="AC135" s="157">
        <f t="shared" si="119"/>
        <v>1.4634708656004962</v>
      </c>
      <c r="AD135" s="157">
        <f t="shared" si="119"/>
        <v>0.42390438024117705</v>
      </c>
      <c r="AE135" s="157">
        <f t="shared" si="119"/>
        <v>0.44562667880416829</v>
      </c>
      <c r="AF135" s="157">
        <f t="shared" si="119"/>
        <v>0.47043775098686913</v>
      </c>
      <c r="AG135" s="157">
        <f t="shared" si="119"/>
        <v>0.49621631044147163</v>
      </c>
      <c r="AH135" s="157">
        <f t="shared" si="119"/>
        <v>0.52299536250319822</v>
      </c>
      <c r="AI135" s="157">
        <f t="shared" si="119"/>
        <v>0.55080896158305315</v>
      </c>
      <c r="AJ135" s="157">
        <f t="shared" si="119"/>
        <v>0.46777571481921909</v>
      </c>
      <c r="AK135" s="157">
        <f t="shared" si="119"/>
        <v>0.36082281519489406</v>
      </c>
      <c r="AL135" s="157">
        <f t="shared" si="119"/>
        <v>0.24457544888612892</v>
      </c>
      <c r="AM135" s="157">
        <f t="shared" ref="AM135:BI135" si="120">AM72</f>
        <v>0.14363773646620084</v>
      </c>
      <c r="AN135" s="157">
        <f t="shared" si="120"/>
        <v>-2.7450683572330204E-15</v>
      </c>
      <c r="AO135" s="157">
        <f t="shared" si="120"/>
        <v>-3.3011717673262613E-16</v>
      </c>
      <c r="AP135" s="157">
        <f t="shared" si="120"/>
        <v>-3.3843612958628578E-16</v>
      </c>
      <c r="AQ135" s="157">
        <f t="shared" si="120"/>
        <v>-3.4696472005186323E-16</v>
      </c>
      <c r="AR135" s="157">
        <f t="shared" si="120"/>
        <v>-3.5570823099716982E-16</v>
      </c>
      <c r="AS135" s="157">
        <f t="shared" si="120"/>
        <v>-3.6467207841830163E-16</v>
      </c>
      <c r="AT135" s="157">
        <f t="shared" si="120"/>
        <v>-3.7386181479443763E-16</v>
      </c>
      <c r="AU135" s="157">
        <f t="shared" si="120"/>
        <v>-3.832831325272591E-16</v>
      </c>
      <c r="AV135" s="157">
        <f t="shared" si="120"/>
        <v>-3.9294186746694958E-16</v>
      </c>
      <c r="AW135" s="157">
        <f t="shared" si="120"/>
        <v>-4.0284400252710893E-16</v>
      </c>
      <c r="AX135" s="157">
        <f t="shared" si="120"/>
        <v>-4.1299567139079668E-16</v>
      </c>
      <c r="AY135" s="157">
        <f t="shared" si="120"/>
        <v>-4.2340316230984701E-16</v>
      </c>
      <c r="AZ135" s="157">
        <f t="shared" si="120"/>
        <v>-4.3407292200004938E-16</v>
      </c>
      <c r="BA135" s="157">
        <f t="shared" si="120"/>
        <v>-4.4501155963445706E-16</v>
      </c>
      <c r="BB135" s="157">
        <f t="shared" si="120"/>
        <v>-4.5622585093724079E-16</v>
      </c>
      <c r="BC135" s="157">
        <f t="shared" si="120"/>
        <v>-4.6772274238085788E-16</v>
      </c>
      <c r="BD135" s="157">
        <f t="shared" si="120"/>
        <v>-4.7950935548885936E-16</v>
      </c>
      <c r="BE135" s="157">
        <f t="shared" si="120"/>
        <v>-4.9159299124717807E-16</v>
      </c>
      <c r="BF135" s="157">
        <f t="shared" si="120"/>
        <v>-5.0398113462660507E-16</v>
      </c>
      <c r="BG135" s="157">
        <f t="shared" si="120"/>
        <v>-5.1668145921919344E-16</v>
      </c>
      <c r="BH135" s="157">
        <f t="shared" si="120"/>
        <v>-5.297018319915239E-16</v>
      </c>
      <c r="BI135" s="157">
        <f t="shared" si="120"/>
        <v>-5.4305031815770367E-16</v>
      </c>
      <c r="BJ135" s="47"/>
      <c r="BK135" s="47"/>
      <c r="BL135" s="47"/>
      <c r="BM135" s="47"/>
    </row>
    <row r="136" spans="1:65">
      <c r="A136" s="47"/>
      <c r="B136" s="52" t="s">
        <v>129</v>
      </c>
      <c r="C136" s="51"/>
      <c r="D136" s="51"/>
      <c r="E136" s="51"/>
      <c r="F136" s="715"/>
      <c r="G136" s="158">
        <f t="shared" ref="G136:AL136" si="121">SUM(G132:G135)</f>
        <v>1.5445217910802069</v>
      </c>
      <c r="H136" s="159">
        <f t="shared" si="121"/>
        <v>1.5767144544055807</v>
      </c>
      <c r="I136" s="159">
        <f t="shared" si="121"/>
        <v>1.6221004409079081</v>
      </c>
      <c r="J136" s="159">
        <f t="shared" si="121"/>
        <v>1.664232644665625</v>
      </c>
      <c r="K136" s="159">
        <f t="shared" si="121"/>
        <v>1.677519262712341</v>
      </c>
      <c r="L136" s="159">
        <f t="shared" si="121"/>
        <v>1.7210663296769253</v>
      </c>
      <c r="M136" s="159">
        <f t="shared" si="121"/>
        <v>1.6043535780909814</v>
      </c>
      <c r="N136" s="159">
        <f t="shared" si="121"/>
        <v>1.4806655578631052</v>
      </c>
      <c r="O136" s="159">
        <f t="shared" si="121"/>
        <v>1.4362447131383438</v>
      </c>
      <c r="P136" s="159">
        <f t="shared" si="121"/>
        <v>1.3886447759835896</v>
      </c>
      <c r="Q136" s="159">
        <f t="shared" si="121"/>
        <v>1.3377337291536029</v>
      </c>
      <c r="R136" s="159">
        <f t="shared" si="121"/>
        <v>1.2833749205848446</v>
      </c>
      <c r="S136" s="159">
        <f t="shared" si="121"/>
        <v>1.2254269136368592</v>
      </c>
      <c r="T136" s="159">
        <f t="shared" si="121"/>
        <v>1.1637433327291271</v>
      </c>
      <c r="U136" s="159">
        <f t="shared" si="121"/>
        <v>1.0981727042364096</v>
      </c>
      <c r="V136" s="159">
        <f t="shared" si="121"/>
        <v>1.0285582925016428</v>
      </c>
      <c r="W136" s="159">
        <f t="shared" si="121"/>
        <v>0.9547379308213455</v>
      </c>
      <c r="X136" s="159">
        <f t="shared" si="121"/>
        <v>0.87654384725429146</v>
      </c>
      <c r="Y136" s="159">
        <f t="shared" si="121"/>
        <v>0.79380248509986795</v>
      </c>
      <c r="Z136" s="159">
        <f t="shared" si="121"/>
        <v>0.70633431788810186</v>
      </c>
      <c r="AA136" s="159">
        <f t="shared" si="121"/>
        <v>0.61395365871872443</v>
      </c>
      <c r="AB136" s="159">
        <f t="shared" si="121"/>
        <v>0.51646846378197964</v>
      </c>
      <c r="AC136" s="159">
        <f t="shared" si="121"/>
        <v>0.41368012988898983</v>
      </c>
      <c r="AD136" s="159">
        <f t="shared" si="121"/>
        <v>0.30538328583455321</v>
      </c>
      <c r="AE136" s="159">
        <f t="shared" si="121"/>
        <v>0.27401436169670601</v>
      </c>
      <c r="AF136" s="159">
        <f t="shared" si="121"/>
        <v>0.24103798746519756</v>
      </c>
      <c r="AG136" s="159">
        <f t="shared" si="121"/>
        <v>0.20622559389216899</v>
      </c>
      <c r="AH136" s="159">
        <f t="shared" si="121"/>
        <v>0.16950558691950013</v>
      </c>
      <c r="AI136" s="159">
        <f t="shared" si="121"/>
        <v>0.13080393009426344</v>
      </c>
      <c r="AJ136" s="159">
        <f t="shared" si="121"/>
        <v>9.0044066937117806E-2</v>
      </c>
      <c r="AK136" s="159">
        <f t="shared" si="121"/>
        <v>5.542866404049529E-2</v>
      </c>
      <c r="AL136" s="159">
        <f t="shared" si="121"/>
        <v>2.8727775716073128E-2</v>
      </c>
      <c r="AM136" s="159">
        <f t="shared" ref="AM136:BI136" si="122">SUM(AM132:AM135)</f>
        <v>1.0629192498499668E-2</v>
      </c>
      <c r="AN136" s="159">
        <f t="shared" si="122"/>
        <v>7.662566510177108E-16</v>
      </c>
      <c r="AO136" s="159">
        <f t="shared" si="122"/>
        <v>9.6939170945295439E-16</v>
      </c>
      <c r="AP136" s="159">
        <f t="shared" si="122"/>
        <v>9.9382038053116882E-16</v>
      </c>
      <c r="AQ136" s="159">
        <f t="shared" si="122"/>
        <v>1.0188646541205543E-15</v>
      </c>
      <c r="AR136" s="159">
        <f t="shared" si="122"/>
        <v>1.0445400434043921E-15</v>
      </c>
      <c r="AS136" s="159">
        <f t="shared" si="122"/>
        <v>1.0708624524981826E-15</v>
      </c>
      <c r="AT136" s="159">
        <f t="shared" si="122"/>
        <v>1.0978481863011363E-15</v>
      </c>
      <c r="AU136" s="159">
        <f t="shared" si="122"/>
        <v>1.125513960595925E-15</v>
      </c>
      <c r="AV136" s="159">
        <f t="shared" si="122"/>
        <v>1.153876912402942E-15</v>
      </c>
      <c r="AW136" s="159">
        <f t="shared" si="122"/>
        <v>1.1829546105954963E-15</v>
      </c>
      <c r="AX136" s="159">
        <f t="shared" si="122"/>
        <v>1.2127650667825029E-15</v>
      </c>
      <c r="AY136" s="159">
        <f t="shared" si="122"/>
        <v>1.2433267464654222E-15</v>
      </c>
      <c r="AZ136" s="159">
        <f t="shared" si="122"/>
        <v>1.2746585804763505E-15</v>
      </c>
      <c r="BA136" s="159">
        <f t="shared" si="122"/>
        <v>1.3067799767043536E-15</v>
      </c>
      <c r="BB136" s="159">
        <f t="shared" si="122"/>
        <v>1.3397108321173035E-15</v>
      </c>
      <c r="BC136" s="159">
        <f t="shared" si="122"/>
        <v>1.3734715450866599E-15</v>
      </c>
      <c r="BD136" s="159">
        <f t="shared" si="122"/>
        <v>1.4080830280228429E-15</v>
      </c>
      <c r="BE136" s="159">
        <f t="shared" si="122"/>
        <v>1.443566720329019E-15</v>
      </c>
      <c r="BF136" s="159">
        <f t="shared" si="122"/>
        <v>1.47994460168131E-15</v>
      </c>
      <c r="BG136" s="159">
        <f t="shared" si="122"/>
        <v>1.5172392056436789E-15</v>
      </c>
      <c r="BH136" s="159">
        <f t="shared" si="122"/>
        <v>1.5554736336258991E-15</v>
      </c>
      <c r="BI136" s="159">
        <f t="shared" si="122"/>
        <v>1.5946715691932691E-15</v>
      </c>
      <c r="BJ136" s="47"/>
      <c r="BK136" s="47"/>
      <c r="BL136" s="47"/>
      <c r="BM136" s="47"/>
    </row>
    <row r="137" spans="1:65">
      <c r="A137" s="47"/>
      <c r="B137" s="43" t="s">
        <v>130</v>
      </c>
      <c r="C137" s="47"/>
      <c r="D137" s="47"/>
      <c r="E137" s="47"/>
      <c r="F137" s="687"/>
      <c r="G137" s="1455">
        <f>-$D$18*(Assets!G475-Assets!F474)</f>
        <v>-0.35064819040739792</v>
      </c>
      <c r="H137" s="157">
        <f>-$D$18*(Assets!H475-Assets!G474)</f>
        <v>-0.35795679505423839</v>
      </c>
      <c r="I137" s="1458">
        <f>-$D$18*(Assets!I475-Assets!H474)</f>
        <v>-0.36826064063854747</v>
      </c>
      <c r="J137" s="157">
        <f>-$D$18*(Assets!J475-Assets!I474)</f>
        <v>-0.37782578959976265</v>
      </c>
      <c r="K137" s="157">
        <f>-$D$18*(Assets!K475-Assets!J474)</f>
        <v>-0.38084221099415178</v>
      </c>
      <c r="L137" s="157">
        <f>-$D$18*(Assets!L475-Assets!K474)</f>
        <v>-0.39072857214286505</v>
      </c>
      <c r="M137" s="157">
        <f>-$D$18*(Assets!M475-Assets!L474)</f>
        <v>-0.36423162313416813</v>
      </c>
      <c r="N137" s="157">
        <f>-$D$18*(Assets!N475-Assets!M474)</f>
        <v>-0.3361510996229754</v>
      </c>
      <c r="O137" s="157">
        <f>-$D$18*(Assets!O475-Assets!N474)</f>
        <v>-0.32606636730708377</v>
      </c>
      <c r="P137" s="157">
        <f>-$D$18*(Assets!P475-Assets!O474)</f>
        <v>-0.31525989508816399</v>
      </c>
      <c r="Q137" s="157">
        <f>-$D$18*(Assets!Q475-Assets!P474)</f>
        <v>-0.30370171148351943</v>
      </c>
      <c r="R137" s="157">
        <f>-$D$18*(Assets!R475-Assets!Q474)</f>
        <v>-0.29136079278142263</v>
      </c>
      <c r="S137" s="157">
        <f>-$D$18*(Assets!S475-Assets!R474)</f>
        <v>-0.27820502904188088</v>
      </c>
      <c r="T137" s="157">
        <f>-$D$18*(Assets!T475-Assets!S474)</f>
        <v>-0.26420118905201662</v>
      </c>
      <c r="U137" s="157">
        <f>-$D$18*(Assets!U475-Assets!T474)</f>
        <v>-0.24931488420502179</v>
      </c>
      <c r="V137" s="157">
        <f>-$D$18*(Assets!V475-Assets!U474)</f>
        <v>-0.23351053127064178</v>
      </c>
      <c r="W137" s="157">
        <f>-$D$18*(Assets!W475-Assets!V474)</f>
        <v>-0.21675131402430453</v>
      </c>
      <c r="X137" s="157">
        <f>-$D$18*(Assets!X475-Assets!W474)</f>
        <v>-0.19899914370097349</v>
      </c>
      <c r="Y137" s="157">
        <f>-$D$18*(Assets!Y475-Assets!X474)</f>
        <v>-0.18021461823888674</v>
      </c>
      <c r="Z137" s="157">
        <f>-$D$18*(Assets!Z475-Assets!Y474)</f>
        <v>-0.16035698027729808</v>
      </c>
      <c r="AA137" s="157">
        <f>-$D$18*(Assets!AA475-Assets!Z474)</f>
        <v>-0.13938407387127755</v>
      </c>
      <c r="AB137" s="157">
        <f>-$D$18*(Assets!AB475-Assets!AA474)</f>
        <v>-0.11725229988563797</v>
      </c>
      <c r="AC137" s="157">
        <f>-$D$18*(Assets!AC475-Assets!AB474)</f>
        <v>-9.3916570028851259E-2</v>
      </c>
      <c r="AD137" s="157">
        <f>-$D$18*(Assets!AD475-Assets!AC474)</f>
        <v>-6.9330259486763177E-2</v>
      </c>
      <c r="AE137" s="157">
        <f>-$D$18*(Assets!AE475-Assets!AD474)</f>
        <v>-6.2208665898711504E-2</v>
      </c>
      <c r="AF137" s="157">
        <f>-$D$18*(Assets!AF475-Assets!AE474)</f>
        <v>-5.4722137694801637E-2</v>
      </c>
      <c r="AG137" s="157">
        <f>-$D$18*(Assets!AG475-Assets!AF474)</f>
        <v>-4.6818783478221708E-2</v>
      </c>
      <c r="AH137" s="157">
        <f>-$D$18*(Assets!AH475-Assets!AG474)</f>
        <v>-3.8482349462805134E-2</v>
      </c>
      <c r="AI137" s="157">
        <f>-$D$18*(Assets!AI475-Assets!AH474)</f>
        <v>-2.9696027372751389E-2</v>
      </c>
      <c r="AJ137" s="157">
        <f>-$D$18*(Assets!AJ475-Assets!AI474)</f>
        <v>-2.0442436818156121E-2</v>
      </c>
      <c r="AK137" s="157">
        <f>-$D$18*(Assets!AK475-Assets!AJ474)</f>
        <v>-1.2583804809193478E-2</v>
      </c>
      <c r="AL137" s="157">
        <f>-$D$18*(Assets!AL475-Assets!AK474)</f>
        <v>-6.5219815139192956E-3</v>
      </c>
      <c r="AM137" s="157">
        <f>-$D$18*(Assets!AM475-Assets!AL474)</f>
        <v>-2.4131139726323303E-3</v>
      </c>
      <c r="AN137" s="157">
        <f>-$D$18*(Assets!AN475-Assets!AM474)</f>
        <v>-1.7396096942023693E-16</v>
      </c>
      <c r="AO137" s="157">
        <f>-$D$18*(Assets!AO475-Assets!AN474)</f>
        <v>-2.2007811782175098E-16</v>
      </c>
      <c r="AP137" s="157">
        <f>-$D$18*(Assets!AP475-Assets!AO474)</f>
        <v>-2.2562408639085783E-16</v>
      </c>
      <c r="AQ137" s="157">
        <f>-$D$18*(Assets!AQ475-Assets!AP474)</f>
        <v>-2.3130981336790841E-16</v>
      </c>
      <c r="AR137" s="157">
        <f>-$D$18*(Assets!AR475-Assets!AQ474)</f>
        <v>-2.3713882066478029E-16</v>
      </c>
      <c r="AS137" s="157">
        <f>-$D$18*(Assets!AS475-Assets!AR474)</f>
        <v>-2.4311471894553319E-16</v>
      </c>
      <c r="AT137" s="157">
        <f>-$D$18*(Assets!AT475-Assets!AS474)</f>
        <v>-2.4924120986295929E-16</v>
      </c>
      <c r="AU137" s="157">
        <f>-$D$18*(Assets!AU475-Assets!AT474)</f>
        <v>-2.5552208835150694E-16</v>
      </c>
      <c r="AV137" s="157">
        <f>-$D$18*(Assets!AV475-Assets!AU474)</f>
        <v>-2.6196124497796469E-16</v>
      </c>
      <c r="AW137" s="157">
        <f>-$D$18*(Assets!AW475-Assets!AV474)</f>
        <v>-2.6856266835140765E-16</v>
      </c>
      <c r="AX137" s="157">
        <f>-$D$18*(Assets!AX475-Assets!AW474)</f>
        <v>-2.7533044759386404E-16</v>
      </c>
      <c r="AY137" s="157">
        <f>-$D$18*(Assets!AY475-Assets!AX474)</f>
        <v>-2.822687748732318E-16</v>
      </c>
      <c r="AZ137" s="157">
        <f>-$D$18*(Assets!AZ475-Assets!AY474)</f>
        <v>-2.8938194800003292E-16</v>
      </c>
      <c r="BA137" s="157">
        <f>-$D$18*(Assets!BA475-Assets!AZ474)</f>
        <v>-2.966743730896364E-16</v>
      </c>
      <c r="BB137" s="157">
        <f>-$D$18*(Assets!BB475-Assets!BA474)</f>
        <v>-3.0415056729149432E-16</v>
      </c>
      <c r="BC137" s="157">
        <f>-$D$18*(Assets!BC475-Assets!BB474)</f>
        <v>-3.1181516158723946E-16</v>
      </c>
      <c r="BD137" s="157">
        <f>-$D$18*(Assets!BD475-Assets!BC474)</f>
        <v>-3.1967290365923958E-16</v>
      </c>
      <c r="BE137" s="157">
        <f>-$D$18*(Assets!BE475-Assets!BD474)</f>
        <v>-3.2772866083145081E-16</v>
      </c>
      <c r="BF137" s="157">
        <f>-$D$18*(Assets!BF475-Assets!BE474)</f>
        <v>-3.3598742308440338E-16</v>
      </c>
      <c r="BG137" s="157">
        <f>-$D$18*(Assets!BG475-Assets!BF474)</f>
        <v>-3.4445430614613065E-16</v>
      </c>
      <c r="BH137" s="157">
        <f>-$D$18*(Assets!BH475-Assets!BG474)</f>
        <v>-3.5313455466101429E-16</v>
      </c>
      <c r="BI137" s="157">
        <f>-$D$18*(Assets!BI475-Assets!BH474)</f>
        <v>-3.6203354543846998E-16</v>
      </c>
      <c r="BJ137" s="47"/>
      <c r="BK137" s="47"/>
      <c r="BL137" s="47"/>
      <c r="BM137" s="47"/>
    </row>
    <row r="138" spans="1:65" s="12" customFormat="1">
      <c r="A138" s="51"/>
      <c r="B138" s="52" t="s">
        <v>131</v>
      </c>
      <c r="C138" s="51"/>
      <c r="D138" s="51"/>
      <c r="E138" s="51"/>
      <c r="F138" s="715"/>
      <c r="G138" s="158">
        <f>G136+G137</f>
        <v>1.193873600672809</v>
      </c>
      <c r="H138" s="159">
        <f t="shared" ref="H138:O138" si="123">H136+H137</f>
        <v>1.2187576593513423</v>
      </c>
      <c r="I138" s="159">
        <f t="shared" si="123"/>
        <v>1.2538398002693607</v>
      </c>
      <c r="J138" s="159">
        <f t="shared" si="123"/>
        <v>1.2864068550658625</v>
      </c>
      <c r="K138" s="159">
        <f t="shared" si="123"/>
        <v>1.2966770517181891</v>
      </c>
      <c r="L138" s="159">
        <f t="shared" si="123"/>
        <v>1.3303377575340603</v>
      </c>
      <c r="M138" s="159">
        <f t="shared" si="123"/>
        <v>1.2401219549568134</v>
      </c>
      <c r="N138" s="159">
        <f t="shared" si="123"/>
        <v>1.1445144582401299</v>
      </c>
      <c r="O138" s="159">
        <f t="shared" si="123"/>
        <v>1.11017834583126</v>
      </c>
      <c r="P138" s="159">
        <f>P136+P137</f>
        <v>1.0733848808954256</v>
      </c>
      <c r="Q138" s="159">
        <f>Q136+Q137</f>
        <v>1.0340320176700835</v>
      </c>
      <c r="R138" s="159">
        <f>R136+R137</f>
        <v>0.99201412780342202</v>
      </c>
      <c r="S138" s="159">
        <f t="shared" ref="S138:AP138" si="124">S136+S137</f>
        <v>0.94722188459497825</v>
      </c>
      <c r="T138" s="159">
        <f t="shared" si="124"/>
        <v>0.8995421436771105</v>
      </c>
      <c r="U138" s="159">
        <f t="shared" si="124"/>
        <v>0.84885782003138777</v>
      </c>
      <c r="V138" s="159">
        <f t="shared" si="124"/>
        <v>0.79504776123100096</v>
      </c>
      <c r="W138" s="159">
        <f t="shared" si="124"/>
        <v>0.73798661679704103</v>
      </c>
      <c r="X138" s="159">
        <f t="shared" si="124"/>
        <v>0.67754470355331797</v>
      </c>
      <c r="Y138" s="159">
        <f t="shared" si="124"/>
        <v>0.61358786686098121</v>
      </c>
      <c r="Z138" s="159">
        <f t="shared" si="124"/>
        <v>0.5459773376108038</v>
      </c>
      <c r="AA138" s="159">
        <f t="shared" si="124"/>
        <v>0.47456958484744688</v>
      </c>
      <c r="AB138" s="159">
        <f t="shared" si="124"/>
        <v>0.39921616389634168</v>
      </c>
      <c r="AC138" s="159">
        <f t="shared" si="124"/>
        <v>0.3197635598601386</v>
      </c>
      <c r="AD138" s="159">
        <f t="shared" si="124"/>
        <v>0.23605302634779002</v>
      </c>
      <c r="AE138" s="159">
        <f t="shared" si="124"/>
        <v>0.21180569579799452</v>
      </c>
      <c r="AF138" s="159">
        <f t="shared" si="124"/>
        <v>0.18631584977039592</v>
      </c>
      <c r="AG138" s="159">
        <f t="shared" si="124"/>
        <v>0.15940681041394728</v>
      </c>
      <c r="AH138" s="159">
        <f t="shared" si="124"/>
        <v>0.131023237456695</v>
      </c>
      <c r="AI138" s="159">
        <f t="shared" si="124"/>
        <v>0.10110790272151206</v>
      </c>
      <c r="AJ138" s="159">
        <f t="shared" si="124"/>
        <v>6.9601630118961685E-2</v>
      </c>
      <c r="AK138" s="159">
        <f t="shared" si="124"/>
        <v>4.284485923130181E-2</v>
      </c>
      <c r="AL138" s="159">
        <f t="shared" si="124"/>
        <v>2.2205794202153833E-2</v>
      </c>
      <c r="AM138" s="159">
        <f t="shared" si="124"/>
        <v>8.2160785258673374E-3</v>
      </c>
      <c r="AN138" s="159">
        <f t="shared" si="124"/>
        <v>5.9229568159747387E-16</v>
      </c>
      <c r="AO138" s="159">
        <f t="shared" si="124"/>
        <v>7.4931359163120341E-16</v>
      </c>
      <c r="AP138" s="159">
        <f t="shared" si="124"/>
        <v>7.6819629414031104E-16</v>
      </c>
      <c r="AQ138" s="159">
        <f t="shared" ref="AQ138:BI138" si="125">AQ136+AQ137</f>
        <v>7.8755484075264594E-16</v>
      </c>
      <c r="AR138" s="159">
        <f t="shared" si="125"/>
        <v>8.0740122273961181E-16</v>
      </c>
      <c r="AS138" s="159">
        <f t="shared" si="125"/>
        <v>8.2774773355264939E-16</v>
      </c>
      <c r="AT138" s="159">
        <f t="shared" si="125"/>
        <v>8.48606976438177E-16</v>
      </c>
      <c r="AU138" s="159">
        <f t="shared" si="125"/>
        <v>8.6999187224441796E-16</v>
      </c>
      <c r="AV138" s="159">
        <f t="shared" si="125"/>
        <v>8.9191566742497725E-16</v>
      </c>
      <c r="AW138" s="159">
        <f t="shared" si="125"/>
        <v>9.1439194224408869E-16</v>
      </c>
      <c r="AX138" s="159">
        <f t="shared" si="125"/>
        <v>9.3743461918863889E-16</v>
      </c>
      <c r="AY138" s="159">
        <f t="shared" si="125"/>
        <v>9.6105797159219036E-16</v>
      </c>
      <c r="AZ138" s="159">
        <f t="shared" si="125"/>
        <v>9.8527663247631753E-16</v>
      </c>
      <c r="BA138" s="159">
        <f t="shared" si="125"/>
        <v>1.0101056036147172E-15</v>
      </c>
      <c r="BB138" s="159">
        <f t="shared" si="125"/>
        <v>1.0355602648258092E-15</v>
      </c>
      <c r="BC138" s="159">
        <f t="shared" si="125"/>
        <v>1.0616563834994203E-15</v>
      </c>
      <c r="BD138" s="159">
        <f t="shared" si="125"/>
        <v>1.0884101243636033E-15</v>
      </c>
      <c r="BE138" s="159">
        <f t="shared" si="125"/>
        <v>1.1158380594975681E-15</v>
      </c>
      <c r="BF138" s="159">
        <f t="shared" si="125"/>
        <v>1.1439571785969066E-15</v>
      </c>
      <c r="BG138" s="159">
        <f t="shared" si="125"/>
        <v>1.1727848994975483E-15</v>
      </c>
      <c r="BH138" s="159">
        <f t="shared" si="125"/>
        <v>1.2023390789648848E-15</v>
      </c>
      <c r="BI138" s="159">
        <f t="shared" si="125"/>
        <v>1.232638023754799E-15</v>
      </c>
      <c r="BJ138" s="51"/>
      <c r="BK138" s="51"/>
      <c r="BL138" s="51"/>
      <c r="BM138" s="51"/>
    </row>
    <row r="139" spans="1:65" s="14" customFormat="1">
      <c r="A139" s="79"/>
      <c r="B139" s="43" t="s">
        <v>47</v>
      </c>
      <c r="C139" s="79"/>
      <c r="D139" s="79"/>
      <c r="E139" s="79"/>
      <c r="F139" s="716"/>
      <c r="G139" s="160">
        <f t="shared" ref="G139:P139" si="126">G136/G142</f>
        <v>0.11099999999999999</v>
      </c>
      <c r="H139" s="161">
        <f t="shared" si="126"/>
        <v>0.11100000000000008</v>
      </c>
      <c r="I139" s="161">
        <f t="shared" si="126"/>
        <v>0.11100000000000004</v>
      </c>
      <c r="J139" s="161">
        <f t="shared" si="126"/>
        <v>0.11099999999999996</v>
      </c>
      <c r="K139" s="161">
        <f t="shared" si="126"/>
        <v>0.11100000000000013</v>
      </c>
      <c r="L139" s="161">
        <f t="shared" si="126"/>
        <v>0.11099999999999997</v>
      </c>
      <c r="M139" s="161">
        <f t="shared" si="126"/>
        <v>0.11100000000000006</v>
      </c>
      <c r="N139" s="161">
        <f t="shared" si="126"/>
        <v>0.11099999999999995</v>
      </c>
      <c r="O139" s="161">
        <f t="shared" si="126"/>
        <v>0.11099999999999997</v>
      </c>
      <c r="P139" s="161">
        <f t="shared" si="126"/>
        <v>0.11100000000000006</v>
      </c>
      <c r="Q139" s="161">
        <f>Q136/Q142</f>
        <v>0.11100000000000003</v>
      </c>
      <c r="R139" s="161">
        <f>R136/R142</f>
        <v>0.111</v>
      </c>
      <c r="S139" s="161">
        <f t="shared" ref="S139:AQ139" si="127">S136/S142</f>
        <v>0.11099999999999999</v>
      </c>
      <c r="T139" s="161">
        <f t="shared" si="127"/>
        <v>0.11099999999999999</v>
      </c>
      <c r="U139" s="161">
        <f t="shared" si="127"/>
        <v>0.11099999999999999</v>
      </c>
      <c r="V139" s="161">
        <f t="shared" si="127"/>
        <v>0.111</v>
      </c>
      <c r="W139" s="161">
        <f t="shared" si="127"/>
        <v>0.11100000000000002</v>
      </c>
      <c r="X139" s="161">
        <f t="shared" si="127"/>
        <v>0.11100000000000007</v>
      </c>
      <c r="Y139" s="161">
        <f t="shared" si="127"/>
        <v>0.11099999999999999</v>
      </c>
      <c r="Z139" s="161">
        <f t="shared" si="127"/>
        <v>0.11100000000000003</v>
      </c>
      <c r="AA139" s="161">
        <f t="shared" si="127"/>
        <v>0.11099999999999995</v>
      </c>
      <c r="AB139" s="161">
        <f t="shared" si="127"/>
        <v>0.11100000000000002</v>
      </c>
      <c r="AC139" s="161">
        <f t="shared" si="127"/>
        <v>0.11100000000000004</v>
      </c>
      <c r="AD139" s="161">
        <f t="shared" si="127"/>
        <v>0.11100000000000008</v>
      </c>
      <c r="AE139" s="161">
        <f t="shared" si="127"/>
        <v>0.11100000000000006</v>
      </c>
      <c r="AF139" s="161">
        <f t="shared" si="127"/>
        <v>0.11100000000000008</v>
      </c>
      <c r="AG139" s="161">
        <f t="shared" si="127"/>
        <v>0.11099999999999997</v>
      </c>
      <c r="AH139" s="161">
        <f t="shared" si="127"/>
        <v>0.11099999999999997</v>
      </c>
      <c r="AI139" s="161">
        <f t="shared" si="127"/>
        <v>0.11099999999999995</v>
      </c>
      <c r="AJ139" s="161">
        <f t="shared" si="127"/>
        <v>0.11100000000000032</v>
      </c>
      <c r="AK139" s="161">
        <f t="shared" si="127"/>
        <v>0.11099999999999992</v>
      </c>
      <c r="AL139" s="161">
        <f t="shared" si="127"/>
        <v>0.11099999999999985</v>
      </c>
      <c r="AM139" s="161">
        <f t="shared" si="127"/>
        <v>0.11100000000000039</v>
      </c>
      <c r="AN139" s="161">
        <f t="shared" si="127"/>
        <v>0.11099999999999997</v>
      </c>
      <c r="AO139" s="161">
        <f t="shared" si="127"/>
        <v>0.11099999999999999</v>
      </c>
      <c r="AP139" s="161">
        <f t="shared" si="127"/>
        <v>0.111</v>
      </c>
      <c r="AQ139" s="161">
        <f t="shared" si="127"/>
        <v>0.11100000000000002</v>
      </c>
      <c r="AR139" s="161">
        <f t="shared" ref="AR139:BI139" si="128">AR136/AR142</f>
        <v>0.11100000000000003</v>
      </c>
      <c r="AS139" s="161">
        <f t="shared" si="128"/>
        <v>0.111</v>
      </c>
      <c r="AT139" s="161">
        <f t="shared" si="128"/>
        <v>0.11099999999999996</v>
      </c>
      <c r="AU139" s="161">
        <f t="shared" si="128"/>
        <v>0.11099999999999997</v>
      </c>
      <c r="AV139" s="161">
        <f t="shared" si="128"/>
        <v>0.11099999999999996</v>
      </c>
      <c r="AW139" s="161">
        <f t="shared" si="128"/>
        <v>0.11099999999999997</v>
      </c>
      <c r="AX139" s="161">
        <f t="shared" si="128"/>
        <v>0.11100000000000002</v>
      </c>
      <c r="AY139" s="161">
        <f t="shared" si="128"/>
        <v>0.11100000000000003</v>
      </c>
      <c r="AZ139" s="161">
        <f t="shared" si="128"/>
        <v>0.111</v>
      </c>
      <c r="BA139" s="161">
        <f t="shared" si="128"/>
        <v>0.11099999999999996</v>
      </c>
      <c r="BB139" s="161">
        <f t="shared" si="128"/>
        <v>0.11099999999999999</v>
      </c>
      <c r="BC139" s="161">
        <f t="shared" si="128"/>
        <v>0.11100000000000003</v>
      </c>
      <c r="BD139" s="161">
        <f t="shared" si="128"/>
        <v>0.11099999999999997</v>
      </c>
      <c r="BE139" s="161">
        <f t="shared" si="128"/>
        <v>0.11100000000000002</v>
      </c>
      <c r="BF139" s="161">
        <f t="shared" si="128"/>
        <v>0.11100000000000002</v>
      </c>
      <c r="BG139" s="161">
        <f t="shared" si="128"/>
        <v>0.11100000000000002</v>
      </c>
      <c r="BH139" s="161">
        <f t="shared" si="128"/>
        <v>0.111</v>
      </c>
      <c r="BI139" s="161">
        <f t="shared" si="128"/>
        <v>0.11099999999999983</v>
      </c>
      <c r="BJ139" s="79"/>
      <c r="BK139" s="79"/>
      <c r="BL139" s="79"/>
      <c r="BM139" s="79"/>
    </row>
    <row r="140" spans="1:65" s="14" customFormat="1">
      <c r="A140" s="79"/>
      <c r="B140" s="43" t="s">
        <v>48</v>
      </c>
      <c r="C140" s="79"/>
      <c r="D140" s="79"/>
      <c r="E140" s="79"/>
      <c r="F140" s="716"/>
      <c r="G140" s="160">
        <f>G138/G142/(1+G$6)</f>
        <v>8.3690987124463545E-2</v>
      </c>
      <c r="H140" s="161">
        <f t="shared" ref="H140:P140" si="129">H138/H142/(1+H$6)</f>
        <v>8.3690987124463712E-2</v>
      </c>
      <c r="I140" s="161">
        <f t="shared" si="129"/>
        <v>8.3690987124463878E-2</v>
      </c>
      <c r="J140" s="161">
        <f t="shared" si="129"/>
        <v>8.3690987124463559E-2</v>
      </c>
      <c r="K140" s="161">
        <f t="shared" si="129"/>
        <v>8.3690987124463712E-2</v>
      </c>
      <c r="L140" s="161">
        <f t="shared" si="129"/>
        <v>8.3690987124463781E-2</v>
      </c>
      <c r="M140" s="161">
        <f t="shared" si="129"/>
        <v>8.3690987124463628E-2</v>
      </c>
      <c r="N140" s="161">
        <f t="shared" si="129"/>
        <v>8.369098712446349E-2</v>
      </c>
      <c r="O140" s="161">
        <f t="shared" si="129"/>
        <v>8.3690987124463476E-2</v>
      </c>
      <c r="P140" s="161">
        <f t="shared" si="129"/>
        <v>8.3690987124463739E-2</v>
      </c>
      <c r="Q140" s="161">
        <f>Q138/Q142/(1+Q$6)</f>
        <v>8.3690987124463656E-2</v>
      </c>
      <c r="R140" s="161">
        <f>R138/R142/(1+R$6)</f>
        <v>8.369098712446367E-2</v>
      </c>
      <c r="S140" s="161">
        <f t="shared" ref="S140:AQ140" si="130">S138/S142/(1+S$6)</f>
        <v>8.3690987124463573E-2</v>
      </c>
      <c r="T140" s="161">
        <f t="shared" si="130"/>
        <v>8.3690987124463656E-2</v>
      </c>
      <c r="U140" s="161">
        <f t="shared" si="130"/>
        <v>8.3690987124463614E-2</v>
      </c>
      <c r="V140" s="161">
        <f t="shared" si="130"/>
        <v>8.3690987124463684E-2</v>
      </c>
      <c r="W140" s="161">
        <f t="shared" si="130"/>
        <v>8.3690987124463656E-2</v>
      </c>
      <c r="X140" s="161">
        <f t="shared" si="130"/>
        <v>8.3690987124463684E-2</v>
      </c>
      <c r="Y140" s="161">
        <f t="shared" si="130"/>
        <v>8.3690987124463823E-2</v>
      </c>
      <c r="Z140" s="161">
        <f t="shared" si="130"/>
        <v>8.369098712446367E-2</v>
      </c>
      <c r="AA140" s="161">
        <f t="shared" si="130"/>
        <v>8.3690987124463573E-2</v>
      </c>
      <c r="AB140" s="161">
        <f t="shared" si="130"/>
        <v>8.3690987124463684E-2</v>
      </c>
      <c r="AC140" s="161">
        <f t="shared" si="130"/>
        <v>8.3690987124463712E-2</v>
      </c>
      <c r="AD140" s="161">
        <f t="shared" si="130"/>
        <v>8.3690987124463684E-2</v>
      </c>
      <c r="AE140" s="161">
        <f t="shared" si="130"/>
        <v>8.3690987124463628E-2</v>
      </c>
      <c r="AF140" s="161">
        <f t="shared" si="130"/>
        <v>8.3690987124463587E-2</v>
      </c>
      <c r="AG140" s="161">
        <f t="shared" si="130"/>
        <v>8.3690987124463739E-2</v>
      </c>
      <c r="AH140" s="161">
        <f t="shared" si="130"/>
        <v>8.3690987124463712E-2</v>
      </c>
      <c r="AI140" s="161">
        <f t="shared" si="130"/>
        <v>8.3690987124463753E-2</v>
      </c>
      <c r="AJ140" s="161">
        <f t="shared" si="130"/>
        <v>8.3690987124464197E-2</v>
      </c>
      <c r="AK140" s="161">
        <f t="shared" si="130"/>
        <v>8.3690987124463559E-2</v>
      </c>
      <c r="AL140" s="161">
        <f t="shared" si="130"/>
        <v>8.3690987124463448E-2</v>
      </c>
      <c r="AM140" s="161">
        <f t="shared" si="130"/>
        <v>8.36909871244641E-2</v>
      </c>
      <c r="AN140" s="161">
        <f t="shared" si="130"/>
        <v>8.3690987124463531E-2</v>
      </c>
      <c r="AO140" s="161">
        <f t="shared" si="130"/>
        <v>8.3690987124463614E-2</v>
      </c>
      <c r="AP140" s="161">
        <f t="shared" si="130"/>
        <v>8.3690987124463753E-2</v>
      </c>
      <c r="AQ140" s="161">
        <f t="shared" si="130"/>
        <v>8.3690987124463684E-2</v>
      </c>
      <c r="AR140" s="161">
        <f t="shared" ref="AR140:BI140" si="131">AR138/AR142/(1+AR$6)</f>
        <v>8.3690987124463614E-2</v>
      </c>
      <c r="AS140" s="161">
        <f t="shared" si="131"/>
        <v>8.3690987124463545E-2</v>
      </c>
      <c r="AT140" s="161">
        <f t="shared" si="131"/>
        <v>8.3690987124463628E-2</v>
      </c>
      <c r="AU140" s="161">
        <f t="shared" si="131"/>
        <v>8.3690987124463545E-2</v>
      </c>
      <c r="AV140" s="161">
        <f t="shared" si="131"/>
        <v>8.3690987124463545E-2</v>
      </c>
      <c r="AW140" s="161">
        <f t="shared" si="131"/>
        <v>8.3690987124463725E-2</v>
      </c>
      <c r="AX140" s="161">
        <f t="shared" si="131"/>
        <v>8.3690987124463684E-2</v>
      </c>
      <c r="AY140" s="161">
        <f t="shared" si="131"/>
        <v>8.369098712446349E-2</v>
      </c>
      <c r="AZ140" s="161">
        <f t="shared" si="131"/>
        <v>8.3690987124463823E-2</v>
      </c>
      <c r="BA140" s="161">
        <f t="shared" si="131"/>
        <v>8.3690987124463559E-2</v>
      </c>
      <c r="BB140" s="161">
        <f t="shared" si="131"/>
        <v>8.3690987124463656E-2</v>
      </c>
      <c r="BC140" s="161">
        <f t="shared" si="131"/>
        <v>8.3690987124463725E-2</v>
      </c>
      <c r="BD140" s="161">
        <f t="shared" si="131"/>
        <v>8.3690987124463545E-2</v>
      </c>
      <c r="BE140" s="161">
        <f t="shared" si="131"/>
        <v>8.3690987124463698E-2</v>
      </c>
      <c r="BF140" s="161">
        <f t="shared" si="131"/>
        <v>8.3690987124463698E-2</v>
      </c>
      <c r="BG140" s="161">
        <f t="shared" si="131"/>
        <v>8.3690987124463684E-2</v>
      </c>
      <c r="BH140" s="161">
        <f t="shared" si="131"/>
        <v>8.3690987124463587E-2</v>
      </c>
      <c r="BI140" s="161">
        <f t="shared" si="131"/>
        <v>8.3690987124463531E-2</v>
      </c>
      <c r="BJ140" s="79"/>
      <c r="BK140" s="79"/>
      <c r="BL140" s="79"/>
      <c r="BM140" s="79"/>
    </row>
    <row r="141" spans="1:65">
      <c r="A141" s="47"/>
      <c r="B141" s="47"/>
      <c r="C141" s="47"/>
      <c r="D141" s="47"/>
      <c r="E141" s="47"/>
      <c r="F141" s="687"/>
      <c r="G141" s="156"/>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47"/>
      <c r="BK141" s="47"/>
      <c r="BL141" s="47"/>
      <c r="BM141" s="47"/>
    </row>
    <row r="142" spans="1:65">
      <c r="A142" s="47"/>
      <c r="B142" s="47" t="s">
        <v>90</v>
      </c>
      <c r="C142" s="47"/>
      <c r="D142" s="47"/>
      <c r="E142" s="47"/>
      <c r="F142" s="687"/>
      <c r="G142" s="156">
        <f t="shared" ref="G142:AL142" si="132">G18</f>
        <v>13.914610730452317</v>
      </c>
      <c r="H142" s="157">
        <f t="shared" si="132"/>
        <v>14.204634724374589</v>
      </c>
      <c r="I142" s="157">
        <f t="shared" si="132"/>
        <v>14.613517485656823</v>
      </c>
      <c r="J142" s="157">
        <f t="shared" si="132"/>
        <v>14.99308688887951</v>
      </c>
      <c r="K142" s="157">
        <f t="shared" si="132"/>
        <v>15.112786150561613</v>
      </c>
      <c r="L142" s="157">
        <f t="shared" si="132"/>
        <v>15.505102069161493</v>
      </c>
      <c r="M142" s="157">
        <f t="shared" si="132"/>
        <v>14.453635838657483</v>
      </c>
      <c r="N142" s="157">
        <f t="shared" si="132"/>
        <v>13.339329350118071</v>
      </c>
      <c r="O142" s="157">
        <f t="shared" si="132"/>
        <v>12.939141559804902</v>
      </c>
      <c r="P142" s="157">
        <f t="shared" si="132"/>
        <v>12.51031329714945</v>
      </c>
      <c r="Q142" s="157">
        <f t="shared" si="132"/>
        <v>12.051655217600024</v>
      </c>
      <c r="R142" s="157">
        <f t="shared" si="132"/>
        <v>11.561936221485086</v>
      </c>
      <c r="S142" s="157">
        <f t="shared" si="132"/>
        <v>11.03988210483657</v>
      </c>
      <c r="T142" s="157">
        <f t="shared" si="132"/>
        <v>10.484174168730876</v>
      </c>
      <c r="U142" s="157">
        <f t="shared" si="132"/>
        <v>9.893447785913601</v>
      </c>
      <c r="V142" s="157">
        <f t="shared" si="132"/>
        <v>9.2662909234382234</v>
      </c>
      <c r="W142" s="157">
        <f t="shared" si="132"/>
        <v>8.6012426200121208</v>
      </c>
      <c r="X142" s="157">
        <f t="shared" si="132"/>
        <v>7.896791416705323</v>
      </c>
      <c r="Y142" s="157">
        <f t="shared" si="132"/>
        <v>7.1513737396384505</v>
      </c>
      <c r="Z142" s="157">
        <f t="shared" si="132"/>
        <v>6.3633722332261415</v>
      </c>
      <c r="AA142" s="157">
        <f t="shared" si="132"/>
        <v>5.5311140425110334</v>
      </c>
      <c r="AB142" s="157">
        <f t="shared" si="132"/>
        <v>4.652869043080897</v>
      </c>
      <c r="AC142" s="157">
        <f t="shared" si="132"/>
        <v>3.7268480170179248</v>
      </c>
      <c r="AD142" s="157">
        <f t="shared" si="132"/>
        <v>2.7512007732842609</v>
      </c>
      <c r="AE142" s="157">
        <f t="shared" si="132"/>
        <v>2.4685978531234762</v>
      </c>
      <c r="AF142" s="157">
        <f t="shared" si="132"/>
        <v>2.1715134005873638</v>
      </c>
      <c r="AG142" s="157">
        <f t="shared" si="132"/>
        <v>1.8578882332627842</v>
      </c>
      <c r="AH142" s="157">
        <f t="shared" si="132"/>
        <v>1.5270773596351366</v>
      </c>
      <c r="AI142" s="157">
        <f t="shared" si="132"/>
        <v>1.1784137846330045</v>
      </c>
      <c r="AJ142" s="157">
        <f t="shared" si="132"/>
        <v>0.81120781024430222</v>
      </c>
      <c r="AK142" s="157">
        <f t="shared" si="132"/>
        <v>0.49935733369815616</v>
      </c>
      <c r="AL142" s="157">
        <f t="shared" si="132"/>
        <v>0.25880879023489339</v>
      </c>
      <c r="AM142" s="157">
        <f t="shared" ref="AM142:BI142" si="133">AM18</f>
        <v>9.5758490977474145E-2</v>
      </c>
      <c r="AN142" s="157">
        <f t="shared" si="133"/>
        <v>6.9032130722316306E-15</v>
      </c>
      <c r="AO142" s="157">
        <f t="shared" si="133"/>
        <v>8.7332586437203103E-15</v>
      </c>
      <c r="AP142" s="157">
        <f t="shared" si="133"/>
        <v>8.9533367615420616E-15</v>
      </c>
      <c r="AQ142" s="157">
        <f t="shared" si="133"/>
        <v>9.1789608479329204E-15</v>
      </c>
      <c r="AR142" s="157">
        <f t="shared" si="133"/>
        <v>9.4102706613008281E-15</v>
      </c>
      <c r="AS142" s="157">
        <f t="shared" si="133"/>
        <v>9.6474094819656091E-15</v>
      </c>
      <c r="AT142" s="157">
        <f t="shared" si="133"/>
        <v>9.8905242009111419E-15</v>
      </c>
      <c r="AU142" s="157">
        <f t="shared" si="133"/>
        <v>1.0139765410774101E-14</v>
      </c>
      <c r="AV142" s="157">
        <f t="shared" si="133"/>
        <v>1.0395287499125607E-14</v>
      </c>
      <c r="AW142" s="157">
        <f t="shared" si="133"/>
        <v>1.0657248744103573E-14</v>
      </c>
      <c r="AX142" s="157">
        <f t="shared" si="133"/>
        <v>1.092581141245498E-14</v>
      </c>
      <c r="AY142" s="157">
        <f t="shared" si="133"/>
        <v>1.1201141860048845E-14</v>
      </c>
      <c r="AZ142" s="157">
        <f t="shared" si="133"/>
        <v>1.1483410634922076E-14</v>
      </c>
      <c r="BA142" s="157">
        <f t="shared" si="133"/>
        <v>1.1772792582922109E-14</v>
      </c>
      <c r="BB142" s="157">
        <f t="shared" si="133"/>
        <v>1.2069466956011745E-14</v>
      </c>
      <c r="BC142" s="157">
        <f t="shared" si="133"/>
        <v>1.2373617523303239E-14</v>
      </c>
      <c r="BD142" s="157">
        <f t="shared" si="133"/>
        <v>1.268543268489048E-14</v>
      </c>
      <c r="BE142" s="157">
        <f t="shared" si="133"/>
        <v>1.3005105588549719E-14</v>
      </c>
      <c r="BF142" s="157">
        <f t="shared" si="133"/>
        <v>1.333283424938117E-14</v>
      </c>
      <c r="BG142" s="157">
        <f t="shared" si="133"/>
        <v>1.3668821672465573E-14</v>
      </c>
      <c r="BH142" s="157">
        <f t="shared" si="133"/>
        <v>1.4013275978611703E-14</v>
      </c>
      <c r="BI142" s="157">
        <f t="shared" si="133"/>
        <v>1.4366410533272716E-14</v>
      </c>
      <c r="BJ142" s="47"/>
      <c r="BK142" s="47"/>
      <c r="BL142" s="47"/>
      <c r="BM142" s="47"/>
    </row>
    <row r="143" spans="1:65">
      <c r="A143" s="47"/>
      <c r="B143" s="47"/>
      <c r="C143" s="47"/>
      <c r="D143" s="47"/>
      <c r="E143" s="47"/>
      <c r="F143" s="687"/>
      <c r="G143" s="687"/>
      <c r="H143" s="687"/>
      <c r="I143" s="687"/>
      <c r="J143" s="687"/>
      <c r="K143" s="687"/>
      <c r="L143" s="687"/>
      <c r="M143" s="687"/>
      <c r="N143" s="687"/>
      <c r="O143" s="687"/>
      <c r="P143" s="687"/>
      <c r="Q143" s="687"/>
      <c r="R143" s="687"/>
      <c r="S143" s="687"/>
      <c r="T143" s="687"/>
      <c r="U143" s="687"/>
      <c r="V143" s="687"/>
      <c r="W143" s="687"/>
      <c r="X143" s="687"/>
      <c r="Y143" s="687"/>
      <c r="Z143" s="687"/>
      <c r="AA143" s="687"/>
      <c r="AB143" s="687"/>
      <c r="AC143" s="687"/>
      <c r="AD143" s="687"/>
      <c r="AE143" s="687"/>
      <c r="AF143" s="687"/>
      <c r="AG143" s="687"/>
      <c r="AH143" s="687"/>
      <c r="AI143" s="687"/>
      <c r="AJ143" s="687"/>
      <c r="AK143" s="687"/>
      <c r="AL143" s="687"/>
      <c r="AM143" s="687"/>
      <c r="AN143" s="687"/>
      <c r="AO143" s="687"/>
      <c r="AP143" s="687"/>
      <c r="AQ143" s="687"/>
      <c r="AR143" s="687"/>
      <c r="AS143" s="687"/>
      <c r="AT143" s="687"/>
      <c r="AU143" s="687"/>
      <c r="AV143" s="687"/>
      <c r="AW143" s="687"/>
      <c r="AX143" s="687"/>
      <c r="AY143" s="687"/>
      <c r="AZ143" s="687"/>
      <c r="BA143" s="687"/>
      <c r="BB143" s="687"/>
      <c r="BC143" s="687"/>
      <c r="BD143" s="687"/>
      <c r="BE143" s="687"/>
      <c r="BF143" s="687"/>
      <c r="BG143" s="687"/>
      <c r="BH143" s="687"/>
      <c r="BI143" s="687"/>
      <c r="BJ143" s="47"/>
      <c r="BK143" s="47"/>
      <c r="BL143" s="47"/>
      <c r="BM143" s="47"/>
    </row>
    <row r="144" spans="1:65" s="9" customFormat="1">
      <c r="A144" s="624"/>
      <c r="B144" s="625" t="s">
        <v>504</v>
      </c>
      <c r="C144" s="624"/>
      <c r="D144" s="624"/>
      <c r="E144" s="624"/>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c r="BA144" s="707"/>
      <c r="BB144" s="707"/>
      <c r="BC144" s="707"/>
      <c r="BD144" s="707"/>
      <c r="BE144" s="707"/>
      <c r="BF144" s="707"/>
      <c r="BG144" s="707"/>
      <c r="BH144" s="707"/>
      <c r="BI144" s="707"/>
      <c r="BJ144" s="624"/>
      <c r="BK144" s="56"/>
      <c r="BL144" s="56"/>
      <c r="BM144" s="56"/>
    </row>
    <row r="145" spans="1:65">
      <c r="A145" s="47"/>
      <c r="B145" s="47"/>
      <c r="C145" s="47"/>
      <c r="D145" s="47"/>
      <c r="E145" s="47"/>
      <c r="F145" s="687"/>
      <c r="G145" s="687"/>
      <c r="H145" s="687"/>
      <c r="I145" s="687"/>
      <c r="J145" s="687"/>
      <c r="K145" s="687"/>
      <c r="L145" s="687"/>
      <c r="M145" s="687"/>
      <c r="N145" s="687"/>
      <c r="O145" s="687"/>
      <c r="P145" s="687"/>
      <c r="Q145" s="687"/>
      <c r="R145" s="687"/>
      <c r="S145" s="687"/>
      <c r="T145" s="687"/>
      <c r="U145" s="687"/>
      <c r="V145" s="687"/>
      <c r="W145" s="687"/>
      <c r="X145" s="687"/>
      <c r="Y145" s="687"/>
      <c r="Z145" s="687"/>
      <c r="AA145" s="687"/>
      <c r="AB145" s="687"/>
      <c r="AC145" s="687"/>
      <c r="AD145" s="687"/>
      <c r="AE145" s="687"/>
      <c r="AF145" s="687"/>
      <c r="AG145" s="687"/>
      <c r="AH145" s="687"/>
      <c r="AI145" s="687"/>
      <c r="AJ145" s="687"/>
      <c r="AK145" s="687"/>
      <c r="AL145" s="687"/>
      <c r="AM145" s="687"/>
      <c r="AN145" s="687"/>
      <c r="AO145" s="687"/>
      <c r="AP145" s="687"/>
      <c r="AQ145" s="687"/>
      <c r="AR145" s="687"/>
      <c r="AS145" s="687"/>
      <c r="AT145" s="687"/>
      <c r="AU145" s="687"/>
      <c r="AV145" s="687"/>
      <c r="AW145" s="687"/>
      <c r="AX145" s="687"/>
      <c r="AY145" s="687"/>
      <c r="AZ145" s="687"/>
      <c r="BA145" s="687"/>
      <c r="BB145" s="687"/>
      <c r="BC145" s="687"/>
      <c r="BD145" s="687"/>
      <c r="BE145" s="687"/>
      <c r="BF145" s="687"/>
      <c r="BG145" s="687"/>
      <c r="BH145" s="687"/>
      <c r="BI145" s="687"/>
      <c r="BJ145" s="47"/>
      <c r="BK145" s="47"/>
      <c r="BL145" s="47"/>
      <c r="BM145" s="47"/>
    </row>
    <row r="146" spans="1:65">
      <c r="A146" s="47"/>
      <c r="B146" s="47" t="s">
        <v>36</v>
      </c>
      <c r="C146" s="47"/>
      <c r="D146" s="47"/>
      <c r="E146" s="47"/>
      <c r="F146" s="164">
        <f>F102</f>
        <v>0</v>
      </c>
      <c r="G146" s="165">
        <f>G102</f>
        <v>12.585327029005274</v>
      </c>
      <c r="H146" s="165">
        <f>IF(COUNT($G146:G146)&gt;='PTRM input'!$R$7,0,H102)</f>
        <v>13.140161558741951</v>
      </c>
      <c r="I146" s="165">
        <f>IF(COUNT($G146:H146)&gt;='PTRM input'!$R$7,0,I102)</f>
        <v>13.864930915668488</v>
      </c>
      <c r="J146" s="165">
        <f>IF(COUNT($G146:I146)&gt;='PTRM input'!$R$7,0,J102)</f>
        <v>15.111304055194122</v>
      </c>
      <c r="K146" s="165">
        <f>IF(COUNT($G146:J146)&gt;='PTRM input'!$R$7,0,K102)</f>
        <v>15.115268073675859</v>
      </c>
      <c r="L146" s="165">
        <f>IF(COUNT($G146:K146)&gt;='PTRM input'!$R$7,0,L102)</f>
        <v>0</v>
      </c>
      <c r="M146" s="165">
        <f>IF(COUNT($G146:L146)&gt;='PTRM input'!$R$7,0,M102)</f>
        <v>0</v>
      </c>
      <c r="N146" s="165">
        <f>IF(COUNT($G146:M146)&gt;='PTRM input'!$R$7,0,N102)</f>
        <v>0</v>
      </c>
      <c r="O146" s="165">
        <f>IF(COUNT($G146:N146)&gt;='PTRM input'!$R$7,0,O102)</f>
        <v>0</v>
      </c>
      <c r="P146" s="165">
        <f>IF(COUNT($G146:O146)&gt;='PTRM input'!$R$7,0,P102)</f>
        <v>0</v>
      </c>
      <c r="Q146" s="165"/>
      <c r="R146" s="165"/>
      <c r="S146" s="165"/>
      <c r="T146" s="165"/>
      <c r="U146" s="165"/>
      <c r="V146" s="717"/>
      <c r="W146" s="717"/>
      <c r="X146" s="717"/>
      <c r="Y146" s="717"/>
      <c r="Z146" s="717"/>
      <c r="AA146" s="717"/>
      <c r="AB146" s="717"/>
      <c r="AC146" s="717"/>
      <c r="AD146" s="717"/>
      <c r="AE146" s="717"/>
      <c r="AF146" s="717"/>
      <c r="AG146" s="717"/>
      <c r="AH146" s="717"/>
      <c r="AI146" s="717"/>
      <c r="AJ146" s="717"/>
      <c r="AK146" s="717"/>
      <c r="AL146" s="717"/>
      <c r="AM146" s="717"/>
      <c r="AN146" s="717"/>
      <c r="AO146" s="717"/>
      <c r="AP146" s="717"/>
      <c r="AQ146" s="717"/>
      <c r="AR146" s="717"/>
      <c r="AS146" s="717"/>
      <c r="AT146" s="717"/>
      <c r="AU146" s="717"/>
      <c r="AV146" s="717"/>
      <c r="AW146" s="717"/>
      <c r="AX146" s="717"/>
      <c r="AY146" s="717"/>
      <c r="AZ146" s="717"/>
      <c r="BA146" s="717"/>
      <c r="BB146" s="717"/>
      <c r="BC146" s="717"/>
      <c r="BD146" s="717"/>
      <c r="BE146" s="717"/>
      <c r="BF146" s="717"/>
      <c r="BG146" s="717"/>
      <c r="BH146" s="717"/>
      <c r="BI146" s="717"/>
      <c r="BJ146" s="47"/>
      <c r="BK146" s="47"/>
      <c r="BL146" s="47"/>
      <c r="BM146" s="47"/>
    </row>
    <row r="147" spans="1:65">
      <c r="A147" s="47"/>
      <c r="B147" s="47" t="s">
        <v>133</v>
      </c>
      <c r="C147" s="47"/>
      <c r="D147" s="47"/>
      <c r="E147" s="47"/>
      <c r="F147" s="166">
        <f t="shared" ref="F147" si="134">-F30</f>
        <v>0</v>
      </c>
      <c r="G147" s="153">
        <f t="shared" ref="G147" si="135">-G30</f>
        <v>-5.5481846193927771</v>
      </c>
      <c r="H147" s="153">
        <f>IF(COUNT($G147:G147)&gt;='PTRM input'!$R$7,0,-H30)</f>
        <v>-6.0855256345683566</v>
      </c>
      <c r="I147" s="153">
        <f>IF(COUNT($G147:H147)&gt;='PTRM input'!$R$7,0,-I30)</f>
        <v>-6.9042490312056941</v>
      </c>
      <c r="J147" s="153">
        <f>IF(COUNT($G147:I147)&gt;='PTRM input'!$R$7,0,-J30)</f>
        <v>-7.7079127816864537</v>
      </c>
      <c r="K147" s="153">
        <f>IF(COUNT($G147:J147)&gt;='PTRM input'!$R$7,0,-K30)</f>
        <v>-8.0829431956179896</v>
      </c>
      <c r="L147" s="153">
        <f>IF(COUNT($G147:K147)&gt;='PTRM input'!$R$7,0,-L30)</f>
        <v>0</v>
      </c>
      <c r="M147" s="153">
        <f>IF(COUNT($G147:L147)&gt;='PTRM input'!$R$7,0,-M30)</f>
        <v>0</v>
      </c>
      <c r="N147" s="153">
        <f>IF(COUNT($G147:M147)&gt;='PTRM input'!$R$7,0,-N30)</f>
        <v>0</v>
      </c>
      <c r="O147" s="153">
        <f>IF(COUNT($G147:N147)&gt;='PTRM input'!$R$7,0,-O30)</f>
        <v>0</v>
      </c>
      <c r="P147" s="153">
        <f>IF(COUNT($G147:O147)&gt;='PTRM input'!$R$7,0,-P30)</f>
        <v>0</v>
      </c>
      <c r="Q147" s="153"/>
      <c r="R147" s="153"/>
      <c r="S147" s="153"/>
      <c r="T147" s="153"/>
      <c r="U147" s="153"/>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47"/>
      <c r="BK147" s="47"/>
      <c r="BL147" s="47"/>
      <c r="BM147" s="47"/>
    </row>
    <row r="148" spans="1:65">
      <c r="A148" s="47"/>
      <c r="B148" s="47" t="s">
        <v>134</v>
      </c>
      <c r="C148" s="47"/>
      <c r="D148" s="47"/>
      <c r="E148" s="47"/>
      <c r="F148" s="166">
        <f>-F48</f>
        <v>0</v>
      </c>
      <c r="G148" s="153">
        <f>-G48</f>
        <v>-1.8513389576866806</v>
      </c>
      <c r="H148" s="153">
        <f>IF(COUNT($G148:G148)&gt;='PTRM input'!$R$7,0,-H48)</f>
        <v>-1.8899266500780389</v>
      </c>
      <c r="I148" s="153">
        <f>IF(COUNT($G148:H148)&gt;='PTRM input'!$R$7,0,-I48)</f>
        <v>-1.94432850146664</v>
      </c>
      <c r="J148" s="153">
        <f>IF(COUNT($G148:I148)&gt;='PTRM input'!$R$7,0,-J48)</f>
        <v>-1.9948302105654185</v>
      </c>
      <c r="K148" s="153">
        <f>IF(COUNT($G148:J148)&gt;='PTRM input'!$R$7,0,-K48)</f>
        <v>-2.0107561973322223</v>
      </c>
      <c r="L148" s="153">
        <f>IF(COUNT($G148:K148)&gt;='PTRM input'!$R$7,0,-L48)</f>
        <v>0</v>
      </c>
      <c r="M148" s="153">
        <f>IF(COUNT($G148:L148)&gt;='PTRM input'!$R$7,0,-M48)</f>
        <v>0</v>
      </c>
      <c r="N148" s="153">
        <f>IF(COUNT($G148:M148)&gt;='PTRM input'!$R$7,0,-N48)</f>
        <v>0</v>
      </c>
      <c r="O148" s="153">
        <f>IF(COUNT($G148:N148)&gt;='PTRM input'!$R$7,0,-O48)</f>
        <v>0</v>
      </c>
      <c r="P148" s="153">
        <f>IF(COUNT($G148:O148)&gt;='PTRM input'!$R$7,0,-P48)</f>
        <v>0</v>
      </c>
      <c r="Q148" s="153"/>
      <c r="R148" s="153"/>
      <c r="S148" s="153"/>
      <c r="T148" s="153"/>
      <c r="U148" s="153"/>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47"/>
      <c r="BK148" s="47"/>
      <c r="BL148" s="47"/>
      <c r="BM148" s="47"/>
    </row>
    <row r="149" spans="1:65">
      <c r="A149" s="47"/>
      <c r="B149" s="47" t="s">
        <v>135</v>
      </c>
      <c r="C149" s="47"/>
      <c r="D149" s="47"/>
      <c r="E149" s="47"/>
      <c r="F149" s="166">
        <f>-F105</f>
        <v>0</v>
      </c>
      <c r="G149" s="153">
        <f>-G105</f>
        <v>-2.4381000188898425</v>
      </c>
      <c r="H149" s="153">
        <f>IF(COUNT($G149:G149)&gt;='PTRM input'!$R$7,0,-H105)</f>
        <v>-2.177160171487416</v>
      </c>
      <c r="I149" s="153">
        <f>IF(COUNT($G149:H149)&gt;='PTRM input'!$R$7,0,-I105)</f>
        <v>-1.712072766682643</v>
      </c>
      <c r="J149" s="153">
        <f>IF(COUNT($G149:I149)&gt;='PTRM input'!$R$7,0,-J105)</f>
        <v>-1.959543922695866</v>
      </c>
      <c r="K149" s="153">
        <f>IF(COUNT($G149:J149)&gt;='PTRM input'!$R$7,0,-K105)</f>
        <v>-1.2020707764762217</v>
      </c>
      <c r="L149" s="153">
        <f>IF(COUNT($G149:K149)&gt;='PTRM input'!$R$7,0,-L105)</f>
        <v>0</v>
      </c>
      <c r="M149" s="153">
        <f>IF(COUNT($G149:L149)&gt;='PTRM input'!$R$7,0,-M105)</f>
        <v>0</v>
      </c>
      <c r="N149" s="153">
        <f>IF(COUNT($G149:M149)&gt;='PTRM input'!$R$7,0,-N105)</f>
        <v>0</v>
      </c>
      <c r="O149" s="153">
        <f>IF(COUNT($G149:N149)&gt;='PTRM input'!$R$7,0,-O105)</f>
        <v>0</v>
      </c>
      <c r="P149" s="153">
        <f>IF(COUNT($G149:O149)&gt;='PTRM input'!$R$7,0,-P105)</f>
        <v>0</v>
      </c>
      <c r="Q149" s="153"/>
      <c r="R149" s="153"/>
      <c r="S149" s="153"/>
      <c r="T149" s="153"/>
      <c r="U149" s="153"/>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47"/>
      <c r="BK149" s="47"/>
      <c r="BL149" s="47"/>
      <c r="BM149" s="47"/>
    </row>
    <row r="150" spans="1:65">
      <c r="A150" s="47"/>
      <c r="B150" s="47" t="s">
        <v>136</v>
      </c>
      <c r="C150" s="47"/>
      <c r="D150" s="47"/>
      <c r="E150" s="47"/>
      <c r="F150" s="166">
        <f>-F101</f>
        <v>0</v>
      </c>
      <c r="G150" s="153">
        <f>-G101</f>
        <v>0.60952500472246063</v>
      </c>
      <c r="H150" s="153">
        <f>IF(COUNT($G150:G150)&gt;='PTRM input'!$R$7,0,-H101)</f>
        <v>0.54429004287185367</v>
      </c>
      <c r="I150" s="153">
        <f>IF(COUNT($G150:H150)&gt;='PTRM input'!$R$7,0,-I101)</f>
        <v>0.42801819167066091</v>
      </c>
      <c r="J150" s="153">
        <f>IF(COUNT($G150:I150)&gt;='PTRM input'!$R$7,0,-J101)</f>
        <v>0.48988598067396688</v>
      </c>
      <c r="K150" s="153">
        <f>IF(COUNT($G150:J150)&gt;='PTRM input'!$R$7,0,-K101)</f>
        <v>0.30051769411905555</v>
      </c>
      <c r="L150" s="153">
        <f>IF(COUNT($G150:K150)&gt;='PTRM input'!$R$7,0,-L101)</f>
        <v>0</v>
      </c>
      <c r="M150" s="153">
        <f>IF(COUNT($G150:L150)&gt;='PTRM input'!$R$7,0,-M101)</f>
        <v>0</v>
      </c>
      <c r="N150" s="153">
        <f>IF(COUNT($G150:M150)&gt;='PTRM input'!$R$7,0,-N101)</f>
        <v>0</v>
      </c>
      <c r="O150" s="153">
        <f>IF(COUNT($G150:N150)&gt;='PTRM input'!$R$7,0,-O101)</f>
        <v>0</v>
      </c>
      <c r="P150" s="153">
        <f>IF(COUNT($G150:O150)&gt;='PTRM input'!$R$7,0,-P101)</f>
        <v>0</v>
      </c>
      <c r="Q150" s="153"/>
      <c r="R150" s="153"/>
      <c r="S150" s="153"/>
      <c r="T150" s="153"/>
      <c r="U150" s="153"/>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47"/>
      <c r="BK150" s="47"/>
      <c r="BL150" s="47"/>
      <c r="BM150" s="47"/>
    </row>
    <row r="151" spans="1:65">
      <c r="A151" s="47"/>
      <c r="B151" s="47" t="s">
        <v>137</v>
      </c>
      <c r="C151" s="47"/>
      <c r="D151" s="47"/>
      <c r="E151" s="47"/>
      <c r="F151" s="166">
        <f t="shared" ref="F151" si="136">-F70</f>
        <v>-34.786526826130789</v>
      </c>
      <c r="G151" s="153">
        <f t="shared" ref="G151" si="137">-G70</f>
        <v>-2.5377666314839109</v>
      </c>
      <c r="H151" s="153">
        <f>IF(COUNT($G151:G151)&gt;='PTRM input'!$R$7,0,-H70)</f>
        <v>-2.9773315942800096</v>
      </c>
      <c r="I151" s="153">
        <f>IF(COUNT($G151:H151)&gt;='PTRM input'!$R$7,0,-I70)</f>
        <v>-3.0591218751329836</v>
      </c>
      <c r="J151" s="153">
        <f>IF(COUNT($G151:I151)&gt;='PTRM input'!$R$7,0,-J70)</f>
        <v>-2.5739186304599824</v>
      </c>
      <c r="K151" s="153">
        <f>IF(COUNT($G151:J151)&gt;='PTRM input'!$R$7,0,-K70)</f>
        <v>-3.4232861321558379</v>
      </c>
      <c r="L151" s="153">
        <f>IF(COUNT($G151:K151)&gt;='PTRM input'!$R$7,0,-L70)</f>
        <v>0</v>
      </c>
      <c r="M151" s="153">
        <f>IF(COUNT($G151:L151)&gt;='PTRM input'!$R$7,0,-M70)</f>
        <v>0</v>
      </c>
      <c r="N151" s="153">
        <f>IF(COUNT($G151:M151)&gt;='PTRM input'!$R$7,0,-N70)</f>
        <v>0</v>
      </c>
      <c r="O151" s="153">
        <f>IF(COUNT($G151:N151)&gt;='PTRM input'!$R$7,0,-O70)</f>
        <v>0</v>
      </c>
      <c r="P151" s="153">
        <f>IF(COUNT($G151:O151)&gt;='PTRM input'!$R$7,0,-P70)</f>
        <v>0</v>
      </c>
      <c r="Q151" s="153"/>
      <c r="R151" s="153"/>
      <c r="S151" s="153"/>
      <c r="T151" s="153"/>
      <c r="U151" s="153"/>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47"/>
      <c r="BK151" s="47"/>
      <c r="BL151" s="47"/>
      <c r="BM151" s="47"/>
    </row>
    <row r="152" spans="1:65">
      <c r="A152" s="47"/>
      <c r="B152" s="47" t="s">
        <v>138</v>
      </c>
      <c r="C152" s="47"/>
      <c r="D152" s="47"/>
      <c r="E152" s="47"/>
      <c r="F152" s="166">
        <f t="shared" ref="F152" si="138">-F72</f>
        <v>20.871916095678472</v>
      </c>
      <c r="G152" s="153">
        <f t="shared" ref="G152" si="139">-G72</f>
        <v>0.43503599088341005</v>
      </c>
      <c r="H152" s="153">
        <f>IF(COUNT($G152:G152)&gt;='PTRM input'!$R$7,0,-H72)</f>
        <v>0.61332414192334994</v>
      </c>
      <c r="I152" s="153">
        <f>IF(COUNT($G152:H152)&gt;='PTRM input'!$R$7,0,-I72)</f>
        <v>0.56935410483403004</v>
      </c>
      <c r="J152" s="153">
        <f>IF(COUNT($G152:I152)&gt;='PTRM input'!$R$7,0,-J72)</f>
        <v>0.17954889252315454</v>
      </c>
      <c r="K152" s="153">
        <f>IF(COUNT($G152:J152)&gt;='PTRM input'!$R$7,0,-K72)</f>
        <v>0.58847387789982264</v>
      </c>
      <c r="L152" s="153">
        <f>IF(COUNT($G152:K152)&gt;='PTRM input'!$R$7,0,-L72)</f>
        <v>0</v>
      </c>
      <c r="M152" s="153">
        <f>IF(COUNT($G152:L152)&gt;='PTRM input'!$R$7,0,-M72)</f>
        <v>0</v>
      </c>
      <c r="N152" s="153">
        <f>IF(COUNT($G152:M152)&gt;='PTRM input'!$R$7,0,-N72)</f>
        <v>0</v>
      </c>
      <c r="O152" s="153">
        <f>IF(COUNT($G152:N152)&gt;='PTRM input'!$R$7,0,-O72)</f>
        <v>0</v>
      </c>
      <c r="P152" s="153">
        <f>IF(COUNT($G152:O152)&gt;='PTRM input'!$R$7,0,-P72)</f>
        <v>0</v>
      </c>
      <c r="Q152" s="153"/>
      <c r="R152" s="153"/>
      <c r="S152" s="153"/>
      <c r="T152" s="153"/>
      <c r="U152" s="153"/>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47"/>
      <c r="BK152" s="47"/>
      <c r="BL152" s="47"/>
      <c r="BM152" s="47"/>
    </row>
    <row r="153" spans="1:65">
      <c r="A153" s="47"/>
      <c r="B153" s="47" t="s">
        <v>91</v>
      </c>
      <c r="C153" s="47"/>
      <c r="D153" s="47"/>
      <c r="E153" s="47"/>
      <c r="F153" s="167"/>
      <c r="G153" s="98">
        <v>0</v>
      </c>
      <c r="H153" s="98">
        <f>IF((COUNT($G153:G153)+1)='PTRM input'!$R$7,I18,0)</f>
        <v>0</v>
      </c>
      <c r="I153" s="98">
        <f>IF((COUNT($G153:H153)+1)='PTRM input'!$R$7,J18,0)</f>
        <v>0</v>
      </c>
      <c r="J153" s="98">
        <f>IF((COUNT($G153:I153)+1)='PTRM input'!$R$7,K18,0)</f>
        <v>0</v>
      </c>
      <c r="K153" s="98">
        <f>IF((COUNT($G153:J153)+1)='PTRM input'!$R$7,L18,0)</f>
        <v>15.505102069161493</v>
      </c>
      <c r="L153" s="98">
        <f>IF((COUNT($G153:K153)+1)='PTRM input'!$R$7,M18,0)</f>
        <v>0</v>
      </c>
      <c r="M153" s="98">
        <f>IF((COUNT($G153:L153)+1)='PTRM input'!$R$7,N18,0)</f>
        <v>0</v>
      </c>
      <c r="N153" s="98">
        <f>IF((COUNT($G153:M153)+1)='PTRM input'!$R$7,O18,0)</f>
        <v>0</v>
      </c>
      <c r="O153" s="98">
        <f>IF((COUNT($G153:N153)+1)='PTRM input'!$R$7,P18,0)</f>
        <v>0</v>
      </c>
      <c r="P153" s="98">
        <f>IF((COUNT($G153:O153)+1)='PTRM input'!$R$7,Q18,0)</f>
        <v>0</v>
      </c>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47"/>
      <c r="BK153" s="47"/>
      <c r="BL153" s="47"/>
      <c r="BM153" s="47"/>
    </row>
    <row r="154" spans="1:65">
      <c r="A154" s="47"/>
      <c r="B154" s="47" t="s">
        <v>92</v>
      </c>
      <c r="C154" s="47"/>
      <c r="D154" s="47"/>
      <c r="E154" s="47"/>
      <c r="F154" s="167">
        <f t="shared" ref="F154:P154" si="140">SUM(F146:F153)</f>
        <v>-13.914610730452317</v>
      </c>
      <c r="G154" s="98">
        <f t="shared" si="140"/>
        <v>1.2544977971579341</v>
      </c>
      <c r="H154" s="98">
        <f t="shared" si="140"/>
        <v>1.1678316931233335</v>
      </c>
      <c r="I154" s="98">
        <f t="shared" si="140"/>
        <v>1.2425310376852181</v>
      </c>
      <c r="J154" s="98">
        <f t="shared" si="140"/>
        <v>1.5445333829835226</v>
      </c>
      <c r="K154" s="98">
        <f t="shared" si="140"/>
        <v>16.790305413273959</v>
      </c>
      <c r="L154" s="98">
        <f t="shared" si="140"/>
        <v>0</v>
      </c>
      <c r="M154" s="98">
        <f t="shared" si="140"/>
        <v>0</v>
      </c>
      <c r="N154" s="98">
        <f t="shared" si="140"/>
        <v>0</v>
      </c>
      <c r="O154" s="98">
        <f t="shared" si="140"/>
        <v>0</v>
      </c>
      <c r="P154" s="98">
        <f t="shared" si="140"/>
        <v>0</v>
      </c>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47"/>
      <c r="BK154" s="47"/>
      <c r="BL154" s="47"/>
      <c r="BM154" s="47"/>
    </row>
    <row r="155" spans="1:65">
      <c r="A155" s="47"/>
      <c r="B155" s="47"/>
      <c r="C155" s="47"/>
      <c r="D155" s="47"/>
      <c r="E155" s="47"/>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47"/>
      <c r="BK155" s="47"/>
      <c r="BL155" s="47"/>
      <c r="BM155" s="47"/>
    </row>
    <row r="156" spans="1:65">
      <c r="A156" s="47"/>
      <c r="B156" s="129" t="s">
        <v>117</v>
      </c>
      <c r="C156" s="129"/>
      <c r="D156" s="129"/>
      <c r="E156" s="162">
        <f>IRR(F154:P154)</f>
        <v>0.11099999999998755</v>
      </c>
      <c r="F156" s="687"/>
      <c r="G156" s="687"/>
      <c r="H156" s="687"/>
      <c r="I156" s="687"/>
      <c r="J156" s="687"/>
      <c r="K156" s="687"/>
      <c r="L156" s="687"/>
      <c r="M156" s="687"/>
      <c r="N156" s="687"/>
      <c r="O156" s="687"/>
      <c r="P156" s="687"/>
      <c r="Q156" s="687"/>
      <c r="R156" s="687"/>
      <c r="S156" s="687"/>
      <c r="T156" s="687"/>
      <c r="U156" s="687"/>
      <c r="V156" s="687"/>
      <c r="W156" s="687"/>
      <c r="X156" s="687"/>
      <c r="Y156" s="687"/>
      <c r="Z156" s="687"/>
      <c r="AA156" s="687"/>
      <c r="AB156" s="687"/>
      <c r="AC156" s="687"/>
      <c r="AD156" s="687"/>
      <c r="AE156" s="687"/>
      <c r="AF156" s="687"/>
      <c r="AG156" s="687"/>
      <c r="AH156" s="687"/>
      <c r="AI156" s="687"/>
      <c r="AJ156" s="687"/>
      <c r="AK156" s="687"/>
      <c r="AL156" s="687"/>
      <c r="AM156" s="687"/>
      <c r="AN156" s="687"/>
      <c r="AO156" s="687"/>
      <c r="AP156" s="687"/>
      <c r="AQ156" s="687"/>
      <c r="AR156" s="687"/>
      <c r="AS156" s="687"/>
      <c r="AT156" s="687"/>
      <c r="AU156" s="687"/>
      <c r="AV156" s="687"/>
      <c r="AW156" s="687"/>
      <c r="AX156" s="687"/>
      <c r="AY156" s="687"/>
      <c r="AZ156" s="687"/>
      <c r="BA156" s="687"/>
      <c r="BB156" s="687"/>
      <c r="BC156" s="687"/>
      <c r="BD156" s="687"/>
      <c r="BE156" s="687"/>
      <c r="BF156" s="687"/>
      <c r="BG156" s="687"/>
      <c r="BH156" s="687"/>
      <c r="BI156" s="687"/>
      <c r="BJ156" s="47"/>
      <c r="BK156" s="47"/>
      <c r="BL156" s="47"/>
      <c r="BM156" s="47"/>
    </row>
    <row r="157" spans="1:65">
      <c r="A157" s="47"/>
      <c r="B157" s="131" t="s">
        <v>118</v>
      </c>
      <c r="C157" s="131"/>
      <c r="D157" s="131"/>
      <c r="E157" s="163">
        <f>WACC!G10</f>
        <v>0.111</v>
      </c>
      <c r="F157" s="687"/>
      <c r="G157" s="687"/>
      <c r="H157" s="687"/>
      <c r="I157" s="687"/>
      <c r="J157" s="687"/>
      <c r="K157" s="687"/>
      <c r="L157" s="687"/>
      <c r="M157" s="687"/>
      <c r="N157" s="687"/>
      <c r="O157" s="687"/>
      <c r="P157" s="687"/>
      <c r="Q157" s="687"/>
      <c r="R157" s="687"/>
      <c r="S157" s="687"/>
      <c r="T157" s="687"/>
      <c r="U157" s="687"/>
      <c r="V157" s="687"/>
      <c r="W157" s="687"/>
      <c r="X157" s="687"/>
      <c r="Y157" s="687"/>
      <c r="Z157" s="687"/>
      <c r="AA157" s="687"/>
      <c r="AB157" s="687"/>
      <c r="AC157" s="687"/>
      <c r="AD157" s="687"/>
      <c r="AE157" s="687"/>
      <c r="AF157" s="687"/>
      <c r="AG157" s="687"/>
      <c r="AH157" s="687"/>
      <c r="AI157" s="687"/>
      <c r="AJ157" s="687"/>
      <c r="AK157" s="687"/>
      <c r="AL157" s="687"/>
      <c r="AM157" s="687"/>
      <c r="AN157" s="687"/>
      <c r="AO157" s="687"/>
      <c r="AP157" s="687"/>
      <c r="AQ157" s="687"/>
      <c r="AR157" s="687"/>
      <c r="AS157" s="687"/>
      <c r="AT157" s="687"/>
      <c r="AU157" s="687"/>
      <c r="AV157" s="687"/>
      <c r="AW157" s="687"/>
      <c r="AX157" s="687"/>
      <c r="AY157" s="687"/>
      <c r="AZ157" s="687"/>
      <c r="BA157" s="687"/>
      <c r="BB157" s="687"/>
      <c r="BC157" s="687"/>
      <c r="BD157" s="687"/>
      <c r="BE157" s="687"/>
      <c r="BF157" s="687"/>
      <c r="BG157" s="687"/>
      <c r="BH157" s="687"/>
      <c r="BI157" s="687"/>
      <c r="BJ157" s="47"/>
      <c r="BK157" s="47"/>
      <c r="BL157" s="47"/>
      <c r="BM157" s="47"/>
    </row>
    <row r="158" spans="1:65">
      <c r="A158" s="47"/>
      <c r="B158" s="47"/>
      <c r="C158" s="47"/>
      <c r="D158" s="47"/>
      <c r="E158" s="47"/>
      <c r="F158" s="687"/>
      <c r="G158" s="687"/>
      <c r="H158" s="687"/>
      <c r="I158" s="687"/>
      <c r="J158" s="687"/>
      <c r="K158" s="687"/>
      <c r="L158" s="687"/>
      <c r="M158" s="687"/>
      <c r="N158" s="687"/>
      <c r="O158" s="687"/>
      <c r="P158" s="687"/>
      <c r="Q158" s="687"/>
      <c r="R158" s="687"/>
      <c r="S158" s="687"/>
      <c r="T158" s="687"/>
      <c r="U158" s="687"/>
      <c r="V158" s="687"/>
      <c r="W158" s="687"/>
      <c r="X158" s="687"/>
      <c r="Y158" s="687"/>
      <c r="Z158" s="687"/>
      <c r="AA158" s="687"/>
      <c r="AB158" s="687"/>
      <c r="AC158" s="687"/>
      <c r="AD158" s="687"/>
      <c r="AE158" s="687"/>
      <c r="AF158" s="687"/>
      <c r="AG158" s="687"/>
      <c r="AH158" s="687"/>
      <c r="AI158" s="687"/>
      <c r="AJ158" s="687"/>
      <c r="AK158" s="687"/>
      <c r="AL158" s="687"/>
      <c r="AM158" s="687"/>
      <c r="AN158" s="687"/>
      <c r="AO158" s="687"/>
      <c r="AP158" s="687"/>
      <c r="AQ158" s="687"/>
      <c r="AR158" s="687"/>
      <c r="AS158" s="687"/>
      <c r="AT158" s="687"/>
      <c r="AU158" s="687"/>
      <c r="AV158" s="687"/>
      <c r="AW158" s="687"/>
      <c r="AX158" s="687"/>
      <c r="AY158" s="687"/>
      <c r="AZ158" s="687"/>
      <c r="BA158" s="687"/>
      <c r="BB158" s="687"/>
      <c r="BC158" s="687"/>
      <c r="BD158" s="687"/>
      <c r="BE158" s="687"/>
      <c r="BF158" s="687"/>
      <c r="BG158" s="687"/>
      <c r="BH158" s="687"/>
      <c r="BI158" s="687"/>
      <c r="BJ158" s="47"/>
      <c r="BK158" s="47"/>
      <c r="BL158" s="47"/>
      <c r="BM158" s="47"/>
    </row>
    <row r="159" spans="1:65">
      <c r="A159" s="47"/>
      <c r="B159" s="47"/>
      <c r="C159" s="47"/>
      <c r="D159" s="47"/>
      <c r="E159" s="47"/>
      <c r="F159" s="687"/>
      <c r="G159" s="687"/>
      <c r="H159" s="687"/>
      <c r="I159" s="687"/>
      <c r="J159" s="687"/>
      <c r="K159" s="687"/>
      <c r="L159" s="687"/>
      <c r="M159" s="687"/>
      <c r="N159" s="687"/>
      <c r="O159" s="687"/>
      <c r="P159" s="687"/>
      <c r="Q159" s="687"/>
      <c r="R159" s="687"/>
      <c r="S159" s="687"/>
      <c r="T159" s="687"/>
      <c r="U159" s="687"/>
      <c r="V159" s="687"/>
      <c r="W159" s="687"/>
      <c r="X159" s="687"/>
      <c r="Y159" s="687"/>
      <c r="Z159" s="687"/>
      <c r="AA159" s="687"/>
      <c r="AB159" s="687"/>
      <c r="AC159" s="687"/>
      <c r="AD159" s="687"/>
      <c r="AE159" s="687"/>
      <c r="AF159" s="687"/>
      <c r="AG159" s="687"/>
      <c r="AH159" s="687"/>
      <c r="AI159" s="687"/>
      <c r="AJ159" s="687"/>
      <c r="AK159" s="687"/>
      <c r="AL159" s="687"/>
      <c r="AM159" s="687"/>
      <c r="AN159" s="687"/>
      <c r="AO159" s="687"/>
      <c r="AP159" s="687"/>
      <c r="AQ159" s="687"/>
      <c r="AR159" s="687"/>
      <c r="AS159" s="687"/>
      <c r="AT159" s="687"/>
      <c r="AU159" s="687"/>
      <c r="AV159" s="687"/>
      <c r="AW159" s="687"/>
      <c r="AX159" s="687"/>
      <c r="AY159" s="687"/>
      <c r="AZ159" s="687"/>
      <c r="BA159" s="687"/>
      <c r="BB159" s="687"/>
      <c r="BC159" s="687"/>
      <c r="BD159" s="687"/>
      <c r="BE159" s="687"/>
      <c r="BF159" s="687"/>
      <c r="BG159" s="687"/>
      <c r="BH159" s="687"/>
      <c r="BI159" s="687"/>
      <c r="BJ159" s="47"/>
      <c r="BK159" s="47"/>
      <c r="BL159" s="47"/>
      <c r="BM159" s="47"/>
    </row>
    <row r="160" spans="1:65" s="9" customFormat="1">
      <c r="A160" s="140"/>
      <c r="B160" s="140" t="s">
        <v>506</v>
      </c>
      <c r="C160" s="142"/>
      <c r="D160" s="142"/>
      <c r="E160" s="142"/>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8"/>
      <c r="AD160" s="718"/>
      <c r="AE160" s="718"/>
      <c r="AF160" s="718"/>
      <c r="AG160" s="718"/>
      <c r="AH160" s="718"/>
      <c r="AI160" s="718"/>
      <c r="AJ160" s="718"/>
      <c r="AK160" s="718"/>
      <c r="AL160" s="718"/>
      <c r="AM160" s="718"/>
      <c r="AN160" s="718"/>
      <c r="AO160" s="718"/>
      <c r="AP160" s="718"/>
      <c r="AQ160" s="718"/>
      <c r="AR160" s="718"/>
      <c r="AS160" s="718"/>
      <c r="AT160" s="718"/>
      <c r="AU160" s="718"/>
      <c r="AV160" s="718"/>
      <c r="AW160" s="718"/>
      <c r="AX160" s="718"/>
      <c r="AY160" s="718"/>
      <c r="AZ160" s="718"/>
      <c r="BA160" s="718"/>
      <c r="BB160" s="718"/>
      <c r="BC160" s="718"/>
      <c r="BD160" s="718"/>
      <c r="BE160" s="718"/>
      <c r="BF160" s="718"/>
      <c r="BG160" s="718"/>
      <c r="BH160" s="718"/>
      <c r="BI160" s="718"/>
      <c r="BJ160" s="56"/>
      <c r="BK160" s="56"/>
      <c r="BL160" s="56"/>
      <c r="BM160" s="56"/>
    </row>
    <row r="161" spans="1:65">
      <c r="A161" s="168"/>
      <c r="B161" s="443" t="s">
        <v>43</v>
      </c>
      <c r="C161" s="440"/>
      <c r="D161" s="440"/>
      <c r="E161" s="440"/>
      <c r="F161" s="679"/>
      <c r="G161" s="719">
        <f t="shared" ref="G161:P161" si="141">G25+G26</f>
        <v>3.3958607487668875</v>
      </c>
      <c r="H161" s="719">
        <f t="shared" si="141"/>
        <v>3.4666411044836183</v>
      </c>
      <c r="I161" s="719">
        <f t="shared" si="141"/>
        <v>3.5664289423745474</v>
      </c>
      <c r="J161" s="719">
        <f t="shared" si="141"/>
        <v>3.6590628552310442</v>
      </c>
      <c r="K161" s="719">
        <f t="shared" si="141"/>
        <v>3.6882754600445615</v>
      </c>
      <c r="L161" s="719">
        <f t="shared" si="141"/>
        <v>3.7840201599788625</v>
      </c>
      <c r="M161" s="719">
        <f t="shared" si="141"/>
        <v>3.5274098264243587</v>
      </c>
      <c r="N161" s="719">
        <f t="shared" si="141"/>
        <v>3.2554633278963148</v>
      </c>
      <c r="O161" s="719">
        <f t="shared" si="141"/>
        <v>3.1577974976703862</v>
      </c>
      <c r="P161" s="719">
        <f t="shared" si="141"/>
        <v>3.0531419601693233</v>
      </c>
      <c r="Q161" s="719"/>
      <c r="R161" s="719"/>
      <c r="S161" s="719"/>
      <c r="T161" s="720"/>
      <c r="U161" s="720"/>
      <c r="V161" s="720"/>
      <c r="W161" s="720"/>
      <c r="X161" s="720"/>
      <c r="Y161" s="720"/>
      <c r="Z161" s="720"/>
      <c r="AA161" s="720"/>
      <c r="AB161" s="720"/>
      <c r="AC161" s="720"/>
      <c r="AD161" s="720"/>
      <c r="AE161" s="720"/>
      <c r="AF161" s="720"/>
      <c r="AG161" s="720"/>
      <c r="AH161" s="720"/>
      <c r="AI161" s="720"/>
      <c r="AJ161" s="720"/>
      <c r="AK161" s="720"/>
      <c r="AL161" s="720"/>
      <c r="AM161" s="720"/>
      <c r="AN161" s="720"/>
      <c r="AO161" s="720"/>
      <c r="AP161" s="720"/>
      <c r="AQ161" s="720"/>
      <c r="AR161" s="720"/>
      <c r="AS161" s="720"/>
      <c r="AT161" s="720"/>
      <c r="AU161" s="720"/>
      <c r="AV161" s="720"/>
      <c r="AW161" s="720"/>
      <c r="AX161" s="720"/>
      <c r="AY161" s="720"/>
      <c r="AZ161" s="720"/>
      <c r="BA161" s="720"/>
      <c r="BB161" s="720"/>
      <c r="BC161" s="720"/>
      <c r="BD161" s="720"/>
      <c r="BE161" s="720"/>
      <c r="BF161" s="720"/>
      <c r="BG161" s="720"/>
      <c r="BH161" s="720"/>
      <c r="BI161" s="720"/>
      <c r="BJ161" s="47"/>
      <c r="BK161" s="47"/>
      <c r="BL161" s="47"/>
      <c r="BM161" s="47"/>
    </row>
    <row r="162" spans="1:65">
      <c r="A162" s="56"/>
      <c r="B162" s="495" t="s">
        <v>243</v>
      </c>
      <c r="C162" s="496"/>
      <c r="D162" s="496"/>
      <c r="E162" s="496"/>
      <c r="F162" s="679"/>
      <c r="G162" s="721">
        <f t="shared" ref="G162:P162" si="142">G30</f>
        <v>5.5481846193927771</v>
      </c>
      <c r="H162" s="721">
        <f t="shared" si="142"/>
        <v>6.0855256345683566</v>
      </c>
      <c r="I162" s="721">
        <f t="shared" si="142"/>
        <v>6.9042490312056941</v>
      </c>
      <c r="J162" s="721">
        <f t="shared" si="142"/>
        <v>7.7079127816864537</v>
      </c>
      <c r="K162" s="721">
        <f t="shared" si="142"/>
        <v>8.0829431956179896</v>
      </c>
      <c r="L162" s="721">
        <f t="shared" si="142"/>
        <v>0</v>
      </c>
      <c r="M162" s="721">
        <f t="shared" si="142"/>
        <v>0</v>
      </c>
      <c r="N162" s="721">
        <f t="shared" si="142"/>
        <v>0</v>
      </c>
      <c r="O162" s="721">
        <f t="shared" si="142"/>
        <v>0</v>
      </c>
      <c r="P162" s="721">
        <f t="shared" si="142"/>
        <v>0</v>
      </c>
      <c r="Q162" s="722"/>
      <c r="R162" s="722"/>
      <c r="S162" s="722"/>
      <c r="T162" s="723"/>
      <c r="U162" s="723"/>
      <c r="V162" s="723"/>
      <c r="W162" s="723"/>
      <c r="X162" s="723"/>
      <c r="Y162" s="723"/>
      <c r="Z162" s="723"/>
      <c r="AA162" s="723"/>
      <c r="AB162" s="723"/>
      <c r="AC162" s="723"/>
      <c r="AD162" s="723"/>
      <c r="AE162" s="723"/>
      <c r="AF162" s="723"/>
      <c r="AG162" s="723"/>
      <c r="AH162" s="723"/>
      <c r="AI162" s="723"/>
      <c r="AJ162" s="723"/>
      <c r="AK162" s="723"/>
      <c r="AL162" s="723"/>
      <c r="AM162" s="723"/>
      <c r="AN162" s="723"/>
      <c r="AO162" s="723"/>
      <c r="AP162" s="723"/>
      <c r="AQ162" s="723"/>
      <c r="AR162" s="723"/>
      <c r="AS162" s="723"/>
      <c r="AT162" s="723"/>
      <c r="AU162" s="723"/>
      <c r="AV162" s="723"/>
      <c r="AW162" s="723"/>
      <c r="AX162" s="723"/>
      <c r="AY162" s="723"/>
      <c r="AZ162" s="723"/>
      <c r="BA162" s="723"/>
      <c r="BB162" s="723"/>
      <c r="BC162" s="723"/>
      <c r="BD162" s="723"/>
      <c r="BE162" s="723"/>
      <c r="BF162" s="723"/>
      <c r="BG162" s="723"/>
      <c r="BH162" s="723"/>
      <c r="BI162" s="723"/>
      <c r="BJ162" s="47"/>
      <c r="BK162" s="47"/>
      <c r="BL162" s="47"/>
      <c r="BM162" s="47"/>
    </row>
    <row r="163" spans="1:65">
      <c r="A163" s="56"/>
      <c r="B163" s="495" t="s">
        <v>402</v>
      </c>
      <c r="C163" s="496"/>
      <c r="D163" s="496"/>
      <c r="E163" s="496"/>
      <c r="F163" s="679"/>
      <c r="G163" s="721">
        <f t="shared" ref="G163:P163" si="143">G32</f>
        <v>0</v>
      </c>
      <c r="H163" s="721">
        <f t="shared" si="143"/>
        <v>0</v>
      </c>
      <c r="I163" s="721">
        <f t="shared" si="143"/>
        <v>0</v>
      </c>
      <c r="J163" s="721">
        <f t="shared" si="143"/>
        <v>0</v>
      </c>
      <c r="K163" s="721">
        <f t="shared" si="143"/>
        <v>0</v>
      </c>
      <c r="L163" s="721">
        <f t="shared" si="143"/>
        <v>0</v>
      </c>
      <c r="M163" s="721">
        <f t="shared" si="143"/>
        <v>0</v>
      </c>
      <c r="N163" s="721">
        <f t="shared" si="143"/>
        <v>0</v>
      </c>
      <c r="O163" s="721">
        <f t="shared" si="143"/>
        <v>0</v>
      </c>
      <c r="P163" s="721">
        <f t="shared" si="143"/>
        <v>0</v>
      </c>
      <c r="Q163" s="722"/>
      <c r="R163" s="722"/>
      <c r="S163" s="722"/>
      <c r="T163" s="723"/>
      <c r="U163" s="723"/>
      <c r="V163" s="723"/>
      <c r="W163" s="723"/>
      <c r="X163" s="723"/>
      <c r="Y163" s="723"/>
      <c r="Z163" s="723"/>
      <c r="AA163" s="723"/>
      <c r="AB163" s="723"/>
      <c r="AC163" s="723"/>
      <c r="AD163" s="723"/>
      <c r="AE163" s="723"/>
      <c r="AF163" s="723"/>
      <c r="AG163" s="723"/>
      <c r="AH163" s="723"/>
      <c r="AI163" s="723"/>
      <c r="AJ163" s="723"/>
      <c r="AK163" s="723"/>
      <c r="AL163" s="723"/>
      <c r="AM163" s="723"/>
      <c r="AN163" s="723"/>
      <c r="AO163" s="723"/>
      <c r="AP163" s="723"/>
      <c r="AQ163" s="723"/>
      <c r="AR163" s="723"/>
      <c r="AS163" s="723"/>
      <c r="AT163" s="723"/>
      <c r="AU163" s="723"/>
      <c r="AV163" s="723"/>
      <c r="AW163" s="723"/>
      <c r="AX163" s="723"/>
      <c r="AY163" s="723"/>
      <c r="AZ163" s="723"/>
      <c r="BA163" s="723"/>
      <c r="BB163" s="723"/>
      <c r="BC163" s="723"/>
      <c r="BD163" s="723"/>
      <c r="BE163" s="723"/>
      <c r="BF163" s="723"/>
      <c r="BG163" s="723"/>
      <c r="BH163" s="723"/>
      <c r="BI163" s="723"/>
      <c r="BJ163" s="47"/>
      <c r="BK163" s="47"/>
      <c r="BL163" s="47"/>
      <c r="BM163" s="47"/>
    </row>
    <row r="164" spans="1:65">
      <c r="A164" s="56"/>
      <c r="B164" s="324" t="s">
        <v>108</v>
      </c>
      <c r="C164" s="441"/>
      <c r="D164" s="441"/>
      <c r="E164" s="441"/>
      <c r="F164" s="679"/>
      <c r="G164" s="722">
        <f t="shared" ref="G164:P164" si="144">G28</f>
        <v>1.812706646678228</v>
      </c>
      <c r="H164" s="722">
        <f t="shared" si="144"/>
        <v>1.9551246910744142</v>
      </c>
      <c r="I164" s="722">
        <f t="shared" si="144"/>
        <v>2.1101983670762632</v>
      </c>
      <c r="J164" s="722">
        <f t="shared" si="144"/>
        <v>2.274670476254725</v>
      </c>
      <c r="K164" s="722">
        <f t="shared" si="144"/>
        <v>2.4424963356561413</v>
      </c>
      <c r="L164" s="722">
        <f t="shared" si="144"/>
        <v>2.6286655762600204</v>
      </c>
      <c r="M164" s="722">
        <f t="shared" si="144"/>
        <v>2.7857662213485259</v>
      </c>
      <c r="N164" s="722">
        <f t="shared" si="144"/>
        <v>1.0004694757829204</v>
      </c>
      <c r="O164" s="722">
        <f t="shared" si="144"/>
        <v>1.0720706566386293</v>
      </c>
      <c r="P164" s="722">
        <f t="shared" si="144"/>
        <v>1.1466451988735624</v>
      </c>
      <c r="Q164" s="722"/>
      <c r="R164" s="722"/>
      <c r="S164" s="722"/>
      <c r="T164" s="723"/>
      <c r="U164" s="723"/>
      <c r="V164" s="723"/>
      <c r="W164" s="723"/>
      <c r="X164" s="723"/>
      <c r="Y164" s="723"/>
      <c r="Z164" s="723"/>
      <c r="AA164" s="723"/>
      <c r="AB164" s="723"/>
      <c r="AC164" s="723"/>
      <c r="AD164" s="723"/>
      <c r="AE164" s="723"/>
      <c r="AF164" s="723"/>
      <c r="AG164" s="723"/>
      <c r="AH164" s="723"/>
      <c r="AI164" s="723"/>
      <c r="AJ164" s="723"/>
      <c r="AK164" s="723"/>
      <c r="AL164" s="723"/>
      <c r="AM164" s="723"/>
      <c r="AN164" s="723"/>
      <c r="AO164" s="723"/>
      <c r="AP164" s="723"/>
      <c r="AQ164" s="723"/>
      <c r="AR164" s="723"/>
      <c r="AS164" s="723"/>
      <c r="AT164" s="723"/>
      <c r="AU164" s="723"/>
      <c r="AV164" s="723"/>
      <c r="AW164" s="723"/>
      <c r="AX164" s="723"/>
      <c r="AY164" s="723"/>
      <c r="AZ164" s="723"/>
      <c r="BA164" s="723"/>
      <c r="BB164" s="723"/>
      <c r="BC164" s="723"/>
      <c r="BD164" s="723"/>
      <c r="BE164" s="723"/>
      <c r="BF164" s="723"/>
      <c r="BG164" s="723"/>
      <c r="BH164" s="723"/>
      <c r="BI164" s="723"/>
      <c r="BJ164" s="47"/>
      <c r="BK164" s="47"/>
      <c r="BL164" s="47"/>
      <c r="BM164" s="47"/>
    </row>
    <row r="165" spans="1:65">
      <c r="A165" s="56"/>
      <c r="B165" s="324" t="s">
        <v>44</v>
      </c>
      <c r="C165" s="441"/>
      <c r="D165" s="441"/>
      <c r="E165" s="441"/>
      <c r="F165" s="679"/>
      <c r="G165" s="722">
        <f t="shared" ref="G165:P165" si="145">G34+G35</f>
        <v>1.8285750141673818</v>
      </c>
      <c r="H165" s="722">
        <f t="shared" si="145"/>
        <v>1.6328701286155609</v>
      </c>
      <c r="I165" s="722">
        <f t="shared" si="145"/>
        <v>1.2840545750119829</v>
      </c>
      <c r="J165" s="722">
        <f t="shared" si="145"/>
        <v>1.4696579420219007</v>
      </c>
      <c r="K165" s="722">
        <f t="shared" si="145"/>
        <v>0.90155308235716691</v>
      </c>
      <c r="L165" s="722">
        <f t="shared" si="145"/>
        <v>0.23394191076609125</v>
      </c>
      <c r="M165" s="722">
        <f t="shared" si="145"/>
        <v>0.24566742823457668</v>
      </c>
      <c r="N165" s="722">
        <f t="shared" si="145"/>
        <v>0</v>
      </c>
      <c r="O165" s="722">
        <f t="shared" si="145"/>
        <v>0</v>
      </c>
      <c r="P165" s="722">
        <f t="shared" si="145"/>
        <v>0</v>
      </c>
      <c r="Q165" s="722"/>
      <c r="R165" s="722"/>
      <c r="S165" s="722"/>
      <c r="T165" s="723"/>
      <c r="U165" s="723"/>
      <c r="V165" s="723"/>
      <c r="W165" s="723"/>
      <c r="X165" s="723"/>
      <c r="Y165" s="723"/>
      <c r="Z165" s="723"/>
      <c r="AA165" s="723"/>
      <c r="AB165" s="723"/>
      <c r="AC165" s="723"/>
      <c r="AD165" s="723"/>
      <c r="AE165" s="723"/>
      <c r="AF165" s="723"/>
      <c r="AG165" s="723"/>
      <c r="AH165" s="723"/>
      <c r="AI165" s="723"/>
      <c r="AJ165" s="723"/>
      <c r="AK165" s="723"/>
      <c r="AL165" s="723"/>
      <c r="AM165" s="723"/>
      <c r="AN165" s="723"/>
      <c r="AO165" s="723"/>
      <c r="AP165" s="723"/>
      <c r="AQ165" s="723"/>
      <c r="AR165" s="723"/>
      <c r="AS165" s="723"/>
      <c r="AT165" s="723"/>
      <c r="AU165" s="723"/>
      <c r="AV165" s="723"/>
      <c r="AW165" s="723"/>
      <c r="AX165" s="723"/>
      <c r="AY165" s="723"/>
      <c r="AZ165" s="723"/>
      <c r="BA165" s="723"/>
      <c r="BB165" s="723"/>
      <c r="BC165" s="723"/>
      <c r="BD165" s="723"/>
      <c r="BE165" s="723"/>
      <c r="BF165" s="723"/>
      <c r="BG165" s="723"/>
      <c r="BH165" s="723"/>
      <c r="BI165" s="723"/>
      <c r="BJ165" s="47"/>
      <c r="BK165" s="47"/>
      <c r="BL165" s="47"/>
      <c r="BM165" s="47"/>
    </row>
    <row r="166" spans="1:65">
      <c r="A166" s="56"/>
      <c r="B166" s="444" t="s">
        <v>505</v>
      </c>
      <c r="C166" s="54"/>
      <c r="D166" s="54"/>
      <c r="E166" s="54"/>
      <c r="F166" s="724"/>
      <c r="G166" s="725">
        <f t="shared" ref="G166:P166" si="146">SUM(G161,G162,G163,G164,G165)</f>
        <v>12.585327029005274</v>
      </c>
      <c r="H166" s="725">
        <f t="shared" si="146"/>
        <v>13.140161558741951</v>
      </c>
      <c r="I166" s="725">
        <f t="shared" si="146"/>
        <v>13.864930915668486</v>
      </c>
      <c r="J166" s="725">
        <f t="shared" si="146"/>
        <v>15.111304055194124</v>
      </c>
      <c r="K166" s="725">
        <f t="shared" si="146"/>
        <v>15.115268073675859</v>
      </c>
      <c r="L166" s="725">
        <f t="shared" si="146"/>
        <v>6.6466276470049745</v>
      </c>
      <c r="M166" s="725">
        <f t="shared" si="146"/>
        <v>6.5588434760074614</v>
      </c>
      <c r="N166" s="725">
        <f t="shared" si="146"/>
        <v>4.2559328036792348</v>
      </c>
      <c r="O166" s="725">
        <f t="shared" si="146"/>
        <v>4.2298681543090151</v>
      </c>
      <c r="P166" s="725">
        <f t="shared" si="146"/>
        <v>4.1997871590428861</v>
      </c>
      <c r="Q166" s="722"/>
      <c r="R166" s="722"/>
      <c r="S166" s="722"/>
      <c r="T166" s="723"/>
      <c r="U166" s="723"/>
      <c r="V166" s="723"/>
      <c r="W166" s="723"/>
      <c r="X166" s="723"/>
      <c r="Y166" s="723"/>
      <c r="Z166" s="723"/>
      <c r="AA166" s="723"/>
      <c r="AB166" s="723"/>
      <c r="AC166" s="723"/>
      <c r="AD166" s="723"/>
      <c r="AE166" s="723"/>
      <c r="AF166" s="723"/>
      <c r="AG166" s="723"/>
      <c r="AH166" s="723"/>
      <c r="AI166" s="723"/>
      <c r="AJ166" s="723"/>
      <c r="AK166" s="723"/>
      <c r="AL166" s="723"/>
      <c r="AM166" s="723"/>
      <c r="AN166" s="723"/>
      <c r="AO166" s="723"/>
      <c r="AP166" s="723"/>
      <c r="AQ166" s="723"/>
      <c r="AR166" s="723"/>
      <c r="AS166" s="723"/>
      <c r="AT166" s="723"/>
      <c r="AU166" s="723"/>
      <c r="AV166" s="723"/>
      <c r="AW166" s="723"/>
      <c r="AX166" s="723"/>
      <c r="AY166" s="723"/>
      <c r="AZ166" s="723"/>
      <c r="BA166" s="723"/>
      <c r="BB166" s="723"/>
      <c r="BC166" s="723"/>
      <c r="BD166" s="723"/>
      <c r="BE166" s="723"/>
      <c r="BF166" s="723"/>
      <c r="BG166" s="723"/>
      <c r="BH166" s="723"/>
      <c r="BI166" s="723"/>
      <c r="BJ166" s="47"/>
      <c r="BK166" s="47"/>
      <c r="BL166" s="47"/>
      <c r="BM166" s="47"/>
    </row>
    <row r="167" spans="1:65">
      <c r="A167" s="56"/>
      <c r="B167" s="441"/>
      <c r="C167" s="441"/>
      <c r="D167" s="441"/>
      <c r="E167" s="441"/>
      <c r="F167" s="722"/>
      <c r="G167" s="722"/>
      <c r="H167" s="722"/>
      <c r="I167" s="722"/>
      <c r="J167" s="722"/>
      <c r="K167" s="722"/>
      <c r="L167" s="722"/>
      <c r="M167" s="722"/>
      <c r="N167" s="722"/>
      <c r="O167" s="722"/>
      <c r="P167" s="722"/>
      <c r="Q167" s="722"/>
      <c r="R167" s="722"/>
      <c r="S167" s="722"/>
      <c r="T167" s="723"/>
      <c r="U167" s="723"/>
      <c r="V167" s="723"/>
      <c r="W167" s="723"/>
      <c r="X167" s="723"/>
      <c r="Y167" s="723"/>
      <c r="Z167" s="723"/>
      <c r="AA167" s="723"/>
      <c r="AB167" s="723"/>
      <c r="AC167" s="723"/>
      <c r="AD167" s="723"/>
      <c r="AE167" s="723"/>
      <c r="AF167" s="723"/>
      <c r="AG167" s="723"/>
      <c r="AH167" s="723"/>
      <c r="AI167" s="723"/>
      <c r="AJ167" s="723"/>
      <c r="AK167" s="723"/>
      <c r="AL167" s="723"/>
      <c r="AM167" s="723"/>
      <c r="AN167" s="723"/>
      <c r="AO167" s="723"/>
      <c r="AP167" s="723"/>
      <c r="AQ167" s="723"/>
      <c r="AR167" s="723"/>
      <c r="AS167" s="723"/>
      <c r="AT167" s="723"/>
      <c r="AU167" s="723"/>
      <c r="AV167" s="723"/>
      <c r="AW167" s="723"/>
      <c r="AX167" s="723"/>
      <c r="AY167" s="723"/>
      <c r="AZ167" s="723"/>
      <c r="BA167" s="723"/>
      <c r="BB167" s="723"/>
      <c r="BC167" s="723"/>
      <c r="BD167" s="723"/>
      <c r="BE167" s="723"/>
      <c r="BF167" s="723"/>
      <c r="BG167" s="723"/>
      <c r="BH167" s="723"/>
      <c r="BI167" s="723"/>
      <c r="BJ167" s="47"/>
      <c r="BK167" s="47"/>
      <c r="BL167" s="47"/>
      <c r="BM167" s="47"/>
    </row>
    <row r="168" spans="1:65">
      <c r="A168" s="56"/>
      <c r="B168" s="441"/>
      <c r="C168" s="441"/>
      <c r="D168" s="441"/>
      <c r="E168" s="441"/>
      <c r="F168" s="726" t="s">
        <v>109</v>
      </c>
      <c r="G168" s="722">
        <f t="shared" ref="G168:P168" si="147">G161+G162+G163+G164</f>
        <v>10.756752014837891</v>
      </c>
      <c r="H168" s="722">
        <f t="shared" si="147"/>
        <v>11.50729143012639</v>
      </c>
      <c r="I168" s="722">
        <f t="shared" si="147"/>
        <v>12.580876340656504</v>
      </c>
      <c r="J168" s="722">
        <f t="shared" si="147"/>
        <v>13.641646113172223</v>
      </c>
      <c r="K168" s="722">
        <f t="shared" si="147"/>
        <v>14.213714991318692</v>
      </c>
      <c r="L168" s="722">
        <f t="shared" si="147"/>
        <v>6.4126857362388829</v>
      </c>
      <c r="M168" s="722">
        <f t="shared" si="147"/>
        <v>6.3131760477728847</v>
      </c>
      <c r="N168" s="722">
        <f t="shared" si="147"/>
        <v>4.2559328036792348</v>
      </c>
      <c r="O168" s="722">
        <f t="shared" si="147"/>
        <v>4.2298681543090151</v>
      </c>
      <c r="P168" s="722">
        <f t="shared" si="147"/>
        <v>4.1997871590428861</v>
      </c>
      <c r="Q168" s="722"/>
      <c r="R168" s="722"/>
      <c r="S168" s="722"/>
      <c r="T168" s="723"/>
      <c r="U168" s="723"/>
      <c r="V168" s="723"/>
      <c r="W168" s="723"/>
      <c r="X168" s="723"/>
      <c r="Y168" s="723"/>
      <c r="Z168" s="723"/>
      <c r="AA168" s="723"/>
      <c r="AB168" s="723"/>
      <c r="AC168" s="723"/>
      <c r="AD168" s="723"/>
      <c r="AE168" s="723"/>
      <c r="AF168" s="723"/>
      <c r="AG168" s="723"/>
      <c r="AH168" s="723"/>
      <c r="AI168" s="723"/>
      <c r="AJ168" s="723"/>
      <c r="AK168" s="723"/>
      <c r="AL168" s="723"/>
      <c r="AM168" s="723"/>
      <c r="AN168" s="723"/>
      <c r="AO168" s="723"/>
      <c r="AP168" s="723"/>
      <c r="AQ168" s="723"/>
      <c r="AR168" s="723"/>
      <c r="AS168" s="723"/>
      <c r="AT168" s="723"/>
      <c r="AU168" s="723"/>
      <c r="AV168" s="723"/>
      <c r="AW168" s="723"/>
      <c r="AX168" s="723"/>
      <c r="AY168" s="723"/>
      <c r="AZ168" s="723"/>
      <c r="BA168" s="723"/>
      <c r="BB168" s="723"/>
      <c r="BC168" s="723"/>
      <c r="BD168" s="723"/>
      <c r="BE168" s="723"/>
      <c r="BF168" s="723"/>
      <c r="BG168" s="723"/>
      <c r="BH168" s="723"/>
      <c r="BI168" s="723"/>
      <c r="BJ168" s="47"/>
      <c r="BK168" s="47"/>
      <c r="BL168" s="47"/>
      <c r="BM168" s="47"/>
    </row>
    <row r="169" spans="1:65">
      <c r="A169" s="47"/>
      <c r="B169" s="78"/>
      <c r="C169" s="78"/>
      <c r="D169" s="78"/>
      <c r="E169" s="78"/>
      <c r="F169" s="626"/>
      <c r="G169" s="626"/>
      <c r="H169" s="626"/>
      <c r="I169" s="626"/>
      <c r="J169" s="626"/>
      <c r="K169" s="626"/>
      <c r="L169" s="626"/>
      <c r="M169" s="626"/>
      <c r="N169" s="626"/>
      <c r="O169" s="626"/>
      <c r="P169" s="626"/>
      <c r="Q169" s="626"/>
      <c r="R169" s="626"/>
      <c r="S169" s="626"/>
      <c r="T169" s="687"/>
      <c r="U169" s="687"/>
      <c r="V169" s="687"/>
      <c r="W169" s="687"/>
      <c r="X169" s="687"/>
      <c r="Y169" s="687"/>
      <c r="Z169" s="687"/>
      <c r="AA169" s="687"/>
      <c r="AB169" s="687"/>
      <c r="AC169" s="687"/>
      <c r="AD169" s="687"/>
      <c r="AE169" s="687"/>
      <c r="AF169" s="687"/>
      <c r="AG169" s="687"/>
      <c r="AH169" s="687"/>
      <c r="AI169" s="687"/>
      <c r="AJ169" s="687"/>
      <c r="AK169" s="687"/>
      <c r="AL169" s="687"/>
      <c r="AM169" s="687"/>
      <c r="AN169" s="687"/>
      <c r="AO169" s="687"/>
      <c r="AP169" s="687"/>
      <c r="AQ169" s="687"/>
      <c r="AR169" s="687"/>
      <c r="AS169" s="687"/>
      <c r="AT169" s="687"/>
      <c r="AU169" s="687"/>
      <c r="AV169" s="687"/>
      <c r="AW169" s="687"/>
      <c r="AX169" s="687"/>
      <c r="AY169" s="687"/>
      <c r="AZ169" s="687"/>
      <c r="BA169" s="687"/>
      <c r="BB169" s="687"/>
      <c r="BC169" s="687"/>
      <c r="BD169" s="687"/>
      <c r="BE169" s="687"/>
      <c r="BF169" s="687"/>
      <c r="BG169" s="687"/>
      <c r="BH169" s="687"/>
      <c r="BI169" s="687"/>
      <c r="BJ169" s="47"/>
      <c r="BK169" s="47"/>
      <c r="BL169" s="47"/>
      <c r="BM169" s="47"/>
    </row>
    <row r="170" spans="1:65">
      <c r="A170" s="47"/>
      <c r="B170" s="78"/>
      <c r="C170" s="78"/>
      <c r="D170" s="78"/>
      <c r="E170" s="78"/>
      <c r="F170" s="78"/>
      <c r="G170" s="78"/>
      <c r="H170" s="78"/>
      <c r="I170" s="78"/>
      <c r="J170" s="78"/>
      <c r="K170" s="78"/>
      <c r="L170" s="78"/>
      <c r="M170" s="78"/>
      <c r="N170" s="78"/>
      <c r="O170" s="78"/>
      <c r="P170" s="78"/>
      <c r="Q170" s="78"/>
      <c r="R170" s="78"/>
      <c r="S170" s="78"/>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row>
    <row r="171" spans="1:65">
      <c r="A171" s="47"/>
      <c r="B171" s="78"/>
      <c r="C171" s="78"/>
      <c r="D171" s="78"/>
      <c r="E171" s="78"/>
      <c r="F171" s="78"/>
      <c r="G171" s="78"/>
      <c r="H171" s="78"/>
      <c r="I171" s="78"/>
      <c r="J171" s="78"/>
      <c r="K171" s="78"/>
      <c r="L171" s="78"/>
      <c r="M171" s="78"/>
      <c r="N171" s="78"/>
      <c r="O171" s="78"/>
      <c r="P171" s="78"/>
      <c r="Q171" s="78"/>
      <c r="R171" s="78"/>
      <c r="S171" s="78"/>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row>
    <row r="172" spans="1:65">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row>
    <row r="173" spans="1:65">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row>
    <row r="174" spans="1:65">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row>
    <row r="175" spans="1:65">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row>
  </sheetData>
  <phoneticPr fontId="0" type="noConversion"/>
  <printOptions headings="1"/>
  <pageMargins left="0.74803149606299213" right="0.74803149606299213" top="0.98425196850393704" bottom="0.98425196850393704" header="0.51181102362204722" footer="0.51181102362204722"/>
  <pageSetup paperSize="9" scale="52" fitToHeight="0" orientation="landscape" horizontalDpi="4294967292" r:id="rId1"/>
  <headerFooter alignWithMargins="0"/>
  <rowBreaks count="2" manualBreakCount="2">
    <brk id="60" max="15" man="1"/>
    <brk id="128" max="15" man="1"/>
  </rowBreaks>
  <colBreaks count="1" manualBreakCount="1">
    <brk id="16" max="119" man="1"/>
  </colBreaks>
  <ignoredErrors>
    <ignoredError sqref="G28 G37:BI37 D58 E156:E157 K17:BI17 I23:BI23 H28:BI29 G23:H23 H35:BI35 D18:D21 D24:D25 F154 H30:P30 D34:D35 G64:BI66 G17:J17 G30 G35 D27:D29 D31 G167 H167:P167 G168:P169 G166:P166 F4:P4 G6:BI7 F5:BI5 F8:BI12 F6:F7 G53:BI54 Q40:BI40 G56:BI58 F66:F67 G32:P32 G40:P41 G43:BI43 G59:BI59 F64 Q4:AF4 AG4:BI4 B2 D77:E91 F85 H85:BI85 G100:BI106 F106 D110:E117 F117:BI117 D120:E127 G153:P153 G154:I154 J154:P154 G164 G165 G161 G162:P163 H161:P161 H165:P165 H164:P164 F13:G13 I13:BI13 D95 D109 D93:E94 D92" unlockedFormula="1"/>
    <ignoredError sqref="G134:BI134 G78:G84" formula="1"/>
    <ignoredError sqref="G85" formula="1"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sheetPr>
  <dimension ref="A1:DO114"/>
  <sheetViews>
    <sheetView showGridLines="0" zoomScale="85" zoomScaleNormal="85" workbookViewId="0">
      <selection activeCell="E107" sqref="E107"/>
    </sheetView>
  </sheetViews>
  <sheetFormatPr defaultColWidth="10.140625" defaultRowHeight="12.75" outlineLevelCol="1"/>
  <cols>
    <col min="1" max="4" width="0.7109375" customWidth="1"/>
    <col min="5" max="5" width="42.28515625" customWidth="1"/>
    <col min="6" max="11" width="15.7109375" customWidth="1"/>
    <col min="12" max="16" width="13.42578125" customWidth="1" outlineLevel="1"/>
    <col min="17" max="17" width="14.5703125" customWidth="1"/>
    <col min="18" max="22" width="13.42578125" bestFit="1" customWidth="1"/>
    <col min="23" max="27" width="13.42578125" customWidth="1" outlineLevel="1"/>
    <col min="28" max="33" width="12.7109375" customWidth="1"/>
    <col min="34" max="38" width="12.7109375" customWidth="1" outlineLevel="1"/>
    <col min="39" max="44" width="12.7109375" customWidth="1"/>
    <col min="45" max="49" width="12.7109375" customWidth="1" outlineLevel="1"/>
    <col min="50" max="55" width="12.7109375" customWidth="1"/>
    <col min="56" max="60" width="12.7109375" customWidth="1" outlineLevel="1"/>
    <col min="61" max="66" width="12.7109375" customWidth="1"/>
    <col min="67" max="71" width="12.7109375" customWidth="1" outlineLevel="1"/>
    <col min="72" max="77" width="12.7109375" customWidth="1"/>
    <col min="78" max="82" width="12.7109375" customWidth="1" outlineLevel="1"/>
    <col min="83" max="88" width="12.7109375" customWidth="1"/>
    <col min="89" max="93" width="12.7109375" customWidth="1" outlineLevel="1"/>
    <col min="94" max="99" width="12.7109375" customWidth="1"/>
    <col min="100" max="104" width="12.7109375" customWidth="1" outlineLevel="1"/>
    <col min="105" max="110" width="12.7109375" customWidth="1"/>
    <col min="111" max="115" width="10.28515625" customWidth="1" outlineLevel="1"/>
    <col min="116" max="116" width="4.7109375" customWidth="1"/>
  </cols>
  <sheetData>
    <row r="1" spans="1:119" s="7" customFormat="1">
      <c r="A1" s="47"/>
      <c r="B1" s="47"/>
      <c r="C1" s="47"/>
      <c r="D1" s="47"/>
      <c r="E1" s="47"/>
      <c r="F1" s="47"/>
      <c r="G1" s="47"/>
      <c r="H1" s="47"/>
      <c r="I1" s="48"/>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42"/>
      <c r="DN1" s="442"/>
      <c r="DO1" s="442"/>
    </row>
    <row r="2" spans="1:119" s="7" customFormat="1" ht="15.75">
      <c r="A2" s="47"/>
      <c r="B2" s="47"/>
      <c r="C2" s="47"/>
      <c r="D2" s="47"/>
      <c r="E2" s="1612" t="str">
        <f>'DMS input'!$C$16&amp;" - Forecast Revenues"&amp;" - DNSP PTRM - version "&amp;Intro!$L$4</f>
        <v>Aus Elec - Forecast Revenues - DNSP PTRM - version 3</v>
      </c>
      <c r="F2" s="1612"/>
      <c r="G2" s="1612"/>
      <c r="H2" s="47"/>
      <c r="I2" s="48"/>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42"/>
      <c r="DN2" s="442"/>
      <c r="DO2" s="442"/>
    </row>
    <row r="3" spans="1:119" s="7" customFormat="1">
      <c r="A3" s="47"/>
      <c r="B3" s="47"/>
      <c r="C3" s="47"/>
      <c r="D3" s="47"/>
      <c r="E3" s="43"/>
      <c r="F3" s="47"/>
      <c r="G3" s="47"/>
      <c r="H3" s="47"/>
      <c r="I3" s="48"/>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42"/>
      <c r="DN3" s="442"/>
      <c r="DO3" s="442"/>
    </row>
    <row r="4" spans="1:119" s="7" customFormat="1">
      <c r="A4" s="472"/>
      <c r="B4" s="472"/>
      <c r="C4" s="472"/>
      <c r="D4" s="472"/>
      <c r="E4" s="730" t="s">
        <v>54</v>
      </c>
      <c r="F4" s="473" t="str">
        <f>'PTRM input'!F241</f>
        <v>2009-10</v>
      </c>
      <c r="G4" s="473" t="str">
        <f>'PTRM input'!G241</f>
        <v>2010-11</v>
      </c>
      <c r="H4" s="473" t="str">
        <f>'PTRM input'!H241</f>
        <v>2011-12</v>
      </c>
      <c r="I4" s="473" t="str">
        <f>'PTRM input'!I241</f>
        <v>2012-13</v>
      </c>
      <c r="J4" s="473" t="str">
        <f>'PTRM input'!J241</f>
        <v>2013-14</v>
      </c>
      <c r="K4" s="473" t="str">
        <f>'PTRM input'!K241</f>
        <v>2014-15</v>
      </c>
      <c r="L4" s="473" t="str">
        <f>'PTRM input'!L241</f>
        <v>2015-16</v>
      </c>
      <c r="M4" s="473" t="str">
        <f>'PTRM input'!M241</f>
        <v>2016-17</v>
      </c>
      <c r="N4" s="473" t="str">
        <f>'PTRM input'!N241</f>
        <v>2017-18</v>
      </c>
      <c r="O4" s="473" t="str">
        <f>'PTRM input'!O241</f>
        <v>2018-19</v>
      </c>
      <c r="P4" s="473" t="str">
        <f>'PTRM input'!P241</f>
        <v>2019-20</v>
      </c>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2"/>
      <c r="BI4" s="472"/>
      <c r="BJ4" s="472"/>
      <c r="BK4" s="472"/>
      <c r="BL4" s="472"/>
      <c r="BM4" s="472"/>
      <c r="BN4" s="472"/>
      <c r="BO4" s="472"/>
      <c r="BP4" s="472"/>
      <c r="BQ4" s="472"/>
      <c r="BR4" s="472"/>
      <c r="BS4" s="472"/>
      <c r="BT4" s="472"/>
      <c r="BU4" s="472"/>
      <c r="BV4" s="472"/>
      <c r="BW4" s="472"/>
      <c r="BX4" s="472"/>
      <c r="BY4" s="472"/>
      <c r="BZ4" s="472"/>
      <c r="CA4" s="472"/>
      <c r="CB4" s="472"/>
      <c r="CC4" s="472"/>
      <c r="CD4" s="472"/>
      <c r="CE4" s="472"/>
      <c r="CF4" s="472"/>
      <c r="CG4" s="472"/>
      <c r="CH4" s="472"/>
      <c r="CI4" s="472"/>
      <c r="CJ4" s="472"/>
      <c r="CK4" s="472"/>
      <c r="CL4" s="472"/>
      <c r="CM4" s="472"/>
      <c r="CN4" s="472"/>
      <c r="CO4" s="472"/>
      <c r="CP4" s="472"/>
      <c r="CQ4" s="472"/>
      <c r="CR4" s="472"/>
      <c r="CS4" s="472"/>
      <c r="CT4" s="472"/>
      <c r="CU4" s="472"/>
      <c r="CV4" s="472"/>
      <c r="CW4" s="472"/>
      <c r="CX4" s="472"/>
      <c r="CY4" s="472"/>
      <c r="CZ4" s="472"/>
      <c r="DA4" s="472"/>
      <c r="DB4" s="472"/>
      <c r="DC4" s="472"/>
      <c r="DD4" s="472"/>
      <c r="DE4" s="472"/>
      <c r="DF4" s="472"/>
      <c r="DG4" s="472"/>
      <c r="DH4" s="472"/>
      <c r="DI4" s="472"/>
      <c r="DJ4" s="472"/>
      <c r="DK4" s="472"/>
      <c r="DL4" s="472"/>
      <c r="DM4" s="442"/>
      <c r="DN4" s="442"/>
      <c r="DO4" s="442"/>
    </row>
    <row r="5" spans="1:119" s="7" customFormat="1" ht="15" customHeight="1">
      <c r="A5" s="116"/>
      <c r="B5" s="480"/>
      <c r="C5" s="480"/>
      <c r="D5" s="480"/>
      <c r="E5" s="1619" t="s">
        <v>323</v>
      </c>
      <c r="F5" s="1619"/>
      <c r="G5" s="1619"/>
      <c r="H5" s="117"/>
      <c r="I5" s="117"/>
      <c r="J5" s="117"/>
      <c r="K5" s="117"/>
      <c r="L5" s="117"/>
      <c r="M5" s="117"/>
      <c r="N5" s="117"/>
      <c r="O5" s="117"/>
      <c r="P5" s="117"/>
      <c r="Q5" s="117"/>
      <c r="R5" s="117"/>
      <c r="S5" s="117"/>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442"/>
      <c r="DN5" s="442"/>
      <c r="DO5" s="442"/>
    </row>
    <row r="6" spans="1:119" s="7" customFormat="1">
      <c r="A6" s="474"/>
      <c r="B6" s="474"/>
      <c r="C6" s="474"/>
      <c r="D6" s="474"/>
      <c r="E6" s="474"/>
      <c r="F6" s="475"/>
      <c r="G6" s="475"/>
      <c r="H6" s="475"/>
      <c r="I6" s="475"/>
      <c r="J6" s="475"/>
      <c r="K6" s="475"/>
      <c r="L6" s="475"/>
      <c r="M6" s="475"/>
      <c r="N6" s="475"/>
      <c r="O6" s="475"/>
      <c r="P6" s="475"/>
      <c r="Q6" s="474"/>
      <c r="R6" s="474"/>
      <c r="S6" s="474"/>
      <c r="T6" s="474"/>
      <c r="U6" s="474"/>
      <c r="V6" s="474"/>
      <c r="W6" s="474"/>
      <c r="X6" s="474"/>
      <c r="Y6" s="474"/>
      <c r="Z6" s="474"/>
      <c r="AA6" s="474"/>
      <c r="AB6" s="474"/>
      <c r="AC6" s="474"/>
      <c r="AD6" s="474"/>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4"/>
      <c r="BH6" s="474"/>
      <c r="BI6" s="474"/>
      <c r="BJ6" s="474"/>
      <c r="BK6" s="474"/>
      <c r="BL6" s="474"/>
      <c r="BM6" s="474"/>
      <c r="BN6" s="474"/>
      <c r="BO6" s="474"/>
      <c r="BP6" s="474"/>
      <c r="BQ6" s="474"/>
      <c r="BR6" s="474"/>
      <c r="BS6" s="474"/>
      <c r="BT6" s="474"/>
      <c r="BU6" s="474"/>
      <c r="BV6" s="474"/>
      <c r="BW6" s="474"/>
      <c r="BX6" s="474"/>
      <c r="BY6" s="474"/>
      <c r="BZ6" s="474"/>
      <c r="CA6" s="474"/>
      <c r="CB6" s="474"/>
      <c r="CC6" s="474"/>
      <c r="CD6" s="474"/>
      <c r="CE6" s="474"/>
      <c r="CF6" s="474"/>
      <c r="CG6" s="474"/>
      <c r="CH6" s="474"/>
      <c r="CI6" s="474"/>
      <c r="CJ6" s="474"/>
      <c r="CK6" s="474"/>
      <c r="CL6" s="474"/>
      <c r="CM6" s="474"/>
      <c r="CN6" s="474"/>
      <c r="CO6" s="474"/>
      <c r="CP6" s="474"/>
      <c r="CQ6" s="474"/>
      <c r="CR6" s="474"/>
      <c r="CS6" s="474"/>
      <c r="CT6" s="474"/>
      <c r="CU6" s="474"/>
      <c r="CV6" s="474"/>
      <c r="CW6" s="474"/>
      <c r="CX6" s="474"/>
      <c r="CY6" s="474"/>
      <c r="CZ6" s="474"/>
      <c r="DA6" s="474"/>
      <c r="DB6" s="474"/>
      <c r="DC6" s="474"/>
      <c r="DD6" s="474"/>
      <c r="DE6" s="474"/>
      <c r="DF6" s="474"/>
      <c r="DG6" s="474"/>
      <c r="DH6" s="474"/>
      <c r="DI6" s="474"/>
      <c r="DJ6" s="474"/>
      <c r="DK6" s="474"/>
      <c r="DL6" s="474"/>
      <c r="DM6" s="442"/>
      <c r="DN6" s="442"/>
      <c r="DO6" s="442"/>
    </row>
    <row r="7" spans="1:119" s="7" customFormat="1">
      <c r="A7" s="47"/>
      <c r="B7" s="47"/>
      <c r="C7" s="47"/>
      <c r="D7" s="47"/>
      <c r="E7" s="223" t="s">
        <v>318</v>
      </c>
      <c r="F7" s="1503">
        <f>SUM(F107,Q107,AB107,AM107,AX107,BI107,BT107,CE107,CP107,DA107)</f>
        <v>329548000</v>
      </c>
      <c r="G7" s="476">
        <f t="shared" ref="G7:L7" si="0">SUM(G107,R107,AC107,AN107,AY107,BJ107,BU107,CF107,CQ107,DB107)</f>
        <v>355995201.45786202</v>
      </c>
      <c r="H7" s="476">
        <f t="shared" si="0"/>
        <v>358679163.69407845</v>
      </c>
      <c r="I7" s="476">
        <f t="shared" si="0"/>
        <v>368145432.07549703</v>
      </c>
      <c r="J7" s="476">
        <f t="shared" si="0"/>
        <v>377905990.19496471</v>
      </c>
      <c r="K7" s="476">
        <f t="shared" si="0"/>
        <v>387970523.997437</v>
      </c>
      <c r="L7" s="476">
        <f t="shared" si="0"/>
        <v>398349043.74078739</v>
      </c>
      <c r="M7" s="476">
        <f>SUM(M107,X107,AI107,AT107,BE107,BP107,CA107,CL107,CW107,DH107)</f>
        <v>409051894.90848863</v>
      </c>
      <c r="N7" s="476">
        <f>SUM(N107,Y107,AJ107,AU107,BF107,BQ107,CB107,CM107,CX107,DI107)</f>
        <v>420089769.49000663</v>
      </c>
      <c r="O7" s="476">
        <f>SUM(O107,Z107,AK107,AV107,BG107,BR107,CC107,CN107,CY107,DJ107)</f>
        <v>431473717.64130628</v>
      </c>
      <c r="P7" s="476">
        <f>SUM(P107,AA107,AL107,AW107,BH107,BS107,CD107,CO107,CZ107,DK107)</f>
        <v>443215159.73827684</v>
      </c>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42"/>
      <c r="DN7" s="442"/>
      <c r="DO7" s="442"/>
    </row>
    <row r="8" spans="1:119" ht="17.25" customHeight="1">
      <c r="A8" s="47"/>
      <c r="B8" s="47"/>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240"/>
      <c r="DN8" s="240"/>
      <c r="DO8" s="240"/>
    </row>
    <row r="9" spans="1:119">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E9" s="47"/>
      <c r="DF9" s="47"/>
      <c r="DG9" s="47"/>
      <c r="DH9" s="47"/>
      <c r="DI9" s="47"/>
      <c r="DK9" s="47"/>
      <c r="DL9" s="47"/>
      <c r="DM9" s="240"/>
      <c r="DN9" s="240"/>
      <c r="DO9" s="240"/>
    </row>
    <row r="10" spans="1:119">
      <c r="A10" s="116"/>
      <c r="B10" s="480"/>
      <c r="C10" s="480"/>
      <c r="D10" s="480"/>
      <c r="E10" s="1619" t="s">
        <v>319</v>
      </c>
      <c r="F10" s="1619"/>
      <c r="G10" s="1619"/>
      <c r="H10" s="117"/>
      <c r="I10" s="117"/>
      <c r="J10" s="117"/>
      <c r="K10" s="117"/>
      <c r="L10" s="117"/>
      <c r="M10" s="117"/>
      <c r="N10" s="117"/>
      <c r="O10" s="117"/>
      <c r="P10" s="117"/>
      <c r="Q10" s="117"/>
      <c r="R10" s="117"/>
      <c r="S10" s="117"/>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240"/>
      <c r="DN10" s="240"/>
      <c r="DO10" s="240"/>
    </row>
    <row r="11" spans="1:119">
      <c r="A11" s="240"/>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240"/>
      <c r="DI11" s="240"/>
      <c r="DJ11" s="240"/>
      <c r="DK11" s="240"/>
      <c r="DL11" s="240"/>
      <c r="DM11" s="240"/>
      <c r="DN11" s="240"/>
      <c r="DO11" s="240"/>
    </row>
    <row r="12" spans="1:119">
      <c r="A12" s="174"/>
      <c r="B12" s="174"/>
      <c r="C12" s="174"/>
      <c r="D12" s="174"/>
      <c r="E12" s="423" t="s">
        <v>172</v>
      </c>
      <c r="F12" s="1602" t="str">
        <f>'PTRM input'!F277</f>
        <v>Customer Numbers</v>
      </c>
      <c r="G12" s="1600"/>
      <c r="H12" s="1600"/>
      <c r="I12" s="1600"/>
      <c r="J12" s="1600"/>
      <c r="K12" s="1601"/>
      <c r="L12" s="1623" t="str">
        <f>'PTRM input'!F311</f>
        <v>Customer Numbers [years 6-10]</v>
      </c>
      <c r="M12" s="1624"/>
      <c r="N12" s="1624"/>
      <c r="O12" s="1624"/>
      <c r="P12" s="1625"/>
      <c r="Q12" s="1623" t="str">
        <f>'PTRM input'!L277</f>
        <v>Non TOU Energy (kWh)</v>
      </c>
      <c r="R12" s="1624"/>
      <c r="S12" s="1624"/>
      <c r="T12" s="1624"/>
      <c r="U12" s="1624"/>
      <c r="V12" s="1625"/>
      <c r="W12" s="1602" t="str">
        <f>'PTRM input'!L311</f>
        <v>Non TOU Energy (kWh) [years 6-10]</v>
      </c>
      <c r="X12" s="1600"/>
      <c r="Y12" s="1600"/>
      <c r="Z12" s="1600"/>
      <c r="AA12" s="1601"/>
      <c r="AB12" s="1602" t="str">
        <f>'PTRM input'!R277</f>
        <v>Peak Energy (KWh) BLK 1</v>
      </c>
      <c r="AC12" s="1600"/>
      <c r="AD12" s="1600"/>
      <c r="AE12" s="1600"/>
      <c r="AF12" s="1600"/>
      <c r="AG12" s="1600"/>
      <c r="AH12" s="1602" t="str">
        <f>'PTRM input'!R311</f>
        <v>Peak Energy (KWh) BLK 1 [years 6-10]</v>
      </c>
      <c r="AI12" s="1600"/>
      <c r="AJ12" s="1600"/>
      <c r="AK12" s="1600"/>
      <c r="AL12" s="1601"/>
      <c r="AM12" s="1602" t="str">
        <f>'PTRM input'!X277</f>
        <v>Peak Energy (KWh) BLK 2</v>
      </c>
      <c r="AN12" s="1600"/>
      <c r="AO12" s="1600"/>
      <c r="AP12" s="1600"/>
      <c r="AQ12" s="1600"/>
      <c r="AR12" s="1601"/>
      <c r="AS12" s="1602" t="str">
        <f>'PTRM input'!X311</f>
        <v>Peak Energy (KWh) BLK 2 [years 6-10]</v>
      </c>
      <c r="AT12" s="1600"/>
      <c r="AU12" s="1600"/>
      <c r="AV12" s="1600"/>
      <c r="AW12" s="1600"/>
      <c r="AX12" s="1602" t="str">
        <f>'PTRM input'!AD277</f>
        <v>Off Peak Energy (KWh) BLK 1</v>
      </c>
      <c r="AY12" s="1600"/>
      <c r="AZ12" s="1600"/>
      <c r="BA12" s="1600"/>
      <c r="BB12" s="1600"/>
      <c r="BC12" s="1601"/>
      <c r="BD12" s="1602" t="str">
        <f>'PTRM input'!AD311</f>
        <v>Off Peak Energy (KWh) BLK 1 [years 6-10]</v>
      </c>
      <c r="BE12" s="1600"/>
      <c r="BF12" s="1600"/>
      <c r="BG12" s="1600"/>
      <c r="BH12" s="1601"/>
      <c r="BI12" s="1602" t="str">
        <f>'PTRM input'!AJ277</f>
        <v>Off Peak Energy (KWh) BLK 2</v>
      </c>
      <c r="BJ12" s="1600"/>
      <c r="BK12" s="1600"/>
      <c r="BL12" s="1600"/>
      <c r="BM12" s="1600"/>
      <c r="BN12" s="1601"/>
      <c r="BO12" s="1602" t="str">
        <f>'PTRM input'!AJ311</f>
        <v>Off Peak Energy (KWh) BLK 2 [years 6-10]</v>
      </c>
      <c r="BP12" s="1600"/>
      <c r="BQ12" s="1600"/>
      <c r="BR12" s="1600"/>
      <c r="BS12" s="1601"/>
      <c r="BT12" s="1602" t="str">
        <f>'PTRM input'!AP277</f>
        <v>Peak Demand (kVa) BLK 1</v>
      </c>
      <c r="BU12" s="1600"/>
      <c r="BV12" s="1600"/>
      <c r="BW12" s="1600"/>
      <c r="BX12" s="1600"/>
      <c r="BY12" s="1601"/>
      <c r="BZ12" s="1602" t="str">
        <f>'PTRM input'!AP311</f>
        <v>Peak Demand (kVa) BLK 1 [years 6-10]</v>
      </c>
      <c r="CA12" s="1600"/>
      <c r="CB12" s="1600"/>
      <c r="CC12" s="1600"/>
      <c r="CD12" s="1601"/>
      <c r="CE12" s="1602" t="str">
        <f>'PTRM input'!AV277</f>
        <v>Peak Demand (kVa) BLK 2</v>
      </c>
      <c r="CF12" s="1600"/>
      <c r="CG12" s="1600"/>
      <c r="CH12" s="1600"/>
      <c r="CI12" s="1600"/>
      <c r="CJ12" s="1601"/>
      <c r="CK12" s="1602" t="str">
        <f>'PTRM input'!AV311</f>
        <v>Peak Demand (kVa) BLK 2 [years 6-10]</v>
      </c>
      <c r="CL12" s="1600"/>
      <c r="CM12" s="1600"/>
      <c r="CN12" s="1600"/>
      <c r="CO12" s="1601"/>
      <c r="CP12" s="1602" t="str">
        <f>'PTRM input'!BB277</f>
        <v>Off Peak Demand (kVa) BLK 1</v>
      </c>
      <c r="CQ12" s="1600"/>
      <c r="CR12" s="1600"/>
      <c r="CS12" s="1600"/>
      <c r="CT12" s="1600"/>
      <c r="CU12" s="1601"/>
      <c r="CV12" s="1602" t="str">
        <f>'PTRM input'!BB311</f>
        <v>Off Peak Demand (kVa) BLK 1 [years 6-10]</v>
      </c>
      <c r="CW12" s="1600"/>
      <c r="CX12" s="1600"/>
      <c r="CY12" s="1600"/>
      <c r="CZ12" s="1601"/>
      <c r="DA12" s="1602" t="str">
        <f>'PTRM input'!BH277</f>
        <v>Off Peak Demand (kVa) BLK 2</v>
      </c>
      <c r="DB12" s="1600"/>
      <c r="DC12" s="1600"/>
      <c r="DD12" s="1600"/>
      <c r="DE12" s="1600"/>
      <c r="DF12" s="1601"/>
      <c r="DG12" s="1602" t="str">
        <f>'PTRM input'!BH311</f>
        <v>Off Peak Demand (kVa) BLK 2 [years 6-10]</v>
      </c>
      <c r="DH12" s="1600"/>
      <c r="DI12" s="1600"/>
      <c r="DJ12" s="1600"/>
      <c r="DK12" s="1601"/>
      <c r="DL12" s="48"/>
      <c r="DM12" s="240"/>
      <c r="DN12" s="240"/>
      <c r="DO12" s="240"/>
    </row>
    <row r="13" spans="1:119">
      <c r="A13" s="30"/>
      <c r="B13" s="30"/>
      <c r="C13" s="30"/>
      <c r="D13" s="30"/>
      <c r="E13" s="60" t="s">
        <v>54</v>
      </c>
      <c r="F13" s="424" t="str">
        <f>$F$4</f>
        <v>2009-10</v>
      </c>
      <c r="G13" s="425" t="str">
        <f>$G$4</f>
        <v>2010-11</v>
      </c>
      <c r="H13" s="425" t="str">
        <f>$H$4</f>
        <v>2011-12</v>
      </c>
      <c r="I13" s="425" t="str">
        <f>$I$4</f>
        <v>2012-13</v>
      </c>
      <c r="J13" s="425" t="str">
        <f>$J$4</f>
        <v>2013-14</v>
      </c>
      <c r="K13" s="426" t="str">
        <f>$K$4</f>
        <v>2014-15</v>
      </c>
      <c r="L13" s="424" t="str">
        <f>$L$4</f>
        <v>2015-16</v>
      </c>
      <c r="M13" s="425" t="str">
        <f>$M$4</f>
        <v>2016-17</v>
      </c>
      <c r="N13" s="425" t="str">
        <f>$N$4</f>
        <v>2017-18</v>
      </c>
      <c r="O13" s="425" t="str">
        <f>$O$4</f>
        <v>2018-19</v>
      </c>
      <c r="P13" s="426" t="str">
        <f>$P$4</f>
        <v>2019-20</v>
      </c>
      <c r="Q13" s="424" t="str">
        <f>$F$4</f>
        <v>2009-10</v>
      </c>
      <c r="R13" s="425" t="str">
        <f>$G$4</f>
        <v>2010-11</v>
      </c>
      <c r="S13" s="425" t="str">
        <f>$H$4</f>
        <v>2011-12</v>
      </c>
      <c r="T13" s="425" t="str">
        <f>$I$4</f>
        <v>2012-13</v>
      </c>
      <c r="U13" s="425" t="str">
        <f>$J$4</f>
        <v>2013-14</v>
      </c>
      <c r="V13" s="426" t="str">
        <f>$K$4</f>
        <v>2014-15</v>
      </c>
      <c r="W13" s="424" t="str">
        <f>$L$4</f>
        <v>2015-16</v>
      </c>
      <c r="X13" s="425" t="str">
        <f>$M$4</f>
        <v>2016-17</v>
      </c>
      <c r="Y13" s="425" t="str">
        <f>$N$4</f>
        <v>2017-18</v>
      </c>
      <c r="Z13" s="425" t="str">
        <f>$O$4</f>
        <v>2018-19</v>
      </c>
      <c r="AA13" s="426" t="str">
        <f>$P$4</f>
        <v>2019-20</v>
      </c>
      <c r="AB13" s="424" t="str">
        <f>$F$4</f>
        <v>2009-10</v>
      </c>
      <c r="AC13" s="425" t="str">
        <f>$G$4</f>
        <v>2010-11</v>
      </c>
      <c r="AD13" s="425" t="str">
        <f>$H$4</f>
        <v>2011-12</v>
      </c>
      <c r="AE13" s="425" t="str">
        <f>$I$4</f>
        <v>2012-13</v>
      </c>
      <c r="AF13" s="425" t="str">
        <f>$J$4</f>
        <v>2013-14</v>
      </c>
      <c r="AG13" s="425" t="str">
        <f>$K$4</f>
        <v>2014-15</v>
      </c>
      <c r="AH13" s="424" t="str">
        <f>$L$4</f>
        <v>2015-16</v>
      </c>
      <c r="AI13" s="425" t="str">
        <f>$M$4</f>
        <v>2016-17</v>
      </c>
      <c r="AJ13" s="425" t="str">
        <f>$N$4</f>
        <v>2017-18</v>
      </c>
      <c r="AK13" s="425" t="str">
        <f>$O$4</f>
        <v>2018-19</v>
      </c>
      <c r="AL13" s="426" t="str">
        <f>$P$4</f>
        <v>2019-20</v>
      </c>
      <c r="AM13" s="424" t="str">
        <f>$F$4</f>
        <v>2009-10</v>
      </c>
      <c r="AN13" s="425" t="str">
        <f>$G$4</f>
        <v>2010-11</v>
      </c>
      <c r="AO13" s="425" t="str">
        <f>$H$4</f>
        <v>2011-12</v>
      </c>
      <c r="AP13" s="425" t="str">
        <f>$I$4</f>
        <v>2012-13</v>
      </c>
      <c r="AQ13" s="425" t="str">
        <f>$J$4</f>
        <v>2013-14</v>
      </c>
      <c r="AR13" s="426" t="str">
        <f>$K$4</f>
        <v>2014-15</v>
      </c>
      <c r="AS13" s="424" t="str">
        <f>$L$4</f>
        <v>2015-16</v>
      </c>
      <c r="AT13" s="425" t="str">
        <f>$M$4</f>
        <v>2016-17</v>
      </c>
      <c r="AU13" s="425" t="str">
        <f>$N$4</f>
        <v>2017-18</v>
      </c>
      <c r="AV13" s="425" t="str">
        <f>$O$4</f>
        <v>2018-19</v>
      </c>
      <c r="AW13" s="425" t="str">
        <f>$P$4</f>
        <v>2019-20</v>
      </c>
      <c r="AX13" s="424" t="str">
        <f>$F$4</f>
        <v>2009-10</v>
      </c>
      <c r="AY13" s="425" t="str">
        <f>$G$4</f>
        <v>2010-11</v>
      </c>
      <c r="AZ13" s="425" t="str">
        <f>$H$4</f>
        <v>2011-12</v>
      </c>
      <c r="BA13" s="425" t="str">
        <f>$I$4</f>
        <v>2012-13</v>
      </c>
      <c r="BB13" s="425" t="str">
        <f>$J$4</f>
        <v>2013-14</v>
      </c>
      <c r="BC13" s="426" t="str">
        <f>$K$4</f>
        <v>2014-15</v>
      </c>
      <c r="BD13" s="424" t="str">
        <f>$L$4</f>
        <v>2015-16</v>
      </c>
      <c r="BE13" s="425" t="str">
        <f>$M$4</f>
        <v>2016-17</v>
      </c>
      <c r="BF13" s="425" t="str">
        <f>$N$4</f>
        <v>2017-18</v>
      </c>
      <c r="BG13" s="425" t="str">
        <f>$O$4</f>
        <v>2018-19</v>
      </c>
      <c r="BH13" s="426" t="str">
        <f>$P$4</f>
        <v>2019-20</v>
      </c>
      <c r="BI13" s="424" t="str">
        <f>$F$4</f>
        <v>2009-10</v>
      </c>
      <c r="BJ13" s="425" t="str">
        <f>$G$4</f>
        <v>2010-11</v>
      </c>
      <c r="BK13" s="425" t="str">
        <f>$H$4</f>
        <v>2011-12</v>
      </c>
      <c r="BL13" s="425" t="str">
        <f>$I$4</f>
        <v>2012-13</v>
      </c>
      <c r="BM13" s="425" t="str">
        <f>$J$4</f>
        <v>2013-14</v>
      </c>
      <c r="BN13" s="426" t="str">
        <f>$K$4</f>
        <v>2014-15</v>
      </c>
      <c r="BO13" s="424" t="str">
        <f>$L$4</f>
        <v>2015-16</v>
      </c>
      <c r="BP13" s="425" t="str">
        <f>$M$4</f>
        <v>2016-17</v>
      </c>
      <c r="BQ13" s="425" t="str">
        <f>$N$4</f>
        <v>2017-18</v>
      </c>
      <c r="BR13" s="425" t="str">
        <f>$O$4</f>
        <v>2018-19</v>
      </c>
      <c r="BS13" s="426" t="str">
        <f>$P$4</f>
        <v>2019-20</v>
      </c>
      <c r="BT13" s="424" t="str">
        <f>$F$4</f>
        <v>2009-10</v>
      </c>
      <c r="BU13" s="425" t="str">
        <f>$G$4</f>
        <v>2010-11</v>
      </c>
      <c r="BV13" s="425" t="str">
        <f>$H$4</f>
        <v>2011-12</v>
      </c>
      <c r="BW13" s="425" t="str">
        <f>$I$4</f>
        <v>2012-13</v>
      </c>
      <c r="BX13" s="425" t="str">
        <f>$J$4</f>
        <v>2013-14</v>
      </c>
      <c r="BY13" s="426" t="str">
        <f>$K$4</f>
        <v>2014-15</v>
      </c>
      <c r="BZ13" s="424" t="str">
        <f>$L$4</f>
        <v>2015-16</v>
      </c>
      <c r="CA13" s="425" t="str">
        <f>$M$4</f>
        <v>2016-17</v>
      </c>
      <c r="CB13" s="425" t="str">
        <f>$N$4</f>
        <v>2017-18</v>
      </c>
      <c r="CC13" s="425" t="str">
        <f>$O$4</f>
        <v>2018-19</v>
      </c>
      <c r="CD13" s="426" t="str">
        <f>$P$4</f>
        <v>2019-20</v>
      </c>
      <c r="CE13" s="424" t="str">
        <f>$F$4</f>
        <v>2009-10</v>
      </c>
      <c r="CF13" s="425" t="str">
        <f>$G$4</f>
        <v>2010-11</v>
      </c>
      <c r="CG13" s="425" t="str">
        <f>$H$4</f>
        <v>2011-12</v>
      </c>
      <c r="CH13" s="425" t="str">
        <f>$I$4</f>
        <v>2012-13</v>
      </c>
      <c r="CI13" s="425" t="str">
        <f>$J$4</f>
        <v>2013-14</v>
      </c>
      <c r="CJ13" s="426" t="str">
        <f>$K$4</f>
        <v>2014-15</v>
      </c>
      <c r="CK13" s="424" t="str">
        <f>$L$4</f>
        <v>2015-16</v>
      </c>
      <c r="CL13" s="425" t="str">
        <f>$M$4</f>
        <v>2016-17</v>
      </c>
      <c r="CM13" s="425" t="str">
        <f>$N$4</f>
        <v>2017-18</v>
      </c>
      <c r="CN13" s="425" t="str">
        <f>$O$4</f>
        <v>2018-19</v>
      </c>
      <c r="CO13" s="426" t="str">
        <f>$P$4</f>
        <v>2019-20</v>
      </c>
      <c r="CP13" s="424" t="str">
        <f>$F$4</f>
        <v>2009-10</v>
      </c>
      <c r="CQ13" s="425" t="str">
        <f>$G$4</f>
        <v>2010-11</v>
      </c>
      <c r="CR13" s="425" t="str">
        <f>$H$4</f>
        <v>2011-12</v>
      </c>
      <c r="CS13" s="425" t="str">
        <f>$I$4</f>
        <v>2012-13</v>
      </c>
      <c r="CT13" s="425" t="str">
        <f>$J$4</f>
        <v>2013-14</v>
      </c>
      <c r="CU13" s="426" t="str">
        <f>$K$4</f>
        <v>2014-15</v>
      </c>
      <c r="CV13" s="424" t="str">
        <f>$L$4</f>
        <v>2015-16</v>
      </c>
      <c r="CW13" s="425" t="str">
        <f>$M$4</f>
        <v>2016-17</v>
      </c>
      <c r="CX13" s="425" t="str">
        <f>$N$4</f>
        <v>2017-18</v>
      </c>
      <c r="CY13" s="425" t="str">
        <f>$O$4</f>
        <v>2018-19</v>
      </c>
      <c r="CZ13" s="426" t="str">
        <f>$P$4</f>
        <v>2019-20</v>
      </c>
      <c r="DA13" s="424" t="str">
        <f>$F$4</f>
        <v>2009-10</v>
      </c>
      <c r="DB13" s="425" t="str">
        <f>$G$4</f>
        <v>2010-11</v>
      </c>
      <c r="DC13" s="425" t="str">
        <f>$H$4</f>
        <v>2011-12</v>
      </c>
      <c r="DD13" s="425" t="str">
        <f>$I$4</f>
        <v>2012-13</v>
      </c>
      <c r="DE13" s="425" t="str">
        <f>$J$4</f>
        <v>2013-14</v>
      </c>
      <c r="DF13" s="426" t="str">
        <f>$K$4</f>
        <v>2014-15</v>
      </c>
      <c r="DG13" s="424" t="str">
        <f>$L$4</f>
        <v>2015-16</v>
      </c>
      <c r="DH13" s="425" t="str">
        <f>$M$4</f>
        <v>2016-17</v>
      </c>
      <c r="DI13" s="425" t="str">
        <f>$N$4</f>
        <v>2017-18</v>
      </c>
      <c r="DJ13" s="425" t="str">
        <f>$O$4</f>
        <v>2018-19</v>
      </c>
      <c r="DK13" s="426" t="str">
        <f>$P$4</f>
        <v>2019-20</v>
      </c>
      <c r="DL13" s="48"/>
      <c r="DM13" s="240"/>
      <c r="DN13" s="240"/>
      <c r="DO13" s="240"/>
    </row>
    <row r="14" spans="1:119" s="90" customFormat="1">
      <c r="A14" s="30"/>
      <c r="B14" s="30"/>
      <c r="C14" s="30"/>
      <c r="D14" s="30"/>
      <c r="E14" s="434" t="str">
        <f>'PTRM input'!E279</f>
        <v>Residential A</v>
      </c>
      <c r="F14" s="1508">
        <f>'PTRM input'!F279</f>
        <v>400000</v>
      </c>
      <c r="G14" s="462">
        <f>'PTRM input'!G279</f>
        <v>408000</v>
      </c>
      <c r="H14" s="462">
        <f>'PTRM input'!H279</f>
        <v>416160</v>
      </c>
      <c r="I14" s="462">
        <f>'PTRM input'!I279</f>
        <v>424483.2</v>
      </c>
      <c r="J14" s="462">
        <f>'PTRM input'!J279</f>
        <v>432972.864</v>
      </c>
      <c r="K14" s="463">
        <f>'PTRM input'!K279</f>
        <v>441632.32128000003</v>
      </c>
      <c r="L14" s="434">
        <f>'PTRM input'!G313</f>
        <v>450464.96770560002</v>
      </c>
      <c r="M14" s="434">
        <f>'PTRM input'!H313</f>
        <v>459474.26705971203</v>
      </c>
      <c r="N14" s="434">
        <f>'PTRM input'!I313</f>
        <v>468663.75240090629</v>
      </c>
      <c r="O14" s="434">
        <f>'PTRM input'!J313</f>
        <v>478037.02744892443</v>
      </c>
      <c r="P14" s="463">
        <f>'PTRM input'!K313</f>
        <v>487597.76799790293</v>
      </c>
      <c r="Q14" s="464">
        <f>'PTRM input'!L279</f>
        <v>1000000000</v>
      </c>
      <c r="R14" s="434">
        <f>'PTRM input'!M279</f>
        <v>996000000</v>
      </c>
      <c r="S14" s="434">
        <f>'PTRM input'!N279</f>
        <v>992016000</v>
      </c>
      <c r="T14" s="434">
        <f>'PTRM input'!O279</f>
        <v>988047936</v>
      </c>
      <c r="U14" s="434">
        <f>'PTRM input'!P279</f>
        <v>984095744.25600004</v>
      </c>
      <c r="V14" s="465">
        <f>'PTRM input'!Q279</f>
        <v>980159361.27897608</v>
      </c>
      <c r="W14" s="434">
        <f>'PTRM input'!M313</f>
        <v>976238723.83386016</v>
      </c>
      <c r="X14" s="434">
        <f>'PTRM input'!N313</f>
        <v>972333768.93852472</v>
      </c>
      <c r="Y14" s="434">
        <f>'PTRM input'!O313</f>
        <v>968444433.86277068</v>
      </c>
      <c r="Z14" s="434">
        <f>'PTRM input'!P313</f>
        <v>964570656.12731957</v>
      </c>
      <c r="AA14" s="463">
        <f>'PTRM input'!Q313</f>
        <v>960712373.50281024</v>
      </c>
      <c r="AB14" s="434">
        <f>'PTRM input'!R279</f>
        <v>0</v>
      </c>
      <c r="AC14" s="434">
        <f>'PTRM input'!S279</f>
        <v>0</v>
      </c>
      <c r="AD14" s="434">
        <f>'PTRM input'!T279</f>
        <v>0</v>
      </c>
      <c r="AE14" s="434">
        <f>'PTRM input'!U279</f>
        <v>0</v>
      </c>
      <c r="AF14" s="434">
        <f>'PTRM input'!V279</f>
        <v>0</v>
      </c>
      <c r="AG14" s="462">
        <f>'PTRM input'!W279</f>
        <v>0</v>
      </c>
      <c r="AH14" s="461">
        <f>'PTRM input'!S313</f>
        <v>0</v>
      </c>
      <c r="AI14" s="462">
        <f>'PTRM input'!T313</f>
        <v>0</v>
      </c>
      <c r="AJ14" s="462">
        <f>'PTRM input'!U313</f>
        <v>0</v>
      </c>
      <c r="AK14" s="462">
        <f>'PTRM input'!V313</f>
        <v>0</v>
      </c>
      <c r="AL14" s="463">
        <f>'PTRM input'!W313</f>
        <v>0</v>
      </c>
      <c r="AM14" s="461">
        <f>'PTRM input'!X279</f>
        <v>0</v>
      </c>
      <c r="AN14" s="462">
        <f>'PTRM input'!Y279</f>
        <v>0</v>
      </c>
      <c r="AO14" s="462">
        <f>'PTRM input'!Z279</f>
        <v>0</v>
      </c>
      <c r="AP14" s="462">
        <f>'PTRM input'!AA279</f>
        <v>0</v>
      </c>
      <c r="AQ14" s="462">
        <f>'PTRM input'!AB279</f>
        <v>0</v>
      </c>
      <c r="AR14" s="463">
        <f>'PTRM input'!AC279</f>
        <v>0</v>
      </c>
      <c r="AS14" s="461">
        <f>'PTRM input'!Y313</f>
        <v>0</v>
      </c>
      <c r="AT14" s="462">
        <f>'PTRM input'!Z313</f>
        <v>0</v>
      </c>
      <c r="AU14" s="462">
        <f>'PTRM input'!AA313</f>
        <v>0</v>
      </c>
      <c r="AV14" s="462">
        <f>'PTRM input'!AB313</f>
        <v>0</v>
      </c>
      <c r="AW14" s="463">
        <f>'PTRM input'!AC313</f>
        <v>0</v>
      </c>
      <c r="AX14" s="461">
        <f>'PTRM input'!AD279</f>
        <v>0</v>
      </c>
      <c r="AY14" s="462">
        <f>'PTRM input'!AE279</f>
        <v>0</v>
      </c>
      <c r="AZ14" s="462">
        <f>'PTRM input'!AF279</f>
        <v>0</v>
      </c>
      <c r="BA14" s="462">
        <f>'PTRM input'!AG279</f>
        <v>0</v>
      </c>
      <c r="BB14" s="462">
        <f>'PTRM input'!AH279</f>
        <v>0</v>
      </c>
      <c r="BC14" s="463">
        <f>'PTRM input'!AI279</f>
        <v>0</v>
      </c>
      <c r="BD14" s="461">
        <f>'PTRM input'!AE313</f>
        <v>0</v>
      </c>
      <c r="BE14" s="462">
        <f>'PTRM input'!AF313</f>
        <v>0</v>
      </c>
      <c r="BF14" s="462">
        <f>'PTRM input'!AG313</f>
        <v>0</v>
      </c>
      <c r="BG14" s="462">
        <f>'PTRM input'!AH313</f>
        <v>0</v>
      </c>
      <c r="BH14" s="463">
        <f>'PTRM input'!AI313</f>
        <v>0</v>
      </c>
      <c r="BI14" s="461">
        <f>'PTRM input'!AJ279</f>
        <v>0</v>
      </c>
      <c r="BJ14" s="462">
        <f>'PTRM input'!AK279</f>
        <v>0</v>
      </c>
      <c r="BK14" s="462">
        <f>'PTRM input'!AL279</f>
        <v>0</v>
      </c>
      <c r="BL14" s="462">
        <f>'PTRM input'!AM279</f>
        <v>0</v>
      </c>
      <c r="BM14" s="462">
        <f>'PTRM input'!AN279</f>
        <v>0</v>
      </c>
      <c r="BN14" s="463">
        <f>'PTRM input'!AO279</f>
        <v>0</v>
      </c>
      <c r="BO14" s="461">
        <f>'PTRM input'!AK313</f>
        <v>0</v>
      </c>
      <c r="BP14" s="462">
        <f>'PTRM input'!AL313</f>
        <v>0</v>
      </c>
      <c r="BQ14" s="462">
        <f>'PTRM input'!AM313</f>
        <v>0</v>
      </c>
      <c r="BR14" s="462">
        <f>'PTRM input'!AN313</f>
        <v>0</v>
      </c>
      <c r="BS14" s="463">
        <f>'PTRM input'!AO313</f>
        <v>0</v>
      </c>
      <c r="BT14" s="461">
        <f>'PTRM input'!AP279</f>
        <v>0</v>
      </c>
      <c r="BU14" s="462">
        <f>'PTRM input'!AQ279</f>
        <v>0</v>
      </c>
      <c r="BV14" s="462">
        <f>'PTRM input'!AR279</f>
        <v>0</v>
      </c>
      <c r="BW14" s="462">
        <f>'PTRM input'!AS279</f>
        <v>0</v>
      </c>
      <c r="BX14" s="462">
        <f>'PTRM input'!AT279</f>
        <v>0</v>
      </c>
      <c r="BY14" s="463">
        <f>'PTRM input'!AU279</f>
        <v>0</v>
      </c>
      <c r="BZ14" s="461">
        <f>'PTRM input'!AQ313</f>
        <v>0</v>
      </c>
      <c r="CA14" s="462">
        <f>'PTRM input'!AR313</f>
        <v>0</v>
      </c>
      <c r="CB14" s="462">
        <f>'PTRM input'!AS313</f>
        <v>0</v>
      </c>
      <c r="CC14" s="462">
        <f>'PTRM input'!AT313</f>
        <v>0</v>
      </c>
      <c r="CD14" s="463">
        <f>'PTRM input'!AU313</f>
        <v>0</v>
      </c>
      <c r="CE14" s="461">
        <f>'PTRM input'!AV279</f>
        <v>0</v>
      </c>
      <c r="CF14" s="462">
        <f>'PTRM input'!AW279</f>
        <v>0</v>
      </c>
      <c r="CG14" s="462">
        <f>'PTRM input'!AX279</f>
        <v>0</v>
      </c>
      <c r="CH14" s="462">
        <f>'PTRM input'!AY279</f>
        <v>0</v>
      </c>
      <c r="CI14" s="462">
        <f>'PTRM input'!AZ279</f>
        <v>0</v>
      </c>
      <c r="CJ14" s="463">
        <f>'PTRM input'!BA279</f>
        <v>0</v>
      </c>
      <c r="CK14" s="461">
        <f>'PTRM input'!AW313</f>
        <v>0</v>
      </c>
      <c r="CL14" s="462">
        <f>'PTRM input'!AX313</f>
        <v>0</v>
      </c>
      <c r="CM14" s="462">
        <f>'PTRM input'!AY313</f>
        <v>0</v>
      </c>
      <c r="CN14" s="462">
        <f>'PTRM input'!AZ313</f>
        <v>0</v>
      </c>
      <c r="CO14" s="463">
        <f>'PTRM input'!BA313</f>
        <v>0</v>
      </c>
      <c r="CP14" s="461">
        <f>'PTRM input'!BB279</f>
        <v>0</v>
      </c>
      <c r="CQ14" s="462">
        <f>'PTRM input'!BC279</f>
        <v>0</v>
      </c>
      <c r="CR14" s="462">
        <f>'PTRM input'!BD279</f>
        <v>0</v>
      </c>
      <c r="CS14" s="462">
        <f>'PTRM input'!BE279</f>
        <v>0</v>
      </c>
      <c r="CT14" s="462">
        <f>'PTRM input'!BF279</f>
        <v>0</v>
      </c>
      <c r="CU14" s="463">
        <f>'PTRM input'!BG279</f>
        <v>0</v>
      </c>
      <c r="CV14" s="461">
        <f>'PTRM input'!BC313</f>
        <v>0</v>
      </c>
      <c r="CW14" s="462">
        <f>'PTRM input'!BD313</f>
        <v>0</v>
      </c>
      <c r="CX14" s="462">
        <f>'PTRM input'!BE313</f>
        <v>0</v>
      </c>
      <c r="CY14" s="462">
        <f>'PTRM input'!BF313</f>
        <v>0</v>
      </c>
      <c r="CZ14" s="463">
        <f>'PTRM input'!BG313</f>
        <v>0</v>
      </c>
      <c r="DA14" s="461">
        <f>'PTRM input'!BH279</f>
        <v>0</v>
      </c>
      <c r="DB14" s="462">
        <f>'PTRM input'!BI279</f>
        <v>0</v>
      </c>
      <c r="DC14" s="462">
        <f>'PTRM input'!BJ279</f>
        <v>0</v>
      </c>
      <c r="DD14" s="462">
        <f>'PTRM input'!BK279</f>
        <v>0</v>
      </c>
      <c r="DE14" s="462">
        <f>'PTRM input'!BL279</f>
        <v>0</v>
      </c>
      <c r="DF14" s="463">
        <f>'PTRM input'!BM279</f>
        <v>0</v>
      </c>
      <c r="DG14" s="461">
        <f>'PTRM input'!BI313</f>
        <v>0</v>
      </c>
      <c r="DH14" s="462">
        <f>'PTRM input'!BJ313</f>
        <v>0</v>
      </c>
      <c r="DI14" s="462">
        <f>'PTRM input'!BK313</f>
        <v>0</v>
      </c>
      <c r="DJ14" s="462">
        <f>'PTRM input'!BL313</f>
        <v>0</v>
      </c>
      <c r="DK14" s="463">
        <f>'PTRM input'!BM313</f>
        <v>0</v>
      </c>
      <c r="DL14" s="48"/>
      <c r="DM14" s="240"/>
      <c r="DN14" s="240"/>
      <c r="DO14" s="240"/>
    </row>
    <row r="15" spans="1:119" s="90" customFormat="1">
      <c r="A15" s="30"/>
      <c r="B15" s="30"/>
      <c r="C15" s="30"/>
      <c r="D15" s="30"/>
      <c r="E15" s="434" t="str">
        <f>'PTRM input'!E280</f>
        <v>Residential B</v>
      </c>
      <c r="F15" s="1417">
        <f>'PTRM input'!F280</f>
        <v>100000</v>
      </c>
      <c r="G15" s="434">
        <f>'PTRM input'!G280</f>
        <v>102000</v>
      </c>
      <c r="H15" s="434">
        <f>'PTRM input'!H280</f>
        <v>104040</v>
      </c>
      <c r="I15" s="434">
        <f>'PTRM input'!I280</f>
        <v>106120.8</v>
      </c>
      <c r="J15" s="434">
        <f>'PTRM input'!J280</f>
        <v>108243.216</v>
      </c>
      <c r="K15" s="465">
        <f>'PTRM input'!K280</f>
        <v>110408.08032000001</v>
      </c>
      <c r="L15" s="434">
        <f>'PTRM input'!G314</f>
        <v>112616.24192640001</v>
      </c>
      <c r="M15" s="434">
        <f>'PTRM input'!H314</f>
        <v>114868.56676492801</v>
      </c>
      <c r="N15" s="434">
        <f>'PTRM input'!I314</f>
        <v>117165.93810022657</v>
      </c>
      <c r="O15" s="434">
        <f>'PTRM input'!J314</f>
        <v>119509.25686223111</v>
      </c>
      <c r="P15" s="465">
        <f>'PTRM input'!K314</f>
        <v>121899.44199947573</v>
      </c>
      <c r="Q15" s="464">
        <f>'PTRM input'!L280</f>
        <v>0</v>
      </c>
      <c r="R15" s="434">
        <f>'PTRM input'!M280</f>
        <v>0</v>
      </c>
      <c r="S15" s="434">
        <f>'PTRM input'!N280</f>
        <v>0</v>
      </c>
      <c r="T15" s="434">
        <f>'PTRM input'!O280</f>
        <v>0</v>
      </c>
      <c r="U15" s="434">
        <f>'PTRM input'!P280</f>
        <v>0</v>
      </c>
      <c r="V15" s="465">
        <f>'PTRM input'!Q280</f>
        <v>0</v>
      </c>
      <c r="W15" s="434">
        <f>'PTRM input'!M314</f>
        <v>0</v>
      </c>
      <c r="X15" s="434">
        <f>'PTRM input'!N314</f>
        <v>0</v>
      </c>
      <c r="Y15" s="434">
        <f>'PTRM input'!O314</f>
        <v>0</v>
      </c>
      <c r="Z15" s="434">
        <f>'PTRM input'!P314</f>
        <v>0</v>
      </c>
      <c r="AA15" s="465">
        <f>'PTRM input'!Q314</f>
        <v>0</v>
      </c>
      <c r="AB15" s="434">
        <f>'PTRM input'!R280</f>
        <v>5000000</v>
      </c>
      <c r="AC15" s="434">
        <f>'PTRM input'!S280</f>
        <v>4990000</v>
      </c>
      <c r="AD15" s="434">
        <f>'PTRM input'!T280</f>
        <v>4980020</v>
      </c>
      <c r="AE15" s="434">
        <f>'PTRM input'!U280</f>
        <v>4970059.96</v>
      </c>
      <c r="AF15" s="434">
        <f>'PTRM input'!V280</f>
        <v>4960119.8400799995</v>
      </c>
      <c r="AG15" s="434">
        <f>'PTRM input'!W280</f>
        <v>4950199.6003998397</v>
      </c>
      <c r="AH15" s="464">
        <f>'PTRM input'!S314</f>
        <v>4940299.2011990398</v>
      </c>
      <c r="AI15" s="434">
        <f>'PTRM input'!T314</f>
        <v>4930418.6027966421</v>
      </c>
      <c r="AJ15" s="434">
        <f>'PTRM input'!U314</f>
        <v>4920557.7655910486</v>
      </c>
      <c r="AK15" s="434">
        <f>'PTRM input'!V314</f>
        <v>4910716.6500598667</v>
      </c>
      <c r="AL15" s="465">
        <f>'PTRM input'!W314</f>
        <v>4900895.2167597469</v>
      </c>
      <c r="AM15" s="464">
        <f>'PTRM input'!X280</f>
        <v>2500000</v>
      </c>
      <c r="AN15" s="434">
        <f>'PTRM input'!Y280</f>
        <v>2495000</v>
      </c>
      <c r="AO15" s="434">
        <f>'PTRM input'!Z280</f>
        <v>2490010</v>
      </c>
      <c r="AP15" s="434">
        <f>'PTRM input'!AA280</f>
        <v>2485029.98</v>
      </c>
      <c r="AQ15" s="434">
        <f>'PTRM input'!AB280</f>
        <v>2480059.9200399998</v>
      </c>
      <c r="AR15" s="465">
        <f>'PTRM input'!AC280</f>
        <v>2475099.8001999198</v>
      </c>
      <c r="AS15" s="464">
        <f>'PTRM input'!Y314</f>
        <v>2470149.6005995199</v>
      </c>
      <c r="AT15" s="434">
        <f>'PTRM input'!Z314</f>
        <v>2465209.3013983211</v>
      </c>
      <c r="AU15" s="434">
        <f>'PTRM input'!AA314</f>
        <v>2460278.8827955243</v>
      </c>
      <c r="AV15" s="434">
        <f>'PTRM input'!AB314</f>
        <v>2455358.3250299334</v>
      </c>
      <c r="AW15" s="465">
        <f>'PTRM input'!AC314</f>
        <v>2450447.6083798734</v>
      </c>
      <c r="AX15" s="464">
        <f>'PTRM input'!AD280</f>
        <v>1000000</v>
      </c>
      <c r="AY15" s="434">
        <f>'PTRM input'!AE280</f>
        <v>998000</v>
      </c>
      <c r="AZ15" s="434">
        <f>'PTRM input'!AF280</f>
        <v>996004</v>
      </c>
      <c r="BA15" s="434">
        <f>'PTRM input'!AG280</f>
        <v>994011.99199999997</v>
      </c>
      <c r="BB15" s="434">
        <f>'PTRM input'!AH280</f>
        <v>992023.968016</v>
      </c>
      <c r="BC15" s="465">
        <f>'PTRM input'!AI280</f>
        <v>990039.92007996805</v>
      </c>
      <c r="BD15" s="464">
        <f>'PTRM input'!AE314</f>
        <v>988059.84023980808</v>
      </c>
      <c r="BE15" s="434">
        <f>'PTRM input'!AF314</f>
        <v>986083.72055932845</v>
      </c>
      <c r="BF15" s="434">
        <f>'PTRM input'!AG314</f>
        <v>984111.55311820982</v>
      </c>
      <c r="BG15" s="434">
        <f>'PTRM input'!AH314</f>
        <v>982143.33001197339</v>
      </c>
      <c r="BH15" s="465">
        <f>'PTRM input'!AI314</f>
        <v>980179.04335194943</v>
      </c>
      <c r="BI15" s="464">
        <f>'PTRM input'!AJ280</f>
        <v>500000</v>
      </c>
      <c r="BJ15" s="434">
        <f>'PTRM input'!AK280</f>
        <v>499000</v>
      </c>
      <c r="BK15" s="434">
        <f>'PTRM input'!AL280</f>
        <v>498002</v>
      </c>
      <c r="BL15" s="434">
        <f>'PTRM input'!AM280</f>
        <v>497005.99599999998</v>
      </c>
      <c r="BM15" s="434">
        <f>'PTRM input'!AN280</f>
        <v>496011.984008</v>
      </c>
      <c r="BN15" s="465">
        <f>'PTRM input'!AO280</f>
        <v>495019.96003998403</v>
      </c>
      <c r="BO15" s="464">
        <f>'PTRM input'!AK314</f>
        <v>494029.92011990404</v>
      </c>
      <c r="BP15" s="434">
        <f>'PTRM input'!AL314</f>
        <v>493041.86027966422</v>
      </c>
      <c r="BQ15" s="434">
        <f>'PTRM input'!AM314</f>
        <v>492055.77655910491</v>
      </c>
      <c r="BR15" s="434">
        <f>'PTRM input'!AN314</f>
        <v>491071.6650059867</v>
      </c>
      <c r="BS15" s="465">
        <f>'PTRM input'!AO314</f>
        <v>490089.52167597471</v>
      </c>
      <c r="BT15" s="464">
        <f>'PTRM input'!AP280</f>
        <v>10000</v>
      </c>
      <c r="BU15" s="434">
        <f>'PTRM input'!AQ280</f>
        <v>10200</v>
      </c>
      <c r="BV15" s="434">
        <f>'PTRM input'!AR280</f>
        <v>10404</v>
      </c>
      <c r="BW15" s="434">
        <f>'PTRM input'!AS280</f>
        <v>10612.08</v>
      </c>
      <c r="BX15" s="434">
        <f>'PTRM input'!AT280</f>
        <v>10824.321599999999</v>
      </c>
      <c r="BY15" s="465">
        <f>'PTRM input'!AU280</f>
        <v>11040.808031999999</v>
      </c>
      <c r="BZ15" s="464">
        <f>'PTRM input'!AQ314</f>
        <v>11261.62419264</v>
      </c>
      <c r="CA15" s="434">
        <f>'PTRM input'!AR314</f>
        <v>11486.8566764928</v>
      </c>
      <c r="CB15" s="434">
        <f>'PTRM input'!AS314</f>
        <v>11716.593810022656</v>
      </c>
      <c r="CC15" s="434">
        <f>'PTRM input'!AT314</f>
        <v>11950.925686223109</v>
      </c>
      <c r="CD15" s="465">
        <f>'PTRM input'!AU314</f>
        <v>12189.944199947571</v>
      </c>
      <c r="CE15" s="464">
        <f>'PTRM input'!AV280</f>
        <v>2000</v>
      </c>
      <c r="CF15" s="434">
        <f>'PTRM input'!AW280</f>
        <v>2040</v>
      </c>
      <c r="CG15" s="434">
        <f>'PTRM input'!AX280</f>
        <v>2080.8000000000002</v>
      </c>
      <c r="CH15" s="434">
        <f>'PTRM input'!AY280</f>
        <v>2122.4160000000002</v>
      </c>
      <c r="CI15" s="434">
        <f>'PTRM input'!AZ280</f>
        <v>2164.8643200000001</v>
      </c>
      <c r="CJ15" s="465">
        <f>'PTRM input'!BA280</f>
        <v>2208.1616064</v>
      </c>
      <c r="CK15" s="464">
        <f>'PTRM input'!AW314</f>
        <v>2252.3248385279999</v>
      </c>
      <c r="CL15" s="434">
        <f>'PTRM input'!AX314</f>
        <v>2297.3713352985601</v>
      </c>
      <c r="CM15" s="434">
        <f>'PTRM input'!AY314</f>
        <v>2343.3187620045314</v>
      </c>
      <c r="CN15" s="434">
        <f>'PTRM input'!AZ314</f>
        <v>2390.1851372446222</v>
      </c>
      <c r="CO15" s="465">
        <f>'PTRM input'!BA314</f>
        <v>2437.9888399895149</v>
      </c>
      <c r="CP15" s="464">
        <f>'PTRM input'!BB280</f>
        <v>5000</v>
      </c>
      <c r="CQ15" s="434">
        <f>'PTRM input'!BC280</f>
        <v>5100</v>
      </c>
      <c r="CR15" s="434">
        <f>'PTRM input'!BD280</f>
        <v>5202</v>
      </c>
      <c r="CS15" s="434">
        <f>'PTRM input'!BE280</f>
        <v>5306.04</v>
      </c>
      <c r="CT15" s="434">
        <f>'PTRM input'!BF280</f>
        <v>5412.1607999999997</v>
      </c>
      <c r="CU15" s="465">
        <f>'PTRM input'!BG280</f>
        <v>5520.4040159999995</v>
      </c>
      <c r="CV15" s="464">
        <f>'PTRM input'!BC314</f>
        <v>5630.8120963199999</v>
      </c>
      <c r="CW15" s="434">
        <f>'PTRM input'!BD314</f>
        <v>5743.4283382464</v>
      </c>
      <c r="CX15" s="434">
        <f>'PTRM input'!BE314</f>
        <v>5858.2969050113279</v>
      </c>
      <c r="CY15" s="434">
        <f>'PTRM input'!BF314</f>
        <v>5975.4628431115543</v>
      </c>
      <c r="CZ15" s="465">
        <f>'PTRM input'!BG314</f>
        <v>6094.9720999737856</v>
      </c>
      <c r="DA15" s="464">
        <f>'PTRM input'!BH280</f>
        <v>200</v>
      </c>
      <c r="DB15" s="434">
        <f>'PTRM input'!BI280</f>
        <v>204</v>
      </c>
      <c r="DC15" s="434">
        <f>'PTRM input'!BJ280</f>
        <v>208.08</v>
      </c>
      <c r="DD15" s="434">
        <f>'PTRM input'!BK280</f>
        <v>212.24160000000001</v>
      </c>
      <c r="DE15" s="434">
        <f>'PTRM input'!BL280</f>
        <v>216.48643200000001</v>
      </c>
      <c r="DF15" s="465">
        <f>'PTRM input'!BM280</f>
        <v>220.81616064000002</v>
      </c>
      <c r="DG15" s="464">
        <f>'PTRM input'!BI314</f>
        <v>225.23248385280002</v>
      </c>
      <c r="DH15" s="434">
        <f>'PTRM input'!BJ314</f>
        <v>229.73713352985601</v>
      </c>
      <c r="DI15" s="434">
        <f>'PTRM input'!BK314</f>
        <v>234.33187620045314</v>
      </c>
      <c r="DJ15" s="434">
        <f>'PTRM input'!BL314</f>
        <v>239.0185137244622</v>
      </c>
      <c r="DK15" s="465">
        <f>'PTRM input'!BM314</f>
        <v>243.79888399895145</v>
      </c>
      <c r="DL15" s="48"/>
      <c r="DM15" s="240"/>
      <c r="DN15" s="240"/>
      <c r="DO15" s="240"/>
    </row>
    <row r="16" spans="1:119" s="211" customFormat="1">
      <c r="A16" s="30"/>
      <c r="B16" s="30"/>
      <c r="C16" s="30"/>
      <c r="D16" s="30"/>
      <c r="E16" s="434" t="str">
        <f>'PTRM input'!E281</f>
        <v>Residential C</v>
      </c>
      <c r="F16" s="1417">
        <f>'PTRM input'!F281</f>
        <v>100000</v>
      </c>
      <c r="G16" s="434">
        <f>'PTRM input'!G281</f>
        <v>102000</v>
      </c>
      <c r="H16" s="434">
        <f>'PTRM input'!H281</f>
        <v>104040</v>
      </c>
      <c r="I16" s="434">
        <f>'PTRM input'!I281</f>
        <v>106120.8</v>
      </c>
      <c r="J16" s="434">
        <f>'PTRM input'!J281</f>
        <v>108243.216</v>
      </c>
      <c r="K16" s="465">
        <f>'PTRM input'!K281</f>
        <v>110408.08032000001</v>
      </c>
      <c r="L16" s="434">
        <f>'PTRM input'!G315</f>
        <v>112616.24192640001</v>
      </c>
      <c r="M16" s="434">
        <f>'PTRM input'!H315</f>
        <v>114868.56676492801</v>
      </c>
      <c r="N16" s="434">
        <f>'PTRM input'!I315</f>
        <v>117165.93810022657</v>
      </c>
      <c r="O16" s="434">
        <f>'PTRM input'!J315</f>
        <v>119509.25686223111</v>
      </c>
      <c r="P16" s="465">
        <f>'PTRM input'!K315</f>
        <v>121899.44199947573</v>
      </c>
      <c r="Q16" s="464">
        <f>'PTRM input'!L281</f>
        <v>0</v>
      </c>
      <c r="R16" s="434">
        <f>'PTRM input'!M281</f>
        <v>0</v>
      </c>
      <c r="S16" s="434">
        <f>'PTRM input'!N281</f>
        <v>0</v>
      </c>
      <c r="T16" s="434">
        <f>'PTRM input'!O281</f>
        <v>0</v>
      </c>
      <c r="U16" s="434">
        <f>'PTRM input'!P281</f>
        <v>0</v>
      </c>
      <c r="V16" s="465">
        <f>'PTRM input'!Q281</f>
        <v>0</v>
      </c>
      <c r="W16" s="434">
        <f>'PTRM input'!M315</f>
        <v>0</v>
      </c>
      <c r="X16" s="434">
        <f>'PTRM input'!N315</f>
        <v>0</v>
      </c>
      <c r="Y16" s="434">
        <f>'PTRM input'!O315</f>
        <v>0</v>
      </c>
      <c r="Z16" s="434">
        <f>'PTRM input'!P315</f>
        <v>0</v>
      </c>
      <c r="AA16" s="465">
        <f>'PTRM input'!Q315</f>
        <v>0</v>
      </c>
      <c r="AB16" s="1416">
        <f>'PTRM input'!R281</f>
        <v>5000000</v>
      </c>
      <c r="AC16" s="434">
        <f>'PTRM input'!S281</f>
        <v>5000000</v>
      </c>
      <c r="AD16" s="434">
        <f>'PTRM input'!T281</f>
        <v>5000000</v>
      </c>
      <c r="AE16" s="434">
        <f>'PTRM input'!U281</f>
        <v>5000000</v>
      </c>
      <c r="AF16" s="434">
        <f>'PTRM input'!V281</f>
        <v>5000000</v>
      </c>
      <c r="AG16" s="434">
        <f>'PTRM input'!W281</f>
        <v>5000000</v>
      </c>
      <c r="AH16" s="464">
        <f>'PTRM input'!S315</f>
        <v>5000000</v>
      </c>
      <c r="AI16" s="434">
        <f>'PTRM input'!T315</f>
        <v>5000000</v>
      </c>
      <c r="AJ16" s="434">
        <f>'PTRM input'!U315</f>
        <v>5000000</v>
      </c>
      <c r="AK16" s="434">
        <f>'PTRM input'!V315</f>
        <v>5000000</v>
      </c>
      <c r="AL16" s="465">
        <f>'PTRM input'!W315</f>
        <v>5000000</v>
      </c>
      <c r="AM16" s="464">
        <f>'PTRM input'!X281</f>
        <v>2500000</v>
      </c>
      <c r="AN16" s="434">
        <f>'PTRM input'!Y281</f>
        <v>2500000</v>
      </c>
      <c r="AO16" s="434">
        <f>'PTRM input'!Z281</f>
        <v>2500000</v>
      </c>
      <c r="AP16" s="434">
        <f>'PTRM input'!AA281</f>
        <v>2500000</v>
      </c>
      <c r="AQ16" s="434">
        <f>'PTRM input'!AB281</f>
        <v>2500000</v>
      </c>
      <c r="AR16" s="465">
        <f>'PTRM input'!AC281</f>
        <v>2500000</v>
      </c>
      <c r="AS16" s="464">
        <f>'PTRM input'!Y315</f>
        <v>2500000</v>
      </c>
      <c r="AT16" s="434">
        <f>'PTRM input'!Z315</f>
        <v>2500000</v>
      </c>
      <c r="AU16" s="434">
        <f>'PTRM input'!AA315</f>
        <v>2500000</v>
      </c>
      <c r="AV16" s="434">
        <f>'PTRM input'!AB315</f>
        <v>2500000</v>
      </c>
      <c r="AW16" s="465">
        <f>'PTRM input'!AC315</f>
        <v>2500000</v>
      </c>
      <c r="AX16" s="464">
        <f>'PTRM input'!AD281</f>
        <v>1000000</v>
      </c>
      <c r="AY16" s="434">
        <f>'PTRM input'!AE281</f>
        <v>1000000</v>
      </c>
      <c r="AZ16" s="434">
        <f>'PTRM input'!AF281</f>
        <v>1000000</v>
      </c>
      <c r="BA16" s="434">
        <f>'PTRM input'!AG281</f>
        <v>1000000</v>
      </c>
      <c r="BB16" s="434">
        <f>'PTRM input'!AH281</f>
        <v>1000000</v>
      </c>
      <c r="BC16" s="465">
        <f>'PTRM input'!AI281</f>
        <v>1000000</v>
      </c>
      <c r="BD16" s="464">
        <f>'PTRM input'!AE315</f>
        <v>1000000</v>
      </c>
      <c r="BE16" s="434">
        <f>'PTRM input'!AF315</f>
        <v>1000000</v>
      </c>
      <c r="BF16" s="434">
        <f>'PTRM input'!AG315</f>
        <v>1000000</v>
      </c>
      <c r="BG16" s="434">
        <f>'PTRM input'!AH315</f>
        <v>1000000</v>
      </c>
      <c r="BH16" s="465">
        <f>'PTRM input'!AI315</f>
        <v>1000000</v>
      </c>
      <c r="BI16" s="464">
        <f>'PTRM input'!AJ281</f>
        <v>500000</v>
      </c>
      <c r="BJ16" s="434">
        <f>'PTRM input'!AK281</f>
        <v>500000</v>
      </c>
      <c r="BK16" s="434">
        <f>'PTRM input'!AL281</f>
        <v>500000</v>
      </c>
      <c r="BL16" s="434">
        <f>'PTRM input'!AM281</f>
        <v>500000</v>
      </c>
      <c r="BM16" s="434">
        <f>'PTRM input'!AN281</f>
        <v>500000</v>
      </c>
      <c r="BN16" s="465">
        <f>'PTRM input'!AO281</f>
        <v>500000</v>
      </c>
      <c r="BO16" s="464">
        <f>'PTRM input'!AK315</f>
        <v>500000</v>
      </c>
      <c r="BP16" s="434">
        <f>'PTRM input'!AL315</f>
        <v>500000</v>
      </c>
      <c r="BQ16" s="434">
        <f>'PTRM input'!AM315</f>
        <v>500000</v>
      </c>
      <c r="BR16" s="434">
        <f>'PTRM input'!AN315</f>
        <v>500000</v>
      </c>
      <c r="BS16" s="465">
        <f>'PTRM input'!AO315</f>
        <v>500000</v>
      </c>
      <c r="BT16" s="464">
        <f>'PTRM input'!AP281</f>
        <v>10000</v>
      </c>
      <c r="BU16" s="434">
        <f>'PTRM input'!AQ281</f>
        <v>10200</v>
      </c>
      <c r="BV16" s="434">
        <f>'PTRM input'!AR281</f>
        <v>10404</v>
      </c>
      <c r="BW16" s="434">
        <f>'PTRM input'!AS281</f>
        <v>10612.08</v>
      </c>
      <c r="BX16" s="434">
        <f>'PTRM input'!AT281</f>
        <v>10824.321599999999</v>
      </c>
      <c r="BY16" s="465">
        <f>'PTRM input'!AU281</f>
        <v>11040.808031999999</v>
      </c>
      <c r="BZ16" s="464">
        <f>'PTRM input'!AQ315</f>
        <v>11261.62419264</v>
      </c>
      <c r="CA16" s="434">
        <f>'PTRM input'!AR315</f>
        <v>11486.8566764928</v>
      </c>
      <c r="CB16" s="434">
        <f>'PTRM input'!AS315</f>
        <v>11716.593810022656</v>
      </c>
      <c r="CC16" s="434">
        <f>'PTRM input'!AT315</f>
        <v>11950.925686223109</v>
      </c>
      <c r="CD16" s="465">
        <f>'PTRM input'!AU315</f>
        <v>12189.944199947571</v>
      </c>
      <c r="CE16" s="464">
        <f>'PTRM input'!AV281</f>
        <v>2000</v>
      </c>
      <c r="CF16" s="434">
        <f>'PTRM input'!AW281</f>
        <v>2040</v>
      </c>
      <c r="CG16" s="434">
        <f>'PTRM input'!AX281</f>
        <v>2080.8000000000002</v>
      </c>
      <c r="CH16" s="434">
        <f>'PTRM input'!AY281</f>
        <v>2122.4160000000002</v>
      </c>
      <c r="CI16" s="434">
        <f>'PTRM input'!AZ281</f>
        <v>2164.8643200000001</v>
      </c>
      <c r="CJ16" s="465">
        <f>'PTRM input'!BA281</f>
        <v>2208.1616064</v>
      </c>
      <c r="CK16" s="464">
        <f>'PTRM input'!AW315</f>
        <v>2252.3248385279999</v>
      </c>
      <c r="CL16" s="434">
        <f>'PTRM input'!AX315</f>
        <v>2297.3713352985601</v>
      </c>
      <c r="CM16" s="434">
        <f>'PTRM input'!AY315</f>
        <v>2343.3187620045314</v>
      </c>
      <c r="CN16" s="434">
        <f>'PTRM input'!AZ315</f>
        <v>2390.1851372446222</v>
      </c>
      <c r="CO16" s="465">
        <f>'PTRM input'!BA315</f>
        <v>2437.9888399895149</v>
      </c>
      <c r="CP16" s="464">
        <f>'PTRM input'!BB281</f>
        <v>5000</v>
      </c>
      <c r="CQ16" s="434">
        <f>'PTRM input'!BC281</f>
        <v>5100</v>
      </c>
      <c r="CR16" s="434">
        <f>'PTRM input'!BD281</f>
        <v>5202</v>
      </c>
      <c r="CS16" s="434">
        <f>'PTRM input'!BE281</f>
        <v>5306.04</v>
      </c>
      <c r="CT16" s="434">
        <f>'PTRM input'!BF281</f>
        <v>5412.1607999999997</v>
      </c>
      <c r="CU16" s="465">
        <f>'PTRM input'!BG281</f>
        <v>5520.4040159999995</v>
      </c>
      <c r="CV16" s="464">
        <f>'PTRM input'!BC315</f>
        <v>5630.8120963199999</v>
      </c>
      <c r="CW16" s="434">
        <f>'PTRM input'!BD315</f>
        <v>5743.4283382464</v>
      </c>
      <c r="CX16" s="434">
        <f>'PTRM input'!BE315</f>
        <v>5858.2969050113279</v>
      </c>
      <c r="CY16" s="434">
        <f>'PTRM input'!BF315</f>
        <v>5975.4628431115543</v>
      </c>
      <c r="CZ16" s="465">
        <f>'PTRM input'!BG315</f>
        <v>6094.9720999737856</v>
      </c>
      <c r="DA16" s="464">
        <f>'PTRM input'!BH281</f>
        <v>200</v>
      </c>
      <c r="DB16" s="434">
        <f>'PTRM input'!BI281</f>
        <v>204</v>
      </c>
      <c r="DC16" s="434">
        <f>'PTRM input'!BJ281</f>
        <v>208.08</v>
      </c>
      <c r="DD16" s="434">
        <f>'PTRM input'!BK281</f>
        <v>212.24160000000001</v>
      </c>
      <c r="DE16" s="434">
        <f>'PTRM input'!BL281</f>
        <v>216.48643200000001</v>
      </c>
      <c r="DF16" s="465">
        <f>'PTRM input'!BM281</f>
        <v>220.81616064000002</v>
      </c>
      <c r="DG16" s="464">
        <f>'PTRM input'!BI315</f>
        <v>225.23248385280002</v>
      </c>
      <c r="DH16" s="434">
        <f>'PTRM input'!BJ315</f>
        <v>229.73713352985601</v>
      </c>
      <c r="DI16" s="434">
        <f>'PTRM input'!BK315</f>
        <v>234.33187620045314</v>
      </c>
      <c r="DJ16" s="434">
        <f>'PTRM input'!BL315</f>
        <v>239.0185137244622</v>
      </c>
      <c r="DK16" s="465">
        <f>'PTRM input'!BM315</f>
        <v>243.79888399895145</v>
      </c>
      <c r="DL16" s="48"/>
      <c r="DM16" s="286"/>
      <c r="DN16" s="286"/>
      <c r="DO16" s="286"/>
    </row>
    <row r="17" spans="1:119" s="212" customFormat="1">
      <c r="A17" s="30"/>
      <c r="B17" s="30"/>
      <c r="C17" s="30"/>
      <c r="D17" s="30"/>
      <c r="E17" s="434" t="str">
        <f>'PTRM input'!E282</f>
        <v>Small Business A</v>
      </c>
      <c r="F17" s="1417">
        <f>'PTRM input'!F282</f>
        <v>20000</v>
      </c>
      <c r="G17" s="434">
        <f>'PTRM input'!G282</f>
        <v>20400</v>
      </c>
      <c r="H17" s="434">
        <f>'PTRM input'!H282</f>
        <v>20808</v>
      </c>
      <c r="I17" s="434">
        <f>'PTRM input'!I282</f>
        <v>21224.16</v>
      </c>
      <c r="J17" s="434">
        <f>'PTRM input'!J282</f>
        <v>21648.643199999999</v>
      </c>
      <c r="K17" s="465">
        <f>'PTRM input'!K282</f>
        <v>22081.616063999998</v>
      </c>
      <c r="L17" s="434">
        <f>'PTRM input'!G316</f>
        <v>22523.24838528</v>
      </c>
      <c r="M17" s="434">
        <f>'PTRM input'!H316</f>
        <v>22973.7133529856</v>
      </c>
      <c r="N17" s="434">
        <f>'PTRM input'!I316</f>
        <v>23433.187620045312</v>
      </c>
      <c r="O17" s="434">
        <f>'PTRM input'!J316</f>
        <v>23901.851372446217</v>
      </c>
      <c r="P17" s="465">
        <f>'PTRM input'!K316</f>
        <v>24379.888399895142</v>
      </c>
      <c r="Q17" s="464">
        <f>'PTRM input'!L282</f>
        <v>0</v>
      </c>
      <c r="R17" s="434">
        <f>'PTRM input'!M282</f>
        <v>0</v>
      </c>
      <c r="S17" s="434">
        <f>'PTRM input'!N282</f>
        <v>0</v>
      </c>
      <c r="T17" s="434">
        <f>'PTRM input'!O282</f>
        <v>0</v>
      </c>
      <c r="U17" s="434">
        <f>'PTRM input'!P282</f>
        <v>0</v>
      </c>
      <c r="V17" s="465">
        <f>'PTRM input'!Q282</f>
        <v>0</v>
      </c>
      <c r="W17" s="434">
        <f>'PTRM input'!M316</f>
        <v>0</v>
      </c>
      <c r="X17" s="434">
        <f>'PTRM input'!N316</f>
        <v>0</v>
      </c>
      <c r="Y17" s="434">
        <f>'PTRM input'!O316</f>
        <v>0</v>
      </c>
      <c r="Z17" s="434">
        <f>'PTRM input'!P316</f>
        <v>0</v>
      </c>
      <c r="AA17" s="465">
        <f>'PTRM input'!Q316</f>
        <v>0</v>
      </c>
      <c r="AB17" s="434">
        <f>'PTRM input'!R282</f>
        <v>5000000</v>
      </c>
      <c r="AC17" s="434">
        <f>'PTRM input'!S282</f>
        <v>5100000</v>
      </c>
      <c r="AD17" s="434">
        <f>'PTRM input'!T282</f>
        <v>5202000</v>
      </c>
      <c r="AE17" s="434">
        <f>'PTRM input'!U282</f>
        <v>5306040</v>
      </c>
      <c r="AF17" s="434">
        <f>'PTRM input'!V282</f>
        <v>5412160.7999999998</v>
      </c>
      <c r="AG17" s="434">
        <f>'PTRM input'!W282</f>
        <v>5520404.0159999998</v>
      </c>
      <c r="AH17" s="464">
        <f>'PTRM input'!S316</f>
        <v>5630812.0963199995</v>
      </c>
      <c r="AI17" s="434">
        <f>'PTRM input'!T316</f>
        <v>5743428.3382463995</v>
      </c>
      <c r="AJ17" s="434">
        <f>'PTRM input'!U316</f>
        <v>5858296.9050113279</v>
      </c>
      <c r="AK17" s="434">
        <f>'PTRM input'!V316</f>
        <v>5975462.8431115542</v>
      </c>
      <c r="AL17" s="465">
        <f>'PTRM input'!W316</f>
        <v>6094972.0999737857</v>
      </c>
      <c r="AM17" s="464">
        <f>'PTRM input'!X282</f>
        <v>2500000</v>
      </c>
      <c r="AN17" s="434">
        <f>'PTRM input'!Y282</f>
        <v>2550000</v>
      </c>
      <c r="AO17" s="434">
        <f>'PTRM input'!Z282</f>
        <v>2601000</v>
      </c>
      <c r="AP17" s="434">
        <f>'PTRM input'!AA282</f>
        <v>2653020</v>
      </c>
      <c r="AQ17" s="434">
        <f>'PTRM input'!AB282</f>
        <v>2706080.4</v>
      </c>
      <c r="AR17" s="465">
        <f>'PTRM input'!AC282</f>
        <v>2760202.0079999999</v>
      </c>
      <c r="AS17" s="464">
        <f>'PTRM input'!Y316</f>
        <v>2815406.0481599998</v>
      </c>
      <c r="AT17" s="434">
        <f>'PTRM input'!Z316</f>
        <v>2871714.1691231998</v>
      </c>
      <c r="AU17" s="434">
        <f>'PTRM input'!AA316</f>
        <v>2929148.452505664</v>
      </c>
      <c r="AV17" s="434">
        <f>'PTRM input'!AB316</f>
        <v>2987731.4215557771</v>
      </c>
      <c r="AW17" s="465">
        <f>'PTRM input'!AC316</f>
        <v>3047486.0499868928</v>
      </c>
      <c r="AX17" s="464">
        <f>'PTRM input'!AD282</f>
        <v>1000000</v>
      </c>
      <c r="AY17" s="434">
        <f>'PTRM input'!AE282</f>
        <v>1020000</v>
      </c>
      <c r="AZ17" s="434">
        <f>'PTRM input'!AF282</f>
        <v>1040400</v>
      </c>
      <c r="BA17" s="434">
        <f>'PTRM input'!AG282</f>
        <v>1061208</v>
      </c>
      <c r="BB17" s="434">
        <f>'PTRM input'!AH282</f>
        <v>1082432.1599999999</v>
      </c>
      <c r="BC17" s="465">
        <f>'PTRM input'!AI282</f>
        <v>1104080.8032</v>
      </c>
      <c r="BD17" s="464">
        <f>'PTRM input'!AE316</f>
        <v>1126162.4192639999</v>
      </c>
      <c r="BE17" s="434">
        <f>'PTRM input'!AF316</f>
        <v>1148685.6676492798</v>
      </c>
      <c r="BF17" s="434">
        <f>'PTRM input'!AG316</f>
        <v>1171659.3810022655</v>
      </c>
      <c r="BG17" s="434">
        <f>'PTRM input'!AH316</f>
        <v>1195092.5686223109</v>
      </c>
      <c r="BH17" s="465">
        <f>'PTRM input'!AI316</f>
        <v>1218994.419994757</v>
      </c>
      <c r="BI17" s="464">
        <f>'PTRM input'!AJ282</f>
        <v>500000</v>
      </c>
      <c r="BJ17" s="434">
        <f>'PTRM input'!AK282</f>
        <v>510000</v>
      </c>
      <c r="BK17" s="434">
        <f>'PTRM input'!AL282</f>
        <v>520200</v>
      </c>
      <c r="BL17" s="434">
        <f>'PTRM input'!AM282</f>
        <v>530604</v>
      </c>
      <c r="BM17" s="434">
        <f>'PTRM input'!AN282</f>
        <v>541216.07999999996</v>
      </c>
      <c r="BN17" s="465">
        <f>'PTRM input'!AO282</f>
        <v>552040.40159999998</v>
      </c>
      <c r="BO17" s="464">
        <f>'PTRM input'!AK316</f>
        <v>563081.20963199995</v>
      </c>
      <c r="BP17" s="434">
        <f>'PTRM input'!AL316</f>
        <v>574342.83382463991</v>
      </c>
      <c r="BQ17" s="434">
        <f>'PTRM input'!AM316</f>
        <v>585829.69050113275</v>
      </c>
      <c r="BR17" s="434">
        <f>'PTRM input'!AN316</f>
        <v>597546.28431115544</v>
      </c>
      <c r="BS17" s="465">
        <f>'PTRM input'!AO316</f>
        <v>609497.20999737852</v>
      </c>
      <c r="BT17" s="464">
        <f>'PTRM input'!AP282</f>
        <v>10000</v>
      </c>
      <c r="BU17" s="434">
        <f>'PTRM input'!AQ282</f>
        <v>10200</v>
      </c>
      <c r="BV17" s="434">
        <f>'PTRM input'!AR282</f>
        <v>10404</v>
      </c>
      <c r="BW17" s="434">
        <f>'PTRM input'!AS282</f>
        <v>10612.08</v>
      </c>
      <c r="BX17" s="434">
        <f>'PTRM input'!AT282</f>
        <v>10824.321599999999</v>
      </c>
      <c r="BY17" s="465">
        <f>'PTRM input'!AU282</f>
        <v>11040.808031999999</v>
      </c>
      <c r="BZ17" s="464">
        <f>'PTRM input'!AQ316</f>
        <v>11261.62419264</v>
      </c>
      <c r="CA17" s="434">
        <f>'PTRM input'!AR316</f>
        <v>11486.8566764928</v>
      </c>
      <c r="CB17" s="434">
        <f>'PTRM input'!AS316</f>
        <v>11716.593810022656</v>
      </c>
      <c r="CC17" s="434">
        <f>'PTRM input'!AT316</f>
        <v>11950.925686223109</v>
      </c>
      <c r="CD17" s="465">
        <f>'PTRM input'!AU316</f>
        <v>12189.944199947571</v>
      </c>
      <c r="CE17" s="464">
        <f>'PTRM input'!AV282</f>
        <v>2000</v>
      </c>
      <c r="CF17" s="434">
        <f>'PTRM input'!AW282</f>
        <v>2040</v>
      </c>
      <c r="CG17" s="434">
        <f>'PTRM input'!AX282</f>
        <v>2080.8000000000002</v>
      </c>
      <c r="CH17" s="434">
        <f>'PTRM input'!AY282</f>
        <v>2122.4160000000002</v>
      </c>
      <c r="CI17" s="434">
        <f>'PTRM input'!AZ282</f>
        <v>2164.8643200000001</v>
      </c>
      <c r="CJ17" s="465">
        <f>'PTRM input'!BA282</f>
        <v>2208.1616064</v>
      </c>
      <c r="CK17" s="464">
        <f>'PTRM input'!AW316</f>
        <v>2252.3248385279999</v>
      </c>
      <c r="CL17" s="434">
        <f>'PTRM input'!AX316</f>
        <v>2297.3713352985601</v>
      </c>
      <c r="CM17" s="434">
        <f>'PTRM input'!AY316</f>
        <v>2343.3187620045314</v>
      </c>
      <c r="CN17" s="434">
        <f>'PTRM input'!AZ316</f>
        <v>2390.1851372446222</v>
      </c>
      <c r="CO17" s="465">
        <f>'PTRM input'!BA316</f>
        <v>2437.9888399895149</v>
      </c>
      <c r="CP17" s="464">
        <f>'PTRM input'!BB282</f>
        <v>5000</v>
      </c>
      <c r="CQ17" s="434">
        <f>'PTRM input'!BC282</f>
        <v>5100</v>
      </c>
      <c r="CR17" s="434">
        <f>'PTRM input'!BD282</f>
        <v>5202</v>
      </c>
      <c r="CS17" s="434">
        <f>'PTRM input'!BE282</f>
        <v>5306.04</v>
      </c>
      <c r="CT17" s="434">
        <f>'PTRM input'!BF282</f>
        <v>5412.1607999999997</v>
      </c>
      <c r="CU17" s="465">
        <f>'PTRM input'!BG282</f>
        <v>5520.4040159999995</v>
      </c>
      <c r="CV17" s="464">
        <f>'PTRM input'!BC316</f>
        <v>5630.8120963199999</v>
      </c>
      <c r="CW17" s="434">
        <f>'PTRM input'!BD316</f>
        <v>5743.4283382464</v>
      </c>
      <c r="CX17" s="434">
        <f>'PTRM input'!BE316</f>
        <v>5858.2969050113279</v>
      </c>
      <c r="CY17" s="434">
        <f>'PTRM input'!BF316</f>
        <v>5975.4628431115543</v>
      </c>
      <c r="CZ17" s="465">
        <f>'PTRM input'!BG316</f>
        <v>6094.9720999737856</v>
      </c>
      <c r="DA17" s="464">
        <f>'PTRM input'!BH282</f>
        <v>200</v>
      </c>
      <c r="DB17" s="434">
        <f>'PTRM input'!BI282</f>
        <v>204</v>
      </c>
      <c r="DC17" s="434">
        <f>'PTRM input'!BJ282</f>
        <v>208.08</v>
      </c>
      <c r="DD17" s="434">
        <f>'PTRM input'!BK282</f>
        <v>212.24160000000001</v>
      </c>
      <c r="DE17" s="434">
        <f>'PTRM input'!BL282</f>
        <v>216.48643200000001</v>
      </c>
      <c r="DF17" s="465">
        <f>'PTRM input'!BM282</f>
        <v>220.81616064000002</v>
      </c>
      <c r="DG17" s="464">
        <f>'PTRM input'!BI316</f>
        <v>225.23248385280002</v>
      </c>
      <c r="DH17" s="434">
        <f>'PTRM input'!BJ316</f>
        <v>229.73713352985601</v>
      </c>
      <c r="DI17" s="434">
        <f>'PTRM input'!BK316</f>
        <v>234.33187620045314</v>
      </c>
      <c r="DJ17" s="434">
        <f>'PTRM input'!BL316</f>
        <v>239.0185137244622</v>
      </c>
      <c r="DK17" s="465">
        <f>'PTRM input'!BM316</f>
        <v>243.79888399895145</v>
      </c>
      <c r="DL17" s="48"/>
      <c r="DM17" s="286"/>
      <c r="DN17" s="286"/>
      <c r="DO17" s="286"/>
    </row>
    <row r="18" spans="1:119" s="213" customFormat="1">
      <c r="A18" s="30"/>
      <c r="B18" s="30"/>
      <c r="C18" s="30"/>
      <c r="D18" s="30"/>
      <c r="E18" s="434" t="str">
        <f>'PTRM input'!E283</f>
        <v>Small Business B</v>
      </c>
      <c r="F18" s="1417">
        <f>'PTRM input'!F283</f>
        <v>20000</v>
      </c>
      <c r="G18" s="434">
        <f>'PTRM input'!G283</f>
        <v>20400</v>
      </c>
      <c r="H18" s="434">
        <f>'PTRM input'!H283</f>
        <v>20808</v>
      </c>
      <c r="I18" s="434">
        <f>'PTRM input'!I283</f>
        <v>21224.16</v>
      </c>
      <c r="J18" s="434">
        <f>'PTRM input'!J283</f>
        <v>21648.643199999999</v>
      </c>
      <c r="K18" s="465">
        <f>'PTRM input'!K283</f>
        <v>22081.616063999998</v>
      </c>
      <c r="L18" s="434">
        <f>'PTRM input'!G317</f>
        <v>22523.24838528</v>
      </c>
      <c r="M18" s="434">
        <f>'PTRM input'!H317</f>
        <v>22973.7133529856</v>
      </c>
      <c r="N18" s="434">
        <f>'PTRM input'!I317</f>
        <v>23433.187620045312</v>
      </c>
      <c r="O18" s="434">
        <f>'PTRM input'!J317</f>
        <v>23901.851372446217</v>
      </c>
      <c r="P18" s="465">
        <f>'PTRM input'!K317</f>
        <v>24379.888399895142</v>
      </c>
      <c r="Q18" s="464">
        <f>'PTRM input'!L283</f>
        <v>0</v>
      </c>
      <c r="R18" s="434">
        <f>'PTRM input'!M283</f>
        <v>0</v>
      </c>
      <c r="S18" s="434">
        <f>'PTRM input'!N283</f>
        <v>0</v>
      </c>
      <c r="T18" s="434">
        <f>'PTRM input'!O283</f>
        <v>0</v>
      </c>
      <c r="U18" s="434">
        <f>'PTRM input'!P283</f>
        <v>0</v>
      </c>
      <c r="V18" s="465">
        <f>'PTRM input'!Q283</f>
        <v>0</v>
      </c>
      <c r="W18" s="434">
        <f>'PTRM input'!M317</f>
        <v>0</v>
      </c>
      <c r="X18" s="434">
        <f>'PTRM input'!N317</f>
        <v>0</v>
      </c>
      <c r="Y18" s="434">
        <f>'PTRM input'!O317</f>
        <v>0</v>
      </c>
      <c r="Z18" s="434">
        <f>'PTRM input'!P317</f>
        <v>0</v>
      </c>
      <c r="AA18" s="465">
        <f>'PTRM input'!Q317</f>
        <v>0</v>
      </c>
      <c r="AB18" s="434">
        <f>'PTRM input'!R283</f>
        <v>5000000</v>
      </c>
      <c r="AC18" s="434">
        <f>'PTRM input'!S283</f>
        <v>5100000</v>
      </c>
      <c r="AD18" s="434">
        <f>'PTRM input'!T283</f>
        <v>5202000</v>
      </c>
      <c r="AE18" s="434">
        <f>'PTRM input'!U283</f>
        <v>5306040</v>
      </c>
      <c r="AF18" s="434">
        <f>'PTRM input'!V283</f>
        <v>5412160.7999999998</v>
      </c>
      <c r="AG18" s="434">
        <f>'PTRM input'!W283</f>
        <v>5520404.0159999998</v>
      </c>
      <c r="AH18" s="464">
        <f>'PTRM input'!S317</f>
        <v>5630812.0963199995</v>
      </c>
      <c r="AI18" s="434">
        <f>'PTRM input'!T317</f>
        <v>5743428.3382463995</v>
      </c>
      <c r="AJ18" s="434">
        <f>'PTRM input'!U317</f>
        <v>5858296.9050113279</v>
      </c>
      <c r="AK18" s="434">
        <f>'PTRM input'!V317</f>
        <v>5975462.8431115542</v>
      </c>
      <c r="AL18" s="465">
        <f>'PTRM input'!W317</f>
        <v>6094972.0999737857</v>
      </c>
      <c r="AM18" s="464">
        <f>'PTRM input'!X283</f>
        <v>2500000</v>
      </c>
      <c r="AN18" s="434">
        <f>'PTRM input'!Y283</f>
        <v>2550000</v>
      </c>
      <c r="AO18" s="434">
        <f>'PTRM input'!Z283</f>
        <v>2601000</v>
      </c>
      <c r="AP18" s="434">
        <f>'PTRM input'!AA283</f>
        <v>2653020</v>
      </c>
      <c r="AQ18" s="434">
        <f>'PTRM input'!AB283</f>
        <v>2706080.4</v>
      </c>
      <c r="AR18" s="465">
        <f>'PTRM input'!AC283</f>
        <v>2760202.0079999999</v>
      </c>
      <c r="AS18" s="464">
        <f>'PTRM input'!Y317</f>
        <v>2815406.0481599998</v>
      </c>
      <c r="AT18" s="434">
        <f>'PTRM input'!Z317</f>
        <v>2871714.1691231998</v>
      </c>
      <c r="AU18" s="434">
        <f>'PTRM input'!AA317</f>
        <v>2929148.452505664</v>
      </c>
      <c r="AV18" s="434">
        <f>'PTRM input'!AB317</f>
        <v>2987731.4215557771</v>
      </c>
      <c r="AW18" s="465">
        <f>'PTRM input'!AC317</f>
        <v>3047486.0499868928</v>
      </c>
      <c r="AX18" s="464">
        <f>'PTRM input'!AD283</f>
        <v>1000000</v>
      </c>
      <c r="AY18" s="434">
        <f>'PTRM input'!AE283</f>
        <v>1020000</v>
      </c>
      <c r="AZ18" s="434">
        <f>'PTRM input'!AF283</f>
        <v>1040400</v>
      </c>
      <c r="BA18" s="434">
        <f>'PTRM input'!AG283</f>
        <v>1061208</v>
      </c>
      <c r="BB18" s="434">
        <f>'PTRM input'!AH283</f>
        <v>1082432.1599999999</v>
      </c>
      <c r="BC18" s="465">
        <f>'PTRM input'!AI283</f>
        <v>1104080.8032</v>
      </c>
      <c r="BD18" s="464">
        <f>'PTRM input'!AE317</f>
        <v>1126162.4192639999</v>
      </c>
      <c r="BE18" s="434">
        <f>'PTRM input'!AF317</f>
        <v>1148685.6676492798</v>
      </c>
      <c r="BF18" s="434">
        <f>'PTRM input'!AG317</f>
        <v>1171659.3810022655</v>
      </c>
      <c r="BG18" s="434">
        <f>'PTRM input'!AH317</f>
        <v>1195092.5686223109</v>
      </c>
      <c r="BH18" s="465">
        <f>'PTRM input'!AI317</f>
        <v>1218994.419994757</v>
      </c>
      <c r="BI18" s="464">
        <f>'PTRM input'!AJ283</f>
        <v>500000</v>
      </c>
      <c r="BJ18" s="434">
        <f>'PTRM input'!AK283</f>
        <v>510000</v>
      </c>
      <c r="BK18" s="434">
        <f>'PTRM input'!AL283</f>
        <v>520200</v>
      </c>
      <c r="BL18" s="434">
        <f>'PTRM input'!AM283</f>
        <v>530604</v>
      </c>
      <c r="BM18" s="434">
        <f>'PTRM input'!AN283</f>
        <v>541216.07999999996</v>
      </c>
      <c r="BN18" s="465">
        <f>'PTRM input'!AO283</f>
        <v>552040.40159999998</v>
      </c>
      <c r="BO18" s="464">
        <f>'PTRM input'!AK317</f>
        <v>563081.20963199995</v>
      </c>
      <c r="BP18" s="434">
        <f>'PTRM input'!AL317</f>
        <v>574342.83382463991</v>
      </c>
      <c r="BQ18" s="434">
        <f>'PTRM input'!AM317</f>
        <v>585829.69050113275</v>
      </c>
      <c r="BR18" s="434">
        <f>'PTRM input'!AN317</f>
        <v>597546.28431115544</v>
      </c>
      <c r="BS18" s="465">
        <f>'PTRM input'!AO317</f>
        <v>609497.20999737852</v>
      </c>
      <c r="BT18" s="464">
        <f>'PTRM input'!AP283</f>
        <v>10000</v>
      </c>
      <c r="BU18" s="434">
        <f>'PTRM input'!AQ283</f>
        <v>10200</v>
      </c>
      <c r="BV18" s="434">
        <f>'PTRM input'!AR283</f>
        <v>10404</v>
      </c>
      <c r="BW18" s="434">
        <f>'PTRM input'!AS283</f>
        <v>10612.08</v>
      </c>
      <c r="BX18" s="434">
        <f>'PTRM input'!AT283</f>
        <v>10824.321599999999</v>
      </c>
      <c r="BY18" s="465">
        <f>'PTRM input'!AU283</f>
        <v>11040.808031999999</v>
      </c>
      <c r="BZ18" s="464">
        <f>'PTRM input'!AQ317</f>
        <v>11261.62419264</v>
      </c>
      <c r="CA18" s="434">
        <f>'PTRM input'!AR317</f>
        <v>11486.8566764928</v>
      </c>
      <c r="CB18" s="434">
        <f>'PTRM input'!AS317</f>
        <v>11716.593810022656</v>
      </c>
      <c r="CC18" s="434">
        <f>'PTRM input'!AT317</f>
        <v>11950.925686223109</v>
      </c>
      <c r="CD18" s="465">
        <f>'PTRM input'!AU317</f>
        <v>12189.944199947571</v>
      </c>
      <c r="CE18" s="464">
        <f>'PTRM input'!AV283</f>
        <v>2000</v>
      </c>
      <c r="CF18" s="434">
        <f>'PTRM input'!AW283</f>
        <v>2040</v>
      </c>
      <c r="CG18" s="434">
        <f>'PTRM input'!AX283</f>
        <v>2080.8000000000002</v>
      </c>
      <c r="CH18" s="434">
        <f>'PTRM input'!AY283</f>
        <v>2122.4160000000002</v>
      </c>
      <c r="CI18" s="434">
        <f>'PTRM input'!AZ283</f>
        <v>2164.8643200000001</v>
      </c>
      <c r="CJ18" s="465">
        <f>'PTRM input'!BA283</f>
        <v>2208.1616064</v>
      </c>
      <c r="CK18" s="464">
        <f>'PTRM input'!AW317</f>
        <v>2252.3248385279999</v>
      </c>
      <c r="CL18" s="434">
        <f>'PTRM input'!AX317</f>
        <v>2297.3713352985601</v>
      </c>
      <c r="CM18" s="434">
        <f>'PTRM input'!AY317</f>
        <v>2343.3187620045314</v>
      </c>
      <c r="CN18" s="434">
        <f>'PTRM input'!AZ317</f>
        <v>2390.1851372446222</v>
      </c>
      <c r="CO18" s="465">
        <f>'PTRM input'!BA317</f>
        <v>2437.9888399895149</v>
      </c>
      <c r="CP18" s="464">
        <f>'PTRM input'!BB283</f>
        <v>5000</v>
      </c>
      <c r="CQ18" s="434">
        <f>'PTRM input'!BC283</f>
        <v>5100</v>
      </c>
      <c r="CR18" s="434">
        <f>'PTRM input'!BD283</f>
        <v>5202</v>
      </c>
      <c r="CS18" s="434">
        <f>'PTRM input'!BE283</f>
        <v>5306.04</v>
      </c>
      <c r="CT18" s="434">
        <f>'PTRM input'!BF283</f>
        <v>5412.1607999999997</v>
      </c>
      <c r="CU18" s="465">
        <f>'PTRM input'!BG283</f>
        <v>5520.4040159999995</v>
      </c>
      <c r="CV18" s="464">
        <f>'PTRM input'!BC317</f>
        <v>5630.8120963199999</v>
      </c>
      <c r="CW18" s="434">
        <f>'PTRM input'!BD317</f>
        <v>5743.4283382464</v>
      </c>
      <c r="CX18" s="434">
        <f>'PTRM input'!BE317</f>
        <v>5858.2969050113279</v>
      </c>
      <c r="CY18" s="434">
        <f>'PTRM input'!BF317</f>
        <v>5975.4628431115543</v>
      </c>
      <c r="CZ18" s="465">
        <f>'PTRM input'!BG317</f>
        <v>6094.9720999737856</v>
      </c>
      <c r="DA18" s="464">
        <f>'PTRM input'!BH283</f>
        <v>200</v>
      </c>
      <c r="DB18" s="434">
        <f>'PTRM input'!BI283</f>
        <v>204</v>
      </c>
      <c r="DC18" s="434">
        <f>'PTRM input'!BJ283</f>
        <v>208.08</v>
      </c>
      <c r="DD18" s="434">
        <f>'PTRM input'!BK283</f>
        <v>212.24160000000001</v>
      </c>
      <c r="DE18" s="434">
        <f>'PTRM input'!BL283</f>
        <v>216.48643200000001</v>
      </c>
      <c r="DF18" s="465">
        <f>'PTRM input'!BM283</f>
        <v>220.81616064000002</v>
      </c>
      <c r="DG18" s="464">
        <f>'PTRM input'!BI317</f>
        <v>225.23248385280002</v>
      </c>
      <c r="DH18" s="434">
        <f>'PTRM input'!BJ317</f>
        <v>229.73713352985601</v>
      </c>
      <c r="DI18" s="434">
        <f>'PTRM input'!BK317</f>
        <v>234.33187620045314</v>
      </c>
      <c r="DJ18" s="434">
        <f>'PTRM input'!BL317</f>
        <v>239.0185137244622</v>
      </c>
      <c r="DK18" s="465">
        <f>'PTRM input'!BM317</f>
        <v>243.79888399895145</v>
      </c>
      <c r="DL18" s="48"/>
      <c r="DM18" s="286"/>
      <c r="DN18" s="286"/>
      <c r="DO18" s="286"/>
    </row>
    <row r="19" spans="1:119" s="213" customFormat="1">
      <c r="A19" s="30"/>
      <c r="B19" s="30"/>
      <c r="C19" s="30"/>
      <c r="D19" s="30"/>
      <c r="E19" s="434" t="str">
        <f>'PTRM input'!E284</f>
        <v>Small Business C</v>
      </c>
      <c r="F19" s="1417">
        <f>'PTRM input'!F284</f>
        <v>20000</v>
      </c>
      <c r="G19" s="434">
        <f>'PTRM input'!G284</f>
        <v>20400</v>
      </c>
      <c r="H19" s="434">
        <f>'PTRM input'!H284</f>
        <v>20808</v>
      </c>
      <c r="I19" s="434">
        <f>'PTRM input'!I284</f>
        <v>21224.16</v>
      </c>
      <c r="J19" s="434">
        <f>'PTRM input'!J284</f>
        <v>21648.643199999999</v>
      </c>
      <c r="K19" s="465">
        <f>'PTRM input'!K284</f>
        <v>22081.616063999998</v>
      </c>
      <c r="L19" s="434">
        <f>'PTRM input'!G318</f>
        <v>22523.24838528</v>
      </c>
      <c r="M19" s="434">
        <f>'PTRM input'!H318</f>
        <v>22973.7133529856</v>
      </c>
      <c r="N19" s="434">
        <f>'PTRM input'!I318</f>
        <v>23433.187620045312</v>
      </c>
      <c r="O19" s="434">
        <f>'PTRM input'!J318</f>
        <v>23901.851372446217</v>
      </c>
      <c r="P19" s="465">
        <f>'PTRM input'!K318</f>
        <v>24379.888399895142</v>
      </c>
      <c r="Q19" s="464">
        <f>'PTRM input'!L284</f>
        <v>0</v>
      </c>
      <c r="R19" s="434">
        <f>'PTRM input'!M284</f>
        <v>0</v>
      </c>
      <c r="S19" s="434">
        <f>'PTRM input'!N284</f>
        <v>0</v>
      </c>
      <c r="T19" s="434">
        <f>'PTRM input'!O284</f>
        <v>0</v>
      </c>
      <c r="U19" s="434">
        <f>'PTRM input'!P284</f>
        <v>0</v>
      </c>
      <c r="V19" s="465">
        <f>'PTRM input'!Q284</f>
        <v>0</v>
      </c>
      <c r="W19" s="434">
        <f>'PTRM input'!M318</f>
        <v>0</v>
      </c>
      <c r="X19" s="434">
        <f>'PTRM input'!N318</f>
        <v>0</v>
      </c>
      <c r="Y19" s="434">
        <f>'PTRM input'!O318</f>
        <v>0</v>
      </c>
      <c r="Z19" s="434">
        <f>'PTRM input'!P318</f>
        <v>0</v>
      </c>
      <c r="AA19" s="465">
        <f>'PTRM input'!Q318</f>
        <v>0</v>
      </c>
      <c r="AB19" s="434">
        <f>'PTRM input'!R284</f>
        <v>5000000</v>
      </c>
      <c r="AC19" s="434">
        <f>'PTRM input'!S284</f>
        <v>5100000</v>
      </c>
      <c r="AD19" s="434">
        <f>'PTRM input'!T284</f>
        <v>5202000</v>
      </c>
      <c r="AE19" s="434">
        <f>'PTRM input'!U284</f>
        <v>5306040</v>
      </c>
      <c r="AF19" s="434">
        <f>'PTRM input'!V284</f>
        <v>5412160.7999999998</v>
      </c>
      <c r="AG19" s="434">
        <f>'PTRM input'!W284</f>
        <v>5520404.0159999998</v>
      </c>
      <c r="AH19" s="464">
        <f>'PTRM input'!S318</f>
        <v>5630812.0963199995</v>
      </c>
      <c r="AI19" s="434">
        <f>'PTRM input'!T318</f>
        <v>5743428.3382463995</v>
      </c>
      <c r="AJ19" s="434">
        <f>'PTRM input'!U318</f>
        <v>5858296.9050113279</v>
      </c>
      <c r="AK19" s="434">
        <f>'PTRM input'!V318</f>
        <v>5975462.8431115542</v>
      </c>
      <c r="AL19" s="465">
        <f>'PTRM input'!W318</f>
        <v>6094972.0999737857</v>
      </c>
      <c r="AM19" s="464">
        <f>'PTRM input'!X284</f>
        <v>2500000</v>
      </c>
      <c r="AN19" s="434">
        <f>'PTRM input'!Y284</f>
        <v>2550000</v>
      </c>
      <c r="AO19" s="434">
        <f>'PTRM input'!Z284</f>
        <v>2601000</v>
      </c>
      <c r="AP19" s="434">
        <f>'PTRM input'!AA284</f>
        <v>2653020</v>
      </c>
      <c r="AQ19" s="434">
        <f>'PTRM input'!AB284</f>
        <v>2706080.4</v>
      </c>
      <c r="AR19" s="465">
        <f>'PTRM input'!AC284</f>
        <v>2760202.0079999999</v>
      </c>
      <c r="AS19" s="464">
        <f>'PTRM input'!Y318</f>
        <v>2815406.0481599998</v>
      </c>
      <c r="AT19" s="434">
        <f>'PTRM input'!Z318</f>
        <v>2871714.1691231998</v>
      </c>
      <c r="AU19" s="434">
        <f>'PTRM input'!AA318</f>
        <v>2929148.452505664</v>
      </c>
      <c r="AV19" s="434">
        <f>'PTRM input'!AB318</f>
        <v>2987731.4215557771</v>
      </c>
      <c r="AW19" s="465">
        <f>'PTRM input'!AC318</f>
        <v>3047486.0499868928</v>
      </c>
      <c r="AX19" s="464">
        <f>'PTRM input'!AD284</f>
        <v>1000000</v>
      </c>
      <c r="AY19" s="434">
        <f>'PTRM input'!AE284</f>
        <v>1020000</v>
      </c>
      <c r="AZ19" s="434">
        <f>'PTRM input'!AF284</f>
        <v>1040400</v>
      </c>
      <c r="BA19" s="434">
        <f>'PTRM input'!AG284</f>
        <v>1061208</v>
      </c>
      <c r="BB19" s="434">
        <f>'PTRM input'!AH284</f>
        <v>1082432.1599999999</v>
      </c>
      <c r="BC19" s="465">
        <f>'PTRM input'!AI284</f>
        <v>1104080.8032</v>
      </c>
      <c r="BD19" s="464">
        <f>'PTRM input'!AE318</f>
        <v>1126162.4192639999</v>
      </c>
      <c r="BE19" s="434">
        <f>'PTRM input'!AF318</f>
        <v>1148685.6676492798</v>
      </c>
      <c r="BF19" s="434">
        <f>'PTRM input'!AG318</f>
        <v>1171659.3810022655</v>
      </c>
      <c r="BG19" s="434">
        <f>'PTRM input'!AH318</f>
        <v>1195092.5686223109</v>
      </c>
      <c r="BH19" s="465">
        <f>'PTRM input'!AI318</f>
        <v>1218994.419994757</v>
      </c>
      <c r="BI19" s="464">
        <f>'PTRM input'!AJ284</f>
        <v>500000</v>
      </c>
      <c r="BJ19" s="434">
        <f>'PTRM input'!AK284</f>
        <v>510000</v>
      </c>
      <c r="BK19" s="434">
        <f>'PTRM input'!AL284</f>
        <v>520200</v>
      </c>
      <c r="BL19" s="434">
        <f>'PTRM input'!AM284</f>
        <v>530604</v>
      </c>
      <c r="BM19" s="434">
        <f>'PTRM input'!AN284</f>
        <v>541216.07999999996</v>
      </c>
      <c r="BN19" s="465">
        <f>'PTRM input'!AO284</f>
        <v>552040.40159999998</v>
      </c>
      <c r="BO19" s="464">
        <f>'PTRM input'!AK318</f>
        <v>563081.20963199995</v>
      </c>
      <c r="BP19" s="434">
        <f>'PTRM input'!AL318</f>
        <v>574342.83382463991</v>
      </c>
      <c r="BQ19" s="434">
        <f>'PTRM input'!AM318</f>
        <v>585829.69050113275</v>
      </c>
      <c r="BR19" s="434">
        <f>'PTRM input'!AN318</f>
        <v>597546.28431115544</v>
      </c>
      <c r="BS19" s="465">
        <f>'PTRM input'!AO318</f>
        <v>609497.20999737852</v>
      </c>
      <c r="BT19" s="464">
        <f>'PTRM input'!AP284</f>
        <v>10000</v>
      </c>
      <c r="BU19" s="434">
        <f>'PTRM input'!AQ284</f>
        <v>10200</v>
      </c>
      <c r="BV19" s="434">
        <f>'PTRM input'!AR284</f>
        <v>10404</v>
      </c>
      <c r="BW19" s="434">
        <f>'PTRM input'!AS284</f>
        <v>10612.08</v>
      </c>
      <c r="BX19" s="434">
        <f>'PTRM input'!AT284</f>
        <v>10824.321599999999</v>
      </c>
      <c r="BY19" s="465">
        <f>'PTRM input'!AU284</f>
        <v>11040.808031999999</v>
      </c>
      <c r="BZ19" s="464">
        <f>'PTRM input'!AQ318</f>
        <v>11261.62419264</v>
      </c>
      <c r="CA19" s="434">
        <f>'PTRM input'!AR318</f>
        <v>11486.8566764928</v>
      </c>
      <c r="CB19" s="434">
        <f>'PTRM input'!AS318</f>
        <v>11716.593810022656</v>
      </c>
      <c r="CC19" s="434">
        <f>'PTRM input'!AT318</f>
        <v>11950.925686223109</v>
      </c>
      <c r="CD19" s="465">
        <f>'PTRM input'!AU318</f>
        <v>12189.944199947571</v>
      </c>
      <c r="CE19" s="464">
        <f>'PTRM input'!AV284</f>
        <v>2000</v>
      </c>
      <c r="CF19" s="434">
        <f>'PTRM input'!AW284</f>
        <v>2040</v>
      </c>
      <c r="CG19" s="434">
        <f>'PTRM input'!AX284</f>
        <v>2080.8000000000002</v>
      </c>
      <c r="CH19" s="434">
        <f>'PTRM input'!AY284</f>
        <v>2122.4160000000002</v>
      </c>
      <c r="CI19" s="434">
        <f>'PTRM input'!AZ284</f>
        <v>2164.8643200000001</v>
      </c>
      <c r="CJ19" s="465">
        <f>'PTRM input'!BA284</f>
        <v>2208.1616064</v>
      </c>
      <c r="CK19" s="464">
        <f>'PTRM input'!AW318</f>
        <v>2252.3248385279999</v>
      </c>
      <c r="CL19" s="434">
        <f>'PTRM input'!AX318</f>
        <v>2297.3713352985601</v>
      </c>
      <c r="CM19" s="434">
        <f>'PTRM input'!AY318</f>
        <v>2343.3187620045314</v>
      </c>
      <c r="CN19" s="434">
        <f>'PTRM input'!AZ318</f>
        <v>2390.1851372446222</v>
      </c>
      <c r="CO19" s="465">
        <f>'PTRM input'!BA318</f>
        <v>2437.9888399895149</v>
      </c>
      <c r="CP19" s="464">
        <f>'PTRM input'!BB284</f>
        <v>5000</v>
      </c>
      <c r="CQ19" s="434">
        <f>'PTRM input'!BC284</f>
        <v>5100</v>
      </c>
      <c r="CR19" s="434">
        <f>'PTRM input'!BD284</f>
        <v>5202</v>
      </c>
      <c r="CS19" s="434">
        <f>'PTRM input'!BE284</f>
        <v>5306.04</v>
      </c>
      <c r="CT19" s="434">
        <f>'PTRM input'!BF284</f>
        <v>5412.1607999999997</v>
      </c>
      <c r="CU19" s="465">
        <f>'PTRM input'!BG284</f>
        <v>5520.4040159999995</v>
      </c>
      <c r="CV19" s="464">
        <f>'PTRM input'!BC318</f>
        <v>5630.8120963199999</v>
      </c>
      <c r="CW19" s="434">
        <f>'PTRM input'!BD318</f>
        <v>5743.4283382464</v>
      </c>
      <c r="CX19" s="434">
        <f>'PTRM input'!BE318</f>
        <v>5858.2969050113279</v>
      </c>
      <c r="CY19" s="434">
        <f>'PTRM input'!BF318</f>
        <v>5975.4628431115543</v>
      </c>
      <c r="CZ19" s="465">
        <f>'PTRM input'!BG318</f>
        <v>6094.9720999737856</v>
      </c>
      <c r="DA19" s="464">
        <f>'PTRM input'!BH284</f>
        <v>200</v>
      </c>
      <c r="DB19" s="434">
        <f>'PTRM input'!BI284</f>
        <v>204</v>
      </c>
      <c r="DC19" s="434">
        <f>'PTRM input'!BJ284</f>
        <v>208.08</v>
      </c>
      <c r="DD19" s="434">
        <f>'PTRM input'!BK284</f>
        <v>212.24160000000001</v>
      </c>
      <c r="DE19" s="434">
        <f>'PTRM input'!BL284</f>
        <v>216.48643200000001</v>
      </c>
      <c r="DF19" s="465">
        <f>'PTRM input'!BM284</f>
        <v>220.81616064000002</v>
      </c>
      <c r="DG19" s="464">
        <f>'PTRM input'!BI318</f>
        <v>225.23248385280002</v>
      </c>
      <c r="DH19" s="434">
        <f>'PTRM input'!BJ318</f>
        <v>229.73713352985601</v>
      </c>
      <c r="DI19" s="434">
        <f>'PTRM input'!BK318</f>
        <v>234.33187620045314</v>
      </c>
      <c r="DJ19" s="434">
        <f>'PTRM input'!BL318</f>
        <v>239.0185137244622</v>
      </c>
      <c r="DK19" s="465">
        <f>'PTRM input'!BM318</f>
        <v>243.79888399895145</v>
      </c>
      <c r="DL19" s="48"/>
      <c r="DM19" s="286"/>
      <c r="DN19" s="286"/>
      <c r="DO19" s="286"/>
    </row>
    <row r="20" spans="1:119" s="213" customFormat="1">
      <c r="A20" s="30"/>
      <c r="B20" s="30"/>
      <c r="C20" s="30"/>
      <c r="D20" s="30"/>
      <c r="E20" s="434" t="str">
        <f>'PTRM input'!E285</f>
        <v>Large Business A</v>
      </c>
      <c r="F20" s="1417">
        <f>'PTRM input'!F285</f>
        <v>10000</v>
      </c>
      <c r="G20" s="434">
        <f>'PTRM input'!G285</f>
        <v>10200</v>
      </c>
      <c r="H20" s="434">
        <f>'PTRM input'!H285</f>
        <v>10404</v>
      </c>
      <c r="I20" s="434">
        <f>'PTRM input'!I285</f>
        <v>10612.08</v>
      </c>
      <c r="J20" s="434">
        <f>'PTRM input'!J285</f>
        <v>10824.321599999999</v>
      </c>
      <c r="K20" s="465">
        <f>'PTRM input'!K285</f>
        <v>11040.808031999999</v>
      </c>
      <c r="L20" s="434">
        <f>'PTRM input'!G319</f>
        <v>11261.62419264</v>
      </c>
      <c r="M20" s="434">
        <f>'PTRM input'!H319</f>
        <v>11486.8566764928</v>
      </c>
      <c r="N20" s="434">
        <f>'PTRM input'!I319</f>
        <v>11716.593810022656</v>
      </c>
      <c r="O20" s="434">
        <f>'PTRM input'!J319</f>
        <v>11950.925686223109</v>
      </c>
      <c r="P20" s="465">
        <f>'PTRM input'!K319</f>
        <v>12189.944199947571</v>
      </c>
      <c r="Q20" s="464">
        <f>'PTRM input'!L285</f>
        <v>0</v>
      </c>
      <c r="R20" s="434">
        <f>'PTRM input'!M285</f>
        <v>0</v>
      </c>
      <c r="S20" s="434">
        <f>'PTRM input'!N285</f>
        <v>0</v>
      </c>
      <c r="T20" s="434">
        <f>'PTRM input'!O285</f>
        <v>0</v>
      </c>
      <c r="U20" s="434">
        <f>'PTRM input'!P285</f>
        <v>0</v>
      </c>
      <c r="V20" s="465">
        <f>'PTRM input'!Q285</f>
        <v>0</v>
      </c>
      <c r="W20" s="434">
        <f>'PTRM input'!M319</f>
        <v>0</v>
      </c>
      <c r="X20" s="434">
        <f>'PTRM input'!N319</f>
        <v>0</v>
      </c>
      <c r="Y20" s="434">
        <f>'PTRM input'!O319</f>
        <v>0</v>
      </c>
      <c r="Z20" s="434">
        <f>'PTRM input'!P319</f>
        <v>0</v>
      </c>
      <c r="AA20" s="465">
        <f>'PTRM input'!Q319</f>
        <v>0</v>
      </c>
      <c r="AB20" s="434">
        <f>'PTRM input'!R285</f>
        <v>5000000</v>
      </c>
      <c r="AC20" s="434">
        <f>'PTRM input'!S285</f>
        <v>5100000</v>
      </c>
      <c r="AD20" s="434">
        <f>'PTRM input'!T285</f>
        <v>5202000</v>
      </c>
      <c r="AE20" s="434">
        <f>'PTRM input'!U285</f>
        <v>5306040</v>
      </c>
      <c r="AF20" s="434">
        <f>'PTRM input'!V285</f>
        <v>5412160.7999999998</v>
      </c>
      <c r="AG20" s="434">
        <f>'PTRM input'!W285</f>
        <v>5520404.0159999998</v>
      </c>
      <c r="AH20" s="464">
        <f>'PTRM input'!S319</f>
        <v>5630812.0963199995</v>
      </c>
      <c r="AI20" s="434">
        <f>'PTRM input'!T319</f>
        <v>5743428.3382463995</v>
      </c>
      <c r="AJ20" s="434">
        <f>'PTRM input'!U319</f>
        <v>5858296.9050113279</v>
      </c>
      <c r="AK20" s="434">
        <f>'PTRM input'!V319</f>
        <v>5975462.8431115542</v>
      </c>
      <c r="AL20" s="465">
        <f>'PTRM input'!W319</f>
        <v>6094972.0999737857</v>
      </c>
      <c r="AM20" s="464">
        <f>'PTRM input'!X285</f>
        <v>2500000</v>
      </c>
      <c r="AN20" s="434">
        <f>'PTRM input'!Y285</f>
        <v>2550000</v>
      </c>
      <c r="AO20" s="434">
        <f>'PTRM input'!Z285</f>
        <v>2601000</v>
      </c>
      <c r="AP20" s="434">
        <f>'PTRM input'!AA285</f>
        <v>2653020</v>
      </c>
      <c r="AQ20" s="434">
        <f>'PTRM input'!AB285</f>
        <v>2706080.4</v>
      </c>
      <c r="AR20" s="465">
        <f>'PTRM input'!AC285</f>
        <v>2760202.0079999999</v>
      </c>
      <c r="AS20" s="464">
        <f>'PTRM input'!Y319</f>
        <v>2815406.0481599998</v>
      </c>
      <c r="AT20" s="434">
        <f>'PTRM input'!Z319</f>
        <v>2871714.1691231998</v>
      </c>
      <c r="AU20" s="434">
        <f>'PTRM input'!AA319</f>
        <v>2929148.452505664</v>
      </c>
      <c r="AV20" s="434">
        <f>'PTRM input'!AB319</f>
        <v>2987731.4215557771</v>
      </c>
      <c r="AW20" s="465">
        <f>'PTRM input'!AC319</f>
        <v>3047486.0499868928</v>
      </c>
      <c r="AX20" s="464">
        <f>'PTRM input'!AD285</f>
        <v>1000000</v>
      </c>
      <c r="AY20" s="434">
        <f>'PTRM input'!AE285</f>
        <v>1020000</v>
      </c>
      <c r="AZ20" s="434">
        <f>'PTRM input'!AF285</f>
        <v>1040400</v>
      </c>
      <c r="BA20" s="434">
        <f>'PTRM input'!AG285</f>
        <v>1061208</v>
      </c>
      <c r="BB20" s="434">
        <f>'PTRM input'!AH285</f>
        <v>1082432.1599999999</v>
      </c>
      <c r="BC20" s="465">
        <f>'PTRM input'!AI285</f>
        <v>1104080.8032</v>
      </c>
      <c r="BD20" s="464">
        <f>'PTRM input'!AE319</f>
        <v>1126162.4192639999</v>
      </c>
      <c r="BE20" s="434">
        <f>'PTRM input'!AF319</f>
        <v>1148685.6676492798</v>
      </c>
      <c r="BF20" s="434">
        <f>'PTRM input'!AG319</f>
        <v>1171659.3810022655</v>
      </c>
      <c r="BG20" s="434">
        <f>'PTRM input'!AH319</f>
        <v>1195092.5686223109</v>
      </c>
      <c r="BH20" s="465">
        <f>'PTRM input'!AI319</f>
        <v>1218994.419994757</v>
      </c>
      <c r="BI20" s="464">
        <f>'PTRM input'!AJ285</f>
        <v>500000</v>
      </c>
      <c r="BJ20" s="434">
        <f>'PTRM input'!AK285</f>
        <v>510000</v>
      </c>
      <c r="BK20" s="434">
        <f>'PTRM input'!AL285</f>
        <v>520200</v>
      </c>
      <c r="BL20" s="434">
        <f>'PTRM input'!AM285</f>
        <v>530604</v>
      </c>
      <c r="BM20" s="434">
        <f>'PTRM input'!AN285</f>
        <v>541216.07999999996</v>
      </c>
      <c r="BN20" s="465">
        <f>'PTRM input'!AO285</f>
        <v>552040.40159999998</v>
      </c>
      <c r="BO20" s="464">
        <f>'PTRM input'!AK319</f>
        <v>563081.20963199995</v>
      </c>
      <c r="BP20" s="434">
        <f>'PTRM input'!AL319</f>
        <v>574342.83382463991</v>
      </c>
      <c r="BQ20" s="434">
        <f>'PTRM input'!AM319</f>
        <v>585829.69050113275</v>
      </c>
      <c r="BR20" s="434">
        <f>'PTRM input'!AN319</f>
        <v>597546.28431115544</v>
      </c>
      <c r="BS20" s="465">
        <f>'PTRM input'!AO319</f>
        <v>609497.20999737852</v>
      </c>
      <c r="BT20" s="464">
        <f>'PTRM input'!AP285</f>
        <v>10000</v>
      </c>
      <c r="BU20" s="434">
        <f>'PTRM input'!AQ285</f>
        <v>10200</v>
      </c>
      <c r="BV20" s="434">
        <f>'PTRM input'!AR285</f>
        <v>10404</v>
      </c>
      <c r="BW20" s="434">
        <f>'PTRM input'!AS285</f>
        <v>10612.08</v>
      </c>
      <c r="BX20" s="434">
        <f>'PTRM input'!AT285</f>
        <v>10824.321599999999</v>
      </c>
      <c r="BY20" s="465">
        <f>'PTRM input'!AU285</f>
        <v>11040.808031999999</v>
      </c>
      <c r="BZ20" s="464">
        <f>'PTRM input'!AQ319</f>
        <v>11261.62419264</v>
      </c>
      <c r="CA20" s="434">
        <f>'PTRM input'!AR319</f>
        <v>11486.8566764928</v>
      </c>
      <c r="CB20" s="434">
        <f>'PTRM input'!AS319</f>
        <v>11716.593810022656</v>
      </c>
      <c r="CC20" s="434">
        <f>'PTRM input'!AT319</f>
        <v>11950.925686223109</v>
      </c>
      <c r="CD20" s="465">
        <f>'PTRM input'!AU319</f>
        <v>12189.944199947571</v>
      </c>
      <c r="CE20" s="464">
        <f>'PTRM input'!AV285</f>
        <v>2000</v>
      </c>
      <c r="CF20" s="434">
        <f>'PTRM input'!AW285</f>
        <v>2040</v>
      </c>
      <c r="CG20" s="434">
        <f>'PTRM input'!AX285</f>
        <v>2080.8000000000002</v>
      </c>
      <c r="CH20" s="434">
        <f>'PTRM input'!AY285</f>
        <v>2122.4160000000002</v>
      </c>
      <c r="CI20" s="434">
        <f>'PTRM input'!AZ285</f>
        <v>2164.8643200000001</v>
      </c>
      <c r="CJ20" s="465">
        <f>'PTRM input'!BA285</f>
        <v>2208.1616064</v>
      </c>
      <c r="CK20" s="464">
        <f>'PTRM input'!AW319</f>
        <v>2252.3248385279999</v>
      </c>
      <c r="CL20" s="434">
        <f>'PTRM input'!AX319</f>
        <v>2297.3713352985601</v>
      </c>
      <c r="CM20" s="434">
        <f>'PTRM input'!AY319</f>
        <v>2343.3187620045314</v>
      </c>
      <c r="CN20" s="434">
        <f>'PTRM input'!AZ319</f>
        <v>2390.1851372446222</v>
      </c>
      <c r="CO20" s="465">
        <f>'PTRM input'!BA319</f>
        <v>2437.9888399895149</v>
      </c>
      <c r="CP20" s="464">
        <f>'PTRM input'!BB285</f>
        <v>5000</v>
      </c>
      <c r="CQ20" s="434">
        <f>'PTRM input'!BC285</f>
        <v>5100</v>
      </c>
      <c r="CR20" s="434">
        <f>'PTRM input'!BD285</f>
        <v>5202</v>
      </c>
      <c r="CS20" s="434">
        <f>'PTRM input'!BE285</f>
        <v>5306.04</v>
      </c>
      <c r="CT20" s="434">
        <f>'PTRM input'!BF285</f>
        <v>5412.1607999999997</v>
      </c>
      <c r="CU20" s="465">
        <f>'PTRM input'!BG285</f>
        <v>5520.4040159999995</v>
      </c>
      <c r="CV20" s="464">
        <f>'PTRM input'!BC319</f>
        <v>5630.8120963199999</v>
      </c>
      <c r="CW20" s="434">
        <f>'PTRM input'!BD319</f>
        <v>5743.4283382464</v>
      </c>
      <c r="CX20" s="434">
        <f>'PTRM input'!BE319</f>
        <v>5858.2969050113279</v>
      </c>
      <c r="CY20" s="434">
        <f>'PTRM input'!BF319</f>
        <v>5975.4628431115543</v>
      </c>
      <c r="CZ20" s="465">
        <f>'PTRM input'!BG319</f>
        <v>6094.9720999737856</v>
      </c>
      <c r="DA20" s="464">
        <f>'PTRM input'!BH285</f>
        <v>200</v>
      </c>
      <c r="DB20" s="434">
        <f>'PTRM input'!BI285</f>
        <v>204</v>
      </c>
      <c r="DC20" s="434">
        <f>'PTRM input'!BJ285</f>
        <v>208.08</v>
      </c>
      <c r="DD20" s="434">
        <f>'PTRM input'!BK285</f>
        <v>212.24160000000001</v>
      </c>
      <c r="DE20" s="434">
        <f>'PTRM input'!BL285</f>
        <v>216.48643200000001</v>
      </c>
      <c r="DF20" s="465">
        <f>'PTRM input'!BM285</f>
        <v>220.81616064000002</v>
      </c>
      <c r="DG20" s="464">
        <f>'PTRM input'!BI319</f>
        <v>225.23248385280002</v>
      </c>
      <c r="DH20" s="434">
        <f>'PTRM input'!BJ319</f>
        <v>229.73713352985601</v>
      </c>
      <c r="DI20" s="434">
        <f>'PTRM input'!BK319</f>
        <v>234.33187620045314</v>
      </c>
      <c r="DJ20" s="434">
        <f>'PTRM input'!BL319</f>
        <v>239.0185137244622</v>
      </c>
      <c r="DK20" s="465">
        <f>'PTRM input'!BM319</f>
        <v>243.79888399895145</v>
      </c>
      <c r="DL20" s="48"/>
      <c r="DM20" s="286"/>
      <c r="DN20" s="286"/>
      <c r="DO20" s="286"/>
    </row>
    <row r="21" spans="1:119" s="213" customFormat="1">
      <c r="A21" s="30"/>
      <c r="B21" s="30"/>
      <c r="C21" s="30"/>
      <c r="D21" s="30"/>
      <c r="E21" s="434" t="str">
        <f>'PTRM input'!E286</f>
        <v>Large Business B</v>
      </c>
      <c r="F21" s="1417">
        <f>'PTRM input'!F286</f>
        <v>10000</v>
      </c>
      <c r="G21" s="434">
        <f>'PTRM input'!G286</f>
        <v>10200</v>
      </c>
      <c r="H21" s="434">
        <f>'PTRM input'!H286</f>
        <v>10404</v>
      </c>
      <c r="I21" s="434">
        <f>'PTRM input'!I286</f>
        <v>10612.08</v>
      </c>
      <c r="J21" s="434">
        <f>'PTRM input'!J286</f>
        <v>10824.321599999999</v>
      </c>
      <c r="K21" s="465">
        <f>'PTRM input'!K286</f>
        <v>11040.808031999999</v>
      </c>
      <c r="L21" s="434">
        <f>'PTRM input'!G320</f>
        <v>11261.62419264</v>
      </c>
      <c r="M21" s="434">
        <f>'PTRM input'!H320</f>
        <v>11486.8566764928</v>
      </c>
      <c r="N21" s="434">
        <f>'PTRM input'!I320</f>
        <v>11716.593810022656</v>
      </c>
      <c r="O21" s="434">
        <f>'PTRM input'!J320</f>
        <v>11950.925686223109</v>
      </c>
      <c r="P21" s="465">
        <f>'PTRM input'!K320</f>
        <v>12189.944199947571</v>
      </c>
      <c r="Q21" s="464">
        <f>'PTRM input'!L286</f>
        <v>0</v>
      </c>
      <c r="R21" s="434">
        <f>'PTRM input'!M286</f>
        <v>0</v>
      </c>
      <c r="S21" s="434">
        <f>'PTRM input'!N286</f>
        <v>0</v>
      </c>
      <c r="T21" s="434">
        <f>'PTRM input'!O286</f>
        <v>0</v>
      </c>
      <c r="U21" s="434">
        <f>'PTRM input'!P286</f>
        <v>0</v>
      </c>
      <c r="V21" s="465">
        <f>'PTRM input'!Q286</f>
        <v>0</v>
      </c>
      <c r="W21" s="434">
        <f>'PTRM input'!M320</f>
        <v>0</v>
      </c>
      <c r="X21" s="434">
        <f>'PTRM input'!N320</f>
        <v>0</v>
      </c>
      <c r="Y21" s="434">
        <f>'PTRM input'!O320</f>
        <v>0</v>
      </c>
      <c r="Z21" s="434">
        <f>'PTRM input'!P320</f>
        <v>0</v>
      </c>
      <c r="AA21" s="465">
        <f>'PTRM input'!Q320</f>
        <v>0</v>
      </c>
      <c r="AB21" s="434">
        <f>'PTRM input'!R286</f>
        <v>5000000</v>
      </c>
      <c r="AC21" s="434">
        <f>'PTRM input'!S286</f>
        <v>5100000</v>
      </c>
      <c r="AD21" s="434">
        <f>'PTRM input'!T286</f>
        <v>5202000</v>
      </c>
      <c r="AE21" s="434">
        <f>'PTRM input'!U286</f>
        <v>5306040</v>
      </c>
      <c r="AF21" s="434">
        <f>'PTRM input'!V286</f>
        <v>5412160.7999999998</v>
      </c>
      <c r="AG21" s="434">
        <f>'PTRM input'!W286</f>
        <v>5520404.0159999998</v>
      </c>
      <c r="AH21" s="464">
        <f>'PTRM input'!S320</f>
        <v>5630812.0963199995</v>
      </c>
      <c r="AI21" s="434">
        <f>'PTRM input'!T320</f>
        <v>5743428.3382463995</v>
      </c>
      <c r="AJ21" s="434">
        <f>'PTRM input'!U320</f>
        <v>5858296.9050113279</v>
      </c>
      <c r="AK21" s="434">
        <f>'PTRM input'!V320</f>
        <v>5975462.8431115542</v>
      </c>
      <c r="AL21" s="465">
        <f>'PTRM input'!W320</f>
        <v>6094972.0999737857</v>
      </c>
      <c r="AM21" s="464">
        <f>'PTRM input'!X286</f>
        <v>2500000</v>
      </c>
      <c r="AN21" s="434">
        <f>'PTRM input'!Y286</f>
        <v>2550000</v>
      </c>
      <c r="AO21" s="434">
        <f>'PTRM input'!Z286</f>
        <v>2601000</v>
      </c>
      <c r="AP21" s="434">
        <f>'PTRM input'!AA286</f>
        <v>2653020</v>
      </c>
      <c r="AQ21" s="434">
        <f>'PTRM input'!AB286</f>
        <v>2706080.4</v>
      </c>
      <c r="AR21" s="465">
        <f>'PTRM input'!AC286</f>
        <v>2760202.0079999999</v>
      </c>
      <c r="AS21" s="464">
        <f>'PTRM input'!Y320</f>
        <v>2815406.0481599998</v>
      </c>
      <c r="AT21" s="434">
        <f>'PTRM input'!Z320</f>
        <v>2871714.1691231998</v>
      </c>
      <c r="AU21" s="434">
        <f>'PTRM input'!AA320</f>
        <v>2929148.452505664</v>
      </c>
      <c r="AV21" s="434">
        <f>'PTRM input'!AB320</f>
        <v>2987731.4215557771</v>
      </c>
      <c r="AW21" s="465">
        <f>'PTRM input'!AC320</f>
        <v>3047486.0499868928</v>
      </c>
      <c r="AX21" s="464">
        <f>'PTRM input'!AD286</f>
        <v>1000000</v>
      </c>
      <c r="AY21" s="434">
        <f>'PTRM input'!AE286</f>
        <v>1020000</v>
      </c>
      <c r="AZ21" s="434">
        <f>'PTRM input'!AF286</f>
        <v>1040400</v>
      </c>
      <c r="BA21" s="434">
        <f>'PTRM input'!AG286</f>
        <v>1061208</v>
      </c>
      <c r="BB21" s="434">
        <f>'PTRM input'!AH286</f>
        <v>1082432.1599999999</v>
      </c>
      <c r="BC21" s="465">
        <f>'PTRM input'!AI286</f>
        <v>1104080.8032</v>
      </c>
      <c r="BD21" s="464">
        <f>'PTRM input'!AE320</f>
        <v>1126162.4192639999</v>
      </c>
      <c r="BE21" s="434">
        <f>'PTRM input'!AF320</f>
        <v>1148685.6676492798</v>
      </c>
      <c r="BF21" s="434">
        <f>'PTRM input'!AG320</f>
        <v>1171659.3810022655</v>
      </c>
      <c r="BG21" s="434">
        <f>'PTRM input'!AH320</f>
        <v>1195092.5686223109</v>
      </c>
      <c r="BH21" s="465">
        <f>'PTRM input'!AI320</f>
        <v>1218994.419994757</v>
      </c>
      <c r="BI21" s="464">
        <f>'PTRM input'!AJ286</f>
        <v>500000</v>
      </c>
      <c r="BJ21" s="434">
        <f>'PTRM input'!AK286</f>
        <v>510000</v>
      </c>
      <c r="BK21" s="434">
        <f>'PTRM input'!AL286</f>
        <v>520200</v>
      </c>
      <c r="BL21" s="434">
        <f>'PTRM input'!AM286</f>
        <v>530604</v>
      </c>
      <c r="BM21" s="434">
        <f>'PTRM input'!AN286</f>
        <v>541216.07999999996</v>
      </c>
      <c r="BN21" s="465">
        <f>'PTRM input'!AO286</f>
        <v>552040.40159999998</v>
      </c>
      <c r="BO21" s="464">
        <f>'PTRM input'!AK320</f>
        <v>563081.20963199995</v>
      </c>
      <c r="BP21" s="434">
        <f>'PTRM input'!AL320</f>
        <v>574342.83382463991</v>
      </c>
      <c r="BQ21" s="434">
        <f>'PTRM input'!AM320</f>
        <v>585829.69050113275</v>
      </c>
      <c r="BR21" s="434">
        <f>'PTRM input'!AN320</f>
        <v>597546.28431115544</v>
      </c>
      <c r="BS21" s="465">
        <f>'PTRM input'!AO320</f>
        <v>609497.20999737852</v>
      </c>
      <c r="BT21" s="464">
        <f>'PTRM input'!AP286</f>
        <v>10000</v>
      </c>
      <c r="BU21" s="434">
        <f>'PTRM input'!AQ286</f>
        <v>10200</v>
      </c>
      <c r="BV21" s="434">
        <f>'PTRM input'!AR286</f>
        <v>10404</v>
      </c>
      <c r="BW21" s="434">
        <f>'PTRM input'!AS286</f>
        <v>10612.08</v>
      </c>
      <c r="BX21" s="434">
        <f>'PTRM input'!AT286</f>
        <v>10824.321599999999</v>
      </c>
      <c r="BY21" s="465">
        <f>'PTRM input'!AU286</f>
        <v>11040.808031999999</v>
      </c>
      <c r="BZ21" s="464">
        <f>'PTRM input'!AQ320</f>
        <v>11261.62419264</v>
      </c>
      <c r="CA21" s="434">
        <f>'PTRM input'!AR320</f>
        <v>11486.8566764928</v>
      </c>
      <c r="CB21" s="434">
        <f>'PTRM input'!AS320</f>
        <v>11716.593810022656</v>
      </c>
      <c r="CC21" s="434">
        <f>'PTRM input'!AT320</f>
        <v>11950.925686223109</v>
      </c>
      <c r="CD21" s="465">
        <f>'PTRM input'!AU320</f>
        <v>12189.944199947571</v>
      </c>
      <c r="CE21" s="464">
        <f>'PTRM input'!AV286</f>
        <v>2000</v>
      </c>
      <c r="CF21" s="434">
        <f>'PTRM input'!AW286</f>
        <v>2040</v>
      </c>
      <c r="CG21" s="434">
        <f>'PTRM input'!AX286</f>
        <v>2080.8000000000002</v>
      </c>
      <c r="CH21" s="434">
        <f>'PTRM input'!AY286</f>
        <v>2122.4160000000002</v>
      </c>
      <c r="CI21" s="434">
        <f>'PTRM input'!AZ286</f>
        <v>2164.8643200000001</v>
      </c>
      <c r="CJ21" s="465">
        <f>'PTRM input'!BA286</f>
        <v>2208.1616064</v>
      </c>
      <c r="CK21" s="464">
        <f>'PTRM input'!AW320</f>
        <v>2252.3248385279999</v>
      </c>
      <c r="CL21" s="434">
        <f>'PTRM input'!AX320</f>
        <v>2297.3713352985601</v>
      </c>
      <c r="CM21" s="434">
        <f>'PTRM input'!AY320</f>
        <v>2343.3187620045314</v>
      </c>
      <c r="CN21" s="434">
        <f>'PTRM input'!AZ320</f>
        <v>2390.1851372446222</v>
      </c>
      <c r="CO21" s="465">
        <f>'PTRM input'!BA320</f>
        <v>2437.9888399895149</v>
      </c>
      <c r="CP21" s="464">
        <f>'PTRM input'!BB286</f>
        <v>5000</v>
      </c>
      <c r="CQ21" s="434">
        <f>'PTRM input'!BC286</f>
        <v>5100</v>
      </c>
      <c r="CR21" s="434">
        <f>'PTRM input'!BD286</f>
        <v>5202</v>
      </c>
      <c r="CS21" s="434">
        <f>'PTRM input'!BE286</f>
        <v>5306.04</v>
      </c>
      <c r="CT21" s="434">
        <f>'PTRM input'!BF286</f>
        <v>5412.1607999999997</v>
      </c>
      <c r="CU21" s="465">
        <f>'PTRM input'!BG286</f>
        <v>5520.4040159999995</v>
      </c>
      <c r="CV21" s="464">
        <f>'PTRM input'!BC320</f>
        <v>5630.8120963199999</v>
      </c>
      <c r="CW21" s="434">
        <f>'PTRM input'!BD320</f>
        <v>5743.4283382464</v>
      </c>
      <c r="CX21" s="434">
        <f>'PTRM input'!BE320</f>
        <v>5858.2969050113279</v>
      </c>
      <c r="CY21" s="434">
        <f>'PTRM input'!BF320</f>
        <v>5975.4628431115543</v>
      </c>
      <c r="CZ21" s="465">
        <f>'PTRM input'!BG320</f>
        <v>6094.9720999737856</v>
      </c>
      <c r="DA21" s="464">
        <f>'PTRM input'!BH286</f>
        <v>200</v>
      </c>
      <c r="DB21" s="434">
        <f>'PTRM input'!BI286</f>
        <v>204</v>
      </c>
      <c r="DC21" s="434">
        <f>'PTRM input'!BJ286</f>
        <v>208.08</v>
      </c>
      <c r="DD21" s="434">
        <f>'PTRM input'!BK286</f>
        <v>212.24160000000001</v>
      </c>
      <c r="DE21" s="434">
        <f>'PTRM input'!BL286</f>
        <v>216.48643200000001</v>
      </c>
      <c r="DF21" s="465">
        <f>'PTRM input'!BM286</f>
        <v>220.81616064000002</v>
      </c>
      <c r="DG21" s="464">
        <f>'PTRM input'!BI320</f>
        <v>225.23248385280002</v>
      </c>
      <c r="DH21" s="434">
        <f>'PTRM input'!BJ320</f>
        <v>229.73713352985601</v>
      </c>
      <c r="DI21" s="434">
        <f>'PTRM input'!BK320</f>
        <v>234.33187620045314</v>
      </c>
      <c r="DJ21" s="434">
        <f>'PTRM input'!BL320</f>
        <v>239.0185137244622</v>
      </c>
      <c r="DK21" s="465">
        <f>'PTRM input'!BM320</f>
        <v>243.79888399895145</v>
      </c>
      <c r="DL21" s="48"/>
      <c r="DM21" s="286"/>
      <c r="DN21" s="286"/>
      <c r="DO21" s="286"/>
    </row>
    <row r="22" spans="1:119" s="214" customFormat="1">
      <c r="A22" s="30"/>
      <c r="B22" s="30"/>
      <c r="C22" s="30"/>
      <c r="D22" s="30"/>
      <c r="E22" s="434" t="str">
        <f>'PTRM input'!E287</f>
        <v>Large Business C</v>
      </c>
      <c r="F22" s="1417">
        <f>'PTRM input'!F287</f>
        <v>10000</v>
      </c>
      <c r="G22" s="434">
        <f>'PTRM input'!G287</f>
        <v>10200</v>
      </c>
      <c r="H22" s="434">
        <f>'PTRM input'!H287</f>
        <v>10404</v>
      </c>
      <c r="I22" s="434">
        <f>'PTRM input'!I287</f>
        <v>10612.08</v>
      </c>
      <c r="J22" s="434">
        <f>'PTRM input'!J287</f>
        <v>10824.321599999999</v>
      </c>
      <c r="K22" s="465">
        <f>'PTRM input'!K287</f>
        <v>11040.808031999999</v>
      </c>
      <c r="L22" s="434">
        <f>'PTRM input'!G321</f>
        <v>11261.62419264</v>
      </c>
      <c r="M22" s="434">
        <f>'PTRM input'!H321</f>
        <v>11486.8566764928</v>
      </c>
      <c r="N22" s="434">
        <f>'PTRM input'!I321</f>
        <v>11716.593810022656</v>
      </c>
      <c r="O22" s="434">
        <f>'PTRM input'!J321</f>
        <v>11950.925686223109</v>
      </c>
      <c r="P22" s="465">
        <f>'PTRM input'!K321</f>
        <v>12189.944199947571</v>
      </c>
      <c r="Q22" s="464">
        <f>'PTRM input'!L287</f>
        <v>0</v>
      </c>
      <c r="R22" s="434">
        <f>'PTRM input'!M287</f>
        <v>0</v>
      </c>
      <c r="S22" s="434">
        <f>'PTRM input'!N287</f>
        <v>0</v>
      </c>
      <c r="T22" s="434">
        <f>'PTRM input'!O287</f>
        <v>0</v>
      </c>
      <c r="U22" s="434">
        <f>'PTRM input'!P287</f>
        <v>0</v>
      </c>
      <c r="V22" s="465">
        <f>'PTRM input'!Q287</f>
        <v>0</v>
      </c>
      <c r="W22" s="434">
        <f>'PTRM input'!M321</f>
        <v>0</v>
      </c>
      <c r="X22" s="434">
        <f>'PTRM input'!N321</f>
        <v>0</v>
      </c>
      <c r="Y22" s="434">
        <f>'PTRM input'!O321</f>
        <v>0</v>
      </c>
      <c r="Z22" s="434">
        <f>'PTRM input'!P321</f>
        <v>0</v>
      </c>
      <c r="AA22" s="465">
        <f>'PTRM input'!Q321</f>
        <v>0</v>
      </c>
      <c r="AB22" s="434">
        <f>'PTRM input'!R287</f>
        <v>5000000</v>
      </c>
      <c r="AC22" s="434">
        <f>'PTRM input'!S287</f>
        <v>5100000</v>
      </c>
      <c r="AD22" s="434">
        <f>'PTRM input'!T287</f>
        <v>5202000</v>
      </c>
      <c r="AE22" s="434">
        <f>'PTRM input'!U287</f>
        <v>5306040</v>
      </c>
      <c r="AF22" s="434">
        <f>'PTRM input'!V287</f>
        <v>5412160.7999999998</v>
      </c>
      <c r="AG22" s="434">
        <f>'PTRM input'!W287</f>
        <v>5520404.0159999998</v>
      </c>
      <c r="AH22" s="464">
        <f>'PTRM input'!S321</f>
        <v>5630812.0963199995</v>
      </c>
      <c r="AI22" s="434">
        <f>'PTRM input'!T321</f>
        <v>5743428.3382463995</v>
      </c>
      <c r="AJ22" s="434">
        <f>'PTRM input'!U321</f>
        <v>5858296.9050113279</v>
      </c>
      <c r="AK22" s="434">
        <f>'PTRM input'!V321</f>
        <v>5975462.8431115542</v>
      </c>
      <c r="AL22" s="465">
        <f>'PTRM input'!W321</f>
        <v>6094972.0999737857</v>
      </c>
      <c r="AM22" s="464">
        <f>'PTRM input'!X287</f>
        <v>2500000</v>
      </c>
      <c r="AN22" s="434">
        <f>'PTRM input'!Y287</f>
        <v>2550000</v>
      </c>
      <c r="AO22" s="434">
        <f>'PTRM input'!Z287</f>
        <v>2601000</v>
      </c>
      <c r="AP22" s="434">
        <f>'PTRM input'!AA287</f>
        <v>2653020</v>
      </c>
      <c r="AQ22" s="434">
        <f>'PTRM input'!AB287</f>
        <v>2706080.4</v>
      </c>
      <c r="AR22" s="465">
        <f>'PTRM input'!AC287</f>
        <v>2760202.0079999999</v>
      </c>
      <c r="AS22" s="464">
        <f>'PTRM input'!Y321</f>
        <v>2815406.0481599998</v>
      </c>
      <c r="AT22" s="434">
        <f>'PTRM input'!Z321</f>
        <v>2871714.1691231998</v>
      </c>
      <c r="AU22" s="434">
        <f>'PTRM input'!AA321</f>
        <v>2929148.452505664</v>
      </c>
      <c r="AV22" s="434">
        <f>'PTRM input'!AB321</f>
        <v>2987731.4215557771</v>
      </c>
      <c r="AW22" s="465">
        <f>'PTRM input'!AC321</f>
        <v>3047486.0499868928</v>
      </c>
      <c r="AX22" s="464">
        <f>'PTRM input'!AD287</f>
        <v>1000000</v>
      </c>
      <c r="AY22" s="434">
        <f>'PTRM input'!AE287</f>
        <v>1020000</v>
      </c>
      <c r="AZ22" s="434">
        <f>'PTRM input'!AF287</f>
        <v>1040400</v>
      </c>
      <c r="BA22" s="434">
        <f>'PTRM input'!AG287</f>
        <v>1061208</v>
      </c>
      <c r="BB22" s="434">
        <f>'PTRM input'!AH287</f>
        <v>1082432.1599999999</v>
      </c>
      <c r="BC22" s="465">
        <f>'PTRM input'!AI287</f>
        <v>1104080.8032</v>
      </c>
      <c r="BD22" s="464">
        <f>'PTRM input'!AE321</f>
        <v>1126162.4192639999</v>
      </c>
      <c r="BE22" s="434">
        <f>'PTRM input'!AF321</f>
        <v>1148685.6676492798</v>
      </c>
      <c r="BF22" s="434">
        <f>'PTRM input'!AG321</f>
        <v>1171659.3810022655</v>
      </c>
      <c r="BG22" s="434">
        <f>'PTRM input'!AH321</f>
        <v>1195092.5686223109</v>
      </c>
      <c r="BH22" s="465">
        <f>'PTRM input'!AI321</f>
        <v>1218994.419994757</v>
      </c>
      <c r="BI22" s="464">
        <f>'PTRM input'!AJ287</f>
        <v>500000</v>
      </c>
      <c r="BJ22" s="434">
        <f>'PTRM input'!AK287</f>
        <v>510000</v>
      </c>
      <c r="BK22" s="434">
        <f>'PTRM input'!AL287</f>
        <v>520200</v>
      </c>
      <c r="BL22" s="434">
        <f>'PTRM input'!AM287</f>
        <v>530604</v>
      </c>
      <c r="BM22" s="434">
        <f>'PTRM input'!AN287</f>
        <v>541216.07999999996</v>
      </c>
      <c r="BN22" s="465">
        <f>'PTRM input'!AO287</f>
        <v>552040.40159999998</v>
      </c>
      <c r="BO22" s="464">
        <f>'PTRM input'!AK321</f>
        <v>563081.20963199995</v>
      </c>
      <c r="BP22" s="434">
        <f>'PTRM input'!AL321</f>
        <v>574342.83382463991</v>
      </c>
      <c r="BQ22" s="434">
        <f>'PTRM input'!AM321</f>
        <v>585829.69050113275</v>
      </c>
      <c r="BR22" s="434">
        <f>'PTRM input'!AN321</f>
        <v>597546.28431115544</v>
      </c>
      <c r="BS22" s="465">
        <f>'PTRM input'!AO321</f>
        <v>609497.20999737852</v>
      </c>
      <c r="BT22" s="464">
        <f>'PTRM input'!AP287</f>
        <v>10000</v>
      </c>
      <c r="BU22" s="434">
        <f>'PTRM input'!AQ287</f>
        <v>10200</v>
      </c>
      <c r="BV22" s="434">
        <f>'PTRM input'!AR287</f>
        <v>10404</v>
      </c>
      <c r="BW22" s="434">
        <f>'PTRM input'!AS287</f>
        <v>10612.08</v>
      </c>
      <c r="BX22" s="434">
        <f>'PTRM input'!AT287</f>
        <v>10824.321599999999</v>
      </c>
      <c r="BY22" s="465">
        <f>'PTRM input'!AU287</f>
        <v>11040.808031999999</v>
      </c>
      <c r="BZ22" s="464">
        <f>'PTRM input'!AQ321</f>
        <v>11261.62419264</v>
      </c>
      <c r="CA22" s="434">
        <f>'PTRM input'!AR321</f>
        <v>11486.8566764928</v>
      </c>
      <c r="CB22" s="434">
        <f>'PTRM input'!AS321</f>
        <v>11716.593810022656</v>
      </c>
      <c r="CC22" s="434">
        <f>'PTRM input'!AT321</f>
        <v>11950.925686223109</v>
      </c>
      <c r="CD22" s="465">
        <f>'PTRM input'!AU321</f>
        <v>12189.944199947571</v>
      </c>
      <c r="CE22" s="464">
        <f>'PTRM input'!AV287</f>
        <v>2000</v>
      </c>
      <c r="CF22" s="434">
        <f>'PTRM input'!AW287</f>
        <v>2040</v>
      </c>
      <c r="CG22" s="434">
        <f>'PTRM input'!AX287</f>
        <v>2080.8000000000002</v>
      </c>
      <c r="CH22" s="434">
        <f>'PTRM input'!AY287</f>
        <v>2122.4160000000002</v>
      </c>
      <c r="CI22" s="434">
        <f>'PTRM input'!AZ287</f>
        <v>2164.8643200000001</v>
      </c>
      <c r="CJ22" s="465">
        <f>'PTRM input'!BA287</f>
        <v>2208.1616064</v>
      </c>
      <c r="CK22" s="464">
        <f>'PTRM input'!AW321</f>
        <v>2252.3248385279999</v>
      </c>
      <c r="CL22" s="434">
        <f>'PTRM input'!AX321</f>
        <v>2297.3713352985601</v>
      </c>
      <c r="CM22" s="434">
        <f>'PTRM input'!AY321</f>
        <v>2343.3187620045314</v>
      </c>
      <c r="CN22" s="434">
        <f>'PTRM input'!AZ321</f>
        <v>2390.1851372446222</v>
      </c>
      <c r="CO22" s="465">
        <f>'PTRM input'!BA321</f>
        <v>2437.9888399895149</v>
      </c>
      <c r="CP22" s="464">
        <f>'PTRM input'!BB287</f>
        <v>5000</v>
      </c>
      <c r="CQ22" s="434">
        <f>'PTRM input'!BC287</f>
        <v>5100</v>
      </c>
      <c r="CR22" s="434">
        <f>'PTRM input'!BD287</f>
        <v>5202</v>
      </c>
      <c r="CS22" s="434">
        <f>'PTRM input'!BE287</f>
        <v>5306.04</v>
      </c>
      <c r="CT22" s="434">
        <f>'PTRM input'!BF287</f>
        <v>5412.1607999999997</v>
      </c>
      <c r="CU22" s="465">
        <f>'PTRM input'!BG287</f>
        <v>5520.4040159999995</v>
      </c>
      <c r="CV22" s="464">
        <f>'PTRM input'!BC321</f>
        <v>5630.8120963199999</v>
      </c>
      <c r="CW22" s="434">
        <f>'PTRM input'!BD321</f>
        <v>5743.4283382464</v>
      </c>
      <c r="CX22" s="434">
        <f>'PTRM input'!BE321</f>
        <v>5858.2969050113279</v>
      </c>
      <c r="CY22" s="434">
        <f>'PTRM input'!BF321</f>
        <v>5975.4628431115543</v>
      </c>
      <c r="CZ22" s="465">
        <f>'PTRM input'!BG321</f>
        <v>6094.9720999737856</v>
      </c>
      <c r="DA22" s="464">
        <f>'PTRM input'!BH287</f>
        <v>200</v>
      </c>
      <c r="DB22" s="434">
        <f>'PTRM input'!BI287</f>
        <v>204</v>
      </c>
      <c r="DC22" s="434">
        <f>'PTRM input'!BJ287</f>
        <v>208.08</v>
      </c>
      <c r="DD22" s="434">
        <f>'PTRM input'!BK287</f>
        <v>212.24160000000001</v>
      </c>
      <c r="DE22" s="434">
        <f>'PTRM input'!BL287</f>
        <v>216.48643200000001</v>
      </c>
      <c r="DF22" s="465">
        <f>'PTRM input'!BM287</f>
        <v>220.81616064000002</v>
      </c>
      <c r="DG22" s="464">
        <f>'PTRM input'!BI321</f>
        <v>225.23248385280002</v>
      </c>
      <c r="DH22" s="434">
        <f>'PTRM input'!BJ321</f>
        <v>229.73713352985601</v>
      </c>
      <c r="DI22" s="434">
        <f>'PTRM input'!BK321</f>
        <v>234.33187620045314</v>
      </c>
      <c r="DJ22" s="434">
        <f>'PTRM input'!BL321</f>
        <v>239.0185137244622</v>
      </c>
      <c r="DK22" s="465">
        <f>'PTRM input'!BM321</f>
        <v>243.79888399895145</v>
      </c>
      <c r="DL22" s="48"/>
      <c r="DM22" s="286"/>
      <c r="DN22" s="286"/>
      <c r="DO22" s="286"/>
    </row>
    <row r="23" spans="1:119" s="214" customFormat="1">
      <c r="A23" s="30"/>
      <c r="B23" s="30"/>
      <c r="C23" s="30"/>
      <c r="D23" s="30"/>
      <c r="E23" s="434">
        <f>'PTRM input'!E288</f>
        <v>0</v>
      </c>
      <c r="F23" s="1417">
        <f>'PTRM input'!F288</f>
        <v>0</v>
      </c>
      <c r="G23" s="434">
        <f>'PTRM input'!G288</f>
        <v>0</v>
      </c>
      <c r="H23" s="434">
        <f>'PTRM input'!H288</f>
        <v>0</v>
      </c>
      <c r="I23" s="434">
        <f>'PTRM input'!I288</f>
        <v>0</v>
      </c>
      <c r="J23" s="434">
        <f>'PTRM input'!J288</f>
        <v>0</v>
      </c>
      <c r="K23" s="465">
        <f>'PTRM input'!K288</f>
        <v>0</v>
      </c>
      <c r="L23" s="434">
        <f>'PTRM input'!G322</f>
        <v>0</v>
      </c>
      <c r="M23" s="434">
        <f>'PTRM input'!H322</f>
        <v>0</v>
      </c>
      <c r="N23" s="434">
        <f>'PTRM input'!I322</f>
        <v>0</v>
      </c>
      <c r="O23" s="434">
        <f>'PTRM input'!J322</f>
        <v>0</v>
      </c>
      <c r="P23" s="465">
        <f>'PTRM input'!K322</f>
        <v>0</v>
      </c>
      <c r="Q23" s="464">
        <f>'PTRM input'!L288</f>
        <v>0</v>
      </c>
      <c r="R23" s="434">
        <f>'PTRM input'!M288</f>
        <v>0</v>
      </c>
      <c r="S23" s="434">
        <f>'PTRM input'!N288</f>
        <v>0</v>
      </c>
      <c r="T23" s="434">
        <f>'PTRM input'!O288</f>
        <v>0</v>
      </c>
      <c r="U23" s="434">
        <f>'PTRM input'!P288</f>
        <v>0</v>
      </c>
      <c r="V23" s="465">
        <f>'PTRM input'!Q288</f>
        <v>0</v>
      </c>
      <c r="W23" s="434">
        <f>'PTRM input'!M322</f>
        <v>0</v>
      </c>
      <c r="X23" s="434">
        <f>'PTRM input'!N322</f>
        <v>0</v>
      </c>
      <c r="Y23" s="434">
        <f>'PTRM input'!O322</f>
        <v>0</v>
      </c>
      <c r="Z23" s="434">
        <f>'PTRM input'!P322</f>
        <v>0</v>
      </c>
      <c r="AA23" s="465">
        <f>'PTRM input'!Q322</f>
        <v>0</v>
      </c>
      <c r="AB23" s="434">
        <f>'PTRM input'!R288</f>
        <v>0</v>
      </c>
      <c r="AC23" s="434">
        <f>'PTRM input'!S288</f>
        <v>0</v>
      </c>
      <c r="AD23" s="434">
        <f>'PTRM input'!T288</f>
        <v>0</v>
      </c>
      <c r="AE23" s="434">
        <f>'PTRM input'!U288</f>
        <v>0</v>
      </c>
      <c r="AF23" s="434">
        <f>'PTRM input'!V288</f>
        <v>0</v>
      </c>
      <c r="AG23" s="434">
        <f>'PTRM input'!W288</f>
        <v>0</v>
      </c>
      <c r="AH23" s="464">
        <f>'PTRM input'!S322</f>
        <v>0</v>
      </c>
      <c r="AI23" s="434">
        <f>'PTRM input'!T322</f>
        <v>0</v>
      </c>
      <c r="AJ23" s="434">
        <f>'PTRM input'!U322</f>
        <v>0</v>
      </c>
      <c r="AK23" s="434">
        <f>'PTRM input'!V322</f>
        <v>0</v>
      </c>
      <c r="AL23" s="465">
        <f>'PTRM input'!W322</f>
        <v>0</v>
      </c>
      <c r="AM23" s="464">
        <f>'PTRM input'!X288</f>
        <v>0</v>
      </c>
      <c r="AN23" s="434">
        <f>'PTRM input'!Y288</f>
        <v>0</v>
      </c>
      <c r="AO23" s="434">
        <f>'PTRM input'!Z288</f>
        <v>0</v>
      </c>
      <c r="AP23" s="434">
        <f>'PTRM input'!AA288</f>
        <v>0</v>
      </c>
      <c r="AQ23" s="434">
        <f>'PTRM input'!AB288</f>
        <v>0</v>
      </c>
      <c r="AR23" s="465">
        <f>'PTRM input'!AC288</f>
        <v>0</v>
      </c>
      <c r="AS23" s="464">
        <f>'PTRM input'!Y322</f>
        <v>0</v>
      </c>
      <c r="AT23" s="434">
        <f>'PTRM input'!Z322</f>
        <v>0</v>
      </c>
      <c r="AU23" s="434">
        <f>'PTRM input'!AA322</f>
        <v>0</v>
      </c>
      <c r="AV23" s="434">
        <f>'PTRM input'!AB322</f>
        <v>0</v>
      </c>
      <c r="AW23" s="465">
        <f>'PTRM input'!AC322</f>
        <v>0</v>
      </c>
      <c r="AX23" s="464">
        <f>'PTRM input'!AD288</f>
        <v>0</v>
      </c>
      <c r="AY23" s="434">
        <f>'PTRM input'!AE288</f>
        <v>0</v>
      </c>
      <c r="AZ23" s="434">
        <f>'PTRM input'!AF288</f>
        <v>0</v>
      </c>
      <c r="BA23" s="434">
        <f>'PTRM input'!AG288</f>
        <v>0</v>
      </c>
      <c r="BB23" s="434">
        <f>'PTRM input'!AH288</f>
        <v>0</v>
      </c>
      <c r="BC23" s="465">
        <f>'PTRM input'!AI288</f>
        <v>0</v>
      </c>
      <c r="BD23" s="464">
        <f>'PTRM input'!AE322</f>
        <v>0</v>
      </c>
      <c r="BE23" s="434">
        <f>'PTRM input'!AF322</f>
        <v>0</v>
      </c>
      <c r="BF23" s="434">
        <f>'PTRM input'!AG322</f>
        <v>0</v>
      </c>
      <c r="BG23" s="434">
        <f>'PTRM input'!AH322</f>
        <v>0</v>
      </c>
      <c r="BH23" s="465">
        <f>'PTRM input'!AI322</f>
        <v>0</v>
      </c>
      <c r="BI23" s="464">
        <f>'PTRM input'!AJ288</f>
        <v>0</v>
      </c>
      <c r="BJ23" s="434">
        <f>'PTRM input'!AK288</f>
        <v>0</v>
      </c>
      <c r="BK23" s="434">
        <f>'PTRM input'!AL288</f>
        <v>0</v>
      </c>
      <c r="BL23" s="434">
        <f>'PTRM input'!AM288</f>
        <v>0</v>
      </c>
      <c r="BM23" s="434">
        <f>'PTRM input'!AN288</f>
        <v>0</v>
      </c>
      <c r="BN23" s="465">
        <f>'PTRM input'!AO288</f>
        <v>0</v>
      </c>
      <c r="BO23" s="464">
        <f>'PTRM input'!AK322</f>
        <v>0</v>
      </c>
      <c r="BP23" s="434">
        <f>'PTRM input'!AL322</f>
        <v>0</v>
      </c>
      <c r="BQ23" s="434">
        <f>'PTRM input'!AM322</f>
        <v>0</v>
      </c>
      <c r="BR23" s="434">
        <f>'PTRM input'!AN322</f>
        <v>0</v>
      </c>
      <c r="BS23" s="465">
        <f>'PTRM input'!AO322</f>
        <v>0</v>
      </c>
      <c r="BT23" s="464">
        <f>'PTRM input'!AP288</f>
        <v>0</v>
      </c>
      <c r="BU23" s="434">
        <f>'PTRM input'!AQ288</f>
        <v>0</v>
      </c>
      <c r="BV23" s="434">
        <f>'PTRM input'!AR288</f>
        <v>0</v>
      </c>
      <c r="BW23" s="434">
        <f>'PTRM input'!AS288</f>
        <v>0</v>
      </c>
      <c r="BX23" s="434">
        <f>'PTRM input'!AT288</f>
        <v>0</v>
      </c>
      <c r="BY23" s="465">
        <f>'PTRM input'!AU288</f>
        <v>0</v>
      </c>
      <c r="BZ23" s="464">
        <f>'PTRM input'!AQ322</f>
        <v>0</v>
      </c>
      <c r="CA23" s="434">
        <f>'PTRM input'!AR322</f>
        <v>0</v>
      </c>
      <c r="CB23" s="434">
        <f>'PTRM input'!AS322</f>
        <v>0</v>
      </c>
      <c r="CC23" s="434">
        <f>'PTRM input'!AT322</f>
        <v>0</v>
      </c>
      <c r="CD23" s="465">
        <f>'PTRM input'!AU322</f>
        <v>0</v>
      </c>
      <c r="CE23" s="464">
        <f>'PTRM input'!AV288</f>
        <v>0</v>
      </c>
      <c r="CF23" s="434">
        <f>'PTRM input'!AW288</f>
        <v>0</v>
      </c>
      <c r="CG23" s="434">
        <f>'PTRM input'!AX288</f>
        <v>0</v>
      </c>
      <c r="CH23" s="434">
        <f>'PTRM input'!AY288</f>
        <v>0</v>
      </c>
      <c r="CI23" s="434">
        <f>'PTRM input'!AZ288</f>
        <v>0</v>
      </c>
      <c r="CJ23" s="465">
        <f>'PTRM input'!BA288</f>
        <v>0</v>
      </c>
      <c r="CK23" s="464">
        <f>'PTRM input'!AW322</f>
        <v>0</v>
      </c>
      <c r="CL23" s="434">
        <f>'PTRM input'!AX322</f>
        <v>0</v>
      </c>
      <c r="CM23" s="434">
        <f>'PTRM input'!AY322</f>
        <v>0</v>
      </c>
      <c r="CN23" s="434">
        <f>'PTRM input'!AZ322</f>
        <v>0</v>
      </c>
      <c r="CO23" s="465">
        <f>'PTRM input'!BA322</f>
        <v>0</v>
      </c>
      <c r="CP23" s="464">
        <f>'PTRM input'!BB288</f>
        <v>0</v>
      </c>
      <c r="CQ23" s="434">
        <f>'PTRM input'!BC288</f>
        <v>0</v>
      </c>
      <c r="CR23" s="434">
        <f>'PTRM input'!BD288</f>
        <v>0</v>
      </c>
      <c r="CS23" s="434">
        <f>'PTRM input'!BE288</f>
        <v>0</v>
      </c>
      <c r="CT23" s="434">
        <f>'PTRM input'!BF288</f>
        <v>0</v>
      </c>
      <c r="CU23" s="465">
        <f>'PTRM input'!BG288</f>
        <v>0</v>
      </c>
      <c r="CV23" s="464">
        <f>'PTRM input'!BC322</f>
        <v>0</v>
      </c>
      <c r="CW23" s="434">
        <f>'PTRM input'!BD322</f>
        <v>0</v>
      </c>
      <c r="CX23" s="434">
        <f>'PTRM input'!BE322</f>
        <v>0</v>
      </c>
      <c r="CY23" s="434">
        <f>'PTRM input'!BF322</f>
        <v>0</v>
      </c>
      <c r="CZ23" s="465">
        <f>'PTRM input'!BG322</f>
        <v>0</v>
      </c>
      <c r="DA23" s="464">
        <f>'PTRM input'!BH288</f>
        <v>0</v>
      </c>
      <c r="DB23" s="434">
        <f>'PTRM input'!BI288</f>
        <v>0</v>
      </c>
      <c r="DC23" s="434">
        <f>'PTRM input'!BJ288</f>
        <v>0</v>
      </c>
      <c r="DD23" s="434">
        <f>'PTRM input'!BK288</f>
        <v>0</v>
      </c>
      <c r="DE23" s="434">
        <f>'PTRM input'!BL288</f>
        <v>0</v>
      </c>
      <c r="DF23" s="465">
        <f>'PTRM input'!BM288</f>
        <v>0</v>
      </c>
      <c r="DG23" s="464">
        <f>'PTRM input'!BI322</f>
        <v>0</v>
      </c>
      <c r="DH23" s="434">
        <f>'PTRM input'!BJ322</f>
        <v>0</v>
      </c>
      <c r="DI23" s="434">
        <f>'PTRM input'!BK322</f>
        <v>0</v>
      </c>
      <c r="DJ23" s="434">
        <f>'PTRM input'!BL322</f>
        <v>0</v>
      </c>
      <c r="DK23" s="465">
        <f>'PTRM input'!BM322</f>
        <v>0</v>
      </c>
      <c r="DL23" s="48"/>
      <c r="DM23" s="286"/>
      <c r="DN23" s="286"/>
      <c r="DO23" s="286"/>
    </row>
    <row r="24" spans="1:119" s="214" customFormat="1">
      <c r="A24" s="30"/>
      <c r="B24" s="30"/>
      <c r="C24" s="30"/>
      <c r="D24" s="30"/>
      <c r="E24" s="434">
        <f>'PTRM input'!E289</f>
        <v>0</v>
      </c>
      <c r="F24" s="1417">
        <f>'PTRM input'!F289</f>
        <v>0</v>
      </c>
      <c r="G24" s="434">
        <f>'PTRM input'!G289</f>
        <v>0</v>
      </c>
      <c r="H24" s="434">
        <f>'PTRM input'!H289</f>
        <v>0</v>
      </c>
      <c r="I24" s="434">
        <f>'PTRM input'!I289</f>
        <v>0</v>
      </c>
      <c r="J24" s="434">
        <f>'PTRM input'!J289</f>
        <v>0</v>
      </c>
      <c r="K24" s="465">
        <f>'PTRM input'!K289</f>
        <v>0</v>
      </c>
      <c r="L24" s="434">
        <f>'PTRM input'!G323</f>
        <v>0</v>
      </c>
      <c r="M24" s="434">
        <f>'PTRM input'!H323</f>
        <v>0</v>
      </c>
      <c r="N24" s="434">
        <f>'PTRM input'!I323</f>
        <v>0</v>
      </c>
      <c r="O24" s="434">
        <f>'PTRM input'!J323</f>
        <v>0</v>
      </c>
      <c r="P24" s="465">
        <f>'PTRM input'!K323</f>
        <v>0</v>
      </c>
      <c r="Q24" s="464">
        <f>'PTRM input'!L289</f>
        <v>0</v>
      </c>
      <c r="R24" s="434">
        <f>'PTRM input'!M289</f>
        <v>0</v>
      </c>
      <c r="S24" s="434">
        <f>'PTRM input'!N289</f>
        <v>0</v>
      </c>
      <c r="T24" s="434">
        <f>'PTRM input'!O289</f>
        <v>0</v>
      </c>
      <c r="U24" s="434">
        <f>'PTRM input'!P289</f>
        <v>0</v>
      </c>
      <c r="V24" s="465">
        <f>'PTRM input'!Q289</f>
        <v>0</v>
      </c>
      <c r="W24" s="434">
        <f>'PTRM input'!M323</f>
        <v>0</v>
      </c>
      <c r="X24" s="434">
        <f>'PTRM input'!N323</f>
        <v>0</v>
      </c>
      <c r="Y24" s="434">
        <f>'PTRM input'!O323</f>
        <v>0</v>
      </c>
      <c r="Z24" s="434">
        <f>'PTRM input'!P323</f>
        <v>0</v>
      </c>
      <c r="AA24" s="465">
        <f>'PTRM input'!Q323</f>
        <v>0</v>
      </c>
      <c r="AB24" s="434">
        <f>'PTRM input'!R289</f>
        <v>0</v>
      </c>
      <c r="AC24" s="434">
        <f>'PTRM input'!S289</f>
        <v>0</v>
      </c>
      <c r="AD24" s="434">
        <f>'PTRM input'!T289</f>
        <v>0</v>
      </c>
      <c r="AE24" s="434">
        <f>'PTRM input'!U289</f>
        <v>0</v>
      </c>
      <c r="AF24" s="434">
        <f>'PTRM input'!V289</f>
        <v>0</v>
      </c>
      <c r="AG24" s="434">
        <f>'PTRM input'!W289</f>
        <v>0</v>
      </c>
      <c r="AH24" s="464">
        <f>'PTRM input'!S323</f>
        <v>0</v>
      </c>
      <c r="AI24" s="434">
        <f>'PTRM input'!T323</f>
        <v>0</v>
      </c>
      <c r="AJ24" s="434">
        <f>'PTRM input'!U323</f>
        <v>0</v>
      </c>
      <c r="AK24" s="434">
        <f>'PTRM input'!V323</f>
        <v>0</v>
      </c>
      <c r="AL24" s="465">
        <f>'PTRM input'!W323</f>
        <v>0</v>
      </c>
      <c r="AM24" s="464">
        <f>'PTRM input'!X289</f>
        <v>0</v>
      </c>
      <c r="AN24" s="434">
        <f>'PTRM input'!Y289</f>
        <v>0</v>
      </c>
      <c r="AO24" s="434">
        <f>'PTRM input'!Z289</f>
        <v>0</v>
      </c>
      <c r="AP24" s="434">
        <f>'PTRM input'!AA289</f>
        <v>0</v>
      </c>
      <c r="AQ24" s="434">
        <f>'PTRM input'!AB289</f>
        <v>0</v>
      </c>
      <c r="AR24" s="465">
        <f>'PTRM input'!AC289</f>
        <v>0</v>
      </c>
      <c r="AS24" s="464">
        <f>'PTRM input'!Y323</f>
        <v>0</v>
      </c>
      <c r="AT24" s="434">
        <f>'PTRM input'!Z323</f>
        <v>0</v>
      </c>
      <c r="AU24" s="434">
        <f>'PTRM input'!AA323</f>
        <v>0</v>
      </c>
      <c r="AV24" s="434">
        <f>'PTRM input'!AB323</f>
        <v>0</v>
      </c>
      <c r="AW24" s="465">
        <f>'PTRM input'!AC323</f>
        <v>0</v>
      </c>
      <c r="AX24" s="464">
        <f>'PTRM input'!AD289</f>
        <v>0</v>
      </c>
      <c r="AY24" s="434">
        <f>'PTRM input'!AE289</f>
        <v>0</v>
      </c>
      <c r="AZ24" s="434">
        <f>'PTRM input'!AF289</f>
        <v>0</v>
      </c>
      <c r="BA24" s="434">
        <f>'PTRM input'!AG289</f>
        <v>0</v>
      </c>
      <c r="BB24" s="434">
        <f>'PTRM input'!AH289</f>
        <v>0</v>
      </c>
      <c r="BC24" s="465">
        <f>'PTRM input'!AI289</f>
        <v>0</v>
      </c>
      <c r="BD24" s="464">
        <f>'PTRM input'!AE323</f>
        <v>0</v>
      </c>
      <c r="BE24" s="434">
        <f>'PTRM input'!AF323</f>
        <v>0</v>
      </c>
      <c r="BF24" s="434">
        <f>'PTRM input'!AG323</f>
        <v>0</v>
      </c>
      <c r="BG24" s="434">
        <f>'PTRM input'!AH323</f>
        <v>0</v>
      </c>
      <c r="BH24" s="465">
        <f>'PTRM input'!AI323</f>
        <v>0</v>
      </c>
      <c r="BI24" s="464">
        <f>'PTRM input'!AJ289</f>
        <v>0</v>
      </c>
      <c r="BJ24" s="434">
        <f>'PTRM input'!AK289</f>
        <v>0</v>
      </c>
      <c r="BK24" s="434">
        <f>'PTRM input'!AL289</f>
        <v>0</v>
      </c>
      <c r="BL24" s="434">
        <f>'PTRM input'!AM289</f>
        <v>0</v>
      </c>
      <c r="BM24" s="434">
        <f>'PTRM input'!AN289</f>
        <v>0</v>
      </c>
      <c r="BN24" s="465">
        <f>'PTRM input'!AO289</f>
        <v>0</v>
      </c>
      <c r="BO24" s="464">
        <f>'PTRM input'!AK323</f>
        <v>0</v>
      </c>
      <c r="BP24" s="434">
        <f>'PTRM input'!AL323</f>
        <v>0</v>
      </c>
      <c r="BQ24" s="434">
        <f>'PTRM input'!AM323</f>
        <v>0</v>
      </c>
      <c r="BR24" s="434">
        <f>'PTRM input'!AN323</f>
        <v>0</v>
      </c>
      <c r="BS24" s="465">
        <f>'PTRM input'!AO323</f>
        <v>0</v>
      </c>
      <c r="BT24" s="464">
        <f>'PTRM input'!AP289</f>
        <v>0</v>
      </c>
      <c r="BU24" s="434">
        <f>'PTRM input'!AQ289</f>
        <v>0</v>
      </c>
      <c r="BV24" s="434">
        <f>'PTRM input'!AR289</f>
        <v>0</v>
      </c>
      <c r="BW24" s="434">
        <f>'PTRM input'!AS289</f>
        <v>0</v>
      </c>
      <c r="BX24" s="434">
        <f>'PTRM input'!AT289</f>
        <v>0</v>
      </c>
      <c r="BY24" s="465">
        <f>'PTRM input'!AU289</f>
        <v>0</v>
      </c>
      <c r="BZ24" s="464">
        <f>'PTRM input'!AQ323</f>
        <v>0</v>
      </c>
      <c r="CA24" s="434">
        <f>'PTRM input'!AR323</f>
        <v>0</v>
      </c>
      <c r="CB24" s="434">
        <f>'PTRM input'!AS323</f>
        <v>0</v>
      </c>
      <c r="CC24" s="434">
        <f>'PTRM input'!AT323</f>
        <v>0</v>
      </c>
      <c r="CD24" s="465">
        <f>'PTRM input'!AU323</f>
        <v>0</v>
      </c>
      <c r="CE24" s="464">
        <f>'PTRM input'!AV289</f>
        <v>0</v>
      </c>
      <c r="CF24" s="434">
        <f>'PTRM input'!AW289</f>
        <v>0</v>
      </c>
      <c r="CG24" s="434">
        <f>'PTRM input'!AX289</f>
        <v>0</v>
      </c>
      <c r="CH24" s="434">
        <f>'PTRM input'!AY289</f>
        <v>0</v>
      </c>
      <c r="CI24" s="434">
        <f>'PTRM input'!AZ289</f>
        <v>0</v>
      </c>
      <c r="CJ24" s="465">
        <f>'PTRM input'!BA289</f>
        <v>0</v>
      </c>
      <c r="CK24" s="464">
        <f>'PTRM input'!AW323</f>
        <v>0</v>
      </c>
      <c r="CL24" s="434">
        <f>'PTRM input'!AX323</f>
        <v>0</v>
      </c>
      <c r="CM24" s="434">
        <f>'PTRM input'!AY323</f>
        <v>0</v>
      </c>
      <c r="CN24" s="434">
        <f>'PTRM input'!AZ323</f>
        <v>0</v>
      </c>
      <c r="CO24" s="465">
        <f>'PTRM input'!BA323</f>
        <v>0</v>
      </c>
      <c r="CP24" s="464">
        <f>'PTRM input'!BB289</f>
        <v>0</v>
      </c>
      <c r="CQ24" s="434">
        <f>'PTRM input'!BC289</f>
        <v>0</v>
      </c>
      <c r="CR24" s="434">
        <f>'PTRM input'!BD289</f>
        <v>0</v>
      </c>
      <c r="CS24" s="434">
        <f>'PTRM input'!BE289</f>
        <v>0</v>
      </c>
      <c r="CT24" s="434">
        <f>'PTRM input'!BF289</f>
        <v>0</v>
      </c>
      <c r="CU24" s="465">
        <f>'PTRM input'!BG289</f>
        <v>0</v>
      </c>
      <c r="CV24" s="464">
        <f>'PTRM input'!BC323</f>
        <v>0</v>
      </c>
      <c r="CW24" s="434">
        <f>'PTRM input'!BD323</f>
        <v>0</v>
      </c>
      <c r="CX24" s="434">
        <f>'PTRM input'!BE323</f>
        <v>0</v>
      </c>
      <c r="CY24" s="434">
        <f>'PTRM input'!BF323</f>
        <v>0</v>
      </c>
      <c r="CZ24" s="465">
        <f>'PTRM input'!BG323</f>
        <v>0</v>
      </c>
      <c r="DA24" s="464">
        <f>'PTRM input'!BH289</f>
        <v>0</v>
      </c>
      <c r="DB24" s="434">
        <f>'PTRM input'!BI289</f>
        <v>0</v>
      </c>
      <c r="DC24" s="434">
        <f>'PTRM input'!BJ289</f>
        <v>0</v>
      </c>
      <c r="DD24" s="434">
        <f>'PTRM input'!BK289</f>
        <v>0</v>
      </c>
      <c r="DE24" s="434">
        <f>'PTRM input'!BL289</f>
        <v>0</v>
      </c>
      <c r="DF24" s="465">
        <f>'PTRM input'!BM289</f>
        <v>0</v>
      </c>
      <c r="DG24" s="464">
        <f>'PTRM input'!BI323</f>
        <v>0</v>
      </c>
      <c r="DH24" s="434">
        <f>'PTRM input'!BJ323</f>
        <v>0</v>
      </c>
      <c r="DI24" s="434">
        <f>'PTRM input'!BK323</f>
        <v>0</v>
      </c>
      <c r="DJ24" s="434">
        <f>'PTRM input'!BL323</f>
        <v>0</v>
      </c>
      <c r="DK24" s="465">
        <f>'PTRM input'!BM323</f>
        <v>0</v>
      </c>
      <c r="DL24" s="48"/>
      <c r="DM24" s="286"/>
      <c r="DN24" s="286"/>
      <c r="DO24" s="286"/>
    </row>
    <row r="25" spans="1:119" s="214" customFormat="1">
      <c r="A25" s="30"/>
      <c r="B25" s="30"/>
      <c r="C25" s="30"/>
      <c r="D25" s="30"/>
      <c r="E25" s="434">
        <f>'PTRM input'!E290</f>
        <v>0</v>
      </c>
      <c r="F25" s="1417">
        <f>'PTRM input'!F290</f>
        <v>0</v>
      </c>
      <c r="G25" s="434">
        <f>'PTRM input'!G290</f>
        <v>0</v>
      </c>
      <c r="H25" s="434">
        <f>'PTRM input'!H290</f>
        <v>0</v>
      </c>
      <c r="I25" s="434">
        <f>'PTRM input'!I290</f>
        <v>0</v>
      </c>
      <c r="J25" s="434">
        <f>'PTRM input'!J290</f>
        <v>0</v>
      </c>
      <c r="K25" s="465">
        <f>'PTRM input'!K290</f>
        <v>0</v>
      </c>
      <c r="L25" s="434">
        <f>'PTRM input'!G324</f>
        <v>0</v>
      </c>
      <c r="M25" s="434">
        <f>'PTRM input'!H324</f>
        <v>0</v>
      </c>
      <c r="N25" s="434">
        <f>'PTRM input'!I324</f>
        <v>0</v>
      </c>
      <c r="O25" s="434">
        <f>'PTRM input'!J324</f>
        <v>0</v>
      </c>
      <c r="P25" s="465">
        <f>'PTRM input'!K324</f>
        <v>0</v>
      </c>
      <c r="Q25" s="464">
        <f>'PTRM input'!L290</f>
        <v>0</v>
      </c>
      <c r="R25" s="434">
        <f>'PTRM input'!M290</f>
        <v>0</v>
      </c>
      <c r="S25" s="434">
        <f>'PTRM input'!N290</f>
        <v>0</v>
      </c>
      <c r="T25" s="434">
        <f>'PTRM input'!O290</f>
        <v>0</v>
      </c>
      <c r="U25" s="434">
        <f>'PTRM input'!P290</f>
        <v>0</v>
      </c>
      <c r="V25" s="465">
        <f>'PTRM input'!Q290</f>
        <v>0</v>
      </c>
      <c r="W25" s="434">
        <f>'PTRM input'!M324</f>
        <v>0</v>
      </c>
      <c r="X25" s="434">
        <f>'PTRM input'!N324</f>
        <v>0</v>
      </c>
      <c r="Y25" s="434">
        <f>'PTRM input'!O324</f>
        <v>0</v>
      </c>
      <c r="Z25" s="434">
        <f>'PTRM input'!P324</f>
        <v>0</v>
      </c>
      <c r="AA25" s="465">
        <f>'PTRM input'!Q324</f>
        <v>0</v>
      </c>
      <c r="AB25" s="434">
        <f>'PTRM input'!R290</f>
        <v>0</v>
      </c>
      <c r="AC25" s="434">
        <f>'PTRM input'!S290</f>
        <v>0</v>
      </c>
      <c r="AD25" s="434">
        <f>'PTRM input'!T290</f>
        <v>0</v>
      </c>
      <c r="AE25" s="434">
        <f>'PTRM input'!U290</f>
        <v>0</v>
      </c>
      <c r="AF25" s="434">
        <f>'PTRM input'!V290</f>
        <v>0</v>
      </c>
      <c r="AG25" s="434">
        <f>'PTRM input'!W290</f>
        <v>0</v>
      </c>
      <c r="AH25" s="464">
        <f>'PTRM input'!S324</f>
        <v>0</v>
      </c>
      <c r="AI25" s="434">
        <f>'PTRM input'!T324</f>
        <v>0</v>
      </c>
      <c r="AJ25" s="434">
        <f>'PTRM input'!U324</f>
        <v>0</v>
      </c>
      <c r="AK25" s="434">
        <f>'PTRM input'!V324</f>
        <v>0</v>
      </c>
      <c r="AL25" s="465">
        <f>'PTRM input'!W324</f>
        <v>0</v>
      </c>
      <c r="AM25" s="464">
        <f>'PTRM input'!X290</f>
        <v>0</v>
      </c>
      <c r="AN25" s="434">
        <f>'PTRM input'!Y290</f>
        <v>0</v>
      </c>
      <c r="AO25" s="434">
        <f>'PTRM input'!Z290</f>
        <v>0</v>
      </c>
      <c r="AP25" s="434">
        <f>'PTRM input'!AA290</f>
        <v>0</v>
      </c>
      <c r="AQ25" s="434">
        <f>'PTRM input'!AB290</f>
        <v>0</v>
      </c>
      <c r="AR25" s="465">
        <f>'PTRM input'!AC290</f>
        <v>0</v>
      </c>
      <c r="AS25" s="464">
        <f>'PTRM input'!Y324</f>
        <v>0</v>
      </c>
      <c r="AT25" s="434">
        <f>'PTRM input'!Z324</f>
        <v>0</v>
      </c>
      <c r="AU25" s="434">
        <f>'PTRM input'!AA324</f>
        <v>0</v>
      </c>
      <c r="AV25" s="434">
        <f>'PTRM input'!AB324</f>
        <v>0</v>
      </c>
      <c r="AW25" s="465">
        <f>'PTRM input'!AC324</f>
        <v>0</v>
      </c>
      <c r="AX25" s="464">
        <f>'PTRM input'!AD290</f>
        <v>0</v>
      </c>
      <c r="AY25" s="434">
        <f>'PTRM input'!AE290</f>
        <v>0</v>
      </c>
      <c r="AZ25" s="434">
        <f>'PTRM input'!AF290</f>
        <v>0</v>
      </c>
      <c r="BA25" s="434">
        <f>'PTRM input'!AG290</f>
        <v>0</v>
      </c>
      <c r="BB25" s="434">
        <f>'PTRM input'!AH290</f>
        <v>0</v>
      </c>
      <c r="BC25" s="465">
        <f>'PTRM input'!AI290</f>
        <v>0</v>
      </c>
      <c r="BD25" s="464">
        <f>'PTRM input'!AE324</f>
        <v>0</v>
      </c>
      <c r="BE25" s="434">
        <f>'PTRM input'!AF324</f>
        <v>0</v>
      </c>
      <c r="BF25" s="434">
        <f>'PTRM input'!AG324</f>
        <v>0</v>
      </c>
      <c r="BG25" s="434">
        <f>'PTRM input'!AH324</f>
        <v>0</v>
      </c>
      <c r="BH25" s="465">
        <f>'PTRM input'!AI324</f>
        <v>0</v>
      </c>
      <c r="BI25" s="464">
        <f>'PTRM input'!AJ290</f>
        <v>0</v>
      </c>
      <c r="BJ25" s="434">
        <f>'PTRM input'!AK290</f>
        <v>0</v>
      </c>
      <c r="BK25" s="434">
        <f>'PTRM input'!AL290</f>
        <v>0</v>
      </c>
      <c r="BL25" s="434">
        <f>'PTRM input'!AM290</f>
        <v>0</v>
      </c>
      <c r="BM25" s="434">
        <f>'PTRM input'!AN290</f>
        <v>0</v>
      </c>
      <c r="BN25" s="465">
        <f>'PTRM input'!AO290</f>
        <v>0</v>
      </c>
      <c r="BO25" s="464">
        <f>'PTRM input'!AK324</f>
        <v>0</v>
      </c>
      <c r="BP25" s="434">
        <f>'PTRM input'!AL324</f>
        <v>0</v>
      </c>
      <c r="BQ25" s="434">
        <f>'PTRM input'!AM324</f>
        <v>0</v>
      </c>
      <c r="BR25" s="434">
        <f>'PTRM input'!AN324</f>
        <v>0</v>
      </c>
      <c r="BS25" s="465">
        <f>'PTRM input'!AO324</f>
        <v>0</v>
      </c>
      <c r="BT25" s="464">
        <f>'PTRM input'!AP290</f>
        <v>0</v>
      </c>
      <c r="BU25" s="434">
        <f>'PTRM input'!AQ290</f>
        <v>0</v>
      </c>
      <c r="BV25" s="434">
        <f>'PTRM input'!AR290</f>
        <v>0</v>
      </c>
      <c r="BW25" s="434">
        <f>'PTRM input'!AS290</f>
        <v>0</v>
      </c>
      <c r="BX25" s="434">
        <f>'PTRM input'!AT290</f>
        <v>0</v>
      </c>
      <c r="BY25" s="465">
        <f>'PTRM input'!AU290</f>
        <v>0</v>
      </c>
      <c r="BZ25" s="464">
        <f>'PTRM input'!AQ324</f>
        <v>0</v>
      </c>
      <c r="CA25" s="434">
        <f>'PTRM input'!AR324</f>
        <v>0</v>
      </c>
      <c r="CB25" s="434">
        <f>'PTRM input'!AS324</f>
        <v>0</v>
      </c>
      <c r="CC25" s="434">
        <f>'PTRM input'!AT324</f>
        <v>0</v>
      </c>
      <c r="CD25" s="465">
        <f>'PTRM input'!AU324</f>
        <v>0</v>
      </c>
      <c r="CE25" s="464">
        <f>'PTRM input'!AV290</f>
        <v>0</v>
      </c>
      <c r="CF25" s="434">
        <f>'PTRM input'!AW290</f>
        <v>0</v>
      </c>
      <c r="CG25" s="434">
        <f>'PTRM input'!AX290</f>
        <v>0</v>
      </c>
      <c r="CH25" s="434">
        <f>'PTRM input'!AY290</f>
        <v>0</v>
      </c>
      <c r="CI25" s="434">
        <f>'PTRM input'!AZ290</f>
        <v>0</v>
      </c>
      <c r="CJ25" s="465">
        <f>'PTRM input'!BA290</f>
        <v>0</v>
      </c>
      <c r="CK25" s="464">
        <f>'PTRM input'!AW324</f>
        <v>0</v>
      </c>
      <c r="CL25" s="434">
        <f>'PTRM input'!AX324</f>
        <v>0</v>
      </c>
      <c r="CM25" s="434">
        <f>'PTRM input'!AY324</f>
        <v>0</v>
      </c>
      <c r="CN25" s="434">
        <f>'PTRM input'!AZ324</f>
        <v>0</v>
      </c>
      <c r="CO25" s="465">
        <f>'PTRM input'!BA324</f>
        <v>0</v>
      </c>
      <c r="CP25" s="464">
        <f>'PTRM input'!BB290</f>
        <v>0</v>
      </c>
      <c r="CQ25" s="434">
        <f>'PTRM input'!BC290</f>
        <v>0</v>
      </c>
      <c r="CR25" s="434">
        <f>'PTRM input'!BD290</f>
        <v>0</v>
      </c>
      <c r="CS25" s="434">
        <f>'PTRM input'!BE290</f>
        <v>0</v>
      </c>
      <c r="CT25" s="434">
        <f>'PTRM input'!BF290</f>
        <v>0</v>
      </c>
      <c r="CU25" s="465">
        <f>'PTRM input'!BG290</f>
        <v>0</v>
      </c>
      <c r="CV25" s="464">
        <f>'PTRM input'!BC324</f>
        <v>0</v>
      </c>
      <c r="CW25" s="434">
        <f>'PTRM input'!BD324</f>
        <v>0</v>
      </c>
      <c r="CX25" s="434">
        <f>'PTRM input'!BE324</f>
        <v>0</v>
      </c>
      <c r="CY25" s="434">
        <f>'PTRM input'!BF324</f>
        <v>0</v>
      </c>
      <c r="CZ25" s="465">
        <f>'PTRM input'!BG324</f>
        <v>0</v>
      </c>
      <c r="DA25" s="464">
        <f>'PTRM input'!BH290</f>
        <v>0</v>
      </c>
      <c r="DB25" s="434">
        <f>'PTRM input'!BI290</f>
        <v>0</v>
      </c>
      <c r="DC25" s="434">
        <f>'PTRM input'!BJ290</f>
        <v>0</v>
      </c>
      <c r="DD25" s="434">
        <f>'PTRM input'!BK290</f>
        <v>0</v>
      </c>
      <c r="DE25" s="434">
        <f>'PTRM input'!BL290</f>
        <v>0</v>
      </c>
      <c r="DF25" s="465">
        <f>'PTRM input'!BM290</f>
        <v>0</v>
      </c>
      <c r="DG25" s="464">
        <f>'PTRM input'!BI324</f>
        <v>0</v>
      </c>
      <c r="DH25" s="434">
        <f>'PTRM input'!BJ324</f>
        <v>0</v>
      </c>
      <c r="DI25" s="434">
        <f>'PTRM input'!BK324</f>
        <v>0</v>
      </c>
      <c r="DJ25" s="434">
        <f>'PTRM input'!BL324</f>
        <v>0</v>
      </c>
      <c r="DK25" s="465">
        <f>'PTRM input'!BM324</f>
        <v>0</v>
      </c>
      <c r="DL25" s="48"/>
      <c r="DM25" s="286"/>
      <c r="DN25" s="286"/>
      <c r="DO25" s="286"/>
    </row>
    <row r="26" spans="1:119" s="214" customFormat="1">
      <c r="A26" s="30"/>
      <c r="B26" s="30"/>
      <c r="C26" s="30"/>
      <c r="D26" s="30"/>
      <c r="E26" s="434">
        <f>'PTRM input'!E291</f>
        <v>0</v>
      </c>
      <c r="F26" s="1417">
        <f>'PTRM input'!F291</f>
        <v>0</v>
      </c>
      <c r="G26" s="434">
        <f>'PTRM input'!G291</f>
        <v>0</v>
      </c>
      <c r="H26" s="434">
        <f>'PTRM input'!H291</f>
        <v>0</v>
      </c>
      <c r="I26" s="434">
        <f>'PTRM input'!I291</f>
        <v>0</v>
      </c>
      <c r="J26" s="434">
        <f>'PTRM input'!J291</f>
        <v>0</v>
      </c>
      <c r="K26" s="465">
        <f>'PTRM input'!K291</f>
        <v>0</v>
      </c>
      <c r="L26" s="434">
        <f>'PTRM input'!G325</f>
        <v>0</v>
      </c>
      <c r="M26" s="434">
        <f>'PTRM input'!H325</f>
        <v>0</v>
      </c>
      <c r="N26" s="434">
        <f>'PTRM input'!I325</f>
        <v>0</v>
      </c>
      <c r="O26" s="434">
        <f>'PTRM input'!J325</f>
        <v>0</v>
      </c>
      <c r="P26" s="465">
        <f>'PTRM input'!K325</f>
        <v>0</v>
      </c>
      <c r="Q26" s="464">
        <f>'PTRM input'!L291</f>
        <v>0</v>
      </c>
      <c r="R26" s="434">
        <f>'PTRM input'!M291</f>
        <v>0</v>
      </c>
      <c r="S26" s="434">
        <f>'PTRM input'!N291</f>
        <v>0</v>
      </c>
      <c r="T26" s="434">
        <f>'PTRM input'!O291</f>
        <v>0</v>
      </c>
      <c r="U26" s="434">
        <f>'PTRM input'!P291</f>
        <v>0</v>
      </c>
      <c r="V26" s="465">
        <f>'PTRM input'!Q291</f>
        <v>0</v>
      </c>
      <c r="W26" s="434">
        <f>'PTRM input'!M325</f>
        <v>0</v>
      </c>
      <c r="X26" s="434">
        <f>'PTRM input'!N325</f>
        <v>0</v>
      </c>
      <c r="Y26" s="434">
        <f>'PTRM input'!O325</f>
        <v>0</v>
      </c>
      <c r="Z26" s="434">
        <f>'PTRM input'!P325</f>
        <v>0</v>
      </c>
      <c r="AA26" s="465">
        <f>'PTRM input'!Q325</f>
        <v>0</v>
      </c>
      <c r="AB26" s="434">
        <f>'PTRM input'!R291</f>
        <v>0</v>
      </c>
      <c r="AC26" s="434">
        <f>'PTRM input'!S291</f>
        <v>0</v>
      </c>
      <c r="AD26" s="434">
        <f>'PTRM input'!T291</f>
        <v>0</v>
      </c>
      <c r="AE26" s="434">
        <f>'PTRM input'!U291</f>
        <v>0</v>
      </c>
      <c r="AF26" s="434">
        <f>'PTRM input'!V291</f>
        <v>0</v>
      </c>
      <c r="AG26" s="434">
        <f>'PTRM input'!W291</f>
        <v>0</v>
      </c>
      <c r="AH26" s="464">
        <f>'PTRM input'!S325</f>
        <v>0</v>
      </c>
      <c r="AI26" s="434">
        <f>'PTRM input'!T325</f>
        <v>0</v>
      </c>
      <c r="AJ26" s="434">
        <f>'PTRM input'!U325</f>
        <v>0</v>
      </c>
      <c r="AK26" s="434">
        <f>'PTRM input'!V325</f>
        <v>0</v>
      </c>
      <c r="AL26" s="465">
        <f>'PTRM input'!W325</f>
        <v>0</v>
      </c>
      <c r="AM26" s="464">
        <f>'PTRM input'!X291</f>
        <v>0</v>
      </c>
      <c r="AN26" s="434">
        <f>'PTRM input'!Y291</f>
        <v>0</v>
      </c>
      <c r="AO26" s="434">
        <f>'PTRM input'!Z291</f>
        <v>0</v>
      </c>
      <c r="AP26" s="434">
        <f>'PTRM input'!AA291</f>
        <v>0</v>
      </c>
      <c r="AQ26" s="434">
        <f>'PTRM input'!AB291</f>
        <v>0</v>
      </c>
      <c r="AR26" s="465">
        <f>'PTRM input'!AC291</f>
        <v>0</v>
      </c>
      <c r="AS26" s="464">
        <f>'PTRM input'!Y325</f>
        <v>0</v>
      </c>
      <c r="AT26" s="434">
        <f>'PTRM input'!Z325</f>
        <v>0</v>
      </c>
      <c r="AU26" s="434">
        <f>'PTRM input'!AA325</f>
        <v>0</v>
      </c>
      <c r="AV26" s="434">
        <f>'PTRM input'!AB325</f>
        <v>0</v>
      </c>
      <c r="AW26" s="465">
        <f>'PTRM input'!AC325</f>
        <v>0</v>
      </c>
      <c r="AX26" s="464">
        <f>'PTRM input'!AD291</f>
        <v>0</v>
      </c>
      <c r="AY26" s="434">
        <f>'PTRM input'!AE291</f>
        <v>0</v>
      </c>
      <c r="AZ26" s="434">
        <f>'PTRM input'!AF291</f>
        <v>0</v>
      </c>
      <c r="BA26" s="434">
        <f>'PTRM input'!AG291</f>
        <v>0</v>
      </c>
      <c r="BB26" s="434">
        <f>'PTRM input'!AH291</f>
        <v>0</v>
      </c>
      <c r="BC26" s="465">
        <f>'PTRM input'!AI291</f>
        <v>0</v>
      </c>
      <c r="BD26" s="464">
        <f>'PTRM input'!AE325</f>
        <v>0</v>
      </c>
      <c r="BE26" s="434">
        <f>'PTRM input'!AF325</f>
        <v>0</v>
      </c>
      <c r="BF26" s="434">
        <f>'PTRM input'!AG325</f>
        <v>0</v>
      </c>
      <c r="BG26" s="434">
        <f>'PTRM input'!AH325</f>
        <v>0</v>
      </c>
      <c r="BH26" s="465">
        <f>'PTRM input'!AI325</f>
        <v>0</v>
      </c>
      <c r="BI26" s="464">
        <f>'PTRM input'!AJ291</f>
        <v>0</v>
      </c>
      <c r="BJ26" s="434">
        <f>'PTRM input'!AK291</f>
        <v>0</v>
      </c>
      <c r="BK26" s="434">
        <f>'PTRM input'!AL291</f>
        <v>0</v>
      </c>
      <c r="BL26" s="434">
        <f>'PTRM input'!AM291</f>
        <v>0</v>
      </c>
      <c r="BM26" s="434">
        <f>'PTRM input'!AN291</f>
        <v>0</v>
      </c>
      <c r="BN26" s="465">
        <f>'PTRM input'!AO291</f>
        <v>0</v>
      </c>
      <c r="BO26" s="464">
        <f>'PTRM input'!AK325</f>
        <v>0</v>
      </c>
      <c r="BP26" s="434">
        <f>'PTRM input'!AL325</f>
        <v>0</v>
      </c>
      <c r="BQ26" s="434">
        <f>'PTRM input'!AM325</f>
        <v>0</v>
      </c>
      <c r="BR26" s="434">
        <f>'PTRM input'!AN325</f>
        <v>0</v>
      </c>
      <c r="BS26" s="465">
        <f>'PTRM input'!AO325</f>
        <v>0</v>
      </c>
      <c r="BT26" s="464">
        <f>'PTRM input'!AP291</f>
        <v>0</v>
      </c>
      <c r="BU26" s="434">
        <f>'PTRM input'!AQ291</f>
        <v>0</v>
      </c>
      <c r="BV26" s="434">
        <f>'PTRM input'!AR291</f>
        <v>0</v>
      </c>
      <c r="BW26" s="434">
        <f>'PTRM input'!AS291</f>
        <v>0</v>
      </c>
      <c r="BX26" s="434">
        <f>'PTRM input'!AT291</f>
        <v>0</v>
      </c>
      <c r="BY26" s="465">
        <f>'PTRM input'!AU291</f>
        <v>0</v>
      </c>
      <c r="BZ26" s="464">
        <f>'PTRM input'!AQ325</f>
        <v>0</v>
      </c>
      <c r="CA26" s="434">
        <f>'PTRM input'!AR325</f>
        <v>0</v>
      </c>
      <c r="CB26" s="434">
        <f>'PTRM input'!AS325</f>
        <v>0</v>
      </c>
      <c r="CC26" s="434">
        <f>'PTRM input'!AT325</f>
        <v>0</v>
      </c>
      <c r="CD26" s="465">
        <f>'PTRM input'!AU325</f>
        <v>0</v>
      </c>
      <c r="CE26" s="464">
        <f>'PTRM input'!AV291</f>
        <v>0</v>
      </c>
      <c r="CF26" s="434">
        <f>'PTRM input'!AW291</f>
        <v>0</v>
      </c>
      <c r="CG26" s="434">
        <f>'PTRM input'!AX291</f>
        <v>0</v>
      </c>
      <c r="CH26" s="434">
        <f>'PTRM input'!AY291</f>
        <v>0</v>
      </c>
      <c r="CI26" s="434">
        <f>'PTRM input'!AZ291</f>
        <v>0</v>
      </c>
      <c r="CJ26" s="465">
        <f>'PTRM input'!BA291</f>
        <v>0</v>
      </c>
      <c r="CK26" s="464">
        <f>'PTRM input'!AW325</f>
        <v>0</v>
      </c>
      <c r="CL26" s="434">
        <f>'PTRM input'!AX325</f>
        <v>0</v>
      </c>
      <c r="CM26" s="434">
        <f>'PTRM input'!AY325</f>
        <v>0</v>
      </c>
      <c r="CN26" s="434">
        <f>'PTRM input'!AZ325</f>
        <v>0</v>
      </c>
      <c r="CO26" s="465">
        <f>'PTRM input'!BA325</f>
        <v>0</v>
      </c>
      <c r="CP26" s="464">
        <f>'PTRM input'!BB291</f>
        <v>0</v>
      </c>
      <c r="CQ26" s="434">
        <f>'PTRM input'!BC291</f>
        <v>0</v>
      </c>
      <c r="CR26" s="434">
        <f>'PTRM input'!BD291</f>
        <v>0</v>
      </c>
      <c r="CS26" s="434">
        <f>'PTRM input'!BE291</f>
        <v>0</v>
      </c>
      <c r="CT26" s="434">
        <f>'PTRM input'!BF291</f>
        <v>0</v>
      </c>
      <c r="CU26" s="465">
        <f>'PTRM input'!BG291</f>
        <v>0</v>
      </c>
      <c r="CV26" s="464">
        <f>'PTRM input'!BC325</f>
        <v>0</v>
      </c>
      <c r="CW26" s="434">
        <f>'PTRM input'!BD325</f>
        <v>0</v>
      </c>
      <c r="CX26" s="434">
        <f>'PTRM input'!BE325</f>
        <v>0</v>
      </c>
      <c r="CY26" s="434">
        <f>'PTRM input'!BF325</f>
        <v>0</v>
      </c>
      <c r="CZ26" s="465">
        <f>'PTRM input'!BG325</f>
        <v>0</v>
      </c>
      <c r="DA26" s="464">
        <f>'PTRM input'!BH291</f>
        <v>0</v>
      </c>
      <c r="DB26" s="434">
        <f>'PTRM input'!BI291</f>
        <v>0</v>
      </c>
      <c r="DC26" s="434">
        <f>'PTRM input'!BJ291</f>
        <v>0</v>
      </c>
      <c r="DD26" s="434">
        <f>'PTRM input'!BK291</f>
        <v>0</v>
      </c>
      <c r="DE26" s="434">
        <f>'PTRM input'!BL291</f>
        <v>0</v>
      </c>
      <c r="DF26" s="465">
        <f>'PTRM input'!BM291</f>
        <v>0</v>
      </c>
      <c r="DG26" s="464">
        <f>'PTRM input'!BI325</f>
        <v>0</v>
      </c>
      <c r="DH26" s="434">
        <f>'PTRM input'!BJ325</f>
        <v>0</v>
      </c>
      <c r="DI26" s="434">
        <f>'PTRM input'!BK325</f>
        <v>0</v>
      </c>
      <c r="DJ26" s="434">
        <f>'PTRM input'!BL325</f>
        <v>0</v>
      </c>
      <c r="DK26" s="465">
        <f>'PTRM input'!BM325</f>
        <v>0</v>
      </c>
      <c r="DL26" s="48"/>
      <c r="DM26" s="286"/>
      <c r="DN26" s="286"/>
      <c r="DO26" s="286"/>
    </row>
    <row r="27" spans="1:119" s="4" customFormat="1">
      <c r="A27" s="23"/>
      <c r="B27" s="23"/>
      <c r="C27" s="23"/>
      <c r="D27" s="23"/>
      <c r="E27" s="434">
        <f>'PTRM input'!E292</f>
        <v>0</v>
      </c>
      <c r="F27" s="1417">
        <f>'PTRM input'!F292</f>
        <v>0</v>
      </c>
      <c r="G27" s="434">
        <f>'PTRM input'!G292</f>
        <v>0</v>
      </c>
      <c r="H27" s="434">
        <f>'PTRM input'!H292</f>
        <v>0</v>
      </c>
      <c r="I27" s="434">
        <f>'PTRM input'!I292</f>
        <v>0</v>
      </c>
      <c r="J27" s="434">
        <f>'PTRM input'!J292</f>
        <v>0</v>
      </c>
      <c r="K27" s="465">
        <f>'PTRM input'!K292</f>
        <v>0</v>
      </c>
      <c r="L27" s="434">
        <f>'PTRM input'!G326</f>
        <v>0</v>
      </c>
      <c r="M27" s="434">
        <f>'PTRM input'!H326</f>
        <v>0</v>
      </c>
      <c r="N27" s="434">
        <f>'PTRM input'!I326</f>
        <v>0</v>
      </c>
      <c r="O27" s="434">
        <f>'PTRM input'!J326</f>
        <v>0</v>
      </c>
      <c r="P27" s="465">
        <f>'PTRM input'!K326</f>
        <v>0</v>
      </c>
      <c r="Q27" s="464">
        <f>'PTRM input'!L292</f>
        <v>0</v>
      </c>
      <c r="R27" s="434">
        <f>'PTRM input'!M292</f>
        <v>0</v>
      </c>
      <c r="S27" s="434">
        <f>'PTRM input'!N292</f>
        <v>0</v>
      </c>
      <c r="T27" s="434">
        <f>'PTRM input'!O292</f>
        <v>0</v>
      </c>
      <c r="U27" s="434">
        <f>'PTRM input'!P292</f>
        <v>0</v>
      </c>
      <c r="V27" s="465">
        <f>'PTRM input'!Q292</f>
        <v>0</v>
      </c>
      <c r="W27" s="434">
        <f>'PTRM input'!M326</f>
        <v>0</v>
      </c>
      <c r="X27" s="434">
        <f>'PTRM input'!N326</f>
        <v>0</v>
      </c>
      <c r="Y27" s="434">
        <f>'PTRM input'!O326</f>
        <v>0</v>
      </c>
      <c r="Z27" s="434">
        <f>'PTRM input'!P326</f>
        <v>0</v>
      </c>
      <c r="AA27" s="465">
        <f>'PTRM input'!Q326</f>
        <v>0</v>
      </c>
      <c r="AB27" s="434">
        <f>'PTRM input'!R292</f>
        <v>0</v>
      </c>
      <c r="AC27" s="434">
        <f>'PTRM input'!S292</f>
        <v>0</v>
      </c>
      <c r="AD27" s="434">
        <f>'PTRM input'!T292</f>
        <v>0</v>
      </c>
      <c r="AE27" s="434">
        <f>'PTRM input'!U292</f>
        <v>0</v>
      </c>
      <c r="AF27" s="434">
        <f>'PTRM input'!V292</f>
        <v>0</v>
      </c>
      <c r="AG27" s="434">
        <f>'PTRM input'!W292</f>
        <v>0</v>
      </c>
      <c r="AH27" s="464">
        <f>'PTRM input'!S326</f>
        <v>0</v>
      </c>
      <c r="AI27" s="434">
        <f>'PTRM input'!T326</f>
        <v>0</v>
      </c>
      <c r="AJ27" s="434">
        <f>'PTRM input'!U326</f>
        <v>0</v>
      </c>
      <c r="AK27" s="434">
        <f>'PTRM input'!V326</f>
        <v>0</v>
      </c>
      <c r="AL27" s="465">
        <f>'PTRM input'!W326</f>
        <v>0</v>
      </c>
      <c r="AM27" s="464">
        <f>'PTRM input'!X292</f>
        <v>0</v>
      </c>
      <c r="AN27" s="434">
        <f>'PTRM input'!Y292</f>
        <v>0</v>
      </c>
      <c r="AO27" s="434">
        <f>'PTRM input'!Z292</f>
        <v>0</v>
      </c>
      <c r="AP27" s="434">
        <f>'PTRM input'!AA292</f>
        <v>0</v>
      </c>
      <c r="AQ27" s="434">
        <f>'PTRM input'!AB292</f>
        <v>0</v>
      </c>
      <c r="AR27" s="465">
        <f>'PTRM input'!AC292</f>
        <v>0</v>
      </c>
      <c r="AS27" s="464">
        <f>'PTRM input'!Y326</f>
        <v>0</v>
      </c>
      <c r="AT27" s="434">
        <f>'PTRM input'!Z326</f>
        <v>0</v>
      </c>
      <c r="AU27" s="434">
        <f>'PTRM input'!AA326</f>
        <v>0</v>
      </c>
      <c r="AV27" s="434">
        <f>'PTRM input'!AB326</f>
        <v>0</v>
      </c>
      <c r="AW27" s="465">
        <f>'PTRM input'!AC326</f>
        <v>0</v>
      </c>
      <c r="AX27" s="464">
        <f>'PTRM input'!AD292</f>
        <v>0</v>
      </c>
      <c r="AY27" s="434">
        <f>'PTRM input'!AE292</f>
        <v>0</v>
      </c>
      <c r="AZ27" s="434">
        <f>'PTRM input'!AF292</f>
        <v>0</v>
      </c>
      <c r="BA27" s="434">
        <f>'PTRM input'!AG292</f>
        <v>0</v>
      </c>
      <c r="BB27" s="434">
        <f>'PTRM input'!AH292</f>
        <v>0</v>
      </c>
      <c r="BC27" s="465">
        <f>'PTRM input'!AI292</f>
        <v>0</v>
      </c>
      <c r="BD27" s="464">
        <f>'PTRM input'!AE326</f>
        <v>0</v>
      </c>
      <c r="BE27" s="434">
        <f>'PTRM input'!AF326</f>
        <v>0</v>
      </c>
      <c r="BF27" s="434">
        <f>'PTRM input'!AG326</f>
        <v>0</v>
      </c>
      <c r="BG27" s="434">
        <f>'PTRM input'!AH326</f>
        <v>0</v>
      </c>
      <c r="BH27" s="465">
        <f>'PTRM input'!AI326</f>
        <v>0</v>
      </c>
      <c r="BI27" s="464">
        <f>'PTRM input'!AJ292</f>
        <v>0</v>
      </c>
      <c r="BJ27" s="434">
        <f>'PTRM input'!AK292</f>
        <v>0</v>
      </c>
      <c r="BK27" s="434">
        <f>'PTRM input'!AL292</f>
        <v>0</v>
      </c>
      <c r="BL27" s="434">
        <f>'PTRM input'!AM292</f>
        <v>0</v>
      </c>
      <c r="BM27" s="434">
        <f>'PTRM input'!AN292</f>
        <v>0</v>
      </c>
      <c r="BN27" s="465">
        <f>'PTRM input'!AO292</f>
        <v>0</v>
      </c>
      <c r="BO27" s="464">
        <f>'PTRM input'!AK326</f>
        <v>0</v>
      </c>
      <c r="BP27" s="434">
        <f>'PTRM input'!AL326</f>
        <v>0</v>
      </c>
      <c r="BQ27" s="434">
        <f>'PTRM input'!AM326</f>
        <v>0</v>
      </c>
      <c r="BR27" s="434">
        <f>'PTRM input'!AN326</f>
        <v>0</v>
      </c>
      <c r="BS27" s="465">
        <f>'PTRM input'!AO326</f>
        <v>0</v>
      </c>
      <c r="BT27" s="464">
        <f>'PTRM input'!AP292</f>
        <v>0</v>
      </c>
      <c r="BU27" s="434">
        <f>'PTRM input'!AQ292</f>
        <v>0</v>
      </c>
      <c r="BV27" s="434">
        <f>'PTRM input'!AR292</f>
        <v>0</v>
      </c>
      <c r="BW27" s="434">
        <f>'PTRM input'!AS292</f>
        <v>0</v>
      </c>
      <c r="BX27" s="434">
        <f>'PTRM input'!AT292</f>
        <v>0</v>
      </c>
      <c r="BY27" s="465">
        <f>'PTRM input'!AU292</f>
        <v>0</v>
      </c>
      <c r="BZ27" s="464">
        <f>'PTRM input'!AQ326</f>
        <v>0</v>
      </c>
      <c r="CA27" s="434">
        <f>'PTRM input'!AR326</f>
        <v>0</v>
      </c>
      <c r="CB27" s="434">
        <f>'PTRM input'!AS326</f>
        <v>0</v>
      </c>
      <c r="CC27" s="434">
        <f>'PTRM input'!AT326</f>
        <v>0</v>
      </c>
      <c r="CD27" s="465">
        <f>'PTRM input'!AU326</f>
        <v>0</v>
      </c>
      <c r="CE27" s="464">
        <f>'PTRM input'!AV292</f>
        <v>0</v>
      </c>
      <c r="CF27" s="434">
        <f>'PTRM input'!AW292</f>
        <v>0</v>
      </c>
      <c r="CG27" s="434">
        <f>'PTRM input'!AX292</f>
        <v>0</v>
      </c>
      <c r="CH27" s="434">
        <f>'PTRM input'!AY292</f>
        <v>0</v>
      </c>
      <c r="CI27" s="434">
        <f>'PTRM input'!AZ292</f>
        <v>0</v>
      </c>
      <c r="CJ27" s="465">
        <f>'PTRM input'!BA292</f>
        <v>0</v>
      </c>
      <c r="CK27" s="464">
        <f>'PTRM input'!AW326</f>
        <v>0</v>
      </c>
      <c r="CL27" s="434">
        <f>'PTRM input'!AX326</f>
        <v>0</v>
      </c>
      <c r="CM27" s="434">
        <f>'PTRM input'!AY326</f>
        <v>0</v>
      </c>
      <c r="CN27" s="434">
        <f>'PTRM input'!AZ326</f>
        <v>0</v>
      </c>
      <c r="CO27" s="465">
        <f>'PTRM input'!BA326</f>
        <v>0</v>
      </c>
      <c r="CP27" s="464">
        <f>'PTRM input'!BB292</f>
        <v>0</v>
      </c>
      <c r="CQ27" s="434">
        <f>'PTRM input'!BC292</f>
        <v>0</v>
      </c>
      <c r="CR27" s="434">
        <f>'PTRM input'!BD292</f>
        <v>0</v>
      </c>
      <c r="CS27" s="434">
        <f>'PTRM input'!BE292</f>
        <v>0</v>
      </c>
      <c r="CT27" s="434">
        <f>'PTRM input'!BF292</f>
        <v>0</v>
      </c>
      <c r="CU27" s="465">
        <f>'PTRM input'!BG292</f>
        <v>0</v>
      </c>
      <c r="CV27" s="464">
        <f>'PTRM input'!BC326</f>
        <v>0</v>
      </c>
      <c r="CW27" s="434">
        <f>'PTRM input'!BD326</f>
        <v>0</v>
      </c>
      <c r="CX27" s="434">
        <f>'PTRM input'!BE326</f>
        <v>0</v>
      </c>
      <c r="CY27" s="434">
        <f>'PTRM input'!BF326</f>
        <v>0</v>
      </c>
      <c r="CZ27" s="465">
        <f>'PTRM input'!BG326</f>
        <v>0</v>
      </c>
      <c r="DA27" s="464">
        <f>'PTRM input'!BH292</f>
        <v>0</v>
      </c>
      <c r="DB27" s="434">
        <f>'PTRM input'!BI292</f>
        <v>0</v>
      </c>
      <c r="DC27" s="434">
        <f>'PTRM input'!BJ292</f>
        <v>0</v>
      </c>
      <c r="DD27" s="434">
        <f>'PTRM input'!BK292</f>
        <v>0</v>
      </c>
      <c r="DE27" s="434">
        <f>'PTRM input'!BL292</f>
        <v>0</v>
      </c>
      <c r="DF27" s="465">
        <f>'PTRM input'!BM292</f>
        <v>0</v>
      </c>
      <c r="DG27" s="464">
        <f>'PTRM input'!BI326</f>
        <v>0</v>
      </c>
      <c r="DH27" s="434">
        <f>'PTRM input'!BJ326</f>
        <v>0</v>
      </c>
      <c r="DI27" s="434">
        <f>'PTRM input'!BK326</f>
        <v>0</v>
      </c>
      <c r="DJ27" s="434">
        <f>'PTRM input'!BL326</f>
        <v>0</v>
      </c>
      <c r="DK27" s="465">
        <f>'PTRM input'!BM326</f>
        <v>0</v>
      </c>
      <c r="DL27" s="48"/>
      <c r="DM27" s="286"/>
      <c r="DN27" s="286"/>
      <c r="DO27" s="286"/>
    </row>
    <row r="28" spans="1:119" s="4" customFormat="1">
      <c r="A28" s="23"/>
      <c r="B28" s="23"/>
      <c r="C28" s="23"/>
      <c r="D28" s="23"/>
      <c r="E28" s="434">
        <f>'PTRM input'!E293</f>
        <v>0</v>
      </c>
      <c r="F28" s="1417">
        <f>'PTRM input'!F293</f>
        <v>0</v>
      </c>
      <c r="G28" s="434">
        <f>'PTRM input'!G293</f>
        <v>0</v>
      </c>
      <c r="H28" s="434">
        <f>'PTRM input'!H293</f>
        <v>0</v>
      </c>
      <c r="I28" s="434">
        <f>'PTRM input'!I293</f>
        <v>0</v>
      </c>
      <c r="J28" s="434">
        <f>'PTRM input'!J293</f>
        <v>0</v>
      </c>
      <c r="K28" s="465">
        <f>'PTRM input'!K293</f>
        <v>0</v>
      </c>
      <c r="L28" s="434">
        <f>'PTRM input'!G327</f>
        <v>0</v>
      </c>
      <c r="M28" s="434">
        <f>'PTRM input'!H327</f>
        <v>0</v>
      </c>
      <c r="N28" s="434">
        <f>'PTRM input'!I327</f>
        <v>0</v>
      </c>
      <c r="O28" s="434">
        <f>'PTRM input'!J327</f>
        <v>0</v>
      </c>
      <c r="P28" s="465">
        <f>'PTRM input'!K327</f>
        <v>0</v>
      </c>
      <c r="Q28" s="464">
        <f>'PTRM input'!L293</f>
        <v>0</v>
      </c>
      <c r="R28" s="434">
        <f>'PTRM input'!M293</f>
        <v>0</v>
      </c>
      <c r="S28" s="434">
        <f>'PTRM input'!N293</f>
        <v>0</v>
      </c>
      <c r="T28" s="434">
        <f>'PTRM input'!O293</f>
        <v>0</v>
      </c>
      <c r="U28" s="434">
        <f>'PTRM input'!P293</f>
        <v>0</v>
      </c>
      <c r="V28" s="465">
        <f>'PTRM input'!Q293</f>
        <v>0</v>
      </c>
      <c r="W28" s="434">
        <f>'PTRM input'!M327</f>
        <v>0</v>
      </c>
      <c r="X28" s="434">
        <f>'PTRM input'!N327</f>
        <v>0</v>
      </c>
      <c r="Y28" s="434">
        <f>'PTRM input'!O327</f>
        <v>0</v>
      </c>
      <c r="Z28" s="434">
        <f>'PTRM input'!P327</f>
        <v>0</v>
      </c>
      <c r="AA28" s="465">
        <f>'PTRM input'!Q327</f>
        <v>0</v>
      </c>
      <c r="AB28" s="434">
        <f>'PTRM input'!R293</f>
        <v>0</v>
      </c>
      <c r="AC28" s="434">
        <f>'PTRM input'!S293</f>
        <v>0</v>
      </c>
      <c r="AD28" s="434">
        <f>'PTRM input'!T293</f>
        <v>0</v>
      </c>
      <c r="AE28" s="434">
        <f>'PTRM input'!U293</f>
        <v>0</v>
      </c>
      <c r="AF28" s="434">
        <f>'PTRM input'!V293</f>
        <v>0</v>
      </c>
      <c r="AG28" s="434">
        <f>'PTRM input'!W293</f>
        <v>0</v>
      </c>
      <c r="AH28" s="464">
        <f>'PTRM input'!S327</f>
        <v>0</v>
      </c>
      <c r="AI28" s="434">
        <f>'PTRM input'!T327</f>
        <v>0</v>
      </c>
      <c r="AJ28" s="434">
        <f>'PTRM input'!U327</f>
        <v>0</v>
      </c>
      <c r="AK28" s="434">
        <f>'PTRM input'!V327</f>
        <v>0</v>
      </c>
      <c r="AL28" s="465">
        <f>'PTRM input'!W327</f>
        <v>0</v>
      </c>
      <c r="AM28" s="464">
        <f>'PTRM input'!X293</f>
        <v>0</v>
      </c>
      <c r="AN28" s="434">
        <f>'PTRM input'!Y293</f>
        <v>0</v>
      </c>
      <c r="AO28" s="434">
        <f>'PTRM input'!Z293</f>
        <v>0</v>
      </c>
      <c r="AP28" s="434">
        <f>'PTRM input'!AA293</f>
        <v>0</v>
      </c>
      <c r="AQ28" s="434">
        <f>'PTRM input'!AB293</f>
        <v>0</v>
      </c>
      <c r="AR28" s="465">
        <f>'PTRM input'!AC293</f>
        <v>0</v>
      </c>
      <c r="AS28" s="464">
        <f>'PTRM input'!Y327</f>
        <v>0</v>
      </c>
      <c r="AT28" s="434">
        <f>'PTRM input'!Z327</f>
        <v>0</v>
      </c>
      <c r="AU28" s="434">
        <f>'PTRM input'!AA327</f>
        <v>0</v>
      </c>
      <c r="AV28" s="434">
        <f>'PTRM input'!AB327</f>
        <v>0</v>
      </c>
      <c r="AW28" s="465">
        <f>'PTRM input'!AC327</f>
        <v>0</v>
      </c>
      <c r="AX28" s="464">
        <f>'PTRM input'!AD293</f>
        <v>0</v>
      </c>
      <c r="AY28" s="434">
        <f>'PTRM input'!AE293</f>
        <v>0</v>
      </c>
      <c r="AZ28" s="434">
        <f>'PTRM input'!AF293</f>
        <v>0</v>
      </c>
      <c r="BA28" s="434">
        <f>'PTRM input'!AG293</f>
        <v>0</v>
      </c>
      <c r="BB28" s="434">
        <f>'PTRM input'!AH293</f>
        <v>0</v>
      </c>
      <c r="BC28" s="465">
        <f>'PTRM input'!AI293</f>
        <v>0</v>
      </c>
      <c r="BD28" s="464">
        <f>'PTRM input'!AE327</f>
        <v>0</v>
      </c>
      <c r="BE28" s="434">
        <f>'PTRM input'!AF327</f>
        <v>0</v>
      </c>
      <c r="BF28" s="434">
        <f>'PTRM input'!AG327</f>
        <v>0</v>
      </c>
      <c r="BG28" s="434">
        <f>'PTRM input'!AH327</f>
        <v>0</v>
      </c>
      <c r="BH28" s="465">
        <f>'PTRM input'!AI327</f>
        <v>0</v>
      </c>
      <c r="BI28" s="464">
        <f>'PTRM input'!AJ293</f>
        <v>0</v>
      </c>
      <c r="BJ28" s="434">
        <f>'PTRM input'!AK293</f>
        <v>0</v>
      </c>
      <c r="BK28" s="434">
        <f>'PTRM input'!AL293</f>
        <v>0</v>
      </c>
      <c r="BL28" s="434">
        <f>'PTRM input'!AM293</f>
        <v>0</v>
      </c>
      <c r="BM28" s="434">
        <f>'PTRM input'!AN293</f>
        <v>0</v>
      </c>
      <c r="BN28" s="465">
        <f>'PTRM input'!AO293</f>
        <v>0</v>
      </c>
      <c r="BO28" s="464">
        <f>'PTRM input'!AK327</f>
        <v>0</v>
      </c>
      <c r="BP28" s="434">
        <f>'PTRM input'!AL327</f>
        <v>0</v>
      </c>
      <c r="BQ28" s="434">
        <f>'PTRM input'!AM327</f>
        <v>0</v>
      </c>
      <c r="BR28" s="434">
        <f>'PTRM input'!AN327</f>
        <v>0</v>
      </c>
      <c r="BS28" s="465">
        <f>'PTRM input'!AO327</f>
        <v>0</v>
      </c>
      <c r="BT28" s="464">
        <f>'PTRM input'!AP293</f>
        <v>0</v>
      </c>
      <c r="BU28" s="434">
        <f>'PTRM input'!AQ293</f>
        <v>0</v>
      </c>
      <c r="BV28" s="434">
        <f>'PTRM input'!AR293</f>
        <v>0</v>
      </c>
      <c r="BW28" s="434">
        <f>'PTRM input'!AS293</f>
        <v>0</v>
      </c>
      <c r="BX28" s="434">
        <f>'PTRM input'!AT293</f>
        <v>0</v>
      </c>
      <c r="BY28" s="465">
        <f>'PTRM input'!AU293</f>
        <v>0</v>
      </c>
      <c r="BZ28" s="464">
        <f>'PTRM input'!AQ327</f>
        <v>0</v>
      </c>
      <c r="CA28" s="434">
        <f>'PTRM input'!AR327</f>
        <v>0</v>
      </c>
      <c r="CB28" s="434">
        <f>'PTRM input'!AS327</f>
        <v>0</v>
      </c>
      <c r="CC28" s="434">
        <f>'PTRM input'!AT327</f>
        <v>0</v>
      </c>
      <c r="CD28" s="465">
        <f>'PTRM input'!AU327</f>
        <v>0</v>
      </c>
      <c r="CE28" s="464">
        <f>'PTRM input'!AV293</f>
        <v>0</v>
      </c>
      <c r="CF28" s="434">
        <f>'PTRM input'!AW293</f>
        <v>0</v>
      </c>
      <c r="CG28" s="434">
        <f>'PTRM input'!AX293</f>
        <v>0</v>
      </c>
      <c r="CH28" s="434">
        <f>'PTRM input'!AY293</f>
        <v>0</v>
      </c>
      <c r="CI28" s="434">
        <f>'PTRM input'!AZ293</f>
        <v>0</v>
      </c>
      <c r="CJ28" s="465">
        <f>'PTRM input'!BA293</f>
        <v>0</v>
      </c>
      <c r="CK28" s="464">
        <f>'PTRM input'!AW327</f>
        <v>0</v>
      </c>
      <c r="CL28" s="434">
        <f>'PTRM input'!AX327</f>
        <v>0</v>
      </c>
      <c r="CM28" s="434">
        <f>'PTRM input'!AY327</f>
        <v>0</v>
      </c>
      <c r="CN28" s="434">
        <f>'PTRM input'!AZ327</f>
        <v>0</v>
      </c>
      <c r="CO28" s="465">
        <f>'PTRM input'!BA327</f>
        <v>0</v>
      </c>
      <c r="CP28" s="464">
        <f>'PTRM input'!BB293</f>
        <v>0</v>
      </c>
      <c r="CQ28" s="434">
        <f>'PTRM input'!BC293</f>
        <v>0</v>
      </c>
      <c r="CR28" s="434">
        <f>'PTRM input'!BD293</f>
        <v>0</v>
      </c>
      <c r="CS28" s="434">
        <f>'PTRM input'!BE293</f>
        <v>0</v>
      </c>
      <c r="CT28" s="434">
        <f>'PTRM input'!BF293</f>
        <v>0</v>
      </c>
      <c r="CU28" s="465">
        <f>'PTRM input'!BG293</f>
        <v>0</v>
      </c>
      <c r="CV28" s="464">
        <f>'PTRM input'!BC327</f>
        <v>0</v>
      </c>
      <c r="CW28" s="434">
        <f>'PTRM input'!BD327</f>
        <v>0</v>
      </c>
      <c r="CX28" s="434">
        <f>'PTRM input'!BE327</f>
        <v>0</v>
      </c>
      <c r="CY28" s="434">
        <f>'PTRM input'!BF327</f>
        <v>0</v>
      </c>
      <c r="CZ28" s="465">
        <f>'PTRM input'!BG327</f>
        <v>0</v>
      </c>
      <c r="DA28" s="464">
        <f>'PTRM input'!BH293</f>
        <v>0</v>
      </c>
      <c r="DB28" s="434">
        <f>'PTRM input'!BI293</f>
        <v>0</v>
      </c>
      <c r="DC28" s="434">
        <f>'PTRM input'!BJ293</f>
        <v>0</v>
      </c>
      <c r="DD28" s="434">
        <f>'PTRM input'!BK293</f>
        <v>0</v>
      </c>
      <c r="DE28" s="434">
        <f>'PTRM input'!BL293</f>
        <v>0</v>
      </c>
      <c r="DF28" s="465">
        <f>'PTRM input'!BM293</f>
        <v>0</v>
      </c>
      <c r="DG28" s="464">
        <f>'PTRM input'!BI327</f>
        <v>0</v>
      </c>
      <c r="DH28" s="434">
        <f>'PTRM input'!BJ327</f>
        <v>0</v>
      </c>
      <c r="DI28" s="434">
        <f>'PTRM input'!BK327</f>
        <v>0</v>
      </c>
      <c r="DJ28" s="434">
        <f>'PTRM input'!BL327</f>
        <v>0</v>
      </c>
      <c r="DK28" s="465">
        <f>'PTRM input'!BM327</f>
        <v>0</v>
      </c>
      <c r="DL28" s="48"/>
      <c r="DM28" s="286"/>
      <c r="DN28" s="286"/>
      <c r="DO28" s="286"/>
    </row>
    <row r="29" spans="1:119" s="4" customFormat="1">
      <c r="A29" s="23"/>
      <c r="B29" s="23"/>
      <c r="C29" s="23"/>
      <c r="D29" s="23"/>
      <c r="E29" s="434">
        <f>'PTRM input'!E294</f>
        <v>0</v>
      </c>
      <c r="F29" s="1417">
        <f>'PTRM input'!F294</f>
        <v>0</v>
      </c>
      <c r="G29" s="434">
        <f>'PTRM input'!G294</f>
        <v>0</v>
      </c>
      <c r="H29" s="434">
        <f>'PTRM input'!H294</f>
        <v>0</v>
      </c>
      <c r="I29" s="434">
        <f>'PTRM input'!I294</f>
        <v>0</v>
      </c>
      <c r="J29" s="434">
        <f>'PTRM input'!J294</f>
        <v>0</v>
      </c>
      <c r="K29" s="465">
        <f>'PTRM input'!K294</f>
        <v>0</v>
      </c>
      <c r="L29" s="434">
        <f>'PTRM input'!G328</f>
        <v>0</v>
      </c>
      <c r="M29" s="434">
        <f>'PTRM input'!H328</f>
        <v>0</v>
      </c>
      <c r="N29" s="434">
        <f>'PTRM input'!I328</f>
        <v>0</v>
      </c>
      <c r="O29" s="434">
        <f>'PTRM input'!J328</f>
        <v>0</v>
      </c>
      <c r="P29" s="465">
        <f>'PTRM input'!K328</f>
        <v>0</v>
      </c>
      <c r="Q29" s="464">
        <f>'PTRM input'!L294</f>
        <v>0</v>
      </c>
      <c r="R29" s="434">
        <f>'PTRM input'!M294</f>
        <v>0</v>
      </c>
      <c r="S29" s="434">
        <f>'PTRM input'!N294</f>
        <v>0</v>
      </c>
      <c r="T29" s="434">
        <f>'PTRM input'!O294</f>
        <v>0</v>
      </c>
      <c r="U29" s="434">
        <f>'PTRM input'!P294</f>
        <v>0</v>
      </c>
      <c r="V29" s="465">
        <f>'PTRM input'!Q294</f>
        <v>0</v>
      </c>
      <c r="W29" s="434">
        <f>'PTRM input'!M328</f>
        <v>0</v>
      </c>
      <c r="X29" s="434">
        <f>'PTRM input'!N328</f>
        <v>0</v>
      </c>
      <c r="Y29" s="434">
        <f>'PTRM input'!O328</f>
        <v>0</v>
      </c>
      <c r="Z29" s="434">
        <f>'PTRM input'!P328</f>
        <v>0</v>
      </c>
      <c r="AA29" s="465">
        <f>'PTRM input'!Q328</f>
        <v>0</v>
      </c>
      <c r="AB29" s="434">
        <f>'PTRM input'!R294</f>
        <v>0</v>
      </c>
      <c r="AC29" s="434">
        <f>'PTRM input'!S294</f>
        <v>0</v>
      </c>
      <c r="AD29" s="434">
        <f>'PTRM input'!T294</f>
        <v>0</v>
      </c>
      <c r="AE29" s="434">
        <f>'PTRM input'!U294</f>
        <v>0</v>
      </c>
      <c r="AF29" s="434">
        <f>'PTRM input'!V294</f>
        <v>0</v>
      </c>
      <c r="AG29" s="434">
        <f>'PTRM input'!W294</f>
        <v>0</v>
      </c>
      <c r="AH29" s="464">
        <f>'PTRM input'!S328</f>
        <v>0</v>
      </c>
      <c r="AI29" s="434">
        <f>'PTRM input'!T328</f>
        <v>0</v>
      </c>
      <c r="AJ29" s="434">
        <f>'PTRM input'!U328</f>
        <v>0</v>
      </c>
      <c r="AK29" s="434">
        <f>'PTRM input'!V328</f>
        <v>0</v>
      </c>
      <c r="AL29" s="465">
        <f>'PTRM input'!W328</f>
        <v>0</v>
      </c>
      <c r="AM29" s="464">
        <f>'PTRM input'!X294</f>
        <v>0</v>
      </c>
      <c r="AN29" s="434">
        <f>'PTRM input'!Y294</f>
        <v>0</v>
      </c>
      <c r="AO29" s="434">
        <f>'PTRM input'!Z294</f>
        <v>0</v>
      </c>
      <c r="AP29" s="434">
        <f>'PTRM input'!AA294</f>
        <v>0</v>
      </c>
      <c r="AQ29" s="434">
        <f>'PTRM input'!AB294</f>
        <v>0</v>
      </c>
      <c r="AR29" s="465">
        <f>'PTRM input'!AC294</f>
        <v>0</v>
      </c>
      <c r="AS29" s="464">
        <f>'PTRM input'!Y328</f>
        <v>0</v>
      </c>
      <c r="AT29" s="434">
        <f>'PTRM input'!Z328</f>
        <v>0</v>
      </c>
      <c r="AU29" s="434">
        <f>'PTRM input'!AA328</f>
        <v>0</v>
      </c>
      <c r="AV29" s="434">
        <f>'PTRM input'!AB328</f>
        <v>0</v>
      </c>
      <c r="AW29" s="465">
        <f>'PTRM input'!AC328</f>
        <v>0</v>
      </c>
      <c r="AX29" s="464">
        <f>'PTRM input'!AD294</f>
        <v>0</v>
      </c>
      <c r="AY29" s="434">
        <f>'PTRM input'!AE294</f>
        <v>0</v>
      </c>
      <c r="AZ29" s="434">
        <f>'PTRM input'!AF294</f>
        <v>0</v>
      </c>
      <c r="BA29" s="434">
        <f>'PTRM input'!AG294</f>
        <v>0</v>
      </c>
      <c r="BB29" s="434">
        <f>'PTRM input'!AH294</f>
        <v>0</v>
      </c>
      <c r="BC29" s="465">
        <f>'PTRM input'!AI294</f>
        <v>0</v>
      </c>
      <c r="BD29" s="464">
        <f>'PTRM input'!AE328</f>
        <v>0</v>
      </c>
      <c r="BE29" s="434">
        <f>'PTRM input'!AF328</f>
        <v>0</v>
      </c>
      <c r="BF29" s="434">
        <f>'PTRM input'!AG328</f>
        <v>0</v>
      </c>
      <c r="BG29" s="434">
        <f>'PTRM input'!AH328</f>
        <v>0</v>
      </c>
      <c r="BH29" s="465">
        <f>'PTRM input'!AI328</f>
        <v>0</v>
      </c>
      <c r="BI29" s="464">
        <f>'PTRM input'!AJ294</f>
        <v>0</v>
      </c>
      <c r="BJ29" s="434">
        <f>'PTRM input'!AK294</f>
        <v>0</v>
      </c>
      <c r="BK29" s="434">
        <f>'PTRM input'!AL294</f>
        <v>0</v>
      </c>
      <c r="BL29" s="434">
        <f>'PTRM input'!AM294</f>
        <v>0</v>
      </c>
      <c r="BM29" s="434">
        <f>'PTRM input'!AN294</f>
        <v>0</v>
      </c>
      <c r="BN29" s="465">
        <f>'PTRM input'!AO294</f>
        <v>0</v>
      </c>
      <c r="BO29" s="464">
        <f>'PTRM input'!AK328</f>
        <v>0</v>
      </c>
      <c r="BP29" s="434">
        <f>'PTRM input'!AL328</f>
        <v>0</v>
      </c>
      <c r="BQ29" s="434">
        <f>'PTRM input'!AM328</f>
        <v>0</v>
      </c>
      <c r="BR29" s="434">
        <f>'PTRM input'!AN328</f>
        <v>0</v>
      </c>
      <c r="BS29" s="465">
        <f>'PTRM input'!AO328</f>
        <v>0</v>
      </c>
      <c r="BT29" s="464">
        <f>'PTRM input'!AP294</f>
        <v>0</v>
      </c>
      <c r="BU29" s="434">
        <f>'PTRM input'!AQ294</f>
        <v>0</v>
      </c>
      <c r="BV29" s="434">
        <f>'PTRM input'!AR294</f>
        <v>0</v>
      </c>
      <c r="BW29" s="434">
        <f>'PTRM input'!AS294</f>
        <v>0</v>
      </c>
      <c r="BX29" s="434">
        <f>'PTRM input'!AT294</f>
        <v>0</v>
      </c>
      <c r="BY29" s="465">
        <f>'PTRM input'!AU294</f>
        <v>0</v>
      </c>
      <c r="BZ29" s="464">
        <f>'PTRM input'!AQ328</f>
        <v>0</v>
      </c>
      <c r="CA29" s="434">
        <f>'PTRM input'!AR328</f>
        <v>0</v>
      </c>
      <c r="CB29" s="434">
        <f>'PTRM input'!AS328</f>
        <v>0</v>
      </c>
      <c r="CC29" s="434">
        <f>'PTRM input'!AT328</f>
        <v>0</v>
      </c>
      <c r="CD29" s="465">
        <f>'PTRM input'!AU328</f>
        <v>0</v>
      </c>
      <c r="CE29" s="464">
        <f>'PTRM input'!AV294</f>
        <v>0</v>
      </c>
      <c r="CF29" s="434">
        <f>'PTRM input'!AW294</f>
        <v>0</v>
      </c>
      <c r="CG29" s="434">
        <f>'PTRM input'!AX294</f>
        <v>0</v>
      </c>
      <c r="CH29" s="434">
        <f>'PTRM input'!AY294</f>
        <v>0</v>
      </c>
      <c r="CI29" s="434">
        <f>'PTRM input'!AZ294</f>
        <v>0</v>
      </c>
      <c r="CJ29" s="465">
        <f>'PTRM input'!BA294</f>
        <v>0</v>
      </c>
      <c r="CK29" s="464">
        <f>'PTRM input'!AW328</f>
        <v>0</v>
      </c>
      <c r="CL29" s="434">
        <f>'PTRM input'!AX328</f>
        <v>0</v>
      </c>
      <c r="CM29" s="434">
        <f>'PTRM input'!AY328</f>
        <v>0</v>
      </c>
      <c r="CN29" s="434">
        <f>'PTRM input'!AZ328</f>
        <v>0</v>
      </c>
      <c r="CO29" s="465">
        <f>'PTRM input'!BA328</f>
        <v>0</v>
      </c>
      <c r="CP29" s="464">
        <f>'PTRM input'!BB294</f>
        <v>0</v>
      </c>
      <c r="CQ29" s="434">
        <f>'PTRM input'!BC294</f>
        <v>0</v>
      </c>
      <c r="CR29" s="434">
        <f>'PTRM input'!BD294</f>
        <v>0</v>
      </c>
      <c r="CS29" s="434">
        <f>'PTRM input'!BE294</f>
        <v>0</v>
      </c>
      <c r="CT29" s="434">
        <f>'PTRM input'!BF294</f>
        <v>0</v>
      </c>
      <c r="CU29" s="465">
        <f>'PTRM input'!BG294</f>
        <v>0</v>
      </c>
      <c r="CV29" s="464">
        <f>'PTRM input'!BC328</f>
        <v>0</v>
      </c>
      <c r="CW29" s="434">
        <f>'PTRM input'!BD328</f>
        <v>0</v>
      </c>
      <c r="CX29" s="434">
        <f>'PTRM input'!BE328</f>
        <v>0</v>
      </c>
      <c r="CY29" s="434">
        <f>'PTRM input'!BF328</f>
        <v>0</v>
      </c>
      <c r="CZ29" s="465">
        <f>'PTRM input'!BG328</f>
        <v>0</v>
      </c>
      <c r="DA29" s="464">
        <f>'PTRM input'!BH294</f>
        <v>0</v>
      </c>
      <c r="DB29" s="434">
        <f>'PTRM input'!BI294</f>
        <v>0</v>
      </c>
      <c r="DC29" s="434">
        <f>'PTRM input'!BJ294</f>
        <v>0</v>
      </c>
      <c r="DD29" s="434">
        <f>'PTRM input'!BK294</f>
        <v>0</v>
      </c>
      <c r="DE29" s="434">
        <f>'PTRM input'!BL294</f>
        <v>0</v>
      </c>
      <c r="DF29" s="465">
        <f>'PTRM input'!BM294</f>
        <v>0</v>
      </c>
      <c r="DG29" s="464">
        <f>'PTRM input'!BI328</f>
        <v>0</v>
      </c>
      <c r="DH29" s="434">
        <f>'PTRM input'!BJ328</f>
        <v>0</v>
      </c>
      <c r="DI29" s="434">
        <f>'PTRM input'!BK328</f>
        <v>0</v>
      </c>
      <c r="DJ29" s="434">
        <f>'PTRM input'!BL328</f>
        <v>0</v>
      </c>
      <c r="DK29" s="465">
        <f>'PTRM input'!BM328</f>
        <v>0</v>
      </c>
      <c r="DL29" s="48"/>
      <c r="DM29" s="286"/>
      <c r="DN29" s="286"/>
      <c r="DO29" s="286"/>
    </row>
    <row r="30" spans="1:119" s="4" customFormat="1">
      <c r="A30" s="23"/>
      <c r="B30" s="23"/>
      <c r="C30" s="23"/>
      <c r="D30" s="23"/>
      <c r="E30" s="434">
        <f>'PTRM input'!E295</f>
        <v>0</v>
      </c>
      <c r="F30" s="1417">
        <f>'PTRM input'!F295</f>
        <v>0</v>
      </c>
      <c r="G30" s="434">
        <f>'PTRM input'!G295</f>
        <v>0</v>
      </c>
      <c r="H30" s="434">
        <f>'PTRM input'!H295</f>
        <v>0</v>
      </c>
      <c r="I30" s="434">
        <f>'PTRM input'!I295</f>
        <v>0</v>
      </c>
      <c r="J30" s="434">
        <f>'PTRM input'!J295</f>
        <v>0</v>
      </c>
      <c r="K30" s="465">
        <f>'PTRM input'!K295</f>
        <v>0</v>
      </c>
      <c r="L30" s="434">
        <f>'PTRM input'!G329</f>
        <v>0</v>
      </c>
      <c r="M30" s="434">
        <f>'PTRM input'!H329</f>
        <v>0</v>
      </c>
      <c r="N30" s="434">
        <f>'PTRM input'!I329</f>
        <v>0</v>
      </c>
      <c r="O30" s="434">
        <f>'PTRM input'!J329</f>
        <v>0</v>
      </c>
      <c r="P30" s="465">
        <f>'PTRM input'!K329</f>
        <v>0</v>
      </c>
      <c r="Q30" s="464">
        <f>'PTRM input'!L295</f>
        <v>0</v>
      </c>
      <c r="R30" s="434">
        <f>'PTRM input'!M295</f>
        <v>0</v>
      </c>
      <c r="S30" s="434">
        <f>'PTRM input'!N295</f>
        <v>0</v>
      </c>
      <c r="T30" s="434">
        <f>'PTRM input'!O295</f>
        <v>0</v>
      </c>
      <c r="U30" s="434">
        <f>'PTRM input'!P295</f>
        <v>0</v>
      </c>
      <c r="V30" s="465">
        <f>'PTRM input'!Q295</f>
        <v>0</v>
      </c>
      <c r="W30" s="434">
        <f>'PTRM input'!M329</f>
        <v>0</v>
      </c>
      <c r="X30" s="434">
        <f>'PTRM input'!N329</f>
        <v>0</v>
      </c>
      <c r="Y30" s="434">
        <f>'PTRM input'!O329</f>
        <v>0</v>
      </c>
      <c r="Z30" s="434">
        <f>'PTRM input'!P329</f>
        <v>0</v>
      </c>
      <c r="AA30" s="465">
        <f>'PTRM input'!Q329</f>
        <v>0</v>
      </c>
      <c r="AB30" s="434">
        <f>'PTRM input'!R295</f>
        <v>0</v>
      </c>
      <c r="AC30" s="434">
        <f>'PTRM input'!S295</f>
        <v>0</v>
      </c>
      <c r="AD30" s="434">
        <f>'PTRM input'!T295</f>
        <v>0</v>
      </c>
      <c r="AE30" s="434">
        <f>'PTRM input'!U295</f>
        <v>0</v>
      </c>
      <c r="AF30" s="434">
        <f>'PTRM input'!V295</f>
        <v>0</v>
      </c>
      <c r="AG30" s="434">
        <f>'PTRM input'!W295</f>
        <v>0</v>
      </c>
      <c r="AH30" s="464">
        <f>'PTRM input'!S329</f>
        <v>0</v>
      </c>
      <c r="AI30" s="434">
        <f>'PTRM input'!T329</f>
        <v>0</v>
      </c>
      <c r="AJ30" s="434">
        <f>'PTRM input'!U329</f>
        <v>0</v>
      </c>
      <c r="AK30" s="434">
        <f>'PTRM input'!V329</f>
        <v>0</v>
      </c>
      <c r="AL30" s="465">
        <f>'PTRM input'!W329</f>
        <v>0</v>
      </c>
      <c r="AM30" s="464">
        <f>'PTRM input'!X295</f>
        <v>0</v>
      </c>
      <c r="AN30" s="434">
        <f>'PTRM input'!Y295</f>
        <v>0</v>
      </c>
      <c r="AO30" s="434">
        <f>'PTRM input'!Z295</f>
        <v>0</v>
      </c>
      <c r="AP30" s="434">
        <f>'PTRM input'!AA295</f>
        <v>0</v>
      </c>
      <c r="AQ30" s="434">
        <f>'PTRM input'!AB295</f>
        <v>0</v>
      </c>
      <c r="AR30" s="465">
        <f>'PTRM input'!AC295</f>
        <v>0</v>
      </c>
      <c r="AS30" s="464">
        <f>'PTRM input'!Y329</f>
        <v>0</v>
      </c>
      <c r="AT30" s="434">
        <f>'PTRM input'!Z329</f>
        <v>0</v>
      </c>
      <c r="AU30" s="434">
        <f>'PTRM input'!AA329</f>
        <v>0</v>
      </c>
      <c r="AV30" s="434">
        <f>'PTRM input'!AB329</f>
        <v>0</v>
      </c>
      <c r="AW30" s="465">
        <f>'PTRM input'!AC329</f>
        <v>0</v>
      </c>
      <c r="AX30" s="464">
        <f>'PTRM input'!AD295</f>
        <v>0</v>
      </c>
      <c r="AY30" s="434">
        <f>'PTRM input'!AE295</f>
        <v>0</v>
      </c>
      <c r="AZ30" s="434">
        <f>'PTRM input'!AF295</f>
        <v>0</v>
      </c>
      <c r="BA30" s="434">
        <f>'PTRM input'!AG295</f>
        <v>0</v>
      </c>
      <c r="BB30" s="434">
        <f>'PTRM input'!AH295</f>
        <v>0</v>
      </c>
      <c r="BC30" s="465">
        <f>'PTRM input'!AI295</f>
        <v>0</v>
      </c>
      <c r="BD30" s="464">
        <f>'PTRM input'!AE329</f>
        <v>0</v>
      </c>
      <c r="BE30" s="434">
        <f>'PTRM input'!AF329</f>
        <v>0</v>
      </c>
      <c r="BF30" s="434">
        <f>'PTRM input'!AG329</f>
        <v>0</v>
      </c>
      <c r="BG30" s="434">
        <f>'PTRM input'!AH329</f>
        <v>0</v>
      </c>
      <c r="BH30" s="465">
        <f>'PTRM input'!AI329</f>
        <v>0</v>
      </c>
      <c r="BI30" s="464">
        <f>'PTRM input'!AJ295</f>
        <v>0</v>
      </c>
      <c r="BJ30" s="434">
        <f>'PTRM input'!AK295</f>
        <v>0</v>
      </c>
      <c r="BK30" s="434">
        <f>'PTRM input'!AL295</f>
        <v>0</v>
      </c>
      <c r="BL30" s="434">
        <f>'PTRM input'!AM295</f>
        <v>0</v>
      </c>
      <c r="BM30" s="434">
        <f>'PTRM input'!AN295</f>
        <v>0</v>
      </c>
      <c r="BN30" s="465">
        <f>'PTRM input'!AO295</f>
        <v>0</v>
      </c>
      <c r="BO30" s="464">
        <f>'PTRM input'!AK329</f>
        <v>0</v>
      </c>
      <c r="BP30" s="434">
        <f>'PTRM input'!AL329</f>
        <v>0</v>
      </c>
      <c r="BQ30" s="434">
        <f>'PTRM input'!AM329</f>
        <v>0</v>
      </c>
      <c r="BR30" s="434">
        <f>'PTRM input'!AN329</f>
        <v>0</v>
      </c>
      <c r="BS30" s="465">
        <f>'PTRM input'!AO329</f>
        <v>0</v>
      </c>
      <c r="BT30" s="464">
        <f>'PTRM input'!AP295</f>
        <v>0</v>
      </c>
      <c r="BU30" s="434">
        <f>'PTRM input'!AQ295</f>
        <v>0</v>
      </c>
      <c r="BV30" s="434">
        <f>'PTRM input'!AR295</f>
        <v>0</v>
      </c>
      <c r="BW30" s="434">
        <f>'PTRM input'!AS295</f>
        <v>0</v>
      </c>
      <c r="BX30" s="434">
        <f>'PTRM input'!AT295</f>
        <v>0</v>
      </c>
      <c r="BY30" s="465">
        <f>'PTRM input'!AU295</f>
        <v>0</v>
      </c>
      <c r="BZ30" s="464">
        <f>'PTRM input'!AQ329</f>
        <v>0</v>
      </c>
      <c r="CA30" s="434">
        <f>'PTRM input'!AR329</f>
        <v>0</v>
      </c>
      <c r="CB30" s="434">
        <f>'PTRM input'!AS329</f>
        <v>0</v>
      </c>
      <c r="CC30" s="434">
        <f>'PTRM input'!AT329</f>
        <v>0</v>
      </c>
      <c r="CD30" s="465">
        <f>'PTRM input'!AU329</f>
        <v>0</v>
      </c>
      <c r="CE30" s="464">
        <f>'PTRM input'!AV295</f>
        <v>0</v>
      </c>
      <c r="CF30" s="434">
        <f>'PTRM input'!AW295</f>
        <v>0</v>
      </c>
      <c r="CG30" s="434">
        <f>'PTRM input'!AX295</f>
        <v>0</v>
      </c>
      <c r="CH30" s="434">
        <f>'PTRM input'!AY295</f>
        <v>0</v>
      </c>
      <c r="CI30" s="434">
        <f>'PTRM input'!AZ295</f>
        <v>0</v>
      </c>
      <c r="CJ30" s="465">
        <f>'PTRM input'!BA295</f>
        <v>0</v>
      </c>
      <c r="CK30" s="464">
        <f>'PTRM input'!AW329</f>
        <v>0</v>
      </c>
      <c r="CL30" s="434">
        <f>'PTRM input'!AX329</f>
        <v>0</v>
      </c>
      <c r="CM30" s="434">
        <f>'PTRM input'!AY329</f>
        <v>0</v>
      </c>
      <c r="CN30" s="434">
        <f>'PTRM input'!AZ329</f>
        <v>0</v>
      </c>
      <c r="CO30" s="465">
        <f>'PTRM input'!BA329</f>
        <v>0</v>
      </c>
      <c r="CP30" s="464">
        <f>'PTRM input'!BB295</f>
        <v>0</v>
      </c>
      <c r="CQ30" s="434">
        <f>'PTRM input'!BC295</f>
        <v>0</v>
      </c>
      <c r="CR30" s="434">
        <f>'PTRM input'!BD295</f>
        <v>0</v>
      </c>
      <c r="CS30" s="434">
        <f>'PTRM input'!BE295</f>
        <v>0</v>
      </c>
      <c r="CT30" s="434">
        <f>'PTRM input'!BF295</f>
        <v>0</v>
      </c>
      <c r="CU30" s="465">
        <f>'PTRM input'!BG295</f>
        <v>0</v>
      </c>
      <c r="CV30" s="464">
        <f>'PTRM input'!BC329</f>
        <v>0</v>
      </c>
      <c r="CW30" s="434">
        <f>'PTRM input'!BD329</f>
        <v>0</v>
      </c>
      <c r="CX30" s="434">
        <f>'PTRM input'!BE329</f>
        <v>0</v>
      </c>
      <c r="CY30" s="434">
        <f>'PTRM input'!BF329</f>
        <v>0</v>
      </c>
      <c r="CZ30" s="465">
        <f>'PTRM input'!BG329</f>
        <v>0</v>
      </c>
      <c r="DA30" s="464">
        <f>'PTRM input'!BH295</f>
        <v>0</v>
      </c>
      <c r="DB30" s="434">
        <f>'PTRM input'!BI295</f>
        <v>0</v>
      </c>
      <c r="DC30" s="434">
        <f>'PTRM input'!BJ295</f>
        <v>0</v>
      </c>
      <c r="DD30" s="434">
        <f>'PTRM input'!BK295</f>
        <v>0</v>
      </c>
      <c r="DE30" s="434">
        <f>'PTRM input'!BL295</f>
        <v>0</v>
      </c>
      <c r="DF30" s="465">
        <f>'PTRM input'!BM295</f>
        <v>0</v>
      </c>
      <c r="DG30" s="464">
        <f>'PTRM input'!BI329</f>
        <v>0</v>
      </c>
      <c r="DH30" s="434">
        <f>'PTRM input'!BJ329</f>
        <v>0</v>
      </c>
      <c r="DI30" s="434">
        <f>'PTRM input'!BK329</f>
        <v>0</v>
      </c>
      <c r="DJ30" s="434">
        <f>'PTRM input'!BL329</f>
        <v>0</v>
      </c>
      <c r="DK30" s="465">
        <f>'PTRM input'!BM329</f>
        <v>0</v>
      </c>
      <c r="DL30" s="48"/>
      <c r="DM30" s="286"/>
      <c r="DN30" s="286"/>
      <c r="DO30" s="286"/>
    </row>
    <row r="31" spans="1:119" s="4" customFormat="1">
      <c r="A31" s="23"/>
      <c r="B31" s="23"/>
      <c r="C31" s="23"/>
      <c r="D31" s="23"/>
      <c r="E31" s="434">
        <f>'PTRM input'!E296</f>
        <v>0</v>
      </c>
      <c r="F31" s="1417">
        <f>'PTRM input'!F296</f>
        <v>0</v>
      </c>
      <c r="G31" s="434">
        <f>'PTRM input'!G296</f>
        <v>0</v>
      </c>
      <c r="H31" s="434">
        <f>'PTRM input'!H296</f>
        <v>0</v>
      </c>
      <c r="I31" s="434">
        <f>'PTRM input'!I296</f>
        <v>0</v>
      </c>
      <c r="J31" s="434">
        <f>'PTRM input'!J296</f>
        <v>0</v>
      </c>
      <c r="K31" s="465">
        <f>'PTRM input'!K296</f>
        <v>0</v>
      </c>
      <c r="L31" s="434">
        <f>'PTRM input'!G330</f>
        <v>0</v>
      </c>
      <c r="M31" s="434">
        <f>'PTRM input'!H330</f>
        <v>0</v>
      </c>
      <c r="N31" s="434">
        <f>'PTRM input'!I330</f>
        <v>0</v>
      </c>
      <c r="O31" s="434">
        <f>'PTRM input'!J330</f>
        <v>0</v>
      </c>
      <c r="P31" s="465">
        <f>'PTRM input'!K330</f>
        <v>0</v>
      </c>
      <c r="Q31" s="464">
        <f>'PTRM input'!L296</f>
        <v>0</v>
      </c>
      <c r="R31" s="434">
        <f>'PTRM input'!M296</f>
        <v>0</v>
      </c>
      <c r="S31" s="434">
        <f>'PTRM input'!N296</f>
        <v>0</v>
      </c>
      <c r="T31" s="434">
        <f>'PTRM input'!O296</f>
        <v>0</v>
      </c>
      <c r="U31" s="434">
        <f>'PTRM input'!P296</f>
        <v>0</v>
      </c>
      <c r="V31" s="465">
        <f>'PTRM input'!Q296</f>
        <v>0</v>
      </c>
      <c r="W31" s="434">
        <f>'PTRM input'!M330</f>
        <v>0</v>
      </c>
      <c r="X31" s="434">
        <f>'PTRM input'!N330</f>
        <v>0</v>
      </c>
      <c r="Y31" s="434">
        <f>'PTRM input'!O330</f>
        <v>0</v>
      </c>
      <c r="Z31" s="434">
        <f>'PTRM input'!P330</f>
        <v>0</v>
      </c>
      <c r="AA31" s="465">
        <f>'PTRM input'!Q330</f>
        <v>0</v>
      </c>
      <c r="AB31" s="434">
        <f>'PTRM input'!R296</f>
        <v>0</v>
      </c>
      <c r="AC31" s="434">
        <f>'PTRM input'!S296</f>
        <v>0</v>
      </c>
      <c r="AD31" s="434">
        <f>'PTRM input'!T296</f>
        <v>0</v>
      </c>
      <c r="AE31" s="434">
        <f>'PTRM input'!U296</f>
        <v>0</v>
      </c>
      <c r="AF31" s="434">
        <f>'PTRM input'!V296</f>
        <v>0</v>
      </c>
      <c r="AG31" s="434">
        <f>'PTRM input'!W296</f>
        <v>0</v>
      </c>
      <c r="AH31" s="464">
        <f>'PTRM input'!S330</f>
        <v>0</v>
      </c>
      <c r="AI31" s="434">
        <f>'PTRM input'!T330</f>
        <v>0</v>
      </c>
      <c r="AJ31" s="434">
        <f>'PTRM input'!U330</f>
        <v>0</v>
      </c>
      <c r="AK31" s="434">
        <f>'PTRM input'!V330</f>
        <v>0</v>
      </c>
      <c r="AL31" s="465">
        <f>'PTRM input'!W330</f>
        <v>0</v>
      </c>
      <c r="AM31" s="464">
        <f>'PTRM input'!X296</f>
        <v>0</v>
      </c>
      <c r="AN31" s="434">
        <f>'PTRM input'!Y296</f>
        <v>0</v>
      </c>
      <c r="AO31" s="434">
        <f>'PTRM input'!Z296</f>
        <v>0</v>
      </c>
      <c r="AP31" s="434">
        <f>'PTRM input'!AA296</f>
        <v>0</v>
      </c>
      <c r="AQ31" s="434">
        <f>'PTRM input'!AB296</f>
        <v>0</v>
      </c>
      <c r="AR31" s="465">
        <f>'PTRM input'!AC296</f>
        <v>0</v>
      </c>
      <c r="AS31" s="464">
        <f>'PTRM input'!Y330</f>
        <v>0</v>
      </c>
      <c r="AT31" s="434">
        <f>'PTRM input'!Z330</f>
        <v>0</v>
      </c>
      <c r="AU31" s="434">
        <f>'PTRM input'!AA330</f>
        <v>0</v>
      </c>
      <c r="AV31" s="434">
        <f>'PTRM input'!AB330</f>
        <v>0</v>
      </c>
      <c r="AW31" s="465">
        <f>'PTRM input'!AC330</f>
        <v>0</v>
      </c>
      <c r="AX31" s="464">
        <f>'PTRM input'!AD296</f>
        <v>0</v>
      </c>
      <c r="AY31" s="434">
        <f>'PTRM input'!AE296</f>
        <v>0</v>
      </c>
      <c r="AZ31" s="434">
        <f>'PTRM input'!AF296</f>
        <v>0</v>
      </c>
      <c r="BA31" s="434">
        <f>'PTRM input'!AG296</f>
        <v>0</v>
      </c>
      <c r="BB31" s="434">
        <f>'PTRM input'!AH296</f>
        <v>0</v>
      </c>
      <c r="BC31" s="465">
        <f>'PTRM input'!AI296</f>
        <v>0</v>
      </c>
      <c r="BD31" s="464">
        <f>'PTRM input'!AE330</f>
        <v>0</v>
      </c>
      <c r="BE31" s="434">
        <f>'PTRM input'!AF330</f>
        <v>0</v>
      </c>
      <c r="BF31" s="434">
        <f>'PTRM input'!AG330</f>
        <v>0</v>
      </c>
      <c r="BG31" s="434">
        <f>'PTRM input'!AH330</f>
        <v>0</v>
      </c>
      <c r="BH31" s="465">
        <f>'PTRM input'!AI330</f>
        <v>0</v>
      </c>
      <c r="BI31" s="464">
        <f>'PTRM input'!AJ296</f>
        <v>0</v>
      </c>
      <c r="BJ31" s="434">
        <f>'PTRM input'!AK296</f>
        <v>0</v>
      </c>
      <c r="BK31" s="434">
        <f>'PTRM input'!AL296</f>
        <v>0</v>
      </c>
      <c r="BL31" s="434">
        <f>'PTRM input'!AM296</f>
        <v>0</v>
      </c>
      <c r="BM31" s="434">
        <f>'PTRM input'!AN296</f>
        <v>0</v>
      </c>
      <c r="BN31" s="465">
        <f>'PTRM input'!AO296</f>
        <v>0</v>
      </c>
      <c r="BO31" s="464">
        <f>'PTRM input'!AK330</f>
        <v>0</v>
      </c>
      <c r="BP31" s="434">
        <f>'PTRM input'!AL330</f>
        <v>0</v>
      </c>
      <c r="BQ31" s="434">
        <f>'PTRM input'!AM330</f>
        <v>0</v>
      </c>
      <c r="BR31" s="434">
        <f>'PTRM input'!AN330</f>
        <v>0</v>
      </c>
      <c r="BS31" s="465">
        <f>'PTRM input'!AO330</f>
        <v>0</v>
      </c>
      <c r="BT31" s="464">
        <f>'PTRM input'!AP296</f>
        <v>0</v>
      </c>
      <c r="BU31" s="434">
        <f>'PTRM input'!AQ296</f>
        <v>0</v>
      </c>
      <c r="BV31" s="434">
        <f>'PTRM input'!AR296</f>
        <v>0</v>
      </c>
      <c r="BW31" s="434">
        <f>'PTRM input'!AS296</f>
        <v>0</v>
      </c>
      <c r="BX31" s="434">
        <f>'PTRM input'!AT296</f>
        <v>0</v>
      </c>
      <c r="BY31" s="465">
        <f>'PTRM input'!AU296</f>
        <v>0</v>
      </c>
      <c r="BZ31" s="464">
        <f>'PTRM input'!AQ330</f>
        <v>0</v>
      </c>
      <c r="CA31" s="434">
        <f>'PTRM input'!AR330</f>
        <v>0</v>
      </c>
      <c r="CB31" s="434">
        <f>'PTRM input'!AS330</f>
        <v>0</v>
      </c>
      <c r="CC31" s="434">
        <f>'PTRM input'!AT330</f>
        <v>0</v>
      </c>
      <c r="CD31" s="465">
        <f>'PTRM input'!AU330</f>
        <v>0</v>
      </c>
      <c r="CE31" s="464">
        <f>'PTRM input'!AV296</f>
        <v>0</v>
      </c>
      <c r="CF31" s="434">
        <f>'PTRM input'!AW296</f>
        <v>0</v>
      </c>
      <c r="CG31" s="434">
        <f>'PTRM input'!AX296</f>
        <v>0</v>
      </c>
      <c r="CH31" s="434">
        <f>'PTRM input'!AY296</f>
        <v>0</v>
      </c>
      <c r="CI31" s="434">
        <f>'PTRM input'!AZ296</f>
        <v>0</v>
      </c>
      <c r="CJ31" s="465">
        <f>'PTRM input'!BA296</f>
        <v>0</v>
      </c>
      <c r="CK31" s="464">
        <f>'PTRM input'!AW330</f>
        <v>0</v>
      </c>
      <c r="CL31" s="434">
        <f>'PTRM input'!AX330</f>
        <v>0</v>
      </c>
      <c r="CM31" s="434">
        <f>'PTRM input'!AY330</f>
        <v>0</v>
      </c>
      <c r="CN31" s="434">
        <f>'PTRM input'!AZ330</f>
        <v>0</v>
      </c>
      <c r="CO31" s="465">
        <f>'PTRM input'!BA330</f>
        <v>0</v>
      </c>
      <c r="CP31" s="464">
        <f>'PTRM input'!BB296</f>
        <v>0</v>
      </c>
      <c r="CQ31" s="434">
        <f>'PTRM input'!BC296</f>
        <v>0</v>
      </c>
      <c r="CR31" s="434">
        <f>'PTRM input'!BD296</f>
        <v>0</v>
      </c>
      <c r="CS31" s="434">
        <f>'PTRM input'!BE296</f>
        <v>0</v>
      </c>
      <c r="CT31" s="434">
        <f>'PTRM input'!BF296</f>
        <v>0</v>
      </c>
      <c r="CU31" s="465">
        <f>'PTRM input'!BG296</f>
        <v>0</v>
      </c>
      <c r="CV31" s="464">
        <f>'PTRM input'!BC330</f>
        <v>0</v>
      </c>
      <c r="CW31" s="434">
        <f>'PTRM input'!BD330</f>
        <v>0</v>
      </c>
      <c r="CX31" s="434">
        <f>'PTRM input'!BE330</f>
        <v>0</v>
      </c>
      <c r="CY31" s="434">
        <f>'PTRM input'!BF330</f>
        <v>0</v>
      </c>
      <c r="CZ31" s="465">
        <f>'PTRM input'!BG330</f>
        <v>0</v>
      </c>
      <c r="DA31" s="464">
        <f>'PTRM input'!BH296</f>
        <v>0</v>
      </c>
      <c r="DB31" s="434">
        <f>'PTRM input'!BI296</f>
        <v>0</v>
      </c>
      <c r="DC31" s="434">
        <f>'PTRM input'!BJ296</f>
        <v>0</v>
      </c>
      <c r="DD31" s="434">
        <f>'PTRM input'!BK296</f>
        <v>0</v>
      </c>
      <c r="DE31" s="434">
        <f>'PTRM input'!BL296</f>
        <v>0</v>
      </c>
      <c r="DF31" s="465">
        <f>'PTRM input'!BM296</f>
        <v>0</v>
      </c>
      <c r="DG31" s="464">
        <f>'PTRM input'!BI330</f>
        <v>0</v>
      </c>
      <c r="DH31" s="434">
        <f>'PTRM input'!BJ330</f>
        <v>0</v>
      </c>
      <c r="DI31" s="434">
        <f>'PTRM input'!BK330</f>
        <v>0</v>
      </c>
      <c r="DJ31" s="434">
        <f>'PTRM input'!BL330</f>
        <v>0</v>
      </c>
      <c r="DK31" s="465">
        <f>'PTRM input'!BM330</f>
        <v>0</v>
      </c>
      <c r="DL31" s="48"/>
      <c r="DM31" s="454"/>
      <c r="DN31" s="454"/>
      <c r="DO31" s="454"/>
    </row>
    <row r="32" spans="1:119" s="4" customFormat="1">
      <c r="A32" s="23"/>
      <c r="B32" s="23"/>
      <c r="C32" s="23"/>
      <c r="D32" s="23"/>
      <c r="E32" s="434">
        <f>'PTRM input'!E297</f>
        <v>0</v>
      </c>
      <c r="F32" s="1417">
        <f>'PTRM input'!F297</f>
        <v>0</v>
      </c>
      <c r="G32" s="434">
        <f>'PTRM input'!G297</f>
        <v>0</v>
      </c>
      <c r="H32" s="434">
        <f>'PTRM input'!H297</f>
        <v>0</v>
      </c>
      <c r="I32" s="434">
        <f>'PTRM input'!I297</f>
        <v>0</v>
      </c>
      <c r="J32" s="434">
        <f>'PTRM input'!J297</f>
        <v>0</v>
      </c>
      <c r="K32" s="465">
        <f>'PTRM input'!K297</f>
        <v>0</v>
      </c>
      <c r="L32" s="434">
        <f>'PTRM input'!G331</f>
        <v>0</v>
      </c>
      <c r="M32" s="434">
        <f>'PTRM input'!H331</f>
        <v>0</v>
      </c>
      <c r="N32" s="434">
        <f>'PTRM input'!I331</f>
        <v>0</v>
      </c>
      <c r="O32" s="434">
        <f>'PTRM input'!J331</f>
        <v>0</v>
      </c>
      <c r="P32" s="465">
        <f>'PTRM input'!K331</f>
        <v>0</v>
      </c>
      <c r="Q32" s="464">
        <f>'PTRM input'!L297</f>
        <v>0</v>
      </c>
      <c r="R32" s="434">
        <f>'PTRM input'!M297</f>
        <v>0</v>
      </c>
      <c r="S32" s="434">
        <f>'PTRM input'!N297</f>
        <v>0</v>
      </c>
      <c r="T32" s="434">
        <f>'PTRM input'!O297</f>
        <v>0</v>
      </c>
      <c r="U32" s="434">
        <f>'PTRM input'!P297</f>
        <v>0</v>
      </c>
      <c r="V32" s="465">
        <f>'PTRM input'!Q297</f>
        <v>0</v>
      </c>
      <c r="W32" s="434">
        <f>'PTRM input'!M331</f>
        <v>0</v>
      </c>
      <c r="X32" s="434">
        <f>'PTRM input'!N331</f>
        <v>0</v>
      </c>
      <c r="Y32" s="434">
        <f>'PTRM input'!O331</f>
        <v>0</v>
      </c>
      <c r="Z32" s="434">
        <f>'PTRM input'!P331</f>
        <v>0</v>
      </c>
      <c r="AA32" s="465">
        <f>'PTRM input'!Q331</f>
        <v>0</v>
      </c>
      <c r="AB32" s="434">
        <f>'PTRM input'!R297</f>
        <v>0</v>
      </c>
      <c r="AC32" s="434">
        <f>'PTRM input'!S297</f>
        <v>0</v>
      </c>
      <c r="AD32" s="434">
        <f>'PTRM input'!T297</f>
        <v>0</v>
      </c>
      <c r="AE32" s="434">
        <f>'PTRM input'!U297</f>
        <v>0</v>
      </c>
      <c r="AF32" s="434">
        <f>'PTRM input'!V297</f>
        <v>0</v>
      </c>
      <c r="AG32" s="434">
        <f>'PTRM input'!W297</f>
        <v>0</v>
      </c>
      <c r="AH32" s="464">
        <f>'PTRM input'!S331</f>
        <v>0</v>
      </c>
      <c r="AI32" s="434">
        <f>'PTRM input'!T331</f>
        <v>0</v>
      </c>
      <c r="AJ32" s="434">
        <f>'PTRM input'!U331</f>
        <v>0</v>
      </c>
      <c r="AK32" s="434">
        <f>'PTRM input'!V331</f>
        <v>0</v>
      </c>
      <c r="AL32" s="465">
        <f>'PTRM input'!W331</f>
        <v>0</v>
      </c>
      <c r="AM32" s="464">
        <f>'PTRM input'!X297</f>
        <v>0</v>
      </c>
      <c r="AN32" s="434">
        <f>'PTRM input'!Y297</f>
        <v>0</v>
      </c>
      <c r="AO32" s="434">
        <f>'PTRM input'!Z297</f>
        <v>0</v>
      </c>
      <c r="AP32" s="434">
        <f>'PTRM input'!AA297</f>
        <v>0</v>
      </c>
      <c r="AQ32" s="434">
        <f>'PTRM input'!AB297</f>
        <v>0</v>
      </c>
      <c r="AR32" s="465">
        <f>'PTRM input'!AC297</f>
        <v>0</v>
      </c>
      <c r="AS32" s="464">
        <f>'PTRM input'!Y331</f>
        <v>0</v>
      </c>
      <c r="AT32" s="434">
        <f>'PTRM input'!Z331</f>
        <v>0</v>
      </c>
      <c r="AU32" s="434">
        <f>'PTRM input'!AA331</f>
        <v>0</v>
      </c>
      <c r="AV32" s="434">
        <f>'PTRM input'!AB331</f>
        <v>0</v>
      </c>
      <c r="AW32" s="465">
        <f>'PTRM input'!AC331</f>
        <v>0</v>
      </c>
      <c r="AX32" s="464">
        <f>'PTRM input'!AD297</f>
        <v>0</v>
      </c>
      <c r="AY32" s="434">
        <f>'PTRM input'!AE297</f>
        <v>0</v>
      </c>
      <c r="AZ32" s="434">
        <f>'PTRM input'!AF297</f>
        <v>0</v>
      </c>
      <c r="BA32" s="434">
        <f>'PTRM input'!AG297</f>
        <v>0</v>
      </c>
      <c r="BB32" s="434">
        <f>'PTRM input'!AH297</f>
        <v>0</v>
      </c>
      <c r="BC32" s="465">
        <f>'PTRM input'!AI297</f>
        <v>0</v>
      </c>
      <c r="BD32" s="464">
        <f>'PTRM input'!AE331</f>
        <v>0</v>
      </c>
      <c r="BE32" s="434">
        <f>'PTRM input'!AF331</f>
        <v>0</v>
      </c>
      <c r="BF32" s="434">
        <f>'PTRM input'!AG331</f>
        <v>0</v>
      </c>
      <c r="BG32" s="434">
        <f>'PTRM input'!AH331</f>
        <v>0</v>
      </c>
      <c r="BH32" s="465">
        <f>'PTRM input'!AI331</f>
        <v>0</v>
      </c>
      <c r="BI32" s="464">
        <f>'PTRM input'!AJ297</f>
        <v>0</v>
      </c>
      <c r="BJ32" s="434">
        <f>'PTRM input'!AK297</f>
        <v>0</v>
      </c>
      <c r="BK32" s="434">
        <f>'PTRM input'!AL297</f>
        <v>0</v>
      </c>
      <c r="BL32" s="434">
        <f>'PTRM input'!AM297</f>
        <v>0</v>
      </c>
      <c r="BM32" s="434">
        <f>'PTRM input'!AN297</f>
        <v>0</v>
      </c>
      <c r="BN32" s="465">
        <f>'PTRM input'!AO297</f>
        <v>0</v>
      </c>
      <c r="BO32" s="464">
        <f>'PTRM input'!AK331</f>
        <v>0</v>
      </c>
      <c r="BP32" s="434">
        <f>'PTRM input'!AL331</f>
        <v>0</v>
      </c>
      <c r="BQ32" s="434">
        <f>'PTRM input'!AM331</f>
        <v>0</v>
      </c>
      <c r="BR32" s="434">
        <f>'PTRM input'!AN331</f>
        <v>0</v>
      </c>
      <c r="BS32" s="465">
        <f>'PTRM input'!AO331</f>
        <v>0</v>
      </c>
      <c r="BT32" s="464">
        <f>'PTRM input'!AP297</f>
        <v>0</v>
      </c>
      <c r="BU32" s="434">
        <f>'PTRM input'!AQ297</f>
        <v>0</v>
      </c>
      <c r="BV32" s="434">
        <f>'PTRM input'!AR297</f>
        <v>0</v>
      </c>
      <c r="BW32" s="434">
        <f>'PTRM input'!AS297</f>
        <v>0</v>
      </c>
      <c r="BX32" s="434">
        <f>'PTRM input'!AT297</f>
        <v>0</v>
      </c>
      <c r="BY32" s="465">
        <f>'PTRM input'!AU297</f>
        <v>0</v>
      </c>
      <c r="BZ32" s="464">
        <f>'PTRM input'!AQ331</f>
        <v>0</v>
      </c>
      <c r="CA32" s="434">
        <f>'PTRM input'!AR331</f>
        <v>0</v>
      </c>
      <c r="CB32" s="434">
        <f>'PTRM input'!AS331</f>
        <v>0</v>
      </c>
      <c r="CC32" s="434">
        <f>'PTRM input'!AT331</f>
        <v>0</v>
      </c>
      <c r="CD32" s="465">
        <f>'PTRM input'!AU331</f>
        <v>0</v>
      </c>
      <c r="CE32" s="464">
        <f>'PTRM input'!AV297</f>
        <v>0</v>
      </c>
      <c r="CF32" s="434">
        <f>'PTRM input'!AW297</f>
        <v>0</v>
      </c>
      <c r="CG32" s="434">
        <f>'PTRM input'!AX297</f>
        <v>0</v>
      </c>
      <c r="CH32" s="434">
        <f>'PTRM input'!AY297</f>
        <v>0</v>
      </c>
      <c r="CI32" s="434">
        <f>'PTRM input'!AZ297</f>
        <v>0</v>
      </c>
      <c r="CJ32" s="465">
        <f>'PTRM input'!BA297</f>
        <v>0</v>
      </c>
      <c r="CK32" s="464">
        <f>'PTRM input'!AW331</f>
        <v>0</v>
      </c>
      <c r="CL32" s="434">
        <f>'PTRM input'!AX331</f>
        <v>0</v>
      </c>
      <c r="CM32" s="434">
        <f>'PTRM input'!AY331</f>
        <v>0</v>
      </c>
      <c r="CN32" s="434">
        <f>'PTRM input'!AZ331</f>
        <v>0</v>
      </c>
      <c r="CO32" s="465">
        <f>'PTRM input'!BA331</f>
        <v>0</v>
      </c>
      <c r="CP32" s="464">
        <f>'PTRM input'!BB297</f>
        <v>0</v>
      </c>
      <c r="CQ32" s="434">
        <f>'PTRM input'!BC297</f>
        <v>0</v>
      </c>
      <c r="CR32" s="434">
        <f>'PTRM input'!BD297</f>
        <v>0</v>
      </c>
      <c r="CS32" s="434">
        <f>'PTRM input'!BE297</f>
        <v>0</v>
      </c>
      <c r="CT32" s="434">
        <f>'PTRM input'!BF297</f>
        <v>0</v>
      </c>
      <c r="CU32" s="465">
        <f>'PTRM input'!BG297</f>
        <v>0</v>
      </c>
      <c r="CV32" s="464">
        <f>'PTRM input'!BC331</f>
        <v>0</v>
      </c>
      <c r="CW32" s="434">
        <f>'PTRM input'!BD331</f>
        <v>0</v>
      </c>
      <c r="CX32" s="434">
        <f>'PTRM input'!BE331</f>
        <v>0</v>
      </c>
      <c r="CY32" s="434">
        <f>'PTRM input'!BF331</f>
        <v>0</v>
      </c>
      <c r="CZ32" s="465">
        <f>'PTRM input'!BG331</f>
        <v>0</v>
      </c>
      <c r="DA32" s="464">
        <f>'PTRM input'!BH297</f>
        <v>0</v>
      </c>
      <c r="DB32" s="434">
        <f>'PTRM input'!BI297</f>
        <v>0</v>
      </c>
      <c r="DC32" s="434">
        <f>'PTRM input'!BJ297</f>
        <v>0</v>
      </c>
      <c r="DD32" s="434">
        <f>'PTRM input'!BK297</f>
        <v>0</v>
      </c>
      <c r="DE32" s="434">
        <f>'PTRM input'!BL297</f>
        <v>0</v>
      </c>
      <c r="DF32" s="465">
        <f>'PTRM input'!BM297</f>
        <v>0</v>
      </c>
      <c r="DG32" s="464">
        <f>'PTRM input'!BI331</f>
        <v>0</v>
      </c>
      <c r="DH32" s="434">
        <f>'PTRM input'!BJ331</f>
        <v>0</v>
      </c>
      <c r="DI32" s="434">
        <f>'PTRM input'!BK331</f>
        <v>0</v>
      </c>
      <c r="DJ32" s="434">
        <f>'PTRM input'!BL331</f>
        <v>0</v>
      </c>
      <c r="DK32" s="465">
        <f>'PTRM input'!BM331</f>
        <v>0</v>
      </c>
      <c r="DL32" s="48"/>
      <c r="DM32" s="454"/>
      <c r="DN32" s="454"/>
      <c r="DO32" s="454"/>
    </row>
    <row r="33" spans="1:119" s="4" customFormat="1">
      <c r="A33" s="23"/>
      <c r="B33" s="23"/>
      <c r="C33" s="23"/>
      <c r="D33" s="23"/>
      <c r="E33" s="434">
        <f>'PTRM input'!E298</f>
        <v>0</v>
      </c>
      <c r="F33" s="1417">
        <f>'PTRM input'!F298</f>
        <v>0</v>
      </c>
      <c r="G33" s="434">
        <f>'PTRM input'!G298</f>
        <v>0</v>
      </c>
      <c r="H33" s="434">
        <f>'PTRM input'!H298</f>
        <v>0</v>
      </c>
      <c r="I33" s="434">
        <f>'PTRM input'!I298</f>
        <v>0</v>
      </c>
      <c r="J33" s="434">
        <f>'PTRM input'!J298</f>
        <v>0</v>
      </c>
      <c r="K33" s="465">
        <f>'PTRM input'!K298</f>
        <v>0</v>
      </c>
      <c r="L33" s="434">
        <f>'PTRM input'!G332</f>
        <v>0</v>
      </c>
      <c r="M33" s="434">
        <f>'PTRM input'!H332</f>
        <v>0</v>
      </c>
      <c r="N33" s="434">
        <f>'PTRM input'!I332</f>
        <v>0</v>
      </c>
      <c r="O33" s="434">
        <f>'PTRM input'!J332</f>
        <v>0</v>
      </c>
      <c r="P33" s="465">
        <f>'PTRM input'!K332</f>
        <v>0</v>
      </c>
      <c r="Q33" s="464">
        <f>'PTRM input'!L298</f>
        <v>0</v>
      </c>
      <c r="R33" s="434">
        <f>'PTRM input'!M298</f>
        <v>0</v>
      </c>
      <c r="S33" s="434">
        <f>'PTRM input'!N298</f>
        <v>0</v>
      </c>
      <c r="T33" s="434">
        <f>'PTRM input'!O298</f>
        <v>0</v>
      </c>
      <c r="U33" s="434">
        <f>'PTRM input'!P298</f>
        <v>0</v>
      </c>
      <c r="V33" s="465">
        <f>'PTRM input'!Q298</f>
        <v>0</v>
      </c>
      <c r="W33" s="434">
        <f>'PTRM input'!M332</f>
        <v>0</v>
      </c>
      <c r="X33" s="434">
        <f>'PTRM input'!N332</f>
        <v>0</v>
      </c>
      <c r="Y33" s="434">
        <f>'PTRM input'!O332</f>
        <v>0</v>
      </c>
      <c r="Z33" s="434">
        <f>'PTRM input'!P332</f>
        <v>0</v>
      </c>
      <c r="AA33" s="465">
        <f>'PTRM input'!Q332</f>
        <v>0</v>
      </c>
      <c r="AB33" s="434">
        <f>'PTRM input'!R298</f>
        <v>0</v>
      </c>
      <c r="AC33" s="434">
        <f>'PTRM input'!S298</f>
        <v>0</v>
      </c>
      <c r="AD33" s="434">
        <f>'PTRM input'!T298</f>
        <v>0</v>
      </c>
      <c r="AE33" s="434">
        <f>'PTRM input'!U298</f>
        <v>0</v>
      </c>
      <c r="AF33" s="434">
        <f>'PTRM input'!V298</f>
        <v>0</v>
      </c>
      <c r="AG33" s="434">
        <f>'PTRM input'!W298</f>
        <v>0</v>
      </c>
      <c r="AH33" s="464">
        <f>'PTRM input'!S332</f>
        <v>0</v>
      </c>
      <c r="AI33" s="434">
        <f>'PTRM input'!T332</f>
        <v>0</v>
      </c>
      <c r="AJ33" s="434">
        <f>'PTRM input'!U332</f>
        <v>0</v>
      </c>
      <c r="AK33" s="434">
        <f>'PTRM input'!V332</f>
        <v>0</v>
      </c>
      <c r="AL33" s="465">
        <f>'PTRM input'!W332</f>
        <v>0</v>
      </c>
      <c r="AM33" s="464">
        <f>'PTRM input'!X298</f>
        <v>0</v>
      </c>
      <c r="AN33" s="434">
        <f>'PTRM input'!Y298</f>
        <v>0</v>
      </c>
      <c r="AO33" s="434">
        <f>'PTRM input'!Z298</f>
        <v>0</v>
      </c>
      <c r="AP33" s="434">
        <f>'PTRM input'!AA298</f>
        <v>0</v>
      </c>
      <c r="AQ33" s="434">
        <f>'PTRM input'!AB298</f>
        <v>0</v>
      </c>
      <c r="AR33" s="465">
        <f>'PTRM input'!AC298</f>
        <v>0</v>
      </c>
      <c r="AS33" s="464">
        <f>'PTRM input'!Y332</f>
        <v>0</v>
      </c>
      <c r="AT33" s="434">
        <f>'PTRM input'!Z332</f>
        <v>0</v>
      </c>
      <c r="AU33" s="434">
        <f>'PTRM input'!AA332</f>
        <v>0</v>
      </c>
      <c r="AV33" s="434">
        <f>'PTRM input'!AB332</f>
        <v>0</v>
      </c>
      <c r="AW33" s="465">
        <f>'PTRM input'!AC332</f>
        <v>0</v>
      </c>
      <c r="AX33" s="464">
        <f>'PTRM input'!AD298</f>
        <v>0</v>
      </c>
      <c r="AY33" s="434">
        <f>'PTRM input'!AE298</f>
        <v>0</v>
      </c>
      <c r="AZ33" s="434">
        <f>'PTRM input'!AF298</f>
        <v>0</v>
      </c>
      <c r="BA33" s="434">
        <f>'PTRM input'!AG298</f>
        <v>0</v>
      </c>
      <c r="BB33" s="434">
        <f>'PTRM input'!AH298</f>
        <v>0</v>
      </c>
      <c r="BC33" s="465">
        <f>'PTRM input'!AI298</f>
        <v>0</v>
      </c>
      <c r="BD33" s="464">
        <f>'PTRM input'!AE332</f>
        <v>0</v>
      </c>
      <c r="BE33" s="434">
        <f>'PTRM input'!AF332</f>
        <v>0</v>
      </c>
      <c r="BF33" s="434">
        <f>'PTRM input'!AG332</f>
        <v>0</v>
      </c>
      <c r="BG33" s="434">
        <f>'PTRM input'!AH332</f>
        <v>0</v>
      </c>
      <c r="BH33" s="465">
        <f>'PTRM input'!AI332</f>
        <v>0</v>
      </c>
      <c r="BI33" s="464">
        <f>'PTRM input'!AJ298</f>
        <v>0</v>
      </c>
      <c r="BJ33" s="434">
        <f>'PTRM input'!AK298</f>
        <v>0</v>
      </c>
      <c r="BK33" s="434">
        <f>'PTRM input'!AL298</f>
        <v>0</v>
      </c>
      <c r="BL33" s="434">
        <f>'PTRM input'!AM298</f>
        <v>0</v>
      </c>
      <c r="BM33" s="434">
        <f>'PTRM input'!AN298</f>
        <v>0</v>
      </c>
      <c r="BN33" s="465">
        <f>'PTRM input'!AO298</f>
        <v>0</v>
      </c>
      <c r="BO33" s="464">
        <f>'PTRM input'!AK332</f>
        <v>0</v>
      </c>
      <c r="BP33" s="434">
        <f>'PTRM input'!AL332</f>
        <v>0</v>
      </c>
      <c r="BQ33" s="434">
        <f>'PTRM input'!AM332</f>
        <v>0</v>
      </c>
      <c r="BR33" s="434">
        <f>'PTRM input'!AN332</f>
        <v>0</v>
      </c>
      <c r="BS33" s="465">
        <f>'PTRM input'!AO332</f>
        <v>0</v>
      </c>
      <c r="BT33" s="464">
        <f>'PTRM input'!AP298</f>
        <v>0</v>
      </c>
      <c r="BU33" s="434">
        <f>'PTRM input'!AQ298</f>
        <v>0</v>
      </c>
      <c r="BV33" s="434">
        <f>'PTRM input'!AR298</f>
        <v>0</v>
      </c>
      <c r="BW33" s="434">
        <f>'PTRM input'!AS298</f>
        <v>0</v>
      </c>
      <c r="BX33" s="434">
        <f>'PTRM input'!AT298</f>
        <v>0</v>
      </c>
      <c r="BY33" s="465">
        <f>'PTRM input'!AU298</f>
        <v>0</v>
      </c>
      <c r="BZ33" s="464">
        <f>'PTRM input'!AQ332</f>
        <v>0</v>
      </c>
      <c r="CA33" s="434">
        <f>'PTRM input'!AR332</f>
        <v>0</v>
      </c>
      <c r="CB33" s="434">
        <f>'PTRM input'!AS332</f>
        <v>0</v>
      </c>
      <c r="CC33" s="434">
        <f>'PTRM input'!AT332</f>
        <v>0</v>
      </c>
      <c r="CD33" s="465">
        <f>'PTRM input'!AU332</f>
        <v>0</v>
      </c>
      <c r="CE33" s="464">
        <f>'PTRM input'!AV298</f>
        <v>0</v>
      </c>
      <c r="CF33" s="434">
        <f>'PTRM input'!AW298</f>
        <v>0</v>
      </c>
      <c r="CG33" s="434">
        <f>'PTRM input'!AX298</f>
        <v>0</v>
      </c>
      <c r="CH33" s="434">
        <f>'PTRM input'!AY298</f>
        <v>0</v>
      </c>
      <c r="CI33" s="434">
        <f>'PTRM input'!AZ298</f>
        <v>0</v>
      </c>
      <c r="CJ33" s="465">
        <f>'PTRM input'!BA298</f>
        <v>0</v>
      </c>
      <c r="CK33" s="464">
        <f>'PTRM input'!AW332</f>
        <v>0</v>
      </c>
      <c r="CL33" s="434">
        <f>'PTRM input'!AX332</f>
        <v>0</v>
      </c>
      <c r="CM33" s="434">
        <f>'PTRM input'!AY332</f>
        <v>0</v>
      </c>
      <c r="CN33" s="434">
        <f>'PTRM input'!AZ332</f>
        <v>0</v>
      </c>
      <c r="CO33" s="465">
        <f>'PTRM input'!BA332</f>
        <v>0</v>
      </c>
      <c r="CP33" s="464">
        <f>'PTRM input'!BB298</f>
        <v>0</v>
      </c>
      <c r="CQ33" s="434">
        <f>'PTRM input'!BC298</f>
        <v>0</v>
      </c>
      <c r="CR33" s="434">
        <f>'PTRM input'!BD298</f>
        <v>0</v>
      </c>
      <c r="CS33" s="434">
        <f>'PTRM input'!BE298</f>
        <v>0</v>
      </c>
      <c r="CT33" s="434">
        <f>'PTRM input'!BF298</f>
        <v>0</v>
      </c>
      <c r="CU33" s="465">
        <f>'PTRM input'!BG298</f>
        <v>0</v>
      </c>
      <c r="CV33" s="464">
        <f>'PTRM input'!BC332</f>
        <v>0</v>
      </c>
      <c r="CW33" s="434">
        <f>'PTRM input'!BD332</f>
        <v>0</v>
      </c>
      <c r="CX33" s="434">
        <f>'PTRM input'!BE332</f>
        <v>0</v>
      </c>
      <c r="CY33" s="434">
        <f>'PTRM input'!BF332</f>
        <v>0</v>
      </c>
      <c r="CZ33" s="465">
        <f>'PTRM input'!BG332</f>
        <v>0</v>
      </c>
      <c r="DA33" s="464">
        <f>'PTRM input'!BH298</f>
        <v>0</v>
      </c>
      <c r="DB33" s="434">
        <f>'PTRM input'!BI298</f>
        <v>0</v>
      </c>
      <c r="DC33" s="434">
        <f>'PTRM input'!BJ298</f>
        <v>0</v>
      </c>
      <c r="DD33" s="434">
        <f>'PTRM input'!BK298</f>
        <v>0</v>
      </c>
      <c r="DE33" s="434">
        <f>'PTRM input'!BL298</f>
        <v>0</v>
      </c>
      <c r="DF33" s="465">
        <f>'PTRM input'!BM298</f>
        <v>0</v>
      </c>
      <c r="DG33" s="464">
        <f>'PTRM input'!BI332</f>
        <v>0</v>
      </c>
      <c r="DH33" s="434">
        <f>'PTRM input'!BJ332</f>
        <v>0</v>
      </c>
      <c r="DI33" s="434">
        <f>'PTRM input'!BK332</f>
        <v>0</v>
      </c>
      <c r="DJ33" s="434">
        <f>'PTRM input'!BL332</f>
        <v>0</v>
      </c>
      <c r="DK33" s="465">
        <f>'PTRM input'!BM332</f>
        <v>0</v>
      </c>
      <c r="DL33" s="48"/>
      <c r="DM33" s="454"/>
      <c r="DN33" s="454"/>
      <c r="DO33" s="454"/>
    </row>
    <row r="34" spans="1:119" s="4" customFormat="1">
      <c r="A34" s="23"/>
      <c r="B34" s="23"/>
      <c r="C34" s="23"/>
      <c r="D34" s="23"/>
      <c r="E34" s="434">
        <f>'PTRM input'!E299</f>
        <v>0</v>
      </c>
      <c r="F34" s="1417">
        <f>'PTRM input'!F299</f>
        <v>0</v>
      </c>
      <c r="G34" s="434">
        <f>'PTRM input'!G299</f>
        <v>0</v>
      </c>
      <c r="H34" s="434">
        <f>'PTRM input'!H299</f>
        <v>0</v>
      </c>
      <c r="I34" s="434">
        <f>'PTRM input'!I299</f>
        <v>0</v>
      </c>
      <c r="J34" s="434">
        <f>'PTRM input'!J299</f>
        <v>0</v>
      </c>
      <c r="K34" s="465">
        <f>'PTRM input'!K299</f>
        <v>0</v>
      </c>
      <c r="L34" s="434">
        <f>'PTRM input'!G333</f>
        <v>0</v>
      </c>
      <c r="M34" s="434">
        <f>'PTRM input'!H333</f>
        <v>0</v>
      </c>
      <c r="N34" s="434">
        <f>'PTRM input'!I333</f>
        <v>0</v>
      </c>
      <c r="O34" s="434">
        <f>'PTRM input'!J333</f>
        <v>0</v>
      </c>
      <c r="P34" s="465">
        <f>'PTRM input'!K333</f>
        <v>0</v>
      </c>
      <c r="Q34" s="464">
        <f>'PTRM input'!L299</f>
        <v>0</v>
      </c>
      <c r="R34" s="434">
        <f>'PTRM input'!M299</f>
        <v>0</v>
      </c>
      <c r="S34" s="434">
        <f>'PTRM input'!N299</f>
        <v>0</v>
      </c>
      <c r="T34" s="434">
        <f>'PTRM input'!O299</f>
        <v>0</v>
      </c>
      <c r="U34" s="434">
        <f>'PTRM input'!P299</f>
        <v>0</v>
      </c>
      <c r="V34" s="465">
        <f>'PTRM input'!Q299</f>
        <v>0</v>
      </c>
      <c r="W34" s="434">
        <f>'PTRM input'!M333</f>
        <v>0</v>
      </c>
      <c r="X34" s="434">
        <f>'PTRM input'!N333</f>
        <v>0</v>
      </c>
      <c r="Y34" s="434">
        <f>'PTRM input'!O333</f>
        <v>0</v>
      </c>
      <c r="Z34" s="434">
        <f>'PTRM input'!P333</f>
        <v>0</v>
      </c>
      <c r="AA34" s="465">
        <f>'PTRM input'!Q333</f>
        <v>0</v>
      </c>
      <c r="AB34" s="434">
        <f>'PTRM input'!R299</f>
        <v>0</v>
      </c>
      <c r="AC34" s="434">
        <f>'PTRM input'!S299</f>
        <v>0</v>
      </c>
      <c r="AD34" s="434">
        <f>'PTRM input'!T299</f>
        <v>0</v>
      </c>
      <c r="AE34" s="434">
        <f>'PTRM input'!U299</f>
        <v>0</v>
      </c>
      <c r="AF34" s="434">
        <f>'PTRM input'!V299</f>
        <v>0</v>
      </c>
      <c r="AG34" s="434">
        <f>'PTRM input'!W299</f>
        <v>0</v>
      </c>
      <c r="AH34" s="464">
        <f>'PTRM input'!S333</f>
        <v>0</v>
      </c>
      <c r="AI34" s="434">
        <f>'PTRM input'!T333</f>
        <v>0</v>
      </c>
      <c r="AJ34" s="434">
        <f>'PTRM input'!U333</f>
        <v>0</v>
      </c>
      <c r="AK34" s="434">
        <f>'PTRM input'!V333</f>
        <v>0</v>
      </c>
      <c r="AL34" s="465">
        <f>'PTRM input'!W333</f>
        <v>0</v>
      </c>
      <c r="AM34" s="464">
        <f>'PTRM input'!X299</f>
        <v>0</v>
      </c>
      <c r="AN34" s="434">
        <f>'PTRM input'!Y299</f>
        <v>0</v>
      </c>
      <c r="AO34" s="434">
        <f>'PTRM input'!Z299</f>
        <v>0</v>
      </c>
      <c r="AP34" s="434">
        <f>'PTRM input'!AA299</f>
        <v>0</v>
      </c>
      <c r="AQ34" s="434">
        <f>'PTRM input'!AB299</f>
        <v>0</v>
      </c>
      <c r="AR34" s="465">
        <f>'PTRM input'!AC299</f>
        <v>0</v>
      </c>
      <c r="AS34" s="464">
        <f>'PTRM input'!Y333</f>
        <v>0</v>
      </c>
      <c r="AT34" s="434">
        <f>'PTRM input'!Z333</f>
        <v>0</v>
      </c>
      <c r="AU34" s="434">
        <f>'PTRM input'!AA333</f>
        <v>0</v>
      </c>
      <c r="AV34" s="434">
        <f>'PTRM input'!AB333</f>
        <v>0</v>
      </c>
      <c r="AW34" s="465">
        <f>'PTRM input'!AC333</f>
        <v>0</v>
      </c>
      <c r="AX34" s="464">
        <f>'PTRM input'!AD299</f>
        <v>0</v>
      </c>
      <c r="AY34" s="434">
        <f>'PTRM input'!AE299</f>
        <v>0</v>
      </c>
      <c r="AZ34" s="434">
        <f>'PTRM input'!AF299</f>
        <v>0</v>
      </c>
      <c r="BA34" s="434">
        <f>'PTRM input'!AG299</f>
        <v>0</v>
      </c>
      <c r="BB34" s="434">
        <f>'PTRM input'!AH299</f>
        <v>0</v>
      </c>
      <c r="BC34" s="465">
        <f>'PTRM input'!AI299</f>
        <v>0</v>
      </c>
      <c r="BD34" s="464">
        <f>'PTRM input'!AE333</f>
        <v>0</v>
      </c>
      <c r="BE34" s="434">
        <f>'PTRM input'!AF333</f>
        <v>0</v>
      </c>
      <c r="BF34" s="434">
        <f>'PTRM input'!AG333</f>
        <v>0</v>
      </c>
      <c r="BG34" s="434">
        <f>'PTRM input'!AH333</f>
        <v>0</v>
      </c>
      <c r="BH34" s="465">
        <f>'PTRM input'!AI333</f>
        <v>0</v>
      </c>
      <c r="BI34" s="464">
        <f>'PTRM input'!AJ299</f>
        <v>0</v>
      </c>
      <c r="BJ34" s="434">
        <f>'PTRM input'!AK299</f>
        <v>0</v>
      </c>
      <c r="BK34" s="434">
        <f>'PTRM input'!AL299</f>
        <v>0</v>
      </c>
      <c r="BL34" s="434">
        <f>'PTRM input'!AM299</f>
        <v>0</v>
      </c>
      <c r="BM34" s="434">
        <f>'PTRM input'!AN299</f>
        <v>0</v>
      </c>
      <c r="BN34" s="465">
        <f>'PTRM input'!AO299</f>
        <v>0</v>
      </c>
      <c r="BO34" s="464">
        <f>'PTRM input'!AK333</f>
        <v>0</v>
      </c>
      <c r="BP34" s="434">
        <f>'PTRM input'!AL333</f>
        <v>0</v>
      </c>
      <c r="BQ34" s="434">
        <f>'PTRM input'!AM333</f>
        <v>0</v>
      </c>
      <c r="BR34" s="434">
        <f>'PTRM input'!AN333</f>
        <v>0</v>
      </c>
      <c r="BS34" s="465">
        <f>'PTRM input'!AO333</f>
        <v>0</v>
      </c>
      <c r="BT34" s="464">
        <f>'PTRM input'!AP299</f>
        <v>0</v>
      </c>
      <c r="BU34" s="434">
        <f>'PTRM input'!AQ299</f>
        <v>0</v>
      </c>
      <c r="BV34" s="434">
        <f>'PTRM input'!AR299</f>
        <v>0</v>
      </c>
      <c r="BW34" s="434">
        <f>'PTRM input'!AS299</f>
        <v>0</v>
      </c>
      <c r="BX34" s="434">
        <f>'PTRM input'!AT299</f>
        <v>0</v>
      </c>
      <c r="BY34" s="465">
        <f>'PTRM input'!AU299</f>
        <v>0</v>
      </c>
      <c r="BZ34" s="464">
        <f>'PTRM input'!AQ333</f>
        <v>0</v>
      </c>
      <c r="CA34" s="434">
        <f>'PTRM input'!AR333</f>
        <v>0</v>
      </c>
      <c r="CB34" s="434">
        <f>'PTRM input'!AS333</f>
        <v>0</v>
      </c>
      <c r="CC34" s="434">
        <f>'PTRM input'!AT333</f>
        <v>0</v>
      </c>
      <c r="CD34" s="465">
        <f>'PTRM input'!AU333</f>
        <v>0</v>
      </c>
      <c r="CE34" s="464">
        <f>'PTRM input'!AV299</f>
        <v>0</v>
      </c>
      <c r="CF34" s="434">
        <f>'PTRM input'!AW299</f>
        <v>0</v>
      </c>
      <c r="CG34" s="434">
        <f>'PTRM input'!AX299</f>
        <v>0</v>
      </c>
      <c r="CH34" s="434">
        <f>'PTRM input'!AY299</f>
        <v>0</v>
      </c>
      <c r="CI34" s="434">
        <f>'PTRM input'!AZ299</f>
        <v>0</v>
      </c>
      <c r="CJ34" s="465">
        <f>'PTRM input'!BA299</f>
        <v>0</v>
      </c>
      <c r="CK34" s="464">
        <f>'PTRM input'!AW333</f>
        <v>0</v>
      </c>
      <c r="CL34" s="434">
        <f>'PTRM input'!AX333</f>
        <v>0</v>
      </c>
      <c r="CM34" s="434">
        <f>'PTRM input'!AY333</f>
        <v>0</v>
      </c>
      <c r="CN34" s="434">
        <f>'PTRM input'!AZ333</f>
        <v>0</v>
      </c>
      <c r="CO34" s="465">
        <f>'PTRM input'!BA333</f>
        <v>0</v>
      </c>
      <c r="CP34" s="464">
        <f>'PTRM input'!BB299</f>
        <v>0</v>
      </c>
      <c r="CQ34" s="434">
        <f>'PTRM input'!BC299</f>
        <v>0</v>
      </c>
      <c r="CR34" s="434">
        <f>'PTRM input'!BD299</f>
        <v>0</v>
      </c>
      <c r="CS34" s="434">
        <f>'PTRM input'!BE299</f>
        <v>0</v>
      </c>
      <c r="CT34" s="434">
        <f>'PTRM input'!BF299</f>
        <v>0</v>
      </c>
      <c r="CU34" s="465">
        <f>'PTRM input'!BG299</f>
        <v>0</v>
      </c>
      <c r="CV34" s="464">
        <f>'PTRM input'!BC333</f>
        <v>0</v>
      </c>
      <c r="CW34" s="434">
        <f>'PTRM input'!BD333</f>
        <v>0</v>
      </c>
      <c r="CX34" s="434">
        <f>'PTRM input'!BE333</f>
        <v>0</v>
      </c>
      <c r="CY34" s="434">
        <f>'PTRM input'!BF333</f>
        <v>0</v>
      </c>
      <c r="CZ34" s="465">
        <f>'PTRM input'!BG333</f>
        <v>0</v>
      </c>
      <c r="DA34" s="464">
        <f>'PTRM input'!BH299</f>
        <v>0</v>
      </c>
      <c r="DB34" s="434">
        <f>'PTRM input'!BI299</f>
        <v>0</v>
      </c>
      <c r="DC34" s="434">
        <f>'PTRM input'!BJ299</f>
        <v>0</v>
      </c>
      <c r="DD34" s="434">
        <f>'PTRM input'!BK299</f>
        <v>0</v>
      </c>
      <c r="DE34" s="434">
        <f>'PTRM input'!BL299</f>
        <v>0</v>
      </c>
      <c r="DF34" s="465">
        <f>'PTRM input'!BM299</f>
        <v>0</v>
      </c>
      <c r="DG34" s="464">
        <f>'PTRM input'!BI333</f>
        <v>0</v>
      </c>
      <c r="DH34" s="434">
        <f>'PTRM input'!BJ333</f>
        <v>0</v>
      </c>
      <c r="DI34" s="434">
        <f>'PTRM input'!BK333</f>
        <v>0</v>
      </c>
      <c r="DJ34" s="434">
        <f>'PTRM input'!BL333</f>
        <v>0</v>
      </c>
      <c r="DK34" s="465">
        <f>'PTRM input'!BM333</f>
        <v>0</v>
      </c>
      <c r="DL34" s="48"/>
      <c r="DM34" s="454"/>
      <c r="DN34" s="454"/>
      <c r="DO34" s="454"/>
    </row>
    <row r="35" spans="1:119" s="4" customFormat="1">
      <c r="A35" s="23"/>
      <c r="B35" s="23"/>
      <c r="C35" s="23"/>
      <c r="D35" s="23"/>
      <c r="E35" s="434">
        <f>'PTRM input'!E300</f>
        <v>0</v>
      </c>
      <c r="F35" s="1417">
        <f>'PTRM input'!F300</f>
        <v>0</v>
      </c>
      <c r="G35" s="434">
        <f>'PTRM input'!G300</f>
        <v>0</v>
      </c>
      <c r="H35" s="434">
        <f>'PTRM input'!H300</f>
        <v>0</v>
      </c>
      <c r="I35" s="434">
        <f>'PTRM input'!I300</f>
        <v>0</v>
      </c>
      <c r="J35" s="434">
        <f>'PTRM input'!J300</f>
        <v>0</v>
      </c>
      <c r="K35" s="465">
        <f>'PTRM input'!K300</f>
        <v>0</v>
      </c>
      <c r="L35" s="434">
        <f>'PTRM input'!G334</f>
        <v>0</v>
      </c>
      <c r="M35" s="434">
        <f>'PTRM input'!H334</f>
        <v>0</v>
      </c>
      <c r="N35" s="434">
        <f>'PTRM input'!I334</f>
        <v>0</v>
      </c>
      <c r="O35" s="434">
        <f>'PTRM input'!J334</f>
        <v>0</v>
      </c>
      <c r="P35" s="465">
        <f>'PTRM input'!K334</f>
        <v>0</v>
      </c>
      <c r="Q35" s="464">
        <f>'PTRM input'!L300</f>
        <v>0</v>
      </c>
      <c r="R35" s="434">
        <f>'PTRM input'!M300</f>
        <v>0</v>
      </c>
      <c r="S35" s="434">
        <f>'PTRM input'!N300</f>
        <v>0</v>
      </c>
      <c r="T35" s="434">
        <f>'PTRM input'!O300</f>
        <v>0</v>
      </c>
      <c r="U35" s="434">
        <f>'PTRM input'!P300</f>
        <v>0</v>
      </c>
      <c r="V35" s="465">
        <f>'PTRM input'!Q300</f>
        <v>0</v>
      </c>
      <c r="W35" s="434">
        <f>'PTRM input'!M334</f>
        <v>0</v>
      </c>
      <c r="X35" s="434">
        <f>'PTRM input'!N334</f>
        <v>0</v>
      </c>
      <c r="Y35" s="434">
        <f>'PTRM input'!O334</f>
        <v>0</v>
      </c>
      <c r="Z35" s="434">
        <f>'PTRM input'!P334</f>
        <v>0</v>
      </c>
      <c r="AA35" s="465">
        <f>'PTRM input'!Q334</f>
        <v>0</v>
      </c>
      <c r="AB35" s="434">
        <f>'PTRM input'!R300</f>
        <v>0</v>
      </c>
      <c r="AC35" s="434">
        <f>'PTRM input'!S300</f>
        <v>0</v>
      </c>
      <c r="AD35" s="434">
        <f>'PTRM input'!T300</f>
        <v>0</v>
      </c>
      <c r="AE35" s="434">
        <f>'PTRM input'!U300</f>
        <v>0</v>
      </c>
      <c r="AF35" s="434">
        <f>'PTRM input'!V300</f>
        <v>0</v>
      </c>
      <c r="AG35" s="434">
        <f>'PTRM input'!W300</f>
        <v>0</v>
      </c>
      <c r="AH35" s="464">
        <f>'PTRM input'!S334</f>
        <v>0</v>
      </c>
      <c r="AI35" s="434">
        <f>'PTRM input'!T334</f>
        <v>0</v>
      </c>
      <c r="AJ35" s="434">
        <f>'PTRM input'!U334</f>
        <v>0</v>
      </c>
      <c r="AK35" s="434">
        <f>'PTRM input'!V334</f>
        <v>0</v>
      </c>
      <c r="AL35" s="465">
        <f>'PTRM input'!W334</f>
        <v>0</v>
      </c>
      <c r="AM35" s="464">
        <f>'PTRM input'!X300</f>
        <v>0</v>
      </c>
      <c r="AN35" s="434">
        <f>'PTRM input'!Y300</f>
        <v>0</v>
      </c>
      <c r="AO35" s="434">
        <f>'PTRM input'!Z300</f>
        <v>0</v>
      </c>
      <c r="AP35" s="434">
        <f>'PTRM input'!AA300</f>
        <v>0</v>
      </c>
      <c r="AQ35" s="434">
        <f>'PTRM input'!AB300</f>
        <v>0</v>
      </c>
      <c r="AR35" s="465">
        <f>'PTRM input'!AC300</f>
        <v>0</v>
      </c>
      <c r="AS35" s="464">
        <f>'PTRM input'!Y334</f>
        <v>0</v>
      </c>
      <c r="AT35" s="434">
        <f>'PTRM input'!Z334</f>
        <v>0</v>
      </c>
      <c r="AU35" s="434">
        <f>'PTRM input'!AA334</f>
        <v>0</v>
      </c>
      <c r="AV35" s="434">
        <f>'PTRM input'!AB334</f>
        <v>0</v>
      </c>
      <c r="AW35" s="465">
        <f>'PTRM input'!AC334</f>
        <v>0</v>
      </c>
      <c r="AX35" s="464">
        <f>'PTRM input'!AD300</f>
        <v>0</v>
      </c>
      <c r="AY35" s="434">
        <f>'PTRM input'!AE300</f>
        <v>0</v>
      </c>
      <c r="AZ35" s="434">
        <f>'PTRM input'!AF300</f>
        <v>0</v>
      </c>
      <c r="BA35" s="434">
        <f>'PTRM input'!AG300</f>
        <v>0</v>
      </c>
      <c r="BB35" s="434">
        <f>'PTRM input'!AH300</f>
        <v>0</v>
      </c>
      <c r="BC35" s="465">
        <f>'PTRM input'!AI300</f>
        <v>0</v>
      </c>
      <c r="BD35" s="464">
        <f>'PTRM input'!AE334</f>
        <v>0</v>
      </c>
      <c r="BE35" s="434">
        <f>'PTRM input'!AF334</f>
        <v>0</v>
      </c>
      <c r="BF35" s="434">
        <f>'PTRM input'!AG334</f>
        <v>0</v>
      </c>
      <c r="BG35" s="434">
        <f>'PTRM input'!AH334</f>
        <v>0</v>
      </c>
      <c r="BH35" s="465">
        <f>'PTRM input'!AI334</f>
        <v>0</v>
      </c>
      <c r="BI35" s="464">
        <f>'PTRM input'!AJ300</f>
        <v>0</v>
      </c>
      <c r="BJ35" s="434">
        <f>'PTRM input'!AK300</f>
        <v>0</v>
      </c>
      <c r="BK35" s="434">
        <f>'PTRM input'!AL300</f>
        <v>0</v>
      </c>
      <c r="BL35" s="434">
        <f>'PTRM input'!AM300</f>
        <v>0</v>
      </c>
      <c r="BM35" s="434">
        <f>'PTRM input'!AN300</f>
        <v>0</v>
      </c>
      <c r="BN35" s="465">
        <f>'PTRM input'!AO300</f>
        <v>0</v>
      </c>
      <c r="BO35" s="464">
        <f>'PTRM input'!AK334</f>
        <v>0</v>
      </c>
      <c r="BP35" s="434">
        <f>'PTRM input'!AL334</f>
        <v>0</v>
      </c>
      <c r="BQ35" s="434">
        <f>'PTRM input'!AM334</f>
        <v>0</v>
      </c>
      <c r="BR35" s="434">
        <f>'PTRM input'!AN334</f>
        <v>0</v>
      </c>
      <c r="BS35" s="465">
        <f>'PTRM input'!AO334</f>
        <v>0</v>
      </c>
      <c r="BT35" s="464">
        <f>'PTRM input'!AP300</f>
        <v>0</v>
      </c>
      <c r="BU35" s="434">
        <f>'PTRM input'!AQ300</f>
        <v>0</v>
      </c>
      <c r="BV35" s="434">
        <f>'PTRM input'!AR300</f>
        <v>0</v>
      </c>
      <c r="BW35" s="434">
        <f>'PTRM input'!AS300</f>
        <v>0</v>
      </c>
      <c r="BX35" s="434">
        <f>'PTRM input'!AT300</f>
        <v>0</v>
      </c>
      <c r="BY35" s="465">
        <f>'PTRM input'!AU300</f>
        <v>0</v>
      </c>
      <c r="BZ35" s="464">
        <f>'PTRM input'!AQ334</f>
        <v>0</v>
      </c>
      <c r="CA35" s="434">
        <f>'PTRM input'!AR334</f>
        <v>0</v>
      </c>
      <c r="CB35" s="434">
        <f>'PTRM input'!AS334</f>
        <v>0</v>
      </c>
      <c r="CC35" s="434">
        <f>'PTRM input'!AT334</f>
        <v>0</v>
      </c>
      <c r="CD35" s="465">
        <f>'PTRM input'!AU334</f>
        <v>0</v>
      </c>
      <c r="CE35" s="464">
        <f>'PTRM input'!AV300</f>
        <v>0</v>
      </c>
      <c r="CF35" s="434">
        <f>'PTRM input'!AW300</f>
        <v>0</v>
      </c>
      <c r="CG35" s="434">
        <f>'PTRM input'!AX300</f>
        <v>0</v>
      </c>
      <c r="CH35" s="434">
        <f>'PTRM input'!AY300</f>
        <v>0</v>
      </c>
      <c r="CI35" s="434">
        <f>'PTRM input'!AZ300</f>
        <v>0</v>
      </c>
      <c r="CJ35" s="465">
        <f>'PTRM input'!BA300</f>
        <v>0</v>
      </c>
      <c r="CK35" s="464">
        <f>'PTRM input'!AW334</f>
        <v>0</v>
      </c>
      <c r="CL35" s="434">
        <f>'PTRM input'!AX334</f>
        <v>0</v>
      </c>
      <c r="CM35" s="434">
        <f>'PTRM input'!AY334</f>
        <v>0</v>
      </c>
      <c r="CN35" s="434">
        <f>'PTRM input'!AZ334</f>
        <v>0</v>
      </c>
      <c r="CO35" s="465">
        <f>'PTRM input'!BA334</f>
        <v>0</v>
      </c>
      <c r="CP35" s="464">
        <f>'PTRM input'!BB300</f>
        <v>0</v>
      </c>
      <c r="CQ35" s="434">
        <f>'PTRM input'!BC300</f>
        <v>0</v>
      </c>
      <c r="CR35" s="434">
        <f>'PTRM input'!BD300</f>
        <v>0</v>
      </c>
      <c r="CS35" s="434">
        <f>'PTRM input'!BE300</f>
        <v>0</v>
      </c>
      <c r="CT35" s="434">
        <f>'PTRM input'!BF300</f>
        <v>0</v>
      </c>
      <c r="CU35" s="465">
        <f>'PTRM input'!BG300</f>
        <v>0</v>
      </c>
      <c r="CV35" s="464">
        <f>'PTRM input'!BC334</f>
        <v>0</v>
      </c>
      <c r="CW35" s="434">
        <f>'PTRM input'!BD334</f>
        <v>0</v>
      </c>
      <c r="CX35" s="434">
        <f>'PTRM input'!BE334</f>
        <v>0</v>
      </c>
      <c r="CY35" s="434">
        <f>'PTRM input'!BF334</f>
        <v>0</v>
      </c>
      <c r="CZ35" s="465">
        <f>'PTRM input'!BG334</f>
        <v>0</v>
      </c>
      <c r="DA35" s="464">
        <f>'PTRM input'!BH300</f>
        <v>0</v>
      </c>
      <c r="DB35" s="434">
        <f>'PTRM input'!BI300</f>
        <v>0</v>
      </c>
      <c r="DC35" s="434">
        <f>'PTRM input'!BJ300</f>
        <v>0</v>
      </c>
      <c r="DD35" s="434">
        <f>'PTRM input'!BK300</f>
        <v>0</v>
      </c>
      <c r="DE35" s="434">
        <f>'PTRM input'!BL300</f>
        <v>0</v>
      </c>
      <c r="DF35" s="465">
        <f>'PTRM input'!BM300</f>
        <v>0</v>
      </c>
      <c r="DG35" s="464">
        <f>'PTRM input'!BI334</f>
        <v>0</v>
      </c>
      <c r="DH35" s="434">
        <f>'PTRM input'!BJ334</f>
        <v>0</v>
      </c>
      <c r="DI35" s="434">
        <f>'PTRM input'!BK334</f>
        <v>0</v>
      </c>
      <c r="DJ35" s="434">
        <f>'PTRM input'!BL334</f>
        <v>0</v>
      </c>
      <c r="DK35" s="465">
        <f>'PTRM input'!BM334</f>
        <v>0</v>
      </c>
      <c r="DL35" s="48"/>
      <c r="DM35" s="454"/>
      <c r="DN35" s="454"/>
      <c r="DO35" s="454"/>
    </row>
    <row r="36" spans="1:119" s="4" customFormat="1">
      <c r="A36" s="23"/>
      <c r="B36" s="23"/>
      <c r="C36" s="23"/>
      <c r="D36" s="23"/>
      <c r="E36" s="434">
        <f>'PTRM input'!E301</f>
        <v>0</v>
      </c>
      <c r="F36" s="1417">
        <f>'PTRM input'!F301</f>
        <v>0</v>
      </c>
      <c r="G36" s="434">
        <f>'PTRM input'!G301</f>
        <v>0</v>
      </c>
      <c r="H36" s="434">
        <f>'PTRM input'!H301</f>
        <v>0</v>
      </c>
      <c r="I36" s="434">
        <f>'PTRM input'!I301</f>
        <v>0</v>
      </c>
      <c r="J36" s="434">
        <f>'PTRM input'!J301</f>
        <v>0</v>
      </c>
      <c r="K36" s="465">
        <f>'PTRM input'!K301</f>
        <v>0</v>
      </c>
      <c r="L36" s="434">
        <f>'PTRM input'!G335</f>
        <v>0</v>
      </c>
      <c r="M36" s="434">
        <f>'PTRM input'!H335</f>
        <v>0</v>
      </c>
      <c r="N36" s="434">
        <f>'PTRM input'!I335</f>
        <v>0</v>
      </c>
      <c r="O36" s="434">
        <f>'PTRM input'!J335</f>
        <v>0</v>
      </c>
      <c r="P36" s="465">
        <f>'PTRM input'!K335</f>
        <v>0</v>
      </c>
      <c r="Q36" s="464">
        <f>'PTRM input'!L301</f>
        <v>0</v>
      </c>
      <c r="R36" s="434">
        <f>'PTRM input'!M301</f>
        <v>0</v>
      </c>
      <c r="S36" s="434">
        <f>'PTRM input'!N301</f>
        <v>0</v>
      </c>
      <c r="T36" s="434">
        <f>'PTRM input'!O301</f>
        <v>0</v>
      </c>
      <c r="U36" s="434">
        <f>'PTRM input'!P301</f>
        <v>0</v>
      </c>
      <c r="V36" s="465">
        <f>'PTRM input'!Q301</f>
        <v>0</v>
      </c>
      <c r="W36" s="434">
        <f>'PTRM input'!M335</f>
        <v>0</v>
      </c>
      <c r="X36" s="434">
        <f>'PTRM input'!N335</f>
        <v>0</v>
      </c>
      <c r="Y36" s="434">
        <f>'PTRM input'!O335</f>
        <v>0</v>
      </c>
      <c r="Z36" s="434">
        <f>'PTRM input'!P335</f>
        <v>0</v>
      </c>
      <c r="AA36" s="465">
        <f>'PTRM input'!Q335</f>
        <v>0</v>
      </c>
      <c r="AB36" s="434">
        <f>'PTRM input'!R301</f>
        <v>0</v>
      </c>
      <c r="AC36" s="434">
        <f>'PTRM input'!S301</f>
        <v>0</v>
      </c>
      <c r="AD36" s="434">
        <f>'PTRM input'!T301</f>
        <v>0</v>
      </c>
      <c r="AE36" s="434">
        <f>'PTRM input'!U301</f>
        <v>0</v>
      </c>
      <c r="AF36" s="434">
        <f>'PTRM input'!V301</f>
        <v>0</v>
      </c>
      <c r="AG36" s="434">
        <f>'PTRM input'!W301</f>
        <v>0</v>
      </c>
      <c r="AH36" s="464">
        <f>'PTRM input'!S335</f>
        <v>0</v>
      </c>
      <c r="AI36" s="434">
        <f>'PTRM input'!T335</f>
        <v>0</v>
      </c>
      <c r="AJ36" s="434">
        <f>'PTRM input'!U335</f>
        <v>0</v>
      </c>
      <c r="AK36" s="434">
        <f>'PTRM input'!V335</f>
        <v>0</v>
      </c>
      <c r="AL36" s="465">
        <f>'PTRM input'!W335</f>
        <v>0</v>
      </c>
      <c r="AM36" s="464">
        <f>'PTRM input'!X301</f>
        <v>0</v>
      </c>
      <c r="AN36" s="434">
        <f>'PTRM input'!Y301</f>
        <v>0</v>
      </c>
      <c r="AO36" s="434">
        <f>'PTRM input'!Z301</f>
        <v>0</v>
      </c>
      <c r="AP36" s="434">
        <f>'PTRM input'!AA301</f>
        <v>0</v>
      </c>
      <c r="AQ36" s="434">
        <f>'PTRM input'!AB301</f>
        <v>0</v>
      </c>
      <c r="AR36" s="465">
        <f>'PTRM input'!AC301</f>
        <v>0</v>
      </c>
      <c r="AS36" s="464">
        <f>'PTRM input'!Y335</f>
        <v>0</v>
      </c>
      <c r="AT36" s="434">
        <f>'PTRM input'!Z335</f>
        <v>0</v>
      </c>
      <c r="AU36" s="434">
        <f>'PTRM input'!AA335</f>
        <v>0</v>
      </c>
      <c r="AV36" s="434">
        <f>'PTRM input'!AB335</f>
        <v>0</v>
      </c>
      <c r="AW36" s="465">
        <f>'PTRM input'!AC335</f>
        <v>0</v>
      </c>
      <c r="AX36" s="464">
        <f>'PTRM input'!AD301</f>
        <v>0</v>
      </c>
      <c r="AY36" s="434">
        <f>'PTRM input'!AE301</f>
        <v>0</v>
      </c>
      <c r="AZ36" s="434">
        <f>'PTRM input'!AF301</f>
        <v>0</v>
      </c>
      <c r="BA36" s="434">
        <f>'PTRM input'!AG301</f>
        <v>0</v>
      </c>
      <c r="BB36" s="434">
        <f>'PTRM input'!AH301</f>
        <v>0</v>
      </c>
      <c r="BC36" s="465">
        <f>'PTRM input'!AI301</f>
        <v>0</v>
      </c>
      <c r="BD36" s="464">
        <f>'PTRM input'!AE335</f>
        <v>0</v>
      </c>
      <c r="BE36" s="434">
        <f>'PTRM input'!AF335</f>
        <v>0</v>
      </c>
      <c r="BF36" s="434">
        <f>'PTRM input'!AG335</f>
        <v>0</v>
      </c>
      <c r="BG36" s="434">
        <f>'PTRM input'!AH335</f>
        <v>0</v>
      </c>
      <c r="BH36" s="465">
        <f>'PTRM input'!AI335</f>
        <v>0</v>
      </c>
      <c r="BI36" s="464">
        <f>'PTRM input'!AJ301</f>
        <v>0</v>
      </c>
      <c r="BJ36" s="434">
        <f>'PTRM input'!AK301</f>
        <v>0</v>
      </c>
      <c r="BK36" s="434">
        <f>'PTRM input'!AL301</f>
        <v>0</v>
      </c>
      <c r="BL36" s="434">
        <f>'PTRM input'!AM301</f>
        <v>0</v>
      </c>
      <c r="BM36" s="434">
        <f>'PTRM input'!AN301</f>
        <v>0</v>
      </c>
      <c r="BN36" s="465">
        <f>'PTRM input'!AO301</f>
        <v>0</v>
      </c>
      <c r="BO36" s="464">
        <f>'PTRM input'!AK335</f>
        <v>0</v>
      </c>
      <c r="BP36" s="434">
        <f>'PTRM input'!AL335</f>
        <v>0</v>
      </c>
      <c r="BQ36" s="434">
        <f>'PTRM input'!AM335</f>
        <v>0</v>
      </c>
      <c r="BR36" s="434">
        <f>'PTRM input'!AN335</f>
        <v>0</v>
      </c>
      <c r="BS36" s="465">
        <f>'PTRM input'!AO335</f>
        <v>0</v>
      </c>
      <c r="BT36" s="464">
        <f>'PTRM input'!AP301</f>
        <v>0</v>
      </c>
      <c r="BU36" s="434">
        <f>'PTRM input'!AQ301</f>
        <v>0</v>
      </c>
      <c r="BV36" s="434">
        <f>'PTRM input'!AR301</f>
        <v>0</v>
      </c>
      <c r="BW36" s="434">
        <f>'PTRM input'!AS301</f>
        <v>0</v>
      </c>
      <c r="BX36" s="434">
        <f>'PTRM input'!AT301</f>
        <v>0</v>
      </c>
      <c r="BY36" s="465">
        <f>'PTRM input'!AU301</f>
        <v>0</v>
      </c>
      <c r="BZ36" s="464">
        <f>'PTRM input'!AQ335</f>
        <v>0</v>
      </c>
      <c r="CA36" s="434">
        <f>'PTRM input'!AR335</f>
        <v>0</v>
      </c>
      <c r="CB36" s="434">
        <f>'PTRM input'!AS335</f>
        <v>0</v>
      </c>
      <c r="CC36" s="434">
        <f>'PTRM input'!AT335</f>
        <v>0</v>
      </c>
      <c r="CD36" s="465">
        <f>'PTRM input'!AU335</f>
        <v>0</v>
      </c>
      <c r="CE36" s="464">
        <f>'PTRM input'!AV301</f>
        <v>0</v>
      </c>
      <c r="CF36" s="434">
        <f>'PTRM input'!AW301</f>
        <v>0</v>
      </c>
      <c r="CG36" s="434">
        <f>'PTRM input'!AX301</f>
        <v>0</v>
      </c>
      <c r="CH36" s="434">
        <f>'PTRM input'!AY301</f>
        <v>0</v>
      </c>
      <c r="CI36" s="434">
        <f>'PTRM input'!AZ301</f>
        <v>0</v>
      </c>
      <c r="CJ36" s="465">
        <f>'PTRM input'!BA301</f>
        <v>0</v>
      </c>
      <c r="CK36" s="464">
        <f>'PTRM input'!AW335</f>
        <v>0</v>
      </c>
      <c r="CL36" s="434">
        <f>'PTRM input'!AX335</f>
        <v>0</v>
      </c>
      <c r="CM36" s="434">
        <f>'PTRM input'!AY335</f>
        <v>0</v>
      </c>
      <c r="CN36" s="434">
        <f>'PTRM input'!AZ335</f>
        <v>0</v>
      </c>
      <c r="CO36" s="465">
        <f>'PTRM input'!BA335</f>
        <v>0</v>
      </c>
      <c r="CP36" s="464">
        <f>'PTRM input'!BB301</f>
        <v>0</v>
      </c>
      <c r="CQ36" s="434">
        <f>'PTRM input'!BC301</f>
        <v>0</v>
      </c>
      <c r="CR36" s="434">
        <f>'PTRM input'!BD301</f>
        <v>0</v>
      </c>
      <c r="CS36" s="434">
        <f>'PTRM input'!BE301</f>
        <v>0</v>
      </c>
      <c r="CT36" s="434">
        <f>'PTRM input'!BF301</f>
        <v>0</v>
      </c>
      <c r="CU36" s="465">
        <f>'PTRM input'!BG301</f>
        <v>0</v>
      </c>
      <c r="CV36" s="464">
        <f>'PTRM input'!BC335</f>
        <v>0</v>
      </c>
      <c r="CW36" s="434">
        <f>'PTRM input'!BD335</f>
        <v>0</v>
      </c>
      <c r="CX36" s="434">
        <f>'PTRM input'!BE335</f>
        <v>0</v>
      </c>
      <c r="CY36" s="434">
        <f>'PTRM input'!BF335</f>
        <v>0</v>
      </c>
      <c r="CZ36" s="465">
        <f>'PTRM input'!BG335</f>
        <v>0</v>
      </c>
      <c r="DA36" s="464">
        <f>'PTRM input'!BH301</f>
        <v>0</v>
      </c>
      <c r="DB36" s="434">
        <f>'PTRM input'!BI301</f>
        <v>0</v>
      </c>
      <c r="DC36" s="434">
        <f>'PTRM input'!BJ301</f>
        <v>0</v>
      </c>
      <c r="DD36" s="434">
        <f>'PTRM input'!BK301</f>
        <v>0</v>
      </c>
      <c r="DE36" s="434">
        <f>'PTRM input'!BL301</f>
        <v>0</v>
      </c>
      <c r="DF36" s="465">
        <f>'PTRM input'!BM301</f>
        <v>0</v>
      </c>
      <c r="DG36" s="464">
        <f>'PTRM input'!BI335</f>
        <v>0</v>
      </c>
      <c r="DH36" s="434">
        <f>'PTRM input'!BJ335</f>
        <v>0</v>
      </c>
      <c r="DI36" s="434">
        <f>'PTRM input'!BK335</f>
        <v>0</v>
      </c>
      <c r="DJ36" s="434">
        <f>'PTRM input'!BL335</f>
        <v>0</v>
      </c>
      <c r="DK36" s="465">
        <f>'PTRM input'!BM335</f>
        <v>0</v>
      </c>
      <c r="DL36" s="48"/>
      <c r="DM36" s="454"/>
      <c r="DN36" s="454"/>
      <c r="DO36" s="454"/>
    </row>
    <row r="37" spans="1:119" s="4" customFormat="1">
      <c r="A37" s="23"/>
      <c r="B37" s="23"/>
      <c r="C37" s="23"/>
      <c r="D37" s="23"/>
      <c r="E37" s="434">
        <f>'PTRM input'!E302</f>
        <v>0</v>
      </c>
      <c r="F37" s="1417">
        <f>'PTRM input'!F302</f>
        <v>0</v>
      </c>
      <c r="G37" s="434">
        <f>'PTRM input'!G302</f>
        <v>0</v>
      </c>
      <c r="H37" s="434">
        <f>'PTRM input'!H302</f>
        <v>0</v>
      </c>
      <c r="I37" s="434">
        <f>'PTRM input'!I302</f>
        <v>0</v>
      </c>
      <c r="J37" s="434">
        <f>'PTRM input'!J302</f>
        <v>0</v>
      </c>
      <c r="K37" s="465">
        <f>'PTRM input'!K302</f>
        <v>0</v>
      </c>
      <c r="L37" s="434">
        <f>'PTRM input'!G336</f>
        <v>0</v>
      </c>
      <c r="M37" s="434">
        <f>'PTRM input'!H336</f>
        <v>0</v>
      </c>
      <c r="N37" s="434">
        <f>'PTRM input'!I336</f>
        <v>0</v>
      </c>
      <c r="O37" s="434">
        <f>'PTRM input'!J336</f>
        <v>0</v>
      </c>
      <c r="P37" s="465">
        <f>'PTRM input'!K336</f>
        <v>0</v>
      </c>
      <c r="Q37" s="464">
        <f>'PTRM input'!L302</f>
        <v>0</v>
      </c>
      <c r="R37" s="434">
        <f>'PTRM input'!M302</f>
        <v>0</v>
      </c>
      <c r="S37" s="434">
        <f>'PTRM input'!N302</f>
        <v>0</v>
      </c>
      <c r="T37" s="434">
        <f>'PTRM input'!O302</f>
        <v>0</v>
      </c>
      <c r="U37" s="434">
        <f>'PTRM input'!P302</f>
        <v>0</v>
      </c>
      <c r="V37" s="465">
        <f>'PTRM input'!Q302</f>
        <v>0</v>
      </c>
      <c r="W37" s="434">
        <f>'PTRM input'!M336</f>
        <v>0</v>
      </c>
      <c r="X37" s="434">
        <f>'PTRM input'!N336</f>
        <v>0</v>
      </c>
      <c r="Y37" s="434">
        <f>'PTRM input'!O336</f>
        <v>0</v>
      </c>
      <c r="Z37" s="434">
        <f>'PTRM input'!P336</f>
        <v>0</v>
      </c>
      <c r="AA37" s="465">
        <f>'PTRM input'!Q336</f>
        <v>0</v>
      </c>
      <c r="AB37" s="434">
        <f>'PTRM input'!R302</f>
        <v>0</v>
      </c>
      <c r="AC37" s="434">
        <f>'PTRM input'!S302</f>
        <v>0</v>
      </c>
      <c r="AD37" s="434">
        <f>'PTRM input'!T302</f>
        <v>0</v>
      </c>
      <c r="AE37" s="434">
        <f>'PTRM input'!U302</f>
        <v>0</v>
      </c>
      <c r="AF37" s="434">
        <f>'PTRM input'!V302</f>
        <v>0</v>
      </c>
      <c r="AG37" s="434">
        <f>'PTRM input'!W302</f>
        <v>0</v>
      </c>
      <c r="AH37" s="464">
        <f>'PTRM input'!S336</f>
        <v>0</v>
      </c>
      <c r="AI37" s="434">
        <f>'PTRM input'!T336</f>
        <v>0</v>
      </c>
      <c r="AJ37" s="434">
        <f>'PTRM input'!U336</f>
        <v>0</v>
      </c>
      <c r="AK37" s="434">
        <f>'PTRM input'!V336</f>
        <v>0</v>
      </c>
      <c r="AL37" s="465">
        <f>'PTRM input'!W336</f>
        <v>0</v>
      </c>
      <c r="AM37" s="464">
        <f>'PTRM input'!X302</f>
        <v>0</v>
      </c>
      <c r="AN37" s="434">
        <f>'PTRM input'!Y302</f>
        <v>0</v>
      </c>
      <c r="AO37" s="434">
        <f>'PTRM input'!Z302</f>
        <v>0</v>
      </c>
      <c r="AP37" s="434">
        <f>'PTRM input'!AA302</f>
        <v>0</v>
      </c>
      <c r="AQ37" s="434">
        <f>'PTRM input'!AB302</f>
        <v>0</v>
      </c>
      <c r="AR37" s="465">
        <f>'PTRM input'!AC302</f>
        <v>0</v>
      </c>
      <c r="AS37" s="464">
        <f>'PTRM input'!Y336</f>
        <v>0</v>
      </c>
      <c r="AT37" s="434">
        <f>'PTRM input'!Z336</f>
        <v>0</v>
      </c>
      <c r="AU37" s="434">
        <f>'PTRM input'!AA336</f>
        <v>0</v>
      </c>
      <c r="AV37" s="434">
        <f>'PTRM input'!AB336</f>
        <v>0</v>
      </c>
      <c r="AW37" s="465">
        <f>'PTRM input'!AC336</f>
        <v>0</v>
      </c>
      <c r="AX37" s="464">
        <f>'PTRM input'!AD302</f>
        <v>0</v>
      </c>
      <c r="AY37" s="434">
        <f>'PTRM input'!AE302</f>
        <v>0</v>
      </c>
      <c r="AZ37" s="434">
        <f>'PTRM input'!AF302</f>
        <v>0</v>
      </c>
      <c r="BA37" s="434">
        <f>'PTRM input'!AG302</f>
        <v>0</v>
      </c>
      <c r="BB37" s="434">
        <f>'PTRM input'!AH302</f>
        <v>0</v>
      </c>
      <c r="BC37" s="465">
        <f>'PTRM input'!AI302</f>
        <v>0</v>
      </c>
      <c r="BD37" s="464">
        <f>'PTRM input'!AE336</f>
        <v>0</v>
      </c>
      <c r="BE37" s="434">
        <f>'PTRM input'!AF336</f>
        <v>0</v>
      </c>
      <c r="BF37" s="434">
        <f>'PTRM input'!AG336</f>
        <v>0</v>
      </c>
      <c r="BG37" s="434">
        <f>'PTRM input'!AH336</f>
        <v>0</v>
      </c>
      <c r="BH37" s="465">
        <f>'PTRM input'!AI336</f>
        <v>0</v>
      </c>
      <c r="BI37" s="464">
        <f>'PTRM input'!AJ302</f>
        <v>0</v>
      </c>
      <c r="BJ37" s="434">
        <f>'PTRM input'!AK302</f>
        <v>0</v>
      </c>
      <c r="BK37" s="434">
        <f>'PTRM input'!AL302</f>
        <v>0</v>
      </c>
      <c r="BL37" s="434">
        <f>'PTRM input'!AM302</f>
        <v>0</v>
      </c>
      <c r="BM37" s="434">
        <f>'PTRM input'!AN302</f>
        <v>0</v>
      </c>
      <c r="BN37" s="465">
        <f>'PTRM input'!AO302</f>
        <v>0</v>
      </c>
      <c r="BO37" s="464">
        <f>'PTRM input'!AK336</f>
        <v>0</v>
      </c>
      <c r="BP37" s="434">
        <f>'PTRM input'!AL336</f>
        <v>0</v>
      </c>
      <c r="BQ37" s="434">
        <f>'PTRM input'!AM336</f>
        <v>0</v>
      </c>
      <c r="BR37" s="434">
        <f>'PTRM input'!AN336</f>
        <v>0</v>
      </c>
      <c r="BS37" s="465">
        <f>'PTRM input'!AO336</f>
        <v>0</v>
      </c>
      <c r="BT37" s="464">
        <f>'PTRM input'!AP302</f>
        <v>0</v>
      </c>
      <c r="BU37" s="434">
        <f>'PTRM input'!AQ302</f>
        <v>0</v>
      </c>
      <c r="BV37" s="434">
        <f>'PTRM input'!AR302</f>
        <v>0</v>
      </c>
      <c r="BW37" s="434">
        <f>'PTRM input'!AS302</f>
        <v>0</v>
      </c>
      <c r="BX37" s="434">
        <f>'PTRM input'!AT302</f>
        <v>0</v>
      </c>
      <c r="BY37" s="465">
        <f>'PTRM input'!AU302</f>
        <v>0</v>
      </c>
      <c r="BZ37" s="464">
        <f>'PTRM input'!AQ336</f>
        <v>0</v>
      </c>
      <c r="CA37" s="434">
        <f>'PTRM input'!AR336</f>
        <v>0</v>
      </c>
      <c r="CB37" s="434">
        <f>'PTRM input'!AS336</f>
        <v>0</v>
      </c>
      <c r="CC37" s="434">
        <f>'PTRM input'!AT336</f>
        <v>0</v>
      </c>
      <c r="CD37" s="465">
        <f>'PTRM input'!AU336</f>
        <v>0</v>
      </c>
      <c r="CE37" s="464">
        <f>'PTRM input'!AV302</f>
        <v>0</v>
      </c>
      <c r="CF37" s="434">
        <f>'PTRM input'!AW302</f>
        <v>0</v>
      </c>
      <c r="CG37" s="434">
        <f>'PTRM input'!AX302</f>
        <v>0</v>
      </c>
      <c r="CH37" s="434">
        <f>'PTRM input'!AY302</f>
        <v>0</v>
      </c>
      <c r="CI37" s="434">
        <f>'PTRM input'!AZ302</f>
        <v>0</v>
      </c>
      <c r="CJ37" s="465">
        <f>'PTRM input'!BA302</f>
        <v>0</v>
      </c>
      <c r="CK37" s="464">
        <f>'PTRM input'!AW336</f>
        <v>0</v>
      </c>
      <c r="CL37" s="434">
        <f>'PTRM input'!AX336</f>
        <v>0</v>
      </c>
      <c r="CM37" s="434">
        <f>'PTRM input'!AY336</f>
        <v>0</v>
      </c>
      <c r="CN37" s="434">
        <f>'PTRM input'!AZ336</f>
        <v>0</v>
      </c>
      <c r="CO37" s="465">
        <f>'PTRM input'!BA336</f>
        <v>0</v>
      </c>
      <c r="CP37" s="464">
        <f>'PTRM input'!BB302</f>
        <v>0</v>
      </c>
      <c r="CQ37" s="434">
        <f>'PTRM input'!BC302</f>
        <v>0</v>
      </c>
      <c r="CR37" s="434">
        <f>'PTRM input'!BD302</f>
        <v>0</v>
      </c>
      <c r="CS37" s="434">
        <f>'PTRM input'!BE302</f>
        <v>0</v>
      </c>
      <c r="CT37" s="434">
        <f>'PTRM input'!BF302</f>
        <v>0</v>
      </c>
      <c r="CU37" s="465">
        <f>'PTRM input'!BG302</f>
        <v>0</v>
      </c>
      <c r="CV37" s="464">
        <f>'PTRM input'!BC336</f>
        <v>0</v>
      </c>
      <c r="CW37" s="434">
        <f>'PTRM input'!BD336</f>
        <v>0</v>
      </c>
      <c r="CX37" s="434">
        <f>'PTRM input'!BE336</f>
        <v>0</v>
      </c>
      <c r="CY37" s="434">
        <f>'PTRM input'!BF336</f>
        <v>0</v>
      </c>
      <c r="CZ37" s="465">
        <f>'PTRM input'!BG336</f>
        <v>0</v>
      </c>
      <c r="DA37" s="464">
        <f>'PTRM input'!BH302</f>
        <v>0</v>
      </c>
      <c r="DB37" s="434">
        <f>'PTRM input'!BI302</f>
        <v>0</v>
      </c>
      <c r="DC37" s="434">
        <f>'PTRM input'!BJ302</f>
        <v>0</v>
      </c>
      <c r="DD37" s="434">
        <f>'PTRM input'!BK302</f>
        <v>0</v>
      </c>
      <c r="DE37" s="434">
        <f>'PTRM input'!BL302</f>
        <v>0</v>
      </c>
      <c r="DF37" s="465">
        <f>'PTRM input'!BM302</f>
        <v>0</v>
      </c>
      <c r="DG37" s="464">
        <f>'PTRM input'!BI336</f>
        <v>0</v>
      </c>
      <c r="DH37" s="434">
        <f>'PTRM input'!BJ336</f>
        <v>0</v>
      </c>
      <c r="DI37" s="434">
        <f>'PTRM input'!BK336</f>
        <v>0</v>
      </c>
      <c r="DJ37" s="434">
        <f>'PTRM input'!BL336</f>
        <v>0</v>
      </c>
      <c r="DK37" s="465">
        <f>'PTRM input'!BM336</f>
        <v>0</v>
      </c>
      <c r="DL37" s="48"/>
      <c r="DM37" s="454"/>
      <c r="DN37" s="454"/>
      <c r="DO37" s="454"/>
    </row>
    <row r="38" spans="1:119" s="4" customFormat="1">
      <c r="A38" s="23"/>
      <c r="B38" s="23"/>
      <c r="C38" s="23"/>
      <c r="D38" s="23"/>
      <c r="E38" s="434">
        <f>'PTRM input'!E303</f>
        <v>0</v>
      </c>
      <c r="F38" s="1417">
        <f>'PTRM input'!F303</f>
        <v>0</v>
      </c>
      <c r="G38" s="434">
        <f>'PTRM input'!G303</f>
        <v>0</v>
      </c>
      <c r="H38" s="434">
        <f>'PTRM input'!H303</f>
        <v>0</v>
      </c>
      <c r="I38" s="434">
        <f>'PTRM input'!I303</f>
        <v>0</v>
      </c>
      <c r="J38" s="434">
        <f>'PTRM input'!J303</f>
        <v>0</v>
      </c>
      <c r="K38" s="465">
        <f>'PTRM input'!K303</f>
        <v>0</v>
      </c>
      <c r="L38" s="434">
        <f>'PTRM input'!G337</f>
        <v>0</v>
      </c>
      <c r="M38" s="434">
        <f>'PTRM input'!H337</f>
        <v>0</v>
      </c>
      <c r="N38" s="434">
        <f>'PTRM input'!I337</f>
        <v>0</v>
      </c>
      <c r="O38" s="434">
        <f>'PTRM input'!J337</f>
        <v>0</v>
      </c>
      <c r="P38" s="465">
        <f>'PTRM input'!K337</f>
        <v>0</v>
      </c>
      <c r="Q38" s="464">
        <f>'PTRM input'!L303</f>
        <v>0</v>
      </c>
      <c r="R38" s="434">
        <f>'PTRM input'!M303</f>
        <v>0</v>
      </c>
      <c r="S38" s="434">
        <f>'PTRM input'!N303</f>
        <v>0</v>
      </c>
      <c r="T38" s="434">
        <f>'PTRM input'!O303</f>
        <v>0</v>
      </c>
      <c r="U38" s="434">
        <f>'PTRM input'!P303</f>
        <v>0</v>
      </c>
      <c r="V38" s="465">
        <f>'PTRM input'!Q303</f>
        <v>0</v>
      </c>
      <c r="W38" s="434">
        <f>'PTRM input'!M337</f>
        <v>0</v>
      </c>
      <c r="X38" s="434">
        <f>'PTRM input'!N337</f>
        <v>0</v>
      </c>
      <c r="Y38" s="434">
        <f>'PTRM input'!O337</f>
        <v>0</v>
      </c>
      <c r="Z38" s="434">
        <f>'PTRM input'!P337</f>
        <v>0</v>
      </c>
      <c r="AA38" s="465">
        <f>'PTRM input'!Q337</f>
        <v>0</v>
      </c>
      <c r="AB38" s="434">
        <f>'PTRM input'!R303</f>
        <v>0</v>
      </c>
      <c r="AC38" s="434">
        <f>'PTRM input'!S303</f>
        <v>0</v>
      </c>
      <c r="AD38" s="434">
        <f>'PTRM input'!T303</f>
        <v>0</v>
      </c>
      <c r="AE38" s="434">
        <f>'PTRM input'!U303</f>
        <v>0</v>
      </c>
      <c r="AF38" s="434">
        <f>'PTRM input'!V303</f>
        <v>0</v>
      </c>
      <c r="AG38" s="434">
        <f>'PTRM input'!W303</f>
        <v>0</v>
      </c>
      <c r="AH38" s="464">
        <f>'PTRM input'!S337</f>
        <v>0</v>
      </c>
      <c r="AI38" s="434">
        <f>'PTRM input'!T337</f>
        <v>0</v>
      </c>
      <c r="AJ38" s="434">
        <f>'PTRM input'!U337</f>
        <v>0</v>
      </c>
      <c r="AK38" s="434">
        <f>'PTRM input'!V337</f>
        <v>0</v>
      </c>
      <c r="AL38" s="465">
        <f>'PTRM input'!W337</f>
        <v>0</v>
      </c>
      <c r="AM38" s="464">
        <f>'PTRM input'!X303</f>
        <v>0</v>
      </c>
      <c r="AN38" s="434">
        <f>'PTRM input'!Y303</f>
        <v>0</v>
      </c>
      <c r="AO38" s="434">
        <f>'PTRM input'!Z303</f>
        <v>0</v>
      </c>
      <c r="AP38" s="434">
        <f>'PTRM input'!AA303</f>
        <v>0</v>
      </c>
      <c r="AQ38" s="434">
        <f>'PTRM input'!AB303</f>
        <v>0</v>
      </c>
      <c r="AR38" s="465">
        <f>'PTRM input'!AC303</f>
        <v>0</v>
      </c>
      <c r="AS38" s="464">
        <f>'PTRM input'!Y337</f>
        <v>0</v>
      </c>
      <c r="AT38" s="434">
        <f>'PTRM input'!Z337</f>
        <v>0</v>
      </c>
      <c r="AU38" s="434">
        <f>'PTRM input'!AA337</f>
        <v>0</v>
      </c>
      <c r="AV38" s="434">
        <f>'PTRM input'!AB337</f>
        <v>0</v>
      </c>
      <c r="AW38" s="465">
        <f>'PTRM input'!AC337</f>
        <v>0</v>
      </c>
      <c r="AX38" s="464">
        <f>'PTRM input'!AD303</f>
        <v>0</v>
      </c>
      <c r="AY38" s="434">
        <f>'PTRM input'!AE303</f>
        <v>0</v>
      </c>
      <c r="AZ38" s="434">
        <f>'PTRM input'!AF303</f>
        <v>0</v>
      </c>
      <c r="BA38" s="434">
        <f>'PTRM input'!AG303</f>
        <v>0</v>
      </c>
      <c r="BB38" s="434">
        <f>'PTRM input'!AH303</f>
        <v>0</v>
      </c>
      <c r="BC38" s="465">
        <f>'PTRM input'!AI303</f>
        <v>0</v>
      </c>
      <c r="BD38" s="464">
        <f>'PTRM input'!AE337</f>
        <v>0</v>
      </c>
      <c r="BE38" s="434">
        <f>'PTRM input'!AF337</f>
        <v>0</v>
      </c>
      <c r="BF38" s="434">
        <f>'PTRM input'!AG337</f>
        <v>0</v>
      </c>
      <c r="BG38" s="434">
        <f>'PTRM input'!AH337</f>
        <v>0</v>
      </c>
      <c r="BH38" s="465">
        <f>'PTRM input'!AI337</f>
        <v>0</v>
      </c>
      <c r="BI38" s="464">
        <f>'PTRM input'!AJ303</f>
        <v>0</v>
      </c>
      <c r="BJ38" s="434">
        <f>'PTRM input'!AK303</f>
        <v>0</v>
      </c>
      <c r="BK38" s="434">
        <f>'PTRM input'!AL303</f>
        <v>0</v>
      </c>
      <c r="BL38" s="434">
        <f>'PTRM input'!AM303</f>
        <v>0</v>
      </c>
      <c r="BM38" s="434">
        <f>'PTRM input'!AN303</f>
        <v>0</v>
      </c>
      <c r="BN38" s="465">
        <f>'PTRM input'!AO303</f>
        <v>0</v>
      </c>
      <c r="BO38" s="464">
        <f>'PTRM input'!AK337</f>
        <v>0</v>
      </c>
      <c r="BP38" s="434">
        <f>'PTRM input'!AL337</f>
        <v>0</v>
      </c>
      <c r="BQ38" s="434">
        <f>'PTRM input'!AM337</f>
        <v>0</v>
      </c>
      <c r="BR38" s="434">
        <f>'PTRM input'!AN337</f>
        <v>0</v>
      </c>
      <c r="BS38" s="465">
        <f>'PTRM input'!AO337</f>
        <v>0</v>
      </c>
      <c r="BT38" s="464">
        <f>'PTRM input'!AP303</f>
        <v>0</v>
      </c>
      <c r="BU38" s="434">
        <f>'PTRM input'!AQ303</f>
        <v>0</v>
      </c>
      <c r="BV38" s="434">
        <f>'PTRM input'!AR303</f>
        <v>0</v>
      </c>
      <c r="BW38" s="434">
        <f>'PTRM input'!AS303</f>
        <v>0</v>
      </c>
      <c r="BX38" s="434">
        <f>'PTRM input'!AT303</f>
        <v>0</v>
      </c>
      <c r="BY38" s="465">
        <f>'PTRM input'!AU303</f>
        <v>0</v>
      </c>
      <c r="BZ38" s="464">
        <f>'PTRM input'!AQ337</f>
        <v>0</v>
      </c>
      <c r="CA38" s="434">
        <f>'PTRM input'!AR337</f>
        <v>0</v>
      </c>
      <c r="CB38" s="434">
        <f>'PTRM input'!AS337</f>
        <v>0</v>
      </c>
      <c r="CC38" s="434">
        <f>'PTRM input'!AT337</f>
        <v>0</v>
      </c>
      <c r="CD38" s="465">
        <f>'PTRM input'!AU337</f>
        <v>0</v>
      </c>
      <c r="CE38" s="464">
        <f>'PTRM input'!AV303</f>
        <v>0</v>
      </c>
      <c r="CF38" s="434">
        <f>'PTRM input'!AW303</f>
        <v>0</v>
      </c>
      <c r="CG38" s="434">
        <f>'PTRM input'!AX303</f>
        <v>0</v>
      </c>
      <c r="CH38" s="434">
        <f>'PTRM input'!AY303</f>
        <v>0</v>
      </c>
      <c r="CI38" s="434">
        <f>'PTRM input'!AZ303</f>
        <v>0</v>
      </c>
      <c r="CJ38" s="465">
        <f>'PTRM input'!BA303</f>
        <v>0</v>
      </c>
      <c r="CK38" s="464">
        <f>'PTRM input'!AW337</f>
        <v>0</v>
      </c>
      <c r="CL38" s="434">
        <f>'PTRM input'!AX337</f>
        <v>0</v>
      </c>
      <c r="CM38" s="434">
        <f>'PTRM input'!AY337</f>
        <v>0</v>
      </c>
      <c r="CN38" s="434">
        <f>'PTRM input'!AZ337</f>
        <v>0</v>
      </c>
      <c r="CO38" s="465">
        <f>'PTRM input'!BA337</f>
        <v>0</v>
      </c>
      <c r="CP38" s="464">
        <f>'PTRM input'!BB303</f>
        <v>0</v>
      </c>
      <c r="CQ38" s="434">
        <f>'PTRM input'!BC303</f>
        <v>0</v>
      </c>
      <c r="CR38" s="434">
        <f>'PTRM input'!BD303</f>
        <v>0</v>
      </c>
      <c r="CS38" s="434">
        <f>'PTRM input'!BE303</f>
        <v>0</v>
      </c>
      <c r="CT38" s="434">
        <f>'PTRM input'!BF303</f>
        <v>0</v>
      </c>
      <c r="CU38" s="465">
        <f>'PTRM input'!BG303</f>
        <v>0</v>
      </c>
      <c r="CV38" s="464">
        <f>'PTRM input'!BC337</f>
        <v>0</v>
      </c>
      <c r="CW38" s="434">
        <f>'PTRM input'!BD337</f>
        <v>0</v>
      </c>
      <c r="CX38" s="434">
        <f>'PTRM input'!BE337</f>
        <v>0</v>
      </c>
      <c r="CY38" s="434">
        <f>'PTRM input'!BF337</f>
        <v>0</v>
      </c>
      <c r="CZ38" s="465">
        <f>'PTRM input'!BG337</f>
        <v>0</v>
      </c>
      <c r="DA38" s="464">
        <f>'PTRM input'!BH303</f>
        <v>0</v>
      </c>
      <c r="DB38" s="434">
        <f>'PTRM input'!BI303</f>
        <v>0</v>
      </c>
      <c r="DC38" s="434">
        <f>'PTRM input'!BJ303</f>
        <v>0</v>
      </c>
      <c r="DD38" s="434">
        <f>'PTRM input'!BK303</f>
        <v>0</v>
      </c>
      <c r="DE38" s="434">
        <f>'PTRM input'!BL303</f>
        <v>0</v>
      </c>
      <c r="DF38" s="465">
        <f>'PTRM input'!BM303</f>
        <v>0</v>
      </c>
      <c r="DG38" s="464">
        <f>'PTRM input'!BI337</f>
        <v>0</v>
      </c>
      <c r="DH38" s="434">
        <f>'PTRM input'!BJ337</f>
        <v>0</v>
      </c>
      <c r="DI38" s="434">
        <f>'PTRM input'!BK337</f>
        <v>0</v>
      </c>
      <c r="DJ38" s="434">
        <f>'PTRM input'!BL337</f>
        <v>0</v>
      </c>
      <c r="DK38" s="465">
        <f>'PTRM input'!BM337</f>
        <v>0</v>
      </c>
      <c r="DL38" s="48"/>
      <c r="DM38" s="454"/>
      <c r="DN38" s="454"/>
      <c r="DO38" s="454"/>
    </row>
    <row r="39" spans="1:119" s="4" customFormat="1">
      <c r="A39" s="23"/>
      <c r="B39" s="23"/>
      <c r="C39" s="23"/>
      <c r="D39" s="23"/>
      <c r="E39" s="434">
        <f>'PTRM input'!E304</f>
        <v>0</v>
      </c>
      <c r="F39" s="1509">
        <f>'PTRM input'!F304</f>
        <v>0</v>
      </c>
      <c r="G39" s="467">
        <f>'PTRM input'!G304</f>
        <v>0</v>
      </c>
      <c r="H39" s="467">
        <f>'PTRM input'!H304</f>
        <v>0</v>
      </c>
      <c r="I39" s="467">
        <f>'PTRM input'!I304</f>
        <v>0</v>
      </c>
      <c r="J39" s="467">
        <f>'PTRM input'!J304</f>
        <v>0</v>
      </c>
      <c r="K39" s="468">
        <f>'PTRM input'!K304</f>
        <v>0</v>
      </c>
      <c r="L39" s="434">
        <f>'PTRM input'!G338</f>
        <v>0</v>
      </c>
      <c r="M39" s="434">
        <f>'PTRM input'!H338</f>
        <v>0</v>
      </c>
      <c r="N39" s="434">
        <f>'PTRM input'!I338</f>
        <v>0</v>
      </c>
      <c r="O39" s="434">
        <f>'PTRM input'!J338</f>
        <v>0</v>
      </c>
      <c r="P39" s="465">
        <f>'PTRM input'!K338</f>
        <v>0</v>
      </c>
      <c r="Q39" s="464">
        <f>'PTRM input'!L304</f>
        <v>0</v>
      </c>
      <c r="R39" s="434">
        <f>'PTRM input'!M304</f>
        <v>0</v>
      </c>
      <c r="S39" s="434">
        <f>'PTRM input'!N304</f>
        <v>0</v>
      </c>
      <c r="T39" s="434">
        <f>'PTRM input'!O304</f>
        <v>0</v>
      </c>
      <c r="U39" s="434">
        <f>'PTRM input'!P304</f>
        <v>0</v>
      </c>
      <c r="V39" s="465">
        <f>'PTRM input'!Q304</f>
        <v>0</v>
      </c>
      <c r="W39" s="434">
        <f>'PTRM input'!M338</f>
        <v>0</v>
      </c>
      <c r="X39" s="434">
        <f>'PTRM input'!N338</f>
        <v>0</v>
      </c>
      <c r="Y39" s="434">
        <f>'PTRM input'!O338</f>
        <v>0</v>
      </c>
      <c r="Z39" s="434">
        <f>'PTRM input'!P338</f>
        <v>0</v>
      </c>
      <c r="AA39" s="465">
        <f>'PTRM input'!Q338</f>
        <v>0</v>
      </c>
      <c r="AB39" s="434">
        <f>'PTRM input'!R304</f>
        <v>0</v>
      </c>
      <c r="AC39" s="434">
        <f>'PTRM input'!S304</f>
        <v>0</v>
      </c>
      <c r="AD39" s="434">
        <f>'PTRM input'!T304</f>
        <v>0</v>
      </c>
      <c r="AE39" s="434">
        <f>'PTRM input'!U304</f>
        <v>0</v>
      </c>
      <c r="AF39" s="434">
        <f>'PTRM input'!V304</f>
        <v>0</v>
      </c>
      <c r="AG39" s="434">
        <f>'PTRM input'!W304</f>
        <v>0</v>
      </c>
      <c r="AH39" s="466">
        <f>'PTRM input'!S338</f>
        <v>0</v>
      </c>
      <c r="AI39" s="467">
        <f>'PTRM input'!T338</f>
        <v>0</v>
      </c>
      <c r="AJ39" s="467">
        <f>'PTRM input'!U338</f>
        <v>0</v>
      </c>
      <c r="AK39" s="467">
        <f>'PTRM input'!V338</f>
        <v>0</v>
      </c>
      <c r="AL39" s="468">
        <f>'PTRM input'!W338</f>
        <v>0</v>
      </c>
      <c r="AM39" s="466">
        <f>'PTRM input'!X304</f>
        <v>0</v>
      </c>
      <c r="AN39" s="467">
        <f>'PTRM input'!Y304</f>
        <v>0</v>
      </c>
      <c r="AO39" s="467">
        <f>'PTRM input'!Z304</f>
        <v>0</v>
      </c>
      <c r="AP39" s="467">
        <f>'PTRM input'!AA304</f>
        <v>0</v>
      </c>
      <c r="AQ39" s="467">
        <f>'PTRM input'!AB304</f>
        <v>0</v>
      </c>
      <c r="AR39" s="468">
        <f>'PTRM input'!AC304</f>
        <v>0</v>
      </c>
      <c r="AS39" s="466">
        <f>'PTRM input'!Y338</f>
        <v>0</v>
      </c>
      <c r="AT39" s="467">
        <f>'PTRM input'!Z338</f>
        <v>0</v>
      </c>
      <c r="AU39" s="467">
        <f>'PTRM input'!AA338</f>
        <v>0</v>
      </c>
      <c r="AV39" s="467">
        <f>'PTRM input'!AB338</f>
        <v>0</v>
      </c>
      <c r="AW39" s="468">
        <f>'PTRM input'!AC338</f>
        <v>0</v>
      </c>
      <c r="AX39" s="466">
        <f>'PTRM input'!AD304</f>
        <v>0</v>
      </c>
      <c r="AY39" s="467">
        <f>'PTRM input'!AE304</f>
        <v>0</v>
      </c>
      <c r="AZ39" s="467">
        <f>'PTRM input'!AF304</f>
        <v>0</v>
      </c>
      <c r="BA39" s="467">
        <f>'PTRM input'!AG304</f>
        <v>0</v>
      </c>
      <c r="BB39" s="467">
        <f>'PTRM input'!AH304</f>
        <v>0</v>
      </c>
      <c r="BC39" s="468">
        <f>'PTRM input'!AI304</f>
        <v>0</v>
      </c>
      <c r="BD39" s="466">
        <f>'PTRM input'!AE338</f>
        <v>0</v>
      </c>
      <c r="BE39" s="467">
        <f>'PTRM input'!AF338</f>
        <v>0</v>
      </c>
      <c r="BF39" s="467">
        <f>'PTRM input'!AG338</f>
        <v>0</v>
      </c>
      <c r="BG39" s="467">
        <f>'PTRM input'!AH338</f>
        <v>0</v>
      </c>
      <c r="BH39" s="468">
        <f>'PTRM input'!AI338</f>
        <v>0</v>
      </c>
      <c r="BI39" s="466">
        <f>'PTRM input'!AJ304</f>
        <v>0</v>
      </c>
      <c r="BJ39" s="467">
        <f>'PTRM input'!AK304</f>
        <v>0</v>
      </c>
      <c r="BK39" s="467">
        <f>'PTRM input'!AL304</f>
        <v>0</v>
      </c>
      <c r="BL39" s="467">
        <f>'PTRM input'!AM304</f>
        <v>0</v>
      </c>
      <c r="BM39" s="467">
        <f>'PTRM input'!AN304</f>
        <v>0</v>
      </c>
      <c r="BN39" s="468">
        <f>'PTRM input'!AO304</f>
        <v>0</v>
      </c>
      <c r="BO39" s="466">
        <f>'PTRM input'!AK338</f>
        <v>0</v>
      </c>
      <c r="BP39" s="467">
        <f>'PTRM input'!AL338</f>
        <v>0</v>
      </c>
      <c r="BQ39" s="467">
        <f>'PTRM input'!AM338</f>
        <v>0</v>
      </c>
      <c r="BR39" s="467">
        <f>'PTRM input'!AN338</f>
        <v>0</v>
      </c>
      <c r="BS39" s="468">
        <f>'PTRM input'!AO338</f>
        <v>0</v>
      </c>
      <c r="BT39" s="466">
        <f>'PTRM input'!AP304</f>
        <v>0</v>
      </c>
      <c r="BU39" s="467">
        <f>'PTRM input'!AQ304</f>
        <v>0</v>
      </c>
      <c r="BV39" s="467">
        <f>'PTRM input'!AR304</f>
        <v>0</v>
      </c>
      <c r="BW39" s="467">
        <f>'PTRM input'!AS304</f>
        <v>0</v>
      </c>
      <c r="BX39" s="467">
        <f>'PTRM input'!AT304</f>
        <v>0</v>
      </c>
      <c r="BY39" s="468">
        <f>'PTRM input'!AU304</f>
        <v>0</v>
      </c>
      <c r="BZ39" s="466">
        <f>'PTRM input'!AQ338</f>
        <v>0</v>
      </c>
      <c r="CA39" s="467">
        <f>'PTRM input'!AR338</f>
        <v>0</v>
      </c>
      <c r="CB39" s="467">
        <f>'PTRM input'!AS338</f>
        <v>0</v>
      </c>
      <c r="CC39" s="467">
        <f>'PTRM input'!AT338</f>
        <v>0</v>
      </c>
      <c r="CD39" s="468">
        <f>'PTRM input'!AU338</f>
        <v>0</v>
      </c>
      <c r="CE39" s="466">
        <f>'PTRM input'!AV304</f>
        <v>0</v>
      </c>
      <c r="CF39" s="467">
        <f>'PTRM input'!AW304</f>
        <v>0</v>
      </c>
      <c r="CG39" s="467">
        <f>'PTRM input'!AX304</f>
        <v>0</v>
      </c>
      <c r="CH39" s="467">
        <f>'PTRM input'!AY304</f>
        <v>0</v>
      </c>
      <c r="CI39" s="467">
        <f>'PTRM input'!AZ304</f>
        <v>0</v>
      </c>
      <c r="CJ39" s="468">
        <f>'PTRM input'!BA304</f>
        <v>0</v>
      </c>
      <c r="CK39" s="466">
        <f>'PTRM input'!AW338</f>
        <v>0</v>
      </c>
      <c r="CL39" s="467">
        <f>'PTRM input'!AX338</f>
        <v>0</v>
      </c>
      <c r="CM39" s="467">
        <f>'PTRM input'!AY338</f>
        <v>0</v>
      </c>
      <c r="CN39" s="467">
        <f>'PTRM input'!AZ338</f>
        <v>0</v>
      </c>
      <c r="CO39" s="468">
        <f>'PTRM input'!BA338</f>
        <v>0</v>
      </c>
      <c r="CP39" s="466">
        <f>'PTRM input'!BB304</f>
        <v>0</v>
      </c>
      <c r="CQ39" s="467">
        <f>'PTRM input'!BC304</f>
        <v>0</v>
      </c>
      <c r="CR39" s="467">
        <f>'PTRM input'!BD304</f>
        <v>0</v>
      </c>
      <c r="CS39" s="467">
        <f>'PTRM input'!BE304</f>
        <v>0</v>
      </c>
      <c r="CT39" s="467">
        <f>'PTRM input'!BF304</f>
        <v>0</v>
      </c>
      <c r="CU39" s="468">
        <f>'PTRM input'!BG304</f>
        <v>0</v>
      </c>
      <c r="CV39" s="466">
        <f>'PTRM input'!BC338</f>
        <v>0</v>
      </c>
      <c r="CW39" s="467">
        <f>'PTRM input'!BD338</f>
        <v>0</v>
      </c>
      <c r="CX39" s="467">
        <f>'PTRM input'!BE338</f>
        <v>0</v>
      </c>
      <c r="CY39" s="467">
        <f>'PTRM input'!BF338</f>
        <v>0</v>
      </c>
      <c r="CZ39" s="468">
        <f>'PTRM input'!BG338</f>
        <v>0</v>
      </c>
      <c r="DA39" s="466">
        <f>'PTRM input'!BH304</f>
        <v>0</v>
      </c>
      <c r="DB39" s="467">
        <f>'PTRM input'!BI304</f>
        <v>0</v>
      </c>
      <c r="DC39" s="467">
        <f>'PTRM input'!BJ304</f>
        <v>0</v>
      </c>
      <c r="DD39" s="467">
        <f>'PTRM input'!BK304</f>
        <v>0</v>
      </c>
      <c r="DE39" s="467">
        <f>'PTRM input'!BL304</f>
        <v>0</v>
      </c>
      <c r="DF39" s="468">
        <f>'PTRM input'!BM304</f>
        <v>0</v>
      </c>
      <c r="DG39" s="466">
        <f>'PTRM input'!BI338</f>
        <v>0</v>
      </c>
      <c r="DH39" s="467">
        <f>'PTRM input'!BJ338</f>
        <v>0</v>
      </c>
      <c r="DI39" s="467">
        <f>'PTRM input'!BK338</f>
        <v>0</v>
      </c>
      <c r="DJ39" s="467">
        <f>'PTRM input'!BL338</f>
        <v>0</v>
      </c>
      <c r="DK39" s="468">
        <f>'PTRM input'!BM338</f>
        <v>0</v>
      </c>
      <c r="DL39" s="48"/>
      <c r="DM39" s="454"/>
      <c r="DN39" s="454"/>
      <c r="DO39" s="454"/>
    </row>
    <row r="40" spans="1:119" s="4" customFormat="1">
      <c r="A40" s="23"/>
      <c r="B40" s="23"/>
      <c r="C40" s="23"/>
      <c r="D40" s="23"/>
      <c r="E40" s="378" t="s">
        <v>83</v>
      </c>
      <c r="F40" s="469">
        <f t="shared" ref="F40:P40" si="1">SUM(F14:F39)</f>
        <v>690000</v>
      </c>
      <c r="G40" s="470">
        <f t="shared" si="1"/>
        <v>703800</v>
      </c>
      <c r="H40" s="470">
        <f t="shared" si="1"/>
        <v>717876</v>
      </c>
      <c r="I40" s="470">
        <f>SUM(I14:I39)</f>
        <v>732233.52</v>
      </c>
      <c r="J40" s="470">
        <f t="shared" si="1"/>
        <v>746878.1904000002</v>
      </c>
      <c r="K40" s="471">
        <f t="shared" si="1"/>
        <v>761815.75420799968</v>
      </c>
      <c r="L40" s="469">
        <f t="shared" si="1"/>
        <v>777052.06929215998</v>
      </c>
      <c r="M40" s="470">
        <f t="shared" si="1"/>
        <v>792593.11067800329</v>
      </c>
      <c r="N40" s="470">
        <f>SUM(N14:N39)</f>
        <v>808444.97289156332</v>
      </c>
      <c r="O40" s="470">
        <f t="shared" si="1"/>
        <v>824613.87234939437</v>
      </c>
      <c r="P40" s="471">
        <f t="shared" si="1"/>
        <v>841106.14979638241</v>
      </c>
      <c r="Q40" s="469">
        <f t="shared" ref="Q40:AA40" si="2">SUM(Q14:Q39)</f>
        <v>1000000000</v>
      </c>
      <c r="R40" s="470">
        <f t="shared" si="2"/>
        <v>996000000</v>
      </c>
      <c r="S40" s="470">
        <f t="shared" si="2"/>
        <v>992016000</v>
      </c>
      <c r="T40" s="470">
        <f t="shared" si="2"/>
        <v>988047936</v>
      </c>
      <c r="U40" s="470">
        <f t="shared" si="2"/>
        <v>984095744.25600004</v>
      </c>
      <c r="V40" s="471">
        <f t="shared" si="2"/>
        <v>980159361.27897608</v>
      </c>
      <c r="W40" s="469">
        <f t="shared" si="2"/>
        <v>976238723.83386016</v>
      </c>
      <c r="X40" s="470">
        <f t="shared" si="2"/>
        <v>972333768.93852472</v>
      </c>
      <c r="Y40" s="470">
        <f t="shared" si="2"/>
        <v>968444433.86277068</v>
      </c>
      <c r="Z40" s="470">
        <f t="shared" si="2"/>
        <v>964570656.12731957</v>
      </c>
      <c r="AA40" s="471">
        <f t="shared" si="2"/>
        <v>960712373.50281024</v>
      </c>
      <c r="AB40" s="469">
        <f t="shared" ref="AB40:AM40" si="3">SUM(AB14:AB39)</f>
        <v>40000000</v>
      </c>
      <c r="AC40" s="470">
        <f t="shared" si="3"/>
        <v>40590000</v>
      </c>
      <c r="AD40" s="470">
        <f t="shared" si="3"/>
        <v>41192020</v>
      </c>
      <c r="AE40" s="470">
        <f t="shared" si="3"/>
        <v>41806299.960000001</v>
      </c>
      <c r="AF40" s="470">
        <f t="shared" si="3"/>
        <v>42433084.640079997</v>
      </c>
      <c r="AG40" s="470">
        <f t="shared" si="3"/>
        <v>43072623.696399838</v>
      </c>
      <c r="AH40" s="469">
        <f t="shared" si="3"/>
        <v>43725171.779119045</v>
      </c>
      <c r="AI40" s="470">
        <f t="shared" si="3"/>
        <v>44390988.63227503</v>
      </c>
      <c r="AJ40" s="470">
        <f t="shared" si="3"/>
        <v>45070339.195659012</v>
      </c>
      <c r="AK40" s="470">
        <f t="shared" si="3"/>
        <v>45763493.708729185</v>
      </c>
      <c r="AL40" s="471">
        <f t="shared" si="3"/>
        <v>46470727.816602454</v>
      </c>
      <c r="AM40" s="469">
        <f t="shared" si="3"/>
        <v>20000000</v>
      </c>
      <c r="AN40" s="470">
        <f t="shared" ref="AN40:AW40" si="4">SUM(AN14:AN39)</f>
        <v>20295000</v>
      </c>
      <c r="AO40" s="470">
        <f t="shared" si="4"/>
        <v>20596010</v>
      </c>
      <c r="AP40" s="470">
        <f t="shared" si="4"/>
        <v>20903149.98</v>
      </c>
      <c r="AQ40" s="470">
        <f t="shared" si="4"/>
        <v>21216542.320039999</v>
      </c>
      <c r="AR40" s="471">
        <f t="shared" si="4"/>
        <v>21536311.848199919</v>
      </c>
      <c r="AS40" s="469">
        <f t="shared" si="4"/>
        <v>21862585.889559522</v>
      </c>
      <c r="AT40" s="470">
        <f t="shared" si="4"/>
        <v>22195494.316137515</v>
      </c>
      <c r="AU40" s="470">
        <f t="shared" si="4"/>
        <v>22535169.597829506</v>
      </c>
      <c r="AV40" s="470">
        <f t="shared" si="4"/>
        <v>22881746.854364593</v>
      </c>
      <c r="AW40" s="471">
        <f t="shared" si="4"/>
        <v>23235363.908301227</v>
      </c>
      <c r="AX40" s="469">
        <f t="shared" ref="AX40:BH40" si="5">SUM(AX14:AX39)</f>
        <v>8000000</v>
      </c>
      <c r="AY40" s="470">
        <f t="shared" si="5"/>
        <v>8118000</v>
      </c>
      <c r="AZ40" s="470">
        <f t="shared" si="5"/>
        <v>8238404</v>
      </c>
      <c r="BA40" s="470">
        <f t="shared" si="5"/>
        <v>8361259.9920000006</v>
      </c>
      <c r="BB40" s="470">
        <f t="shared" si="5"/>
        <v>8486616.9280159995</v>
      </c>
      <c r="BC40" s="471">
        <f t="shared" si="5"/>
        <v>8614524.7392799668</v>
      </c>
      <c r="BD40" s="469">
        <f t="shared" si="5"/>
        <v>8745034.3558238074</v>
      </c>
      <c r="BE40" s="470">
        <f t="shared" si="5"/>
        <v>8878197.7264550086</v>
      </c>
      <c r="BF40" s="470">
        <f t="shared" si="5"/>
        <v>9014067.8391318042</v>
      </c>
      <c r="BG40" s="470">
        <f t="shared" si="5"/>
        <v>9152698.7417458389</v>
      </c>
      <c r="BH40" s="471">
        <f t="shared" si="5"/>
        <v>9294145.5633204896</v>
      </c>
      <c r="BI40" s="469">
        <f t="shared" ref="BI40:BS40" si="6">SUM(BI14:BI39)</f>
        <v>4000000</v>
      </c>
      <c r="BJ40" s="470">
        <f t="shared" si="6"/>
        <v>4059000</v>
      </c>
      <c r="BK40" s="470">
        <f t="shared" si="6"/>
        <v>4119202</v>
      </c>
      <c r="BL40" s="470">
        <f t="shared" si="6"/>
        <v>4180629.9960000003</v>
      </c>
      <c r="BM40" s="470">
        <f t="shared" si="6"/>
        <v>4243308.4640079997</v>
      </c>
      <c r="BN40" s="471">
        <f t="shared" si="6"/>
        <v>4307262.3696399834</v>
      </c>
      <c r="BO40" s="469">
        <f t="shared" si="6"/>
        <v>4372517.1779119037</v>
      </c>
      <c r="BP40" s="470">
        <f t="shared" si="6"/>
        <v>4439098.8632275043</v>
      </c>
      <c r="BQ40" s="470">
        <f t="shared" si="6"/>
        <v>4507033.9195659021</v>
      </c>
      <c r="BR40" s="470">
        <f t="shared" si="6"/>
        <v>4576349.3708729194</v>
      </c>
      <c r="BS40" s="471">
        <f t="shared" si="6"/>
        <v>4647072.7816602448</v>
      </c>
      <c r="BT40" s="469">
        <f t="shared" ref="BT40:CD40" si="7">SUM(BT14:BT39)</f>
        <v>80000</v>
      </c>
      <c r="BU40" s="470">
        <f t="shared" si="7"/>
        <v>81600</v>
      </c>
      <c r="BV40" s="470">
        <f t="shared" si="7"/>
        <v>83232</v>
      </c>
      <c r="BW40" s="470">
        <f t="shared" si="7"/>
        <v>84896.639999999999</v>
      </c>
      <c r="BX40" s="470">
        <f t="shared" si="7"/>
        <v>86594.57279999998</v>
      </c>
      <c r="BY40" s="471">
        <f t="shared" si="7"/>
        <v>88326.464255999992</v>
      </c>
      <c r="BZ40" s="469">
        <f t="shared" si="7"/>
        <v>90092.993541119984</v>
      </c>
      <c r="CA40" s="470">
        <f t="shared" si="7"/>
        <v>91894.853411942386</v>
      </c>
      <c r="CB40" s="470">
        <f t="shared" si="7"/>
        <v>93732.750480181247</v>
      </c>
      <c r="CC40" s="470">
        <f t="shared" si="7"/>
        <v>95607.405489784884</v>
      </c>
      <c r="CD40" s="471">
        <f t="shared" si="7"/>
        <v>97519.553599580555</v>
      </c>
      <c r="CE40" s="469">
        <f t="shared" ref="CE40:CO40" si="8">SUM(CE14:CE39)</f>
        <v>16000</v>
      </c>
      <c r="CF40" s="470">
        <f t="shared" si="8"/>
        <v>16320</v>
      </c>
      <c r="CG40" s="470">
        <f t="shared" si="8"/>
        <v>16646.399999999998</v>
      </c>
      <c r="CH40" s="470">
        <f t="shared" si="8"/>
        <v>16979.328000000005</v>
      </c>
      <c r="CI40" s="470">
        <f t="shared" si="8"/>
        <v>17318.914560000001</v>
      </c>
      <c r="CJ40" s="471">
        <f t="shared" si="8"/>
        <v>17665.292851200003</v>
      </c>
      <c r="CK40" s="469">
        <f t="shared" si="8"/>
        <v>18018.598708223999</v>
      </c>
      <c r="CL40" s="470">
        <f t="shared" si="8"/>
        <v>18378.970682388481</v>
      </c>
      <c r="CM40" s="470">
        <f t="shared" si="8"/>
        <v>18746.550096036251</v>
      </c>
      <c r="CN40" s="470">
        <f t="shared" si="8"/>
        <v>19121.481097956977</v>
      </c>
      <c r="CO40" s="471">
        <f t="shared" si="8"/>
        <v>19503.910719916119</v>
      </c>
      <c r="CP40" s="469">
        <f t="shared" ref="CP40:CZ40" si="9">SUM(CP14:CP39)</f>
        <v>40000</v>
      </c>
      <c r="CQ40" s="470">
        <f t="shared" si="9"/>
        <v>40800</v>
      </c>
      <c r="CR40" s="470">
        <f t="shared" si="9"/>
        <v>41616</v>
      </c>
      <c r="CS40" s="470">
        <f t="shared" si="9"/>
        <v>42448.32</v>
      </c>
      <c r="CT40" s="470">
        <f t="shared" si="9"/>
        <v>43297.28639999999</v>
      </c>
      <c r="CU40" s="471">
        <f t="shared" si="9"/>
        <v>44163.232127999996</v>
      </c>
      <c r="CV40" s="469">
        <f t="shared" si="9"/>
        <v>45046.496770559992</v>
      </c>
      <c r="CW40" s="470">
        <f t="shared" si="9"/>
        <v>45947.426705971193</v>
      </c>
      <c r="CX40" s="470">
        <f t="shared" si="9"/>
        <v>46866.375240090623</v>
      </c>
      <c r="CY40" s="470">
        <f t="shared" si="9"/>
        <v>47803.702744892442</v>
      </c>
      <c r="CZ40" s="470">
        <f t="shared" si="9"/>
        <v>48759.776799790277</v>
      </c>
      <c r="DA40" s="469">
        <f t="shared" ref="DA40:DK40" si="10">SUM(DA14:DA39)</f>
        <v>1600</v>
      </c>
      <c r="DB40" s="470">
        <f t="shared" si="10"/>
        <v>1632</v>
      </c>
      <c r="DC40" s="470">
        <f t="shared" si="10"/>
        <v>1664.6399999999999</v>
      </c>
      <c r="DD40" s="470">
        <f t="shared" si="10"/>
        <v>1697.9328000000003</v>
      </c>
      <c r="DE40" s="470">
        <f t="shared" si="10"/>
        <v>1731.8914559999998</v>
      </c>
      <c r="DF40" s="471">
        <f t="shared" si="10"/>
        <v>1766.5292851199997</v>
      </c>
      <c r="DG40" s="469">
        <f t="shared" si="10"/>
        <v>1801.8598708224001</v>
      </c>
      <c r="DH40" s="470">
        <f t="shared" si="10"/>
        <v>1837.8970682388481</v>
      </c>
      <c r="DI40" s="470">
        <f t="shared" si="10"/>
        <v>1874.6550096036249</v>
      </c>
      <c r="DJ40" s="470">
        <f t="shared" si="10"/>
        <v>1912.1481097956971</v>
      </c>
      <c r="DK40" s="471">
        <f t="shared" si="10"/>
        <v>1950.3910719916114</v>
      </c>
      <c r="DL40" s="48"/>
      <c r="DM40" s="454"/>
      <c r="DN40" s="454"/>
      <c r="DO40" s="454"/>
    </row>
    <row r="41" spans="1:119" s="4" customForma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54"/>
      <c r="DN41" s="454"/>
      <c r="DO41" s="454"/>
    </row>
    <row r="42" spans="1:119" s="4" customFormat="1">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54"/>
      <c r="DN42" s="454"/>
      <c r="DO42" s="454"/>
    </row>
    <row r="43" spans="1:119">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240"/>
      <c r="DN43" s="240"/>
      <c r="DO43" s="240"/>
    </row>
    <row r="44" spans="1:119">
      <c r="A44" s="116"/>
      <c r="B44" s="480"/>
      <c r="C44" s="480"/>
      <c r="D44" s="480"/>
      <c r="E44" s="1619" t="s">
        <v>320</v>
      </c>
      <c r="F44" s="1619"/>
      <c r="G44" s="1619"/>
      <c r="H44" s="117"/>
      <c r="I44" s="117"/>
      <c r="J44" s="117"/>
      <c r="K44" s="117"/>
      <c r="L44" s="117"/>
      <c r="M44" s="117"/>
      <c r="N44" s="117"/>
      <c r="O44" s="117"/>
      <c r="P44" s="117"/>
      <c r="Q44" s="117"/>
      <c r="R44" s="117"/>
      <c r="S44" s="117"/>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CT44" s="116"/>
      <c r="CU44" s="116"/>
      <c r="CV44" s="116"/>
      <c r="CW44" s="116"/>
      <c r="CX44" s="116"/>
      <c r="CY44" s="116"/>
      <c r="CZ44" s="116"/>
      <c r="DA44" s="116"/>
      <c r="DB44" s="116"/>
      <c r="DC44" s="116"/>
      <c r="DD44" s="116"/>
      <c r="DE44" s="116"/>
      <c r="DF44" s="116"/>
      <c r="DG44" s="116"/>
      <c r="DH44" s="116"/>
      <c r="DI44" s="116"/>
      <c r="DJ44" s="116"/>
      <c r="DK44" s="116"/>
      <c r="DL44" s="116"/>
      <c r="DM44" s="240"/>
      <c r="DN44" s="240"/>
      <c r="DO44" s="240"/>
    </row>
    <row r="45" spans="1:119">
      <c r="A45" s="240"/>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240"/>
      <c r="DI45" s="240"/>
      <c r="DJ45" s="240"/>
      <c r="DK45" s="240"/>
      <c r="DL45" s="240"/>
      <c r="DM45" s="240"/>
      <c r="DN45" s="240"/>
      <c r="DO45" s="240"/>
    </row>
    <row r="46" spans="1:119">
      <c r="A46" s="174"/>
      <c r="B46" s="174"/>
      <c r="C46" s="174"/>
      <c r="D46" s="174"/>
      <c r="E46" s="423" t="s">
        <v>173</v>
      </c>
      <c r="F46" s="1602" t="str">
        <f>'PTRM input'!F246</f>
        <v>Standing Charge ($ per customer per year)</v>
      </c>
      <c r="G46" s="1600"/>
      <c r="H46" s="1600"/>
      <c r="I46" s="1600"/>
      <c r="J46" s="1600"/>
      <c r="K46" s="1601"/>
      <c r="L46" s="1602" t="str">
        <f>F46&amp;" [years 6-10]"</f>
        <v>Standing Charge ($ per customer per year) [years 6-10]</v>
      </c>
      <c r="M46" s="1600"/>
      <c r="N46" s="1600"/>
      <c r="O46" s="1600"/>
      <c r="P46" s="1601"/>
      <c r="Q46" s="1602" t="str">
        <f>'PTRM input'!G246</f>
        <v>Non TOU Energy (c/kWh)</v>
      </c>
      <c r="R46" s="1600"/>
      <c r="S46" s="1600"/>
      <c r="T46" s="1600"/>
      <c r="U46" s="1600"/>
      <c r="V46" s="1601"/>
      <c r="W46" s="1602" t="str">
        <f>Q46&amp;" [years 6-10]"</f>
        <v>Non TOU Energy (c/kWh) [years 6-10]</v>
      </c>
      <c r="X46" s="1600"/>
      <c r="Y46" s="1600"/>
      <c r="Z46" s="1600"/>
      <c r="AA46" s="1601"/>
      <c r="AB46" s="1602" t="str">
        <f>'PTRM input'!H246</f>
        <v>Peak Energy (c/KWh) BLK 1</v>
      </c>
      <c r="AC46" s="1600"/>
      <c r="AD46" s="1600"/>
      <c r="AE46" s="1600"/>
      <c r="AF46" s="1600"/>
      <c r="AG46" s="1601"/>
      <c r="AH46" s="1602" t="str">
        <f>AB46&amp;" [years 6-10]"</f>
        <v>Peak Energy (c/KWh) BLK 1 [years 6-10]</v>
      </c>
      <c r="AI46" s="1600"/>
      <c r="AJ46" s="1600"/>
      <c r="AK46" s="1600"/>
      <c r="AL46" s="1601"/>
      <c r="AM46" s="1620" t="str">
        <f>'PTRM input'!I246</f>
        <v>Peak Energy (c/KWh) BLK 2</v>
      </c>
      <c r="AN46" s="1621"/>
      <c r="AO46" s="1621"/>
      <c r="AP46" s="1621"/>
      <c r="AQ46" s="1621"/>
      <c r="AR46" s="1622"/>
      <c r="AS46" s="1602" t="str">
        <f>AM46&amp;" [years 6-10]"</f>
        <v>Peak Energy (c/KWh) BLK 2 [years 6-10]</v>
      </c>
      <c r="AT46" s="1600"/>
      <c r="AU46" s="1600"/>
      <c r="AV46" s="1600"/>
      <c r="AW46" s="1601"/>
      <c r="AX46" s="1602" t="str">
        <f>'PTRM input'!J246</f>
        <v>Off Peak Energy (c/kWh) BLK 1</v>
      </c>
      <c r="AY46" s="1600"/>
      <c r="AZ46" s="1600"/>
      <c r="BA46" s="1600"/>
      <c r="BB46" s="1600"/>
      <c r="BC46" s="1601"/>
      <c r="BD46" s="1602" t="str">
        <f>AX46&amp;" [years 6-10]"</f>
        <v>Off Peak Energy (c/kWh) BLK 1 [years 6-10]</v>
      </c>
      <c r="BE46" s="1600"/>
      <c r="BF46" s="1600"/>
      <c r="BG46" s="1600"/>
      <c r="BH46" s="1601"/>
      <c r="BI46" s="1620" t="str">
        <f>'PTRM input'!K246</f>
        <v>Off Peak Energy (c/kWh) BLK 2</v>
      </c>
      <c r="BJ46" s="1621"/>
      <c r="BK46" s="1621"/>
      <c r="BL46" s="1621"/>
      <c r="BM46" s="1621"/>
      <c r="BN46" s="1622"/>
      <c r="BO46" s="1602" t="str">
        <f>BI46&amp;" [years 6-10]"</f>
        <v>Off Peak Energy (c/kWh) BLK 2 [years 6-10]</v>
      </c>
      <c r="BP46" s="1600"/>
      <c r="BQ46" s="1600"/>
      <c r="BR46" s="1600"/>
      <c r="BS46" s="1601"/>
      <c r="BT46" s="1602" t="str">
        <f>'PTRM input'!L246</f>
        <v>Peak Demand ($/kVa) BLK 1</v>
      </c>
      <c r="BU46" s="1600"/>
      <c r="BV46" s="1600"/>
      <c r="BW46" s="1600"/>
      <c r="BX46" s="1600"/>
      <c r="BY46" s="1601"/>
      <c r="BZ46" s="1602" t="str">
        <f>BT46&amp;" [years 6-10]"</f>
        <v>Peak Demand ($/kVa) BLK 1 [years 6-10]</v>
      </c>
      <c r="CA46" s="1600"/>
      <c r="CB46" s="1600"/>
      <c r="CC46" s="1600"/>
      <c r="CD46" s="1601"/>
      <c r="CE46" s="1620" t="str">
        <f>'PTRM input'!M246</f>
        <v>Peak Demand ($/kVa) BLK 2</v>
      </c>
      <c r="CF46" s="1621"/>
      <c r="CG46" s="1621"/>
      <c r="CH46" s="1621"/>
      <c r="CI46" s="1621"/>
      <c r="CJ46" s="1622"/>
      <c r="CK46" s="1602" t="str">
        <f>CE46&amp;" [years 6-10]"</f>
        <v>Peak Demand ($/kVa) BLK 2 [years 6-10]</v>
      </c>
      <c r="CL46" s="1600"/>
      <c r="CM46" s="1600"/>
      <c r="CN46" s="1600"/>
      <c r="CO46" s="1601"/>
      <c r="CP46" s="1602" t="str">
        <f>'PTRM input'!N246</f>
        <v>Off Peak Demand ($/kVa) BLK 1</v>
      </c>
      <c r="CQ46" s="1600"/>
      <c r="CR46" s="1600"/>
      <c r="CS46" s="1600"/>
      <c r="CT46" s="1600"/>
      <c r="CU46" s="1601"/>
      <c r="CV46" s="1602" t="str">
        <f>CP46&amp;" [years 6-10]"</f>
        <v>Off Peak Demand ($/kVa) BLK 1 [years 6-10]</v>
      </c>
      <c r="CW46" s="1600"/>
      <c r="CX46" s="1600"/>
      <c r="CY46" s="1600"/>
      <c r="CZ46" s="1601"/>
      <c r="DA46" s="1602" t="str">
        <f>'PTRM input'!O246</f>
        <v>Off Peak Demand ($/kVa) BLK 2</v>
      </c>
      <c r="DB46" s="1600"/>
      <c r="DC46" s="1600"/>
      <c r="DD46" s="1600"/>
      <c r="DE46" s="1600"/>
      <c r="DF46" s="1601"/>
      <c r="DG46" s="1602" t="str">
        <f>DA46&amp;" [years 6-10]"</f>
        <v>Off Peak Demand ($/kVa) BLK 2 [years 6-10]</v>
      </c>
      <c r="DH46" s="1600"/>
      <c r="DI46" s="1600"/>
      <c r="DJ46" s="1600"/>
      <c r="DK46" s="1601"/>
      <c r="DL46" s="48"/>
      <c r="DM46" s="240"/>
      <c r="DN46" s="240"/>
      <c r="DO46" s="240"/>
    </row>
    <row r="47" spans="1:119">
      <c r="A47" s="30"/>
      <c r="B47" s="30"/>
      <c r="C47" s="30"/>
      <c r="D47" s="30"/>
      <c r="E47" s="60" t="s">
        <v>54</v>
      </c>
      <c r="F47" s="424" t="str">
        <f>$F$4</f>
        <v>2009-10</v>
      </c>
      <c r="G47" s="425" t="str">
        <f>$G$4</f>
        <v>2010-11</v>
      </c>
      <c r="H47" s="425" t="str">
        <f>$H$4</f>
        <v>2011-12</v>
      </c>
      <c r="I47" s="425" t="str">
        <f>$I$4</f>
        <v>2012-13</v>
      </c>
      <c r="J47" s="425" t="str">
        <f>$J$4</f>
        <v>2013-14</v>
      </c>
      <c r="K47" s="426" t="str">
        <f>$K$4</f>
        <v>2014-15</v>
      </c>
      <c r="L47" s="424" t="str">
        <f>$L$4</f>
        <v>2015-16</v>
      </c>
      <c r="M47" s="425" t="str">
        <f>$M$4</f>
        <v>2016-17</v>
      </c>
      <c r="N47" s="425" t="str">
        <f>$N$4</f>
        <v>2017-18</v>
      </c>
      <c r="O47" s="425" t="str">
        <f>$O$4</f>
        <v>2018-19</v>
      </c>
      <c r="P47" s="426" t="str">
        <f>$P$4</f>
        <v>2019-20</v>
      </c>
      <c r="Q47" s="424" t="str">
        <f>$F$4</f>
        <v>2009-10</v>
      </c>
      <c r="R47" s="425" t="str">
        <f>$G$4</f>
        <v>2010-11</v>
      </c>
      <c r="S47" s="425" t="str">
        <f>$H$4</f>
        <v>2011-12</v>
      </c>
      <c r="T47" s="425" t="str">
        <f>$I$4</f>
        <v>2012-13</v>
      </c>
      <c r="U47" s="425" t="str">
        <f>$J$4</f>
        <v>2013-14</v>
      </c>
      <c r="V47" s="426" t="str">
        <f>$K$4</f>
        <v>2014-15</v>
      </c>
      <c r="W47" s="424" t="str">
        <f>$L$4</f>
        <v>2015-16</v>
      </c>
      <c r="X47" s="425" t="str">
        <f>$M$4</f>
        <v>2016-17</v>
      </c>
      <c r="Y47" s="425" t="str">
        <f>$N$4</f>
        <v>2017-18</v>
      </c>
      <c r="Z47" s="425" t="str">
        <f>$O$4</f>
        <v>2018-19</v>
      </c>
      <c r="AA47" s="426" t="str">
        <f>$P$4</f>
        <v>2019-20</v>
      </c>
      <c r="AB47" s="424" t="str">
        <f>$F$4</f>
        <v>2009-10</v>
      </c>
      <c r="AC47" s="425" t="str">
        <f>$G$4</f>
        <v>2010-11</v>
      </c>
      <c r="AD47" s="425" t="str">
        <f>$H$4</f>
        <v>2011-12</v>
      </c>
      <c r="AE47" s="425" t="str">
        <f>$I$4</f>
        <v>2012-13</v>
      </c>
      <c r="AF47" s="425" t="str">
        <f>$J$4</f>
        <v>2013-14</v>
      </c>
      <c r="AG47" s="426" t="str">
        <f>$K$4</f>
        <v>2014-15</v>
      </c>
      <c r="AH47" s="424" t="str">
        <f>$L$4</f>
        <v>2015-16</v>
      </c>
      <c r="AI47" s="425" t="str">
        <f>$M$4</f>
        <v>2016-17</v>
      </c>
      <c r="AJ47" s="425" t="str">
        <f>$N$4</f>
        <v>2017-18</v>
      </c>
      <c r="AK47" s="425" t="str">
        <f>$O$4</f>
        <v>2018-19</v>
      </c>
      <c r="AL47" s="426" t="str">
        <f>$P$4</f>
        <v>2019-20</v>
      </c>
      <c r="AM47" s="424" t="str">
        <f>$F$4</f>
        <v>2009-10</v>
      </c>
      <c r="AN47" s="425" t="str">
        <f>$G$4</f>
        <v>2010-11</v>
      </c>
      <c r="AO47" s="425" t="str">
        <f>$H$4</f>
        <v>2011-12</v>
      </c>
      <c r="AP47" s="425" t="str">
        <f>$I$4</f>
        <v>2012-13</v>
      </c>
      <c r="AQ47" s="425" t="str">
        <f>$J$4</f>
        <v>2013-14</v>
      </c>
      <c r="AR47" s="426" t="str">
        <f>$K$4</f>
        <v>2014-15</v>
      </c>
      <c r="AS47" s="424" t="str">
        <f>$L$4</f>
        <v>2015-16</v>
      </c>
      <c r="AT47" s="425" t="str">
        <f>$M$4</f>
        <v>2016-17</v>
      </c>
      <c r="AU47" s="425" t="str">
        <f>$N$4</f>
        <v>2017-18</v>
      </c>
      <c r="AV47" s="425" t="str">
        <f>$O$4</f>
        <v>2018-19</v>
      </c>
      <c r="AW47" s="426" t="str">
        <f>$P$4</f>
        <v>2019-20</v>
      </c>
      <c r="AX47" s="424" t="str">
        <f>$F$4</f>
        <v>2009-10</v>
      </c>
      <c r="AY47" s="425" t="str">
        <f>$G$4</f>
        <v>2010-11</v>
      </c>
      <c r="AZ47" s="425" t="str">
        <f>$H$4</f>
        <v>2011-12</v>
      </c>
      <c r="BA47" s="425" t="str">
        <f>$I$4</f>
        <v>2012-13</v>
      </c>
      <c r="BB47" s="425" t="str">
        <f>$J$4</f>
        <v>2013-14</v>
      </c>
      <c r="BC47" s="426" t="str">
        <f>$K$4</f>
        <v>2014-15</v>
      </c>
      <c r="BD47" s="424" t="str">
        <f>$L$4</f>
        <v>2015-16</v>
      </c>
      <c r="BE47" s="425" t="str">
        <f>$M$4</f>
        <v>2016-17</v>
      </c>
      <c r="BF47" s="425" t="str">
        <f>$N$4</f>
        <v>2017-18</v>
      </c>
      <c r="BG47" s="425" t="str">
        <f>$O$4</f>
        <v>2018-19</v>
      </c>
      <c r="BH47" s="426" t="str">
        <f>$P$4</f>
        <v>2019-20</v>
      </c>
      <c r="BI47" s="424" t="str">
        <f>$F$4</f>
        <v>2009-10</v>
      </c>
      <c r="BJ47" s="425" t="str">
        <f>$G$4</f>
        <v>2010-11</v>
      </c>
      <c r="BK47" s="425" t="str">
        <f>$H$4</f>
        <v>2011-12</v>
      </c>
      <c r="BL47" s="425" t="str">
        <f>$I$4</f>
        <v>2012-13</v>
      </c>
      <c r="BM47" s="425" t="str">
        <f>$J$4</f>
        <v>2013-14</v>
      </c>
      <c r="BN47" s="426" t="str">
        <f>$K$4</f>
        <v>2014-15</v>
      </c>
      <c r="BO47" s="424" t="str">
        <f>$L$4</f>
        <v>2015-16</v>
      </c>
      <c r="BP47" s="425" t="str">
        <f>$M$4</f>
        <v>2016-17</v>
      </c>
      <c r="BQ47" s="425" t="str">
        <f>$N$4</f>
        <v>2017-18</v>
      </c>
      <c r="BR47" s="425" t="str">
        <f>$O$4</f>
        <v>2018-19</v>
      </c>
      <c r="BS47" s="426" t="str">
        <f>$P$4</f>
        <v>2019-20</v>
      </c>
      <c r="BT47" s="424" t="str">
        <f>$F$4</f>
        <v>2009-10</v>
      </c>
      <c r="BU47" s="425" t="str">
        <f>$G$4</f>
        <v>2010-11</v>
      </c>
      <c r="BV47" s="425" t="str">
        <f>$H$4</f>
        <v>2011-12</v>
      </c>
      <c r="BW47" s="425" t="str">
        <f>$I$4</f>
        <v>2012-13</v>
      </c>
      <c r="BX47" s="425" t="str">
        <f>$J$4</f>
        <v>2013-14</v>
      </c>
      <c r="BY47" s="426" t="str">
        <f>$K$4</f>
        <v>2014-15</v>
      </c>
      <c r="BZ47" s="424" t="str">
        <f>$L$4</f>
        <v>2015-16</v>
      </c>
      <c r="CA47" s="425" t="str">
        <f>$M$4</f>
        <v>2016-17</v>
      </c>
      <c r="CB47" s="425" t="str">
        <f>$N$4</f>
        <v>2017-18</v>
      </c>
      <c r="CC47" s="425" t="str">
        <f>$O$4</f>
        <v>2018-19</v>
      </c>
      <c r="CD47" s="426" t="str">
        <f>$P$4</f>
        <v>2019-20</v>
      </c>
      <c r="CE47" s="424" t="str">
        <f>$F$4</f>
        <v>2009-10</v>
      </c>
      <c r="CF47" s="425" t="str">
        <f>$G$4</f>
        <v>2010-11</v>
      </c>
      <c r="CG47" s="425" t="str">
        <f>$H$4</f>
        <v>2011-12</v>
      </c>
      <c r="CH47" s="425" t="str">
        <f>$I$4</f>
        <v>2012-13</v>
      </c>
      <c r="CI47" s="425" t="str">
        <f>$J$4</f>
        <v>2013-14</v>
      </c>
      <c r="CJ47" s="426" t="str">
        <f>$K$4</f>
        <v>2014-15</v>
      </c>
      <c r="CK47" s="424" t="str">
        <f>$L$4</f>
        <v>2015-16</v>
      </c>
      <c r="CL47" s="425" t="str">
        <f>$M$4</f>
        <v>2016-17</v>
      </c>
      <c r="CM47" s="425" t="str">
        <f>$N$4</f>
        <v>2017-18</v>
      </c>
      <c r="CN47" s="425" t="str">
        <f>$O$4</f>
        <v>2018-19</v>
      </c>
      <c r="CO47" s="426" t="str">
        <f>$P$4</f>
        <v>2019-20</v>
      </c>
      <c r="CP47" s="424" t="str">
        <f>$F$4</f>
        <v>2009-10</v>
      </c>
      <c r="CQ47" s="425" t="str">
        <f>$G$4</f>
        <v>2010-11</v>
      </c>
      <c r="CR47" s="425" t="str">
        <f>$H$4</f>
        <v>2011-12</v>
      </c>
      <c r="CS47" s="425" t="str">
        <f>$I$4</f>
        <v>2012-13</v>
      </c>
      <c r="CT47" s="425" t="str">
        <f>$J$4</f>
        <v>2013-14</v>
      </c>
      <c r="CU47" s="426" t="str">
        <f>$K$4</f>
        <v>2014-15</v>
      </c>
      <c r="CV47" s="424" t="str">
        <f>$L$4</f>
        <v>2015-16</v>
      </c>
      <c r="CW47" s="425" t="str">
        <f>$M$4</f>
        <v>2016-17</v>
      </c>
      <c r="CX47" s="425" t="str">
        <f>$N$4</f>
        <v>2017-18</v>
      </c>
      <c r="CY47" s="425" t="str">
        <f>$O$4</f>
        <v>2018-19</v>
      </c>
      <c r="CZ47" s="426" t="str">
        <f>$P$4</f>
        <v>2019-20</v>
      </c>
      <c r="DA47" s="424" t="str">
        <f>$F$4</f>
        <v>2009-10</v>
      </c>
      <c r="DB47" s="425" t="str">
        <f>$G$4</f>
        <v>2010-11</v>
      </c>
      <c r="DC47" s="425" t="str">
        <f>$H$4</f>
        <v>2011-12</v>
      </c>
      <c r="DD47" s="425" t="str">
        <f>$I$4</f>
        <v>2012-13</v>
      </c>
      <c r="DE47" s="425" t="str">
        <f>$J$4</f>
        <v>2013-14</v>
      </c>
      <c r="DF47" s="426" t="str">
        <f>$K$4</f>
        <v>2014-15</v>
      </c>
      <c r="DG47" s="424" t="str">
        <f>$L$4</f>
        <v>2015-16</v>
      </c>
      <c r="DH47" s="425" t="str">
        <f>$M$4</f>
        <v>2016-17</v>
      </c>
      <c r="DI47" s="425" t="str">
        <f>$N$4</f>
        <v>2017-18</v>
      </c>
      <c r="DJ47" s="425" t="str">
        <f>$O$4</f>
        <v>2018-19</v>
      </c>
      <c r="DK47" s="426" t="str">
        <f>$P$4</f>
        <v>2019-20</v>
      </c>
      <c r="DL47" s="48"/>
      <c r="DM47" s="240"/>
      <c r="DN47" s="240"/>
      <c r="DO47" s="240"/>
    </row>
    <row r="48" spans="1:119" s="90" customFormat="1">
      <c r="A48" s="30"/>
      <c r="B48" s="30"/>
      <c r="C48" s="30"/>
      <c r="D48" s="30"/>
      <c r="E48" s="445" t="str">
        <f t="shared" ref="E48:E73" si="11">E14</f>
        <v>Residential A</v>
      </c>
      <c r="F48" s="1505">
        <f>'PTRM input'!F248</f>
        <v>250</v>
      </c>
      <c r="G48" s="434">
        <f>F48*(1-P_0_WAPC)*(1+f)</f>
        <v>266.72056402049776</v>
      </c>
      <c r="H48" s="434">
        <f t="shared" ref="H48:H73" si="12">G48*(1-X_02_WAPC)*(1+f)</f>
        <v>265.37344999923448</v>
      </c>
      <c r="I48" s="434">
        <f t="shared" ref="I48:I73" si="13">H48*(1-X_03_WAPC)*(1+f)</f>
        <v>268.9416852738841</v>
      </c>
      <c r="J48" s="434">
        <f t="shared" ref="J48:J73" si="14">I48*(1-X_04_WAPC)*(1+f)</f>
        <v>272.55789936094055</v>
      </c>
      <c r="K48" s="465">
        <f t="shared" ref="K48:K73" si="15">J48*(1-X_05_WAPC)*(1+f)</f>
        <v>276.22273738783031</v>
      </c>
      <c r="L48" s="464">
        <f t="shared" ref="L48:L73" si="16">K48*(1-X_06_WAPC)*(1+f)</f>
        <v>279.93685315642125</v>
      </c>
      <c r="M48" s="434">
        <f t="shared" ref="M48:M73" si="17">L48*(1-X_07_WAPC)*(1+f)</f>
        <v>283.70090925966008</v>
      </c>
      <c r="N48" s="434">
        <f t="shared" ref="N48:N73" si="18">M48*(1-X_08_WAPC)*(1+f)</f>
        <v>287.51557719977774</v>
      </c>
      <c r="O48" s="434">
        <f t="shared" ref="O48:O73" si="19">N48*(1-X_09_WAPC)*(1+f)</f>
        <v>291.38153750808465</v>
      </c>
      <c r="P48" s="465">
        <f t="shared" ref="P48:P73" si="20">O48*(1-X_10_WAPC)*(1+f)</f>
        <v>295.29947986637637</v>
      </c>
      <c r="Q48" s="464">
        <f>'PTRM input'!G248</f>
        <v>10</v>
      </c>
      <c r="R48" s="434">
        <f t="shared" ref="R48:R73" si="21">Q48*(1-P_0_WAPC)*(1+f)</f>
        <v>10.668822560819912</v>
      </c>
      <c r="S48" s="434">
        <f t="shared" ref="S48:S73" si="22">R48*(1-X_02_WAPC)*(1+f)</f>
        <v>10.61493799996938</v>
      </c>
      <c r="T48" s="434">
        <f t="shared" ref="T48:T73" si="23">S48*(1-X_03_WAPC)*(1+f)</f>
        <v>10.757667410955365</v>
      </c>
      <c r="U48" s="434">
        <f t="shared" ref="U48:U73" si="24">T48*(1-X_04_WAPC)*(1+f)</f>
        <v>10.902315974437624</v>
      </c>
      <c r="V48" s="465">
        <f t="shared" ref="V48:V73" si="25">U48*(1-X_05_WAPC)*(1+f)</f>
        <v>11.048909495513215</v>
      </c>
      <c r="W48" s="464">
        <f t="shared" ref="W48:W73" si="26">V48*(1-X_06_WAPC)*(1+f)</f>
        <v>11.197474126256854</v>
      </c>
      <c r="X48" s="434">
        <f t="shared" ref="X48:X73" si="27">W48*(1-X_07_WAPC)*(1+f)</f>
        <v>11.348036370386406</v>
      </c>
      <c r="Y48" s="434">
        <f t="shared" ref="Y48:Y73" si="28">X48*(1-X_08_WAPC)*(1+f)</f>
        <v>11.500623087991114</v>
      </c>
      <c r="Z48" s="434">
        <f t="shared" ref="Z48:Z73" si="29">Y48*(1-X_09_WAPC)*(1+f)</f>
        <v>11.655261500323391</v>
      </c>
      <c r="AA48" s="465">
        <f t="shared" ref="AA48:AA73" si="30">Z48*(1-X_10_WAPC)*(1+f)</f>
        <v>11.811979194655059</v>
      </c>
      <c r="AB48" s="464">
        <f>'PTRM input'!H248</f>
        <v>0</v>
      </c>
      <c r="AC48" s="434">
        <f t="shared" ref="AC48:AC73" si="31">AB48*(1-P_0_WAPC)*(1+f)</f>
        <v>0</v>
      </c>
      <c r="AD48" s="434">
        <f t="shared" ref="AD48:AD73" si="32">AC48*(1-X_02_WAPC)*(1+f)</f>
        <v>0</v>
      </c>
      <c r="AE48" s="434">
        <f t="shared" ref="AE48:AE73" si="33">AD48*(1-X_03_WAPC)*(1+f)</f>
        <v>0</v>
      </c>
      <c r="AF48" s="434">
        <f t="shared" ref="AF48:AF73" si="34">AE48*(1-X_04_WAPC)*(1+f)</f>
        <v>0</v>
      </c>
      <c r="AG48" s="465">
        <f t="shared" ref="AG48:AG73" si="35">AF48*(1-X_05_WAPC)*(1+f)</f>
        <v>0</v>
      </c>
      <c r="AH48" s="464">
        <f t="shared" ref="AH48:AH73" si="36">AG48*(1-X_06_WAPC)*(1+f)</f>
        <v>0</v>
      </c>
      <c r="AI48" s="434">
        <f t="shared" ref="AI48:AI73" si="37">AH48*(1-X_07_WAPC)*(1+f)</f>
        <v>0</v>
      </c>
      <c r="AJ48" s="434">
        <f t="shared" ref="AJ48:AJ73" si="38">AI48*(1-X_08_WAPC)*(1+f)</f>
        <v>0</v>
      </c>
      <c r="AK48" s="434">
        <f t="shared" ref="AK48:AK73" si="39">AJ48*(1-X_09_WAPC)*(1+f)</f>
        <v>0</v>
      </c>
      <c r="AL48" s="465">
        <f t="shared" ref="AL48:AL73" si="40">AK48*(1-X_10_WAPC)*(1+f)</f>
        <v>0</v>
      </c>
      <c r="AM48" s="464">
        <f>'PTRM input'!I248</f>
        <v>0</v>
      </c>
      <c r="AN48" s="434">
        <f t="shared" ref="AN48:AN73" si="41">AM48*(1-P_0_WAPC)*(1+f)</f>
        <v>0</v>
      </c>
      <c r="AO48" s="434">
        <f t="shared" ref="AO48:AO73" si="42">AN48*(1-X_02_WAPC)*(1+f)</f>
        <v>0</v>
      </c>
      <c r="AP48" s="434">
        <f t="shared" ref="AP48:AP73" si="43">AO48*(1-X_03_WAPC)*(1+f)</f>
        <v>0</v>
      </c>
      <c r="AQ48" s="434">
        <f t="shared" ref="AQ48:AQ73" si="44">AP48*(1-X_04_WAPC)*(1+f)</f>
        <v>0</v>
      </c>
      <c r="AR48" s="465">
        <f t="shared" ref="AR48:AR73" si="45">AQ48*(1-X_05_WAPC)*(1+f)</f>
        <v>0</v>
      </c>
      <c r="AS48" s="464">
        <f t="shared" ref="AS48:AS73" si="46">AR48*(1-X_06_WAPC)*(1+f)</f>
        <v>0</v>
      </c>
      <c r="AT48" s="434">
        <f t="shared" ref="AT48:AT73" si="47">AS48*(1-X_07_WAPC)*(1+f)</f>
        <v>0</v>
      </c>
      <c r="AU48" s="434">
        <f t="shared" ref="AU48:AU73" si="48">AT48*(1-X_08_WAPC)*(1+f)</f>
        <v>0</v>
      </c>
      <c r="AV48" s="434">
        <f t="shared" ref="AV48:AV73" si="49">AU48*(1-X_09_WAPC)*(1+f)</f>
        <v>0</v>
      </c>
      <c r="AW48" s="465">
        <f t="shared" ref="AW48:AW73" si="50">AV48*(1-X_10_WAPC)*(1+f)</f>
        <v>0</v>
      </c>
      <c r="AX48" s="464">
        <f>'PTRM input'!J248</f>
        <v>0</v>
      </c>
      <c r="AY48" s="434">
        <f t="shared" ref="AY48:AY73" si="51">AX48*(1-P_0_WAPC)*(1+f)</f>
        <v>0</v>
      </c>
      <c r="AZ48" s="434">
        <f t="shared" ref="AZ48:AZ73" si="52">AY48*(1-X_02_WAPC)*(1+f)</f>
        <v>0</v>
      </c>
      <c r="BA48" s="434">
        <f t="shared" ref="BA48:BA73" si="53">AZ48*(1-X_03_WAPC)*(1+f)</f>
        <v>0</v>
      </c>
      <c r="BB48" s="434">
        <f t="shared" ref="BB48:BB73" si="54">BA48*(1-X_04_WAPC)*(1+f)</f>
        <v>0</v>
      </c>
      <c r="BC48" s="465">
        <f t="shared" ref="BC48:BC73" si="55">BB48*(1-X_05_WAPC)*(1+f)</f>
        <v>0</v>
      </c>
      <c r="BD48" s="464">
        <f t="shared" ref="BD48:BD73" si="56">BC48*(1-X_06_WAPC)*(1+f)</f>
        <v>0</v>
      </c>
      <c r="BE48" s="434">
        <f t="shared" ref="BE48:BE73" si="57">BD48*(1-X_07_WAPC)*(1+f)</f>
        <v>0</v>
      </c>
      <c r="BF48" s="434">
        <f t="shared" ref="BF48:BF73" si="58">BE48*(1-X_08_WAPC)*(1+f)</f>
        <v>0</v>
      </c>
      <c r="BG48" s="434">
        <f t="shared" ref="BG48:BG73" si="59">BF48*(1-X_09_WAPC)*(1+f)</f>
        <v>0</v>
      </c>
      <c r="BH48" s="465">
        <f t="shared" ref="BH48:BH73" si="60">BG48*(1-X_10_WAPC)*(1+f)</f>
        <v>0</v>
      </c>
      <c r="BI48" s="464">
        <f>'PTRM input'!K248</f>
        <v>0</v>
      </c>
      <c r="BJ48" s="434">
        <f t="shared" ref="BJ48:BJ73" si="61">BI48*(1-P_0_WAPC)*(1+f)</f>
        <v>0</v>
      </c>
      <c r="BK48" s="434">
        <f t="shared" ref="BK48:BK73" si="62">BJ48*(1-X_02_WAPC)*(1+f)</f>
        <v>0</v>
      </c>
      <c r="BL48" s="434">
        <f t="shared" ref="BL48:BL73" si="63">BK48*(1-X_03_WAPC)*(1+f)</f>
        <v>0</v>
      </c>
      <c r="BM48" s="434">
        <f t="shared" ref="BM48:BM73" si="64">BL48*(1-X_04_WAPC)*(1+f)</f>
        <v>0</v>
      </c>
      <c r="BN48" s="465">
        <f t="shared" ref="BN48:BN73" si="65">BM48*(1-X_05_WAPC)*(1+f)</f>
        <v>0</v>
      </c>
      <c r="BO48" s="464">
        <f t="shared" ref="BO48:BO73" si="66">BN48*(1-X_06_WAPC)*(1+f)</f>
        <v>0</v>
      </c>
      <c r="BP48" s="434">
        <f t="shared" ref="BP48:BP73" si="67">BO48*(1-X_07_WAPC)*(1+f)</f>
        <v>0</v>
      </c>
      <c r="BQ48" s="434">
        <f t="shared" ref="BQ48:BQ73" si="68">BP48*(1-X_08_WAPC)*(1+f)</f>
        <v>0</v>
      </c>
      <c r="BR48" s="434">
        <f t="shared" ref="BR48:BR73" si="69">BQ48*(1-X_09_WAPC)*(1+f)</f>
        <v>0</v>
      </c>
      <c r="BS48" s="465">
        <f t="shared" ref="BS48:BS73" si="70">BR48*(1-X_10_WAPC)*(1+f)</f>
        <v>0</v>
      </c>
      <c r="BT48" s="464">
        <f>'PTRM input'!L248</f>
        <v>0</v>
      </c>
      <c r="BU48" s="434">
        <f t="shared" ref="BU48:BU73" si="71">BT48*(1-P_0_WAPC)*(1+f)</f>
        <v>0</v>
      </c>
      <c r="BV48" s="434">
        <f t="shared" ref="BV48:BV73" si="72">BU48*(1-X_02_WAPC)*(1+f)</f>
        <v>0</v>
      </c>
      <c r="BW48" s="434">
        <f t="shared" ref="BW48:BW73" si="73">BV48*(1-X_03_WAPC)*(1+f)</f>
        <v>0</v>
      </c>
      <c r="BX48" s="434">
        <f t="shared" ref="BX48:BX73" si="74">BW48*(1-X_04_WAPC)*(1+f)</f>
        <v>0</v>
      </c>
      <c r="BY48" s="465">
        <f t="shared" ref="BY48:BY73" si="75">BX48*(1-X_05_WAPC)*(1+f)</f>
        <v>0</v>
      </c>
      <c r="BZ48" s="464">
        <f t="shared" ref="BZ48:BZ73" si="76">BY48*(1-X_06_WAPC)*(1+f)</f>
        <v>0</v>
      </c>
      <c r="CA48" s="434">
        <f t="shared" ref="CA48:CA73" si="77">BZ48*(1-X_07_WAPC)*(1+f)</f>
        <v>0</v>
      </c>
      <c r="CB48" s="434">
        <f t="shared" ref="CB48:CB73" si="78">CA48*(1-X_08_WAPC)*(1+f)</f>
        <v>0</v>
      </c>
      <c r="CC48" s="434">
        <f t="shared" ref="CC48:CC73" si="79">CB48*(1-X_09_WAPC)*(1+f)</f>
        <v>0</v>
      </c>
      <c r="CD48" s="465">
        <f t="shared" ref="CD48:CD73" si="80">CC48*(1-X_10_WAPC)*(1+f)</f>
        <v>0</v>
      </c>
      <c r="CE48" s="464">
        <f>'PTRM input'!M248</f>
        <v>0</v>
      </c>
      <c r="CF48" s="434">
        <f t="shared" ref="CF48:CF73" si="81">CE48*(1-P_0_WAPC)*(1+f)</f>
        <v>0</v>
      </c>
      <c r="CG48" s="434">
        <f t="shared" ref="CG48:CG73" si="82">CF48*(1-X_02_WAPC)*(1+f)</f>
        <v>0</v>
      </c>
      <c r="CH48" s="434">
        <f t="shared" ref="CH48:CH73" si="83">CG48*(1-X_03_WAPC)*(1+f)</f>
        <v>0</v>
      </c>
      <c r="CI48" s="434">
        <f t="shared" ref="CI48:CI73" si="84">CH48*(1-X_04_WAPC)*(1+f)</f>
        <v>0</v>
      </c>
      <c r="CJ48" s="465">
        <f t="shared" ref="CJ48:CJ73" si="85">CI48*(1-X_05_WAPC)*(1+f)</f>
        <v>0</v>
      </c>
      <c r="CK48" s="464">
        <f t="shared" ref="CK48:CK73" si="86">CJ48*(1-X_06_WAPC)*(1+f)</f>
        <v>0</v>
      </c>
      <c r="CL48" s="434">
        <f t="shared" ref="CL48:CL73" si="87">CK48*(1-X_07_WAPC)*(1+f)</f>
        <v>0</v>
      </c>
      <c r="CM48" s="434">
        <f t="shared" ref="CM48:CM73" si="88">CL48*(1-X_08_WAPC)*(1+f)</f>
        <v>0</v>
      </c>
      <c r="CN48" s="434">
        <f t="shared" ref="CN48:CN73" si="89">CM48*(1-X_09_WAPC)*(1+f)</f>
        <v>0</v>
      </c>
      <c r="CO48" s="465">
        <f t="shared" ref="CO48:CO73" si="90">CN48*(1-X_10_WAPC)*(1+f)</f>
        <v>0</v>
      </c>
      <c r="CP48" s="464">
        <f>'PTRM input'!N248</f>
        <v>0</v>
      </c>
      <c r="CQ48" s="434">
        <f t="shared" ref="CQ48:CQ73" si="91">CP48*(1-P_0_WAPC)*(1+f)</f>
        <v>0</v>
      </c>
      <c r="CR48" s="434">
        <f t="shared" ref="CR48:CR73" si="92">CQ48*(1-X_02_WAPC)*(1+f)</f>
        <v>0</v>
      </c>
      <c r="CS48" s="434">
        <f t="shared" ref="CS48:CS73" si="93">CR48*(1-X_03_WAPC)*(1+f)</f>
        <v>0</v>
      </c>
      <c r="CT48" s="434">
        <f t="shared" ref="CT48:CT73" si="94">CS48*(1-X_04_WAPC)*(1+f)</f>
        <v>0</v>
      </c>
      <c r="CU48" s="465">
        <f t="shared" ref="CU48:CU73" si="95">CT48*(1-X_05_WAPC)*(1+f)</f>
        <v>0</v>
      </c>
      <c r="CV48" s="464">
        <f t="shared" ref="CV48:CV73" si="96">CU48*(1-X_06_WAPC)*(1+f)</f>
        <v>0</v>
      </c>
      <c r="CW48" s="434">
        <f t="shared" ref="CW48:CW73" si="97">CV48*(1-X_07_WAPC)*(1+f)</f>
        <v>0</v>
      </c>
      <c r="CX48" s="434">
        <f t="shared" ref="CX48:CX73" si="98">CW48*(1-X_08_WAPC)*(1+f)</f>
        <v>0</v>
      </c>
      <c r="CY48" s="434">
        <f t="shared" ref="CY48:CY73" si="99">CX48*(1-X_09_WAPC)*(1+f)</f>
        <v>0</v>
      </c>
      <c r="CZ48" s="465">
        <f t="shared" ref="CZ48:CZ73" si="100">CY48*(1-X_10_WAPC)*(1+f)</f>
        <v>0</v>
      </c>
      <c r="DA48" s="464">
        <f>'PTRM input'!O248</f>
        <v>0</v>
      </c>
      <c r="DB48" s="434">
        <f t="shared" ref="DB48:DB73" si="101">DA48*(1-P_0_WAPC)*(1+f)</f>
        <v>0</v>
      </c>
      <c r="DC48" s="434">
        <f t="shared" ref="DC48:DC73" si="102">DB48*(1-X_02_WAPC)*(1+f)</f>
        <v>0</v>
      </c>
      <c r="DD48" s="434">
        <f t="shared" ref="DD48:DD73" si="103">DC48*(1-X_03_WAPC)*(1+f)</f>
        <v>0</v>
      </c>
      <c r="DE48" s="434">
        <f t="shared" ref="DE48:DE73" si="104">DD48*(1-X_04_WAPC)*(1+f)</f>
        <v>0</v>
      </c>
      <c r="DF48" s="465">
        <f t="shared" ref="DF48:DF73" si="105">DE48*(1-X_05_WAPC)*(1+f)</f>
        <v>0</v>
      </c>
      <c r="DG48" s="464">
        <f t="shared" ref="DG48:DG73" si="106">DF48*(1-X_06_WAPC)*(1+f)</f>
        <v>0</v>
      </c>
      <c r="DH48" s="434">
        <f t="shared" ref="DH48:DH73" si="107">DG48*(1-X_07_WAPC)*(1+f)</f>
        <v>0</v>
      </c>
      <c r="DI48" s="434">
        <f t="shared" ref="DI48:DI73" si="108">DH48*(1-X_08_WAPC)*(1+f)</f>
        <v>0</v>
      </c>
      <c r="DJ48" s="434">
        <f t="shared" ref="DJ48:DJ73" si="109">DI48*(1-X_09_WAPC)*(1+f)</f>
        <v>0</v>
      </c>
      <c r="DK48" s="465">
        <f t="shared" ref="DK48:DK73" si="110">DJ48*(1-X_10_WAPC)*(1+f)</f>
        <v>0</v>
      </c>
      <c r="DL48" s="48"/>
      <c r="DM48" s="240"/>
      <c r="DN48" s="240"/>
      <c r="DO48" s="240"/>
    </row>
    <row r="49" spans="1:119" s="90" customFormat="1">
      <c r="A49" s="30"/>
      <c r="B49" s="30"/>
      <c r="C49" s="30"/>
      <c r="D49" s="30"/>
      <c r="E49" s="445" t="str">
        <f t="shared" si="11"/>
        <v>Residential B</v>
      </c>
      <c r="F49" s="1505">
        <f>'PTRM input'!F249</f>
        <v>250</v>
      </c>
      <c r="G49" s="434">
        <f t="shared" ref="G49:G73" si="111">F49*(1-P_0_WAPC)*(1+f)</f>
        <v>266.72056402049776</v>
      </c>
      <c r="H49" s="434">
        <f t="shared" si="12"/>
        <v>265.37344999923448</v>
      </c>
      <c r="I49" s="434">
        <f t="shared" si="13"/>
        <v>268.9416852738841</v>
      </c>
      <c r="J49" s="434">
        <f t="shared" si="14"/>
        <v>272.55789936094055</v>
      </c>
      <c r="K49" s="465">
        <f t="shared" si="15"/>
        <v>276.22273738783031</v>
      </c>
      <c r="L49" s="464">
        <f t="shared" si="16"/>
        <v>279.93685315642125</v>
      </c>
      <c r="M49" s="434">
        <f t="shared" si="17"/>
        <v>283.70090925966008</v>
      </c>
      <c r="N49" s="434">
        <f t="shared" si="18"/>
        <v>287.51557719977774</v>
      </c>
      <c r="O49" s="434">
        <f t="shared" si="19"/>
        <v>291.38153750808465</v>
      </c>
      <c r="P49" s="465">
        <f t="shared" si="20"/>
        <v>295.29947986637637</v>
      </c>
      <c r="Q49" s="464">
        <f>'PTRM input'!G249</f>
        <v>0</v>
      </c>
      <c r="R49" s="434">
        <f t="shared" si="21"/>
        <v>0</v>
      </c>
      <c r="S49" s="434">
        <f t="shared" si="22"/>
        <v>0</v>
      </c>
      <c r="T49" s="434">
        <f t="shared" si="23"/>
        <v>0</v>
      </c>
      <c r="U49" s="434">
        <f t="shared" si="24"/>
        <v>0</v>
      </c>
      <c r="V49" s="465">
        <f t="shared" si="25"/>
        <v>0</v>
      </c>
      <c r="W49" s="464">
        <f t="shared" si="26"/>
        <v>0</v>
      </c>
      <c r="X49" s="434">
        <f t="shared" si="27"/>
        <v>0</v>
      </c>
      <c r="Y49" s="434">
        <f t="shared" si="28"/>
        <v>0</v>
      </c>
      <c r="Z49" s="434">
        <f t="shared" si="29"/>
        <v>0</v>
      </c>
      <c r="AA49" s="465">
        <f t="shared" si="30"/>
        <v>0</v>
      </c>
      <c r="AB49" s="464">
        <f>'PTRM input'!H249</f>
        <v>20</v>
      </c>
      <c r="AC49" s="434">
        <f t="shared" si="31"/>
        <v>21.337645121639824</v>
      </c>
      <c r="AD49" s="434">
        <f t="shared" si="32"/>
        <v>21.229875999938759</v>
      </c>
      <c r="AE49" s="434">
        <f t="shared" si="33"/>
        <v>21.515334821910731</v>
      </c>
      <c r="AF49" s="434">
        <f t="shared" si="34"/>
        <v>21.804631948875247</v>
      </c>
      <c r="AG49" s="465">
        <f t="shared" si="35"/>
        <v>22.097818991026429</v>
      </c>
      <c r="AH49" s="464">
        <f t="shared" si="36"/>
        <v>22.394948252513707</v>
      </c>
      <c r="AI49" s="434">
        <f t="shared" si="37"/>
        <v>22.696072740772813</v>
      </c>
      <c r="AJ49" s="434">
        <f t="shared" si="38"/>
        <v>23.001246175982228</v>
      </c>
      <c r="AK49" s="434">
        <f t="shared" si="39"/>
        <v>23.310523000646782</v>
      </c>
      <c r="AL49" s="465">
        <f t="shared" si="40"/>
        <v>23.623958389310118</v>
      </c>
      <c r="AM49" s="464">
        <f>'PTRM input'!I249</f>
        <v>10</v>
      </c>
      <c r="AN49" s="434">
        <f t="shared" si="41"/>
        <v>10.668822560819912</v>
      </c>
      <c r="AO49" s="434">
        <f t="shared" si="42"/>
        <v>10.61493799996938</v>
      </c>
      <c r="AP49" s="434">
        <f t="shared" si="43"/>
        <v>10.757667410955365</v>
      </c>
      <c r="AQ49" s="434">
        <f t="shared" si="44"/>
        <v>10.902315974437624</v>
      </c>
      <c r="AR49" s="465">
        <f t="shared" si="45"/>
        <v>11.048909495513215</v>
      </c>
      <c r="AS49" s="464">
        <f t="shared" si="46"/>
        <v>11.197474126256854</v>
      </c>
      <c r="AT49" s="434">
        <f t="shared" si="47"/>
        <v>11.348036370386406</v>
      </c>
      <c r="AU49" s="434">
        <f t="shared" si="48"/>
        <v>11.500623087991114</v>
      </c>
      <c r="AV49" s="434">
        <f t="shared" si="49"/>
        <v>11.655261500323391</v>
      </c>
      <c r="AW49" s="465">
        <f t="shared" si="50"/>
        <v>11.811979194655059</v>
      </c>
      <c r="AX49" s="464">
        <f>'PTRM input'!J249</f>
        <v>15</v>
      </c>
      <c r="AY49" s="434">
        <f t="shared" si="51"/>
        <v>16.003233841229864</v>
      </c>
      <c r="AZ49" s="434">
        <f t="shared" si="52"/>
        <v>15.922406999954068</v>
      </c>
      <c r="BA49" s="434">
        <f t="shared" si="53"/>
        <v>16.136501116433049</v>
      </c>
      <c r="BB49" s="434">
        <f t="shared" si="54"/>
        <v>16.353473961656437</v>
      </c>
      <c r="BC49" s="465">
        <f t="shared" si="55"/>
        <v>16.573364243269822</v>
      </c>
      <c r="BD49" s="464">
        <f t="shared" si="56"/>
        <v>16.796211189385282</v>
      </c>
      <c r="BE49" s="434">
        <f t="shared" si="57"/>
        <v>17.022054555579611</v>
      </c>
      <c r="BF49" s="434">
        <f t="shared" si="58"/>
        <v>17.25093463198667</v>
      </c>
      <c r="BG49" s="434">
        <f t="shared" si="59"/>
        <v>17.482892250485083</v>
      </c>
      <c r="BH49" s="465">
        <f t="shared" si="60"/>
        <v>17.717968791982585</v>
      </c>
      <c r="BI49" s="464">
        <f>'PTRM input'!K249</f>
        <v>10</v>
      </c>
      <c r="BJ49" s="434">
        <f t="shared" si="61"/>
        <v>10.668822560819912</v>
      </c>
      <c r="BK49" s="434">
        <f t="shared" si="62"/>
        <v>10.61493799996938</v>
      </c>
      <c r="BL49" s="434">
        <f t="shared" si="63"/>
        <v>10.757667410955365</v>
      </c>
      <c r="BM49" s="434">
        <f t="shared" si="64"/>
        <v>10.902315974437624</v>
      </c>
      <c r="BN49" s="465">
        <f t="shared" si="65"/>
        <v>11.048909495513215</v>
      </c>
      <c r="BO49" s="464">
        <f t="shared" si="66"/>
        <v>11.197474126256854</v>
      </c>
      <c r="BP49" s="434">
        <f t="shared" si="67"/>
        <v>11.348036370386406</v>
      </c>
      <c r="BQ49" s="434">
        <f t="shared" si="68"/>
        <v>11.500623087991114</v>
      </c>
      <c r="BR49" s="434">
        <f t="shared" si="69"/>
        <v>11.655261500323391</v>
      </c>
      <c r="BS49" s="465">
        <f t="shared" si="70"/>
        <v>11.811979194655059</v>
      </c>
      <c r="BT49" s="464">
        <f>'PTRM input'!L249</f>
        <v>15</v>
      </c>
      <c r="BU49" s="434">
        <f t="shared" si="71"/>
        <v>16.003233841229864</v>
      </c>
      <c r="BV49" s="434">
        <f t="shared" si="72"/>
        <v>15.922406999954068</v>
      </c>
      <c r="BW49" s="434">
        <f t="shared" si="73"/>
        <v>16.136501116433049</v>
      </c>
      <c r="BX49" s="434">
        <f t="shared" si="74"/>
        <v>16.353473961656437</v>
      </c>
      <c r="BY49" s="465">
        <f t="shared" si="75"/>
        <v>16.573364243269822</v>
      </c>
      <c r="BZ49" s="464">
        <f t="shared" si="76"/>
        <v>16.796211189385282</v>
      </c>
      <c r="CA49" s="434">
        <f t="shared" si="77"/>
        <v>17.022054555579611</v>
      </c>
      <c r="CB49" s="434">
        <f t="shared" si="78"/>
        <v>17.25093463198667</v>
      </c>
      <c r="CC49" s="434">
        <f t="shared" si="79"/>
        <v>17.482892250485083</v>
      </c>
      <c r="CD49" s="465">
        <f t="shared" si="80"/>
        <v>17.717968791982585</v>
      </c>
      <c r="CE49" s="464">
        <f>'PTRM input'!M249</f>
        <v>10</v>
      </c>
      <c r="CF49" s="434">
        <f t="shared" si="81"/>
        <v>10.668822560819912</v>
      </c>
      <c r="CG49" s="434">
        <f t="shared" si="82"/>
        <v>10.61493799996938</v>
      </c>
      <c r="CH49" s="434">
        <f t="shared" si="83"/>
        <v>10.757667410955365</v>
      </c>
      <c r="CI49" s="434">
        <f t="shared" si="84"/>
        <v>10.902315974437624</v>
      </c>
      <c r="CJ49" s="465">
        <f t="shared" si="85"/>
        <v>11.048909495513215</v>
      </c>
      <c r="CK49" s="464">
        <f t="shared" si="86"/>
        <v>11.197474126256854</v>
      </c>
      <c r="CL49" s="434">
        <f t="shared" si="87"/>
        <v>11.348036370386406</v>
      </c>
      <c r="CM49" s="434">
        <f t="shared" si="88"/>
        <v>11.500623087991114</v>
      </c>
      <c r="CN49" s="434">
        <f t="shared" si="89"/>
        <v>11.655261500323391</v>
      </c>
      <c r="CO49" s="465">
        <f t="shared" si="90"/>
        <v>11.811979194655059</v>
      </c>
      <c r="CP49" s="464">
        <f>'PTRM input'!N249</f>
        <v>10</v>
      </c>
      <c r="CQ49" s="434">
        <f t="shared" si="91"/>
        <v>10.668822560819912</v>
      </c>
      <c r="CR49" s="434">
        <f t="shared" si="92"/>
        <v>10.61493799996938</v>
      </c>
      <c r="CS49" s="434">
        <f t="shared" si="93"/>
        <v>10.757667410955365</v>
      </c>
      <c r="CT49" s="434">
        <f t="shared" si="94"/>
        <v>10.902315974437624</v>
      </c>
      <c r="CU49" s="465">
        <f t="shared" si="95"/>
        <v>11.048909495513215</v>
      </c>
      <c r="CV49" s="464">
        <f t="shared" si="96"/>
        <v>11.197474126256854</v>
      </c>
      <c r="CW49" s="434">
        <f t="shared" si="97"/>
        <v>11.348036370386406</v>
      </c>
      <c r="CX49" s="434">
        <f t="shared" si="98"/>
        <v>11.500623087991114</v>
      </c>
      <c r="CY49" s="434">
        <f t="shared" si="99"/>
        <v>11.655261500323391</v>
      </c>
      <c r="CZ49" s="465">
        <f t="shared" si="100"/>
        <v>11.811979194655059</v>
      </c>
      <c r="DA49" s="464">
        <f>'PTRM input'!O249</f>
        <v>5</v>
      </c>
      <c r="DB49" s="434">
        <f t="shared" si="101"/>
        <v>5.3344112804099559</v>
      </c>
      <c r="DC49" s="434">
        <f t="shared" si="102"/>
        <v>5.3074689999846898</v>
      </c>
      <c r="DD49" s="434">
        <f t="shared" si="103"/>
        <v>5.3788337054776827</v>
      </c>
      <c r="DE49" s="434">
        <f t="shared" si="104"/>
        <v>5.4511579872188118</v>
      </c>
      <c r="DF49" s="465">
        <f t="shared" si="105"/>
        <v>5.5244547477566073</v>
      </c>
      <c r="DG49" s="464">
        <f t="shared" si="106"/>
        <v>5.5987370631284268</v>
      </c>
      <c r="DH49" s="434">
        <f t="shared" si="107"/>
        <v>5.6740181851932032</v>
      </c>
      <c r="DI49" s="434">
        <f t="shared" si="108"/>
        <v>5.750311543995557</v>
      </c>
      <c r="DJ49" s="434">
        <f t="shared" si="109"/>
        <v>5.8276307501616955</v>
      </c>
      <c r="DK49" s="465">
        <f t="shared" si="110"/>
        <v>5.9059895973275296</v>
      </c>
      <c r="DL49" s="48"/>
      <c r="DM49" s="240"/>
      <c r="DN49" s="240"/>
      <c r="DO49" s="240"/>
    </row>
    <row r="50" spans="1:119" s="211" customFormat="1">
      <c r="A50" s="30"/>
      <c r="B50" s="30"/>
      <c r="C50" s="30"/>
      <c r="D50" s="30"/>
      <c r="E50" s="445" t="str">
        <f t="shared" si="11"/>
        <v>Residential C</v>
      </c>
      <c r="F50" s="1505">
        <f>'PTRM input'!F250</f>
        <v>250</v>
      </c>
      <c r="G50" s="434">
        <f t="shared" si="111"/>
        <v>266.72056402049776</v>
      </c>
      <c r="H50" s="434">
        <f t="shared" si="12"/>
        <v>265.37344999923448</v>
      </c>
      <c r="I50" s="434">
        <f t="shared" si="13"/>
        <v>268.9416852738841</v>
      </c>
      <c r="J50" s="434">
        <f t="shared" si="14"/>
        <v>272.55789936094055</v>
      </c>
      <c r="K50" s="465">
        <f t="shared" si="15"/>
        <v>276.22273738783031</v>
      </c>
      <c r="L50" s="464">
        <f t="shared" si="16"/>
        <v>279.93685315642125</v>
      </c>
      <c r="M50" s="434">
        <f t="shared" si="17"/>
        <v>283.70090925966008</v>
      </c>
      <c r="N50" s="434">
        <f t="shared" si="18"/>
        <v>287.51557719977774</v>
      </c>
      <c r="O50" s="434">
        <f t="shared" si="19"/>
        <v>291.38153750808465</v>
      </c>
      <c r="P50" s="465">
        <f t="shared" si="20"/>
        <v>295.29947986637637</v>
      </c>
      <c r="Q50" s="464">
        <f>'PTRM input'!G250</f>
        <v>0</v>
      </c>
      <c r="R50" s="434">
        <f t="shared" si="21"/>
        <v>0</v>
      </c>
      <c r="S50" s="434">
        <f t="shared" si="22"/>
        <v>0</v>
      </c>
      <c r="T50" s="434">
        <f t="shared" si="23"/>
        <v>0</v>
      </c>
      <c r="U50" s="434">
        <f t="shared" si="24"/>
        <v>0</v>
      </c>
      <c r="V50" s="465">
        <f t="shared" si="25"/>
        <v>0</v>
      </c>
      <c r="W50" s="464">
        <f t="shared" si="26"/>
        <v>0</v>
      </c>
      <c r="X50" s="434">
        <f t="shared" si="27"/>
        <v>0</v>
      </c>
      <c r="Y50" s="434">
        <f t="shared" si="28"/>
        <v>0</v>
      </c>
      <c r="Z50" s="434">
        <f t="shared" si="29"/>
        <v>0</v>
      </c>
      <c r="AA50" s="465">
        <f t="shared" si="30"/>
        <v>0</v>
      </c>
      <c r="AB50" s="1417">
        <f>'PTRM input'!H250</f>
        <v>20</v>
      </c>
      <c r="AC50" s="1416">
        <f t="shared" si="31"/>
        <v>21.337645121639824</v>
      </c>
      <c r="AD50" s="434">
        <f t="shared" si="32"/>
        <v>21.229875999938759</v>
      </c>
      <c r="AE50" s="434">
        <f t="shared" si="33"/>
        <v>21.515334821910731</v>
      </c>
      <c r="AF50" s="434">
        <f t="shared" si="34"/>
        <v>21.804631948875247</v>
      </c>
      <c r="AG50" s="465">
        <f t="shared" si="35"/>
        <v>22.097818991026429</v>
      </c>
      <c r="AH50" s="464">
        <f t="shared" si="36"/>
        <v>22.394948252513707</v>
      </c>
      <c r="AI50" s="434">
        <f t="shared" si="37"/>
        <v>22.696072740772813</v>
      </c>
      <c r="AJ50" s="434">
        <f t="shared" si="38"/>
        <v>23.001246175982228</v>
      </c>
      <c r="AK50" s="434">
        <f t="shared" si="39"/>
        <v>23.310523000646782</v>
      </c>
      <c r="AL50" s="465">
        <f t="shared" si="40"/>
        <v>23.623958389310118</v>
      </c>
      <c r="AM50" s="464">
        <f>'PTRM input'!I250</f>
        <v>10</v>
      </c>
      <c r="AN50" s="434">
        <f t="shared" si="41"/>
        <v>10.668822560819912</v>
      </c>
      <c r="AO50" s="434">
        <f t="shared" si="42"/>
        <v>10.61493799996938</v>
      </c>
      <c r="AP50" s="434">
        <f t="shared" si="43"/>
        <v>10.757667410955365</v>
      </c>
      <c r="AQ50" s="434">
        <f t="shared" si="44"/>
        <v>10.902315974437624</v>
      </c>
      <c r="AR50" s="465">
        <f t="shared" si="45"/>
        <v>11.048909495513215</v>
      </c>
      <c r="AS50" s="464">
        <f t="shared" si="46"/>
        <v>11.197474126256854</v>
      </c>
      <c r="AT50" s="434">
        <f t="shared" si="47"/>
        <v>11.348036370386406</v>
      </c>
      <c r="AU50" s="434">
        <f t="shared" si="48"/>
        <v>11.500623087991114</v>
      </c>
      <c r="AV50" s="434">
        <f t="shared" si="49"/>
        <v>11.655261500323391</v>
      </c>
      <c r="AW50" s="465">
        <f t="shared" si="50"/>
        <v>11.811979194655059</v>
      </c>
      <c r="AX50" s="464">
        <f>'PTRM input'!J250</f>
        <v>15</v>
      </c>
      <c r="AY50" s="434">
        <f t="shared" si="51"/>
        <v>16.003233841229864</v>
      </c>
      <c r="AZ50" s="434">
        <f t="shared" si="52"/>
        <v>15.922406999954068</v>
      </c>
      <c r="BA50" s="434">
        <f t="shared" si="53"/>
        <v>16.136501116433049</v>
      </c>
      <c r="BB50" s="434">
        <f t="shared" si="54"/>
        <v>16.353473961656437</v>
      </c>
      <c r="BC50" s="465">
        <f t="shared" si="55"/>
        <v>16.573364243269822</v>
      </c>
      <c r="BD50" s="464">
        <f t="shared" si="56"/>
        <v>16.796211189385282</v>
      </c>
      <c r="BE50" s="434">
        <f t="shared" si="57"/>
        <v>17.022054555579611</v>
      </c>
      <c r="BF50" s="434">
        <f t="shared" si="58"/>
        <v>17.25093463198667</v>
      </c>
      <c r="BG50" s="434">
        <f t="shared" si="59"/>
        <v>17.482892250485083</v>
      </c>
      <c r="BH50" s="465">
        <f t="shared" si="60"/>
        <v>17.717968791982585</v>
      </c>
      <c r="BI50" s="464">
        <f>'PTRM input'!K250</f>
        <v>10</v>
      </c>
      <c r="BJ50" s="434">
        <f t="shared" si="61"/>
        <v>10.668822560819912</v>
      </c>
      <c r="BK50" s="434">
        <f t="shared" si="62"/>
        <v>10.61493799996938</v>
      </c>
      <c r="BL50" s="434">
        <f t="shared" si="63"/>
        <v>10.757667410955365</v>
      </c>
      <c r="BM50" s="434">
        <f t="shared" si="64"/>
        <v>10.902315974437624</v>
      </c>
      <c r="BN50" s="465">
        <f t="shared" si="65"/>
        <v>11.048909495513215</v>
      </c>
      <c r="BO50" s="464">
        <f t="shared" si="66"/>
        <v>11.197474126256854</v>
      </c>
      <c r="BP50" s="434">
        <f t="shared" si="67"/>
        <v>11.348036370386406</v>
      </c>
      <c r="BQ50" s="434">
        <f t="shared" si="68"/>
        <v>11.500623087991114</v>
      </c>
      <c r="BR50" s="434">
        <f t="shared" si="69"/>
        <v>11.655261500323391</v>
      </c>
      <c r="BS50" s="465">
        <f t="shared" si="70"/>
        <v>11.811979194655059</v>
      </c>
      <c r="BT50" s="464">
        <f>'PTRM input'!L250</f>
        <v>15</v>
      </c>
      <c r="BU50" s="434">
        <f t="shared" si="71"/>
        <v>16.003233841229864</v>
      </c>
      <c r="BV50" s="434">
        <f t="shared" si="72"/>
        <v>15.922406999954068</v>
      </c>
      <c r="BW50" s="434">
        <f t="shared" si="73"/>
        <v>16.136501116433049</v>
      </c>
      <c r="BX50" s="434">
        <f t="shared" si="74"/>
        <v>16.353473961656437</v>
      </c>
      <c r="BY50" s="465">
        <f t="shared" si="75"/>
        <v>16.573364243269822</v>
      </c>
      <c r="BZ50" s="464">
        <f t="shared" si="76"/>
        <v>16.796211189385282</v>
      </c>
      <c r="CA50" s="434">
        <f t="shared" si="77"/>
        <v>17.022054555579611</v>
      </c>
      <c r="CB50" s="434">
        <f t="shared" si="78"/>
        <v>17.25093463198667</v>
      </c>
      <c r="CC50" s="434">
        <f t="shared" si="79"/>
        <v>17.482892250485083</v>
      </c>
      <c r="CD50" s="465">
        <f t="shared" si="80"/>
        <v>17.717968791982585</v>
      </c>
      <c r="CE50" s="464">
        <f>'PTRM input'!M250</f>
        <v>10</v>
      </c>
      <c r="CF50" s="434">
        <f t="shared" si="81"/>
        <v>10.668822560819912</v>
      </c>
      <c r="CG50" s="434">
        <f t="shared" si="82"/>
        <v>10.61493799996938</v>
      </c>
      <c r="CH50" s="434">
        <f t="shared" si="83"/>
        <v>10.757667410955365</v>
      </c>
      <c r="CI50" s="434">
        <f t="shared" si="84"/>
        <v>10.902315974437624</v>
      </c>
      <c r="CJ50" s="465">
        <f t="shared" si="85"/>
        <v>11.048909495513215</v>
      </c>
      <c r="CK50" s="464">
        <f t="shared" si="86"/>
        <v>11.197474126256854</v>
      </c>
      <c r="CL50" s="434">
        <f t="shared" si="87"/>
        <v>11.348036370386406</v>
      </c>
      <c r="CM50" s="434">
        <f t="shared" si="88"/>
        <v>11.500623087991114</v>
      </c>
      <c r="CN50" s="434">
        <f t="shared" si="89"/>
        <v>11.655261500323391</v>
      </c>
      <c r="CO50" s="465">
        <f t="shared" si="90"/>
        <v>11.811979194655059</v>
      </c>
      <c r="CP50" s="464">
        <f>'PTRM input'!N250</f>
        <v>10</v>
      </c>
      <c r="CQ50" s="434">
        <f t="shared" si="91"/>
        <v>10.668822560819912</v>
      </c>
      <c r="CR50" s="434">
        <f t="shared" si="92"/>
        <v>10.61493799996938</v>
      </c>
      <c r="CS50" s="434">
        <f t="shared" si="93"/>
        <v>10.757667410955365</v>
      </c>
      <c r="CT50" s="434">
        <f t="shared" si="94"/>
        <v>10.902315974437624</v>
      </c>
      <c r="CU50" s="465">
        <f t="shared" si="95"/>
        <v>11.048909495513215</v>
      </c>
      <c r="CV50" s="464">
        <f t="shared" si="96"/>
        <v>11.197474126256854</v>
      </c>
      <c r="CW50" s="434">
        <f t="shared" si="97"/>
        <v>11.348036370386406</v>
      </c>
      <c r="CX50" s="434">
        <f t="shared" si="98"/>
        <v>11.500623087991114</v>
      </c>
      <c r="CY50" s="434">
        <f t="shared" si="99"/>
        <v>11.655261500323391</v>
      </c>
      <c r="CZ50" s="465">
        <f t="shared" si="100"/>
        <v>11.811979194655059</v>
      </c>
      <c r="DA50" s="464">
        <f>'PTRM input'!O250</f>
        <v>5</v>
      </c>
      <c r="DB50" s="434">
        <f t="shared" si="101"/>
        <v>5.3344112804099559</v>
      </c>
      <c r="DC50" s="434">
        <f t="shared" si="102"/>
        <v>5.3074689999846898</v>
      </c>
      <c r="DD50" s="434">
        <f t="shared" si="103"/>
        <v>5.3788337054776827</v>
      </c>
      <c r="DE50" s="434">
        <f t="shared" si="104"/>
        <v>5.4511579872188118</v>
      </c>
      <c r="DF50" s="465">
        <f t="shared" si="105"/>
        <v>5.5244547477566073</v>
      </c>
      <c r="DG50" s="464">
        <f t="shared" si="106"/>
        <v>5.5987370631284268</v>
      </c>
      <c r="DH50" s="434">
        <f t="shared" si="107"/>
        <v>5.6740181851932032</v>
      </c>
      <c r="DI50" s="434">
        <f t="shared" si="108"/>
        <v>5.750311543995557</v>
      </c>
      <c r="DJ50" s="434">
        <f t="shared" si="109"/>
        <v>5.8276307501616955</v>
      </c>
      <c r="DK50" s="465">
        <f t="shared" si="110"/>
        <v>5.9059895973275296</v>
      </c>
      <c r="DL50" s="48"/>
      <c r="DM50" s="286"/>
      <c r="DN50" s="286"/>
      <c r="DO50" s="286"/>
    </row>
    <row r="51" spans="1:119" s="212" customFormat="1">
      <c r="A51" s="30"/>
      <c r="B51" s="30"/>
      <c r="C51" s="30"/>
      <c r="D51" s="30"/>
      <c r="E51" s="445" t="str">
        <f t="shared" si="11"/>
        <v>Small Business A</v>
      </c>
      <c r="F51" s="1505">
        <f>'PTRM input'!F251</f>
        <v>500</v>
      </c>
      <c r="G51" s="434">
        <f t="shared" si="111"/>
        <v>533.44112804099552</v>
      </c>
      <c r="H51" s="434">
        <f t="shared" si="12"/>
        <v>530.74689999846896</v>
      </c>
      <c r="I51" s="434">
        <f t="shared" si="13"/>
        <v>537.88337054776821</v>
      </c>
      <c r="J51" s="434">
        <f t="shared" si="14"/>
        <v>545.11579872188111</v>
      </c>
      <c r="K51" s="465">
        <f t="shared" si="15"/>
        <v>552.44547477566061</v>
      </c>
      <c r="L51" s="464">
        <f t="shared" si="16"/>
        <v>559.8737063128425</v>
      </c>
      <c r="M51" s="434">
        <f t="shared" si="17"/>
        <v>567.40181851932016</v>
      </c>
      <c r="N51" s="434">
        <f t="shared" si="18"/>
        <v>575.03115439955548</v>
      </c>
      <c r="O51" s="434">
        <f t="shared" si="19"/>
        <v>582.7630750161693</v>
      </c>
      <c r="P51" s="465">
        <f t="shared" si="20"/>
        <v>590.59895973275275</v>
      </c>
      <c r="Q51" s="464">
        <f>'PTRM input'!G251</f>
        <v>0</v>
      </c>
      <c r="R51" s="434">
        <f t="shared" si="21"/>
        <v>0</v>
      </c>
      <c r="S51" s="434">
        <f t="shared" si="22"/>
        <v>0</v>
      </c>
      <c r="T51" s="434">
        <f t="shared" si="23"/>
        <v>0</v>
      </c>
      <c r="U51" s="434">
        <f t="shared" si="24"/>
        <v>0</v>
      </c>
      <c r="V51" s="465">
        <f t="shared" si="25"/>
        <v>0</v>
      </c>
      <c r="W51" s="464">
        <f t="shared" si="26"/>
        <v>0</v>
      </c>
      <c r="X51" s="434">
        <f t="shared" si="27"/>
        <v>0</v>
      </c>
      <c r="Y51" s="434">
        <f t="shared" si="28"/>
        <v>0</v>
      </c>
      <c r="Z51" s="434">
        <f t="shared" si="29"/>
        <v>0</v>
      </c>
      <c r="AA51" s="465">
        <f t="shared" si="30"/>
        <v>0</v>
      </c>
      <c r="AB51" s="464">
        <f>'PTRM input'!H251</f>
        <v>30</v>
      </c>
      <c r="AC51" s="434">
        <f t="shared" si="31"/>
        <v>32.006467682459729</v>
      </c>
      <c r="AD51" s="434">
        <f t="shared" si="32"/>
        <v>31.844813999908137</v>
      </c>
      <c r="AE51" s="434">
        <f t="shared" si="33"/>
        <v>32.273002232866098</v>
      </c>
      <c r="AF51" s="434">
        <f t="shared" si="34"/>
        <v>32.706947923312875</v>
      </c>
      <c r="AG51" s="465">
        <f t="shared" si="35"/>
        <v>33.146728486539644</v>
      </c>
      <c r="AH51" s="464">
        <f t="shared" si="36"/>
        <v>33.592422378770564</v>
      </c>
      <c r="AI51" s="434">
        <f t="shared" si="37"/>
        <v>34.044109111159223</v>
      </c>
      <c r="AJ51" s="434">
        <f t="shared" si="38"/>
        <v>34.50186926397334</v>
      </c>
      <c r="AK51" s="434">
        <f t="shared" si="39"/>
        <v>34.965784500970166</v>
      </c>
      <c r="AL51" s="465">
        <f t="shared" si="40"/>
        <v>35.43593758396517</v>
      </c>
      <c r="AM51" s="464">
        <f>'PTRM input'!I251</f>
        <v>10</v>
      </c>
      <c r="AN51" s="434">
        <f t="shared" si="41"/>
        <v>10.668822560819912</v>
      </c>
      <c r="AO51" s="434">
        <f t="shared" si="42"/>
        <v>10.61493799996938</v>
      </c>
      <c r="AP51" s="434">
        <f t="shared" si="43"/>
        <v>10.757667410955365</v>
      </c>
      <c r="AQ51" s="434">
        <f t="shared" si="44"/>
        <v>10.902315974437624</v>
      </c>
      <c r="AR51" s="465">
        <f t="shared" si="45"/>
        <v>11.048909495513215</v>
      </c>
      <c r="AS51" s="464">
        <f t="shared" si="46"/>
        <v>11.197474126256854</v>
      </c>
      <c r="AT51" s="434">
        <f t="shared" si="47"/>
        <v>11.348036370386406</v>
      </c>
      <c r="AU51" s="434">
        <f t="shared" si="48"/>
        <v>11.500623087991114</v>
      </c>
      <c r="AV51" s="434">
        <f t="shared" si="49"/>
        <v>11.655261500323391</v>
      </c>
      <c r="AW51" s="465">
        <f t="shared" si="50"/>
        <v>11.811979194655059</v>
      </c>
      <c r="AX51" s="464">
        <f>'PTRM input'!J251</f>
        <v>15</v>
      </c>
      <c r="AY51" s="434">
        <f t="shared" si="51"/>
        <v>16.003233841229864</v>
      </c>
      <c r="AZ51" s="434">
        <f t="shared" si="52"/>
        <v>15.922406999954068</v>
      </c>
      <c r="BA51" s="434">
        <f t="shared" si="53"/>
        <v>16.136501116433049</v>
      </c>
      <c r="BB51" s="434">
        <f t="shared" si="54"/>
        <v>16.353473961656437</v>
      </c>
      <c r="BC51" s="465">
        <f t="shared" si="55"/>
        <v>16.573364243269822</v>
      </c>
      <c r="BD51" s="464">
        <f t="shared" si="56"/>
        <v>16.796211189385282</v>
      </c>
      <c r="BE51" s="434">
        <f t="shared" si="57"/>
        <v>17.022054555579611</v>
      </c>
      <c r="BF51" s="434">
        <f t="shared" si="58"/>
        <v>17.25093463198667</v>
      </c>
      <c r="BG51" s="434">
        <f t="shared" si="59"/>
        <v>17.482892250485083</v>
      </c>
      <c r="BH51" s="465">
        <f t="shared" si="60"/>
        <v>17.717968791982585</v>
      </c>
      <c r="BI51" s="464">
        <f>'PTRM input'!K251</f>
        <v>10</v>
      </c>
      <c r="BJ51" s="434">
        <f t="shared" si="61"/>
        <v>10.668822560819912</v>
      </c>
      <c r="BK51" s="434">
        <f t="shared" si="62"/>
        <v>10.61493799996938</v>
      </c>
      <c r="BL51" s="434">
        <f t="shared" si="63"/>
        <v>10.757667410955365</v>
      </c>
      <c r="BM51" s="434">
        <f t="shared" si="64"/>
        <v>10.902315974437624</v>
      </c>
      <c r="BN51" s="465">
        <f t="shared" si="65"/>
        <v>11.048909495513215</v>
      </c>
      <c r="BO51" s="464">
        <f t="shared" si="66"/>
        <v>11.197474126256854</v>
      </c>
      <c r="BP51" s="434">
        <f t="shared" si="67"/>
        <v>11.348036370386406</v>
      </c>
      <c r="BQ51" s="434">
        <f t="shared" si="68"/>
        <v>11.500623087991114</v>
      </c>
      <c r="BR51" s="434">
        <f t="shared" si="69"/>
        <v>11.655261500323391</v>
      </c>
      <c r="BS51" s="465">
        <f t="shared" si="70"/>
        <v>11.811979194655059</v>
      </c>
      <c r="BT51" s="464">
        <f>'PTRM input'!L251</f>
        <v>15</v>
      </c>
      <c r="BU51" s="434">
        <f t="shared" si="71"/>
        <v>16.003233841229864</v>
      </c>
      <c r="BV51" s="434">
        <f t="shared" si="72"/>
        <v>15.922406999954068</v>
      </c>
      <c r="BW51" s="434">
        <f t="shared" si="73"/>
        <v>16.136501116433049</v>
      </c>
      <c r="BX51" s="434">
        <f t="shared" si="74"/>
        <v>16.353473961656437</v>
      </c>
      <c r="BY51" s="465">
        <f t="shared" si="75"/>
        <v>16.573364243269822</v>
      </c>
      <c r="BZ51" s="464">
        <f t="shared" si="76"/>
        <v>16.796211189385282</v>
      </c>
      <c r="CA51" s="434">
        <f t="shared" si="77"/>
        <v>17.022054555579611</v>
      </c>
      <c r="CB51" s="434">
        <f t="shared" si="78"/>
        <v>17.25093463198667</v>
      </c>
      <c r="CC51" s="434">
        <f t="shared" si="79"/>
        <v>17.482892250485083</v>
      </c>
      <c r="CD51" s="465">
        <f t="shared" si="80"/>
        <v>17.717968791982585</v>
      </c>
      <c r="CE51" s="464">
        <f>'PTRM input'!M251</f>
        <v>20</v>
      </c>
      <c r="CF51" s="434">
        <f t="shared" si="81"/>
        <v>21.337645121639824</v>
      </c>
      <c r="CG51" s="434">
        <f t="shared" si="82"/>
        <v>21.229875999938759</v>
      </c>
      <c r="CH51" s="434">
        <f t="shared" si="83"/>
        <v>21.515334821910731</v>
      </c>
      <c r="CI51" s="434">
        <f t="shared" si="84"/>
        <v>21.804631948875247</v>
      </c>
      <c r="CJ51" s="465">
        <f t="shared" si="85"/>
        <v>22.097818991026429</v>
      </c>
      <c r="CK51" s="464">
        <f t="shared" si="86"/>
        <v>22.394948252513707</v>
      </c>
      <c r="CL51" s="434">
        <f t="shared" si="87"/>
        <v>22.696072740772813</v>
      </c>
      <c r="CM51" s="434">
        <f t="shared" si="88"/>
        <v>23.001246175982228</v>
      </c>
      <c r="CN51" s="434">
        <f t="shared" si="89"/>
        <v>23.310523000646782</v>
      </c>
      <c r="CO51" s="465">
        <f t="shared" si="90"/>
        <v>23.623958389310118</v>
      </c>
      <c r="CP51" s="464">
        <f>'PTRM input'!N251</f>
        <v>10</v>
      </c>
      <c r="CQ51" s="434">
        <f t="shared" si="91"/>
        <v>10.668822560819912</v>
      </c>
      <c r="CR51" s="434">
        <f t="shared" si="92"/>
        <v>10.61493799996938</v>
      </c>
      <c r="CS51" s="434">
        <f t="shared" si="93"/>
        <v>10.757667410955365</v>
      </c>
      <c r="CT51" s="434">
        <f t="shared" si="94"/>
        <v>10.902315974437624</v>
      </c>
      <c r="CU51" s="465">
        <f t="shared" si="95"/>
        <v>11.048909495513215</v>
      </c>
      <c r="CV51" s="464">
        <f t="shared" si="96"/>
        <v>11.197474126256854</v>
      </c>
      <c r="CW51" s="434">
        <f t="shared" si="97"/>
        <v>11.348036370386406</v>
      </c>
      <c r="CX51" s="434">
        <f t="shared" si="98"/>
        <v>11.500623087991114</v>
      </c>
      <c r="CY51" s="434">
        <f t="shared" si="99"/>
        <v>11.655261500323391</v>
      </c>
      <c r="CZ51" s="465">
        <f t="shared" si="100"/>
        <v>11.811979194655059</v>
      </c>
      <c r="DA51" s="464">
        <f>'PTRM input'!O251</f>
        <v>5</v>
      </c>
      <c r="DB51" s="434">
        <f t="shared" si="101"/>
        <v>5.3344112804099559</v>
      </c>
      <c r="DC51" s="434">
        <f t="shared" si="102"/>
        <v>5.3074689999846898</v>
      </c>
      <c r="DD51" s="434">
        <f t="shared" si="103"/>
        <v>5.3788337054776827</v>
      </c>
      <c r="DE51" s="434">
        <f t="shared" si="104"/>
        <v>5.4511579872188118</v>
      </c>
      <c r="DF51" s="465">
        <f t="shared" si="105"/>
        <v>5.5244547477566073</v>
      </c>
      <c r="DG51" s="464">
        <f t="shared" si="106"/>
        <v>5.5987370631284268</v>
      </c>
      <c r="DH51" s="434">
        <f t="shared" si="107"/>
        <v>5.6740181851932032</v>
      </c>
      <c r="DI51" s="434">
        <f t="shared" si="108"/>
        <v>5.750311543995557</v>
      </c>
      <c r="DJ51" s="434">
        <f t="shared" si="109"/>
        <v>5.8276307501616955</v>
      </c>
      <c r="DK51" s="465">
        <f t="shared" si="110"/>
        <v>5.9059895973275296</v>
      </c>
      <c r="DL51" s="48"/>
      <c r="DM51" s="286"/>
      <c r="DN51" s="286"/>
      <c r="DO51" s="286"/>
    </row>
    <row r="52" spans="1:119" s="213" customFormat="1">
      <c r="A52" s="30"/>
      <c r="B52" s="30"/>
      <c r="C52" s="30"/>
      <c r="D52" s="30"/>
      <c r="E52" s="445" t="str">
        <f t="shared" si="11"/>
        <v>Small Business B</v>
      </c>
      <c r="F52" s="1505">
        <f>'PTRM input'!F252</f>
        <v>500</v>
      </c>
      <c r="G52" s="434">
        <f t="shared" si="111"/>
        <v>533.44112804099552</v>
      </c>
      <c r="H52" s="434">
        <f t="shared" si="12"/>
        <v>530.74689999846896</v>
      </c>
      <c r="I52" s="434">
        <f t="shared" si="13"/>
        <v>537.88337054776821</v>
      </c>
      <c r="J52" s="434">
        <f t="shared" si="14"/>
        <v>545.11579872188111</v>
      </c>
      <c r="K52" s="465">
        <f t="shared" si="15"/>
        <v>552.44547477566061</v>
      </c>
      <c r="L52" s="464">
        <f t="shared" si="16"/>
        <v>559.8737063128425</v>
      </c>
      <c r="M52" s="434">
        <f t="shared" si="17"/>
        <v>567.40181851932016</v>
      </c>
      <c r="N52" s="434">
        <f t="shared" si="18"/>
        <v>575.03115439955548</v>
      </c>
      <c r="O52" s="434">
        <f t="shared" si="19"/>
        <v>582.7630750161693</v>
      </c>
      <c r="P52" s="465">
        <f t="shared" si="20"/>
        <v>590.59895973275275</v>
      </c>
      <c r="Q52" s="464">
        <f>'PTRM input'!G252</f>
        <v>0</v>
      </c>
      <c r="R52" s="434">
        <f t="shared" si="21"/>
        <v>0</v>
      </c>
      <c r="S52" s="434">
        <f t="shared" si="22"/>
        <v>0</v>
      </c>
      <c r="T52" s="434">
        <f t="shared" si="23"/>
        <v>0</v>
      </c>
      <c r="U52" s="434">
        <f t="shared" si="24"/>
        <v>0</v>
      </c>
      <c r="V52" s="465">
        <f t="shared" si="25"/>
        <v>0</v>
      </c>
      <c r="W52" s="464">
        <f t="shared" si="26"/>
        <v>0</v>
      </c>
      <c r="X52" s="434">
        <f t="shared" si="27"/>
        <v>0</v>
      </c>
      <c r="Y52" s="434">
        <f t="shared" si="28"/>
        <v>0</v>
      </c>
      <c r="Z52" s="434">
        <f t="shared" si="29"/>
        <v>0</v>
      </c>
      <c r="AA52" s="465">
        <f t="shared" si="30"/>
        <v>0</v>
      </c>
      <c r="AB52" s="464">
        <f>'PTRM input'!H252</f>
        <v>30</v>
      </c>
      <c r="AC52" s="434">
        <f t="shared" si="31"/>
        <v>32.006467682459729</v>
      </c>
      <c r="AD52" s="434">
        <f t="shared" si="32"/>
        <v>31.844813999908137</v>
      </c>
      <c r="AE52" s="434">
        <f t="shared" si="33"/>
        <v>32.273002232866098</v>
      </c>
      <c r="AF52" s="434">
        <f t="shared" si="34"/>
        <v>32.706947923312875</v>
      </c>
      <c r="AG52" s="465">
        <f t="shared" si="35"/>
        <v>33.146728486539644</v>
      </c>
      <c r="AH52" s="464">
        <f t="shared" si="36"/>
        <v>33.592422378770564</v>
      </c>
      <c r="AI52" s="434">
        <f t="shared" si="37"/>
        <v>34.044109111159223</v>
      </c>
      <c r="AJ52" s="434">
        <f t="shared" si="38"/>
        <v>34.50186926397334</v>
      </c>
      <c r="AK52" s="434">
        <f t="shared" si="39"/>
        <v>34.965784500970166</v>
      </c>
      <c r="AL52" s="465">
        <f t="shared" si="40"/>
        <v>35.43593758396517</v>
      </c>
      <c r="AM52" s="464">
        <f>'PTRM input'!I252</f>
        <v>10</v>
      </c>
      <c r="AN52" s="434">
        <f t="shared" si="41"/>
        <v>10.668822560819912</v>
      </c>
      <c r="AO52" s="434">
        <f t="shared" si="42"/>
        <v>10.61493799996938</v>
      </c>
      <c r="AP52" s="434">
        <f t="shared" si="43"/>
        <v>10.757667410955365</v>
      </c>
      <c r="AQ52" s="434">
        <f t="shared" si="44"/>
        <v>10.902315974437624</v>
      </c>
      <c r="AR52" s="465">
        <f t="shared" si="45"/>
        <v>11.048909495513215</v>
      </c>
      <c r="AS52" s="464">
        <f t="shared" si="46"/>
        <v>11.197474126256854</v>
      </c>
      <c r="AT52" s="434">
        <f t="shared" si="47"/>
        <v>11.348036370386406</v>
      </c>
      <c r="AU52" s="434">
        <f t="shared" si="48"/>
        <v>11.500623087991114</v>
      </c>
      <c r="AV52" s="434">
        <f t="shared" si="49"/>
        <v>11.655261500323391</v>
      </c>
      <c r="AW52" s="465">
        <f t="shared" si="50"/>
        <v>11.811979194655059</v>
      </c>
      <c r="AX52" s="464">
        <f>'PTRM input'!J252</f>
        <v>15</v>
      </c>
      <c r="AY52" s="434">
        <f t="shared" si="51"/>
        <v>16.003233841229864</v>
      </c>
      <c r="AZ52" s="434">
        <f t="shared" si="52"/>
        <v>15.922406999954068</v>
      </c>
      <c r="BA52" s="434">
        <f t="shared" si="53"/>
        <v>16.136501116433049</v>
      </c>
      <c r="BB52" s="434">
        <f t="shared" si="54"/>
        <v>16.353473961656437</v>
      </c>
      <c r="BC52" s="465">
        <f t="shared" si="55"/>
        <v>16.573364243269822</v>
      </c>
      <c r="BD52" s="464">
        <f t="shared" si="56"/>
        <v>16.796211189385282</v>
      </c>
      <c r="BE52" s="434">
        <f t="shared" si="57"/>
        <v>17.022054555579611</v>
      </c>
      <c r="BF52" s="434">
        <f t="shared" si="58"/>
        <v>17.25093463198667</v>
      </c>
      <c r="BG52" s="434">
        <f t="shared" si="59"/>
        <v>17.482892250485083</v>
      </c>
      <c r="BH52" s="465">
        <f t="shared" si="60"/>
        <v>17.717968791982585</v>
      </c>
      <c r="BI52" s="464">
        <f>'PTRM input'!K252</f>
        <v>10</v>
      </c>
      <c r="BJ52" s="434">
        <f t="shared" si="61"/>
        <v>10.668822560819912</v>
      </c>
      <c r="BK52" s="434">
        <f t="shared" si="62"/>
        <v>10.61493799996938</v>
      </c>
      <c r="BL52" s="434">
        <f t="shared" si="63"/>
        <v>10.757667410955365</v>
      </c>
      <c r="BM52" s="434">
        <f t="shared" si="64"/>
        <v>10.902315974437624</v>
      </c>
      <c r="BN52" s="465">
        <f t="shared" si="65"/>
        <v>11.048909495513215</v>
      </c>
      <c r="BO52" s="464">
        <f t="shared" si="66"/>
        <v>11.197474126256854</v>
      </c>
      <c r="BP52" s="434">
        <f t="shared" si="67"/>
        <v>11.348036370386406</v>
      </c>
      <c r="BQ52" s="434">
        <f t="shared" si="68"/>
        <v>11.500623087991114</v>
      </c>
      <c r="BR52" s="434">
        <f t="shared" si="69"/>
        <v>11.655261500323391</v>
      </c>
      <c r="BS52" s="465">
        <f t="shared" si="70"/>
        <v>11.811979194655059</v>
      </c>
      <c r="BT52" s="464">
        <f>'PTRM input'!L252</f>
        <v>15</v>
      </c>
      <c r="BU52" s="434">
        <f t="shared" si="71"/>
        <v>16.003233841229864</v>
      </c>
      <c r="BV52" s="434">
        <f t="shared" si="72"/>
        <v>15.922406999954068</v>
      </c>
      <c r="BW52" s="434">
        <f t="shared" si="73"/>
        <v>16.136501116433049</v>
      </c>
      <c r="BX52" s="434">
        <f t="shared" si="74"/>
        <v>16.353473961656437</v>
      </c>
      <c r="BY52" s="465">
        <f t="shared" si="75"/>
        <v>16.573364243269822</v>
      </c>
      <c r="BZ52" s="464">
        <f t="shared" si="76"/>
        <v>16.796211189385282</v>
      </c>
      <c r="CA52" s="434">
        <f t="shared" si="77"/>
        <v>17.022054555579611</v>
      </c>
      <c r="CB52" s="434">
        <f t="shared" si="78"/>
        <v>17.25093463198667</v>
      </c>
      <c r="CC52" s="434">
        <f t="shared" si="79"/>
        <v>17.482892250485083</v>
      </c>
      <c r="CD52" s="465">
        <f t="shared" si="80"/>
        <v>17.717968791982585</v>
      </c>
      <c r="CE52" s="464">
        <f>'PTRM input'!M252</f>
        <v>20</v>
      </c>
      <c r="CF52" s="434">
        <f t="shared" si="81"/>
        <v>21.337645121639824</v>
      </c>
      <c r="CG52" s="434">
        <f t="shared" si="82"/>
        <v>21.229875999938759</v>
      </c>
      <c r="CH52" s="434">
        <f t="shared" si="83"/>
        <v>21.515334821910731</v>
      </c>
      <c r="CI52" s="434">
        <f t="shared" si="84"/>
        <v>21.804631948875247</v>
      </c>
      <c r="CJ52" s="465">
        <f t="shared" si="85"/>
        <v>22.097818991026429</v>
      </c>
      <c r="CK52" s="464">
        <f t="shared" si="86"/>
        <v>22.394948252513707</v>
      </c>
      <c r="CL52" s="434">
        <f t="shared" si="87"/>
        <v>22.696072740772813</v>
      </c>
      <c r="CM52" s="434">
        <f t="shared" si="88"/>
        <v>23.001246175982228</v>
      </c>
      <c r="CN52" s="434">
        <f t="shared" si="89"/>
        <v>23.310523000646782</v>
      </c>
      <c r="CO52" s="465">
        <f t="shared" si="90"/>
        <v>23.623958389310118</v>
      </c>
      <c r="CP52" s="464">
        <f>'PTRM input'!N252</f>
        <v>10</v>
      </c>
      <c r="CQ52" s="434">
        <f t="shared" si="91"/>
        <v>10.668822560819912</v>
      </c>
      <c r="CR52" s="434">
        <f t="shared" si="92"/>
        <v>10.61493799996938</v>
      </c>
      <c r="CS52" s="434">
        <f t="shared" si="93"/>
        <v>10.757667410955365</v>
      </c>
      <c r="CT52" s="434">
        <f t="shared" si="94"/>
        <v>10.902315974437624</v>
      </c>
      <c r="CU52" s="465">
        <f t="shared" si="95"/>
        <v>11.048909495513215</v>
      </c>
      <c r="CV52" s="464">
        <f t="shared" si="96"/>
        <v>11.197474126256854</v>
      </c>
      <c r="CW52" s="434">
        <f t="shared" si="97"/>
        <v>11.348036370386406</v>
      </c>
      <c r="CX52" s="434">
        <f t="shared" si="98"/>
        <v>11.500623087991114</v>
      </c>
      <c r="CY52" s="434">
        <f t="shared" si="99"/>
        <v>11.655261500323391</v>
      </c>
      <c r="CZ52" s="465">
        <f t="shared" si="100"/>
        <v>11.811979194655059</v>
      </c>
      <c r="DA52" s="464">
        <f>'PTRM input'!O252</f>
        <v>5</v>
      </c>
      <c r="DB52" s="434">
        <f t="shared" si="101"/>
        <v>5.3344112804099559</v>
      </c>
      <c r="DC52" s="434">
        <f t="shared" si="102"/>
        <v>5.3074689999846898</v>
      </c>
      <c r="DD52" s="434">
        <f t="shared" si="103"/>
        <v>5.3788337054776827</v>
      </c>
      <c r="DE52" s="434">
        <f t="shared" si="104"/>
        <v>5.4511579872188118</v>
      </c>
      <c r="DF52" s="465">
        <f t="shared" si="105"/>
        <v>5.5244547477566073</v>
      </c>
      <c r="DG52" s="464">
        <f t="shared" si="106"/>
        <v>5.5987370631284268</v>
      </c>
      <c r="DH52" s="434">
        <f t="shared" si="107"/>
        <v>5.6740181851932032</v>
      </c>
      <c r="DI52" s="434">
        <f t="shared" si="108"/>
        <v>5.750311543995557</v>
      </c>
      <c r="DJ52" s="434">
        <f t="shared" si="109"/>
        <v>5.8276307501616955</v>
      </c>
      <c r="DK52" s="465">
        <f t="shared" si="110"/>
        <v>5.9059895973275296</v>
      </c>
      <c r="DL52" s="48"/>
      <c r="DM52" s="286"/>
      <c r="DN52" s="286"/>
      <c r="DO52" s="286"/>
    </row>
    <row r="53" spans="1:119" s="213" customFormat="1">
      <c r="A53" s="30"/>
      <c r="B53" s="30"/>
      <c r="C53" s="30"/>
      <c r="D53" s="30"/>
      <c r="E53" s="445" t="str">
        <f t="shared" si="11"/>
        <v>Small Business C</v>
      </c>
      <c r="F53" s="1505">
        <f>'PTRM input'!F253</f>
        <v>500</v>
      </c>
      <c r="G53" s="434">
        <f t="shared" si="111"/>
        <v>533.44112804099552</v>
      </c>
      <c r="H53" s="434">
        <f t="shared" si="12"/>
        <v>530.74689999846896</v>
      </c>
      <c r="I53" s="434">
        <f t="shared" si="13"/>
        <v>537.88337054776821</v>
      </c>
      <c r="J53" s="434">
        <f t="shared" si="14"/>
        <v>545.11579872188111</v>
      </c>
      <c r="K53" s="465">
        <f t="shared" si="15"/>
        <v>552.44547477566061</v>
      </c>
      <c r="L53" s="464">
        <f t="shared" si="16"/>
        <v>559.8737063128425</v>
      </c>
      <c r="M53" s="434">
        <f t="shared" si="17"/>
        <v>567.40181851932016</v>
      </c>
      <c r="N53" s="434">
        <f t="shared" si="18"/>
        <v>575.03115439955548</v>
      </c>
      <c r="O53" s="434">
        <f t="shared" si="19"/>
        <v>582.7630750161693</v>
      </c>
      <c r="P53" s="465">
        <f t="shared" si="20"/>
        <v>590.59895973275275</v>
      </c>
      <c r="Q53" s="464">
        <f>'PTRM input'!G253</f>
        <v>0</v>
      </c>
      <c r="R53" s="434">
        <f t="shared" si="21"/>
        <v>0</v>
      </c>
      <c r="S53" s="434">
        <f t="shared" si="22"/>
        <v>0</v>
      </c>
      <c r="T53" s="434">
        <f t="shared" si="23"/>
        <v>0</v>
      </c>
      <c r="U53" s="434">
        <f t="shared" si="24"/>
        <v>0</v>
      </c>
      <c r="V53" s="465">
        <f t="shared" si="25"/>
        <v>0</v>
      </c>
      <c r="W53" s="464">
        <f t="shared" si="26"/>
        <v>0</v>
      </c>
      <c r="X53" s="434">
        <f t="shared" si="27"/>
        <v>0</v>
      </c>
      <c r="Y53" s="434">
        <f t="shared" si="28"/>
        <v>0</v>
      </c>
      <c r="Z53" s="434">
        <f t="shared" si="29"/>
        <v>0</v>
      </c>
      <c r="AA53" s="465">
        <f t="shared" si="30"/>
        <v>0</v>
      </c>
      <c r="AB53" s="464">
        <f>'PTRM input'!H253</f>
        <v>30</v>
      </c>
      <c r="AC53" s="434">
        <f t="shared" si="31"/>
        <v>32.006467682459729</v>
      </c>
      <c r="AD53" s="434">
        <f t="shared" si="32"/>
        <v>31.844813999908137</v>
      </c>
      <c r="AE53" s="434">
        <f t="shared" si="33"/>
        <v>32.273002232866098</v>
      </c>
      <c r="AF53" s="434">
        <f t="shared" si="34"/>
        <v>32.706947923312875</v>
      </c>
      <c r="AG53" s="465">
        <f t="shared" si="35"/>
        <v>33.146728486539644</v>
      </c>
      <c r="AH53" s="464">
        <f t="shared" si="36"/>
        <v>33.592422378770564</v>
      </c>
      <c r="AI53" s="434">
        <f t="shared" si="37"/>
        <v>34.044109111159223</v>
      </c>
      <c r="AJ53" s="434">
        <f t="shared" si="38"/>
        <v>34.50186926397334</v>
      </c>
      <c r="AK53" s="434">
        <f t="shared" si="39"/>
        <v>34.965784500970166</v>
      </c>
      <c r="AL53" s="465">
        <f t="shared" si="40"/>
        <v>35.43593758396517</v>
      </c>
      <c r="AM53" s="464">
        <f>'PTRM input'!I253</f>
        <v>10</v>
      </c>
      <c r="AN53" s="434">
        <f t="shared" si="41"/>
        <v>10.668822560819912</v>
      </c>
      <c r="AO53" s="434">
        <f t="shared" si="42"/>
        <v>10.61493799996938</v>
      </c>
      <c r="AP53" s="434">
        <f t="shared" si="43"/>
        <v>10.757667410955365</v>
      </c>
      <c r="AQ53" s="434">
        <f t="shared" si="44"/>
        <v>10.902315974437624</v>
      </c>
      <c r="AR53" s="465">
        <f t="shared" si="45"/>
        <v>11.048909495513215</v>
      </c>
      <c r="AS53" s="464">
        <f t="shared" si="46"/>
        <v>11.197474126256854</v>
      </c>
      <c r="AT53" s="434">
        <f t="shared" si="47"/>
        <v>11.348036370386406</v>
      </c>
      <c r="AU53" s="434">
        <f t="shared" si="48"/>
        <v>11.500623087991114</v>
      </c>
      <c r="AV53" s="434">
        <f t="shared" si="49"/>
        <v>11.655261500323391</v>
      </c>
      <c r="AW53" s="465">
        <f t="shared" si="50"/>
        <v>11.811979194655059</v>
      </c>
      <c r="AX53" s="464">
        <f>'PTRM input'!J253</f>
        <v>15</v>
      </c>
      <c r="AY53" s="434">
        <f t="shared" si="51"/>
        <v>16.003233841229864</v>
      </c>
      <c r="AZ53" s="434">
        <f t="shared" si="52"/>
        <v>15.922406999954068</v>
      </c>
      <c r="BA53" s="434">
        <f t="shared" si="53"/>
        <v>16.136501116433049</v>
      </c>
      <c r="BB53" s="434">
        <f t="shared" si="54"/>
        <v>16.353473961656437</v>
      </c>
      <c r="BC53" s="465">
        <f t="shared" si="55"/>
        <v>16.573364243269822</v>
      </c>
      <c r="BD53" s="464">
        <f t="shared" si="56"/>
        <v>16.796211189385282</v>
      </c>
      <c r="BE53" s="434">
        <f t="shared" si="57"/>
        <v>17.022054555579611</v>
      </c>
      <c r="BF53" s="434">
        <f t="shared" si="58"/>
        <v>17.25093463198667</v>
      </c>
      <c r="BG53" s="434">
        <f t="shared" si="59"/>
        <v>17.482892250485083</v>
      </c>
      <c r="BH53" s="465">
        <f t="shared" si="60"/>
        <v>17.717968791982585</v>
      </c>
      <c r="BI53" s="464">
        <f>'PTRM input'!K253</f>
        <v>10</v>
      </c>
      <c r="BJ53" s="434">
        <f t="shared" si="61"/>
        <v>10.668822560819912</v>
      </c>
      <c r="BK53" s="434">
        <f t="shared" si="62"/>
        <v>10.61493799996938</v>
      </c>
      <c r="BL53" s="434">
        <f t="shared" si="63"/>
        <v>10.757667410955365</v>
      </c>
      <c r="BM53" s="434">
        <f t="shared" si="64"/>
        <v>10.902315974437624</v>
      </c>
      <c r="BN53" s="465">
        <f t="shared" si="65"/>
        <v>11.048909495513215</v>
      </c>
      <c r="BO53" s="464">
        <f t="shared" si="66"/>
        <v>11.197474126256854</v>
      </c>
      <c r="BP53" s="434">
        <f t="shared" si="67"/>
        <v>11.348036370386406</v>
      </c>
      <c r="BQ53" s="434">
        <f t="shared" si="68"/>
        <v>11.500623087991114</v>
      </c>
      <c r="BR53" s="434">
        <f t="shared" si="69"/>
        <v>11.655261500323391</v>
      </c>
      <c r="BS53" s="465">
        <f t="shared" si="70"/>
        <v>11.811979194655059</v>
      </c>
      <c r="BT53" s="464">
        <f>'PTRM input'!L253</f>
        <v>15</v>
      </c>
      <c r="BU53" s="434">
        <f t="shared" si="71"/>
        <v>16.003233841229864</v>
      </c>
      <c r="BV53" s="434">
        <f t="shared" si="72"/>
        <v>15.922406999954068</v>
      </c>
      <c r="BW53" s="434">
        <f t="shared" si="73"/>
        <v>16.136501116433049</v>
      </c>
      <c r="BX53" s="434">
        <f t="shared" si="74"/>
        <v>16.353473961656437</v>
      </c>
      <c r="BY53" s="465">
        <f t="shared" si="75"/>
        <v>16.573364243269822</v>
      </c>
      <c r="BZ53" s="464">
        <f t="shared" si="76"/>
        <v>16.796211189385282</v>
      </c>
      <c r="CA53" s="434">
        <f t="shared" si="77"/>
        <v>17.022054555579611</v>
      </c>
      <c r="CB53" s="434">
        <f t="shared" si="78"/>
        <v>17.25093463198667</v>
      </c>
      <c r="CC53" s="434">
        <f t="shared" si="79"/>
        <v>17.482892250485083</v>
      </c>
      <c r="CD53" s="465">
        <f t="shared" si="80"/>
        <v>17.717968791982585</v>
      </c>
      <c r="CE53" s="464">
        <f>'PTRM input'!M253</f>
        <v>20</v>
      </c>
      <c r="CF53" s="434">
        <f t="shared" si="81"/>
        <v>21.337645121639824</v>
      </c>
      <c r="CG53" s="434">
        <f t="shared" si="82"/>
        <v>21.229875999938759</v>
      </c>
      <c r="CH53" s="434">
        <f t="shared" si="83"/>
        <v>21.515334821910731</v>
      </c>
      <c r="CI53" s="434">
        <f t="shared" si="84"/>
        <v>21.804631948875247</v>
      </c>
      <c r="CJ53" s="465">
        <f t="shared" si="85"/>
        <v>22.097818991026429</v>
      </c>
      <c r="CK53" s="464">
        <f t="shared" si="86"/>
        <v>22.394948252513707</v>
      </c>
      <c r="CL53" s="434">
        <f t="shared" si="87"/>
        <v>22.696072740772813</v>
      </c>
      <c r="CM53" s="434">
        <f t="shared" si="88"/>
        <v>23.001246175982228</v>
      </c>
      <c r="CN53" s="434">
        <f t="shared" si="89"/>
        <v>23.310523000646782</v>
      </c>
      <c r="CO53" s="465">
        <f t="shared" si="90"/>
        <v>23.623958389310118</v>
      </c>
      <c r="CP53" s="464">
        <f>'PTRM input'!N253</f>
        <v>10</v>
      </c>
      <c r="CQ53" s="434">
        <f t="shared" si="91"/>
        <v>10.668822560819912</v>
      </c>
      <c r="CR53" s="434">
        <f t="shared" si="92"/>
        <v>10.61493799996938</v>
      </c>
      <c r="CS53" s="434">
        <f t="shared" si="93"/>
        <v>10.757667410955365</v>
      </c>
      <c r="CT53" s="434">
        <f t="shared" si="94"/>
        <v>10.902315974437624</v>
      </c>
      <c r="CU53" s="465">
        <f t="shared" si="95"/>
        <v>11.048909495513215</v>
      </c>
      <c r="CV53" s="464">
        <f t="shared" si="96"/>
        <v>11.197474126256854</v>
      </c>
      <c r="CW53" s="434">
        <f t="shared" si="97"/>
        <v>11.348036370386406</v>
      </c>
      <c r="CX53" s="434">
        <f t="shared" si="98"/>
        <v>11.500623087991114</v>
      </c>
      <c r="CY53" s="434">
        <f t="shared" si="99"/>
        <v>11.655261500323391</v>
      </c>
      <c r="CZ53" s="465">
        <f t="shared" si="100"/>
        <v>11.811979194655059</v>
      </c>
      <c r="DA53" s="464">
        <f>'PTRM input'!O253</f>
        <v>5</v>
      </c>
      <c r="DB53" s="434">
        <f t="shared" si="101"/>
        <v>5.3344112804099559</v>
      </c>
      <c r="DC53" s="434">
        <f t="shared" si="102"/>
        <v>5.3074689999846898</v>
      </c>
      <c r="DD53" s="434">
        <f t="shared" si="103"/>
        <v>5.3788337054776827</v>
      </c>
      <c r="DE53" s="434">
        <f t="shared" si="104"/>
        <v>5.4511579872188118</v>
      </c>
      <c r="DF53" s="465">
        <f t="shared" si="105"/>
        <v>5.5244547477566073</v>
      </c>
      <c r="DG53" s="464">
        <f t="shared" si="106"/>
        <v>5.5987370631284268</v>
      </c>
      <c r="DH53" s="434">
        <f t="shared" si="107"/>
        <v>5.6740181851932032</v>
      </c>
      <c r="DI53" s="434">
        <f t="shared" si="108"/>
        <v>5.750311543995557</v>
      </c>
      <c r="DJ53" s="434">
        <f t="shared" si="109"/>
        <v>5.8276307501616955</v>
      </c>
      <c r="DK53" s="465">
        <f t="shared" si="110"/>
        <v>5.9059895973275296</v>
      </c>
      <c r="DL53" s="48"/>
      <c r="DM53" s="286"/>
      <c r="DN53" s="286"/>
      <c r="DO53" s="286"/>
    </row>
    <row r="54" spans="1:119" s="213" customFormat="1">
      <c r="A54" s="30"/>
      <c r="B54" s="30"/>
      <c r="C54" s="30"/>
      <c r="D54" s="30"/>
      <c r="E54" s="445" t="str">
        <f t="shared" si="11"/>
        <v>Large Business A</v>
      </c>
      <c r="F54" s="1505">
        <f>'PTRM input'!F254</f>
        <v>1000</v>
      </c>
      <c r="G54" s="434">
        <f t="shared" si="111"/>
        <v>1066.882256081991</v>
      </c>
      <c r="H54" s="434">
        <f t="shared" si="12"/>
        <v>1061.4937999969379</v>
      </c>
      <c r="I54" s="434">
        <f t="shared" si="13"/>
        <v>1075.7667410955364</v>
      </c>
      <c r="J54" s="434">
        <f t="shared" si="14"/>
        <v>1090.2315974437622</v>
      </c>
      <c r="K54" s="465">
        <f t="shared" si="15"/>
        <v>1104.8909495513212</v>
      </c>
      <c r="L54" s="464">
        <f t="shared" si="16"/>
        <v>1119.747412625685</v>
      </c>
      <c r="M54" s="434">
        <f t="shared" si="17"/>
        <v>1134.8036370386403</v>
      </c>
      <c r="N54" s="434">
        <f t="shared" si="18"/>
        <v>1150.062308799111</v>
      </c>
      <c r="O54" s="434">
        <f t="shared" si="19"/>
        <v>1165.5261500323386</v>
      </c>
      <c r="P54" s="465">
        <f t="shared" si="20"/>
        <v>1181.1979194655055</v>
      </c>
      <c r="Q54" s="464">
        <f>'PTRM input'!G254</f>
        <v>0</v>
      </c>
      <c r="R54" s="434">
        <f t="shared" si="21"/>
        <v>0</v>
      </c>
      <c r="S54" s="434">
        <f t="shared" si="22"/>
        <v>0</v>
      </c>
      <c r="T54" s="434">
        <f t="shared" si="23"/>
        <v>0</v>
      </c>
      <c r="U54" s="434">
        <f t="shared" si="24"/>
        <v>0</v>
      </c>
      <c r="V54" s="465">
        <f t="shared" si="25"/>
        <v>0</v>
      </c>
      <c r="W54" s="464">
        <f t="shared" si="26"/>
        <v>0</v>
      </c>
      <c r="X54" s="434">
        <f t="shared" si="27"/>
        <v>0</v>
      </c>
      <c r="Y54" s="434">
        <f t="shared" si="28"/>
        <v>0</v>
      </c>
      <c r="Z54" s="434">
        <f t="shared" si="29"/>
        <v>0</v>
      </c>
      <c r="AA54" s="465">
        <f t="shared" si="30"/>
        <v>0</v>
      </c>
      <c r="AB54" s="464">
        <f>'PTRM input'!H254</f>
        <v>50</v>
      </c>
      <c r="AC54" s="434">
        <f t="shared" si="31"/>
        <v>53.344112804099552</v>
      </c>
      <c r="AD54" s="434">
        <f t="shared" si="32"/>
        <v>53.074689999846889</v>
      </c>
      <c r="AE54" s="434">
        <f t="shared" si="33"/>
        <v>53.788337054776818</v>
      </c>
      <c r="AF54" s="434">
        <f t="shared" si="34"/>
        <v>54.511579872188108</v>
      </c>
      <c r="AG54" s="465">
        <f t="shared" si="35"/>
        <v>55.244547477566059</v>
      </c>
      <c r="AH54" s="464">
        <f t="shared" si="36"/>
        <v>55.987370631284257</v>
      </c>
      <c r="AI54" s="434">
        <f t="shared" si="37"/>
        <v>56.740181851932022</v>
      </c>
      <c r="AJ54" s="434">
        <f t="shared" si="38"/>
        <v>57.503115439955558</v>
      </c>
      <c r="AK54" s="434">
        <f t="shared" si="39"/>
        <v>58.276307501616934</v>
      </c>
      <c r="AL54" s="465">
        <f t="shared" si="40"/>
        <v>59.059895973275275</v>
      </c>
      <c r="AM54" s="464">
        <f>'PTRM input'!I254</f>
        <v>10</v>
      </c>
      <c r="AN54" s="434">
        <f t="shared" si="41"/>
        <v>10.668822560819912</v>
      </c>
      <c r="AO54" s="434">
        <f t="shared" si="42"/>
        <v>10.61493799996938</v>
      </c>
      <c r="AP54" s="434">
        <f t="shared" si="43"/>
        <v>10.757667410955365</v>
      </c>
      <c r="AQ54" s="434">
        <f t="shared" si="44"/>
        <v>10.902315974437624</v>
      </c>
      <c r="AR54" s="465">
        <f t="shared" si="45"/>
        <v>11.048909495513215</v>
      </c>
      <c r="AS54" s="464">
        <f t="shared" si="46"/>
        <v>11.197474126256854</v>
      </c>
      <c r="AT54" s="434">
        <f t="shared" si="47"/>
        <v>11.348036370386406</v>
      </c>
      <c r="AU54" s="434">
        <f t="shared" si="48"/>
        <v>11.500623087991114</v>
      </c>
      <c r="AV54" s="434">
        <f t="shared" si="49"/>
        <v>11.655261500323391</v>
      </c>
      <c r="AW54" s="465">
        <f t="shared" si="50"/>
        <v>11.811979194655059</v>
      </c>
      <c r="AX54" s="464">
        <f>'PTRM input'!J254</f>
        <v>15</v>
      </c>
      <c r="AY54" s="434">
        <f t="shared" si="51"/>
        <v>16.003233841229864</v>
      </c>
      <c r="AZ54" s="434">
        <f t="shared" si="52"/>
        <v>15.922406999954068</v>
      </c>
      <c r="BA54" s="434">
        <f t="shared" si="53"/>
        <v>16.136501116433049</v>
      </c>
      <c r="BB54" s="434">
        <f t="shared" si="54"/>
        <v>16.353473961656437</v>
      </c>
      <c r="BC54" s="465">
        <f t="shared" si="55"/>
        <v>16.573364243269822</v>
      </c>
      <c r="BD54" s="464">
        <f t="shared" si="56"/>
        <v>16.796211189385282</v>
      </c>
      <c r="BE54" s="434">
        <f t="shared" si="57"/>
        <v>17.022054555579611</v>
      </c>
      <c r="BF54" s="434">
        <f t="shared" si="58"/>
        <v>17.25093463198667</v>
      </c>
      <c r="BG54" s="434">
        <f t="shared" si="59"/>
        <v>17.482892250485083</v>
      </c>
      <c r="BH54" s="465">
        <f t="shared" si="60"/>
        <v>17.717968791982585</v>
      </c>
      <c r="BI54" s="464">
        <f>'PTRM input'!K254</f>
        <v>10</v>
      </c>
      <c r="BJ54" s="434">
        <f t="shared" si="61"/>
        <v>10.668822560819912</v>
      </c>
      <c r="BK54" s="434">
        <f t="shared" si="62"/>
        <v>10.61493799996938</v>
      </c>
      <c r="BL54" s="434">
        <f t="shared" si="63"/>
        <v>10.757667410955365</v>
      </c>
      <c r="BM54" s="434">
        <f t="shared" si="64"/>
        <v>10.902315974437624</v>
      </c>
      <c r="BN54" s="465">
        <f t="shared" si="65"/>
        <v>11.048909495513215</v>
      </c>
      <c r="BO54" s="464">
        <f t="shared" si="66"/>
        <v>11.197474126256854</v>
      </c>
      <c r="BP54" s="434">
        <f t="shared" si="67"/>
        <v>11.348036370386406</v>
      </c>
      <c r="BQ54" s="434">
        <f t="shared" si="68"/>
        <v>11.500623087991114</v>
      </c>
      <c r="BR54" s="434">
        <f t="shared" si="69"/>
        <v>11.655261500323391</v>
      </c>
      <c r="BS54" s="465">
        <f t="shared" si="70"/>
        <v>11.811979194655059</v>
      </c>
      <c r="BT54" s="464">
        <f>'PTRM input'!L254</f>
        <v>15</v>
      </c>
      <c r="BU54" s="434">
        <f t="shared" si="71"/>
        <v>16.003233841229864</v>
      </c>
      <c r="BV54" s="434">
        <f t="shared" si="72"/>
        <v>15.922406999954068</v>
      </c>
      <c r="BW54" s="434">
        <f t="shared" si="73"/>
        <v>16.136501116433049</v>
      </c>
      <c r="BX54" s="434">
        <f t="shared" si="74"/>
        <v>16.353473961656437</v>
      </c>
      <c r="BY54" s="465">
        <f t="shared" si="75"/>
        <v>16.573364243269822</v>
      </c>
      <c r="BZ54" s="464">
        <f t="shared" si="76"/>
        <v>16.796211189385282</v>
      </c>
      <c r="CA54" s="434">
        <f t="shared" si="77"/>
        <v>17.022054555579611</v>
      </c>
      <c r="CB54" s="434">
        <f t="shared" si="78"/>
        <v>17.25093463198667</v>
      </c>
      <c r="CC54" s="434">
        <f t="shared" si="79"/>
        <v>17.482892250485083</v>
      </c>
      <c r="CD54" s="465">
        <f t="shared" si="80"/>
        <v>17.717968791982585</v>
      </c>
      <c r="CE54" s="464">
        <f>'PTRM input'!M254</f>
        <v>30</v>
      </c>
      <c r="CF54" s="434">
        <f t="shared" si="81"/>
        <v>32.006467682459729</v>
      </c>
      <c r="CG54" s="434">
        <f t="shared" si="82"/>
        <v>31.844813999908137</v>
      </c>
      <c r="CH54" s="434">
        <f t="shared" si="83"/>
        <v>32.273002232866098</v>
      </c>
      <c r="CI54" s="434">
        <f t="shared" si="84"/>
        <v>32.706947923312875</v>
      </c>
      <c r="CJ54" s="465">
        <f t="shared" si="85"/>
        <v>33.146728486539644</v>
      </c>
      <c r="CK54" s="464">
        <f t="shared" si="86"/>
        <v>33.592422378770564</v>
      </c>
      <c r="CL54" s="434">
        <f t="shared" si="87"/>
        <v>34.044109111159223</v>
      </c>
      <c r="CM54" s="434">
        <f t="shared" si="88"/>
        <v>34.50186926397334</v>
      </c>
      <c r="CN54" s="434">
        <f t="shared" si="89"/>
        <v>34.965784500970166</v>
      </c>
      <c r="CO54" s="465">
        <f t="shared" si="90"/>
        <v>35.43593758396517</v>
      </c>
      <c r="CP54" s="464">
        <f>'PTRM input'!N254</f>
        <v>10</v>
      </c>
      <c r="CQ54" s="434">
        <f t="shared" si="91"/>
        <v>10.668822560819912</v>
      </c>
      <c r="CR54" s="434">
        <f t="shared" si="92"/>
        <v>10.61493799996938</v>
      </c>
      <c r="CS54" s="434">
        <f t="shared" si="93"/>
        <v>10.757667410955365</v>
      </c>
      <c r="CT54" s="434">
        <f t="shared" si="94"/>
        <v>10.902315974437624</v>
      </c>
      <c r="CU54" s="465">
        <f t="shared" si="95"/>
        <v>11.048909495513215</v>
      </c>
      <c r="CV54" s="464">
        <f t="shared" si="96"/>
        <v>11.197474126256854</v>
      </c>
      <c r="CW54" s="434">
        <f t="shared" si="97"/>
        <v>11.348036370386406</v>
      </c>
      <c r="CX54" s="434">
        <f t="shared" si="98"/>
        <v>11.500623087991114</v>
      </c>
      <c r="CY54" s="434">
        <f t="shared" si="99"/>
        <v>11.655261500323391</v>
      </c>
      <c r="CZ54" s="465">
        <f t="shared" si="100"/>
        <v>11.811979194655059</v>
      </c>
      <c r="DA54" s="464">
        <f>'PTRM input'!O254</f>
        <v>5</v>
      </c>
      <c r="DB54" s="434">
        <f t="shared" si="101"/>
        <v>5.3344112804099559</v>
      </c>
      <c r="DC54" s="434">
        <f t="shared" si="102"/>
        <v>5.3074689999846898</v>
      </c>
      <c r="DD54" s="434">
        <f t="shared" si="103"/>
        <v>5.3788337054776827</v>
      </c>
      <c r="DE54" s="434">
        <f t="shared" si="104"/>
        <v>5.4511579872188118</v>
      </c>
      <c r="DF54" s="465">
        <f t="shared" si="105"/>
        <v>5.5244547477566073</v>
      </c>
      <c r="DG54" s="464">
        <f t="shared" si="106"/>
        <v>5.5987370631284268</v>
      </c>
      <c r="DH54" s="434">
        <f t="shared" si="107"/>
        <v>5.6740181851932032</v>
      </c>
      <c r="DI54" s="434">
        <f t="shared" si="108"/>
        <v>5.750311543995557</v>
      </c>
      <c r="DJ54" s="434">
        <f t="shared" si="109"/>
        <v>5.8276307501616955</v>
      </c>
      <c r="DK54" s="465">
        <f t="shared" si="110"/>
        <v>5.9059895973275296</v>
      </c>
      <c r="DL54" s="48"/>
      <c r="DM54" s="286"/>
      <c r="DN54" s="286"/>
      <c r="DO54" s="286"/>
    </row>
    <row r="55" spans="1:119" s="213" customFormat="1">
      <c r="A55" s="30"/>
      <c r="B55" s="30"/>
      <c r="C55" s="30"/>
      <c r="D55" s="30"/>
      <c r="E55" s="445" t="str">
        <f t="shared" si="11"/>
        <v>Large Business B</v>
      </c>
      <c r="F55" s="1505">
        <f>'PTRM input'!F255</f>
        <v>1000</v>
      </c>
      <c r="G55" s="434">
        <f t="shared" si="111"/>
        <v>1066.882256081991</v>
      </c>
      <c r="H55" s="434">
        <f t="shared" si="12"/>
        <v>1061.4937999969379</v>
      </c>
      <c r="I55" s="434">
        <f t="shared" si="13"/>
        <v>1075.7667410955364</v>
      </c>
      <c r="J55" s="434">
        <f t="shared" si="14"/>
        <v>1090.2315974437622</v>
      </c>
      <c r="K55" s="465">
        <f t="shared" si="15"/>
        <v>1104.8909495513212</v>
      </c>
      <c r="L55" s="464">
        <f t="shared" si="16"/>
        <v>1119.747412625685</v>
      </c>
      <c r="M55" s="434">
        <f t="shared" si="17"/>
        <v>1134.8036370386403</v>
      </c>
      <c r="N55" s="434">
        <f t="shared" si="18"/>
        <v>1150.062308799111</v>
      </c>
      <c r="O55" s="434">
        <f t="shared" si="19"/>
        <v>1165.5261500323386</v>
      </c>
      <c r="P55" s="465">
        <f t="shared" si="20"/>
        <v>1181.1979194655055</v>
      </c>
      <c r="Q55" s="464">
        <f>'PTRM input'!G255</f>
        <v>0</v>
      </c>
      <c r="R55" s="434">
        <f t="shared" si="21"/>
        <v>0</v>
      </c>
      <c r="S55" s="434">
        <f t="shared" si="22"/>
        <v>0</v>
      </c>
      <c r="T55" s="434">
        <f t="shared" si="23"/>
        <v>0</v>
      </c>
      <c r="U55" s="434">
        <f t="shared" si="24"/>
        <v>0</v>
      </c>
      <c r="V55" s="465">
        <f t="shared" si="25"/>
        <v>0</v>
      </c>
      <c r="W55" s="464">
        <f t="shared" si="26"/>
        <v>0</v>
      </c>
      <c r="X55" s="434">
        <f t="shared" si="27"/>
        <v>0</v>
      </c>
      <c r="Y55" s="434">
        <f t="shared" si="28"/>
        <v>0</v>
      </c>
      <c r="Z55" s="434">
        <f t="shared" si="29"/>
        <v>0</v>
      </c>
      <c r="AA55" s="465">
        <f t="shared" si="30"/>
        <v>0</v>
      </c>
      <c r="AB55" s="464">
        <f>'PTRM input'!H255</f>
        <v>50</v>
      </c>
      <c r="AC55" s="434">
        <f t="shared" si="31"/>
        <v>53.344112804099552</v>
      </c>
      <c r="AD55" s="434">
        <f t="shared" si="32"/>
        <v>53.074689999846889</v>
      </c>
      <c r="AE55" s="434">
        <f t="shared" si="33"/>
        <v>53.788337054776818</v>
      </c>
      <c r="AF55" s="434">
        <f t="shared" si="34"/>
        <v>54.511579872188108</v>
      </c>
      <c r="AG55" s="465">
        <f t="shared" si="35"/>
        <v>55.244547477566059</v>
      </c>
      <c r="AH55" s="464">
        <f t="shared" si="36"/>
        <v>55.987370631284257</v>
      </c>
      <c r="AI55" s="434">
        <f t="shared" si="37"/>
        <v>56.740181851932022</v>
      </c>
      <c r="AJ55" s="434">
        <f t="shared" si="38"/>
        <v>57.503115439955558</v>
      </c>
      <c r="AK55" s="434">
        <f t="shared" si="39"/>
        <v>58.276307501616934</v>
      </c>
      <c r="AL55" s="465">
        <f t="shared" si="40"/>
        <v>59.059895973275275</v>
      </c>
      <c r="AM55" s="464">
        <f>'PTRM input'!I255</f>
        <v>10</v>
      </c>
      <c r="AN55" s="434">
        <f t="shared" si="41"/>
        <v>10.668822560819912</v>
      </c>
      <c r="AO55" s="434">
        <f t="shared" si="42"/>
        <v>10.61493799996938</v>
      </c>
      <c r="AP55" s="434">
        <f t="shared" si="43"/>
        <v>10.757667410955365</v>
      </c>
      <c r="AQ55" s="434">
        <f t="shared" si="44"/>
        <v>10.902315974437624</v>
      </c>
      <c r="AR55" s="465">
        <f t="shared" si="45"/>
        <v>11.048909495513215</v>
      </c>
      <c r="AS55" s="464">
        <f t="shared" si="46"/>
        <v>11.197474126256854</v>
      </c>
      <c r="AT55" s="434">
        <f t="shared" si="47"/>
        <v>11.348036370386406</v>
      </c>
      <c r="AU55" s="434">
        <f t="shared" si="48"/>
        <v>11.500623087991114</v>
      </c>
      <c r="AV55" s="434">
        <f t="shared" si="49"/>
        <v>11.655261500323391</v>
      </c>
      <c r="AW55" s="465">
        <f t="shared" si="50"/>
        <v>11.811979194655059</v>
      </c>
      <c r="AX55" s="464">
        <f>'PTRM input'!J255</f>
        <v>15</v>
      </c>
      <c r="AY55" s="434">
        <f t="shared" si="51"/>
        <v>16.003233841229864</v>
      </c>
      <c r="AZ55" s="434">
        <f t="shared" si="52"/>
        <v>15.922406999954068</v>
      </c>
      <c r="BA55" s="434">
        <f t="shared" si="53"/>
        <v>16.136501116433049</v>
      </c>
      <c r="BB55" s="434">
        <f t="shared" si="54"/>
        <v>16.353473961656437</v>
      </c>
      <c r="BC55" s="465">
        <f t="shared" si="55"/>
        <v>16.573364243269822</v>
      </c>
      <c r="BD55" s="464">
        <f t="shared" si="56"/>
        <v>16.796211189385282</v>
      </c>
      <c r="BE55" s="434">
        <f t="shared" si="57"/>
        <v>17.022054555579611</v>
      </c>
      <c r="BF55" s="434">
        <f t="shared" si="58"/>
        <v>17.25093463198667</v>
      </c>
      <c r="BG55" s="434">
        <f t="shared" si="59"/>
        <v>17.482892250485083</v>
      </c>
      <c r="BH55" s="465">
        <f t="shared" si="60"/>
        <v>17.717968791982585</v>
      </c>
      <c r="BI55" s="464">
        <f>'PTRM input'!K255</f>
        <v>10</v>
      </c>
      <c r="BJ55" s="434">
        <f t="shared" si="61"/>
        <v>10.668822560819912</v>
      </c>
      <c r="BK55" s="434">
        <f t="shared" si="62"/>
        <v>10.61493799996938</v>
      </c>
      <c r="BL55" s="434">
        <f t="shared" si="63"/>
        <v>10.757667410955365</v>
      </c>
      <c r="BM55" s="434">
        <f t="shared" si="64"/>
        <v>10.902315974437624</v>
      </c>
      <c r="BN55" s="465">
        <f t="shared" si="65"/>
        <v>11.048909495513215</v>
      </c>
      <c r="BO55" s="464">
        <f t="shared" si="66"/>
        <v>11.197474126256854</v>
      </c>
      <c r="BP55" s="434">
        <f t="shared" si="67"/>
        <v>11.348036370386406</v>
      </c>
      <c r="BQ55" s="434">
        <f t="shared" si="68"/>
        <v>11.500623087991114</v>
      </c>
      <c r="BR55" s="434">
        <f t="shared" si="69"/>
        <v>11.655261500323391</v>
      </c>
      <c r="BS55" s="465">
        <f t="shared" si="70"/>
        <v>11.811979194655059</v>
      </c>
      <c r="BT55" s="464">
        <f>'PTRM input'!L255</f>
        <v>15</v>
      </c>
      <c r="BU55" s="434">
        <f t="shared" si="71"/>
        <v>16.003233841229864</v>
      </c>
      <c r="BV55" s="434">
        <f t="shared" si="72"/>
        <v>15.922406999954068</v>
      </c>
      <c r="BW55" s="434">
        <f t="shared" si="73"/>
        <v>16.136501116433049</v>
      </c>
      <c r="BX55" s="434">
        <f t="shared" si="74"/>
        <v>16.353473961656437</v>
      </c>
      <c r="BY55" s="465">
        <f t="shared" si="75"/>
        <v>16.573364243269822</v>
      </c>
      <c r="BZ55" s="464">
        <f t="shared" si="76"/>
        <v>16.796211189385282</v>
      </c>
      <c r="CA55" s="434">
        <f t="shared" si="77"/>
        <v>17.022054555579611</v>
      </c>
      <c r="CB55" s="434">
        <f t="shared" si="78"/>
        <v>17.25093463198667</v>
      </c>
      <c r="CC55" s="434">
        <f t="shared" si="79"/>
        <v>17.482892250485083</v>
      </c>
      <c r="CD55" s="465">
        <f t="shared" si="80"/>
        <v>17.717968791982585</v>
      </c>
      <c r="CE55" s="464">
        <f>'PTRM input'!M255</f>
        <v>30</v>
      </c>
      <c r="CF55" s="434">
        <f t="shared" si="81"/>
        <v>32.006467682459729</v>
      </c>
      <c r="CG55" s="434">
        <f t="shared" si="82"/>
        <v>31.844813999908137</v>
      </c>
      <c r="CH55" s="434">
        <f t="shared" si="83"/>
        <v>32.273002232866098</v>
      </c>
      <c r="CI55" s="434">
        <f t="shared" si="84"/>
        <v>32.706947923312875</v>
      </c>
      <c r="CJ55" s="465">
        <f t="shared" si="85"/>
        <v>33.146728486539644</v>
      </c>
      <c r="CK55" s="464">
        <f t="shared" si="86"/>
        <v>33.592422378770564</v>
      </c>
      <c r="CL55" s="434">
        <f t="shared" si="87"/>
        <v>34.044109111159223</v>
      </c>
      <c r="CM55" s="434">
        <f t="shared" si="88"/>
        <v>34.50186926397334</v>
      </c>
      <c r="CN55" s="434">
        <f t="shared" si="89"/>
        <v>34.965784500970166</v>
      </c>
      <c r="CO55" s="465">
        <f t="shared" si="90"/>
        <v>35.43593758396517</v>
      </c>
      <c r="CP55" s="464">
        <f>'PTRM input'!N255</f>
        <v>10</v>
      </c>
      <c r="CQ55" s="434">
        <f t="shared" si="91"/>
        <v>10.668822560819912</v>
      </c>
      <c r="CR55" s="434">
        <f t="shared" si="92"/>
        <v>10.61493799996938</v>
      </c>
      <c r="CS55" s="434">
        <f t="shared" si="93"/>
        <v>10.757667410955365</v>
      </c>
      <c r="CT55" s="434">
        <f t="shared" si="94"/>
        <v>10.902315974437624</v>
      </c>
      <c r="CU55" s="465">
        <f t="shared" si="95"/>
        <v>11.048909495513215</v>
      </c>
      <c r="CV55" s="464">
        <f t="shared" si="96"/>
        <v>11.197474126256854</v>
      </c>
      <c r="CW55" s="434">
        <f t="shared" si="97"/>
        <v>11.348036370386406</v>
      </c>
      <c r="CX55" s="434">
        <f t="shared" si="98"/>
        <v>11.500623087991114</v>
      </c>
      <c r="CY55" s="434">
        <f t="shared" si="99"/>
        <v>11.655261500323391</v>
      </c>
      <c r="CZ55" s="465">
        <f t="shared" si="100"/>
        <v>11.811979194655059</v>
      </c>
      <c r="DA55" s="464">
        <f>'PTRM input'!O255</f>
        <v>5</v>
      </c>
      <c r="DB55" s="434">
        <f t="shared" si="101"/>
        <v>5.3344112804099559</v>
      </c>
      <c r="DC55" s="434">
        <f t="shared" si="102"/>
        <v>5.3074689999846898</v>
      </c>
      <c r="DD55" s="434">
        <f t="shared" si="103"/>
        <v>5.3788337054776827</v>
      </c>
      <c r="DE55" s="434">
        <f t="shared" si="104"/>
        <v>5.4511579872188118</v>
      </c>
      <c r="DF55" s="465">
        <f t="shared" si="105"/>
        <v>5.5244547477566073</v>
      </c>
      <c r="DG55" s="464">
        <f t="shared" si="106"/>
        <v>5.5987370631284268</v>
      </c>
      <c r="DH55" s="434">
        <f t="shared" si="107"/>
        <v>5.6740181851932032</v>
      </c>
      <c r="DI55" s="434">
        <f t="shared" si="108"/>
        <v>5.750311543995557</v>
      </c>
      <c r="DJ55" s="434">
        <f t="shared" si="109"/>
        <v>5.8276307501616955</v>
      </c>
      <c r="DK55" s="465">
        <f t="shared" si="110"/>
        <v>5.9059895973275296</v>
      </c>
      <c r="DL55" s="48"/>
      <c r="DM55" s="286"/>
      <c r="DN55" s="286"/>
      <c r="DO55" s="286"/>
    </row>
    <row r="56" spans="1:119" s="214" customFormat="1">
      <c r="A56" s="30"/>
      <c r="B56" s="30"/>
      <c r="C56" s="30"/>
      <c r="D56" s="30"/>
      <c r="E56" s="445" t="str">
        <f t="shared" si="11"/>
        <v>Large Business C</v>
      </c>
      <c r="F56" s="1505">
        <f>'PTRM input'!F256</f>
        <v>1000</v>
      </c>
      <c r="G56" s="434">
        <f t="shared" si="111"/>
        <v>1066.882256081991</v>
      </c>
      <c r="H56" s="434">
        <f t="shared" si="12"/>
        <v>1061.4937999969379</v>
      </c>
      <c r="I56" s="434">
        <f t="shared" si="13"/>
        <v>1075.7667410955364</v>
      </c>
      <c r="J56" s="434">
        <f t="shared" si="14"/>
        <v>1090.2315974437622</v>
      </c>
      <c r="K56" s="465">
        <f t="shared" si="15"/>
        <v>1104.8909495513212</v>
      </c>
      <c r="L56" s="464">
        <f t="shared" si="16"/>
        <v>1119.747412625685</v>
      </c>
      <c r="M56" s="434">
        <f t="shared" si="17"/>
        <v>1134.8036370386403</v>
      </c>
      <c r="N56" s="434">
        <f t="shared" si="18"/>
        <v>1150.062308799111</v>
      </c>
      <c r="O56" s="434">
        <f t="shared" si="19"/>
        <v>1165.5261500323386</v>
      </c>
      <c r="P56" s="465">
        <f t="shared" si="20"/>
        <v>1181.1979194655055</v>
      </c>
      <c r="Q56" s="464">
        <f>'PTRM input'!G256</f>
        <v>0</v>
      </c>
      <c r="R56" s="434">
        <f t="shared" si="21"/>
        <v>0</v>
      </c>
      <c r="S56" s="434">
        <f t="shared" si="22"/>
        <v>0</v>
      </c>
      <c r="T56" s="434">
        <f t="shared" si="23"/>
        <v>0</v>
      </c>
      <c r="U56" s="434">
        <f t="shared" si="24"/>
        <v>0</v>
      </c>
      <c r="V56" s="465">
        <f t="shared" si="25"/>
        <v>0</v>
      </c>
      <c r="W56" s="464">
        <f t="shared" si="26"/>
        <v>0</v>
      </c>
      <c r="X56" s="434">
        <f t="shared" si="27"/>
        <v>0</v>
      </c>
      <c r="Y56" s="434">
        <f t="shared" si="28"/>
        <v>0</v>
      </c>
      <c r="Z56" s="434">
        <f t="shared" si="29"/>
        <v>0</v>
      </c>
      <c r="AA56" s="465">
        <f t="shared" si="30"/>
        <v>0</v>
      </c>
      <c r="AB56" s="464">
        <f>'PTRM input'!H256</f>
        <v>50</v>
      </c>
      <c r="AC56" s="434">
        <f t="shared" si="31"/>
        <v>53.344112804099552</v>
      </c>
      <c r="AD56" s="434">
        <f t="shared" si="32"/>
        <v>53.074689999846889</v>
      </c>
      <c r="AE56" s="434">
        <f t="shared" si="33"/>
        <v>53.788337054776818</v>
      </c>
      <c r="AF56" s="434">
        <f t="shared" si="34"/>
        <v>54.511579872188108</v>
      </c>
      <c r="AG56" s="465">
        <f t="shared" si="35"/>
        <v>55.244547477566059</v>
      </c>
      <c r="AH56" s="464">
        <f t="shared" si="36"/>
        <v>55.987370631284257</v>
      </c>
      <c r="AI56" s="434">
        <f t="shared" si="37"/>
        <v>56.740181851932022</v>
      </c>
      <c r="AJ56" s="434">
        <f t="shared" si="38"/>
        <v>57.503115439955558</v>
      </c>
      <c r="AK56" s="434">
        <f t="shared" si="39"/>
        <v>58.276307501616934</v>
      </c>
      <c r="AL56" s="465">
        <f t="shared" si="40"/>
        <v>59.059895973275275</v>
      </c>
      <c r="AM56" s="464">
        <f>'PTRM input'!I256</f>
        <v>10</v>
      </c>
      <c r="AN56" s="434">
        <f t="shared" si="41"/>
        <v>10.668822560819912</v>
      </c>
      <c r="AO56" s="434">
        <f t="shared" si="42"/>
        <v>10.61493799996938</v>
      </c>
      <c r="AP56" s="434">
        <f t="shared" si="43"/>
        <v>10.757667410955365</v>
      </c>
      <c r="AQ56" s="434">
        <f t="shared" si="44"/>
        <v>10.902315974437624</v>
      </c>
      <c r="AR56" s="465">
        <f t="shared" si="45"/>
        <v>11.048909495513215</v>
      </c>
      <c r="AS56" s="464">
        <f t="shared" si="46"/>
        <v>11.197474126256854</v>
      </c>
      <c r="AT56" s="434">
        <f t="shared" si="47"/>
        <v>11.348036370386406</v>
      </c>
      <c r="AU56" s="434">
        <f t="shared" si="48"/>
        <v>11.500623087991114</v>
      </c>
      <c r="AV56" s="434">
        <f t="shared" si="49"/>
        <v>11.655261500323391</v>
      </c>
      <c r="AW56" s="465">
        <f t="shared" si="50"/>
        <v>11.811979194655059</v>
      </c>
      <c r="AX56" s="464">
        <f>'PTRM input'!J256</f>
        <v>15</v>
      </c>
      <c r="AY56" s="434">
        <f t="shared" si="51"/>
        <v>16.003233841229864</v>
      </c>
      <c r="AZ56" s="434">
        <f t="shared" si="52"/>
        <v>15.922406999954068</v>
      </c>
      <c r="BA56" s="434">
        <f t="shared" si="53"/>
        <v>16.136501116433049</v>
      </c>
      <c r="BB56" s="434">
        <f t="shared" si="54"/>
        <v>16.353473961656437</v>
      </c>
      <c r="BC56" s="465">
        <f t="shared" si="55"/>
        <v>16.573364243269822</v>
      </c>
      <c r="BD56" s="464">
        <f t="shared" si="56"/>
        <v>16.796211189385282</v>
      </c>
      <c r="BE56" s="434">
        <f t="shared" si="57"/>
        <v>17.022054555579611</v>
      </c>
      <c r="BF56" s="434">
        <f t="shared" si="58"/>
        <v>17.25093463198667</v>
      </c>
      <c r="BG56" s="434">
        <f t="shared" si="59"/>
        <v>17.482892250485083</v>
      </c>
      <c r="BH56" s="465">
        <f t="shared" si="60"/>
        <v>17.717968791982585</v>
      </c>
      <c r="BI56" s="464">
        <f>'PTRM input'!K256</f>
        <v>10</v>
      </c>
      <c r="BJ56" s="434">
        <f t="shared" si="61"/>
        <v>10.668822560819912</v>
      </c>
      <c r="BK56" s="434">
        <f t="shared" si="62"/>
        <v>10.61493799996938</v>
      </c>
      <c r="BL56" s="434">
        <f t="shared" si="63"/>
        <v>10.757667410955365</v>
      </c>
      <c r="BM56" s="434">
        <f t="shared" si="64"/>
        <v>10.902315974437624</v>
      </c>
      <c r="BN56" s="465">
        <f t="shared" si="65"/>
        <v>11.048909495513215</v>
      </c>
      <c r="BO56" s="464">
        <f t="shared" si="66"/>
        <v>11.197474126256854</v>
      </c>
      <c r="BP56" s="434">
        <f t="shared" si="67"/>
        <v>11.348036370386406</v>
      </c>
      <c r="BQ56" s="434">
        <f t="shared" si="68"/>
        <v>11.500623087991114</v>
      </c>
      <c r="BR56" s="434">
        <f t="shared" si="69"/>
        <v>11.655261500323391</v>
      </c>
      <c r="BS56" s="465">
        <f t="shared" si="70"/>
        <v>11.811979194655059</v>
      </c>
      <c r="BT56" s="464">
        <f>'PTRM input'!L256</f>
        <v>15</v>
      </c>
      <c r="BU56" s="434">
        <f t="shared" si="71"/>
        <v>16.003233841229864</v>
      </c>
      <c r="BV56" s="434">
        <f t="shared" si="72"/>
        <v>15.922406999954068</v>
      </c>
      <c r="BW56" s="434">
        <f t="shared" si="73"/>
        <v>16.136501116433049</v>
      </c>
      <c r="BX56" s="434">
        <f t="shared" si="74"/>
        <v>16.353473961656437</v>
      </c>
      <c r="BY56" s="465">
        <f t="shared" si="75"/>
        <v>16.573364243269822</v>
      </c>
      <c r="BZ56" s="464">
        <f t="shared" si="76"/>
        <v>16.796211189385282</v>
      </c>
      <c r="CA56" s="434">
        <f t="shared" si="77"/>
        <v>17.022054555579611</v>
      </c>
      <c r="CB56" s="434">
        <f t="shared" si="78"/>
        <v>17.25093463198667</v>
      </c>
      <c r="CC56" s="434">
        <f t="shared" si="79"/>
        <v>17.482892250485083</v>
      </c>
      <c r="CD56" s="465">
        <f t="shared" si="80"/>
        <v>17.717968791982585</v>
      </c>
      <c r="CE56" s="464">
        <f>'PTRM input'!M256</f>
        <v>30</v>
      </c>
      <c r="CF56" s="434">
        <f t="shared" si="81"/>
        <v>32.006467682459729</v>
      </c>
      <c r="CG56" s="434">
        <f t="shared" si="82"/>
        <v>31.844813999908137</v>
      </c>
      <c r="CH56" s="434">
        <f t="shared" si="83"/>
        <v>32.273002232866098</v>
      </c>
      <c r="CI56" s="434">
        <f t="shared" si="84"/>
        <v>32.706947923312875</v>
      </c>
      <c r="CJ56" s="465">
        <f t="shared" si="85"/>
        <v>33.146728486539644</v>
      </c>
      <c r="CK56" s="464">
        <f t="shared" si="86"/>
        <v>33.592422378770564</v>
      </c>
      <c r="CL56" s="434">
        <f t="shared" si="87"/>
        <v>34.044109111159223</v>
      </c>
      <c r="CM56" s="434">
        <f t="shared" si="88"/>
        <v>34.50186926397334</v>
      </c>
      <c r="CN56" s="434">
        <f t="shared" si="89"/>
        <v>34.965784500970166</v>
      </c>
      <c r="CO56" s="465">
        <f t="shared" si="90"/>
        <v>35.43593758396517</v>
      </c>
      <c r="CP56" s="464">
        <f>'PTRM input'!N256</f>
        <v>10</v>
      </c>
      <c r="CQ56" s="434">
        <f t="shared" si="91"/>
        <v>10.668822560819912</v>
      </c>
      <c r="CR56" s="434">
        <f t="shared" si="92"/>
        <v>10.61493799996938</v>
      </c>
      <c r="CS56" s="434">
        <f t="shared" si="93"/>
        <v>10.757667410955365</v>
      </c>
      <c r="CT56" s="434">
        <f t="shared" si="94"/>
        <v>10.902315974437624</v>
      </c>
      <c r="CU56" s="465">
        <f t="shared" si="95"/>
        <v>11.048909495513215</v>
      </c>
      <c r="CV56" s="464">
        <f t="shared" si="96"/>
        <v>11.197474126256854</v>
      </c>
      <c r="CW56" s="434">
        <f t="shared" si="97"/>
        <v>11.348036370386406</v>
      </c>
      <c r="CX56" s="434">
        <f t="shared" si="98"/>
        <v>11.500623087991114</v>
      </c>
      <c r="CY56" s="434">
        <f t="shared" si="99"/>
        <v>11.655261500323391</v>
      </c>
      <c r="CZ56" s="465">
        <f t="shared" si="100"/>
        <v>11.811979194655059</v>
      </c>
      <c r="DA56" s="464">
        <f>'PTRM input'!O256</f>
        <v>5</v>
      </c>
      <c r="DB56" s="434">
        <f t="shared" si="101"/>
        <v>5.3344112804099559</v>
      </c>
      <c r="DC56" s="434">
        <f t="shared" si="102"/>
        <v>5.3074689999846898</v>
      </c>
      <c r="DD56" s="434">
        <f t="shared" si="103"/>
        <v>5.3788337054776827</v>
      </c>
      <c r="DE56" s="434">
        <f t="shared" si="104"/>
        <v>5.4511579872188118</v>
      </c>
      <c r="DF56" s="465">
        <f t="shared" si="105"/>
        <v>5.5244547477566073</v>
      </c>
      <c r="DG56" s="464">
        <f t="shared" si="106"/>
        <v>5.5987370631284268</v>
      </c>
      <c r="DH56" s="434">
        <f t="shared" si="107"/>
        <v>5.6740181851932032</v>
      </c>
      <c r="DI56" s="434">
        <f t="shared" si="108"/>
        <v>5.750311543995557</v>
      </c>
      <c r="DJ56" s="434">
        <f t="shared" si="109"/>
        <v>5.8276307501616955</v>
      </c>
      <c r="DK56" s="465">
        <f t="shared" si="110"/>
        <v>5.9059895973275296</v>
      </c>
      <c r="DL56" s="48"/>
      <c r="DM56" s="286"/>
      <c r="DN56" s="286"/>
      <c r="DO56" s="286"/>
    </row>
    <row r="57" spans="1:119" s="214" customFormat="1">
      <c r="A57" s="30"/>
      <c r="B57" s="30"/>
      <c r="C57" s="30"/>
      <c r="D57" s="30"/>
      <c r="E57" s="445">
        <f t="shared" si="11"/>
        <v>0</v>
      </c>
      <c r="F57" s="1505">
        <f>'PTRM input'!F257</f>
        <v>0</v>
      </c>
      <c r="G57" s="434">
        <f t="shared" si="111"/>
        <v>0</v>
      </c>
      <c r="H57" s="434">
        <f t="shared" si="12"/>
        <v>0</v>
      </c>
      <c r="I57" s="434">
        <f t="shared" si="13"/>
        <v>0</v>
      </c>
      <c r="J57" s="434">
        <f t="shared" si="14"/>
        <v>0</v>
      </c>
      <c r="K57" s="465">
        <f t="shared" si="15"/>
        <v>0</v>
      </c>
      <c r="L57" s="464">
        <f t="shared" si="16"/>
        <v>0</v>
      </c>
      <c r="M57" s="434">
        <f t="shared" si="17"/>
        <v>0</v>
      </c>
      <c r="N57" s="434">
        <f t="shared" si="18"/>
        <v>0</v>
      </c>
      <c r="O57" s="434">
        <f t="shared" si="19"/>
        <v>0</v>
      </c>
      <c r="P57" s="465">
        <f t="shared" si="20"/>
        <v>0</v>
      </c>
      <c r="Q57" s="464">
        <f>'PTRM input'!G257</f>
        <v>0</v>
      </c>
      <c r="R57" s="434">
        <f t="shared" si="21"/>
        <v>0</v>
      </c>
      <c r="S57" s="434">
        <f t="shared" si="22"/>
        <v>0</v>
      </c>
      <c r="T57" s="434">
        <f t="shared" si="23"/>
        <v>0</v>
      </c>
      <c r="U57" s="434">
        <f t="shared" si="24"/>
        <v>0</v>
      </c>
      <c r="V57" s="465">
        <f t="shared" si="25"/>
        <v>0</v>
      </c>
      <c r="W57" s="464">
        <f t="shared" si="26"/>
        <v>0</v>
      </c>
      <c r="X57" s="434">
        <f t="shared" si="27"/>
        <v>0</v>
      </c>
      <c r="Y57" s="434">
        <f t="shared" si="28"/>
        <v>0</v>
      </c>
      <c r="Z57" s="434">
        <f t="shared" si="29"/>
        <v>0</v>
      </c>
      <c r="AA57" s="465">
        <f t="shared" si="30"/>
        <v>0</v>
      </c>
      <c r="AB57" s="464">
        <f>'PTRM input'!H257</f>
        <v>0</v>
      </c>
      <c r="AC57" s="434">
        <f t="shared" si="31"/>
        <v>0</v>
      </c>
      <c r="AD57" s="434">
        <f t="shared" si="32"/>
        <v>0</v>
      </c>
      <c r="AE57" s="434">
        <f t="shared" si="33"/>
        <v>0</v>
      </c>
      <c r="AF57" s="434">
        <f t="shared" si="34"/>
        <v>0</v>
      </c>
      <c r="AG57" s="465">
        <f t="shared" si="35"/>
        <v>0</v>
      </c>
      <c r="AH57" s="464">
        <f t="shared" si="36"/>
        <v>0</v>
      </c>
      <c r="AI57" s="434">
        <f t="shared" si="37"/>
        <v>0</v>
      </c>
      <c r="AJ57" s="434">
        <f t="shared" si="38"/>
        <v>0</v>
      </c>
      <c r="AK57" s="434">
        <f t="shared" si="39"/>
        <v>0</v>
      </c>
      <c r="AL57" s="465">
        <f t="shared" si="40"/>
        <v>0</v>
      </c>
      <c r="AM57" s="464">
        <f>'PTRM input'!I257</f>
        <v>0</v>
      </c>
      <c r="AN57" s="434">
        <f t="shared" si="41"/>
        <v>0</v>
      </c>
      <c r="AO57" s="434">
        <f t="shared" si="42"/>
        <v>0</v>
      </c>
      <c r="AP57" s="434">
        <f t="shared" si="43"/>
        <v>0</v>
      </c>
      <c r="AQ57" s="434">
        <f t="shared" si="44"/>
        <v>0</v>
      </c>
      <c r="AR57" s="465">
        <f t="shared" si="45"/>
        <v>0</v>
      </c>
      <c r="AS57" s="464">
        <f t="shared" si="46"/>
        <v>0</v>
      </c>
      <c r="AT57" s="434">
        <f t="shared" si="47"/>
        <v>0</v>
      </c>
      <c r="AU57" s="434">
        <f t="shared" si="48"/>
        <v>0</v>
      </c>
      <c r="AV57" s="434">
        <f t="shared" si="49"/>
        <v>0</v>
      </c>
      <c r="AW57" s="465">
        <f t="shared" si="50"/>
        <v>0</v>
      </c>
      <c r="AX57" s="464">
        <f>'PTRM input'!J257</f>
        <v>0</v>
      </c>
      <c r="AY57" s="434">
        <f t="shared" si="51"/>
        <v>0</v>
      </c>
      <c r="AZ57" s="434">
        <f t="shared" si="52"/>
        <v>0</v>
      </c>
      <c r="BA57" s="434">
        <f t="shared" si="53"/>
        <v>0</v>
      </c>
      <c r="BB57" s="434">
        <f t="shared" si="54"/>
        <v>0</v>
      </c>
      <c r="BC57" s="465">
        <f t="shared" si="55"/>
        <v>0</v>
      </c>
      <c r="BD57" s="464">
        <f t="shared" si="56"/>
        <v>0</v>
      </c>
      <c r="BE57" s="434">
        <f t="shared" si="57"/>
        <v>0</v>
      </c>
      <c r="BF57" s="434">
        <f t="shared" si="58"/>
        <v>0</v>
      </c>
      <c r="BG57" s="434">
        <f t="shared" si="59"/>
        <v>0</v>
      </c>
      <c r="BH57" s="465">
        <f t="shared" si="60"/>
        <v>0</v>
      </c>
      <c r="BI57" s="464">
        <f>'PTRM input'!K257</f>
        <v>0</v>
      </c>
      <c r="BJ57" s="434">
        <f t="shared" si="61"/>
        <v>0</v>
      </c>
      <c r="BK57" s="434">
        <f t="shared" si="62"/>
        <v>0</v>
      </c>
      <c r="BL57" s="434">
        <f t="shared" si="63"/>
        <v>0</v>
      </c>
      <c r="BM57" s="434">
        <f t="shared" si="64"/>
        <v>0</v>
      </c>
      <c r="BN57" s="465">
        <f t="shared" si="65"/>
        <v>0</v>
      </c>
      <c r="BO57" s="464">
        <f t="shared" si="66"/>
        <v>0</v>
      </c>
      <c r="BP57" s="434">
        <f t="shared" si="67"/>
        <v>0</v>
      </c>
      <c r="BQ57" s="434">
        <f t="shared" si="68"/>
        <v>0</v>
      </c>
      <c r="BR57" s="434">
        <f t="shared" si="69"/>
        <v>0</v>
      </c>
      <c r="BS57" s="465">
        <f t="shared" si="70"/>
        <v>0</v>
      </c>
      <c r="BT57" s="464">
        <f>'PTRM input'!L257</f>
        <v>0</v>
      </c>
      <c r="BU57" s="434">
        <f t="shared" si="71"/>
        <v>0</v>
      </c>
      <c r="BV57" s="434">
        <f t="shared" si="72"/>
        <v>0</v>
      </c>
      <c r="BW57" s="434">
        <f t="shared" si="73"/>
        <v>0</v>
      </c>
      <c r="BX57" s="434">
        <f t="shared" si="74"/>
        <v>0</v>
      </c>
      <c r="BY57" s="465">
        <f t="shared" si="75"/>
        <v>0</v>
      </c>
      <c r="BZ57" s="464">
        <f t="shared" si="76"/>
        <v>0</v>
      </c>
      <c r="CA57" s="434">
        <f t="shared" si="77"/>
        <v>0</v>
      </c>
      <c r="CB57" s="434">
        <f t="shared" si="78"/>
        <v>0</v>
      </c>
      <c r="CC57" s="434">
        <f t="shared" si="79"/>
        <v>0</v>
      </c>
      <c r="CD57" s="465">
        <f t="shared" si="80"/>
        <v>0</v>
      </c>
      <c r="CE57" s="464">
        <f>'PTRM input'!M257</f>
        <v>0</v>
      </c>
      <c r="CF57" s="434">
        <f t="shared" si="81"/>
        <v>0</v>
      </c>
      <c r="CG57" s="434">
        <f t="shared" si="82"/>
        <v>0</v>
      </c>
      <c r="CH57" s="434">
        <f t="shared" si="83"/>
        <v>0</v>
      </c>
      <c r="CI57" s="434">
        <f t="shared" si="84"/>
        <v>0</v>
      </c>
      <c r="CJ57" s="465">
        <f t="shared" si="85"/>
        <v>0</v>
      </c>
      <c r="CK57" s="464">
        <f t="shared" si="86"/>
        <v>0</v>
      </c>
      <c r="CL57" s="434">
        <f t="shared" si="87"/>
        <v>0</v>
      </c>
      <c r="CM57" s="434">
        <f t="shared" si="88"/>
        <v>0</v>
      </c>
      <c r="CN57" s="434">
        <f t="shared" si="89"/>
        <v>0</v>
      </c>
      <c r="CO57" s="465">
        <f t="shared" si="90"/>
        <v>0</v>
      </c>
      <c r="CP57" s="464">
        <f>'PTRM input'!N257</f>
        <v>0</v>
      </c>
      <c r="CQ57" s="434">
        <f t="shared" si="91"/>
        <v>0</v>
      </c>
      <c r="CR57" s="434">
        <f t="shared" si="92"/>
        <v>0</v>
      </c>
      <c r="CS57" s="434">
        <f t="shared" si="93"/>
        <v>0</v>
      </c>
      <c r="CT57" s="434">
        <f t="shared" si="94"/>
        <v>0</v>
      </c>
      <c r="CU57" s="465">
        <f t="shared" si="95"/>
        <v>0</v>
      </c>
      <c r="CV57" s="464">
        <f t="shared" si="96"/>
        <v>0</v>
      </c>
      <c r="CW57" s="434">
        <f t="shared" si="97"/>
        <v>0</v>
      </c>
      <c r="CX57" s="434">
        <f t="shared" si="98"/>
        <v>0</v>
      </c>
      <c r="CY57" s="434">
        <f t="shared" si="99"/>
        <v>0</v>
      </c>
      <c r="CZ57" s="465">
        <f t="shared" si="100"/>
        <v>0</v>
      </c>
      <c r="DA57" s="464">
        <f>'PTRM input'!O257</f>
        <v>0</v>
      </c>
      <c r="DB57" s="434">
        <f t="shared" si="101"/>
        <v>0</v>
      </c>
      <c r="DC57" s="434">
        <f t="shared" si="102"/>
        <v>0</v>
      </c>
      <c r="DD57" s="434">
        <f t="shared" si="103"/>
        <v>0</v>
      </c>
      <c r="DE57" s="434">
        <f t="shared" si="104"/>
        <v>0</v>
      </c>
      <c r="DF57" s="465">
        <f t="shared" si="105"/>
        <v>0</v>
      </c>
      <c r="DG57" s="464">
        <f t="shared" si="106"/>
        <v>0</v>
      </c>
      <c r="DH57" s="434">
        <f t="shared" si="107"/>
        <v>0</v>
      </c>
      <c r="DI57" s="434">
        <f t="shared" si="108"/>
        <v>0</v>
      </c>
      <c r="DJ57" s="434">
        <f t="shared" si="109"/>
        <v>0</v>
      </c>
      <c r="DK57" s="465">
        <f t="shared" si="110"/>
        <v>0</v>
      </c>
      <c r="DL57" s="48"/>
      <c r="DM57" s="286"/>
      <c r="DN57" s="286"/>
      <c r="DO57" s="286"/>
    </row>
    <row r="58" spans="1:119" s="214" customFormat="1">
      <c r="A58" s="30"/>
      <c r="B58" s="30"/>
      <c r="C58" s="30"/>
      <c r="D58" s="30"/>
      <c r="E58" s="445">
        <f t="shared" si="11"/>
        <v>0</v>
      </c>
      <c r="F58" s="1505">
        <f>'PTRM input'!F258</f>
        <v>0</v>
      </c>
      <c r="G58" s="434">
        <f t="shared" si="111"/>
        <v>0</v>
      </c>
      <c r="H58" s="434">
        <f t="shared" si="12"/>
        <v>0</v>
      </c>
      <c r="I58" s="434">
        <f t="shared" si="13"/>
        <v>0</v>
      </c>
      <c r="J58" s="434">
        <f t="shared" si="14"/>
        <v>0</v>
      </c>
      <c r="K58" s="465">
        <f t="shared" si="15"/>
        <v>0</v>
      </c>
      <c r="L58" s="464">
        <f t="shared" si="16"/>
        <v>0</v>
      </c>
      <c r="M58" s="434">
        <f t="shared" si="17"/>
        <v>0</v>
      </c>
      <c r="N58" s="434">
        <f t="shared" si="18"/>
        <v>0</v>
      </c>
      <c r="O58" s="434">
        <f t="shared" si="19"/>
        <v>0</v>
      </c>
      <c r="P58" s="465">
        <f t="shared" si="20"/>
        <v>0</v>
      </c>
      <c r="Q58" s="464">
        <f>'PTRM input'!G258</f>
        <v>0</v>
      </c>
      <c r="R58" s="434">
        <f t="shared" si="21"/>
        <v>0</v>
      </c>
      <c r="S58" s="434">
        <f t="shared" si="22"/>
        <v>0</v>
      </c>
      <c r="T58" s="434">
        <f t="shared" si="23"/>
        <v>0</v>
      </c>
      <c r="U58" s="434">
        <f t="shared" si="24"/>
        <v>0</v>
      </c>
      <c r="V58" s="465">
        <f t="shared" si="25"/>
        <v>0</v>
      </c>
      <c r="W58" s="464">
        <f t="shared" si="26"/>
        <v>0</v>
      </c>
      <c r="X58" s="434">
        <f t="shared" si="27"/>
        <v>0</v>
      </c>
      <c r="Y58" s="434">
        <f t="shared" si="28"/>
        <v>0</v>
      </c>
      <c r="Z58" s="434">
        <f t="shared" si="29"/>
        <v>0</v>
      </c>
      <c r="AA58" s="465">
        <f t="shared" si="30"/>
        <v>0</v>
      </c>
      <c r="AB58" s="464">
        <f>'PTRM input'!H258</f>
        <v>0</v>
      </c>
      <c r="AC58" s="434">
        <f t="shared" si="31"/>
        <v>0</v>
      </c>
      <c r="AD58" s="434">
        <f t="shared" si="32"/>
        <v>0</v>
      </c>
      <c r="AE58" s="434">
        <f t="shared" si="33"/>
        <v>0</v>
      </c>
      <c r="AF58" s="434">
        <f t="shared" si="34"/>
        <v>0</v>
      </c>
      <c r="AG58" s="465">
        <f t="shared" si="35"/>
        <v>0</v>
      </c>
      <c r="AH58" s="464">
        <f t="shared" si="36"/>
        <v>0</v>
      </c>
      <c r="AI58" s="434">
        <f t="shared" si="37"/>
        <v>0</v>
      </c>
      <c r="AJ58" s="434">
        <f t="shared" si="38"/>
        <v>0</v>
      </c>
      <c r="AK58" s="434">
        <f t="shared" si="39"/>
        <v>0</v>
      </c>
      <c r="AL58" s="465">
        <f t="shared" si="40"/>
        <v>0</v>
      </c>
      <c r="AM58" s="464">
        <f>'PTRM input'!I258</f>
        <v>0</v>
      </c>
      <c r="AN58" s="434">
        <f t="shared" si="41"/>
        <v>0</v>
      </c>
      <c r="AO58" s="434">
        <f t="shared" si="42"/>
        <v>0</v>
      </c>
      <c r="AP58" s="434">
        <f t="shared" si="43"/>
        <v>0</v>
      </c>
      <c r="AQ58" s="434">
        <f t="shared" si="44"/>
        <v>0</v>
      </c>
      <c r="AR58" s="465">
        <f t="shared" si="45"/>
        <v>0</v>
      </c>
      <c r="AS58" s="464">
        <f t="shared" si="46"/>
        <v>0</v>
      </c>
      <c r="AT58" s="434">
        <f t="shared" si="47"/>
        <v>0</v>
      </c>
      <c r="AU58" s="434">
        <f t="shared" si="48"/>
        <v>0</v>
      </c>
      <c r="AV58" s="434">
        <f t="shared" si="49"/>
        <v>0</v>
      </c>
      <c r="AW58" s="465">
        <f t="shared" si="50"/>
        <v>0</v>
      </c>
      <c r="AX58" s="464">
        <f>'PTRM input'!J258</f>
        <v>0</v>
      </c>
      <c r="AY58" s="434">
        <f t="shared" si="51"/>
        <v>0</v>
      </c>
      <c r="AZ58" s="434">
        <f t="shared" si="52"/>
        <v>0</v>
      </c>
      <c r="BA58" s="434">
        <f t="shared" si="53"/>
        <v>0</v>
      </c>
      <c r="BB58" s="434">
        <f t="shared" si="54"/>
        <v>0</v>
      </c>
      <c r="BC58" s="465">
        <f t="shared" si="55"/>
        <v>0</v>
      </c>
      <c r="BD58" s="464">
        <f t="shared" si="56"/>
        <v>0</v>
      </c>
      <c r="BE58" s="434">
        <f t="shared" si="57"/>
        <v>0</v>
      </c>
      <c r="BF58" s="434">
        <f t="shared" si="58"/>
        <v>0</v>
      </c>
      <c r="BG58" s="434">
        <f t="shared" si="59"/>
        <v>0</v>
      </c>
      <c r="BH58" s="465">
        <f t="shared" si="60"/>
        <v>0</v>
      </c>
      <c r="BI58" s="464">
        <f>'PTRM input'!K258</f>
        <v>0</v>
      </c>
      <c r="BJ58" s="434">
        <f t="shared" si="61"/>
        <v>0</v>
      </c>
      <c r="BK58" s="434">
        <f t="shared" si="62"/>
        <v>0</v>
      </c>
      <c r="BL58" s="434">
        <f t="shared" si="63"/>
        <v>0</v>
      </c>
      <c r="BM58" s="434">
        <f t="shared" si="64"/>
        <v>0</v>
      </c>
      <c r="BN58" s="465">
        <f t="shared" si="65"/>
        <v>0</v>
      </c>
      <c r="BO58" s="464">
        <f t="shared" si="66"/>
        <v>0</v>
      </c>
      <c r="BP58" s="434">
        <f t="shared" si="67"/>
        <v>0</v>
      </c>
      <c r="BQ58" s="434">
        <f t="shared" si="68"/>
        <v>0</v>
      </c>
      <c r="BR58" s="434">
        <f t="shared" si="69"/>
        <v>0</v>
      </c>
      <c r="BS58" s="465">
        <f t="shared" si="70"/>
        <v>0</v>
      </c>
      <c r="BT58" s="464">
        <f>'PTRM input'!L258</f>
        <v>0</v>
      </c>
      <c r="BU58" s="434">
        <f t="shared" si="71"/>
        <v>0</v>
      </c>
      <c r="BV58" s="434">
        <f t="shared" si="72"/>
        <v>0</v>
      </c>
      <c r="BW58" s="434">
        <f t="shared" si="73"/>
        <v>0</v>
      </c>
      <c r="BX58" s="434">
        <f t="shared" si="74"/>
        <v>0</v>
      </c>
      <c r="BY58" s="465">
        <f t="shared" si="75"/>
        <v>0</v>
      </c>
      <c r="BZ58" s="464">
        <f t="shared" si="76"/>
        <v>0</v>
      </c>
      <c r="CA58" s="434">
        <f t="shared" si="77"/>
        <v>0</v>
      </c>
      <c r="CB58" s="434">
        <f t="shared" si="78"/>
        <v>0</v>
      </c>
      <c r="CC58" s="434">
        <f t="shared" si="79"/>
        <v>0</v>
      </c>
      <c r="CD58" s="465">
        <f t="shared" si="80"/>
        <v>0</v>
      </c>
      <c r="CE58" s="464">
        <f>'PTRM input'!M258</f>
        <v>0</v>
      </c>
      <c r="CF58" s="434">
        <f t="shared" si="81"/>
        <v>0</v>
      </c>
      <c r="CG58" s="434">
        <f t="shared" si="82"/>
        <v>0</v>
      </c>
      <c r="CH58" s="434">
        <f t="shared" si="83"/>
        <v>0</v>
      </c>
      <c r="CI58" s="434">
        <f t="shared" si="84"/>
        <v>0</v>
      </c>
      <c r="CJ58" s="465">
        <f t="shared" si="85"/>
        <v>0</v>
      </c>
      <c r="CK58" s="464">
        <f t="shared" si="86"/>
        <v>0</v>
      </c>
      <c r="CL58" s="434">
        <f t="shared" si="87"/>
        <v>0</v>
      </c>
      <c r="CM58" s="434">
        <f t="shared" si="88"/>
        <v>0</v>
      </c>
      <c r="CN58" s="434">
        <f t="shared" si="89"/>
        <v>0</v>
      </c>
      <c r="CO58" s="465">
        <f t="shared" si="90"/>
        <v>0</v>
      </c>
      <c r="CP58" s="464">
        <f>'PTRM input'!N258</f>
        <v>0</v>
      </c>
      <c r="CQ58" s="434">
        <f t="shared" si="91"/>
        <v>0</v>
      </c>
      <c r="CR58" s="434">
        <f t="shared" si="92"/>
        <v>0</v>
      </c>
      <c r="CS58" s="434">
        <f t="shared" si="93"/>
        <v>0</v>
      </c>
      <c r="CT58" s="434">
        <f t="shared" si="94"/>
        <v>0</v>
      </c>
      <c r="CU58" s="465">
        <f t="shared" si="95"/>
        <v>0</v>
      </c>
      <c r="CV58" s="464">
        <f t="shared" si="96"/>
        <v>0</v>
      </c>
      <c r="CW58" s="434">
        <f t="shared" si="97"/>
        <v>0</v>
      </c>
      <c r="CX58" s="434">
        <f t="shared" si="98"/>
        <v>0</v>
      </c>
      <c r="CY58" s="434">
        <f t="shared" si="99"/>
        <v>0</v>
      </c>
      <c r="CZ58" s="465">
        <f t="shared" si="100"/>
        <v>0</v>
      </c>
      <c r="DA58" s="464">
        <f>'PTRM input'!O258</f>
        <v>0</v>
      </c>
      <c r="DB58" s="434">
        <f t="shared" si="101"/>
        <v>0</v>
      </c>
      <c r="DC58" s="434">
        <f t="shared" si="102"/>
        <v>0</v>
      </c>
      <c r="DD58" s="434">
        <f t="shared" si="103"/>
        <v>0</v>
      </c>
      <c r="DE58" s="434">
        <f t="shared" si="104"/>
        <v>0</v>
      </c>
      <c r="DF58" s="465">
        <f t="shared" si="105"/>
        <v>0</v>
      </c>
      <c r="DG58" s="464">
        <f t="shared" si="106"/>
        <v>0</v>
      </c>
      <c r="DH58" s="434">
        <f t="shared" si="107"/>
        <v>0</v>
      </c>
      <c r="DI58" s="434">
        <f t="shared" si="108"/>
        <v>0</v>
      </c>
      <c r="DJ58" s="434">
        <f t="shared" si="109"/>
        <v>0</v>
      </c>
      <c r="DK58" s="465">
        <f t="shared" si="110"/>
        <v>0</v>
      </c>
      <c r="DL58" s="48"/>
      <c r="DM58" s="286"/>
      <c r="DN58" s="286"/>
      <c r="DO58" s="286"/>
    </row>
    <row r="59" spans="1:119" s="214" customFormat="1">
      <c r="A59" s="30"/>
      <c r="B59" s="30"/>
      <c r="C59" s="30"/>
      <c r="D59" s="30"/>
      <c r="E59" s="445">
        <f t="shared" si="11"/>
        <v>0</v>
      </c>
      <c r="F59" s="1505">
        <f>'PTRM input'!F259</f>
        <v>0</v>
      </c>
      <c r="G59" s="434">
        <f t="shared" si="111"/>
        <v>0</v>
      </c>
      <c r="H59" s="434">
        <f t="shared" si="12"/>
        <v>0</v>
      </c>
      <c r="I59" s="434">
        <f t="shared" si="13"/>
        <v>0</v>
      </c>
      <c r="J59" s="434">
        <f t="shared" si="14"/>
        <v>0</v>
      </c>
      <c r="K59" s="465">
        <f t="shared" si="15"/>
        <v>0</v>
      </c>
      <c r="L59" s="464">
        <f t="shared" si="16"/>
        <v>0</v>
      </c>
      <c r="M59" s="434">
        <f t="shared" si="17"/>
        <v>0</v>
      </c>
      <c r="N59" s="434">
        <f t="shared" si="18"/>
        <v>0</v>
      </c>
      <c r="O59" s="434">
        <f t="shared" si="19"/>
        <v>0</v>
      </c>
      <c r="P59" s="465">
        <f t="shared" si="20"/>
        <v>0</v>
      </c>
      <c r="Q59" s="464">
        <f>'PTRM input'!G259</f>
        <v>0</v>
      </c>
      <c r="R59" s="434">
        <f t="shared" si="21"/>
        <v>0</v>
      </c>
      <c r="S59" s="434">
        <f t="shared" si="22"/>
        <v>0</v>
      </c>
      <c r="T59" s="434">
        <f t="shared" si="23"/>
        <v>0</v>
      </c>
      <c r="U59" s="434">
        <f t="shared" si="24"/>
        <v>0</v>
      </c>
      <c r="V59" s="465">
        <f t="shared" si="25"/>
        <v>0</v>
      </c>
      <c r="W59" s="464">
        <f t="shared" si="26"/>
        <v>0</v>
      </c>
      <c r="X59" s="434">
        <f t="shared" si="27"/>
        <v>0</v>
      </c>
      <c r="Y59" s="434">
        <f t="shared" si="28"/>
        <v>0</v>
      </c>
      <c r="Z59" s="434">
        <f t="shared" si="29"/>
        <v>0</v>
      </c>
      <c r="AA59" s="465">
        <f t="shared" si="30"/>
        <v>0</v>
      </c>
      <c r="AB59" s="464">
        <f>'PTRM input'!H259</f>
        <v>0</v>
      </c>
      <c r="AC59" s="434">
        <f t="shared" si="31"/>
        <v>0</v>
      </c>
      <c r="AD59" s="434">
        <f t="shared" si="32"/>
        <v>0</v>
      </c>
      <c r="AE59" s="434">
        <f t="shared" si="33"/>
        <v>0</v>
      </c>
      <c r="AF59" s="434">
        <f t="shared" si="34"/>
        <v>0</v>
      </c>
      <c r="AG59" s="465">
        <f t="shared" si="35"/>
        <v>0</v>
      </c>
      <c r="AH59" s="464">
        <f t="shared" si="36"/>
        <v>0</v>
      </c>
      <c r="AI59" s="434">
        <f t="shared" si="37"/>
        <v>0</v>
      </c>
      <c r="AJ59" s="434">
        <f t="shared" si="38"/>
        <v>0</v>
      </c>
      <c r="AK59" s="434">
        <f t="shared" si="39"/>
        <v>0</v>
      </c>
      <c r="AL59" s="465">
        <f t="shared" si="40"/>
        <v>0</v>
      </c>
      <c r="AM59" s="464">
        <f>'PTRM input'!I259</f>
        <v>0</v>
      </c>
      <c r="AN59" s="434">
        <f t="shared" si="41"/>
        <v>0</v>
      </c>
      <c r="AO59" s="434">
        <f t="shared" si="42"/>
        <v>0</v>
      </c>
      <c r="AP59" s="434">
        <f t="shared" si="43"/>
        <v>0</v>
      </c>
      <c r="AQ59" s="434">
        <f t="shared" si="44"/>
        <v>0</v>
      </c>
      <c r="AR59" s="465">
        <f t="shared" si="45"/>
        <v>0</v>
      </c>
      <c r="AS59" s="464">
        <f t="shared" si="46"/>
        <v>0</v>
      </c>
      <c r="AT59" s="434">
        <f t="shared" si="47"/>
        <v>0</v>
      </c>
      <c r="AU59" s="434">
        <f t="shared" si="48"/>
        <v>0</v>
      </c>
      <c r="AV59" s="434">
        <f t="shared" si="49"/>
        <v>0</v>
      </c>
      <c r="AW59" s="465">
        <f t="shared" si="50"/>
        <v>0</v>
      </c>
      <c r="AX59" s="464">
        <f>'PTRM input'!J259</f>
        <v>0</v>
      </c>
      <c r="AY59" s="434">
        <f t="shared" si="51"/>
        <v>0</v>
      </c>
      <c r="AZ59" s="434">
        <f t="shared" si="52"/>
        <v>0</v>
      </c>
      <c r="BA59" s="434">
        <f t="shared" si="53"/>
        <v>0</v>
      </c>
      <c r="BB59" s="434">
        <f t="shared" si="54"/>
        <v>0</v>
      </c>
      <c r="BC59" s="465">
        <f t="shared" si="55"/>
        <v>0</v>
      </c>
      <c r="BD59" s="464">
        <f t="shared" si="56"/>
        <v>0</v>
      </c>
      <c r="BE59" s="434">
        <f t="shared" si="57"/>
        <v>0</v>
      </c>
      <c r="BF59" s="434">
        <f t="shared" si="58"/>
        <v>0</v>
      </c>
      <c r="BG59" s="434">
        <f t="shared" si="59"/>
        <v>0</v>
      </c>
      <c r="BH59" s="465">
        <f t="shared" si="60"/>
        <v>0</v>
      </c>
      <c r="BI59" s="464">
        <f>'PTRM input'!K259</f>
        <v>0</v>
      </c>
      <c r="BJ59" s="434">
        <f t="shared" si="61"/>
        <v>0</v>
      </c>
      <c r="BK59" s="434">
        <f t="shared" si="62"/>
        <v>0</v>
      </c>
      <c r="BL59" s="434">
        <f t="shared" si="63"/>
        <v>0</v>
      </c>
      <c r="BM59" s="434">
        <f t="shared" si="64"/>
        <v>0</v>
      </c>
      <c r="BN59" s="465">
        <f t="shared" si="65"/>
        <v>0</v>
      </c>
      <c r="BO59" s="464">
        <f t="shared" si="66"/>
        <v>0</v>
      </c>
      <c r="BP59" s="434">
        <f t="shared" si="67"/>
        <v>0</v>
      </c>
      <c r="BQ59" s="434">
        <f t="shared" si="68"/>
        <v>0</v>
      </c>
      <c r="BR59" s="434">
        <f t="shared" si="69"/>
        <v>0</v>
      </c>
      <c r="BS59" s="465">
        <f t="shared" si="70"/>
        <v>0</v>
      </c>
      <c r="BT59" s="464">
        <f>'PTRM input'!L259</f>
        <v>0</v>
      </c>
      <c r="BU59" s="434">
        <f t="shared" si="71"/>
        <v>0</v>
      </c>
      <c r="BV59" s="434">
        <f t="shared" si="72"/>
        <v>0</v>
      </c>
      <c r="BW59" s="434">
        <f t="shared" si="73"/>
        <v>0</v>
      </c>
      <c r="BX59" s="434">
        <f t="shared" si="74"/>
        <v>0</v>
      </c>
      <c r="BY59" s="465">
        <f t="shared" si="75"/>
        <v>0</v>
      </c>
      <c r="BZ59" s="464">
        <f t="shared" si="76"/>
        <v>0</v>
      </c>
      <c r="CA59" s="434">
        <f t="shared" si="77"/>
        <v>0</v>
      </c>
      <c r="CB59" s="434">
        <f t="shared" si="78"/>
        <v>0</v>
      </c>
      <c r="CC59" s="434">
        <f t="shared" si="79"/>
        <v>0</v>
      </c>
      <c r="CD59" s="465">
        <f t="shared" si="80"/>
        <v>0</v>
      </c>
      <c r="CE59" s="464">
        <f>'PTRM input'!M259</f>
        <v>0</v>
      </c>
      <c r="CF59" s="434">
        <f t="shared" si="81"/>
        <v>0</v>
      </c>
      <c r="CG59" s="434">
        <f t="shared" si="82"/>
        <v>0</v>
      </c>
      <c r="CH59" s="434">
        <f t="shared" si="83"/>
        <v>0</v>
      </c>
      <c r="CI59" s="434">
        <f t="shared" si="84"/>
        <v>0</v>
      </c>
      <c r="CJ59" s="465">
        <f t="shared" si="85"/>
        <v>0</v>
      </c>
      <c r="CK59" s="464">
        <f t="shared" si="86"/>
        <v>0</v>
      </c>
      <c r="CL59" s="434">
        <f t="shared" si="87"/>
        <v>0</v>
      </c>
      <c r="CM59" s="434">
        <f t="shared" si="88"/>
        <v>0</v>
      </c>
      <c r="CN59" s="434">
        <f t="shared" si="89"/>
        <v>0</v>
      </c>
      <c r="CO59" s="465">
        <f t="shared" si="90"/>
        <v>0</v>
      </c>
      <c r="CP59" s="464">
        <f>'PTRM input'!N259</f>
        <v>0</v>
      </c>
      <c r="CQ59" s="434">
        <f t="shared" si="91"/>
        <v>0</v>
      </c>
      <c r="CR59" s="434">
        <f t="shared" si="92"/>
        <v>0</v>
      </c>
      <c r="CS59" s="434">
        <f t="shared" si="93"/>
        <v>0</v>
      </c>
      <c r="CT59" s="434">
        <f t="shared" si="94"/>
        <v>0</v>
      </c>
      <c r="CU59" s="465">
        <f t="shared" si="95"/>
        <v>0</v>
      </c>
      <c r="CV59" s="464">
        <f t="shared" si="96"/>
        <v>0</v>
      </c>
      <c r="CW59" s="434">
        <f t="shared" si="97"/>
        <v>0</v>
      </c>
      <c r="CX59" s="434">
        <f t="shared" si="98"/>
        <v>0</v>
      </c>
      <c r="CY59" s="434">
        <f t="shared" si="99"/>
        <v>0</v>
      </c>
      <c r="CZ59" s="465">
        <f t="shared" si="100"/>
        <v>0</v>
      </c>
      <c r="DA59" s="464">
        <f>'PTRM input'!O259</f>
        <v>0</v>
      </c>
      <c r="DB59" s="434">
        <f t="shared" si="101"/>
        <v>0</v>
      </c>
      <c r="DC59" s="434">
        <f t="shared" si="102"/>
        <v>0</v>
      </c>
      <c r="DD59" s="434">
        <f t="shared" si="103"/>
        <v>0</v>
      </c>
      <c r="DE59" s="434">
        <f t="shared" si="104"/>
        <v>0</v>
      </c>
      <c r="DF59" s="465">
        <f t="shared" si="105"/>
        <v>0</v>
      </c>
      <c r="DG59" s="464">
        <f t="shared" si="106"/>
        <v>0</v>
      </c>
      <c r="DH59" s="434">
        <f t="shared" si="107"/>
        <v>0</v>
      </c>
      <c r="DI59" s="434">
        <f t="shared" si="108"/>
        <v>0</v>
      </c>
      <c r="DJ59" s="434">
        <f t="shared" si="109"/>
        <v>0</v>
      </c>
      <c r="DK59" s="465">
        <f t="shared" si="110"/>
        <v>0</v>
      </c>
      <c r="DL59" s="48"/>
      <c r="DM59" s="286"/>
      <c r="DN59" s="286"/>
      <c r="DO59" s="286"/>
    </row>
    <row r="60" spans="1:119" s="214" customFormat="1">
      <c r="A60" s="30"/>
      <c r="B60" s="30"/>
      <c r="C60" s="30"/>
      <c r="D60" s="30"/>
      <c r="E60" s="445">
        <f t="shared" si="11"/>
        <v>0</v>
      </c>
      <c r="F60" s="1505">
        <f>'PTRM input'!F260</f>
        <v>0</v>
      </c>
      <c r="G60" s="434">
        <f t="shared" si="111"/>
        <v>0</v>
      </c>
      <c r="H60" s="434">
        <f t="shared" si="12"/>
        <v>0</v>
      </c>
      <c r="I60" s="434">
        <f t="shared" si="13"/>
        <v>0</v>
      </c>
      <c r="J60" s="434">
        <f t="shared" si="14"/>
        <v>0</v>
      </c>
      <c r="K60" s="465">
        <f t="shared" si="15"/>
        <v>0</v>
      </c>
      <c r="L60" s="464">
        <f t="shared" si="16"/>
        <v>0</v>
      </c>
      <c r="M60" s="434">
        <f t="shared" si="17"/>
        <v>0</v>
      </c>
      <c r="N60" s="434">
        <f t="shared" si="18"/>
        <v>0</v>
      </c>
      <c r="O60" s="434">
        <f t="shared" si="19"/>
        <v>0</v>
      </c>
      <c r="P60" s="465">
        <f t="shared" si="20"/>
        <v>0</v>
      </c>
      <c r="Q60" s="464">
        <f>'PTRM input'!G260</f>
        <v>0</v>
      </c>
      <c r="R60" s="434">
        <f t="shared" si="21"/>
        <v>0</v>
      </c>
      <c r="S60" s="434">
        <f t="shared" si="22"/>
        <v>0</v>
      </c>
      <c r="T60" s="434">
        <f t="shared" si="23"/>
        <v>0</v>
      </c>
      <c r="U60" s="434">
        <f t="shared" si="24"/>
        <v>0</v>
      </c>
      <c r="V60" s="465">
        <f t="shared" si="25"/>
        <v>0</v>
      </c>
      <c r="W60" s="464">
        <f t="shared" si="26"/>
        <v>0</v>
      </c>
      <c r="X60" s="434">
        <f t="shared" si="27"/>
        <v>0</v>
      </c>
      <c r="Y60" s="434">
        <f t="shared" si="28"/>
        <v>0</v>
      </c>
      <c r="Z60" s="434">
        <f t="shared" si="29"/>
        <v>0</v>
      </c>
      <c r="AA60" s="465">
        <f t="shared" si="30"/>
        <v>0</v>
      </c>
      <c r="AB60" s="464">
        <f>'PTRM input'!H260</f>
        <v>0</v>
      </c>
      <c r="AC60" s="434">
        <f t="shared" si="31"/>
        <v>0</v>
      </c>
      <c r="AD60" s="434">
        <f t="shared" si="32"/>
        <v>0</v>
      </c>
      <c r="AE60" s="434">
        <f t="shared" si="33"/>
        <v>0</v>
      </c>
      <c r="AF60" s="434">
        <f t="shared" si="34"/>
        <v>0</v>
      </c>
      <c r="AG60" s="465">
        <f t="shared" si="35"/>
        <v>0</v>
      </c>
      <c r="AH60" s="464">
        <f t="shared" si="36"/>
        <v>0</v>
      </c>
      <c r="AI60" s="434">
        <f t="shared" si="37"/>
        <v>0</v>
      </c>
      <c r="AJ60" s="434">
        <f t="shared" si="38"/>
        <v>0</v>
      </c>
      <c r="AK60" s="434">
        <f t="shared" si="39"/>
        <v>0</v>
      </c>
      <c r="AL60" s="465">
        <f t="shared" si="40"/>
        <v>0</v>
      </c>
      <c r="AM60" s="464">
        <f>'PTRM input'!I260</f>
        <v>0</v>
      </c>
      <c r="AN60" s="434">
        <f t="shared" si="41"/>
        <v>0</v>
      </c>
      <c r="AO60" s="434">
        <f t="shared" si="42"/>
        <v>0</v>
      </c>
      <c r="AP60" s="434">
        <f t="shared" si="43"/>
        <v>0</v>
      </c>
      <c r="AQ60" s="434">
        <f t="shared" si="44"/>
        <v>0</v>
      </c>
      <c r="AR60" s="465">
        <f t="shared" si="45"/>
        <v>0</v>
      </c>
      <c r="AS60" s="464">
        <f t="shared" si="46"/>
        <v>0</v>
      </c>
      <c r="AT60" s="434">
        <f t="shared" si="47"/>
        <v>0</v>
      </c>
      <c r="AU60" s="434">
        <f t="shared" si="48"/>
        <v>0</v>
      </c>
      <c r="AV60" s="434">
        <f t="shared" si="49"/>
        <v>0</v>
      </c>
      <c r="AW60" s="465">
        <f t="shared" si="50"/>
        <v>0</v>
      </c>
      <c r="AX60" s="464">
        <f>'PTRM input'!J260</f>
        <v>0</v>
      </c>
      <c r="AY60" s="434">
        <f t="shared" si="51"/>
        <v>0</v>
      </c>
      <c r="AZ60" s="434">
        <f t="shared" si="52"/>
        <v>0</v>
      </c>
      <c r="BA60" s="434">
        <f t="shared" si="53"/>
        <v>0</v>
      </c>
      <c r="BB60" s="434">
        <f t="shared" si="54"/>
        <v>0</v>
      </c>
      <c r="BC60" s="465">
        <f t="shared" si="55"/>
        <v>0</v>
      </c>
      <c r="BD60" s="464">
        <f t="shared" si="56"/>
        <v>0</v>
      </c>
      <c r="BE60" s="434">
        <f t="shared" si="57"/>
        <v>0</v>
      </c>
      <c r="BF60" s="434">
        <f t="shared" si="58"/>
        <v>0</v>
      </c>
      <c r="BG60" s="434">
        <f t="shared" si="59"/>
        <v>0</v>
      </c>
      <c r="BH60" s="465">
        <f t="shared" si="60"/>
        <v>0</v>
      </c>
      <c r="BI60" s="464">
        <f>'PTRM input'!K260</f>
        <v>0</v>
      </c>
      <c r="BJ60" s="434">
        <f t="shared" si="61"/>
        <v>0</v>
      </c>
      <c r="BK60" s="434">
        <f t="shared" si="62"/>
        <v>0</v>
      </c>
      <c r="BL60" s="434">
        <f t="shared" si="63"/>
        <v>0</v>
      </c>
      <c r="BM60" s="434">
        <f t="shared" si="64"/>
        <v>0</v>
      </c>
      <c r="BN60" s="465">
        <f t="shared" si="65"/>
        <v>0</v>
      </c>
      <c r="BO60" s="464">
        <f t="shared" si="66"/>
        <v>0</v>
      </c>
      <c r="BP60" s="434">
        <f t="shared" si="67"/>
        <v>0</v>
      </c>
      <c r="BQ60" s="434">
        <f t="shared" si="68"/>
        <v>0</v>
      </c>
      <c r="BR60" s="434">
        <f t="shared" si="69"/>
        <v>0</v>
      </c>
      <c r="BS60" s="465">
        <f t="shared" si="70"/>
        <v>0</v>
      </c>
      <c r="BT60" s="464">
        <f>'PTRM input'!L260</f>
        <v>0</v>
      </c>
      <c r="BU60" s="434">
        <f t="shared" si="71"/>
        <v>0</v>
      </c>
      <c r="BV60" s="434">
        <f t="shared" si="72"/>
        <v>0</v>
      </c>
      <c r="BW60" s="434">
        <f t="shared" si="73"/>
        <v>0</v>
      </c>
      <c r="BX60" s="434">
        <f t="shared" si="74"/>
        <v>0</v>
      </c>
      <c r="BY60" s="465">
        <f t="shared" si="75"/>
        <v>0</v>
      </c>
      <c r="BZ60" s="464">
        <f t="shared" si="76"/>
        <v>0</v>
      </c>
      <c r="CA60" s="434">
        <f t="shared" si="77"/>
        <v>0</v>
      </c>
      <c r="CB60" s="434">
        <f t="shared" si="78"/>
        <v>0</v>
      </c>
      <c r="CC60" s="434">
        <f t="shared" si="79"/>
        <v>0</v>
      </c>
      <c r="CD60" s="465">
        <f t="shared" si="80"/>
        <v>0</v>
      </c>
      <c r="CE60" s="464">
        <f>'PTRM input'!M260</f>
        <v>0</v>
      </c>
      <c r="CF60" s="434">
        <f t="shared" si="81"/>
        <v>0</v>
      </c>
      <c r="CG60" s="434">
        <f t="shared" si="82"/>
        <v>0</v>
      </c>
      <c r="CH60" s="434">
        <f t="shared" si="83"/>
        <v>0</v>
      </c>
      <c r="CI60" s="434">
        <f t="shared" si="84"/>
        <v>0</v>
      </c>
      <c r="CJ60" s="465">
        <f t="shared" si="85"/>
        <v>0</v>
      </c>
      <c r="CK60" s="464">
        <f t="shared" si="86"/>
        <v>0</v>
      </c>
      <c r="CL60" s="434">
        <f t="shared" si="87"/>
        <v>0</v>
      </c>
      <c r="CM60" s="434">
        <f t="shared" si="88"/>
        <v>0</v>
      </c>
      <c r="CN60" s="434">
        <f t="shared" si="89"/>
        <v>0</v>
      </c>
      <c r="CO60" s="465">
        <f t="shared" si="90"/>
        <v>0</v>
      </c>
      <c r="CP60" s="464">
        <f>'PTRM input'!N260</f>
        <v>0</v>
      </c>
      <c r="CQ60" s="434">
        <f t="shared" si="91"/>
        <v>0</v>
      </c>
      <c r="CR60" s="434">
        <f t="shared" si="92"/>
        <v>0</v>
      </c>
      <c r="CS60" s="434">
        <f t="shared" si="93"/>
        <v>0</v>
      </c>
      <c r="CT60" s="434">
        <f t="shared" si="94"/>
        <v>0</v>
      </c>
      <c r="CU60" s="465">
        <f t="shared" si="95"/>
        <v>0</v>
      </c>
      <c r="CV60" s="464">
        <f t="shared" si="96"/>
        <v>0</v>
      </c>
      <c r="CW60" s="434">
        <f t="shared" si="97"/>
        <v>0</v>
      </c>
      <c r="CX60" s="434">
        <f t="shared" si="98"/>
        <v>0</v>
      </c>
      <c r="CY60" s="434">
        <f t="shared" si="99"/>
        <v>0</v>
      </c>
      <c r="CZ60" s="465">
        <f t="shared" si="100"/>
        <v>0</v>
      </c>
      <c r="DA60" s="464">
        <f>'PTRM input'!O260</f>
        <v>0</v>
      </c>
      <c r="DB60" s="434">
        <f t="shared" si="101"/>
        <v>0</v>
      </c>
      <c r="DC60" s="434">
        <f t="shared" si="102"/>
        <v>0</v>
      </c>
      <c r="DD60" s="434">
        <f t="shared" si="103"/>
        <v>0</v>
      </c>
      <c r="DE60" s="434">
        <f t="shared" si="104"/>
        <v>0</v>
      </c>
      <c r="DF60" s="465">
        <f t="shared" si="105"/>
        <v>0</v>
      </c>
      <c r="DG60" s="464">
        <f t="shared" si="106"/>
        <v>0</v>
      </c>
      <c r="DH60" s="434">
        <f t="shared" si="107"/>
        <v>0</v>
      </c>
      <c r="DI60" s="434">
        <f t="shared" si="108"/>
        <v>0</v>
      </c>
      <c r="DJ60" s="434">
        <f t="shared" si="109"/>
        <v>0</v>
      </c>
      <c r="DK60" s="465">
        <f t="shared" si="110"/>
        <v>0</v>
      </c>
      <c r="DL60" s="48"/>
      <c r="DM60" s="286"/>
      <c r="DN60" s="286"/>
      <c r="DO60" s="286"/>
    </row>
    <row r="61" spans="1:119" s="4" customFormat="1">
      <c r="A61" s="30"/>
      <c r="B61" s="30"/>
      <c r="C61" s="30"/>
      <c r="D61" s="30"/>
      <c r="E61" s="445">
        <f t="shared" si="11"/>
        <v>0</v>
      </c>
      <c r="F61" s="1505">
        <f>'PTRM input'!F261</f>
        <v>0</v>
      </c>
      <c r="G61" s="434">
        <f t="shared" si="111"/>
        <v>0</v>
      </c>
      <c r="H61" s="434">
        <f t="shared" si="12"/>
        <v>0</v>
      </c>
      <c r="I61" s="434">
        <f t="shared" si="13"/>
        <v>0</v>
      </c>
      <c r="J61" s="434">
        <f t="shared" si="14"/>
        <v>0</v>
      </c>
      <c r="K61" s="465">
        <f t="shared" si="15"/>
        <v>0</v>
      </c>
      <c r="L61" s="464">
        <f t="shared" si="16"/>
        <v>0</v>
      </c>
      <c r="M61" s="434">
        <f t="shared" si="17"/>
        <v>0</v>
      </c>
      <c r="N61" s="434">
        <f t="shared" si="18"/>
        <v>0</v>
      </c>
      <c r="O61" s="434">
        <f t="shared" si="19"/>
        <v>0</v>
      </c>
      <c r="P61" s="465">
        <f t="shared" si="20"/>
        <v>0</v>
      </c>
      <c r="Q61" s="464">
        <f>'PTRM input'!G261</f>
        <v>0</v>
      </c>
      <c r="R61" s="434">
        <f t="shared" si="21"/>
        <v>0</v>
      </c>
      <c r="S61" s="434">
        <f t="shared" si="22"/>
        <v>0</v>
      </c>
      <c r="T61" s="434">
        <f t="shared" si="23"/>
        <v>0</v>
      </c>
      <c r="U61" s="434">
        <f t="shared" si="24"/>
        <v>0</v>
      </c>
      <c r="V61" s="465">
        <f t="shared" si="25"/>
        <v>0</v>
      </c>
      <c r="W61" s="464">
        <f t="shared" si="26"/>
        <v>0</v>
      </c>
      <c r="X61" s="434">
        <f t="shared" si="27"/>
        <v>0</v>
      </c>
      <c r="Y61" s="434">
        <f t="shared" si="28"/>
        <v>0</v>
      </c>
      <c r="Z61" s="434">
        <f t="shared" si="29"/>
        <v>0</v>
      </c>
      <c r="AA61" s="465">
        <f t="shared" si="30"/>
        <v>0</v>
      </c>
      <c r="AB61" s="464">
        <f>'PTRM input'!H261</f>
        <v>0</v>
      </c>
      <c r="AC61" s="434">
        <f t="shared" si="31"/>
        <v>0</v>
      </c>
      <c r="AD61" s="434">
        <f t="shared" si="32"/>
        <v>0</v>
      </c>
      <c r="AE61" s="434">
        <f t="shared" si="33"/>
        <v>0</v>
      </c>
      <c r="AF61" s="434">
        <f t="shared" si="34"/>
        <v>0</v>
      </c>
      <c r="AG61" s="465">
        <f t="shared" si="35"/>
        <v>0</v>
      </c>
      <c r="AH61" s="464">
        <f t="shared" si="36"/>
        <v>0</v>
      </c>
      <c r="AI61" s="434">
        <f t="shared" si="37"/>
        <v>0</v>
      </c>
      <c r="AJ61" s="434">
        <f t="shared" si="38"/>
        <v>0</v>
      </c>
      <c r="AK61" s="434">
        <f t="shared" si="39"/>
        <v>0</v>
      </c>
      <c r="AL61" s="465">
        <f t="shared" si="40"/>
        <v>0</v>
      </c>
      <c r="AM61" s="464">
        <f>'PTRM input'!I261</f>
        <v>0</v>
      </c>
      <c r="AN61" s="434">
        <f t="shared" si="41"/>
        <v>0</v>
      </c>
      <c r="AO61" s="434">
        <f t="shared" si="42"/>
        <v>0</v>
      </c>
      <c r="AP61" s="434">
        <f t="shared" si="43"/>
        <v>0</v>
      </c>
      <c r="AQ61" s="434">
        <f t="shared" si="44"/>
        <v>0</v>
      </c>
      <c r="AR61" s="465">
        <f t="shared" si="45"/>
        <v>0</v>
      </c>
      <c r="AS61" s="464">
        <f t="shared" si="46"/>
        <v>0</v>
      </c>
      <c r="AT61" s="434">
        <f t="shared" si="47"/>
        <v>0</v>
      </c>
      <c r="AU61" s="434">
        <f t="shared" si="48"/>
        <v>0</v>
      </c>
      <c r="AV61" s="434">
        <f t="shared" si="49"/>
        <v>0</v>
      </c>
      <c r="AW61" s="465">
        <f t="shared" si="50"/>
        <v>0</v>
      </c>
      <c r="AX61" s="464">
        <f>'PTRM input'!J261</f>
        <v>0</v>
      </c>
      <c r="AY61" s="434">
        <f t="shared" si="51"/>
        <v>0</v>
      </c>
      <c r="AZ61" s="434">
        <f t="shared" si="52"/>
        <v>0</v>
      </c>
      <c r="BA61" s="434">
        <f t="shared" si="53"/>
        <v>0</v>
      </c>
      <c r="BB61" s="434">
        <f t="shared" si="54"/>
        <v>0</v>
      </c>
      <c r="BC61" s="465">
        <f t="shared" si="55"/>
        <v>0</v>
      </c>
      <c r="BD61" s="464">
        <f t="shared" si="56"/>
        <v>0</v>
      </c>
      <c r="BE61" s="434">
        <f t="shared" si="57"/>
        <v>0</v>
      </c>
      <c r="BF61" s="434">
        <f t="shared" si="58"/>
        <v>0</v>
      </c>
      <c r="BG61" s="434">
        <f t="shared" si="59"/>
        <v>0</v>
      </c>
      <c r="BH61" s="465">
        <f t="shared" si="60"/>
        <v>0</v>
      </c>
      <c r="BI61" s="464">
        <f>'PTRM input'!K261</f>
        <v>0</v>
      </c>
      <c r="BJ61" s="434">
        <f t="shared" si="61"/>
        <v>0</v>
      </c>
      <c r="BK61" s="434">
        <f t="shared" si="62"/>
        <v>0</v>
      </c>
      <c r="BL61" s="434">
        <f t="shared" si="63"/>
        <v>0</v>
      </c>
      <c r="BM61" s="434">
        <f t="shared" si="64"/>
        <v>0</v>
      </c>
      <c r="BN61" s="465">
        <f t="shared" si="65"/>
        <v>0</v>
      </c>
      <c r="BO61" s="464">
        <f t="shared" si="66"/>
        <v>0</v>
      </c>
      <c r="BP61" s="434">
        <f t="shared" si="67"/>
        <v>0</v>
      </c>
      <c r="BQ61" s="434">
        <f t="shared" si="68"/>
        <v>0</v>
      </c>
      <c r="BR61" s="434">
        <f t="shared" si="69"/>
        <v>0</v>
      </c>
      <c r="BS61" s="465">
        <f t="shared" si="70"/>
        <v>0</v>
      </c>
      <c r="BT61" s="464">
        <f>'PTRM input'!L261</f>
        <v>0</v>
      </c>
      <c r="BU61" s="434">
        <f t="shared" si="71"/>
        <v>0</v>
      </c>
      <c r="BV61" s="434">
        <f t="shared" si="72"/>
        <v>0</v>
      </c>
      <c r="BW61" s="434">
        <f t="shared" si="73"/>
        <v>0</v>
      </c>
      <c r="BX61" s="434">
        <f t="shared" si="74"/>
        <v>0</v>
      </c>
      <c r="BY61" s="465">
        <f t="shared" si="75"/>
        <v>0</v>
      </c>
      <c r="BZ61" s="464">
        <f t="shared" si="76"/>
        <v>0</v>
      </c>
      <c r="CA61" s="434">
        <f t="shared" si="77"/>
        <v>0</v>
      </c>
      <c r="CB61" s="434">
        <f t="shared" si="78"/>
        <v>0</v>
      </c>
      <c r="CC61" s="434">
        <f t="shared" si="79"/>
        <v>0</v>
      </c>
      <c r="CD61" s="465">
        <f t="shared" si="80"/>
        <v>0</v>
      </c>
      <c r="CE61" s="464">
        <f>'PTRM input'!M261</f>
        <v>0</v>
      </c>
      <c r="CF61" s="434">
        <f t="shared" si="81"/>
        <v>0</v>
      </c>
      <c r="CG61" s="434">
        <f t="shared" si="82"/>
        <v>0</v>
      </c>
      <c r="CH61" s="434">
        <f t="shared" si="83"/>
        <v>0</v>
      </c>
      <c r="CI61" s="434">
        <f t="shared" si="84"/>
        <v>0</v>
      </c>
      <c r="CJ61" s="465">
        <f t="shared" si="85"/>
        <v>0</v>
      </c>
      <c r="CK61" s="464">
        <f t="shared" si="86"/>
        <v>0</v>
      </c>
      <c r="CL61" s="434">
        <f t="shared" si="87"/>
        <v>0</v>
      </c>
      <c r="CM61" s="434">
        <f t="shared" si="88"/>
        <v>0</v>
      </c>
      <c r="CN61" s="434">
        <f t="shared" si="89"/>
        <v>0</v>
      </c>
      <c r="CO61" s="465">
        <f t="shared" si="90"/>
        <v>0</v>
      </c>
      <c r="CP61" s="464">
        <f>'PTRM input'!N261</f>
        <v>0</v>
      </c>
      <c r="CQ61" s="434">
        <f t="shared" si="91"/>
        <v>0</v>
      </c>
      <c r="CR61" s="434">
        <f t="shared" si="92"/>
        <v>0</v>
      </c>
      <c r="CS61" s="434">
        <f t="shared" si="93"/>
        <v>0</v>
      </c>
      <c r="CT61" s="434">
        <f t="shared" si="94"/>
        <v>0</v>
      </c>
      <c r="CU61" s="465">
        <f t="shared" si="95"/>
        <v>0</v>
      </c>
      <c r="CV61" s="464">
        <f t="shared" si="96"/>
        <v>0</v>
      </c>
      <c r="CW61" s="434">
        <f t="shared" si="97"/>
        <v>0</v>
      </c>
      <c r="CX61" s="434">
        <f t="shared" si="98"/>
        <v>0</v>
      </c>
      <c r="CY61" s="434">
        <f t="shared" si="99"/>
        <v>0</v>
      </c>
      <c r="CZ61" s="465">
        <f t="shared" si="100"/>
        <v>0</v>
      </c>
      <c r="DA61" s="464">
        <f>'PTRM input'!O261</f>
        <v>0</v>
      </c>
      <c r="DB61" s="434">
        <f t="shared" si="101"/>
        <v>0</v>
      </c>
      <c r="DC61" s="434">
        <f t="shared" si="102"/>
        <v>0</v>
      </c>
      <c r="DD61" s="434">
        <f t="shared" si="103"/>
        <v>0</v>
      </c>
      <c r="DE61" s="434">
        <f t="shared" si="104"/>
        <v>0</v>
      </c>
      <c r="DF61" s="465">
        <f t="shared" si="105"/>
        <v>0</v>
      </c>
      <c r="DG61" s="464">
        <f t="shared" si="106"/>
        <v>0</v>
      </c>
      <c r="DH61" s="434">
        <f t="shared" si="107"/>
        <v>0</v>
      </c>
      <c r="DI61" s="434">
        <f t="shared" si="108"/>
        <v>0</v>
      </c>
      <c r="DJ61" s="434">
        <f t="shared" si="109"/>
        <v>0</v>
      </c>
      <c r="DK61" s="465">
        <f t="shared" si="110"/>
        <v>0</v>
      </c>
      <c r="DL61" s="48"/>
      <c r="DM61" s="286"/>
      <c r="DN61" s="286"/>
      <c r="DO61" s="286"/>
    </row>
    <row r="62" spans="1:119" s="4" customFormat="1">
      <c r="A62" s="30"/>
      <c r="B62" s="30"/>
      <c r="C62" s="30"/>
      <c r="D62" s="30"/>
      <c r="E62" s="445">
        <f t="shared" si="11"/>
        <v>0</v>
      </c>
      <c r="F62" s="1505">
        <f>'PTRM input'!F262</f>
        <v>0</v>
      </c>
      <c r="G62" s="434">
        <f t="shared" si="111"/>
        <v>0</v>
      </c>
      <c r="H62" s="434">
        <f t="shared" si="12"/>
        <v>0</v>
      </c>
      <c r="I62" s="434">
        <f t="shared" si="13"/>
        <v>0</v>
      </c>
      <c r="J62" s="434">
        <f t="shared" si="14"/>
        <v>0</v>
      </c>
      <c r="K62" s="465">
        <f t="shared" si="15"/>
        <v>0</v>
      </c>
      <c r="L62" s="464">
        <f t="shared" si="16"/>
        <v>0</v>
      </c>
      <c r="M62" s="434">
        <f t="shared" si="17"/>
        <v>0</v>
      </c>
      <c r="N62" s="434">
        <f t="shared" si="18"/>
        <v>0</v>
      </c>
      <c r="O62" s="434">
        <f t="shared" si="19"/>
        <v>0</v>
      </c>
      <c r="P62" s="465">
        <f t="shared" si="20"/>
        <v>0</v>
      </c>
      <c r="Q62" s="464">
        <f>'PTRM input'!G262</f>
        <v>0</v>
      </c>
      <c r="R62" s="434">
        <f t="shared" si="21"/>
        <v>0</v>
      </c>
      <c r="S62" s="434">
        <f t="shared" si="22"/>
        <v>0</v>
      </c>
      <c r="T62" s="434">
        <f t="shared" si="23"/>
        <v>0</v>
      </c>
      <c r="U62" s="434">
        <f t="shared" si="24"/>
        <v>0</v>
      </c>
      <c r="V62" s="465">
        <f t="shared" si="25"/>
        <v>0</v>
      </c>
      <c r="W62" s="464">
        <f t="shared" si="26"/>
        <v>0</v>
      </c>
      <c r="X62" s="434">
        <f t="shared" si="27"/>
        <v>0</v>
      </c>
      <c r="Y62" s="434">
        <f t="shared" si="28"/>
        <v>0</v>
      </c>
      <c r="Z62" s="434">
        <f t="shared" si="29"/>
        <v>0</v>
      </c>
      <c r="AA62" s="465">
        <f t="shared" si="30"/>
        <v>0</v>
      </c>
      <c r="AB62" s="464">
        <f>'PTRM input'!H262</f>
        <v>0</v>
      </c>
      <c r="AC62" s="434">
        <f t="shared" si="31"/>
        <v>0</v>
      </c>
      <c r="AD62" s="434">
        <f t="shared" si="32"/>
        <v>0</v>
      </c>
      <c r="AE62" s="434">
        <f t="shared" si="33"/>
        <v>0</v>
      </c>
      <c r="AF62" s="434">
        <f t="shared" si="34"/>
        <v>0</v>
      </c>
      <c r="AG62" s="465">
        <f t="shared" si="35"/>
        <v>0</v>
      </c>
      <c r="AH62" s="464">
        <f t="shared" si="36"/>
        <v>0</v>
      </c>
      <c r="AI62" s="434">
        <f t="shared" si="37"/>
        <v>0</v>
      </c>
      <c r="AJ62" s="434">
        <f t="shared" si="38"/>
        <v>0</v>
      </c>
      <c r="AK62" s="434">
        <f t="shared" si="39"/>
        <v>0</v>
      </c>
      <c r="AL62" s="465">
        <f t="shared" si="40"/>
        <v>0</v>
      </c>
      <c r="AM62" s="464">
        <f>'PTRM input'!I262</f>
        <v>0</v>
      </c>
      <c r="AN62" s="434">
        <f t="shared" si="41"/>
        <v>0</v>
      </c>
      <c r="AO62" s="434">
        <f t="shared" si="42"/>
        <v>0</v>
      </c>
      <c r="AP62" s="434">
        <f t="shared" si="43"/>
        <v>0</v>
      </c>
      <c r="AQ62" s="434">
        <f t="shared" si="44"/>
        <v>0</v>
      </c>
      <c r="AR62" s="465">
        <f t="shared" si="45"/>
        <v>0</v>
      </c>
      <c r="AS62" s="464">
        <f t="shared" si="46"/>
        <v>0</v>
      </c>
      <c r="AT62" s="434">
        <f t="shared" si="47"/>
        <v>0</v>
      </c>
      <c r="AU62" s="434">
        <f t="shared" si="48"/>
        <v>0</v>
      </c>
      <c r="AV62" s="434">
        <f t="shared" si="49"/>
        <v>0</v>
      </c>
      <c r="AW62" s="465">
        <f t="shared" si="50"/>
        <v>0</v>
      </c>
      <c r="AX62" s="464">
        <f>'PTRM input'!J262</f>
        <v>0</v>
      </c>
      <c r="AY62" s="434">
        <f t="shared" si="51"/>
        <v>0</v>
      </c>
      <c r="AZ62" s="434">
        <f t="shared" si="52"/>
        <v>0</v>
      </c>
      <c r="BA62" s="434">
        <f t="shared" si="53"/>
        <v>0</v>
      </c>
      <c r="BB62" s="434">
        <f t="shared" si="54"/>
        <v>0</v>
      </c>
      <c r="BC62" s="465">
        <f t="shared" si="55"/>
        <v>0</v>
      </c>
      <c r="BD62" s="464">
        <f t="shared" si="56"/>
        <v>0</v>
      </c>
      <c r="BE62" s="434">
        <f t="shared" si="57"/>
        <v>0</v>
      </c>
      <c r="BF62" s="434">
        <f t="shared" si="58"/>
        <v>0</v>
      </c>
      <c r="BG62" s="434">
        <f t="shared" si="59"/>
        <v>0</v>
      </c>
      <c r="BH62" s="465">
        <f t="shared" si="60"/>
        <v>0</v>
      </c>
      <c r="BI62" s="464">
        <f>'PTRM input'!K262</f>
        <v>0</v>
      </c>
      <c r="BJ62" s="434">
        <f t="shared" si="61"/>
        <v>0</v>
      </c>
      <c r="BK62" s="434">
        <f t="shared" si="62"/>
        <v>0</v>
      </c>
      <c r="BL62" s="434">
        <f t="shared" si="63"/>
        <v>0</v>
      </c>
      <c r="BM62" s="434">
        <f t="shared" si="64"/>
        <v>0</v>
      </c>
      <c r="BN62" s="465">
        <f t="shared" si="65"/>
        <v>0</v>
      </c>
      <c r="BO62" s="464">
        <f t="shared" si="66"/>
        <v>0</v>
      </c>
      <c r="BP62" s="434">
        <f t="shared" si="67"/>
        <v>0</v>
      </c>
      <c r="BQ62" s="434">
        <f t="shared" si="68"/>
        <v>0</v>
      </c>
      <c r="BR62" s="434">
        <f t="shared" si="69"/>
        <v>0</v>
      </c>
      <c r="BS62" s="465">
        <f t="shared" si="70"/>
        <v>0</v>
      </c>
      <c r="BT62" s="464">
        <f>'PTRM input'!L262</f>
        <v>0</v>
      </c>
      <c r="BU62" s="434">
        <f t="shared" si="71"/>
        <v>0</v>
      </c>
      <c r="BV62" s="434">
        <f t="shared" si="72"/>
        <v>0</v>
      </c>
      <c r="BW62" s="434">
        <f t="shared" si="73"/>
        <v>0</v>
      </c>
      <c r="BX62" s="434">
        <f t="shared" si="74"/>
        <v>0</v>
      </c>
      <c r="BY62" s="465">
        <f t="shared" si="75"/>
        <v>0</v>
      </c>
      <c r="BZ62" s="464">
        <f t="shared" si="76"/>
        <v>0</v>
      </c>
      <c r="CA62" s="434">
        <f t="shared" si="77"/>
        <v>0</v>
      </c>
      <c r="CB62" s="434">
        <f t="shared" si="78"/>
        <v>0</v>
      </c>
      <c r="CC62" s="434">
        <f t="shared" si="79"/>
        <v>0</v>
      </c>
      <c r="CD62" s="465">
        <f t="shared" si="80"/>
        <v>0</v>
      </c>
      <c r="CE62" s="464">
        <f>'PTRM input'!M262</f>
        <v>0</v>
      </c>
      <c r="CF62" s="434">
        <f t="shared" si="81"/>
        <v>0</v>
      </c>
      <c r="CG62" s="434">
        <f t="shared" si="82"/>
        <v>0</v>
      </c>
      <c r="CH62" s="434">
        <f t="shared" si="83"/>
        <v>0</v>
      </c>
      <c r="CI62" s="434">
        <f t="shared" si="84"/>
        <v>0</v>
      </c>
      <c r="CJ62" s="465">
        <f t="shared" si="85"/>
        <v>0</v>
      </c>
      <c r="CK62" s="464">
        <f t="shared" si="86"/>
        <v>0</v>
      </c>
      <c r="CL62" s="434">
        <f t="shared" si="87"/>
        <v>0</v>
      </c>
      <c r="CM62" s="434">
        <f t="shared" si="88"/>
        <v>0</v>
      </c>
      <c r="CN62" s="434">
        <f t="shared" si="89"/>
        <v>0</v>
      </c>
      <c r="CO62" s="465">
        <f t="shared" si="90"/>
        <v>0</v>
      </c>
      <c r="CP62" s="464">
        <f>'PTRM input'!N262</f>
        <v>0</v>
      </c>
      <c r="CQ62" s="434">
        <f t="shared" si="91"/>
        <v>0</v>
      </c>
      <c r="CR62" s="434">
        <f t="shared" si="92"/>
        <v>0</v>
      </c>
      <c r="CS62" s="434">
        <f t="shared" si="93"/>
        <v>0</v>
      </c>
      <c r="CT62" s="434">
        <f t="shared" si="94"/>
        <v>0</v>
      </c>
      <c r="CU62" s="465">
        <f t="shared" si="95"/>
        <v>0</v>
      </c>
      <c r="CV62" s="464">
        <f t="shared" si="96"/>
        <v>0</v>
      </c>
      <c r="CW62" s="434">
        <f t="shared" si="97"/>
        <v>0</v>
      </c>
      <c r="CX62" s="434">
        <f t="shared" si="98"/>
        <v>0</v>
      </c>
      <c r="CY62" s="434">
        <f t="shared" si="99"/>
        <v>0</v>
      </c>
      <c r="CZ62" s="465">
        <f t="shared" si="100"/>
        <v>0</v>
      </c>
      <c r="DA62" s="464">
        <f>'PTRM input'!O262</f>
        <v>0</v>
      </c>
      <c r="DB62" s="434">
        <f t="shared" si="101"/>
        <v>0</v>
      </c>
      <c r="DC62" s="434">
        <f t="shared" si="102"/>
        <v>0</v>
      </c>
      <c r="DD62" s="434">
        <f t="shared" si="103"/>
        <v>0</v>
      </c>
      <c r="DE62" s="434">
        <f t="shared" si="104"/>
        <v>0</v>
      </c>
      <c r="DF62" s="465">
        <f t="shared" si="105"/>
        <v>0</v>
      </c>
      <c r="DG62" s="464">
        <f t="shared" si="106"/>
        <v>0</v>
      </c>
      <c r="DH62" s="434">
        <f t="shared" si="107"/>
        <v>0</v>
      </c>
      <c r="DI62" s="434">
        <f t="shared" si="108"/>
        <v>0</v>
      </c>
      <c r="DJ62" s="434">
        <f t="shared" si="109"/>
        <v>0</v>
      </c>
      <c r="DK62" s="465">
        <f t="shared" si="110"/>
        <v>0</v>
      </c>
      <c r="DL62" s="48"/>
      <c r="DM62" s="286"/>
      <c r="DN62" s="286"/>
      <c r="DO62" s="286"/>
    </row>
    <row r="63" spans="1:119" s="4" customFormat="1">
      <c r="A63" s="30"/>
      <c r="B63" s="30"/>
      <c r="C63" s="30"/>
      <c r="D63" s="30"/>
      <c r="E63" s="445">
        <f t="shared" si="11"/>
        <v>0</v>
      </c>
      <c r="F63" s="1505">
        <f>'PTRM input'!F263</f>
        <v>0</v>
      </c>
      <c r="G63" s="434">
        <f t="shared" si="111"/>
        <v>0</v>
      </c>
      <c r="H63" s="434">
        <f t="shared" si="12"/>
        <v>0</v>
      </c>
      <c r="I63" s="434">
        <f t="shared" si="13"/>
        <v>0</v>
      </c>
      <c r="J63" s="434">
        <f t="shared" si="14"/>
        <v>0</v>
      </c>
      <c r="K63" s="465">
        <f t="shared" si="15"/>
        <v>0</v>
      </c>
      <c r="L63" s="464">
        <f t="shared" si="16"/>
        <v>0</v>
      </c>
      <c r="M63" s="434">
        <f t="shared" si="17"/>
        <v>0</v>
      </c>
      <c r="N63" s="434">
        <f t="shared" si="18"/>
        <v>0</v>
      </c>
      <c r="O63" s="434">
        <f t="shared" si="19"/>
        <v>0</v>
      </c>
      <c r="P63" s="465">
        <f t="shared" si="20"/>
        <v>0</v>
      </c>
      <c r="Q63" s="464">
        <f>'PTRM input'!G263</f>
        <v>0</v>
      </c>
      <c r="R63" s="434">
        <f t="shared" si="21"/>
        <v>0</v>
      </c>
      <c r="S63" s="434">
        <f t="shared" si="22"/>
        <v>0</v>
      </c>
      <c r="T63" s="434">
        <f t="shared" si="23"/>
        <v>0</v>
      </c>
      <c r="U63" s="434">
        <f t="shared" si="24"/>
        <v>0</v>
      </c>
      <c r="V63" s="465">
        <f t="shared" si="25"/>
        <v>0</v>
      </c>
      <c r="W63" s="464">
        <f t="shared" si="26"/>
        <v>0</v>
      </c>
      <c r="X63" s="434">
        <f t="shared" si="27"/>
        <v>0</v>
      </c>
      <c r="Y63" s="434">
        <f t="shared" si="28"/>
        <v>0</v>
      </c>
      <c r="Z63" s="434">
        <f t="shared" si="29"/>
        <v>0</v>
      </c>
      <c r="AA63" s="465">
        <f t="shared" si="30"/>
        <v>0</v>
      </c>
      <c r="AB63" s="464">
        <f>'PTRM input'!H263</f>
        <v>0</v>
      </c>
      <c r="AC63" s="434">
        <f t="shared" si="31"/>
        <v>0</v>
      </c>
      <c r="AD63" s="434">
        <f t="shared" si="32"/>
        <v>0</v>
      </c>
      <c r="AE63" s="434">
        <f t="shared" si="33"/>
        <v>0</v>
      </c>
      <c r="AF63" s="434">
        <f t="shared" si="34"/>
        <v>0</v>
      </c>
      <c r="AG63" s="465">
        <f t="shared" si="35"/>
        <v>0</v>
      </c>
      <c r="AH63" s="464">
        <f t="shared" si="36"/>
        <v>0</v>
      </c>
      <c r="AI63" s="434">
        <f t="shared" si="37"/>
        <v>0</v>
      </c>
      <c r="AJ63" s="434">
        <f t="shared" si="38"/>
        <v>0</v>
      </c>
      <c r="AK63" s="434">
        <f t="shared" si="39"/>
        <v>0</v>
      </c>
      <c r="AL63" s="465">
        <f t="shared" si="40"/>
        <v>0</v>
      </c>
      <c r="AM63" s="464">
        <f>'PTRM input'!I263</f>
        <v>0</v>
      </c>
      <c r="AN63" s="434">
        <f t="shared" si="41"/>
        <v>0</v>
      </c>
      <c r="AO63" s="434">
        <f t="shared" si="42"/>
        <v>0</v>
      </c>
      <c r="AP63" s="434">
        <f t="shared" si="43"/>
        <v>0</v>
      </c>
      <c r="AQ63" s="434">
        <f t="shared" si="44"/>
        <v>0</v>
      </c>
      <c r="AR63" s="465">
        <f t="shared" si="45"/>
        <v>0</v>
      </c>
      <c r="AS63" s="464">
        <f t="shared" si="46"/>
        <v>0</v>
      </c>
      <c r="AT63" s="434">
        <f t="shared" si="47"/>
        <v>0</v>
      </c>
      <c r="AU63" s="434">
        <f t="shared" si="48"/>
        <v>0</v>
      </c>
      <c r="AV63" s="434">
        <f t="shared" si="49"/>
        <v>0</v>
      </c>
      <c r="AW63" s="465">
        <f t="shared" si="50"/>
        <v>0</v>
      </c>
      <c r="AX63" s="464">
        <f>'PTRM input'!J263</f>
        <v>0</v>
      </c>
      <c r="AY63" s="434">
        <f t="shared" si="51"/>
        <v>0</v>
      </c>
      <c r="AZ63" s="434">
        <f t="shared" si="52"/>
        <v>0</v>
      </c>
      <c r="BA63" s="434">
        <f t="shared" si="53"/>
        <v>0</v>
      </c>
      <c r="BB63" s="434">
        <f t="shared" si="54"/>
        <v>0</v>
      </c>
      <c r="BC63" s="465">
        <f t="shared" si="55"/>
        <v>0</v>
      </c>
      <c r="BD63" s="464">
        <f t="shared" si="56"/>
        <v>0</v>
      </c>
      <c r="BE63" s="434">
        <f t="shared" si="57"/>
        <v>0</v>
      </c>
      <c r="BF63" s="434">
        <f t="shared" si="58"/>
        <v>0</v>
      </c>
      <c r="BG63" s="434">
        <f t="shared" si="59"/>
        <v>0</v>
      </c>
      <c r="BH63" s="465">
        <f t="shared" si="60"/>
        <v>0</v>
      </c>
      <c r="BI63" s="464">
        <f>'PTRM input'!K263</f>
        <v>0</v>
      </c>
      <c r="BJ63" s="434">
        <f t="shared" si="61"/>
        <v>0</v>
      </c>
      <c r="BK63" s="434">
        <f t="shared" si="62"/>
        <v>0</v>
      </c>
      <c r="BL63" s="434">
        <f t="shared" si="63"/>
        <v>0</v>
      </c>
      <c r="BM63" s="434">
        <f t="shared" si="64"/>
        <v>0</v>
      </c>
      <c r="BN63" s="465">
        <f t="shared" si="65"/>
        <v>0</v>
      </c>
      <c r="BO63" s="464">
        <f t="shared" si="66"/>
        <v>0</v>
      </c>
      <c r="BP63" s="434">
        <f t="shared" si="67"/>
        <v>0</v>
      </c>
      <c r="BQ63" s="434">
        <f t="shared" si="68"/>
        <v>0</v>
      </c>
      <c r="BR63" s="434">
        <f t="shared" si="69"/>
        <v>0</v>
      </c>
      <c r="BS63" s="465">
        <f t="shared" si="70"/>
        <v>0</v>
      </c>
      <c r="BT63" s="464">
        <f>'PTRM input'!L263</f>
        <v>0</v>
      </c>
      <c r="BU63" s="434">
        <f t="shared" si="71"/>
        <v>0</v>
      </c>
      <c r="BV63" s="434">
        <f t="shared" si="72"/>
        <v>0</v>
      </c>
      <c r="BW63" s="434">
        <f t="shared" si="73"/>
        <v>0</v>
      </c>
      <c r="BX63" s="434">
        <f t="shared" si="74"/>
        <v>0</v>
      </c>
      <c r="BY63" s="465">
        <f t="shared" si="75"/>
        <v>0</v>
      </c>
      <c r="BZ63" s="464">
        <f t="shared" si="76"/>
        <v>0</v>
      </c>
      <c r="CA63" s="434">
        <f t="shared" si="77"/>
        <v>0</v>
      </c>
      <c r="CB63" s="434">
        <f t="shared" si="78"/>
        <v>0</v>
      </c>
      <c r="CC63" s="434">
        <f t="shared" si="79"/>
        <v>0</v>
      </c>
      <c r="CD63" s="465">
        <f t="shared" si="80"/>
        <v>0</v>
      </c>
      <c r="CE63" s="464">
        <f>'PTRM input'!M263</f>
        <v>0</v>
      </c>
      <c r="CF63" s="434">
        <f t="shared" si="81"/>
        <v>0</v>
      </c>
      <c r="CG63" s="434">
        <f t="shared" si="82"/>
        <v>0</v>
      </c>
      <c r="CH63" s="434">
        <f t="shared" si="83"/>
        <v>0</v>
      </c>
      <c r="CI63" s="434">
        <f t="shared" si="84"/>
        <v>0</v>
      </c>
      <c r="CJ63" s="465">
        <f t="shared" si="85"/>
        <v>0</v>
      </c>
      <c r="CK63" s="464">
        <f t="shared" si="86"/>
        <v>0</v>
      </c>
      <c r="CL63" s="434">
        <f t="shared" si="87"/>
        <v>0</v>
      </c>
      <c r="CM63" s="434">
        <f t="shared" si="88"/>
        <v>0</v>
      </c>
      <c r="CN63" s="434">
        <f t="shared" si="89"/>
        <v>0</v>
      </c>
      <c r="CO63" s="465">
        <f t="shared" si="90"/>
        <v>0</v>
      </c>
      <c r="CP63" s="464">
        <f>'PTRM input'!N263</f>
        <v>0</v>
      </c>
      <c r="CQ63" s="434">
        <f t="shared" si="91"/>
        <v>0</v>
      </c>
      <c r="CR63" s="434">
        <f t="shared" si="92"/>
        <v>0</v>
      </c>
      <c r="CS63" s="434">
        <f t="shared" si="93"/>
        <v>0</v>
      </c>
      <c r="CT63" s="434">
        <f t="shared" si="94"/>
        <v>0</v>
      </c>
      <c r="CU63" s="465">
        <f t="shared" si="95"/>
        <v>0</v>
      </c>
      <c r="CV63" s="464">
        <f t="shared" si="96"/>
        <v>0</v>
      </c>
      <c r="CW63" s="434">
        <f t="shared" si="97"/>
        <v>0</v>
      </c>
      <c r="CX63" s="434">
        <f t="shared" si="98"/>
        <v>0</v>
      </c>
      <c r="CY63" s="434">
        <f t="shared" si="99"/>
        <v>0</v>
      </c>
      <c r="CZ63" s="465">
        <f t="shared" si="100"/>
        <v>0</v>
      </c>
      <c r="DA63" s="464">
        <f>'PTRM input'!O263</f>
        <v>0</v>
      </c>
      <c r="DB63" s="434">
        <f t="shared" si="101"/>
        <v>0</v>
      </c>
      <c r="DC63" s="434">
        <f t="shared" si="102"/>
        <v>0</v>
      </c>
      <c r="DD63" s="434">
        <f t="shared" si="103"/>
        <v>0</v>
      </c>
      <c r="DE63" s="434">
        <f t="shared" si="104"/>
        <v>0</v>
      </c>
      <c r="DF63" s="465">
        <f t="shared" si="105"/>
        <v>0</v>
      </c>
      <c r="DG63" s="464">
        <f t="shared" si="106"/>
        <v>0</v>
      </c>
      <c r="DH63" s="434">
        <f t="shared" si="107"/>
        <v>0</v>
      </c>
      <c r="DI63" s="434">
        <f t="shared" si="108"/>
        <v>0</v>
      </c>
      <c r="DJ63" s="434">
        <f t="shared" si="109"/>
        <v>0</v>
      </c>
      <c r="DK63" s="465">
        <f t="shared" si="110"/>
        <v>0</v>
      </c>
      <c r="DL63" s="48"/>
      <c r="DM63" s="286"/>
      <c r="DN63" s="286"/>
      <c r="DO63" s="286"/>
    </row>
    <row r="64" spans="1:119" s="4" customFormat="1">
      <c r="A64" s="30"/>
      <c r="B64" s="30"/>
      <c r="C64" s="30"/>
      <c r="D64" s="30"/>
      <c r="E64" s="445">
        <f t="shared" si="11"/>
        <v>0</v>
      </c>
      <c r="F64" s="1505">
        <f>'PTRM input'!F264</f>
        <v>0</v>
      </c>
      <c r="G64" s="434">
        <f t="shared" si="111"/>
        <v>0</v>
      </c>
      <c r="H64" s="434">
        <f t="shared" si="12"/>
        <v>0</v>
      </c>
      <c r="I64" s="434">
        <f t="shared" si="13"/>
        <v>0</v>
      </c>
      <c r="J64" s="434">
        <f t="shared" si="14"/>
        <v>0</v>
      </c>
      <c r="K64" s="465">
        <f t="shared" si="15"/>
        <v>0</v>
      </c>
      <c r="L64" s="464">
        <f t="shared" si="16"/>
        <v>0</v>
      </c>
      <c r="M64" s="434">
        <f t="shared" si="17"/>
        <v>0</v>
      </c>
      <c r="N64" s="434">
        <f t="shared" si="18"/>
        <v>0</v>
      </c>
      <c r="O64" s="434">
        <f t="shared" si="19"/>
        <v>0</v>
      </c>
      <c r="P64" s="465">
        <f t="shared" si="20"/>
        <v>0</v>
      </c>
      <c r="Q64" s="464">
        <f>'PTRM input'!G264</f>
        <v>0</v>
      </c>
      <c r="R64" s="434">
        <f t="shared" si="21"/>
        <v>0</v>
      </c>
      <c r="S64" s="434">
        <f t="shared" si="22"/>
        <v>0</v>
      </c>
      <c r="T64" s="434">
        <f t="shared" si="23"/>
        <v>0</v>
      </c>
      <c r="U64" s="434">
        <f t="shared" si="24"/>
        <v>0</v>
      </c>
      <c r="V64" s="465">
        <f t="shared" si="25"/>
        <v>0</v>
      </c>
      <c r="W64" s="464">
        <f t="shared" si="26"/>
        <v>0</v>
      </c>
      <c r="X64" s="434">
        <f t="shared" si="27"/>
        <v>0</v>
      </c>
      <c r="Y64" s="434">
        <f t="shared" si="28"/>
        <v>0</v>
      </c>
      <c r="Z64" s="434">
        <f t="shared" si="29"/>
        <v>0</v>
      </c>
      <c r="AA64" s="465">
        <f t="shared" si="30"/>
        <v>0</v>
      </c>
      <c r="AB64" s="464">
        <f>'PTRM input'!H264</f>
        <v>0</v>
      </c>
      <c r="AC64" s="434">
        <f t="shared" si="31"/>
        <v>0</v>
      </c>
      <c r="AD64" s="434">
        <f t="shared" si="32"/>
        <v>0</v>
      </c>
      <c r="AE64" s="434">
        <f t="shared" si="33"/>
        <v>0</v>
      </c>
      <c r="AF64" s="434">
        <f t="shared" si="34"/>
        <v>0</v>
      </c>
      <c r="AG64" s="465">
        <f t="shared" si="35"/>
        <v>0</v>
      </c>
      <c r="AH64" s="464">
        <f t="shared" si="36"/>
        <v>0</v>
      </c>
      <c r="AI64" s="434">
        <f t="shared" si="37"/>
        <v>0</v>
      </c>
      <c r="AJ64" s="434">
        <f t="shared" si="38"/>
        <v>0</v>
      </c>
      <c r="AK64" s="434">
        <f t="shared" si="39"/>
        <v>0</v>
      </c>
      <c r="AL64" s="465">
        <f t="shared" si="40"/>
        <v>0</v>
      </c>
      <c r="AM64" s="464">
        <f>'PTRM input'!I264</f>
        <v>0</v>
      </c>
      <c r="AN64" s="434">
        <f t="shared" si="41"/>
        <v>0</v>
      </c>
      <c r="AO64" s="434">
        <f t="shared" si="42"/>
        <v>0</v>
      </c>
      <c r="AP64" s="434">
        <f t="shared" si="43"/>
        <v>0</v>
      </c>
      <c r="AQ64" s="434">
        <f t="shared" si="44"/>
        <v>0</v>
      </c>
      <c r="AR64" s="465">
        <f t="shared" si="45"/>
        <v>0</v>
      </c>
      <c r="AS64" s="464">
        <f t="shared" si="46"/>
        <v>0</v>
      </c>
      <c r="AT64" s="434">
        <f t="shared" si="47"/>
        <v>0</v>
      </c>
      <c r="AU64" s="434">
        <f t="shared" si="48"/>
        <v>0</v>
      </c>
      <c r="AV64" s="434">
        <f t="shared" si="49"/>
        <v>0</v>
      </c>
      <c r="AW64" s="465">
        <f t="shared" si="50"/>
        <v>0</v>
      </c>
      <c r="AX64" s="464">
        <f>'PTRM input'!J264</f>
        <v>0</v>
      </c>
      <c r="AY64" s="434">
        <f t="shared" si="51"/>
        <v>0</v>
      </c>
      <c r="AZ64" s="434">
        <f t="shared" si="52"/>
        <v>0</v>
      </c>
      <c r="BA64" s="434">
        <f t="shared" si="53"/>
        <v>0</v>
      </c>
      <c r="BB64" s="434">
        <f t="shared" si="54"/>
        <v>0</v>
      </c>
      <c r="BC64" s="465">
        <f t="shared" si="55"/>
        <v>0</v>
      </c>
      <c r="BD64" s="464">
        <f t="shared" si="56"/>
        <v>0</v>
      </c>
      <c r="BE64" s="434">
        <f t="shared" si="57"/>
        <v>0</v>
      </c>
      <c r="BF64" s="434">
        <f t="shared" si="58"/>
        <v>0</v>
      </c>
      <c r="BG64" s="434">
        <f t="shared" si="59"/>
        <v>0</v>
      </c>
      <c r="BH64" s="465">
        <f t="shared" si="60"/>
        <v>0</v>
      </c>
      <c r="BI64" s="464">
        <f>'PTRM input'!K264</f>
        <v>0</v>
      </c>
      <c r="BJ64" s="434">
        <f t="shared" si="61"/>
        <v>0</v>
      </c>
      <c r="BK64" s="434">
        <f t="shared" si="62"/>
        <v>0</v>
      </c>
      <c r="BL64" s="434">
        <f t="shared" si="63"/>
        <v>0</v>
      </c>
      <c r="BM64" s="434">
        <f t="shared" si="64"/>
        <v>0</v>
      </c>
      <c r="BN64" s="465">
        <f t="shared" si="65"/>
        <v>0</v>
      </c>
      <c r="BO64" s="464">
        <f t="shared" si="66"/>
        <v>0</v>
      </c>
      <c r="BP64" s="434">
        <f t="shared" si="67"/>
        <v>0</v>
      </c>
      <c r="BQ64" s="434">
        <f t="shared" si="68"/>
        <v>0</v>
      </c>
      <c r="BR64" s="434">
        <f t="shared" si="69"/>
        <v>0</v>
      </c>
      <c r="BS64" s="465">
        <f t="shared" si="70"/>
        <v>0</v>
      </c>
      <c r="BT64" s="464">
        <f>'PTRM input'!L264</f>
        <v>0</v>
      </c>
      <c r="BU64" s="434">
        <f t="shared" si="71"/>
        <v>0</v>
      </c>
      <c r="BV64" s="434">
        <f t="shared" si="72"/>
        <v>0</v>
      </c>
      <c r="BW64" s="434">
        <f t="shared" si="73"/>
        <v>0</v>
      </c>
      <c r="BX64" s="434">
        <f t="shared" si="74"/>
        <v>0</v>
      </c>
      <c r="BY64" s="465">
        <f t="shared" si="75"/>
        <v>0</v>
      </c>
      <c r="BZ64" s="464">
        <f t="shared" si="76"/>
        <v>0</v>
      </c>
      <c r="CA64" s="434">
        <f t="shared" si="77"/>
        <v>0</v>
      </c>
      <c r="CB64" s="434">
        <f t="shared" si="78"/>
        <v>0</v>
      </c>
      <c r="CC64" s="434">
        <f t="shared" si="79"/>
        <v>0</v>
      </c>
      <c r="CD64" s="465">
        <f t="shared" si="80"/>
        <v>0</v>
      </c>
      <c r="CE64" s="464">
        <f>'PTRM input'!M264</f>
        <v>0</v>
      </c>
      <c r="CF64" s="434">
        <f t="shared" si="81"/>
        <v>0</v>
      </c>
      <c r="CG64" s="434">
        <f t="shared" si="82"/>
        <v>0</v>
      </c>
      <c r="CH64" s="434">
        <f t="shared" si="83"/>
        <v>0</v>
      </c>
      <c r="CI64" s="434">
        <f t="shared" si="84"/>
        <v>0</v>
      </c>
      <c r="CJ64" s="465">
        <f t="shared" si="85"/>
        <v>0</v>
      </c>
      <c r="CK64" s="464">
        <f t="shared" si="86"/>
        <v>0</v>
      </c>
      <c r="CL64" s="434">
        <f t="shared" si="87"/>
        <v>0</v>
      </c>
      <c r="CM64" s="434">
        <f t="shared" si="88"/>
        <v>0</v>
      </c>
      <c r="CN64" s="434">
        <f t="shared" si="89"/>
        <v>0</v>
      </c>
      <c r="CO64" s="465">
        <f t="shared" si="90"/>
        <v>0</v>
      </c>
      <c r="CP64" s="464">
        <f>'PTRM input'!N264</f>
        <v>0</v>
      </c>
      <c r="CQ64" s="434">
        <f t="shared" si="91"/>
        <v>0</v>
      </c>
      <c r="CR64" s="434">
        <f t="shared" si="92"/>
        <v>0</v>
      </c>
      <c r="CS64" s="434">
        <f t="shared" si="93"/>
        <v>0</v>
      </c>
      <c r="CT64" s="434">
        <f t="shared" si="94"/>
        <v>0</v>
      </c>
      <c r="CU64" s="465">
        <f t="shared" si="95"/>
        <v>0</v>
      </c>
      <c r="CV64" s="464">
        <f t="shared" si="96"/>
        <v>0</v>
      </c>
      <c r="CW64" s="434">
        <f t="shared" si="97"/>
        <v>0</v>
      </c>
      <c r="CX64" s="434">
        <f t="shared" si="98"/>
        <v>0</v>
      </c>
      <c r="CY64" s="434">
        <f t="shared" si="99"/>
        <v>0</v>
      </c>
      <c r="CZ64" s="465">
        <f t="shared" si="100"/>
        <v>0</v>
      </c>
      <c r="DA64" s="464">
        <f>'PTRM input'!O264</f>
        <v>0</v>
      </c>
      <c r="DB64" s="434">
        <f t="shared" si="101"/>
        <v>0</v>
      </c>
      <c r="DC64" s="434">
        <f t="shared" si="102"/>
        <v>0</v>
      </c>
      <c r="DD64" s="434">
        <f t="shared" si="103"/>
        <v>0</v>
      </c>
      <c r="DE64" s="434">
        <f t="shared" si="104"/>
        <v>0</v>
      </c>
      <c r="DF64" s="465">
        <f t="shared" si="105"/>
        <v>0</v>
      </c>
      <c r="DG64" s="464">
        <f t="shared" si="106"/>
        <v>0</v>
      </c>
      <c r="DH64" s="434">
        <f t="shared" si="107"/>
        <v>0</v>
      </c>
      <c r="DI64" s="434">
        <f t="shared" si="108"/>
        <v>0</v>
      </c>
      <c r="DJ64" s="434">
        <f t="shared" si="109"/>
        <v>0</v>
      </c>
      <c r="DK64" s="465">
        <f t="shared" si="110"/>
        <v>0</v>
      </c>
      <c r="DL64" s="48"/>
      <c r="DM64" s="286"/>
      <c r="DN64" s="286"/>
      <c r="DO64" s="286"/>
    </row>
    <row r="65" spans="1:119" s="4" customFormat="1">
      <c r="A65" s="30"/>
      <c r="B65" s="30"/>
      <c r="C65" s="30"/>
      <c r="D65" s="30"/>
      <c r="E65" s="445">
        <f t="shared" si="11"/>
        <v>0</v>
      </c>
      <c r="F65" s="1505">
        <f>'PTRM input'!F265</f>
        <v>0</v>
      </c>
      <c r="G65" s="434">
        <f t="shared" si="111"/>
        <v>0</v>
      </c>
      <c r="H65" s="434">
        <f t="shared" si="12"/>
        <v>0</v>
      </c>
      <c r="I65" s="434">
        <f t="shared" si="13"/>
        <v>0</v>
      </c>
      <c r="J65" s="434">
        <f t="shared" si="14"/>
        <v>0</v>
      </c>
      <c r="K65" s="465">
        <f t="shared" si="15"/>
        <v>0</v>
      </c>
      <c r="L65" s="464">
        <f t="shared" si="16"/>
        <v>0</v>
      </c>
      <c r="M65" s="434">
        <f t="shared" si="17"/>
        <v>0</v>
      </c>
      <c r="N65" s="434">
        <f t="shared" si="18"/>
        <v>0</v>
      </c>
      <c r="O65" s="434">
        <f t="shared" si="19"/>
        <v>0</v>
      </c>
      <c r="P65" s="465">
        <f t="shared" si="20"/>
        <v>0</v>
      </c>
      <c r="Q65" s="464">
        <f>'PTRM input'!G265</f>
        <v>0</v>
      </c>
      <c r="R65" s="434">
        <f t="shared" si="21"/>
        <v>0</v>
      </c>
      <c r="S65" s="434">
        <f t="shared" si="22"/>
        <v>0</v>
      </c>
      <c r="T65" s="434">
        <f t="shared" si="23"/>
        <v>0</v>
      </c>
      <c r="U65" s="434">
        <f t="shared" si="24"/>
        <v>0</v>
      </c>
      <c r="V65" s="465">
        <f t="shared" si="25"/>
        <v>0</v>
      </c>
      <c r="W65" s="464">
        <f t="shared" si="26"/>
        <v>0</v>
      </c>
      <c r="X65" s="434">
        <f t="shared" si="27"/>
        <v>0</v>
      </c>
      <c r="Y65" s="434">
        <f t="shared" si="28"/>
        <v>0</v>
      </c>
      <c r="Z65" s="434">
        <f t="shared" si="29"/>
        <v>0</v>
      </c>
      <c r="AA65" s="465">
        <f t="shared" si="30"/>
        <v>0</v>
      </c>
      <c r="AB65" s="464">
        <f>'PTRM input'!H265</f>
        <v>0</v>
      </c>
      <c r="AC65" s="434">
        <f t="shared" si="31"/>
        <v>0</v>
      </c>
      <c r="AD65" s="434">
        <f t="shared" si="32"/>
        <v>0</v>
      </c>
      <c r="AE65" s="434">
        <f t="shared" si="33"/>
        <v>0</v>
      </c>
      <c r="AF65" s="434">
        <f t="shared" si="34"/>
        <v>0</v>
      </c>
      <c r="AG65" s="465">
        <f t="shared" si="35"/>
        <v>0</v>
      </c>
      <c r="AH65" s="464">
        <f t="shared" si="36"/>
        <v>0</v>
      </c>
      <c r="AI65" s="434">
        <f t="shared" si="37"/>
        <v>0</v>
      </c>
      <c r="AJ65" s="434">
        <f t="shared" si="38"/>
        <v>0</v>
      </c>
      <c r="AK65" s="434">
        <f t="shared" si="39"/>
        <v>0</v>
      </c>
      <c r="AL65" s="465">
        <f t="shared" si="40"/>
        <v>0</v>
      </c>
      <c r="AM65" s="464">
        <f>'PTRM input'!I265</f>
        <v>0</v>
      </c>
      <c r="AN65" s="434">
        <f t="shared" si="41"/>
        <v>0</v>
      </c>
      <c r="AO65" s="434">
        <f t="shared" si="42"/>
        <v>0</v>
      </c>
      <c r="AP65" s="434">
        <f t="shared" si="43"/>
        <v>0</v>
      </c>
      <c r="AQ65" s="434">
        <f t="shared" si="44"/>
        <v>0</v>
      </c>
      <c r="AR65" s="465">
        <f t="shared" si="45"/>
        <v>0</v>
      </c>
      <c r="AS65" s="464">
        <f t="shared" si="46"/>
        <v>0</v>
      </c>
      <c r="AT65" s="434">
        <f t="shared" si="47"/>
        <v>0</v>
      </c>
      <c r="AU65" s="434">
        <f t="shared" si="48"/>
        <v>0</v>
      </c>
      <c r="AV65" s="434">
        <f t="shared" si="49"/>
        <v>0</v>
      </c>
      <c r="AW65" s="465">
        <f t="shared" si="50"/>
        <v>0</v>
      </c>
      <c r="AX65" s="464">
        <f>'PTRM input'!J265</f>
        <v>0</v>
      </c>
      <c r="AY65" s="434">
        <f t="shared" si="51"/>
        <v>0</v>
      </c>
      <c r="AZ65" s="434">
        <f t="shared" si="52"/>
        <v>0</v>
      </c>
      <c r="BA65" s="434">
        <f t="shared" si="53"/>
        <v>0</v>
      </c>
      <c r="BB65" s="434">
        <f t="shared" si="54"/>
        <v>0</v>
      </c>
      <c r="BC65" s="465">
        <f t="shared" si="55"/>
        <v>0</v>
      </c>
      <c r="BD65" s="464">
        <f t="shared" si="56"/>
        <v>0</v>
      </c>
      <c r="BE65" s="434">
        <f t="shared" si="57"/>
        <v>0</v>
      </c>
      <c r="BF65" s="434">
        <f t="shared" si="58"/>
        <v>0</v>
      </c>
      <c r="BG65" s="434">
        <f t="shared" si="59"/>
        <v>0</v>
      </c>
      <c r="BH65" s="465">
        <f t="shared" si="60"/>
        <v>0</v>
      </c>
      <c r="BI65" s="464">
        <f>'PTRM input'!K265</f>
        <v>0</v>
      </c>
      <c r="BJ65" s="434">
        <f t="shared" si="61"/>
        <v>0</v>
      </c>
      <c r="BK65" s="434">
        <f t="shared" si="62"/>
        <v>0</v>
      </c>
      <c r="BL65" s="434">
        <f t="shared" si="63"/>
        <v>0</v>
      </c>
      <c r="BM65" s="434">
        <f t="shared" si="64"/>
        <v>0</v>
      </c>
      <c r="BN65" s="465">
        <f t="shared" si="65"/>
        <v>0</v>
      </c>
      <c r="BO65" s="464">
        <f t="shared" si="66"/>
        <v>0</v>
      </c>
      <c r="BP65" s="434">
        <f t="shared" si="67"/>
        <v>0</v>
      </c>
      <c r="BQ65" s="434">
        <f t="shared" si="68"/>
        <v>0</v>
      </c>
      <c r="BR65" s="434">
        <f t="shared" si="69"/>
        <v>0</v>
      </c>
      <c r="BS65" s="465">
        <f t="shared" si="70"/>
        <v>0</v>
      </c>
      <c r="BT65" s="464">
        <f>'PTRM input'!L265</f>
        <v>0</v>
      </c>
      <c r="BU65" s="434">
        <f t="shared" si="71"/>
        <v>0</v>
      </c>
      <c r="BV65" s="434">
        <f t="shared" si="72"/>
        <v>0</v>
      </c>
      <c r="BW65" s="434">
        <f t="shared" si="73"/>
        <v>0</v>
      </c>
      <c r="BX65" s="434">
        <f t="shared" si="74"/>
        <v>0</v>
      </c>
      <c r="BY65" s="465">
        <f t="shared" si="75"/>
        <v>0</v>
      </c>
      <c r="BZ65" s="464">
        <f t="shared" si="76"/>
        <v>0</v>
      </c>
      <c r="CA65" s="434">
        <f t="shared" si="77"/>
        <v>0</v>
      </c>
      <c r="CB65" s="434">
        <f t="shared" si="78"/>
        <v>0</v>
      </c>
      <c r="CC65" s="434">
        <f t="shared" si="79"/>
        <v>0</v>
      </c>
      <c r="CD65" s="465">
        <f t="shared" si="80"/>
        <v>0</v>
      </c>
      <c r="CE65" s="464">
        <f>'PTRM input'!M265</f>
        <v>0</v>
      </c>
      <c r="CF65" s="434">
        <f t="shared" si="81"/>
        <v>0</v>
      </c>
      <c r="CG65" s="434">
        <f t="shared" si="82"/>
        <v>0</v>
      </c>
      <c r="CH65" s="434">
        <f t="shared" si="83"/>
        <v>0</v>
      </c>
      <c r="CI65" s="434">
        <f t="shared" si="84"/>
        <v>0</v>
      </c>
      <c r="CJ65" s="465">
        <f t="shared" si="85"/>
        <v>0</v>
      </c>
      <c r="CK65" s="464">
        <f t="shared" si="86"/>
        <v>0</v>
      </c>
      <c r="CL65" s="434">
        <f t="shared" si="87"/>
        <v>0</v>
      </c>
      <c r="CM65" s="434">
        <f t="shared" si="88"/>
        <v>0</v>
      </c>
      <c r="CN65" s="434">
        <f t="shared" si="89"/>
        <v>0</v>
      </c>
      <c r="CO65" s="465">
        <f t="shared" si="90"/>
        <v>0</v>
      </c>
      <c r="CP65" s="464">
        <f>'PTRM input'!N265</f>
        <v>0</v>
      </c>
      <c r="CQ65" s="434">
        <f t="shared" si="91"/>
        <v>0</v>
      </c>
      <c r="CR65" s="434">
        <f t="shared" si="92"/>
        <v>0</v>
      </c>
      <c r="CS65" s="434">
        <f t="shared" si="93"/>
        <v>0</v>
      </c>
      <c r="CT65" s="434">
        <f t="shared" si="94"/>
        <v>0</v>
      </c>
      <c r="CU65" s="465">
        <f t="shared" si="95"/>
        <v>0</v>
      </c>
      <c r="CV65" s="464">
        <f t="shared" si="96"/>
        <v>0</v>
      </c>
      <c r="CW65" s="434">
        <f t="shared" si="97"/>
        <v>0</v>
      </c>
      <c r="CX65" s="434">
        <f t="shared" si="98"/>
        <v>0</v>
      </c>
      <c r="CY65" s="434">
        <f t="shared" si="99"/>
        <v>0</v>
      </c>
      <c r="CZ65" s="465">
        <f t="shared" si="100"/>
        <v>0</v>
      </c>
      <c r="DA65" s="464">
        <f>'PTRM input'!O265</f>
        <v>0</v>
      </c>
      <c r="DB65" s="434">
        <f t="shared" si="101"/>
        <v>0</v>
      </c>
      <c r="DC65" s="434">
        <f t="shared" si="102"/>
        <v>0</v>
      </c>
      <c r="DD65" s="434">
        <f t="shared" si="103"/>
        <v>0</v>
      </c>
      <c r="DE65" s="434">
        <f t="shared" si="104"/>
        <v>0</v>
      </c>
      <c r="DF65" s="465">
        <f t="shared" si="105"/>
        <v>0</v>
      </c>
      <c r="DG65" s="464">
        <f t="shared" si="106"/>
        <v>0</v>
      </c>
      <c r="DH65" s="434">
        <f t="shared" si="107"/>
        <v>0</v>
      </c>
      <c r="DI65" s="434">
        <f t="shared" si="108"/>
        <v>0</v>
      </c>
      <c r="DJ65" s="434">
        <f t="shared" si="109"/>
        <v>0</v>
      </c>
      <c r="DK65" s="465">
        <f t="shared" si="110"/>
        <v>0</v>
      </c>
      <c r="DL65" s="48"/>
      <c r="DM65" s="286"/>
      <c r="DN65" s="286"/>
      <c r="DO65" s="286"/>
    </row>
    <row r="66" spans="1:119" s="4" customFormat="1">
      <c r="A66" s="30"/>
      <c r="B66" s="30"/>
      <c r="C66" s="30"/>
      <c r="D66" s="30"/>
      <c r="E66" s="445">
        <f t="shared" si="11"/>
        <v>0</v>
      </c>
      <c r="F66" s="1505">
        <f>'PTRM input'!F266</f>
        <v>0</v>
      </c>
      <c r="G66" s="434">
        <f t="shared" si="111"/>
        <v>0</v>
      </c>
      <c r="H66" s="434">
        <f t="shared" si="12"/>
        <v>0</v>
      </c>
      <c r="I66" s="434">
        <f t="shared" si="13"/>
        <v>0</v>
      </c>
      <c r="J66" s="434">
        <f t="shared" si="14"/>
        <v>0</v>
      </c>
      <c r="K66" s="465">
        <f t="shared" si="15"/>
        <v>0</v>
      </c>
      <c r="L66" s="464">
        <f t="shared" si="16"/>
        <v>0</v>
      </c>
      <c r="M66" s="434">
        <f t="shared" si="17"/>
        <v>0</v>
      </c>
      <c r="N66" s="434">
        <f t="shared" si="18"/>
        <v>0</v>
      </c>
      <c r="O66" s="434">
        <f t="shared" si="19"/>
        <v>0</v>
      </c>
      <c r="P66" s="465">
        <f t="shared" si="20"/>
        <v>0</v>
      </c>
      <c r="Q66" s="464">
        <f>'PTRM input'!G266</f>
        <v>0</v>
      </c>
      <c r="R66" s="434">
        <f t="shared" si="21"/>
        <v>0</v>
      </c>
      <c r="S66" s="434">
        <f t="shared" si="22"/>
        <v>0</v>
      </c>
      <c r="T66" s="434">
        <f t="shared" si="23"/>
        <v>0</v>
      </c>
      <c r="U66" s="434">
        <f t="shared" si="24"/>
        <v>0</v>
      </c>
      <c r="V66" s="465">
        <f t="shared" si="25"/>
        <v>0</v>
      </c>
      <c r="W66" s="464">
        <f t="shared" si="26"/>
        <v>0</v>
      </c>
      <c r="X66" s="434">
        <f t="shared" si="27"/>
        <v>0</v>
      </c>
      <c r="Y66" s="434">
        <f t="shared" si="28"/>
        <v>0</v>
      </c>
      <c r="Z66" s="434">
        <f t="shared" si="29"/>
        <v>0</v>
      </c>
      <c r="AA66" s="465">
        <f t="shared" si="30"/>
        <v>0</v>
      </c>
      <c r="AB66" s="464">
        <f>'PTRM input'!H266</f>
        <v>0</v>
      </c>
      <c r="AC66" s="434">
        <f t="shared" si="31"/>
        <v>0</v>
      </c>
      <c r="AD66" s="434">
        <f t="shared" si="32"/>
        <v>0</v>
      </c>
      <c r="AE66" s="434">
        <f t="shared" si="33"/>
        <v>0</v>
      </c>
      <c r="AF66" s="434">
        <f t="shared" si="34"/>
        <v>0</v>
      </c>
      <c r="AG66" s="465">
        <f t="shared" si="35"/>
        <v>0</v>
      </c>
      <c r="AH66" s="464">
        <f t="shared" si="36"/>
        <v>0</v>
      </c>
      <c r="AI66" s="434">
        <f t="shared" si="37"/>
        <v>0</v>
      </c>
      <c r="AJ66" s="434">
        <f t="shared" si="38"/>
        <v>0</v>
      </c>
      <c r="AK66" s="434">
        <f t="shared" si="39"/>
        <v>0</v>
      </c>
      <c r="AL66" s="465">
        <f t="shared" si="40"/>
        <v>0</v>
      </c>
      <c r="AM66" s="464">
        <f>'PTRM input'!I266</f>
        <v>0</v>
      </c>
      <c r="AN66" s="434">
        <f t="shared" si="41"/>
        <v>0</v>
      </c>
      <c r="AO66" s="434">
        <f t="shared" si="42"/>
        <v>0</v>
      </c>
      <c r="AP66" s="434">
        <f t="shared" si="43"/>
        <v>0</v>
      </c>
      <c r="AQ66" s="434">
        <f t="shared" si="44"/>
        <v>0</v>
      </c>
      <c r="AR66" s="465">
        <f t="shared" si="45"/>
        <v>0</v>
      </c>
      <c r="AS66" s="464">
        <f t="shared" si="46"/>
        <v>0</v>
      </c>
      <c r="AT66" s="434">
        <f t="shared" si="47"/>
        <v>0</v>
      </c>
      <c r="AU66" s="434">
        <f t="shared" si="48"/>
        <v>0</v>
      </c>
      <c r="AV66" s="434">
        <f t="shared" si="49"/>
        <v>0</v>
      </c>
      <c r="AW66" s="465">
        <f t="shared" si="50"/>
        <v>0</v>
      </c>
      <c r="AX66" s="464">
        <f>'PTRM input'!J266</f>
        <v>0</v>
      </c>
      <c r="AY66" s="434">
        <f t="shared" si="51"/>
        <v>0</v>
      </c>
      <c r="AZ66" s="434">
        <f t="shared" si="52"/>
        <v>0</v>
      </c>
      <c r="BA66" s="434">
        <f t="shared" si="53"/>
        <v>0</v>
      </c>
      <c r="BB66" s="434">
        <f t="shared" si="54"/>
        <v>0</v>
      </c>
      <c r="BC66" s="465">
        <f t="shared" si="55"/>
        <v>0</v>
      </c>
      <c r="BD66" s="464">
        <f t="shared" si="56"/>
        <v>0</v>
      </c>
      <c r="BE66" s="434">
        <f t="shared" si="57"/>
        <v>0</v>
      </c>
      <c r="BF66" s="434">
        <f t="shared" si="58"/>
        <v>0</v>
      </c>
      <c r="BG66" s="434">
        <f t="shared" si="59"/>
        <v>0</v>
      </c>
      <c r="BH66" s="465">
        <f t="shared" si="60"/>
        <v>0</v>
      </c>
      <c r="BI66" s="464">
        <f>'PTRM input'!K266</f>
        <v>0</v>
      </c>
      <c r="BJ66" s="434">
        <f t="shared" si="61"/>
        <v>0</v>
      </c>
      <c r="BK66" s="434">
        <f t="shared" si="62"/>
        <v>0</v>
      </c>
      <c r="BL66" s="434">
        <f t="shared" si="63"/>
        <v>0</v>
      </c>
      <c r="BM66" s="434">
        <f t="shared" si="64"/>
        <v>0</v>
      </c>
      <c r="BN66" s="465">
        <f t="shared" si="65"/>
        <v>0</v>
      </c>
      <c r="BO66" s="464">
        <f t="shared" si="66"/>
        <v>0</v>
      </c>
      <c r="BP66" s="434">
        <f t="shared" si="67"/>
        <v>0</v>
      </c>
      <c r="BQ66" s="434">
        <f t="shared" si="68"/>
        <v>0</v>
      </c>
      <c r="BR66" s="434">
        <f t="shared" si="69"/>
        <v>0</v>
      </c>
      <c r="BS66" s="465">
        <f t="shared" si="70"/>
        <v>0</v>
      </c>
      <c r="BT66" s="464">
        <f>'PTRM input'!L266</f>
        <v>0</v>
      </c>
      <c r="BU66" s="434">
        <f t="shared" si="71"/>
        <v>0</v>
      </c>
      <c r="BV66" s="434">
        <f t="shared" si="72"/>
        <v>0</v>
      </c>
      <c r="BW66" s="434">
        <f t="shared" si="73"/>
        <v>0</v>
      </c>
      <c r="BX66" s="434">
        <f t="shared" si="74"/>
        <v>0</v>
      </c>
      <c r="BY66" s="465">
        <f t="shared" si="75"/>
        <v>0</v>
      </c>
      <c r="BZ66" s="464">
        <f t="shared" si="76"/>
        <v>0</v>
      </c>
      <c r="CA66" s="434">
        <f t="shared" si="77"/>
        <v>0</v>
      </c>
      <c r="CB66" s="434">
        <f t="shared" si="78"/>
        <v>0</v>
      </c>
      <c r="CC66" s="434">
        <f t="shared" si="79"/>
        <v>0</v>
      </c>
      <c r="CD66" s="465">
        <f t="shared" si="80"/>
        <v>0</v>
      </c>
      <c r="CE66" s="464">
        <f>'PTRM input'!M266</f>
        <v>0</v>
      </c>
      <c r="CF66" s="434">
        <f t="shared" si="81"/>
        <v>0</v>
      </c>
      <c r="CG66" s="434">
        <f t="shared" si="82"/>
        <v>0</v>
      </c>
      <c r="CH66" s="434">
        <f t="shared" si="83"/>
        <v>0</v>
      </c>
      <c r="CI66" s="434">
        <f t="shared" si="84"/>
        <v>0</v>
      </c>
      <c r="CJ66" s="465">
        <f t="shared" si="85"/>
        <v>0</v>
      </c>
      <c r="CK66" s="464">
        <f t="shared" si="86"/>
        <v>0</v>
      </c>
      <c r="CL66" s="434">
        <f t="shared" si="87"/>
        <v>0</v>
      </c>
      <c r="CM66" s="434">
        <f t="shared" si="88"/>
        <v>0</v>
      </c>
      <c r="CN66" s="434">
        <f t="shared" si="89"/>
        <v>0</v>
      </c>
      <c r="CO66" s="465">
        <f t="shared" si="90"/>
        <v>0</v>
      </c>
      <c r="CP66" s="464">
        <f>'PTRM input'!N266</f>
        <v>0</v>
      </c>
      <c r="CQ66" s="434">
        <f t="shared" si="91"/>
        <v>0</v>
      </c>
      <c r="CR66" s="434">
        <f t="shared" si="92"/>
        <v>0</v>
      </c>
      <c r="CS66" s="434">
        <f t="shared" si="93"/>
        <v>0</v>
      </c>
      <c r="CT66" s="434">
        <f t="shared" si="94"/>
        <v>0</v>
      </c>
      <c r="CU66" s="465">
        <f t="shared" si="95"/>
        <v>0</v>
      </c>
      <c r="CV66" s="464">
        <f t="shared" si="96"/>
        <v>0</v>
      </c>
      <c r="CW66" s="434">
        <f t="shared" si="97"/>
        <v>0</v>
      </c>
      <c r="CX66" s="434">
        <f t="shared" si="98"/>
        <v>0</v>
      </c>
      <c r="CY66" s="434">
        <f t="shared" si="99"/>
        <v>0</v>
      </c>
      <c r="CZ66" s="465">
        <f t="shared" si="100"/>
        <v>0</v>
      </c>
      <c r="DA66" s="464">
        <f>'PTRM input'!O266</f>
        <v>0</v>
      </c>
      <c r="DB66" s="434">
        <f t="shared" si="101"/>
        <v>0</v>
      </c>
      <c r="DC66" s="434">
        <f t="shared" si="102"/>
        <v>0</v>
      </c>
      <c r="DD66" s="434">
        <f t="shared" si="103"/>
        <v>0</v>
      </c>
      <c r="DE66" s="434">
        <f t="shared" si="104"/>
        <v>0</v>
      </c>
      <c r="DF66" s="465">
        <f t="shared" si="105"/>
        <v>0</v>
      </c>
      <c r="DG66" s="464">
        <f t="shared" si="106"/>
        <v>0</v>
      </c>
      <c r="DH66" s="434">
        <f t="shared" si="107"/>
        <v>0</v>
      </c>
      <c r="DI66" s="434">
        <f t="shared" si="108"/>
        <v>0</v>
      </c>
      <c r="DJ66" s="434">
        <f t="shared" si="109"/>
        <v>0</v>
      </c>
      <c r="DK66" s="465">
        <f t="shared" si="110"/>
        <v>0</v>
      </c>
      <c r="DL66" s="48"/>
      <c r="DM66" s="286"/>
      <c r="DN66" s="286"/>
      <c r="DO66" s="286"/>
    </row>
    <row r="67" spans="1:119" s="4" customFormat="1">
      <c r="A67" s="30"/>
      <c r="B67" s="30"/>
      <c r="C67" s="30"/>
      <c r="D67" s="30"/>
      <c r="E67" s="445">
        <f t="shared" si="11"/>
        <v>0</v>
      </c>
      <c r="F67" s="1505">
        <f>'PTRM input'!F267</f>
        <v>0</v>
      </c>
      <c r="G67" s="434">
        <f t="shared" si="111"/>
        <v>0</v>
      </c>
      <c r="H67" s="434">
        <f t="shared" si="12"/>
        <v>0</v>
      </c>
      <c r="I67" s="434">
        <f t="shared" si="13"/>
        <v>0</v>
      </c>
      <c r="J67" s="434">
        <f t="shared" si="14"/>
        <v>0</v>
      </c>
      <c r="K67" s="465">
        <f t="shared" si="15"/>
        <v>0</v>
      </c>
      <c r="L67" s="464">
        <f t="shared" si="16"/>
        <v>0</v>
      </c>
      <c r="M67" s="434">
        <f t="shared" si="17"/>
        <v>0</v>
      </c>
      <c r="N67" s="434">
        <f t="shared" si="18"/>
        <v>0</v>
      </c>
      <c r="O67" s="434">
        <f t="shared" si="19"/>
        <v>0</v>
      </c>
      <c r="P67" s="465">
        <f t="shared" si="20"/>
        <v>0</v>
      </c>
      <c r="Q67" s="464">
        <f>'PTRM input'!G267</f>
        <v>0</v>
      </c>
      <c r="R67" s="434">
        <f t="shared" si="21"/>
        <v>0</v>
      </c>
      <c r="S67" s="434">
        <f t="shared" si="22"/>
        <v>0</v>
      </c>
      <c r="T67" s="434">
        <f t="shared" si="23"/>
        <v>0</v>
      </c>
      <c r="U67" s="434">
        <f t="shared" si="24"/>
        <v>0</v>
      </c>
      <c r="V67" s="465">
        <f t="shared" si="25"/>
        <v>0</v>
      </c>
      <c r="W67" s="464">
        <f t="shared" si="26"/>
        <v>0</v>
      </c>
      <c r="X67" s="434">
        <f t="shared" si="27"/>
        <v>0</v>
      </c>
      <c r="Y67" s="434">
        <f t="shared" si="28"/>
        <v>0</v>
      </c>
      <c r="Z67" s="434">
        <f t="shared" si="29"/>
        <v>0</v>
      </c>
      <c r="AA67" s="465">
        <f t="shared" si="30"/>
        <v>0</v>
      </c>
      <c r="AB67" s="464">
        <f>'PTRM input'!H267</f>
        <v>0</v>
      </c>
      <c r="AC67" s="434">
        <f t="shared" si="31"/>
        <v>0</v>
      </c>
      <c r="AD67" s="434">
        <f t="shared" si="32"/>
        <v>0</v>
      </c>
      <c r="AE67" s="434">
        <f t="shared" si="33"/>
        <v>0</v>
      </c>
      <c r="AF67" s="434">
        <f t="shared" si="34"/>
        <v>0</v>
      </c>
      <c r="AG67" s="465">
        <f t="shared" si="35"/>
        <v>0</v>
      </c>
      <c r="AH67" s="464">
        <f t="shared" si="36"/>
        <v>0</v>
      </c>
      <c r="AI67" s="434">
        <f t="shared" si="37"/>
        <v>0</v>
      </c>
      <c r="AJ67" s="434">
        <f t="shared" si="38"/>
        <v>0</v>
      </c>
      <c r="AK67" s="434">
        <f t="shared" si="39"/>
        <v>0</v>
      </c>
      <c r="AL67" s="465">
        <f t="shared" si="40"/>
        <v>0</v>
      </c>
      <c r="AM67" s="464">
        <f>'PTRM input'!I267</f>
        <v>0</v>
      </c>
      <c r="AN67" s="434">
        <f t="shared" si="41"/>
        <v>0</v>
      </c>
      <c r="AO67" s="434">
        <f t="shared" si="42"/>
        <v>0</v>
      </c>
      <c r="AP67" s="434">
        <f t="shared" si="43"/>
        <v>0</v>
      </c>
      <c r="AQ67" s="434">
        <f t="shared" si="44"/>
        <v>0</v>
      </c>
      <c r="AR67" s="465">
        <f t="shared" si="45"/>
        <v>0</v>
      </c>
      <c r="AS67" s="464">
        <f t="shared" si="46"/>
        <v>0</v>
      </c>
      <c r="AT67" s="434">
        <f t="shared" si="47"/>
        <v>0</v>
      </c>
      <c r="AU67" s="434">
        <f t="shared" si="48"/>
        <v>0</v>
      </c>
      <c r="AV67" s="434">
        <f t="shared" si="49"/>
        <v>0</v>
      </c>
      <c r="AW67" s="465">
        <f t="shared" si="50"/>
        <v>0</v>
      </c>
      <c r="AX67" s="464">
        <f>'PTRM input'!J267</f>
        <v>0</v>
      </c>
      <c r="AY67" s="434">
        <f t="shared" si="51"/>
        <v>0</v>
      </c>
      <c r="AZ67" s="434">
        <f t="shared" si="52"/>
        <v>0</v>
      </c>
      <c r="BA67" s="434">
        <f t="shared" si="53"/>
        <v>0</v>
      </c>
      <c r="BB67" s="434">
        <f t="shared" si="54"/>
        <v>0</v>
      </c>
      <c r="BC67" s="465">
        <f t="shared" si="55"/>
        <v>0</v>
      </c>
      <c r="BD67" s="464">
        <f t="shared" si="56"/>
        <v>0</v>
      </c>
      <c r="BE67" s="434">
        <f t="shared" si="57"/>
        <v>0</v>
      </c>
      <c r="BF67" s="434">
        <f t="shared" si="58"/>
        <v>0</v>
      </c>
      <c r="BG67" s="434">
        <f t="shared" si="59"/>
        <v>0</v>
      </c>
      <c r="BH67" s="465">
        <f t="shared" si="60"/>
        <v>0</v>
      </c>
      <c r="BI67" s="464">
        <f>'PTRM input'!K267</f>
        <v>0</v>
      </c>
      <c r="BJ67" s="434">
        <f t="shared" si="61"/>
        <v>0</v>
      </c>
      <c r="BK67" s="434">
        <f t="shared" si="62"/>
        <v>0</v>
      </c>
      <c r="BL67" s="434">
        <f t="shared" si="63"/>
        <v>0</v>
      </c>
      <c r="BM67" s="434">
        <f t="shared" si="64"/>
        <v>0</v>
      </c>
      <c r="BN67" s="465">
        <f t="shared" si="65"/>
        <v>0</v>
      </c>
      <c r="BO67" s="464">
        <f t="shared" si="66"/>
        <v>0</v>
      </c>
      <c r="BP67" s="434">
        <f t="shared" si="67"/>
        <v>0</v>
      </c>
      <c r="BQ67" s="434">
        <f t="shared" si="68"/>
        <v>0</v>
      </c>
      <c r="BR67" s="434">
        <f t="shared" si="69"/>
        <v>0</v>
      </c>
      <c r="BS67" s="465">
        <f t="shared" si="70"/>
        <v>0</v>
      </c>
      <c r="BT67" s="464">
        <f>'PTRM input'!L267</f>
        <v>0</v>
      </c>
      <c r="BU67" s="434">
        <f t="shared" si="71"/>
        <v>0</v>
      </c>
      <c r="BV67" s="434">
        <f t="shared" si="72"/>
        <v>0</v>
      </c>
      <c r="BW67" s="434">
        <f t="shared" si="73"/>
        <v>0</v>
      </c>
      <c r="BX67" s="434">
        <f t="shared" si="74"/>
        <v>0</v>
      </c>
      <c r="BY67" s="465">
        <f t="shared" si="75"/>
        <v>0</v>
      </c>
      <c r="BZ67" s="464">
        <f t="shared" si="76"/>
        <v>0</v>
      </c>
      <c r="CA67" s="434">
        <f t="shared" si="77"/>
        <v>0</v>
      </c>
      <c r="CB67" s="434">
        <f t="shared" si="78"/>
        <v>0</v>
      </c>
      <c r="CC67" s="434">
        <f t="shared" si="79"/>
        <v>0</v>
      </c>
      <c r="CD67" s="465">
        <f t="shared" si="80"/>
        <v>0</v>
      </c>
      <c r="CE67" s="464">
        <f>'PTRM input'!M267</f>
        <v>0</v>
      </c>
      <c r="CF67" s="434">
        <f t="shared" si="81"/>
        <v>0</v>
      </c>
      <c r="CG67" s="434">
        <f t="shared" si="82"/>
        <v>0</v>
      </c>
      <c r="CH67" s="434">
        <f t="shared" si="83"/>
        <v>0</v>
      </c>
      <c r="CI67" s="434">
        <f t="shared" si="84"/>
        <v>0</v>
      </c>
      <c r="CJ67" s="465">
        <f t="shared" si="85"/>
        <v>0</v>
      </c>
      <c r="CK67" s="464">
        <f t="shared" si="86"/>
        <v>0</v>
      </c>
      <c r="CL67" s="434">
        <f t="shared" si="87"/>
        <v>0</v>
      </c>
      <c r="CM67" s="434">
        <f t="shared" si="88"/>
        <v>0</v>
      </c>
      <c r="CN67" s="434">
        <f t="shared" si="89"/>
        <v>0</v>
      </c>
      <c r="CO67" s="465">
        <f t="shared" si="90"/>
        <v>0</v>
      </c>
      <c r="CP67" s="464">
        <f>'PTRM input'!N267</f>
        <v>0</v>
      </c>
      <c r="CQ67" s="434">
        <f t="shared" si="91"/>
        <v>0</v>
      </c>
      <c r="CR67" s="434">
        <f t="shared" si="92"/>
        <v>0</v>
      </c>
      <c r="CS67" s="434">
        <f t="shared" si="93"/>
        <v>0</v>
      </c>
      <c r="CT67" s="434">
        <f t="shared" si="94"/>
        <v>0</v>
      </c>
      <c r="CU67" s="465">
        <f t="shared" si="95"/>
        <v>0</v>
      </c>
      <c r="CV67" s="464">
        <f t="shared" si="96"/>
        <v>0</v>
      </c>
      <c r="CW67" s="434">
        <f t="shared" si="97"/>
        <v>0</v>
      </c>
      <c r="CX67" s="434">
        <f t="shared" si="98"/>
        <v>0</v>
      </c>
      <c r="CY67" s="434">
        <f t="shared" si="99"/>
        <v>0</v>
      </c>
      <c r="CZ67" s="465">
        <f t="shared" si="100"/>
        <v>0</v>
      </c>
      <c r="DA67" s="464">
        <f>'PTRM input'!O267</f>
        <v>0</v>
      </c>
      <c r="DB67" s="434">
        <f t="shared" si="101"/>
        <v>0</v>
      </c>
      <c r="DC67" s="434">
        <f t="shared" si="102"/>
        <v>0</v>
      </c>
      <c r="DD67" s="434">
        <f t="shared" si="103"/>
        <v>0</v>
      </c>
      <c r="DE67" s="434">
        <f t="shared" si="104"/>
        <v>0</v>
      </c>
      <c r="DF67" s="465">
        <f t="shared" si="105"/>
        <v>0</v>
      </c>
      <c r="DG67" s="464">
        <f t="shared" si="106"/>
        <v>0</v>
      </c>
      <c r="DH67" s="434">
        <f t="shared" si="107"/>
        <v>0</v>
      </c>
      <c r="DI67" s="434">
        <f t="shared" si="108"/>
        <v>0</v>
      </c>
      <c r="DJ67" s="434">
        <f t="shared" si="109"/>
        <v>0</v>
      </c>
      <c r="DK67" s="465">
        <f t="shared" si="110"/>
        <v>0</v>
      </c>
      <c r="DL67" s="48"/>
      <c r="DM67" s="286"/>
      <c r="DN67" s="286"/>
      <c r="DO67" s="286"/>
    </row>
    <row r="68" spans="1:119" s="4" customFormat="1">
      <c r="A68" s="30"/>
      <c r="B68" s="30"/>
      <c r="C68" s="30"/>
      <c r="D68" s="30"/>
      <c r="E68" s="445">
        <f t="shared" si="11"/>
        <v>0</v>
      </c>
      <c r="F68" s="1505">
        <f>'PTRM input'!F268</f>
        <v>0</v>
      </c>
      <c r="G68" s="434">
        <f t="shared" si="111"/>
        <v>0</v>
      </c>
      <c r="H68" s="434">
        <f t="shared" si="12"/>
        <v>0</v>
      </c>
      <c r="I68" s="434">
        <f t="shared" si="13"/>
        <v>0</v>
      </c>
      <c r="J68" s="434">
        <f t="shared" si="14"/>
        <v>0</v>
      </c>
      <c r="K68" s="465">
        <f t="shared" si="15"/>
        <v>0</v>
      </c>
      <c r="L68" s="464">
        <f t="shared" si="16"/>
        <v>0</v>
      </c>
      <c r="M68" s="434">
        <f t="shared" si="17"/>
        <v>0</v>
      </c>
      <c r="N68" s="434">
        <f t="shared" si="18"/>
        <v>0</v>
      </c>
      <c r="O68" s="434">
        <f t="shared" si="19"/>
        <v>0</v>
      </c>
      <c r="P68" s="465">
        <f t="shared" si="20"/>
        <v>0</v>
      </c>
      <c r="Q68" s="464">
        <f>'PTRM input'!G268</f>
        <v>0</v>
      </c>
      <c r="R68" s="434">
        <f t="shared" si="21"/>
        <v>0</v>
      </c>
      <c r="S68" s="434">
        <f t="shared" si="22"/>
        <v>0</v>
      </c>
      <c r="T68" s="434">
        <f t="shared" si="23"/>
        <v>0</v>
      </c>
      <c r="U68" s="434">
        <f t="shared" si="24"/>
        <v>0</v>
      </c>
      <c r="V68" s="465">
        <f t="shared" si="25"/>
        <v>0</v>
      </c>
      <c r="W68" s="464">
        <f t="shared" si="26"/>
        <v>0</v>
      </c>
      <c r="X68" s="434">
        <f t="shared" si="27"/>
        <v>0</v>
      </c>
      <c r="Y68" s="434">
        <f t="shared" si="28"/>
        <v>0</v>
      </c>
      <c r="Z68" s="434">
        <f t="shared" si="29"/>
        <v>0</v>
      </c>
      <c r="AA68" s="465">
        <f t="shared" si="30"/>
        <v>0</v>
      </c>
      <c r="AB68" s="464">
        <f>'PTRM input'!H268</f>
        <v>0</v>
      </c>
      <c r="AC68" s="434">
        <f t="shared" si="31"/>
        <v>0</v>
      </c>
      <c r="AD68" s="434">
        <f t="shared" si="32"/>
        <v>0</v>
      </c>
      <c r="AE68" s="434">
        <f t="shared" si="33"/>
        <v>0</v>
      </c>
      <c r="AF68" s="434">
        <f t="shared" si="34"/>
        <v>0</v>
      </c>
      <c r="AG68" s="465">
        <f t="shared" si="35"/>
        <v>0</v>
      </c>
      <c r="AH68" s="464">
        <f t="shared" si="36"/>
        <v>0</v>
      </c>
      <c r="AI68" s="434">
        <f t="shared" si="37"/>
        <v>0</v>
      </c>
      <c r="AJ68" s="434">
        <f t="shared" si="38"/>
        <v>0</v>
      </c>
      <c r="AK68" s="434">
        <f t="shared" si="39"/>
        <v>0</v>
      </c>
      <c r="AL68" s="465">
        <f t="shared" si="40"/>
        <v>0</v>
      </c>
      <c r="AM68" s="464">
        <f>'PTRM input'!I268</f>
        <v>0</v>
      </c>
      <c r="AN68" s="434">
        <f t="shared" si="41"/>
        <v>0</v>
      </c>
      <c r="AO68" s="434">
        <f t="shared" si="42"/>
        <v>0</v>
      </c>
      <c r="AP68" s="434">
        <f t="shared" si="43"/>
        <v>0</v>
      </c>
      <c r="AQ68" s="434">
        <f t="shared" si="44"/>
        <v>0</v>
      </c>
      <c r="AR68" s="465">
        <f t="shared" si="45"/>
        <v>0</v>
      </c>
      <c r="AS68" s="464">
        <f t="shared" si="46"/>
        <v>0</v>
      </c>
      <c r="AT68" s="434">
        <f t="shared" si="47"/>
        <v>0</v>
      </c>
      <c r="AU68" s="434">
        <f t="shared" si="48"/>
        <v>0</v>
      </c>
      <c r="AV68" s="434">
        <f t="shared" si="49"/>
        <v>0</v>
      </c>
      <c r="AW68" s="465">
        <f t="shared" si="50"/>
        <v>0</v>
      </c>
      <c r="AX68" s="464">
        <f>'PTRM input'!J268</f>
        <v>0</v>
      </c>
      <c r="AY68" s="434">
        <f t="shared" si="51"/>
        <v>0</v>
      </c>
      <c r="AZ68" s="434">
        <f t="shared" si="52"/>
        <v>0</v>
      </c>
      <c r="BA68" s="434">
        <f t="shared" si="53"/>
        <v>0</v>
      </c>
      <c r="BB68" s="434">
        <f t="shared" si="54"/>
        <v>0</v>
      </c>
      <c r="BC68" s="465">
        <f t="shared" si="55"/>
        <v>0</v>
      </c>
      <c r="BD68" s="464">
        <f t="shared" si="56"/>
        <v>0</v>
      </c>
      <c r="BE68" s="434">
        <f t="shared" si="57"/>
        <v>0</v>
      </c>
      <c r="BF68" s="434">
        <f t="shared" si="58"/>
        <v>0</v>
      </c>
      <c r="BG68" s="434">
        <f t="shared" si="59"/>
        <v>0</v>
      </c>
      <c r="BH68" s="465">
        <f t="shared" si="60"/>
        <v>0</v>
      </c>
      <c r="BI68" s="464">
        <f>'PTRM input'!K268</f>
        <v>0</v>
      </c>
      <c r="BJ68" s="434">
        <f t="shared" si="61"/>
        <v>0</v>
      </c>
      <c r="BK68" s="434">
        <f t="shared" si="62"/>
        <v>0</v>
      </c>
      <c r="BL68" s="434">
        <f t="shared" si="63"/>
        <v>0</v>
      </c>
      <c r="BM68" s="434">
        <f t="shared" si="64"/>
        <v>0</v>
      </c>
      <c r="BN68" s="465">
        <f t="shared" si="65"/>
        <v>0</v>
      </c>
      <c r="BO68" s="464">
        <f t="shared" si="66"/>
        <v>0</v>
      </c>
      <c r="BP68" s="434">
        <f t="shared" si="67"/>
        <v>0</v>
      </c>
      <c r="BQ68" s="434">
        <f t="shared" si="68"/>
        <v>0</v>
      </c>
      <c r="BR68" s="434">
        <f t="shared" si="69"/>
        <v>0</v>
      </c>
      <c r="BS68" s="465">
        <f t="shared" si="70"/>
        <v>0</v>
      </c>
      <c r="BT68" s="464">
        <f>'PTRM input'!L268</f>
        <v>0</v>
      </c>
      <c r="BU68" s="434">
        <f t="shared" si="71"/>
        <v>0</v>
      </c>
      <c r="BV68" s="434">
        <f t="shared" si="72"/>
        <v>0</v>
      </c>
      <c r="BW68" s="434">
        <f t="shared" si="73"/>
        <v>0</v>
      </c>
      <c r="BX68" s="434">
        <f t="shared" si="74"/>
        <v>0</v>
      </c>
      <c r="BY68" s="465">
        <f t="shared" si="75"/>
        <v>0</v>
      </c>
      <c r="BZ68" s="464">
        <f t="shared" si="76"/>
        <v>0</v>
      </c>
      <c r="CA68" s="434">
        <f t="shared" si="77"/>
        <v>0</v>
      </c>
      <c r="CB68" s="434">
        <f t="shared" si="78"/>
        <v>0</v>
      </c>
      <c r="CC68" s="434">
        <f t="shared" si="79"/>
        <v>0</v>
      </c>
      <c r="CD68" s="465">
        <f t="shared" si="80"/>
        <v>0</v>
      </c>
      <c r="CE68" s="464">
        <f>'PTRM input'!M268</f>
        <v>0</v>
      </c>
      <c r="CF68" s="434">
        <f t="shared" si="81"/>
        <v>0</v>
      </c>
      <c r="CG68" s="434">
        <f t="shared" si="82"/>
        <v>0</v>
      </c>
      <c r="CH68" s="434">
        <f t="shared" si="83"/>
        <v>0</v>
      </c>
      <c r="CI68" s="434">
        <f t="shared" si="84"/>
        <v>0</v>
      </c>
      <c r="CJ68" s="465">
        <f t="shared" si="85"/>
        <v>0</v>
      </c>
      <c r="CK68" s="464">
        <f t="shared" si="86"/>
        <v>0</v>
      </c>
      <c r="CL68" s="434">
        <f t="shared" si="87"/>
        <v>0</v>
      </c>
      <c r="CM68" s="434">
        <f t="shared" si="88"/>
        <v>0</v>
      </c>
      <c r="CN68" s="434">
        <f t="shared" si="89"/>
        <v>0</v>
      </c>
      <c r="CO68" s="465">
        <f t="shared" si="90"/>
        <v>0</v>
      </c>
      <c r="CP68" s="464">
        <f>'PTRM input'!N268</f>
        <v>0</v>
      </c>
      <c r="CQ68" s="434">
        <f t="shared" si="91"/>
        <v>0</v>
      </c>
      <c r="CR68" s="434">
        <f t="shared" si="92"/>
        <v>0</v>
      </c>
      <c r="CS68" s="434">
        <f t="shared" si="93"/>
        <v>0</v>
      </c>
      <c r="CT68" s="434">
        <f t="shared" si="94"/>
        <v>0</v>
      </c>
      <c r="CU68" s="465">
        <f t="shared" si="95"/>
        <v>0</v>
      </c>
      <c r="CV68" s="464">
        <f t="shared" si="96"/>
        <v>0</v>
      </c>
      <c r="CW68" s="434">
        <f t="shared" si="97"/>
        <v>0</v>
      </c>
      <c r="CX68" s="434">
        <f t="shared" si="98"/>
        <v>0</v>
      </c>
      <c r="CY68" s="434">
        <f t="shared" si="99"/>
        <v>0</v>
      </c>
      <c r="CZ68" s="465">
        <f t="shared" si="100"/>
        <v>0</v>
      </c>
      <c r="DA68" s="464">
        <f>'PTRM input'!O268</f>
        <v>0</v>
      </c>
      <c r="DB68" s="434">
        <f t="shared" si="101"/>
        <v>0</v>
      </c>
      <c r="DC68" s="434">
        <f t="shared" si="102"/>
        <v>0</v>
      </c>
      <c r="DD68" s="434">
        <f t="shared" si="103"/>
        <v>0</v>
      </c>
      <c r="DE68" s="434">
        <f t="shared" si="104"/>
        <v>0</v>
      </c>
      <c r="DF68" s="465">
        <f t="shared" si="105"/>
        <v>0</v>
      </c>
      <c r="DG68" s="464">
        <f t="shared" si="106"/>
        <v>0</v>
      </c>
      <c r="DH68" s="434">
        <f t="shared" si="107"/>
        <v>0</v>
      </c>
      <c r="DI68" s="434">
        <f t="shared" si="108"/>
        <v>0</v>
      </c>
      <c r="DJ68" s="434">
        <f t="shared" si="109"/>
        <v>0</v>
      </c>
      <c r="DK68" s="465">
        <f t="shared" si="110"/>
        <v>0</v>
      </c>
      <c r="DL68" s="48"/>
      <c r="DM68" s="286"/>
      <c r="DN68" s="286"/>
      <c r="DO68" s="286"/>
    </row>
    <row r="69" spans="1:119" s="4" customFormat="1">
      <c r="A69" s="30"/>
      <c r="B69" s="30"/>
      <c r="C69" s="30"/>
      <c r="D69" s="30"/>
      <c r="E69" s="445">
        <f t="shared" si="11"/>
        <v>0</v>
      </c>
      <c r="F69" s="1505">
        <f>'PTRM input'!F269</f>
        <v>0</v>
      </c>
      <c r="G69" s="434">
        <f t="shared" si="111"/>
        <v>0</v>
      </c>
      <c r="H69" s="434">
        <f t="shared" si="12"/>
        <v>0</v>
      </c>
      <c r="I69" s="434">
        <f t="shared" si="13"/>
        <v>0</v>
      </c>
      <c r="J69" s="434">
        <f t="shared" si="14"/>
        <v>0</v>
      </c>
      <c r="K69" s="465">
        <f t="shared" si="15"/>
        <v>0</v>
      </c>
      <c r="L69" s="464">
        <f t="shared" si="16"/>
        <v>0</v>
      </c>
      <c r="M69" s="434">
        <f t="shared" si="17"/>
        <v>0</v>
      </c>
      <c r="N69" s="434">
        <f t="shared" si="18"/>
        <v>0</v>
      </c>
      <c r="O69" s="434">
        <f t="shared" si="19"/>
        <v>0</v>
      </c>
      <c r="P69" s="465">
        <f t="shared" si="20"/>
        <v>0</v>
      </c>
      <c r="Q69" s="464">
        <f>'PTRM input'!G269</f>
        <v>0</v>
      </c>
      <c r="R69" s="434">
        <f t="shared" si="21"/>
        <v>0</v>
      </c>
      <c r="S69" s="434">
        <f t="shared" si="22"/>
        <v>0</v>
      </c>
      <c r="T69" s="434">
        <f t="shared" si="23"/>
        <v>0</v>
      </c>
      <c r="U69" s="434">
        <f t="shared" si="24"/>
        <v>0</v>
      </c>
      <c r="V69" s="465">
        <f t="shared" si="25"/>
        <v>0</v>
      </c>
      <c r="W69" s="464">
        <f t="shared" si="26"/>
        <v>0</v>
      </c>
      <c r="X69" s="434">
        <f t="shared" si="27"/>
        <v>0</v>
      </c>
      <c r="Y69" s="434">
        <f t="shared" si="28"/>
        <v>0</v>
      </c>
      <c r="Z69" s="434">
        <f t="shared" si="29"/>
        <v>0</v>
      </c>
      <c r="AA69" s="465">
        <f t="shared" si="30"/>
        <v>0</v>
      </c>
      <c r="AB69" s="464">
        <f>'PTRM input'!H269</f>
        <v>0</v>
      </c>
      <c r="AC69" s="434">
        <f t="shared" si="31"/>
        <v>0</v>
      </c>
      <c r="AD69" s="434">
        <f t="shared" si="32"/>
        <v>0</v>
      </c>
      <c r="AE69" s="434">
        <f t="shared" si="33"/>
        <v>0</v>
      </c>
      <c r="AF69" s="434">
        <f t="shared" si="34"/>
        <v>0</v>
      </c>
      <c r="AG69" s="465">
        <f t="shared" si="35"/>
        <v>0</v>
      </c>
      <c r="AH69" s="464">
        <f t="shared" si="36"/>
        <v>0</v>
      </c>
      <c r="AI69" s="434">
        <f t="shared" si="37"/>
        <v>0</v>
      </c>
      <c r="AJ69" s="434">
        <f t="shared" si="38"/>
        <v>0</v>
      </c>
      <c r="AK69" s="434">
        <f t="shared" si="39"/>
        <v>0</v>
      </c>
      <c r="AL69" s="465">
        <f t="shared" si="40"/>
        <v>0</v>
      </c>
      <c r="AM69" s="464">
        <f>'PTRM input'!I269</f>
        <v>0</v>
      </c>
      <c r="AN69" s="434">
        <f t="shared" si="41"/>
        <v>0</v>
      </c>
      <c r="AO69" s="434">
        <f t="shared" si="42"/>
        <v>0</v>
      </c>
      <c r="AP69" s="434">
        <f t="shared" si="43"/>
        <v>0</v>
      </c>
      <c r="AQ69" s="434">
        <f t="shared" si="44"/>
        <v>0</v>
      </c>
      <c r="AR69" s="465">
        <f t="shared" si="45"/>
        <v>0</v>
      </c>
      <c r="AS69" s="464">
        <f t="shared" si="46"/>
        <v>0</v>
      </c>
      <c r="AT69" s="434">
        <f t="shared" si="47"/>
        <v>0</v>
      </c>
      <c r="AU69" s="434">
        <f t="shared" si="48"/>
        <v>0</v>
      </c>
      <c r="AV69" s="434">
        <f t="shared" si="49"/>
        <v>0</v>
      </c>
      <c r="AW69" s="465">
        <f t="shared" si="50"/>
        <v>0</v>
      </c>
      <c r="AX69" s="464">
        <f>'PTRM input'!J269</f>
        <v>0</v>
      </c>
      <c r="AY69" s="434">
        <f t="shared" si="51"/>
        <v>0</v>
      </c>
      <c r="AZ69" s="434">
        <f t="shared" si="52"/>
        <v>0</v>
      </c>
      <c r="BA69" s="434">
        <f t="shared" si="53"/>
        <v>0</v>
      </c>
      <c r="BB69" s="434">
        <f t="shared" si="54"/>
        <v>0</v>
      </c>
      <c r="BC69" s="465">
        <f t="shared" si="55"/>
        <v>0</v>
      </c>
      <c r="BD69" s="464">
        <f t="shared" si="56"/>
        <v>0</v>
      </c>
      <c r="BE69" s="434">
        <f t="shared" si="57"/>
        <v>0</v>
      </c>
      <c r="BF69" s="434">
        <f t="shared" si="58"/>
        <v>0</v>
      </c>
      <c r="BG69" s="434">
        <f t="shared" si="59"/>
        <v>0</v>
      </c>
      <c r="BH69" s="465">
        <f t="shared" si="60"/>
        <v>0</v>
      </c>
      <c r="BI69" s="464">
        <f>'PTRM input'!K269</f>
        <v>0</v>
      </c>
      <c r="BJ69" s="434">
        <f t="shared" si="61"/>
        <v>0</v>
      </c>
      <c r="BK69" s="434">
        <f t="shared" si="62"/>
        <v>0</v>
      </c>
      <c r="BL69" s="434">
        <f t="shared" si="63"/>
        <v>0</v>
      </c>
      <c r="BM69" s="434">
        <f t="shared" si="64"/>
        <v>0</v>
      </c>
      <c r="BN69" s="465">
        <f t="shared" si="65"/>
        <v>0</v>
      </c>
      <c r="BO69" s="464">
        <f t="shared" si="66"/>
        <v>0</v>
      </c>
      <c r="BP69" s="434">
        <f t="shared" si="67"/>
        <v>0</v>
      </c>
      <c r="BQ69" s="434">
        <f t="shared" si="68"/>
        <v>0</v>
      </c>
      <c r="BR69" s="434">
        <f t="shared" si="69"/>
        <v>0</v>
      </c>
      <c r="BS69" s="465">
        <f t="shared" si="70"/>
        <v>0</v>
      </c>
      <c r="BT69" s="464">
        <f>'PTRM input'!L269</f>
        <v>0</v>
      </c>
      <c r="BU69" s="434">
        <f t="shared" si="71"/>
        <v>0</v>
      </c>
      <c r="BV69" s="434">
        <f t="shared" si="72"/>
        <v>0</v>
      </c>
      <c r="BW69" s="434">
        <f t="shared" si="73"/>
        <v>0</v>
      </c>
      <c r="BX69" s="434">
        <f t="shared" si="74"/>
        <v>0</v>
      </c>
      <c r="BY69" s="465">
        <f t="shared" si="75"/>
        <v>0</v>
      </c>
      <c r="BZ69" s="464">
        <f t="shared" si="76"/>
        <v>0</v>
      </c>
      <c r="CA69" s="434">
        <f t="shared" si="77"/>
        <v>0</v>
      </c>
      <c r="CB69" s="434">
        <f t="shared" si="78"/>
        <v>0</v>
      </c>
      <c r="CC69" s="434">
        <f t="shared" si="79"/>
        <v>0</v>
      </c>
      <c r="CD69" s="465">
        <f t="shared" si="80"/>
        <v>0</v>
      </c>
      <c r="CE69" s="464">
        <f>'PTRM input'!M269</f>
        <v>0</v>
      </c>
      <c r="CF69" s="434">
        <f t="shared" si="81"/>
        <v>0</v>
      </c>
      <c r="CG69" s="434">
        <f t="shared" si="82"/>
        <v>0</v>
      </c>
      <c r="CH69" s="434">
        <f t="shared" si="83"/>
        <v>0</v>
      </c>
      <c r="CI69" s="434">
        <f t="shared" si="84"/>
        <v>0</v>
      </c>
      <c r="CJ69" s="465">
        <f t="shared" si="85"/>
        <v>0</v>
      </c>
      <c r="CK69" s="464">
        <f t="shared" si="86"/>
        <v>0</v>
      </c>
      <c r="CL69" s="434">
        <f t="shared" si="87"/>
        <v>0</v>
      </c>
      <c r="CM69" s="434">
        <f t="shared" si="88"/>
        <v>0</v>
      </c>
      <c r="CN69" s="434">
        <f t="shared" si="89"/>
        <v>0</v>
      </c>
      <c r="CO69" s="465">
        <f t="shared" si="90"/>
        <v>0</v>
      </c>
      <c r="CP69" s="464">
        <f>'PTRM input'!N269</f>
        <v>0</v>
      </c>
      <c r="CQ69" s="434">
        <f t="shared" si="91"/>
        <v>0</v>
      </c>
      <c r="CR69" s="434">
        <f t="shared" si="92"/>
        <v>0</v>
      </c>
      <c r="CS69" s="434">
        <f t="shared" si="93"/>
        <v>0</v>
      </c>
      <c r="CT69" s="434">
        <f t="shared" si="94"/>
        <v>0</v>
      </c>
      <c r="CU69" s="465">
        <f t="shared" si="95"/>
        <v>0</v>
      </c>
      <c r="CV69" s="464">
        <f t="shared" si="96"/>
        <v>0</v>
      </c>
      <c r="CW69" s="434">
        <f t="shared" si="97"/>
        <v>0</v>
      </c>
      <c r="CX69" s="434">
        <f t="shared" si="98"/>
        <v>0</v>
      </c>
      <c r="CY69" s="434">
        <f t="shared" si="99"/>
        <v>0</v>
      </c>
      <c r="CZ69" s="465">
        <f t="shared" si="100"/>
        <v>0</v>
      </c>
      <c r="DA69" s="464">
        <f>'PTRM input'!O269</f>
        <v>0</v>
      </c>
      <c r="DB69" s="434">
        <f t="shared" si="101"/>
        <v>0</v>
      </c>
      <c r="DC69" s="434">
        <f t="shared" si="102"/>
        <v>0</v>
      </c>
      <c r="DD69" s="434">
        <f t="shared" si="103"/>
        <v>0</v>
      </c>
      <c r="DE69" s="434">
        <f t="shared" si="104"/>
        <v>0</v>
      </c>
      <c r="DF69" s="465">
        <f t="shared" si="105"/>
        <v>0</v>
      </c>
      <c r="DG69" s="464">
        <f t="shared" si="106"/>
        <v>0</v>
      </c>
      <c r="DH69" s="434">
        <f t="shared" si="107"/>
        <v>0</v>
      </c>
      <c r="DI69" s="434">
        <f t="shared" si="108"/>
        <v>0</v>
      </c>
      <c r="DJ69" s="434">
        <f t="shared" si="109"/>
        <v>0</v>
      </c>
      <c r="DK69" s="465">
        <f t="shared" si="110"/>
        <v>0</v>
      </c>
      <c r="DL69" s="48"/>
      <c r="DM69" s="286"/>
      <c r="DN69" s="286"/>
      <c r="DO69" s="286"/>
    </row>
    <row r="70" spans="1:119" s="4" customFormat="1">
      <c r="A70" s="30"/>
      <c r="B70" s="30"/>
      <c r="C70" s="30"/>
      <c r="D70" s="30"/>
      <c r="E70" s="445">
        <f t="shared" si="11"/>
        <v>0</v>
      </c>
      <c r="F70" s="1505">
        <f>'PTRM input'!F270</f>
        <v>0</v>
      </c>
      <c r="G70" s="434">
        <f t="shared" si="111"/>
        <v>0</v>
      </c>
      <c r="H70" s="434">
        <f t="shared" si="12"/>
        <v>0</v>
      </c>
      <c r="I70" s="434">
        <f t="shared" si="13"/>
        <v>0</v>
      </c>
      <c r="J70" s="434">
        <f t="shared" si="14"/>
        <v>0</v>
      </c>
      <c r="K70" s="465">
        <f t="shared" si="15"/>
        <v>0</v>
      </c>
      <c r="L70" s="464">
        <f t="shared" si="16"/>
        <v>0</v>
      </c>
      <c r="M70" s="434">
        <f t="shared" si="17"/>
        <v>0</v>
      </c>
      <c r="N70" s="434">
        <f t="shared" si="18"/>
        <v>0</v>
      </c>
      <c r="O70" s="434">
        <f t="shared" si="19"/>
        <v>0</v>
      </c>
      <c r="P70" s="465">
        <f t="shared" si="20"/>
        <v>0</v>
      </c>
      <c r="Q70" s="464">
        <f>'PTRM input'!G270</f>
        <v>0</v>
      </c>
      <c r="R70" s="434">
        <f t="shared" si="21"/>
        <v>0</v>
      </c>
      <c r="S70" s="434">
        <f t="shared" si="22"/>
        <v>0</v>
      </c>
      <c r="T70" s="434">
        <f t="shared" si="23"/>
        <v>0</v>
      </c>
      <c r="U70" s="434">
        <f t="shared" si="24"/>
        <v>0</v>
      </c>
      <c r="V70" s="465">
        <f t="shared" si="25"/>
        <v>0</v>
      </c>
      <c r="W70" s="464">
        <f t="shared" si="26"/>
        <v>0</v>
      </c>
      <c r="X70" s="434">
        <f t="shared" si="27"/>
        <v>0</v>
      </c>
      <c r="Y70" s="434">
        <f t="shared" si="28"/>
        <v>0</v>
      </c>
      <c r="Z70" s="434">
        <f t="shared" si="29"/>
        <v>0</v>
      </c>
      <c r="AA70" s="465">
        <f t="shared" si="30"/>
        <v>0</v>
      </c>
      <c r="AB70" s="464">
        <f>'PTRM input'!H270</f>
        <v>0</v>
      </c>
      <c r="AC70" s="434">
        <f t="shared" si="31"/>
        <v>0</v>
      </c>
      <c r="AD70" s="434">
        <f t="shared" si="32"/>
        <v>0</v>
      </c>
      <c r="AE70" s="434">
        <f t="shared" si="33"/>
        <v>0</v>
      </c>
      <c r="AF70" s="434">
        <f t="shared" si="34"/>
        <v>0</v>
      </c>
      <c r="AG70" s="465">
        <f t="shared" si="35"/>
        <v>0</v>
      </c>
      <c r="AH70" s="464">
        <f t="shared" si="36"/>
        <v>0</v>
      </c>
      <c r="AI70" s="434">
        <f t="shared" si="37"/>
        <v>0</v>
      </c>
      <c r="AJ70" s="434">
        <f t="shared" si="38"/>
        <v>0</v>
      </c>
      <c r="AK70" s="434">
        <f t="shared" si="39"/>
        <v>0</v>
      </c>
      <c r="AL70" s="465">
        <f t="shared" si="40"/>
        <v>0</v>
      </c>
      <c r="AM70" s="464">
        <f>'PTRM input'!I270</f>
        <v>0</v>
      </c>
      <c r="AN70" s="434">
        <f t="shared" si="41"/>
        <v>0</v>
      </c>
      <c r="AO70" s="434">
        <f t="shared" si="42"/>
        <v>0</v>
      </c>
      <c r="AP70" s="434">
        <f t="shared" si="43"/>
        <v>0</v>
      </c>
      <c r="AQ70" s="434">
        <f t="shared" si="44"/>
        <v>0</v>
      </c>
      <c r="AR70" s="465">
        <f t="shared" si="45"/>
        <v>0</v>
      </c>
      <c r="AS70" s="464">
        <f t="shared" si="46"/>
        <v>0</v>
      </c>
      <c r="AT70" s="434">
        <f t="shared" si="47"/>
        <v>0</v>
      </c>
      <c r="AU70" s="434">
        <f t="shared" si="48"/>
        <v>0</v>
      </c>
      <c r="AV70" s="434">
        <f t="shared" si="49"/>
        <v>0</v>
      </c>
      <c r="AW70" s="465">
        <f t="shared" si="50"/>
        <v>0</v>
      </c>
      <c r="AX70" s="464">
        <f>'PTRM input'!J270</f>
        <v>0</v>
      </c>
      <c r="AY70" s="434">
        <f t="shared" si="51"/>
        <v>0</v>
      </c>
      <c r="AZ70" s="434">
        <f t="shared" si="52"/>
        <v>0</v>
      </c>
      <c r="BA70" s="434">
        <f t="shared" si="53"/>
        <v>0</v>
      </c>
      <c r="BB70" s="434">
        <f t="shared" si="54"/>
        <v>0</v>
      </c>
      <c r="BC70" s="465">
        <f t="shared" si="55"/>
        <v>0</v>
      </c>
      <c r="BD70" s="464">
        <f t="shared" si="56"/>
        <v>0</v>
      </c>
      <c r="BE70" s="434">
        <f t="shared" si="57"/>
        <v>0</v>
      </c>
      <c r="BF70" s="434">
        <f t="shared" si="58"/>
        <v>0</v>
      </c>
      <c r="BG70" s="434">
        <f t="shared" si="59"/>
        <v>0</v>
      </c>
      <c r="BH70" s="465">
        <f t="shared" si="60"/>
        <v>0</v>
      </c>
      <c r="BI70" s="464">
        <f>'PTRM input'!K270</f>
        <v>0</v>
      </c>
      <c r="BJ70" s="434">
        <f t="shared" si="61"/>
        <v>0</v>
      </c>
      <c r="BK70" s="434">
        <f t="shared" si="62"/>
        <v>0</v>
      </c>
      <c r="BL70" s="434">
        <f t="shared" si="63"/>
        <v>0</v>
      </c>
      <c r="BM70" s="434">
        <f t="shared" si="64"/>
        <v>0</v>
      </c>
      <c r="BN70" s="465">
        <f t="shared" si="65"/>
        <v>0</v>
      </c>
      <c r="BO70" s="464">
        <f t="shared" si="66"/>
        <v>0</v>
      </c>
      <c r="BP70" s="434">
        <f t="shared" si="67"/>
        <v>0</v>
      </c>
      <c r="BQ70" s="434">
        <f t="shared" si="68"/>
        <v>0</v>
      </c>
      <c r="BR70" s="434">
        <f t="shared" si="69"/>
        <v>0</v>
      </c>
      <c r="BS70" s="465">
        <f t="shared" si="70"/>
        <v>0</v>
      </c>
      <c r="BT70" s="464">
        <f>'PTRM input'!L270</f>
        <v>0</v>
      </c>
      <c r="BU70" s="434">
        <f t="shared" si="71"/>
        <v>0</v>
      </c>
      <c r="BV70" s="434">
        <f t="shared" si="72"/>
        <v>0</v>
      </c>
      <c r="BW70" s="434">
        <f t="shared" si="73"/>
        <v>0</v>
      </c>
      <c r="BX70" s="434">
        <f t="shared" si="74"/>
        <v>0</v>
      </c>
      <c r="BY70" s="465">
        <f t="shared" si="75"/>
        <v>0</v>
      </c>
      <c r="BZ70" s="464">
        <f t="shared" si="76"/>
        <v>0</v>
      </c>
      <c r="CA70" s="434">
        <f t="shared" si="77"/>
        <v>0</v>
      </c>
      <c r="CB70" s="434">
        <f t="shared" si="78"/>
        <v>0</v>
      </c>
      <c r="CC70" s="434">
        <f t="shared" si="79"/>
        <v>0</v>
      </c>
      <c r="CD70" s="465">
        <f t="shared" si="80"/>
        <v>0</v>
      </c>
      <c r="CE70" s="464">
        <f>'PTRM input'!M270</f>
        <v>0</v>
      </c>
      <c r="CF70" s="434">
        <f t="shared" si="81"/>
        <v>0</v>
      </c>
      <c r="CG70" s="434">
        <f t="shared" si="82"/>
        <v>0</v>
      </c>
      <c r="CH70" s="434">
        <f t="shared" si="83"/>
        <v>0</v>
      </c>
      <c r="CI70" s="434">
        <f t="shared" si="84"/>
        <v>0</v>
      </c>
      <c r="CJ70" s="465">
        <f t="shared" si="85"/>
        <v>0</v>
      </c>
      <c r="CK70" s="464">
        <f t="shared" si="86"/>
        <v>0</v>
      </c>
      <c r="CL70" s="434">
        <f t="shared" si="87"/>
        <v>0</v>
      </c>
      <c r="CM70" s="434">
        <f t="shared" si="88"/>
        <v>0</v>
      </c>
      <c r="CN70" s="434">
        <f t="shared" si="89"/>
        <v>0</v>
      </c>
      <c r="CO70" s="465">
        <f t="shared" si="90"/>
        <v>0</v>
      </c>
      <c r="CP70" s="464">
        <f>'PTRM input'!N270</f>
        <v>0</v>
      </c>
      <c r="CQ70" s="434">
        <f t="shared" si="91"/>
        <v>0</v>
      </c>
      <c r="CR70" s="434">
        <f t="shared" si="92"/>
        <v>0</v>
      </c>
      <c r="CS70" s="434">
        <f t="shared" si="93"/>
        <v>0</v>
      </c>
      <c r="CT70" s="434">
        <f t="shared" si="94"/>
        <v>0</v>
      </c>
      <c r="CU70" s="465">
        <f t="shared" si="95"/>
        <v>0</v>
      </c>
      <c r="CV70" s="464">
        <f t="shared" si="96"/>
        <v>0</v>
      </c>
      <c r="CW70" s="434">
        <f t="shared" si="97"/>
        <v>0</v>
      </c>
      <c r="CX70" s="434">
        <f t="shared" si="98"/>
        <v>0</v>
      </c>
      <c r="CY70" s="434">
        <f t="shared" si="99"/>
        <v>0</v>
      </c>
      <c r="CZ70" s="465">
        <f t="shared" si="100"/>
        <v>0</v>
      </c>
      <c r="DA70" s="464">
        <f>'PTRM input'!O270</f>
        <v>0</v>
      </c>
      <c r="DB70" s="434">
        <f t="shared" si="101"/>
        <v>0</v>
      </c>
      <c r="DC70" s="434">
        <f t="shared" si="102"/>
        <v>0</v>
      </c>
      <c r="DD70" s="434">
        <f t="shared" si="103"/>
        <v>0</v>
      </c>
      <c r="DE70" s="434">
        <f t="shared" si="104"/>
        <v>0</v>
      </c>
      <c r="DF70" s="465">
        <f t="shared" si="105"/>
        <v>0</v>
      </c>
      <c r="DG70" s="464">
        <f t="shared" si="106"/>
        <v>0</v>
      </c>
      <c r="DH70" s="434">
        <f t="shared" si="107"/>
        <v>0</v>
      </c>
      <c r="DI70" s="434">
        <f t="shared" si="108"/>
        <v>0</v>
      </c>
      <c r="DJ70" s="434">
        <f t="shared" si="109"/>
        <v>0</v>
      </c>
      <c r="DK70" s="465">
        <f t="shared" si="110"/>
        <v>0</v>
      </c>
      <c r="DL70" s="48"/>
      <c r="DM70" s="286"/>
      <c r="DN70" s="286"/>
      <c r="DO70" s="286"/>
    </row>
    <row r="71" spans="1:119" s="4" customFormat="1">
      <c r="A71" s="30"/>
      <c r="B71" s="30"/>
      <c r="C71" s="30"/>
      <c r="D71" s="30"/>
      <c r="E71" s="445">
        <f t="shared" si="11"/>
        <v>0</v>
      </c>
      <c r="F71" s="1505">
        <f>'PTRM input'!F271</f>
        <v>0</v>
      </c>
      <c r="G71" s="434">
        <f t="shared" si="111"/>
        <v>0</v>
      </c>
      <c r="H71" s="434">
        <f t="shared" si="12"/>
        <v>0</v>
      </c>
      <c r="I71" s="434">
        <f t="shared" si="13"/>
        <v>0</v>
      </c>
      <c r="J71" s="434">
        <f t="shared" si="14"/>
        <v>0</v>
      </c>
      <c r="K71" s="465">
        <f t="shared" si="15"/>
        <v>0</v>
      </c>
      <c r="L71" s="464">
        <f t="shared" si="16"/>
        <v>0</v>
      </c>
      <c r="M71" s="434">
        <f t="shared" si="17"/>
        <v>0</v>
      </c>
      <c r="N71" s="434">
        <f t="shared" si="18"/>
        <v>0</v>
      </c>
      <c r="O71" s="434">
        <f t="shared" si="19"/>
        <v>0</v>
      </c>
      <c r="P71" s="465">
        <f t="shared" si="20"/>
        <v>0</v>
      </c>
      <c r="Q71" s="464">
        <f>'PTRM input'!G271</f>
        <v>0</v>
      </c>
      <c r="R71" s="434">
        <f t="shared" si="21"/>
        <v>0</v>
      </c>
      <c r="S71" s="434">
        <f t="shared" si="22"/>
        <v>0</v>
      </c>
      <c r="T71" s="434">
        <f t="shared" si="23"/>
        <v>0</v>
      </c>
      <c r="U71" s="434">
        <f t="shared" si="24"/>
        <v>0</v>
      </c>
      <c r="V71" s="465">
        <f t="shared" si="25"/>
        <v>0</v>
      </c>
      <c r="W71" s="464">
        <f t="shared" si="26"/>
        <v>0</v>
      </c>
      <c r="X71" s="434">
        <f t="shared" si="27"/>
        <v>0</v>
      </c>
      <c r="Y71" s="434">
        <f t="shared" si="28"/>
        <v>0</v>
      </c>
      <c r="Z71" s="434">
        <f t="shared" si="29"/>
        <v>0</v>
      </c>
      <c r="AA71" s="465">
        <f t="shared" si="30"/>
        <v>0</v>
      </c>
      <c r="AB71" s="464">
        <f>'PTRM input'!H271</f>
        <v>0</v>
      </c>
      <c r="AC71" s="434">
        <f t="shared" si="31"/>
        <v>0</v>
      </c>
      <c r="AD71" s="434">
        <f t="shared" si="32"/>
        <v>0</v>
      </c>
      <c r="AE71" s="434">
        <f t="shared" si="33"/>
        <v>0</v>
      </c>
      <c r="AF71" s="434">
        <f t="shared" si="34"/>
        <v>0</v>
      </c>
      <c r="AG71" s="465">
        <f t="shared" si="35"/>
        <v>0</v>
      </c>
      <c r="AH71" s="464">
        <f t="shared" si="36"/>
        <v>0</v>
      </c>
      <c r="AI71" s="434">
        <f t="shared" si="37"/>
        <v>0</v>
      </c>
      <c r="AJ71" s="434">
        <f t="shared" si="38"/>
        <v>0</v>
      </c>
      <c r="AK71" s="434">
        <f t="shared" si="39"/>
        <v>0</v>
      </c>
      <c r="AL71" s="465">
        <f t="shared" si="40"/>
        <v>0</v>
      </c>
      <c r="AM71" s="464">
        <f>'PTRM input'!I271</f>
        <v>0</v>
      </c>
      <c r="AN71" s="434">
        <f t="shared" si="41"/>
        <v>0</v>
      </c>
      <c r="AO71" s="434">
        <f t="shared" si="42"/>
        <v>0</v>
      </c>
      <c r="AP71" s="434">
        <f t="shared" si="43"/>
        <v>0</v>
      </c>
      <c r="AQ71" s="434">
        <f t="shared" si="44"/>
        <v>0</v>
      </c>
      <c r="AR71" s="465">
        <f t="shared" si="45"/>
        <v>0</v>
      </c>
      <c r="AS71" s="464">
        <f t="shared" si="46"/>
        <v>0</v>
      </c>
      <c r="AT71" s="434">
        <f t="shared" si="47"/>
        <v>0</v>
      </c>
      <c r="AU71" s="434">
        <f t="shared" si="48"/>
        <v>0</v>
      </c>
      <c r="AV71" s="434">
        <f t="shared" si="49"/>
        <v>0</v>
      </c>
      <c r="AW71" s="465">
        <f t="shared" si="50"/>
        <v>0</v>
      </c>
      <c r="AX71" s="464">
        <f>'PTRM input'!J271</f>
        <v>0</v>
      </c>
      <c r="AY71" s="434">
        <f t="shared" si="51"/>
        <v>0</v>
      </c>
      <c r="AZ71" s="434">
        <f t="shared" si="52"/>
        <v>0</v>
      </c>
      <c r="BA71" s="434">
        <f t="shared" si="53"/>
        <v>0</v>
      </c>
      <c r="BB71" s="434">
        <f t="shared" si="54"/>
        <v>0</v>
      </c>
      <c r="BC71" s="465">
        <f t="shared" si="55"/>
        <v>0</v>
      </c>
      <c r="BD71" s="464">
        <f t="shared" si="56"/>
        <v>0</v>
      </c>
      <c r="BE71" s="434">
        <f t="shared" si="57"/>
        <v>0</v>
      </c>
      <c r="BF71" s="434">
        <f t="shared" si="58"/>
        <v>0</v>
      </c>
      <c r="BG71" s="434">
        <f t="shared" si="59"/>
        <v>0</v>
      </c>
      <c r="BH71" s="465">
        <f t="shared" si="60"/>
        <v>0</v>
      </c>
      <c r="BI71" s="464">
        <f>'PTRM input'!K271</f>
        <v>0</v>
      </c>
      <c r="BJ71" s="434">
        <f t="shared" si="61"/>
        <v>0</v>
      </c>
      <c r="BK71" s="434">
        <f t="shared" si="62"/>
        <v>0</v>
      </c>
      <c r="BL71" s="434">
        <f t="shared" si="63"/>
        <v>0</v>
      </c>
      <c r="BM71" s="434">
        <f t="shared" si="64"/>
        <v>0</v>
      </c>
      <c r="BN71" s="465">
        <f t="shared" si="65"/>
        <v>0</v>
      </c>
      <c r="BO71" s="464">
        <f t="shared" si="66"/>
        <v>0</v>
      </c>
      <c r="BP71" s="434">
        <f t="shared" si="67"/>
        <v>0</v>
      </c>
      <c r="BQ71" s="434">
        <f t="shared" si="68"/>
        <v>0</v>
      </c>
      <c r="BR71" s="434">
        <f t="shared" si="69"/>
        <v>0</v>
      </c>
      <c r="BS71" s="465">
        <f t="shared" si="70"/>
        <v>0</v>
      </c>
      <c r="BT71" s="464">
        <f>'PTRM input'!L271</f>
        <v>0</v>
      </c>
      <c r="BU71" s="434">
        <f t="shared" si="71"/>
        <v>0</v>
      </c>
      <c r="BV71" s="434">
        <f t="shared" si="72"/>
        <v>0</v>
      </c>
      <c r="BW71" s="434">
        <f t="shared" si="73"/>
        <v>0</v>
      </c>
      <c r="BX71" s="434">
        <f t="shared" si="74"/>
        <v>0</v>
      </c>
      <c r="BY71" s="465">
        <f t="shared" si="75"/>
        <v>0</v>
      </c>
      <c r="BZ71" s="464">
        <f t="shared" si="76"/>
        <v>0</v>
      </c>
      <c r="CA71" s="434">
        <f t="shared" si="77"/>
        <v>0</v>
      </c>
      <c r="CB71" s="434">
        <f t="shared" si="78"/>
        <v>0</v>
      </c>
      <c r="CC71" s="434">
        <f t="shared" si="79"/>
        <v>0</v>
      </c>
      <c r="CD71" s="465">
        <f t="shared" si="80"/>
        <v>0</v>
      </c>
      <c r="CE71" s="464">
        <f>'PTRM input'!M271</f>
        <v>0</v>
      </c>
      <c r="CF71" s="434">
        <f t="shared" si="81"/>
        <v>0</v>
      </c>
      <c r="CG71" s="434">
        <f t="shared" si="82"/>
        <v>0</v>
      </c>
      <c r="CH71" s="434">
        <f t="shared" si="83"/>
        <v>0</v>
      </c>
      <c r="CI71" s="434">
        <f t="shared" si="84"/>
        <v>0</v>
      </c>
      <c r="CJ71" s="465">
        <f t="shared" si="85"/>
        <v>0</v>
      </c>
      <c r="CK71" s="464">
        <f t="shared" si="86"/>
        <v>0</v>
      </c>
      <c r="CL71" s="434">
        <f t="shared" si="87"/>
        <v>0</v>
      </c>
      <c r="CM71" s="434">
        <f t="shared" si="88"/>
        <v>0</v>
      </c>
      <c r="CN71" s="434">
        <f t="shared" si="89"/>
        <v>0</v>
      </c>
      <c r="CO71" s="465">
        <f t="shared" si="90"/>
        <v>0</v>
      </c>
      <c r="CP71" s="464">
        <f>'PTRM input'!N271</f>
        <v>0</v>
      </c>
      <c r="CQ71" s="434">
        <f t="shared" si="91"/>
        <v>0</v>
      </c>
      <c r="CR71" s="434">
        <f t="shared" si="92"/>
        <v>0</v>
      </c>
      <c r="CS71" s="434">
        <f t="shared" si="93"/>
        <v>0</v>
      </c>
      <c r="CT71" s="434">
        <f t="shared" si="94"/>
        <v>0</v>
      </c>
      <c r="CU71" s="465">
        <f t="shared" si="95"/>
        <v>0</v>
      </c>
      <c r="CV71" s="464">
        <f t="shared" si="96"/>
        <v>0</v>
      </c>
      <c r="CW71" s="434">
        <f t="shared" si="97"/>
        <v>0</v>
      </c>
      <c r="CX71" s="434">
        <f t="shared" si="98"/>
        <v>0</v>
      </c>
      <c r="CY71" s="434">
        <f t="shared" si="99"/>
        <v>0</v>
      </c>
      <c r="CZ71" s="465">
        <f t="shared" si="100"/>
        <v>0</v>
      </c>
      <c r="DA71" s="464">
        <f>'PTRM input'!O271</f>
        <v>0</v>
      </c>
      <c r="DB71" s="434">
        <f t="shared" si="101"/>
        <v>0</v>
      </c>
      <c r="DC71" s="434">
        <f t="shared" si="102"/>
        <v>0</v>
      </c>
      <c r="DD71" s="434">
        <f t="shared" si="103"/>
        <v>0</v>
      </c>
      <c r="DE71" s="434">
        <f t="shared" si="104"/>
        <v>0</v>
      </c>
      <c r="DF71" s="465">
        <f t="shared" si="105"/>
        <v>0</v>
      </c>
      <c r="DG71" s="464">
        <f t="shared" si="106"/>
        <v>0</v>
      </c>
      <c r="DH71" s="434">
        <f t="shared" si="107"/>
        <v>0</v>
      </c>
      <c r="DI71" s="434">
        <f t="shared" si="108"/>
        <v>0</v>
      </c>
      <c r="DJ71" s="434">
        <f t="shared" si="109"/>
        <v>0</v>
      </c>
      <c r="DK71" s="465">
        <f t="shared" si="110"/>
        <v>0</v>
      </c>
      <c r="DL71" s="48"/>
      <c r="DM71" s="286"/>
      <c r="DN71" s="286"/>
      <c r="DO71" s="286"/>
    </row>
    <row r="72" spans="1:119" s="4" customFormat="1">
      <c r="A72" s="30"/>
      <c r="B72" s="30"/>
      <c r="C72" s="30"/>
      <c r="D72" s="30"/>
      <c r="E72" s="445">
        <f t="shared" si="11"/>
        <v>0</v>
      </c>
      <c r="F72" s="1505">
        <f>'PTRM input'!F272</f>
        <v>0</v>
      </c>
      <c r="G72" s="434">
        <f t="shared" si="111"/>
        <v>0</v>
      </c>
      <c r="H72" s="434">
        <f t="shared" si="12"/>
        <v>0</v>
      </c>
      <c r="I72" s="434">
        <f t="shared" si="13"/>
        <v>0</v>
      </c>
      <c r="J72" s="434">
        <f t="shared" si="14"/>
        <v>0</v>
      </c>
      <c r="K72" s="465">
        <f t="shared" si="15"/>
        <v>0</v>
      </c>
      <c r="L72" s="464">
        <f t="shared" si="16"/>
        <v>0</v>
      </c>
      <c r="M72" s="434">
        <f t="shared" si="17"/>
        <v>0</v>
      </c>
      <c r="N72" s="434">
        <f t="shared" si="18"/>
        <v>0</v>
      </c>
      <c r="O72" s="434">
        <f t="shared" si="19"/>
        <v>0</v>
      </c>
      <c r="P72" s="465">
        <f t="shared" si="20"/>
        <v>0</v>
      </c>
      <c r="Q72" s="464">
        <f>'PTRM input'!G272</f>
        <v>0</v>
      </c>
      <c r="R72" s="434">
        <f t="shared" si="21"/>
        <v>0</v>
      </c>
      <c r="S72" s="434">
        <f t="shared" si="22"/>
        <v>0</v>
      </c>
      <c r="T72" s="434">
        <f t="shared" si="23"/>
        <v>0</v>
      </c>
      <c r="U72" s="434">
        <f t="shared" si="24"/>
        <v>0</v>
      </c>
      <c r="V72" s="465">
        <f t="shared" si="25"/>
        <v>0</v>
      </c>
      <c r="W72" s="464">
        <f t="shared" si="26"/>
        <v>0</v>
      </c>
      <c r="X72" s="434">
        <f t="shared" si="27"/>
        <v>0</v>
      </c>
      <c r="Y72" s="434">
        <f t="shared" si="28"/>
        <v>0</v>
      </c>
      <c r="Z72" s="434">
        <f t="shared" si="29"/>
        <v>0</v>
      </c>
      <c r="AA72" s="465">
        <f t="shared" si="30"/>
        <v>0</v>
      </c>
      <c r="AB72" s="464">
        <f>'PTRM input'!H272</f>
        <v>0</v>
      </c>
      <c r="AC72" s="434">
        <f t="shared" si="31"/>
        <v>0</v>
      </c>
      <c r="AD72" s="434">
        <f t="shared" si="32"/>
        <v>0</v>
      </c>
      <c r="AE72" s="434">
        <f t="shared" si="33"/>
        <v>0</v>
      </c>
      <c r="AF72" s="434">
        <f t="shared" si="34"/>
        <v>0</v>
      </c>
      <c r="AG72" s="465">
        <f t="shared" si="35"/>
        <v>0</v>
      </c>
      <c r="AH72" s="464">
        <f t="shared" si="36"/>
        <v>0</v>
      </c>
      <c r="AI72" s="434">
        <f t="shared" si="37"/>
        <v>0</v>
      </c>
      <c r="AJ72" s="434">
        <f t="shared" si="38"/>
        <v>0</v>
      </c>
      <c r="AK72" s="434">
        <f t="shared" si="39"/>
        <v>0</v>
      </c>
      <c r="AL72" s="465">
        <f t="shared" si="40"/>
        <v>0</v>
      </c>
      <c r="AM72" s="464">
        <f>'PTRM input'!I272</f>
        <v>0</v>
      </c>
      <c r="AN72" s="434">
        <f t="shared" si="41"/>
        <v>0</v>
      </c>
      <c r="AO72" s="434">
        <f t="shared" si="42"/>
        <v>0</v>
      </c>
      <c r="AP72" s="434">
        <f t="shared" si="43"/>
        <v>0</v>
      </c>
      <c r="AQ72" s="434">
        <f t="shared" si="44"/>
        <v>0</v>
      </c>
      <c r="AR72" s="465">
        <f t="shared" si="45"/>
        <v>0</v>
      </c>
      <c r="AS72" s="464">
        <f t="shared" si="46"/>
        <v>0</v>
      </c>
      <c r="AT72" s="434">
        <f t="shared" si="47"/>
        <v>0</v>
      </c>
      <c r="AU72" s="434">
        <f t="shared" si="48"/>
        <v>0</v>
      </c>
      <c r="AV72" s="434">
        <f t="shared" si="49"/>
        <v>0</v>
      </c>
      <c r="AW72" s="465">
        <f t="shared" si="50"/>
        <v>0</v>
      </c>
      <c r="AX72" s="464">
        <f>'PTRM input'!J272</f>
        <v>0</v>
      </c>
      <c r="AY72" s="434">
        <f t="shared" si="51"/>
        <v>0</v>
      </c>
      <c r="AZ72" s="434">
        <f t="shared" si="52"/>
        <v>0</v>
      </c>
      <c r="BA72" s="434">
        <f t="shared" si="53"/>
        <v>0</v>
      </c>
      <c r="BB72" s="434">
        <f t="shared" si="54"/>
        <v>0</v>
      </c>
      <c r="BC72" s="465">
        <f t="shared" si="55"/>
        <v>0</v>
      </c>
      <c r="BD72" s="464">
        <f t="shared" si="56"/>
        <v>0</v>
      </c>
      <c r="BE72" s="434">
        <f t="shared" si="57"/>
        <v>0</v>
      </c>
      <c r="BF72" s="434">
        <f t="shared" si="58"/>
        <v>0</v>
      </c>
      <c r="BG72" s="434">
        <f t="shared" si="59"/>
        <v>0</v>
      </c>
      <c r="BH72" s="465">
        <f t="shared" si="60"/>
        <v>0</v>
      </c>
      <c r="BI72" s="464">
        <f>'PTRM input'!K272</f>
        <v>0</v>
      </c>
      <c r="BJ72" s="434">
        <f t="shared" si="61"/>
        <v>0</v>
      </c>
      <c r="BK72" s="434">
        <f t="shared" si="62"/>
        <v>0</v>
      </c>
      <c r="BL72" s="434">
        <f t="shared" si="63"/>
        <v>0</v>
      </c>
      <c r="BM72" s="434">
        <f t="shared" si="64"/>
        <v>0</v>
      </c>
      <c r="BN72" s="465">
        <f t="shared" si="65"/>
        <v>0</v>
      </c>
      <c r="BO72" s="464">
        <f t="shared" si="66"/>
        <v>0</v>
      </c>
      <c r="BP72" s="434">
        <f t="shared" si="67"/>
        <v>0</v>
      </c>
      <c r="BQ72" s="434">
        <f t="shared" si="68"/>
        <v>0</v>
      </c>
      <c r="BR72" s="434">
        <f t="shared" si="69"/>
        <v>0</v>
      </c>
      <c r="BS72" s="465">
        <f t="shared" si="70"/>
        <v>0</v>
      </c>
      <c r="BT72" s="464">
        <f>'PTRM input'!L272</f>
        <v>0</v>
      </c>
      <c r="BU72" s="434">
        <f t="shared" si="71"/>
        <v>0</v>
      </c>
      <c r="BV72" s="434">
        <f t="shared" si="72"/>
        <v>0</v>
      </c>
      <c r="BW72" s="434">
        <f t="shared" si="73"/>
        <v>0</v>
      </c>
      <c r="BX72" s="434">
        <f t="shared" si="74"/>
        <v>0</v>
      </c>
      <c r="BY72" s="465">
        <f t="shared" si="75"/>
        <v>0</v>
      </c>
      <c r="BZ72" s="464">
        <f t="shared" si="76"/>
        <v>0</v>
      </c>
      <c r="CA72" s="434">
        <f t="shared" si="77"/>
        <v>0</v>
      </c>
      <c r="CB72" s="434">
        <f t="shared" si="78"/>
        <v>0</v>
      </c>
      <c r="CC72" s="434">
        <f t="shared" si="79"/>
        <v>0</v>
      </c>
      <c r="CD72" s="465">
        <f t="shared" si="80"/>
        <v>0</v>
      </c>
      <c r="CE72" s="464">
        <f>'PTRM input'!M272</f>
        <v>0</v>
      </c>
      <c r="CF72" s="434">
        <f t="shared" si="81"/>
        <v>0</v>
      </c>
      <c r="CG72" s="434">
        <f t="shared" si="82"/>
        <v>0</v>
      </c>
      <c r="CH72" s="434">
        <f t="shared" si="83"/>
        <v>0</v>
      </c>
      <c r="CI72" s="434">
        <f t="shared" si="84"/>
        <v>0</v>
      </c>
      <c r="CJ72" s="465">
        <f t="shared" si="85"/>
        <v>0</v>
      </c>
      <c r="CK72" s="464">
        <f t="shared" si="86"/>
        <v>0</v>
      </c>
      <c r="CL72" s="434">
        <f t="shared" si="87"/>
        <v>0</v>
      </c>
      <c r="CM72" s="434">
        <f t="shared" si="88"/>
        <v>0</v>
      </c>
      <c r="CN72" s="434">
        <f t="shared" si="89"/>
        <v>0</v>
      </c>
      <c r="CO72" s="465">
        <f t="shared" si="90"/>
        <v>0</v>
      </c>
      <c r="CP72" s="464">
        <f>'PTRM input'!N272</f>
        <v>0</v>
      </c>
      <c r="CQ72" s="434">
        <f t="shared" si="91"/>
        <v>0</v>
      </c>
      <c r="CR72" s="434">
        <f t="shared" si="92"/>
        <v>0</v>
      </c>
      <c r="CS72" s="434">
        <f t="shared" si="93"/>
        <v>0</v>
      </c>
      <c r="CT72" s="434">
        <f t="shared" si="94"/>
        <v>0</v>
      </c>
      <c r="CU72" s="465">
        <f t="shared" si="95"/>
        <v>0</v>
      </c>
      <c r="CV72" s="464">
        <f t="shared" si="96"/>
        <v>0</v>
      </c>
      <c r="CW72" s="434">
        <f t="shared" si="97"/>
        <v>0</v>
      </c>
      <c r="CX72" s="434">
        <f t="shared" si="98"/>
        <v>0</v>
      </c>
      <c r="CY72" s="434">
        <f t="shared" si="99"/>
        <v>0</v>
      </c>
      <c r="CZ72" s="465">
        <f t="shared" si="100"/>
        <v>0</v>
      </c>
      <c r="DA72" s="464">
        <f>'PTRM input'!O272</f>
        <v>0</v>
      </c>
      <c r="DB72" s="434">
        <f t="shared" si="101"/>
        <v>0</v>
      </c>
      <c r="DC72" s="434">
        <f t="shared" si="102"/>
        <v>0</v>
      </c>
      <c r="DD72" s="434">
        <f t="shared" si="103"/>
        <v>0</v>
      </c>
      <c r="DE72" s="434">
        <f t="shared" si="104"/>
        <v>0</v>
      </c>
      <c r="DF72" s="465">
        <f t="shared" si="105"/>
        <v>0</v>
      </c>
      <c r="DG72" s="464">
        <f t="shared" si="106"/>
        <v>0</v>
      </c>
      <c r="DH72" s="434">
        <f t="shared" si="107"/>
        <v>0</v>
      </c>
      <c r="DI72" s="434">
        <f t="shared" si="108"/>
        <v>0</v>
      </c>
      <c r="DJ72" s="434">
        <f t="shared" si="109"/>
        <v>0</v>
      </c>
      <c r="DK72" s="465">
        <f t="shared" si="110"/>
        <v>0</v>
      </c>
      <c r="DL72" s="48"/>
      <c r="DM72" s="286"/>
      <c r="DN72" s="286"/>
      <c r="DO72" s="286"/>
    </row>
    <row r="73" spans="1:119" s="4" customFormat="1">
      <c r="A73" s="30"/>
      <c r="B73" s="30"/>
      <c r="C73" s="30"/>
      <c r="D73" s="30"/>
      <c r="E73" s="445">
        <f t="shared" si="11"/>
        <v>0</v>
      </c>
      <c r="F73" s="1507">
        <f>'PTRM input'!F273</f>
        <v>0</v>
      </c>
      <c r="G73" s="467">
        <f t="shared" si="111"/>
        <v>0</v>
      </c>
      <c r="H73" s="467">
        <f t="shared" si="12"/>
        <v>0</v>
      </c>
      <c r="I73" s="467">
        <f t="shared" si="13"/>
        <v>0</v>
      </c>
      <c r="J73" s="467">
        <f t="shared" si="14"/>
        <v>0</v>
      </c>
      <c r="K73" s="468">
        <f t="shared" si="15"/>
        <v>0</v>
      </c>
      <c r="L73" s="466">
        <f t="shared" si="16"/>
        <v>0</v>
      </c>
      <c r="M73" s="467">
        <f t="shared" si="17"/>
        <v>0</v>
      </c>
      <c r="N73" s="467">
        <f t="shared" si="18"/>
        <v>0</v>
      </c>
      <c r="O73" s="467">
        <f t="shared" si="19"/>
        <v>0</v>
      </c>
      <c r="P73" s="468">
        <f t="shared" si="20"/>
        <v>0</v>
      </c>
      <c r="Q73" s="466">
        <f>'PTRM input'!G273</f>
        <v>0</v>
      </c>
      <c r="R73" s="467">
        <f t="shared" si="21"/>
        <v>0</v>
      </c>
      <c r="S73" s="467">
        <f t="shared" si="22"/>
        <v>0</v>
      </c>
      <c r="T73" s="467">
        <f t="shared" si="23"/>
        <v>0</v>
      </c>
      <c r="U73" s="467">
        <f t="shared" si="24"/>
        <v>0</v>
      </c>
      <c r="V73" s="468">
        <f t="shared" si="25"/>
        <v>0</v>
      </c>
      <c r="W73" s="466">
        <f t="shared" si="26"/>
        <v>0</v>
      </c>
      <c r="X73" s="467">
        <f t="shared" si="27"/>
        <v>0</v>
      </c>
      <c r="Y73" s="467">
        <f t="shared" si="28"/>
        <v>0</v>
      </c>
      <c r="Z73" s="467">
        <f t="shared" si="29"/>
        <v>0</v>
      </c>
      <c r="AA73" s="468">
        <f t="shared" si="30"/>
        <v>0</v>
      </c>
      <c r="AB73" s="466">
        <f>'PTRM input'!H273</f>
        <v>0</v>
      </c>
      <c r="AC73" s="467">
        <f t="shared" si="31"/>
        <v>0</v>
      </c>
      <c r="AD73" s="467">
        <f t="shared" si="32"/>
        <v>0</v>
      </c>
      <c r="AE73" s="467">
        <f t="shared" si="33"/>
        <v>0</v>
      </c>
      <c r="AF73" s="467">
        <f t="shared" si="34"/>
        <v>0</v>
      </c>
      <c r="AG73" s="468">
        <f t="shared" si="35"/>
        <v>0</v>
      </c>
      <c r="AH73" s="466">
        <f t="shared" si="36"/>
        <v>0</v>
      </c>
      <c r="AI73" s="467">
        <f t="shared" si="37"/>
        <v>0</v>
      </c>
      <c r="AJ73" s="467">
        <f t="shared" si="38"/>
        <v>0</v>
      </c>
      <c r="AK73" s="467">
        <f t="shared" si="39"/>
        <v>0</v>
      </c>
      <c r="AL73" s="468">
        <f t="shared" si="40"/>
        <v>0</v>
      </c>
      <c r="AM73" s="466">
        <f>'PTRM input'!I273</f>
        <v>0</v>
      </c>
      <c r="AN73" s="467">
        <f t="shared" si="41"/>
        <v>0</v>
      </c>
      <c r="AO73" s="467">
        <f t="shared" si="42"/>
        <v>0</v>
      </c>
      <c r="AP73" s="467">
        <f t="shared" si="43"/>
        <v>0</v>
      </c>
      <c r="AQ73" s="467">
        <f t="shared" si="44"/>
        <v>0</v>
      </c>
      <c r="AR73" s="468">
        <f t="shared" si="45"/>
        <v>0</v>
      </c>
      <c r="AS73" s="466">
        <f t="shared" si="46"/>
        <v>0</v>
      </c>
      <c r="AT73" s="467">
        <f t="shared" si="47"/>
        <v>0</v>
      </c>
      <c r="AU73" s="467">
        <f t="shared" si="48"/>
        <v>0</v>
      </c>
      <c r="AV73" s="467">
        <f t="shared" si="49"/>
        <v>0</v>
      </c>
      <c r="AW73" s="468">
        <f t="shared" si="50"/>
        <v>0</v>
      </c>
      <c r="AX73" s="466">
        <f>'PTRM input'!J273</f>
        <v>0</v>
      </c>
      <c r="AY73" s="467">
        <f t="shared" si="51"/>
        <v>0</v>
      </c>
      <c r="AZ73" s="467">
        <f t="shared" si="52"/>
        <v>0</v>
      </c>
      <c r="BA73" s="467">
        <f t="shared" si="53"/>
        <v>0</v>
      </c>
      <c r="BB73" s="467">
        <f t="shared" si="54"/>
        <v>0</v>
      </c>
      <c r="BC73" s="468">
        <f t="shared" si="55"/>
        <v>0</v>
      </c>
      <c r="BD73" s="466">
        <f t="shared" si="56"/>
        <v>0</v>
      </c>
      <c r="BE73" s="467">
        <f t="shared" si="57"/>
        <v>0</v>
      </c>
      <c r="BF73" s="467">
        <f t="shared" si="58"/>
        <v>0</v>
      </c>
      <c r="BG73" s="467">
        <f t="shared" si="59"/>
        <v>0</v>
      </c>
      <c r="BH73" s="468">
        <f t="shared" si="60"/>
        <v>0</v>
      </c>
      <c r="BI73" s="466">
        <f>'PTRM input'!K273</f>
        <v>0</v>
      </c>
      <c r="BJ73" s="467">
        <f t="shared" si="61"/>
        <v>0</v>
      </c>
      <c r="BK73" s="467">
        <f t="shared" si="62"/>
        <v>0</v>
      </c>
      <c r="BL73" s="467">
        <f t="shared" si="63"/>
        <v>0</v>
      </c>
      <c r="BM73" s="467">
        <f t="shared" si="64"/>
        <v>0</v>
      </c>
      <c r="BN73" s="468">
        <f t="shared" si="65"/>
        <v>0</v>
      </c>
      <c r="BO73" s="466">
        <f t="shared" si="66"/>
        <v>0</v>
      </c>
      <c r="BP73" s="467">
        <f t="shared" si="67"/>
        <v>0</v>
      </c>
      <c r="BQ73" s="467">
        <f t="shared" si="68"/>
        <v>0</v>
      </c>
      <c r="BR73" s="467">
        <f t="shared" si="69"/>
        <v>0</v>
      </c>
      <c r="BS73" s="468">
        <f t="shared" si="70"/>
        <v>0</v>
      </c>
      <c r="BT73" s="466">
        <f>'PTRM input'!L273</f>
        <v>0</v>
      </c>
      <c r="BU73" s="467">
        <f t="shared" si="71"/>
        <v>0</v>
      </c>
      <c r="BV73" s="467">
        <f t="shared" si="72"/>
        <v>0</v>
      </c>
      <c r="BW73" s="467">
        <f t="shared" si="73"/>
        <v>0</v>
      </c>
      <c r="BX73" s="467">
        <f t="shared" si="74"/>
        <v>0</v>
      </c>
      <c r="BY73" s="468">
        <f t="shared" si="75"/>
        <v>0</v>
      </c>
      <c r="BZ73" s="466">
        <f t="shared" si="76"/>
        <v>0</v>
      </c>
      <c r="CA73" s="467">
        <f t="shared" si="77"/>
        <v>0</v>
      </c>
      <c r="CB73" s="467">
        <f t="shared" si="78"/>
        <v>0</v>
      </c>
      <c r="CC73" s="467">
        <f t="shared" si="79"/>
        <v>0</v>
      </c>
      <c r="CD73" s="468">
        <f t="shared" si="80"/>
        <v>0</v>
      </c>
      <c r="CE73" s="466">
        <f>'PTRM input'!M273</f>
        <v>0</v>
      </c>
      <c r="CF73" s="467">
        <f t="shared" si="81"/>
        <v>0</v>
      </c>
      <c r="CG73" s="467">
        <f t="shared" si="82"/>
        <v>0</v>
      </c>
      <c r="CH73" s="467">
        <f t="shared" si="83"/>
        <v>0</v>
      </c>
      <c r="CI73" s="467">
        <f t="shared" si="84"/>
        <v>0</v>
      </c>
      <c r="CJ73" s="468">
        <f t="shared" si="85"/>
        <v>0</v>
      </c>
      <c r="CK73" s="466">
        <f t="shared" si="86"/>
        <v>0</v>
      </c>
      <c r="CL73" s="467">
        <f t="shared" si="87"/>
        <v>0</v>
      </c>
      <c r="CM73" s="467">
        <f t="shared" si="88"/>
        <v>0</v>
      </c>
      <c r="CN73" s="467">
        <f t="shared" si="89"/>
        <v>0</v>
      </c>
      <c r="CO73" s="468">
        <f t="shared" si="90"/>
        <v>0</v>
      </c>
      <c r="CP73" s="466">
        <f>'PTRM input'!N273</f>
        <v>0</v>
      </c>
      <c r="CQ73" s="467">
        <f t="shared" si="91"/>
        <v>0</v>
      </c>
      <c r="CR73" s="467">
        <f t="shared" si="92"/>
        <v>0</v>
      </c>
      <c r="CS73" s="467">
        <f t="shared" si="93"/>
        <v>0</v>
      </c>
      <c r="CT73" s="467">
        <f t="shared" si="94"/>
        <v>0</v>
      </c>
      <c r="CU73" s="468">
        <f t="shared" si="95"/>
        <v>0</v>
      </c>
      <c r="CV73" s="466">
        <f t="shared" si="96"/>
        <v>0</v>
      </c>
      <c r="CW73" s="467">
        <f t="shared" si="97"/>
        <v>0</v>
      </c>
      <c r="CX73" s="467">
        <f t="shared" si="98"/>
        <v>0</v>
      </c>
      <c r="CY73" s="467">
        <f t="shared" si="99"/>
        <v>0</v>
      </c>
      <c r="CZ73" s="468">
        <f t="shared" si="100"/>
        <v>0</v>
      </c>
      <c r="DA73" s="466">
        <f>'PTRM input'!O273</f>
        <v>0</v>
      </c>
      <c r="DB73" s="467">
        <f t="shared" si="101"/>
        <v>0</v>
      </c>
      <c r="DC73" s="467">
        <f t="shared" si="102"/>
        <v>0</v>
      </c>
      <c r="DD73" s="467">
        <f t="shared" si="103"/>
        <v>0</v>
      </c>
      <c r="DE73" s="467">
        <f t="shared" si="104"/>
        <v>0</v>
      </c>
      <c r="DF73" s="468">
        <f t="shared" si="105"/>
        <v>0</v>
      </c>
      <c r="DG73" s="466">
        <f t="shared" si="106"/>
        <v>0</v>
      </c>
      <c r="DH73" s="467">
        <f t="shared" si="107"/>
        <v>0</v>
      </c>
      <c r="DI73" s="467">
        <f t="shared" si="108"/>
        <v>0</v>
      </c>
      <c r="DJ73" s="467">
        <f t="shared" si="109"/>
        <v>0</v>
      </c>
      <c r="DK73" s="468">
        <f t="shared" si="110"/>
        <v>0</v>
      </c>
      <c r="DL73" s="48"/>
      <c r="DM73" s="286"/>
      <c r="DN73" s="286"/>
      <c r="DO73" s="286"/>
    </row>
    <row r="74" spans="1:119" s="4" customFormat="1">
      <c r="A74" s="23"/>
      <c r="B74" s="23"/>
      <c r="C74" s="23"/>
      <c r="D74" s="23"/>
      <c r="E74" s="456"/>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c r="BB74" s="456"/>
      <c r="BC74" s="456"/>
      <c r="BD74" s="456"/>
      <c r="BE74" s="456"/>
      <c r="BF74" s="456"/>
      <c r="BG74" s="456"/>
      <c r="BH74" s="456"/>
      <c r="BI74" s="456"/>
      <c r="BJ74" s="456"/>
      <c r="BK74" s="456"/>
      <c r="BL74" s="456"/>
      <c r="BM74" s="456"/>
      <c r="BN74" s="456"/>
      <c r="BO74" s="456"/>
      <c r="BP74" s="456"/>
      <c r="BQ74" s="456"/>
      <c r="BR74" s="456"/>
      <c r="BS74" s="456"/>
      <c r="BT74" s="456"/>
      <c r="BU74" s="456"/>
      <c r="BV74" s="456"/>
      <c r="BW74" s="456"/>
      <c r="BX74" s="456"/>
      <c r="BY74" s="456"/>
      <c r="BZ74" s="456"/>
      <c r="CA74" s="456"/>
      <c r="CB74" s="456"/>
      <c r="CC74" s="456"/>
      <c r="CD74" s="456"/>
      <c r="CE74" s="456"/>
      <c r="CF74" s="456"/>
      <c r="CG74" s="456"/>
      <c r="CH74" s="456"/>
      <c r="CI74" s="456"/>
      <c r="CJ74" s="456"/>
      <c r="CK74" s="456"/>
      <c r="CL74" s="456"/>
      <c r="CM74" s="456"/>
      <c r="CN74" s="456"/>
      <c r="CO74" s="456"/>
      <c r="CP74" s="456"/>
      <c r="CQ74" s="456"/>
      <c r="CR74" s="456"/>
      <c r="CS74" s="456"/>
      <c r="CT74" s="456"/>
      <c r="CU74" s="456"/>
      <c r="CV74" s="456"/>
      <c r="CW74" s="456"/>
      <c r="CX74" s="456"/>
      <c r="CY74" s="456"/>
      <c r="CZ74" s="456"/>
      <c r="DA74" s="456"/>
      <c r="DB74" s="456"/>
      <c r="DC74" s="456"/>
      <c r="DD74" s="456"/>
      <c r="DE74" s="456"/>
      <c r="DF74" s="456"/>
      <c r="DG74" s="434"/>
      <c r="DH74" s="434"/>
      <c r="DI74" s="434"/>
      <c r="DJ74" s="434"/>
      <c r="DK74" s="434"/>
      <c r="DL74" s="285"/>
      <c r="DM74" s="286"/>
      <c r="DN74" s="286"/>
      <c r="DO74" s="286"/>
    </row>
    <row r="75" spans="1:119" s="4" customFormat="1">
      <c r="A75" s="23"/>
      <c r="B75" s="23"/>
      <c r="C75" s="23"/>
      <c r="D75" s="23"/>
      <c r="E75" s="21"/>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286"/>
      <c r="DN75" s="286"/>
      <c r="DO75" s="286"/>
    </row>
    <row r="76" spans="1:119" s="4" customFormat="1">
      <c r="A76" s="477"/>
      <c r="B76" s="477"/>
      <c r="C76" s="477"/>
      <c r="D76" s="477"/>
      <c r="E76" s="21"/>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286"/>
      <c r="DN76" s="286"/>
      <c r="DO76" s="286"/>
    </row>
    <row r="77" spans="1:119" s="4" customFormat="1">
      <c r="A77" s="116"/>
      <c r="B77" s="480"/>
      <c r="C77" s="480"/>
      <c r="D77" s="480"/>
      <c r="E77" s="1619" t="s">
        <v>322</v>
      </c>
      <c r="F77" s="1619"/>
      <c r="G77" s="1619"/>
      <c r="H77" s="117"/>
      <c r="I77" s="117"/>
      <c r="J77" s="117"/>
      <c r="K77" s="117"/>
      <c r="L77" s="117"/>
      <c r="M77" s="117"/>
      <c r="N77" s="117"/>
      <c r="O77" s="117"/>
      <c r="P77" s="117"/>
      <c r="Q77" s="117"/>
      <c r="R77" s="117"/>
      <c r="S77" s="117"/>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6"/>
      <c r="CB77" s="116"/>
      <c r="CC77" s="116"/>
      <c r="CD77" s="116"/>
      <c r="CE77" s="116"/>
      <c r="CF77" s="116"/>
      <c r="CG77" s="116"/>
      <c r="CH77" s="116"/>
      <c r="CI77" s="116"/>
      <c r="CJ77" s="116"/>
      <c r="CK77" s="116"/>
      <c r="CL77" s="116"/>
      <c r="CM77" s="116"/>
      <c r="CN77" s="116"/>
      <c r="CO77" s="116"/>
      <c r="CP77" s="116"/>
      <c r="CQ77" s="116"/>
      <c r="CR77" s="116"/>
      <c r="CS77" s="116"/>
      <c r="CT77" s="116"/>
      <c r="CU77" s="116"/>
      <c r="CV77" s="116"/>
      <c r="CW77" s="116"/>
      <c r="CX77" s="116"/>
      <c r="CY77" s="116"/>
      <c r="CZ77" s="116"/>
      <c r="DA77" s="116"/>
      <c r="DB77" s="116"/>
      <c r="DC77" s="116"/>
      <c r="DD77" s="116"/>
      <c r="DE77" s="116"/>
      <c r="DF77" s="116"/>
      <c r="DG77" s="116"/>
      <c r="DH77" s="116"/>
      <c r="DI77" s="116"/>
      <c r="DJ77" s="116"/>
      <c r="DK77" s="116"/>
      <c r="DL77" s="116"/>
      <c r="DM77" s="240"/>
      <c r="DN77" s="240"/>
      <c r="DO77" s="240"/>
    </row>
    <row r="78" spans="1:119">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c r="BT78" s="240"/>
      <c r="BU78" s="240"/>
      <c r="BV78" s="240"/>
      <c r="BW78" s="240"/>
      <c r="BX78" s="240"/>
      <c r="BY78" s="240"/>
      <c r="BZ78" s="240"/>
      <c r="CA78" s="240"/>
      <c r="CB78" s="240"/>
      <c r="CC78" s="240"/>
      <c r="CD78" s="240"/>
      <c r="CE78" s="240"/>
      <c r="CF78" s="240"/>
      <c r="CG78" s="240"/>
      <c r="CH78" s="240"/>
      <c r="CI78" s="240"/>
      <c r="CJ78" s="240"/>
      <c r="CK78" s="240"/>
      <c r="CL78" s="240"/>
      <c r="CM78" s="240"/>
      <c r="CN78" s="240"/>
      <c r="CO78" s="240"/>
      <c r="CP78" s="240"/>
      <c r="CQ78" s="240"/>
      <c r="CR78" s="240"/>
      <c r="CS78" s="240"/>
      <c r="CT78" s="240"/>
      <c r="CU78" s="240"/>
      <c r="CV78" s="240"/>
      <c r="CW78" s="240"/>
      <c r="CX78" s="240"/>
      <c r="CY78" s="240"/>
      <c r="CZ78" s="240"/>
      <c r="DA78" s="240"/>
      <c r="DB78" s="240"/>
      <c r="DC78" s="240"/>
      <c r="DD78" s="240"/>
      <c r="DE78" s="240"/>
      <c r="DF78" s="240"/>
      <c r="DG78" s="240"/>
      <c r="DH78" s="240"/>
      <c r="DI78" s="240"/>
      <c r="DJ78" s="240"/>
      <c r="DK78" s="240"/>
      <c r="DL78" s="240"/>
      <c r="DM78" s="240"/>
      <c r="DN78" s="240"/>
      <c r="DO78" s="240"/>
    </row>
    <row r="79" spans="1:119">
      <c r="A79" s="95"/>
      <c r="B79" s="95"/>
      <c r="C79" s="95"/>
      <c r="D79" s="95"/>
      <c r="E79" s="423" t="s">
        <v>174</v>
      </c>
      <c r="F79" s="1602" t="s">
        <v>185</v>
      </c>
      <c r="G79" s="1600"/>
      <c r="H79" s="1600"/>
      <c r="I79" s="1600"/>
      <c r="J79" s="1600"/>
      <c r="K79" s="1601"/>
      <c r="L79" s="1602" t="str">
        <f>F79&amp;" [years 6-10]"</f>
        <v>Standing Charge [years 6-10]</v>
      </c>
      <c r="M79" s="1600"/>
      <c r="N79" s="1600"/>
      <c r="O79" s="1600"/>
      <c r="P79" s="1601"/>
      <c r="Q79" s="1602" t="s">
        <v>186</v>
      </c>
      <c r="R79" s="1600"/>
      <c r="S79" s="1600"/>
      <c r="T79" s="1600"/>
      <c r="U79" s="1600"/>
      <c r="V79" s="1601"/>
      <c r="W79" s="1602" t="str">
        <f>Q79&amp;" [years 6-10]"</f>
        <v>Non TOU Energy [years 6-10]</v>
      </c>
      <c r="X79" s="1600"/>
      <c r="Y79" s="1600"/>
      <c r="Z79" s="1600"/>
      <c r="AA79" s="1601"/>
      <c r="AB79" s="1602" t="s">
        <v>187</v>
      </c>
      <c r="AC79" s="1600"/>
      <c r="AD79" s="1600"/>
      <c r="AE79" s="1600"/>
      <c r="AF79" s="1600"/>
      <c r="AG79" s="1601"/>
      <c r="AH79" s="1602" t="str">
        <f>AB79&amp;" [years 6-10]"</f>
        <v>Peak Energy BLK 1 [years 6-10]</v>
      </c>
      <c r="AI79" s="1600"/>
      <c r="AJ79" s="1600"/>
      <c r="AK79" s="1600"/>
      <c r="AL79" s="1601"/>
      <c r="AM79" s="1602" t="s">
        <v>188</v>
      </c>
      <c r="AN79" s="1600"/>
      <c r="AO79" s="1600"/>
      <c r="AP79" s="1600"/>
      <c r="AQ79" s="1600"/>
      <c r="AR79" s="1601"/>
      <c r="AS79" s="1602" t="str">
        <f>AM79&amp;" [years 6-10]"</f>
        <v>Peak Energy BLK 2 [years 6-10]</v>
      </c>
      <c r="AT79" s="1600"/>
      <c r="AU79" s="1600"/>
      <c r="AV79" s="1600"/>
      <c r="AW79" s="1601"/>
      <c r="AX79" s="1602" t="s">
        <v>189</v>
      </c>
      <c r="AY79" s="1600"/>
      <c r="AZ79" s="1600"/>
      <c r="BA79" s="1600"/>
      <c r="BB79" s="1600"/>
      <c r="BC79" s="1601"/>
      <c r="BD79" s="1602" t="str">
        <f>AX79&amp;" [years 6-10]"</f>
        <v>Off Peak Energy BLK 1 [years 6-10]</v>
      </c>
      <c r="BE79" s="1600"/>
      <c r="BF79" s="1600"/>
      <c r="BG79" s="1600"/>
      <c r="BH79" s="1601"/>
      <c r="BI79" s="1602" t="s">
        <v>190</v>
      </c>
      <c r="BJ79" s="1600"/>
      <c r="BK79" s="1600"/>
      <c r="BL79" s="1600"/>
      <c r="BM79" s="1600"/>
      <c r="BN79" s="1601"/>
      <c r="BO79" s="1602" t="str">
        <f>BI79&amp;" [years 6-10]"</f>
        <v>Off Peak Energy BLK 2 [years 6-10]</v>
      </c>
      <c r="BP79" s="1600"/>
      <c r="BQ79" s="1600"/>
      <c r="BR79" s="1600"/>
      <c r="BS79" s="1601"/>
      <c r="BT79" s="1602" t="s">
        <v>191</v>
      </c>
      <c r="BU79" s="1600"/>
      <c r="BV79" s="1600"/>
      <c r="BW79" s="1600"/>
      <c r="BX79" s="1600"/>
      <c r="BY79" s="1601"/>
      <c r="BZ79" s="1602" t="str">
        <f>BT79&amp;" [years 6-10]"</f>
        <v>Peak Demand BLK 1 [years 6-10]</v>
      </c>
      <c r="CA79" s="1600"/>
      <c r="CB79" s="1600"/>
      <c r="CC79" s="1600"/>
      <c r="CD79" s="1601"/>
      <c r="CE79" s="1602" t="s">
        <v>192</v>
      </c>
      <c r="CF79" s="1600"/>
      <c r="CG79" s="1600"/>
      <c r="CH79" s="1600"/>
      <c r="CI79" s="1600"/>
      <c r="CJ79" s="1601"/>
      <c r="CK79" s="1602" t="str">
        <f>CE79&amp;" [years 6-10]"</f>
        <v>Peak Demand BLK 2 [years 6-10]</v>
      </c>
      <c r="CL79" s="1600"/>
      <c r="CM79" s="1600"/>
      <c r="CN79" s="1600"/>
      <c r="CO79" s="1601"/>
      <c r="CP79" s="1602" t="s">
        <v>193</v>
      </c>
      <c r="CQ79" s="1600"/>
      <c r="CR79" s="1600"/>
      <c r="CS79" s="1600"/>
      <c r="CT79" s="1600"/>
      <c r="CU79" s="1601"/>
      <c r="CV79" s="1602" t="str">
        <f>CP79&amp;" [years 6-10]"</f>
        <v>Off Peak Demand BLK 1 [years 6-10]</v>
      </c>
      <c r="CW79" s="1600"/>
      <c r="CX79" s="1600"/>
      <c r="CY79" s="1600"/>
      <c r="CZ79" s="1601"/>
      <c r="DA79" s="1602" t="s">
        <v>194</v>
      </c>
      <c r="DB79" s="1600"/>
      <c r="DC79" s="1600"/>
      <c r="DD79" s="1600"/>
      <c r="DE79" s="1600"/>
      <c r="DF79" s="1601"/>
      <c r="DG79" s="1602" t="str">
        <f>DA79&amp;" [years 6-10]"</f>
        <v>Off Peak Demand BLK 2 [years 6-10]</v>
      </c>
      <c r="DH79" s="1600"/>
      <c r="DI79" s="1600"/>
      <c r="DJ79" s="1600"/>
      <c r="DK79" s="1601"/>
      <c r="DL79" s="48"/>
      <c r="DM79" s="240"/>
      <c r="DN79" s="240"/>
      <c r="DO79" s="240"/>
    </row>
    <row r="80" spans="1:119">
      <c r="A80" s="30"/>
      <c r="B80" s="30"/>
      <c r="C80" s="30"/>
      <c r="D80" s="30"/>
      <c r="E80" s="60" t="s">
        <v>54</v>
      </c>
      <c r="F80" s="424" t="str">
        <f>$F$4</f>
        <v>2009-10</v>
      </c>
      <c r="G80" s="425" t="str">
        <f>$G$4</f>
        <v>2010-11</v>
      </c>
      <c r="H80" s="425" t="str">
        <f>$H$4</f>
        <v>2011-12</v>
      </c>
      <c r="I80" s="425" t="str">
        <f>$I$4</f>
        <v>2012-13</v>
      </c>
      <c r="J80" s="425" t="str">
        <f>$J$4</f>
        <v>2013-14</v>
      </c>
      <c r="K80" s="426" t="str">
        <f>$K$4</f>
        <v>2014-15</v>
      </c>
      <c r="L80" s="424" t="str">
        <f>$L$4</f>
        <v>2015-16</v>
      </c>
      <c r="M80" s="425" t="str">
        <f>$M$4</f>
        <v>2016-17</v>
      </c>
      <c r="N80" s="425" t="str">
        <f>$N$4</f>
        <v>2017-18</v>
      </c>
      <c r="O80" s="425" t="str">
        <f>$O$4</f>
        <v>2018-19</v>
      </c>
      <c r="P80" s="426" t="str">
        <f>$P$4</f>
        <v>2019-20</v>
      </c>
      <c r="Q80" s="424" t="str">
        <f>$F$4</f>
        <v>2009-10</v>
      </c>
      <c r="R80" s="425" t="str">
        <f>$G$4</f>
        <v>2010-11</v>
      </c>
      <c r="S80" s="425" t="str">
        <f>$H$4</f>
        <v>2011-12</v>
      </c>
      <c r="T80" s="425" t="str">
        <f>$I$4</f>
        <v>2012-13</v>
      </c>
      <c r="U80" s="425" t="str">
        <f>$J$4</f>
        <v>2013-14</v>
      </c>
      <c r="V80" s="426" t="str">
        <f>$K$4</f>
        <v>2014-15</v>
      </c>
      <c r="W80" s="424" t="str">
        <f>$L$4</f>
        <v>2015-16</v>
      </c>
      <c r="X80" s="425" t="str">
        <f>$M$4</f>
        <v>2016-17</v>
      </c>
      <c r="Y80" s="425" t="str">
        <f>$N$4</f>
        <v>2017-18</v>
      </c>
      <c r="Z80" s="425" t="str">
        <f>$O$4</f>
        <v>2018-19</v>
      </c>
      <c r="AA80" s="426" t="str">
        <f>$P$4</f>
        <v>2019-20</v>
      </c>
      <c r="AB80" s="424" t="str">
        <f>$F$4</f>
        <v>2009-10</v>
      </c>
      <c r="AC80" s="425" t="str">
        <f>$G$4</f>
        <v>2010-11</v>
      </c>
      <c r="AD80" s="425" t="str">
        <f>$H$4</f>
        <v>2011-12</v>
      </c>
      <c r="AE80" s="425" t="str">
        <f>$I$4</f>
        <v>2012-13</v>
      </c>
      <c r="AF80" s="425" t="str">
        <f>$J$4</f>
        <v>2013-14</v>
      </c>
      <c r="AG80" s="426" t="str">
        <f>$K$4</f>
        <v>2014-15</v>
      </c>
      <c r="AH80" s="424" t="str">
        <f>$L$4</f>
        <v>2015-16</v>
      </c>
      <c r="AI80" s="425" t="str">
        <f>$M$4</f>
        <v>2016-17</v>
      </c>
      <c r="AJ80" s="425" t="str">
        <f>$N$4</f>
        <v>2017-18</v>
      </c>
      <c r="AK80" s="425" t="str">
        <f>$O$4</f>
        <v>2018-19</v>
      </c>
      <c r="AL80" s="426" t="str">
        <f>$P$4</f>
        <v>2019-20</v>
      </c>
      <c r="AM80" s="424" t="str">
        <f>$F$4</f>
        <v>2009-10</v>
      </c>
      <c r="AN80" s="425" t="str">
        <f>$G$4</f>
        <v>2010-11</v>
      </c>
      <c r="AO80" s="425" t="str">
        <f>$H$4</f>
        <v>2011-12</v>
      </c>
      <c r="AP80" s="425" t="str">
        <f>$I$4</f>
        <v>2012-13</v>
      </c>
      <c r="AQ80" s="425" t="str">
        <f>$J$4</f>
        <v>2013-14</v>
      </c>
      <c r="AR80" s="426" t="str">
        <f>$K$4</f>
        <v>2014-15</v>
      </c>
      <c r="AS80" s="424" t="str">
        <f>$L$4</f>
        <v>2015-16</v>
      </c>
      <c r="AT80" s="425" t="str">
        <f>$M$4</f>
        <v>2016-17</v>
      </c>
      <c r="AU80" s="425" t="str">
        <f>$N$4</f>
        <v>2017-18</v>
      </c>
      <c r="AV80" s="425" t="str">
        <f>$O$4</f>
        <v>2018-19</v>
      </c>
      <c r="AW80" s="426" t="str">
        <f>$P$4</f>
        <v>2019-20</v>
      </c>
      <c r="AX80" s="424" t="str">
        <f>$F$4</f>
        <v>2009-10</v>
      </c>
      <c r="AY80" s="425" t="str">
        <f>$G$4</f>
        <v>2010-11</v>
      </c>
      <c r="AZ80" s="425" t="str">
        <f>$H$4</f>
        <v>2011-12</v>
      </c>
      <c r="BA80" s="425" t="str">
        <f>$I$4</f>
        <v>2012-13</v>
      </c>
      <c r="BB80" s="425" t="str">
        <f>$J$4</f>
        <v>2013-14</v>
      </c>
      <c r="BC80" s="426" t="str">
        <f>$K$4</f>
        <v>2014-15</v>
      </c>
      <c r="BD80" s="424" t="str">
        <f>$L$4</f>
        <v>2015-16</v>
      </c>
      <c r="BE80" s="425" t="str">
        <f>$M$4</f>
        <v>2016-17</v>
      </c>
      <c r="BF80" s="425" t="str">
        <f>$N$4</f>
        <v>2017-18</v>
      </c>
      <c r="BG80" s="425" t="str">
        <f>$O$4</f>
        <v>2018-19</v>
      </c>
      <c r="BH80" s="426" t="str">
        <f>$P$4</f>
        <v>2019-20</v>
      </c>
      <c r="BI80" s="424" t="str">
        <f>$F$4</f>
        <v>2009-10</v>
      </c>
      <c r="BJ80" s="425" t="str">
        <f>$G$4</f>
        <v>2010-11</v>
      </c>
      <c r="BK80" s="425" t="str">
        <f>$H$4</f>
        <v>2011-12</v>
      </c>
      <c r="BL80" s="425" t="str">
        <f>$I$4</f>
        <v>2012-13</v>
      </c>
      <c r="BM80" s="425" t="str">
        <f>$J$4</f>
        <v>2013-14</v>
      </c>
      <c r="BN80" s="426" t="str">
        <f>$K$4</f>
        <v>2014-15</v>
      </c>
      <c r="BO80" s="424" t="str">
        <f>$L$4</f>
        <v>2015-16</v>
      </c>
      <c r="BP80" s="425" t="str">
        <f>$M$4</f>
        <v>2016-17</v>
      </c>
      <c r="BQ80" s="425" t="str">
        <f>$N$4</f>
        <v>2017-18</v>
      </c>
      <c r="BR80" s="425" t="str">
        <f>$O$4</f>
        <v>2018-19</v>
      </c>
      <c r="BS80" s="426" t="str">
        <f>$P$4</f>
        <v>2019-20</v>
      </c>
      <c r="BT80" s="424" t="str">
        <f>$F$4</f>
        <v>2009-10</v>
      </c>
      <c r="BU80" s="425" t="str">
        <f>$G$4</f>
        <v>2010-11</v>
      </c>
      <c r="BV80" s="425" t="str">
        <f>$H$4</f>
        <v>2011-12</v>
      </c>
      <c r="BW80" s="425" t="str">
        <f>$I$4</f>
        <v>2012-13</v>
      </c>
      <c r="BX80" s="425" t="str">
        <f>$J$4</f>
        <v>2013-14</v>
      </c>
      <c r="BY80" s="426" t="str">
        <f>$K$4</f>
        <v>2014-15</v>
      </c>
      <c r="BZ80" s="424" t="str">
        <f>$L$4</f>
        <v>2015-16</v>
      </c>
      <c r="CA80" s="425" t="str">
        <f>$M$4</f>
        <v>2016-17</v>
      </c>
      <c r="CB80" s="425" t="str">
        <f>$N$4</f>
        <v>2017-18</v>
      </c>
      <c r="CC80" s="425" t="str">
        <f>$O$4</f>
        <v>2018-19</v>
      </c>
      <c r="CD80" s="426" t="str">
        <f>$P$4</f>
        <v>2019-20</v>
      </c>
      <c r="CE80" s="424" t="str">
        <f>$F$4</f>
        <v>2009-10</v>
      </c>
      <c r="CF80" s="425" t="str">
        <f>$G$4</f>
        <v>2010-11</v>
      </c>
      <c r="CG80" s="425" t="str">
        <f>$H$4</f>
        <v>2011-12</v>
      </c>
      <c r="CH80" s="425" t="str">
        <f>$I$4</f>
        <v>2012-13</v>
      </c>
      <c r="CI80" s="425" t="str">
        <f>$J$4</f>
        <v>2013-14</v>
      </c>
      <c r="CJ80" s="426" t="str">
        <f>$K$4</f>
        <v>2014-15</v>
      </c>
      <c r="CK80" s="424" t="str">
        <f>$L$4</f>
        <v>2015-16</v>
      </c>
      <c r="CL80" s="425" t="str">
        <f>$M$4</f>
        <v>2016-17</v>
      </c>
      <c r="CM80" s="425" t="str">
        <f>$N$4</f>
        <v>2017-18</v>
      </c>
      <c r="CN80" s="425" t="str">
        <f>$O$4</f>
        <v>2018-19</v>
      </c>
      <c r="CO80" s="426" t="str">
        <f>$P$4</f>
        <v>2019-20</v>
      </c>
      <c r="CP80" s="424" t="str">
        <f>$F$4</f>
        <v>2009-10</v>
      </c>
      <c r="CQ80" s="425" t="str">
        <f>$G$4</f>
        <v>2010-11</v>
      </c>
      <c r="CR80" s="425" t="str">
        <f>$H$4</f>
        <v>2011-12</v>
      </c>
      <c r="CS80" s="425" t="str">
        <f>$I$4</f>
        <v>2012-13</v>
      </c>
      <c r="CT80" s="425" t="str">
        <f>$J$4</f>
        <v>2013-14</v>
      </c>
      <c r="CU80" s="426" t="str">
        <f>$K$4</f>
        <v>2014-15</v>
      </c>
      <c r="CV80" s="424" t="str">
        <f>$L$4</f>
        <v>2015-16</v>
      </c>
      <c r="CW80" s="425" t="str">
        <f>$M$4</f>
        <v>2016-17</v>
      </c>
      <c r="CX80" s="425" t="str">
        <f>$N$4</f>
        <v>2017-18</v>
      </c>
      <c r="CY80" s="425" t="str">
        <f>$O$4</f>
        <v>2018-19</v>
      </c>
      <c r="CZ80" s="426" t="str">
        <f>$P$4</f>
        <v>2019-20</v>
      </c>
      <c r="DA80" s="424" t="str">
        <f>$F$4</f>
        <v>2009-10</v>
      </c>
      <c r="DB80" s="425" t="str">
        <f>$G$4</f>
        <v>2010-11</v>
      </c>
      <c r="DC80" s="425" t="str">
        <f>$H$4</f>
        <v>2011-12</v>
      </c>
      <c r="DD80" s="425" t="str">
        <f>$I$4</f>
        <v>2012-13</v>
      </c>
      <c r="DE80" s="425" t="str">
        <f>$J$4</f>
        <v>2013-14</v>
      </c>
      <c r="DF80" s="426" t="str">
        <f>$K$4</f>
        <v>2014-15</v>
      </c>
      <c r="DG80" s="424" t="str">
        <f>$L$4</f>
        <v>2015-16</v>
      </c>
      <c r="DH80" s="425" t="str">
        <f>$M$4</f>
        <v>2016-17</v>
      </c>
      <c r="DI80" s="425" t="str">
        <f>$N$4</f>
        <v>2017-18</v>
      </c>
      <c r="DJ80" s="425" t="str">
        <f>$O$4</f>
        <v>2018-19</v>
      </c>
      <c r="DK80" s="426" t="str">
        <f>$P$4</f>
        <v>2019-20</v>
      </c>
      <c r="DL80" s="48"/>
      <c r="DM80" s="240"/>
      <c r="DN80" s="240"/>
      <c r="DO80" s="240"/>
    </row>
    <row r="81" spans="1:119" s="210" customFormat="1">
      <c r="A81" s="30"/>
      <c r="B81" s="30"/>
      <c r="C81" s="30"/>
      <c r="D81" s="30"/>
      <c r="E81" s="445" t="str">
        <f t="shared" ref="E81:E106" si="112">E14</f>
        <v>Residential A</v>
      </c>
      <c r="F81" s="1506">
        <f t="shared" ref="F81:P81" si="113">F48*F14</f>
        <v>100000000</v>
      </c>
      <c r="G81" s="434">
        <f t="shared" si="113"/>
        <v>108821990.12036309</v>
      </c>
      <c r="H81" s="434">
        <f t="shared" si="113"/>
        <v>110437814.95168142</v>
      </c>
      <c r="I81" s="434">
        <f t="shared" si="113"/>
        <v>114161227.17845121</v>
      </c>
      <c r="J81" s="434">
        <f t="shared" si="113"/>
        <v>118010174.2921302</v>
      </c>
      <c r="K81" s="465">
        <f t="shared" si="113"/>
        <v>121988888.70290335</v>
      </c>
      <c r="L81" s="464">
        <f t="shared" si="113"/>
        <v>126101745.51671459</v>
      </c>
      <c r="M81" s="434">
        <f t="shared" si="113"/>
        <v>130353267.34625618</v>
      </c>
      <c r="N81" s="434">
        <f t="shared" si="113"/>
        <v>134748129.28416029</v>
      </c>
      <c r="O81" s="434">
        <f t="shared" si="113"/>
        <v>139291164.04386207</v>
      </c>
      <c r="P81" s="465">
        <f t="shared" si="113"/>
        <v>143987367.27378678</v>
      </c>
      <c r="Q81" s="464">
        <f t="shared" ref="Q81:V90" si="114">Q48*Q14/100</f>
        <v>100000000</v>
      </c>
      <c r="R81" s="434">
        <f t="shared" si="114"/>
        <v>106261472.70576632</v>
      </c>
      <c r="S81" s="434">
        <f t="shared" si="114"/>
        <v>105301883.34977625</v>
      </c>
      <c r="T81" s="434">
        <f t="shared" si="114"/>
        <v>106290910.81568913</v>
      </c>
      <c r="U81" s="434">
        <f t="shared" si="114"/>
        <v>107289227.52978271</v>
      </c>
      <c r="V81" s="465">
        <f t="shared" si="114"/>
        <v>108296920.73951447</v>
      </c>
      <c r="W81" s="464">
        <f t="shared" ref="W81:AA90" si="115">W48*W14/100</f>
        <v>109314078.51179659</v>
      </c>
      <c r="X81" s="434">
        <f t="shared" si="115"/>
        <v>110340789.7406927</v>
      </c>
      <c r="Y81" s="434">
        <f t="shared" si="115"/>
        <v>111377144.15518664</v>
      </c>
      <c r="Z81" s="434">
        <f t="shared" si="115"/>
        <v>112423232.32702421</v>
      </c>
      <c r="AA81" s="465">
        <f t="shared" si="115"/>
        <v>113479145.67862874</v>
      </c>
      <c r="AB81" s="464">
        <f t="shared" ref="AB81:AG90" si="116">AB48*AB14/100</f>
        <v>0</v>
      </c>
      <c r="AC81" s="434">
        <f t="shared" si="116"/>
        <v>0</v>
      </c>
      <c r="AD81" s="434">
        <f t="shared" si="116"/>
        <v>0</v>
      </c>
      <c r="AE81" s="434">
        <f t="shared" si="116"/>
        <v>0</v>
      </c>
      <c r="AF81" s="434">
        <f t="shared" si="116"/>
        <v>0</v>
      </c>
      <c r="AG81" s="465">
        <f t="shared" si="116"/>
        <v>0</v>
      </c>
      <c r="AH81" s="464">
        <f t="shared" ref="AH81:AL90" si="117">AH48*AH14/100</f>
        <v>0</v>
      </c>
      <c r="AI81" s="434">
        <f t="shared" si="117"/>
        <v>0</v>
      </c>
      <c r="AJ81" s="434">
        <f t="shared" si="117"/>
        <v>0</v>
      </c>
      <c r="AK81" s="434">
        <f t="shared" si="117"/>
        <v>0</v>
      </c>
      <c r="AL81" s="465">
        <f t="shared" si="117"/>
        <v>0</v>
      </c>
      <c r="AM81" s="464">
        <f t="shared" ref="AM81:AR90" si="118">AM48*AM14/100</f>
        <v>0</v>
      </c>
      <c r="AN81" s="434">
        <f t="shared" si="118"/>
        <v>0</v>
      </c>
      <c r="AO81" s="434">
        <f t="shared" si="118"/>
        <v>0</v>
      </c>
      <c r="AP81" s="434">
        <f t="shared" si="118"/>
        <v>0</v>
      </c>
      <c r="AQ81" s="434">
        <f t="shared" si="118"/>
        <v>0</v>
      </c>
      <c r="AR81" s="465">
        <f t="shared" si="118"/>
        <v>0</v>
      </c>
      <c r="AS81" s="464">
        <f t="shared" ref="AS81:AW90" si="119">AS48*AS14/100</f>
        <v>0</v>
      </c>
      <c r="AT81" s="434">
        <f t="shared" si="119"/>
        <v>0</v>
      </c>
      <c r="AU81" s="434">
        <f t="shared" si="119"/>
        <v>0</v>
      </c>
      <c r="AV81" s="434">
        <f t="shared" si="119"/>
        <v>0</v>
      </c>
      <c r="AW81" s="465">
        <f t="shared" si="119"/>
        <v>0</v>
      </c>
      <c r="AX81" s="464">
        <f t="shared" ref="AX81:BC90" si="120">AX48*AX14/100</f>
        <v>0</v>
      </c>
      <c r="AY81" s="434">
        <f t="shared" si="120"/>
        <v>0</v>
      </c>
      <c r="AZ81" s="434">
        <f t="shared" si="120"/>
        <v>0</v>
      </c>
      <c r="BA81" s="434">
        <f t="shared" si="120"/>
        <v>0</v>
      </c>
      <c r="BB81" s="434">
        <f t="shared" si="120"/>
        <v>0</v>
      </c>
      <c r="BC81" s="465">
        <f t="shared" si="120"/>
        <v>0</v>
      </c>
      <c r="BD81" s="464">
        <f t="shared" ref="BD81:BH90" si="121">BD48*BD14/100</f>
        <v>0</v>
      </c>
      <c r="BE81" s="434">
        <f t="shared" si="121"/>
        <v>0</v>
      </c>
      <c r="BF81" s="434">
        <f t="shared" si="121"/>
        <v>0</v>
      </c>
      <c r="BG81" s="434">
        <f t="shared" si="121"/>
        <v>0</v>
      </c>
      <c r="BH81" s="465">
        <f t="shared" si="121"/>
        <v>0</v>
      </c>
      <c r="BI81" s="464">
        <f t="shared" ref="BI81:BN90" si="122">BI48*BI14/100</f>
        <v>0</v>
      </c>
      <c r="BJ81" s="434">
        <f t="shared" si="122"/>
        <v>0</v>
      </c>
      <c r="BK81" s="434">
        <f t="shared" si="122"/>
        <v>0</v>
      </c>
      <c r="BL81" s="434">
        <f t="shared" si="122"/>
        <v>0</v>
      </c>
      <c r="BM81" s="434">
        <f t="shared" si="122"/>
        <v>0</v>
      </c>
      <c r="BN81" s="465">
        <f t="shared" si="122"/>
        <v>0</v>
      </c>
      <c r="BO81" s="464">
        <f t="shared" ref="BO81:BS82" si="123">BO48*BO14/100</f>
        <v>0</v>
      </c>
      <c r="BP81" s="434">
        <f t="shared" si="123"/>
        <v>0</v>
      </c>
      <c r="BQ81" s="434">
        <f t="shared" si="123"/>
        <v>0</v>
      </c>
      <c r="BR81" s="434">
        <f t="shared" si="123"/>
        <v>0</v>
      </c>
      <c r="BS81" s="465">
        <f t="shared" si="123"/>
        <v>0</v>
      </c>
      <c r="BT81" s="464">
        <f t="shared" ref="BT81:BY90" si="124">BT48*BT14</f>
        <v>0</v>
      </c>
      <c r="BU81" s="434">
        <f t="shared" si="124"/>
        <v>0</v>
      </c>
      <c r="BV81" s="434">
        <f t="shared" si="124"/>
        <v>0</v>
      </c>
      <c r="BW81" s="434">
        <f t="shared" si="124"/>
        <v>0</v>
      </c>
      <c r="BX81" s="434">
        <f t="shared" si="124"/>
        <v>0</v>
      </c>
      <c r="BY81" s="465">
        <f t="shared" si="124"/>
        <v>0</v>
      </c>
      <c r="BZ81" s="464">
        <f t="shared" ref="BZ81:CD90" si="125">BZ48*BZ14</f>
        <v>0</v>
      </c>
      <c r="CA81" s="434">
        <f t="shared" si="125"/>
        <v>0</v>
      </c>
      <c r="CB81" s="434">
        <f t="shared" si="125"/>
        <v>0</v>
      </c>
      <c r="CC81" s="434">
        <f t="shared" si="125"/>
        <v>0</v>
      </c>
      <c r="CD81" s="465">
        <f t="shared" si="125"/>
        <v>0</v>
      </c>
      <c r="CE81" s="464">
        <f t="shared" ref="CE81:CJ90" si="126">CE48*CE14</f>
        <v>0</v>
      </c>
      <c r="CF81" s="434">
        <f t="shared" si="126"/>
        <v>0</v>
      </c>
      <c r="CG81" s="434">
        <f t="shared" si="126"/>
        <v>0</v>
      </c>
      <c r="CH81" s="434">
        <f t="shared" si="126"/>
        <v>0</v>
      </c>
      <c r="CI81" s="434">
        <f t="shared" si="126"/>
        <v>0</v>
      </c>
      <c r="CJ81" s="465">
        <f t="shared" si="126"/>
        <v>0</v>
      </c>
      <c r="CK81" s="464">
        <f t="shared" ref="CK81:CO90" si="127">CK48*CK14</f>
        <v>0</v>
      </c>
      <c r="CL81" s="434">
        <f t="shared" si="127"/>
        <v>0</v>
      </c>
      <c r="CM81" s="434">
        <f t="shared" si="127"/>
        <v>0</v>
      </c>
      <c r="CN81" s="434">
        <f t="shared" si="127"/>
        <v>0</v>
      </c>
      <c r="CO81" s="465">
        <f t="shared" si="127"/>
        <v>0</v>
      </c>
      <c r="CP81" s="464">
        <f t="shared" ref="CP81:CU90" si="128">CP48*CP14</f>
        <v>0</v>
      </c>
      <c r="CQ81" s="434">
        <f t="shared" si="128"/>
        <v>0</v>
      </c>
      <c r="CR81" s="434">
        <f t="shared" si="128"/>
        <v>0</v>
      </c>
      <c r="CS81" s="434">
        <f t="shared" si="128"/>
        <v>0</v>
      </c>
      <c r="CT81" s="434">
        <f t="shared" si="128"/>
        <v>0</v>
      </c>
      <c r="CU81" s="465">
        <f t="shared" si="128"/>
        <v>0</v>
      </c>
      <c r="CV81" s="464">
        <f t="shared" ref="CV81:CZ90" si="129">CV48*CV14</f>
        <v>0</v>
      </c>
      <c r="CW81" s="434">
        <f t="shared" si="129"/>
        <v>0</v>
      </c>
      <c r="CX81" s="434">
        <f t="shared" si="129"/>
        <v>0</v>
      </c>
      <c r="CY81" s="434">
        <f t="shared" si="129"/>
        <v>0</v>
      </c>
      <c r="CZ81" s="465">
        <f t="shared" si="129"/>
        <v>0</v>
      </c>
      <c r="DA81" s="464">
        <f t="shared" ref="DA81:DF90" si="130">DA48*DA14</f>
        <v>0</v>
      </c>
      <c r="DB81" s="434">
        <f t="shared" si="130"/>
        <v>0</v>
      </c>
      <c r="DC81" s="434">
        <f t="shared" si="130"/>
        <v>0</v>
      </c>
      <c r="DD81" s="434">
        <f t="shared" si="130"/>
        <v>0</v>
      </c>
      <c r="DE81" s="434">
        <f t="shared" si="130"/>
        <v>0</v>
      </c>
      <c r="DF81" s="465">
        <f t="shared" si="130"/>
        <v>0</v>
      </c>
      <c r="DG81" s="464">
        <f t="shared" ref="DG81:DK90" si="131">DG48*DG14</f>
        <v>0</v>
      </c>
      <c r="DH81" s="434">
        <f t="shared" si="131"/>
        <v>0</v>
      </c>
      <c r="DI81" s="434">
        <f t="shared" si="131"/>
        <v>0</v>
      </c>
      <c r="DJ81" s="434">
        <f t="shared" si="131"/>
        <v>0</v>
      </c>
      <c r="DK81" s="465">
        <f t="shared" si="131"/>
        <v>0</v>
      </c>
      <c r="DL81" s="48"/>
      <c r="DM81" s="455"/>
      <c r="DN81" s="455"/>
      <c r="DO81" s="455"/>
    </row>
    <row r="82" spans="1:119" s="90" customFormat="1">
      <c r="A82" s="30"/>
      <c r="B82" s="30"/>
      <c r="C82" s="30"/>
      <c r="D82" s="30"/>
      <c r="E82" s="445" t="str">
        <f t="shared" si="112"/>
        <v>Residential B</v>
      </c>
      <c r="F82" s="1506">
        <f t="shared" ref="F82:J91" si="132">F49*F15</f>
        <v>25000000</v>
      </c>
      <c r="G82" s="434">
        <f t="shared" si="132"/>
        <v>27205497.530090772</v>
      </c>
      <c r="H82" s="434">
        <f t="shared" si="132"/>
        <v>27609453.737920355</v>
      </c>
      <c r="I82" s="434">
        <f t="shared" si="132"/>
        <v>28540306.794612803</v>
      </c>
      <c r="J82" s="434">
        <f t="shared" si="132"/>
        <v>29502543.573032551</v>
      </c>
      <c r="K82" s="465">
        <f t="shared" ref="K82:P82" si="133">K49*K15</f>
        <v>30497222.175725836</v>
      </c>
      <c r="L82" s="464">
        <f t="shared" si="133"/>
        <v>31525436.379178647</v>
      </c>
      <c r="M82" s="434">
        <f t="shared" si="133"/>
        <v>32588316.836564045</v>
      </c>
      <c r="N82" s="434">
        <f t="shared" si="133"/>
        <v>33687032.321040072</v>
      </c>
      <c r="O82" s="434">
        <f t="shared" si="133"/>
        <v>34822791.010965519</v>
      </c>
      <c r="P82" s="465">
        <f t="shared" si="133"/>
        <v>35996841.818446696</v>
      </c>
      <c r="Q82" s="464">
        <f t="shared" si="114"/>
        <v>0</v>
      </c>
      <c r="R82" s="434">
        <f t="shared" si="114"/>
        <v>0</v>
      </c>
      <c r="S82" s="434">
        <f t="shared" si="114"/>
        <v>0</v>
      </c>
      <c r="T82" s="434">
        <f t="shared" si="114"/>
        <v>0</v>
      </c>
      <c r="U82" s="434">
        <f t="shared" si="114"/>
        <v>0</v>
      </c>
      <c r="V82" s="465">
        <f t="shared" si="114"/>
        <v>0</v>
      </c>
      <c r="W82" s="464">
        <f t="shared" si="115"/>
        <v>0</v>
      </c>
      <c r="X82" s="434">
        <f t="shared" si="115"/>
        <v>0</v>
      </c>
      <c r="Y82" s="434">
        <f t="shared" si="115"/>
        <v>0</v>
      </c>
      <c r="Z82" s="434">
        <f t="shared" si="115"/>
        <v>0</v>
      </c>
      <c r="AA82" s="465">
        <f t="shared" si="115"/>
        <v>0</v>
      </c>
      <c r="AB82" s="464">
        <f t="shared" si="116"/>
        <v>1000000</v>
      </c>
      <c r="AC82" s="434">
        <f t="shared" si="116"/>
        <v>1064748.4915698273</v>
      </c>
      <c r="AD82" s="434">
        <f t="shared" si="116"/>
        <v>1057252.0707721501</v>
      </c>
      <c r="AE82" s="434">
        <f t="shared" si="116"/>
        <v>1069325.0412437227</v>
      </c>
      <c r="AF82" s="434">
        <f t="shared" si="116"/>
        <v>1081535.8753525834</v>
      </c>
      <c r="AG82" s="465">
        <f t="shared" si="116"/>
        <v>1093886.1473908701</v>
      </c>
      <c r="AH82" s="464">
        <f t="shared" si="117"/>
        <v>1106377.449627873</v>
      </c>
      <c r="AI82" s="434">
        <f t="shared" si="117"/>
        <v>1119011.3925153206</v>
      </c>
      <c r="AJ82" s="434">
        <f t="shared" si="117"/>
        <v>1131789.6048950076</v>
      </c>
      <c r="AK82" s="434">
        <f t="shared" si="117"/>
        <v>1144713.7342087964</v>
      </c>
      <c r="AL82" s="465">
        <f t="shared" si="117"/>
        <v>1157785.4467110126</v>
      </c>
      <c r="AM82" s="464">
        <f t="shared" si="118"/>
        <v>250000</v>
      </c>
      <c r="AN82" s="434">
        <f t="shared" si="118"/>
        <v>266187.12289245683</v>
      </c>
      <c r="AO82" s="434">
        <f t="shared" si="118"/>
        <v>264313.01769303752</v>
      </c>
      <c r="AP82" s="434">
        <f t="shared" si="118"/>
        <v>267331.26031093067</v>
      </c>
      <c r="AQ82" s="434">
        <f t="shared" si="118"/>
        <v>270383.96883814584</v>
      </c>
      <c r="AR82" s="465">
        <f t="shared" si="118"/>
        <v>273471.53684771754</v>
      </c>
      <c r="AS82" s="464">
        <f t="shared" si="119"/>
        <v>276594.36240696826</v>
      </c>
      <c r="AT82" s="434">
        <f t="shared" si="119"/>
        <v>279752.84812883014</v>
      </c>
      <c r="AU82" s="434">
        <f t="shared" si="119"/>
        <v>282947.40122375189</v>
      </c>
      <c r="AV82" s="434">
        <f t="shared" si="119"/>
        <v>286178.4335521991</v>
      </c>
      <c r="AW82" s="465">
        <f t="shared" si="119"/>
        <v>289446.36167775316</v>
      </c>
      <c r="AX82" s="464">
        <f t="shared" si="120"/>
        <v>150000</v>
      </c>
      <c r="AY82" s="434">
        <f t="shared" si="120"/>
        <v>159712.27373547404</v>
      </c>
      <c r="AZ82" s="434">
        <f t="shared" si="120"/>
        <v>158587.81061582253</v>
      </c>
      <c r="BA82" s="434">
        <f t="shared" si="120"/>
        <v>160398.75618655837</v>
      </c>
      <c r="BB82" s="434">
        <f t="shared" si="120"/>
        <v>162230.38130288754</v>
      </c>
      <c r="BC82" s="465">
        <f t="shared" si="120"/>
        <v>164082.92210863053</v>
      </c>
      <c r="BD82" s="464">
        <f t="shared" si="121"/>
        <v>165956.617444181</v>
      </c>
      <c r="BE82" s="434">
        <f t="shared" si="121"/>
        <v>167851.70887729808</v>
      </c>
      <c r="BF82" s="434">
        <f t="shared" si="121"/>
        <v>169768.44073425114</v>
      </c>
      <c r="BG82" s="434">
        <f t="shared" si="121"/>
        <v>171707.06013131942</v>
      </c>
      <c r="BH82" s="465">
        <f t="shared" si="121"/>
        <v>173667.81700665187</v>
      </c>
      <c r="BI82" s="464">
        <f t="shared" si="122"/>
        <v>50000</v>
      </c>
      <c r="BJ82" s="434">
        <f t="shared" si="122"/>
        <v>53237.424578491358</v>
      </c>
      <c r="BK82" s="434">
        <f t="shared" si="122"/>
        <v>52862.603538607509</v>
      </c>
      <c r="BL82" s="434">
        <f t="shared" si="122"/>
        <v>53466.252062186126</v>
      </c>
      <c r="BM82" s="434">
        <f t="shared" si="122"/>
        <v>54076.793767629169</v>
      </c>
      <c r="BN82" s="465">
        <f t="shared" si="122"/>
        <v>54694.307369543516</v>
      </c>
      <c r="BO82" s="464">
        <f t="shared" si="123"/>
        <v>55318.872481393657</v>
      </c>
      <c r="BP82" s="434">
        <f t="shared" si="123"/>
        <v>55950.569625766024</v>
      </c>
      <c r="BQ82" s="434">
        <f t="shared" si="123"/>
        <v>56589.48024475039</v>
      </c>
      <c r="BR82" s="434">
        <f t="shared" si="123"/>
        <v>57235.686710439819</v>
      </c>
      <c r="BS82" s="465">
        <f t="shared" si="123"/>
        <v>57889.272335550624</v>
      </c>
      <c r="BT82" s="464">
        <f t="shared" si="124"/>
        <v>150000</v>
      </c>
      <c r="BU82" s="434">
        <f t="shared" si="124"/>
        <v>163232.98518054461</v>
      </c>
      <c r="BV82" s="434">
        <f t="shared" si="124"/>
        <v>165656.72242752212</v>
      </c>
      <c r="BW82" s="434">
        <f t="shared" si="124"/>
        <v>171241.84076767683</v>
      </c>
      <c r="BX82" s="434">
        <f t="shared" si="124"/>
        <v>177015.26143819533</v>
      </c>
      <c r="BY82" s="465">
        <f t="shared" si="124"/>
        <v>182983.33305435503</v>
      </c>
      <c r="BZ82" s="464">
        <f t="shared" si="125"/>
        <v>189152.61827507196</v>
      </c>
      <c r="CA82" s="434">
        <f t="shared" si="125"/>
        <v>195529.90101938433</v>
      </c>
      <c r="CB82" s="434">
        <f t="shared" si="125"/>
        <v>202122.19392624049</v>
      </c>
      <c r="CC82" s="434">
        <f t="shared" si="125"/>
        <v>208936.74606579312</v>
      </c>
      <c r="CD82" s="465">
        <f t="shared" si="125"/>
        <v>215981.05091068018</v>
      </c>
      <c r="CE82" s="464">
        <f t="shared" si="126"/>
        <v>20000</v>
      </c>
      <c r="CF82" s="434">
        <f t="shared" si="126"/>
        <v>21764.39802407262</v>
      </c>
      <c r="CG82" s="434">
        <f t="shared" si="126"/>
        <v>22087.562990336286</v>
      </c>
      <c r="CH82" s="434">
        <f t="shared" si="126"/>
        <v>22832.245435690245</v>
      </c>
      <c r="CI82" s="434">
        <f t="shared" si="126"/>
        <v>23602.034858426046</v>
      </c>
      <c r="CJ82" s="465">
        <f t="shared" si="126"/>
        <v>24397.777740580674</v>
      </c>
      <c r="CK82" s="464">
        <f t="shared" si="127"/>
        <v>25220.349103342924</v>
      </c>
      <c r="CL82" s="434">
        <f t="shared" si="127"/>
        <v>26070.653469251243</v>
      </c>
      <c r="CM82" s="434">
        <f t="shared" si="127"/>
        <v>26949.62585683207</v>
      </c>
      <c r="CN82" s="434">
        <f t="shared" si="127"/>
        <v>27858.232808772427</v>
      </c>
      <c r="CO82" s="465">
        <f t="shared" si="127"/>
        <v>28797.473454757372</v>
      </c>
      <c r="CP82" s="464">
        <f t="shared" si="128"/>
        <v>50000</v>
      </c>
      <c r="CQ82" s="434">
        <f t="shared" si="128"/>
        <v>54410.995060181551</v>
      </c>
      <c r="CR82" s="434">
        <f t="shared" si="128"/>
        <v>55218.907475840715</v>
      </c>
      <c r="CS82" s="434">
        <f t="shared" si="128"/>
        <v>57080.613589225606</v>
      </c>
      <c r="CT82" s="434">
        <f t="shared" si="128"/>
        <v>59005.087146065103</v>
      </c>
      <c r="CU82" s="465">
        <f t="shared" si="128"/>
        <v>60994.444351451675</v>
      </c>
      <c r="CV82" s="464">
        <f t="shared" si="129"/>
        <v>63050.872758357313</v>
      </c>
      <c r="CW82" s="434">
        <f t="shared" si="129"/>
        <v>65176.633673128104</v>
      </c>
      <c r="CX82" s="434">
        <f t="shared" si="129"/>
        <v>67374.064642080164</v>
      </c>
      <c r="CY82" s="434">
        <f t="shared" si="129"/>
        <v>69645.582021931055</v>
      </c>
      <c r="CZ82" s="465">
        <f t="shared" si="129"/>
        <v>71993.683636893416</v>
      </c>
      <c r="DA82" s="464">
        <f t="shared" si="130"/>
        <v>1000</v>
      </c>
      <c r="DB82" s="434">
        <f t="shared" si="130"/>
        <v>1088.219901203631</v>
      </c>
      <c r="DC82" s="434">
        <f t="shared" si="130"/>
        <v>1104.3781495168143</v>
      </c>
      <c r="DD82" s="434">
        <f t="shared" si="130"/>
        <v>1141.6122717845121</v>
      </c>
      <c r="DE82" s="434">
        <f t="shared" si="130"/>
        <v>1180.1017429213023</v>
      </c>
      <c r="DF82" s="465">
        <f t="shared" si="130"/>
        <v>1219.8888870290339</v>
      </c>
      <c r="DG82" s="464">
        <f t="shared" si="131"/>
        <v>1261.0174551671464</v>
      </c>
      <c r="DH82" s="434">
        <f t="shared" si="131"/>
        <v>1303.5326734625621</v>
      </c>
      <c r="DI82" s="434">
        <f t="shared" si="131"/>
        <v>1347.4812928416034</v>
      </c>
      <c r="DJ82" s="434">
        <f t="shared" si="131"/>
        <v>1392.9116404386211</v>
      </c>
      <c r="DK82" s="465">
        <f t="shared" si="131"/>
        <v>1439.8736727378684</v>
      </c>
      <c r="DL82" s="48"/>
      <c r="DM82" s="240"/>
      <c r="DN82" s="240"/>
      <c r="DO82" s="240"/>
    </row>
    <row r="83" spans="1:119" s="211" customFormat="1">
      <c r="A83" s="30"/>
      <c r="B83" s="30"/>
      <c r="C83" s="30"/>
      <c r="D83" s="30"/>
      <c r="E83" s="445" t="str">
        <f t="shared" si="112"/>
        <v>Residential C</v>
      </c>
      <c r="F83" s="1506">
        <f t="shared" si="132"/>
        <v>25000000</v>
      </c>
      <c r="G83" s="434">
        <f t="shared" si="132"/>
        <v>27205497.530090772</v>
      </c>
      <c r="H83" s="434">
        <f t="shared" si="132"/>
        <v>27609453.737920355</v>
      </c>
      <c r="I83" s="434">
        <f t="shared" si="132"/>
        <v>28540306.794612803</v>
      </c>
      <c r="J83" s="434">
        <f t="shared" si="132"/>
        <v>29502543.573032551</v>
      </c>
      <c r="K83" s="465">
        <f t="shared" ref="K83:P83" si="134">K50*K16</f>
        <v>30497222.175725836</v>
      </c>
      <c r="L83" s="464">
        <f t="shared" si="134"/>
        <v>31525436.379178647</v>
      </c>
      <c r="M83" s="434">
        <f t="shared" si="134"/>
        <v>32588316.836564045</v>
      </c>
      <c r="N83" s="434">
        <f t="shared" si="134"/>
        <v>33687032.321040072</v>
      </c>
      <c r="O83" s="434">
        <f t="shared" si="134"/>
        <v>34822791.010965519</v>
      </c>
      <c r="P83" s="465">
        <f t="shared" si="134"/>
        <v>35996841.818446696</v>
      </c>
      <c r="Q83" s="464">
        <f t="shared" si="114"/>
        <v>0</v>
      </c>
      <c r="R83" s="434">
        <f t="shared" si="114"/>
        <v>0</v>
      </c>
      <c r="S83" s="434">
        <f t="shared" si="114"/>
        <v>0</v>
      </c>
      <c r="T83" s="434">
        <f t="shared" si="114"/>
        <v>0</v>
      </c>
      <c r="U83" s="434">
        <f t="shared" si="114"/>
        <v>0</v>
      </c>
      <c r="V83" s="465">
        <f t="shared" si="114"/>
        <v>0</v>
      </c>
      <c r="W83" s="464">
        <f t="shared" si="115"/>
        <v>0</v>
      </c>
      <c r="X83" s="434">
        <f t="shared" si="115"/>
        <v>0</v>
      </c>
      <c r="Y83" s="434">
        <f t="shared" si="115"/>
        <v>0</v>
      </c>
      <c r="Z83" s="434">
        <f t="shared" si="115"/>
        <v>0</v>
      </c>
      <c r="AA83" s="465">
        <f t="shared" si="115"/>
        <v>0</v>
      </c>
      <c r="AB83" s="1417">
        <f t="shared" si="116"/>
        <v>1000000</v>
      </c>
      <c r="AC83" s="434">
        <f t="shared" si="116"/>
        <v>1066882.2560819911</v>
      </c>
      <c r="AD83" s="434">
        <f t="shared" si="116"/>
        <v>1061493.7999969379</v>
      </c>
      <c r="AE83" s="434">
        <f t="shared" si="116"/>
        <v>1075766.7410955364</v>
      </c>
      <c r="AF83" s="434">
        <f t="shared" si="116"/>
        <v>1090231.5974437625</v>
      </c>
      <c r="AG83" s="465">
        <f t="shared" si="116"/>
        <v>1104890.9495513213</v>
      </c>
      <c r="AH83" s="464">
        <f t="shared" si="117"/>
        <v>1119747.4126256853</v>
      </c>
      <c r="AI83" s="434">
        <f t="shared" si="117"/>
        <v>1134803.6370386407</v>
      </c>
      <c r="AJ83" s="434">
        <f t="shared" si="117"/>
        <v>1150062.3087991113</v>
      </c>
      <c r="AK83" s="434">
        <f t="shared" si="117"/>
        <v>1165526.1500323392</v>
      </c>
      <c r="AL83" s="465">
        <f t="shared" si="117"/>
        <v>1181197.919465506</v>
      </c>
      <c r="AM83" s="464">
        <f t="shared" si="118"/>
        <v>250000</v>
      </c>
      <c r="AN83" s="434">
        <f t="shared" si="118"/>
        <v>266720.56402049778</v>
      </c>
      <c r="AO83" s="434">
        <f t="shared" si="118"/>
        <v>265373.44999923446</v>
      </c>
      <c r="AP83" s="434">
        <f t="shared" si="118"/>
        <v>268941.6852738841</v>
      </c>
      <c r="AQ83" s="434">
        <f t="shared" si="118"/>
        <v>272557.89936094062</v>
      </c>
      <c r="AR83" s="465">
        <f t="shared" si="118"/>
        <v>276222.73738783033</v>
      </c>
      <c r="AS83" s="464">
        <f t="shared" si="119"/>
        <v>279936.85315642133</v>
      </c>
      <c r="AT83" s="434">
        <f t="shared" si="119"/>
        <v>283700.90925966017</v>
      </c>
      <c r="AU83" s="434">
        <f t="shared" si="119"/>
        <v>287515.57719977782</v>
      </c>
      <c r="AV83" s="434">
        <f t="shared" si="119"/>
        <v>291381.53750808479</v>
      </c>
      <c r="AW83" s="465">
        <f t="shared" si="119"/>
        <v>295299.4798663765</v>
      </c>
      <c r="AX83" s="464">
        <f t="shared" si="120"/>
        <v>150000</v>
      </c>
      <c r="AY83" s="434">
        <f t="shared" si="120"/>
        <v>160032.33841229865</v>
      </c>
      <c r="AZ83" s="434">
        <f t="shared" si="120"/>
        <v>159224.06999954069</v>
      </c>
      <c r="BA83" s="434">
        <f t="shared" si="120"/>
        <v>161365.0111643305</v>
      </c>
      <c r="BB83" s="434">
        <f t="shared" si="120"/>
        <v>163534.73961656439</v>
      </c>
      <c r="BC83" s="465">
        <f t="shared" si="120"/>
        <v>165733.64243269822</v>
      </c>
      <c r="BD83" s="464">
        <f t="shared" si="121"/>
        <v>167962.11189385282</v>
      </c>
      <c r="BE83" s="434">
        <f t="shared" si="121"/>
        <v>170220.5455557961</v>
      </c>
      <c r="BF83" s="434">
        <f t="shared" si="121"/>
        <v>172509.34631986672</v>
      </c>
      <c r="BG83" s="434">
        <f t="shared" si="121"/>
        <v>174828.92250485081</v>
      </c>
      <c r="BH83" s="465">
        <f t="shared" si="121"/>
        <v>177179.68791982584</v>
      </c>
      <c r="BI83" s="464">
        <f t="shared" si="122"/>
        <v>50000</v>
      </c>
      <c r="BJ83" s="434">
        <f t="shared" si="122"/>
        <v>53344.112804099561</v>
      </c>
      <c r="BK83" s="434">
        <f t="shared" si="122"/>
        <v>53074.689999846902</v>
      </c>
      <c r="BL83" s="434">
        <f t="shared" si="122"/>
        <v>53788.337054776828</v>
      </c>
      <c r="BM83" s="434">
        <f t="shared" si="122"/>
        <v>54511.579872188122</v>
      </c>
      <c r="BN83" s="465">
        <f t="shared" si="122"/>
        <v>55244.54747756607</v>
      </c>
      <c r="BO83" s="464">
        <f t="shared" ref="BO83:BS92" si="135">BO50*BO16/100</f>
        <v>55987.37063128427</v>
      </c>
      <c r="BP83" s="434">
        <f t="shared" si="135"/>
        <v>56740.181851932037</v>
      </c>
      <c r="BQ83" s="434">
        <f t="shared" si="135"/>
        <v>57503.115439955574</v>
      </c>
      <c r="BR83" s="434">
        <f t="shared" si="135"/>
        <v>58276.307501616953</v>
      </c>
      <c r="BS83" s="465">
        <f t="shared" si="135"/>
        <v>59059.895973275292</v>
      </c>
      <c r="BT83" s="464">
        <f t="shared" si="124"/>
        <v>150000</v>
      </c>
      <c r="BU83" s="434">
        <f t="shared" si="124"/>
        <v>163232.98518054461</v>
      </c>
      <c r="BV83" s="434">
        <f t="shared" si="124"/>
        <v>165656.72242752212</v>
      </c>
      <c r="BW83" s="434">
        <f t="shared" si="124"/>
        <v>171241.84076767683</v>
      </c>
      <c r="BX83" s="434">
        <f t="shared" si="124"/>
        <v>177015.26143819533</v>
      </c>
      <c r="BY83" s="465">
        <f t="shared" si="124"/>
        <v>182983.33305435503</v>
      </c>
      <c r="BZ83" s="464">
        <f t="shared" si="125"/>
        <v>189152.61827507196</v>
      </c>
      <c r="CA83" s="434">
        <f t="shared" si="125"/>
        <v>195529.90101938433</v>
      </c>
      <c r="CB83" s="434">
        <f t="shared" si="125"/>
        <v>202122.19392624049</v>
      </c>
      <c r="CC83" s="434">
        <f t="shared" si="125"/>
        <v>208936.74606579312</v>
      </c>
      <c r="CD83" s="465">
        <f t="shared" si="125"/>
        <v>215981.05091068018</v>
      </c>
      <c r="CE83" s="464">
        <f t="shared" si="126"/>
        <v>20000</v>
      </c>
      <c r="CF83" s="434">
        <f t="shared" si="126"/>
        <v>21764.39802407262</v>
      </c>
      <c r="CG83" s="434">
        <f t="shared" si="126"/>
        <v>22087.562990336286</v>
      </c>
      <c r="CH83" s="434">
        <f t="shared" si="126"/>
        <v>22832.245435690245</v>
      </c>
      <c r="CI83" s="434">
        <f t="shared" si="126"/>
        <v>23602.034858426046</v>
      </c>
      <c r="CJ83" s="465">
        <f t="shared" si="126"/>
        <v>24397.777740580674</v>
      </c>
      <c r="CK83" s="464">
        <f t="shared" si="127"/>
        <v>25220.349103342924</v>
      </c>
      <c r="CL83" s="434">
        <f t="shared" si="127"/>
        <v>26070.653469251243</v>
      </c>
      <c r="CM83" s="434">
        <f t="shared" si="127"/>
        <v>26949.62585683207</v>
      </c>
      <c r="CN83" s="434">
        <f t="shared" si="127"/>
        <v>27858.232808772427</v>
      </c>
      <c r="CO83" s="465">
        <f t="shared" si="127"/>
        <v>28797.473454757372</v>
      </c>
      <c r="CP83" s="464">
        <f t="shared" si="128"/>
        <v>50000</v>
      </c>
      <c r="CQ83" s="434">
        <f t="shared" si="128"/>
        <v>54410.995060181551</v>
      </c>
      <c r="CR83" s="434">
        <f t="shared" si="128"/>
        <v>55218.907475840715</v>
      </c>
      <c r="CS83" s="434">
        <f t="shared" si="128"/>
        <v>57080.613589225606</v>
      </c>
      <c r="CT83" s="434">
        <f t="shared" si="128"/>
        <v>59005.087146065103</v>
      </c>
      <c r="CU83" s="465">
        <f t="shared" si="128"/>
        <v>60994.444351451675</v>
      </c>
      <c r="CV83" s="464">
        <f t="shared" si="129"/>
        <v>63050.872758357313</v>
      </c>
      <c r="CW83" s="434">
        <f t="shared" si="129"/>
        <v>65176.633673128104</v>
      </c>
      <c r="CX83" s="434">
        <f t="shared" si="129"/>
        <v>67374.064642080164</v>
      </c>
      <c r="CY83" s="434">
        <f t="shared" si="129"/>
        <v>69645.582021931055</v>
      </c>
      <c r="CZ83" s="465">
        <f t="shared" si="129"/>
        <v>71993.683636893416</v>
      </c>
      <c r="DA83" s="464">
        <f t="shared" si="130"/>
        <v>1000</v>
      </c>
      <c r="DB83" s="434">
        <f t="shared" si="130"/>
        <v>1088.219901203631</v>
      </c>
      <c r="DC83" s="434">
        <f t="shared" si="130"/>
        <v>1104.3781495168143</v>
      </c>
      <c r="DD83" s="434">
        <f t="shared" si="130"/>
        <v>1141.6122717845121</v>
      </c>
      <c r="DE83" s="434">
        <f t="shared" si="130"/>
        <v>1180.1017429213023</v>
      </c>
      <c r="DF83" s="465">
        <f t="shared" si="130"/>
        <v>1219.8888870290339</v>
      </c>
      <c r="DG83" s="464">
        <f t="shared" si="131"/>
        <v>1261.0174551671464</v>
      </c>
      <c r="DH83" s="434">
        <f t="shared" si="131"/>
        <v>1303.5326734625621</v>
      </c>
      <c r="DI83" s="434">
        <f t="shared" si="131"/>
        <v>1347.4812928416034</v>
      </c>
      <c r="DJ83" s="434">
        <f t="shared" si="131"/>
        <v>1392.9116404386211</v>
      </c>
      <c r="DK83" s="465">
        <f t="shared" si="131"/>
        <v>1439.8736727378684</v>
      </c>
      <c r="DL83" s="48"/>
      <c r="DM83" s="240"/>
      <c r="DN83" s="240"/>
      <c r="DO83" s="240"/>
    </row>
    <row r="84" spans="1:119" s="212" customFormat="1">
      <c r="A84" s="30"/>
      <c r="B84" s="30"/>
      <c r="C84" s="30"/>
      <c r="D84" s="30"/>
      <c r="E84" s="445" t="str">
        <f t="shared" si="112"/>
        <v>Small Business A</v>
      </c>
      <c r="F84" s="1506">
        <f t="shared" si="132"/>
        <v>10000000</v>
      </c>
      <c r="G84" s="434">
        <f t="shared" si="132"/>
        <v>10882199.012036309</v>
      </c>
      <c r="H84" s="434">
        <f t="shared" si="132"/>
        <v>11043781.495168142</v>
      </c>
      <c r="I84" s="434">
        <f t="shared" si="132"/>
        <v>11416122.71784512</v>
      </c>
      <c r="J84" s="434">
        <f t="shared" si="132"/>
        <v>11801017.429213019</v>
      </c>
      <c r="K84" s="465">
        <f t="shared" ref="K84:P84" si="136">K51*K17</f>
        <v>12198888.870290333</v>
      </c>
      <c r="L84" s="464">
        <f t="shared" si="136"/>
        <v>12610174.551671458</v>
      </c>
      <c r="M84" s="434">
        <f t="shared" si="136"/>
        <v>13035326.734625617</v>
      </c>
      <c r="N84" s="434">
        <f t="shared" si="136"/>
        <v>13474812.928416027</v>
      </c>
      <c r="O84" s="434">
        <f t="shared" si="136"/>
        <v>13929116.404386204</v>
      </c>
      <c r="P84" s="465">
        <f t="shared" si="136"/>
        <v>14398736.727378678</v>
      </c>
      <c r="Q84" s="464">
        <f t="shared" si="114"/>
        <v>0</v>
      </c>
      <c r="R84" s="434">
        <f t="shared" si="114"/>
        <v>0</v>
      </c>
      <c r="S84" s="434">
        <f t="shared" si="114"/>
        <v>0</v>
      </c>
      <c r="T84" s="434">
        <f t="shared" si="114"/>
        <v>0</v>
      </c>
      <c r="U84" s="434">
        <f t="shared" si="114"/>
        <v>0</v>
      </c>
      <c r="V84" s="465">
        <f t="shared" si="114"/>
        <v>0</v>
      </c>
      <c r="W84" s="464">
        <f t="shared" si="115"/>
        <v>0</v>
      </c>
      <c r="X84" s="434">
        <f t="shared" si="115"/>
        <v>0</v>
      </c>
      <c r="Y84" s="434">
        <f t="shared" si="115"/>
        <v>0</v>
      </c>
      <c r="Z84" s="434">
        <f t="shared" si="115"/>
        <v>0</v>
      </c>
      <c r="AA84" s="465">
        <f t="shared" si="115"/>
        <v>0</v>
      </c>
      <c r="AB84" s="464">
        <f t="shared" si="116"/>
        <v>1500000</v>
      </c>
      <c r="AC84" s="434">
        <f t="shared" si="116"/>
        <v>1632329.8518054462</v>
      </c>
      <c r="AD84" s="434">
        <f t="shared" si="116"/>
        <v>1656567.2242752211</v>
      </c>
      <c r="AE84" s="434">
        <f t="shared" si="116"/>
        <v>1712418.4076767683</v>
      </c>
      <c r="AF84" s="434">
        <f t="shared" si="116"/>
        <v>1770152.6143819534</v>
      </c>
      <c r="AG84" s="465">
        <f t="shared" si="116"/>
        <v>1829833.3305435507</v>
      </c>
      <c r="AH84" s="464">
        <f t="shared" si="117"/>
        <v>1891526.1827507196</v>
      </c>
      <c r="AI84" s="434">
        <f t="shared" si="117"/>
        <v>1955299.0101938432</v>
      </c>
      <c r="AJ84" s="434">
        <f t="shared" si="117"/>
        <v>2021221.9392624048</v>
      </c>
      <c r="AK84" s="434">
        <f t="shared" si="117"/>
        <v>2089367.4606579309</v>
      </c>
      <c r="AL84" s="465">
        <f t="shared" si="117"/>
        <v>2159810.5091068018</v>
      </c>
      <c r="AM84" s="464">
        <f t="shared" si="118"/>
        <v>250000</v>
      </c>
      <c r="AN84" s="434">
        <f t="shared" si="118"/>
        <v>272054.97530090774</v>
      </c>
      <c r="AO84" s="434">
        <f t="shared" si="118"/>
        <v>276094.53737920354</v>
      </c>
      <c r="AP84" s="434">
        <f t="shared" si="118"/>
        <v>285403.06794612802</v>
      </c>
      <c r="AQ84" s="434">
        <f t="shared" si="118"/>
        <v>295025.43573032552</v>
      </c>
      <c r="AR84" s="465">
        <f t="shared" si="118"/>
        <v>304972.2217572584</v>
      </c>
      <c r="AS84" s="464">
        <f t="shared" si="119"/>
        <v>315254.36379178654</v>
      </c>
      <c r="AT84" s="434">
        <f t="shared" si="119"/>
        <v>325883.16836564051</v>
      </c>
      <c r="AU84" s="434">
        <f t="shared" si="119"/>
        <v>336870.32321040076</v>
      </c>
      <c r="AV84" s="434">
        <f t="shared" si="119"/>
        <v>348227.91010965523</v>
      </c>
      <c r="AW84" s="465">
        <f t="shared" si="119"/>
        <v>359968.41818446701</v>
      </c>
      <c r="AX84" s="464">
        <f t="shared" si="120"/>
        <v>150000</v>
      </c>
      <c r="AY84" s="434">
        <f t="shared" si="120"/>
        <v>163232.98518054461</v>
      </c>
      <c r="AZ84" s="434">
        <f t="shared" si="120"/>
        <v>165656.72242752212</v>
      </c>
      <c r="BA84" s="434">
        <f t="shared" si="120"/>
        <v>171241.84076767683</v>
      </c>
      <c r="BB84" s="434">
        <f t="shared" si="120"/>
        <v>177015.26143819533</v>
      </c>
      <c r="BC84" s="465">
        <f t="shared" si="120"/>
        <v>182983.33305435505</v>
      </c>
      <c r="BD84" s="464">
        <f t="shared" si="121"/>
        <v>189152.61827507193</v>
      </c>
      <c r="BE84" s="434">
        <f t="shared" si="121"/>
        <v>195529.9010193843</v>
      </c>
      <c r="BF84" s="434">
        <f t="shared" si="121"/>
        <v>202122.19392624046</v>
      </c>
      <c r="BG84" s="434">
        <f t="shared" si="121"/>
        <v>208936.74606579312</v>
      </c>
      <c r="BH84" s="465">
        <f t="shared" si="121"/>
        <v>215981.05091068018</v>
      </c>
      <c r="BI84" s="464">
        <f t="shared" si="122"/>
        <v>50000</v>
      </c>
      <c r="BJ84" s="434">
        <f t="shared" si="122"/>
        <v>54410.995060181551</v>
      </c>
      <c r="BK84" s="434">
        <f t="shared" si="122"/>
        <v>55218.907475840708</v>
      </c>
      <c r="BL84" s="434">
        <f t="shared" si="122"/>
        <v>57080.613589225606</v>
      </c>
      <c r="BM84" s="434">
        <f t="shared" si="122"/>
        <v>59005.087146065103</v>
      </c>
      <c r="BN84" s="465">
        <f t="shared" si="122"/>
        <v>60994.444351451682</v>
      </c>
      <c r="BO84" s="464">
        <f t="shared" si="135"/>
        <v>63050.872758357313</v>
      </c>
      <c r="BP84" s="434">
        <f t="shared" si="135"/>
        <v>65176.633673128097</v>
      </c>
      <c r="BQ84" s="434">
        <f t="shared" si="135"/>
        <v>67374.064642080164</v>
      </c>
      <c r="BR84" s="434">
        <f t="shared" si="135"/>
        <v>69645.582021931041</v>
      </c>
      <c r="BS84" s="465">
        <f t="shared" si="135"/>
        <v>71993.683636893402</v>
      </c>
      <c r="BT84" s="464">
        <f t="shared" si="124"/>
        <v>150000</v>
      </c>
      <c r="BU84" s="434">
        <f t="shared" si="124"/>
        <v>163232.98518054461</v>
      </c>
      <c r="BV84" s="434">
        <f t="shared" si="124"/>
        <v>165656.72242752212</v>
      </c>
      <c r="BW84" s="434">
        <f t="shared" si="124"/>
        <v>171241.84076767683</v>
      </c>
      <c r="BX84" s="434">
        <f t="shared" si="124"/>
        <v>177015.26143819533</v>
      </c>
      <c r="BY84" s="465">
        <f t="shared" si="124"/>
        <v>182983.33305435503</v>
      </c>
      <c r="BZ84" s="464">
        <f t="shared" si="125"/>
        <v>189152.61827507196</v>
      </c>
      <c r="CA84" s="434">
        <f t="shared" si="125"/>
        <v>195529.90101938433</v>
      </c>
      <c r="CB84" s="434">
        <f t="shared" si="125"/>
        <v>202122.19392624049</v>
      </c>
      <c r="CC84" s="434">
        <f t="shared" si="125"/>
        <v>208936.74606579312</v>
      </c>
      <c r="CD84" s="465">
        <f t="shared" si="125"/>
        <v>215981.05091068018</v>
      </c>
      <c r="CE84" s="464">
        <f t="shared" si="126"/>
        <v>40000</v>
      </c>
      <c r="CF84" s="434">
        <f t="shared" si="126"/>
        <v>43528.796048145239</v>
      </c>
      <c r="CG84" s="434">
        <f t="shared" si="126"/>
        <v>44175.125980672572</v>
      </c>
      <c r="CH84" s="434">
        <f t="shared" si="126"/>
        <v>45664.490871380491</v>
      </c>
      <c r="CI84" s="434">
        <f t="shared" si="126"/>
        <v>47204.069716852093</v>
      </c>
      <c r="CJ84" s="465">
        <f t="shared" si="126"/>
        <v>48795.555481161347</v>
      </c>
      <c r="CK84" s="464">
        <f t="shared" si="127"/>
        <v>50440.698206685847</v>
      </c>
      <c r="CL84" s="434">
        <f t="shared" si="127"/>
        <v>52141.306938502486</v>
      </c>
      <c r="CM84" s="434">
        <f t="shared" si="127"/>
        <v>53899.25171366414</v>
      </c>
      <c r="CN84" s="434">
        <f t="shared" si="127"/>
        <v>55716.465617544854</v>
      </c>
      <c r="CO84" s="465">
        <f t="shared" si="127"/>
        <v>57594.946909514743</v>
      </c>
      <c r="CP84" s="464">
        <f t="shared" si="128"/>
        <v>50000</v>
      </c>
      <c r="CQ84" s="434">
        <f t="shared" si="128"/>
        <v>54410.995060181551</v>
      </c>
      <c r="CR84" s="434">
        <f t="shared" si="128"/>
        <v>55218.907475840715</v>
      </c>
      <c r="CS84" s="434">
        <f t="shared" si="128"/>
        <v>57080.613589225606</v>
      </c>
      <c r="CT84" s="434">
        <f t="shared" si="128"/>
        <v>59005.087146065103</v>
      </c>
      <c r="CU84" s="465">
        <f t="shared" si="128"/>
        <v>60994.444351451675</v>
      </c>
      <c r="CV84" s="464">
        <f t="shared" si="129"/>
        <v>63050.872758357313</v>
      </c>
      <c r="CW84" s="434">
        <f t="shared" si="129"/>
        <v>65176.633673128104</v>
      </c>
      <c r="CX84" s="434">
        <f t="shared" si="129"/>
        <v>67374.064642080164</v>
      </c>
      <c r="CY84" s="434">
        <f t="shared" si="129"/>
        <v>69645.582021931055</v>
      </c>
      <c r="CZ84" s="465">
        <f t="shared" si="129"/>
        <v>71993.683636893416</v>
      </c>
      <c r="DA84" s="464">
        <f t="shared" si="130"/>
        <v>1000</v>
      </c>
      <c r="DB84" s="434">
        <f t="shared" si="130"/>
        <v>1088.219901203631</v>
      </c>
      <c r="DC84" s="434">
        <f t="shared" si="130"/>
        <v>1104.3781495168143</v>
      </c>
      <c r="DD84" s="434">
        <f t="shared" si="130"/>
        <v>1141.6122717845121</v>
      </c>
      <c r="DE84" s="434">
        <f t="shared" si="130"/>
        <v>1180.1017429213023</v>
      </c>
      <c r="DF84" s="465">
        <f t="shared" si="130"/>
        <v>1219.8888870290339</v>
      </c>
      <c r="DG84" s="464">
        <f t="shared" si="131"/>
        <v>1261.0174551671464</v>
      </c>
      <c r="DH84" s="434">
        <f t="shared" si="131"/>
        <v>1303.5326734625621</v>
      </c>
      <c r="DI84" s="434">
        <f t="shared" si="131"/>
        <v>1347.4812928416034</v>
      </c>
      <c r="DJ84" s="434">
        <f t="shared" si="131"/>
        <v>1392.9116404386211</v>
      </c>
      <c r="DK84" s="465">
        <f t="shared" si="131"/>
        <v>1439.8736727378684</v>
      </c>
      <c r="DL84" s="48"/>
      <c r="DM84" s="240"/>
      <c r="DN84" s="240"/>
      <c r="DO84" s="240"/>
    </row>
    <row r="85" spans="1:119" s="213" customFormat="1">
      <c r="A85" s="30"/>
      <c r="B85" s="30"/>
      <c r="C85" s="30"/>
      <c r="D85" s="30"/>
      <c r="E85" s="445" t="str">
        <f t="shared" si="112"/>
        <v>Small Business B</v>
      </c>
      <c r="F85" s="1506">
        <f t="shared" si="132"/>
        <v>10000000</v>
      </c>
      <c r="G85" s="434">
        <f t="shared" si="132"/>
        <v>10882199.012036309</v>
      </c>
      <c r="H85" s="434">
        <f t="shared" si="132"/>
        <v>11043781.495168142</v>
      </c>
      <c r="I85" s="434">
        <f t="shared" si="132"/>
        <v>11416122.71784512</v>
      </c>
      <c r="J85" s="434">
        <f t="shared" si="132"/>
        <v>11801017.429213019</v>
      </c>
      <c r="K85" s="465">
        <f t="shared" ref="K85:P85" si="137">K52*K18</f>
        <v>12198888.870290333</v>
      </c>
      <c r="L85" s="464">
        <f t="shared" si="137"/>
        <v>12610174.551671458</v>
      </c>
      <c r="M85" s="434">
        <f t="shared" si="137"/>
        <v>13035326.734625617</v>
      </c>
      <c r="N85" s="434">
        <f t="shared" si="137"/>
        <v>13474812.928416027</v>
      </c>
      <c r="O85" s="434">
        <f t="shared" si="137"/>
        <v>13929116.404386204</v>
      </c>
      <c r="P85" s="465">
        <f t="shared" si="137"/>
        <v>14398736.727378678</v>
      </c>
      <c r="Q85" s="464">
        <f t="shared" si="114"/>
        <v>0</v>
      </c>
      <c r="R85" s="434">
        <f t="shared" si="114"/>
        <v>0</v>
      </c>
      <c r="S85" s="434">
        <f t="shared" si="114"/>
        <v>0</v>
      </c>
      <c r="T85" s="434">
        <f t="shared" si="114"/>
        <v>0</v>
      </c>
      <c r="U85" s="434">
        <f t="shared" si="114"/>
        <v>0</v>
      </c>
      <c r="V85" s="465">
        <f t="shared" si="114"/>
        <v>0</v>
      </c>
      <c r="W85" s="464">
        <f t="shared" si="115"/>
        <v>0</v>
      </c>
      <c r="X85" s="434">
        <f t="shared" si="115"/>
        <v>0</v>
      </c>
      <c r="Y85" s="434">
        <f t="shared" si="115"/>
        <v>0</v>
      </c>
      <c r="Z85" s="434">
        <f t="shared" si="115"/>
        <v>0</v>
      </c>
      <c r="AA85" s="465">
        <f t="shared" si="115"/>
        <v>0</v>
      </c>
      <c r="AB85" s="464">
        <f t="shared" si="116"/>
        <v>1500000</v>
      </c>
      <c r="AC85" s="434">
        <f t="shared" si="116"/>
        <v>1632329.8518054462</v>
      </c>
      <c r="AD85" s="434">
        <f t="shared" si="116"/>
        <v>1656567.2242752211</v>
      </c>
      <c r="AE85" s="434">
        <f t="shared" si="116"/>
        <v>1712418.4076767683</v>
      </c>
      <c r="AF85" s="434">
        <f t="shared" si="116"/>
        <v>1770152.6143819534</v>
      </c>
      <c r="AG85" s="465">
        <f t="shared" si="116"/>
        <v>1829833.3305435507</v>
      </c>
      <c r="AH85" s="464">
        <f t="shared" si="117"/>
        <v>1891526.1827507196</v>
      </c>
      <c r="AI85" s="434">
        <f t="shared" si="117"/>
        <v>1955299.0101938432</v>
      </c>
      <c r="AJ85" s="434">
        <f t="shared" si="117"/>
        <v>2021221.9392624048</v>
      </c>
      <c r="AK85" s="434">
        <f t="shared" si="117"/>
        <v>2089367.4606579309</v>
      </c>
      <c r="AL85" s="465">
        <f t="shared" si="117"/>
        <v>2159810.5091068018</v>
      </c>
      <c r="AM85" s="464">
        <f t="shared" si="118"/>
        <v>250000</v>
      </c>
      <c r="AN85" s="434">
        <f t="shared" si="118"/>
        <v>272054.97530090774</v>
      </c>
      <c r="AO85" s="434">
        <f t="shared" si="118"/>
        <v>276094.53737920354</v>
      </c>
      <c r="AP85" s="434">
        <f t="shared" si="118"/>
        <v>285403.06794612802</v>
      </c>
      <c r="AQ85" s="434">
        <f t="shared" si="118"/>
        <v>295025.43573032552</v>
      </c>
      <c r="AR85" s="465">
        <f t="shared" si="118"/>
        <v>304972.2217572584</v>
      </c>
      <c r="AS85" s="464">
        <f t="shared" si="119"/>
        <v>315254.36379178654</v>
      </c>
      <c r="AT85" s="434">
        <f t="shared" si="119"/>
        <v>325883.16836564051</v>
      </c>
      <c r="AU85" s="434">
        <f t="shared" si="119"/>
        <v>336870.32321040076</v>
      </c>
      <c r="AV85" s="434">
        <f t="shared" si="119"/>
        <v>348227.91010965523</v>
      </c>
      <c r="AW85" s="465">
        <f t="shared" si="119"/>
        <v>359968.41818446701</v>
      </c>
      <c r="AX85" s="464">
        <f t="shared" si="120"/>
        <v>150000</v>
      </c>
      <c r="AY85" s="434">
        <f t="shared" si="120"/>
        <v>163232.98518054461</v>
      </c>
      <c r="AZ85" s="434">
        <f t="shared" si="120"/>
        <v>165656.72242752212</v>
      </c>
      <c r="BA85" s="434">
        <f t="shared" si="120"/>
        <v>171241.84076767683</v>
      </c>
      <c r="BB85" s="434">
        <f t="shared" si="120"/>
        <v>177015.26143819533</v>
      </c>
      <c r="BC85" s="465">
        <f t="shared" si="120"/>
        <v>182983.33305435505</v>
      </c>
      <c r="BD85" s="464">
        <f t="shared" si="121"/>
        <v>189152.61827507193</v>
      </c>
      <c r="BE85" s="434">
        <f t="shared" si="121"/>
        <v>195529.9010193843</v>
      </c>
      <c r="BF85" s="434">
        <f t="shared" si="121"/>
        <v>202122.19392624046</v>
      </c>
      <c r="BG85" s="434">
        <f t="shared" si="121"/>
        <v>208936.74606579312</v>
      </c>
      <c r="BH85" s="465">
        <f t="shared" si="121"/>
        <v>215981.05091068018</v>
      </c>
      <c r="BI85" s="464">
        <f t="shared" si="122"/>
        <v>50000</v>
      </c>
      <c r="BJ85" s="434">
        <f t="shared" si="122"/>
        <v>54410.995060181551</v>
      </c>
      <c r="BK85" s="434">
        <f t="shared" si="122"/>
        <v>55218.907475840708</v>
      </c>
      <c r="BL85" s="434">
        <f t="shared" si="122"/>
        <v>57080.613589225606</v>
      </c>
      <c r="BM85" s="434">
        <f t="shared" si="122"/>
        <v>59005.087146065103</v>
      </c>
      <c r="BN85" s="465">
        <f t="shared" si="122"/>
        <v>60994.444351451682</v>
      </c>
      <c r="BO85" s="464">
        <f t="shared" si="135"/>
        <v>63050.872758357313</v>
      </c>
      <c r="BP85" s="434">
        <f t="shared" si="135"/>
        <v>65176.633673128097</v>
      </c>
      <c r="BQ85" s="434">
        <f t="shared" si="135"/>
        <v>67374.064642080164</v>
      </c>
      <c r="BR85" s="434">
        <f t="shared" si="135"/>
        <v>69645.582021931041</v>
      </c>
      <c r="BS85" s="465">
        <f t="shared" si="135"/>
        <v>71993.683636893402</v>
      </c>
      <c r="BT85" s="464">
        <f t="shared" si="124"/>
        <v>150000</v>
      </c>
      <c r="BU85" s="434">
        <f t="shared" si="124"/>
        <v>163232.98518054461</v>
      </c>
      <c r="BV85" s="434">
        <f t="shared" si="124"/>
        <v>165656.72242752212</v>
      </c>
      <c r="BW85" s="434">
        <f t="shared" si="124"/>
        <v>171241.84076767683</v>
      </c>
      <c r="BX85" s="434">
        <f t="shared" si="124"/>
        <v>177015.26143819533</v>
      </c>
      <c r="BY85" s="465">
        <f t="shared" si="124"/>
        <v>182983.33305435503</v>
      </c>
      <c r="BZ85" s="464">
        <f t="shared" si="125"/>
        <v>189152.61827507196</v>
      </c>
      <c r="CA85" s="434">
        <f t="shared" si="125"/>
        <v>195529.90101938433</v>
      </c>
      <c r="CB85" s="434">
        <f t="shared" si="125"/>
        <v>202122.19392624049</v>
      </c>
      <c r="CC85" s="434">
        <f t="shared" si="125"/>
        <v>208936.74606579312</v>
      </c>
      <c r="CD85" s="465">
        <f t="shared" si="125"/>
        <v>215981.05091068018</v>
      </c>
      <c r="CE85" s="464">
        <f t="shared" si="126"/>
        <v>40000</v>
      </c>
      <c r="CF85" s="434">
        <f t="shared" si="126"/>
        <v>43528.796048145239</v>
      </c>
      <c r="CG85" s="434">
        <f t="shared" si="126"/>
        <v>44175.125980672572</v>
      </c>
      <c r="CH85" s="434">
        <f t="shared" si="126"/>
        <v>45664.490871380491</v>
      </c>
      <c r="CI85" s="434">
        <f t="shared" si="126"/>
        <v>47204.069716852093</v>
      </c>
      <c r="CJ85" s="465">
        <f t="shared" si="126"/>
        <v>48795.555481161347</v>
      </c>
      <c r="CK85" s="464">
        <f t="shared" si="127"/>
        <v>50440.698206685847</v>
      </c>
      <c r="CL85" s="434">
        <f t="shared" si="127"/>
        <v>52141.306938502486</v>
      </c>
      <c r="CM85" s="434">
        <f t="shared" si="127"/>
        <v>53899.25171366414</v>
      </c>
      <c r="CN85" s="434">
        <f t="shared" si="127"/>
        <v>55716.465617544854</v>
      </c>
      <c r="CO85" s="465">
        <f t="shared" si="127"/>
        <v>57594.946909514743</v>
      </c>
      <c r="CP85" s="464">
        <f t="shared" si="128"/>
        <v>50000</v>
      </c>
      <c r="CQ85" s="434">
        <f t="shared" si="128"/>
        <v>54410.995060181551</v>
      </c>
      <c r="CR85" s="434">
        <f t="shared" si="128"/>
        <v>55218.907475840715</v>
      </c>
      <c r="CS85" s="434">
        <f t="shared" si="128"/>
        <v>57080.613589225606</v>
      </c>
      <c r="CT85" s="434">
        <f t="shared" si="128"/>
        <v>59005.087146065103</v>
      </c>
      <c r="CU85" s="465">
        <f t="shared" si="128"/>
        <v>60994.444351451675</v>
      </c>
      <c r="CV85" s="464">
        <f t="shared" si="129"/>
        <v>63050.872758357313</v>
      </c>
      <c r="CW85" s="434">
        <f t="shared" si="129"/>
        <v>65176.633673128104</v>
      </c>
      <c r="CX85" s="434">
        <f t="shared" si="129"/>
        <v>67374.064642080164</v>
      </c>
      <c r="CY85" s="434">
        <f t="shared" si="129"/>
        <v>69645.582021931055</v>
      </c>
      <c r="CZ85" s="465">
        <f t="shared" si="129"/>
        <v>71993.683636893416</v>
      </c>
      <c r="DA85" s="464">
        <f t="shared" si="130"/>
        <v>1000</v>
      </c>
      <c r="DB85" s="434">
        <f t="shared" si="130"/>
        <v>1088.219901203631</v>
      </c>
      <c r="DC85" s="434">
        <f t="shared" si="130"/>
        <v>1104.3781495168143</v>
      </c>
      <c r="DD85" s="434">
        <f t="shared" si="130"/>
        <v>1141.6122717845121</v>
      </c>
      <c r="DE85" s="434">
        <f t="shared" si="130"/>
        <v>1180.1017429213023</v>
      </c>
      <c r="DF85" s="465">
        <f t="shared" si="130"/>
        <v>1219.8888870290339</v>
      </c>
      <c r="DG85" s="464">
        <f t="shared" si="131"/>
        <v>1261.0174551671464</v>
      </c>
      <c r="DH85" s="434">
        <f t="shared" si="131"/>
        <v>1303.5326734625621</v>
      </c>
      <c r="DI85" s="434">
        <f t="shared" si="131"/>
        <v>1347.4812928416034</v>
      </c>
      <c r="DJ85" s="434">
        <f t="shared" si="131"/>
        <v>1392.9116404386211</v>
      </c>
      <c r="DK85" s="465">
        <f t="shared" si="131"/>
        <v>1439.8736727378684</v>
      </c>
      <c r="DL85" s="48"/>
      <c r="DM85" s="240"/>
      <c r="DN85" s="240"/>
      <c r="DO85" s="240"/>
    </row>
    <row r="86" spans="1:119" s="213" customFormat="1">
      <c r="A86" s="30"/>
      <c r="B86" s="30"/>
      <c r="C86" s="30"/>
      <c r="D86" s="30"/>
      <c r="E86" s="445" t="str">
        <f t="shared" si="112"/>
        <v>Small Business C</v>
      </c>
      <c r="F86" s="1506">
        <f t="shared" si="132"/>
        <v>10000000</v>
      </c>
      <c r="G86" s="434">
        <f t="shared" si="132"/>
        <v>10882199.012036309</v>
      </c>
      <c r="H86" s="434">
        <f t="shared" si="132"/>
        <v>11043781.495168142</v>
      </c>
      <c r="I86" s="434">
        <f t="shared" si="132"/>
        <v>11416122.71784512</v>
      </c>
      <c r="J86" s="434">
        <f t="shared" si="132"/>
        <v>11801017.429213019</v>
      </c>
      <c r="K86" s="465">
        <f t="shared" ref="K86:P86" si="138">K53*K19</f>
        <v>12198888.870290333</v>
      </c>
      <c r="L86" s="464">
        <f t="shared" si="138"/>
        <v>12610174.551671458</v>
      </c>
      <c r="M86" s="434">
        <f t="shared" si="138"/>
        <v>13035326.734625617</v>
      </c>
      <c r="N86" s="434">
        <f t="shared" si="138"/>
        <v>13474812.928416027</v>
      </c>
      <c r="O86" s="434">
        <f t="shared" si="138"/>
        <v>13929116.404386204</v>
      </c>
      <c r="P86" s="465">
        <f t="shared" si="138"/>
        <v>14398736.727378678</v>
      </c>
      <c r="Q86" s="464">
        <f t="shared" si="114"/>
        <v>0</v>
      </c>
      <c r="R86" s="434">
        <f t="shared" si="114"/>
        <v>0</v>
      </c>
      <c r="S86" s="434">
        <f t="shared" si="114"/>
        <v>0</v>
      </c>
      <c r="T86" s="434">
        <f t="shared" si="114"/>
        <v>0</v>
      </c>
      <c r="U86" s="434">
        <f t="shared" si="114"/>
        <v>0</v>
      </c>
      <c r="V86" s="465">
        <f t="shared" si="114"/>
        <v>0</v>
      </c>
      <c r="W86" s="464">
        <f t="shared" si="115"/>
        <v>0</v>
      </c>
      <c r="X86" s="434">
        <f t="shared" si="115"/>
        <v>0</v>
      </c>
      <c r="Y86" s="434">
        <f t="shared" si="115"/>
        <v>0</v>
      </c>
      <c r="Z86" s="434">
        <f t="shared" si="115"/>
        <v>0</v>
      </c>
      <c r="AA86" s="465">
        <f t="shared" si="115"/>
        <v>0</v>
      </c>
      <c r="AB86" s="464">
        <f t="shared" si="116"/>
        <v>1500000</v>
      </c>
      <c r="AC86" s="434">
        <f t="shared" si="116"/>
        <v>1632329.8518054462</v>
      </c>
      <c r="AD86" s="434">
        <f t="shared" si="116"/>
        <v>1656567.2242752211</v>
      </c>
      <c r="AE86" s="434">
        <f t="shared" si="116"/>
        <v>1712418.4076767683</v>
      </c>
      <c r="AF86" s="434">
        <f t="shared" si="116"/>
        <v>1770152.6143819534</v>
      </c>
      <c r="AG86" s="465">
        <f t="shared" si="116"/>
        <v>1829833.3305435507</v>
      </c>
      <c r="AH86" s="464">
        <f t="shared" si="117"/>
        <v>1891526.1827507196</v>
      </c>
      <c r="AI86" s="434">
        <f t="shared" si="117"/>
        <v>1955299.0101938432</v>
      </c>
      <c r="AJ86" s="434">
        <f t="shared" si="117"/>
        <v>2021221.9392624048</v>
      </c>
      <c r="AK86" s="434">
        <f t="shared" si="117"/>
        <v>2089367.4606579309</v>
      </c>
      <c r="AL86" s="465">
        <f t="shared" si="117"/>
        <v>2159810.5091068018</v>
      </c>
      <c r="AM86" s="464">
        <f t="shared" si="118"/>
        <v>250000</v>
      </c>
      <c r="AN86" s="434">
        <f t="shared" si="118"/>
        <v>272054.97530090774</v>
      </c>
      <c r="AO86" s="434">
        <f t="shared" si="118"/>
        <v>276094.53737920354</v>
      </c>
      <c r="AP86" s="434">
        <f t="shared" si="118"/>
        <v>285403.06794612802</v>
      </c>
      <c r="AQ86" s="434">
        <f t="shared" si="118"/>
        <v>295025.43573032552</v>
      </c>
      <c r="AR86" s="465">
        <f t="shared" si="118"/>
        <v>304972.2217572584</v>
      </c>
      <c r="AS86" s="464">
        <f t="shared" si="119"/>
        <v>315254.36379178654</v>
      </c>
      <c r="AT86" s="434">
        <f t="shared" si="119"/>
        <v>325883.16836564051</v>
      </c>
      <c r="AU86" s="434">
        <f t="shared" si="119"/>
        <v>336870.32321040076</v>
      </c>
      <c r="AV86" s="434">
        <f t="shared" si="119"/>
        <v>348227.91010965523</v>
      </c>
      <c r="AW86" s="465">
        <f t="shared" si="119"/>
        <v>359968.41818446701</v>
      </c>
      <c r="AX86" s="464">
        <f t="shared" si="120"/>
        <v>150000</v>
      </c>
      <c r="AY86" s="434">
        <f t="shared" si="120"/>
        <v>163232.98518054461</v>
      </c>
      <c r="AZ86" s="434">
        <f t="shared" si="120"/>
        <v>165656.72242752212</v>
      </c>
      <c r="BA86" s="434">
        <f t="shared" si="120"/>
        <v>171241.84076767683</v>
      </c>
      <c r="BB86" s="434">
        <f t="shared" si="120"/>
        <v>177015.26143819533</v>
      </c>
      <c r="BC86" s="465">
        <f t="shared" si="120"/>
        <v>182983.33305435505</v>
      </c>
      <c r="BD86" s="464">
        <f t="shared" si="121"/>
        <v>189152.61827507193</v>
      </c>
      <c r="BE86" s="434">
        <f t="shared" si="121"/>
        <v>195529.9010193843</v>
      </c>
      <c r="BF86" s="434">
        <f t="shared" si="121"/>
        <v>202122.19392624046</v>
      </c>
      <c r="BG86" s="434">
        <f t="shared" si="121"/>
        <v>208936.74606579312</v>
      </c>
      <c r="BH86" s="465">
        <f t="shared" si="121"/>
        <v>215981.05091068018</v>
      </c>
      <c r="BI86" s="464">
        <f t="shared" si="122"/>
        <v>50000</v>
      </c>
      <c r="BJ86" s="434">
        <f t="shared" si="122"/>
        <v>54410.995060181551</v>
      </c>
      <c r="BK86" s="434">
        <f t="shared" si="122"/>
        <v>55218.907475840708</v>
      </c>
      <c r="BL86" s="434">
        <f t="shared" si="122"/>
        <v>57080.613589225606</v>
      </c>
      <c r="BM86" s="434">
        <f t="shared" si="122"/>
        <v>59005.087146065103</v>
      </c>
      <c r="BN86" s="465">
        <f t="shared" si="122"/>
        <v>60994.444351451682</v>
      </c>
      <c r="BO86" s="464">
        <f t="shared" si="135"/>
        <v>63050.872758357313</v>
      </c>
      <c r="BP86" s="434">
        <f t="shared" si="135"/>
        <v>65176.633673128097</v>
      </c>
      <c r="BQ86" s="434">
        <f t="shared" si="135"/>
        <v>67374.064642080164</v>
      </c>
      <c r="BR86" s="434">
        <f t="shared" si="135"/>
        <v>69645.582021931041</v>
      </c>
      <c r="BS86" s="465">
        <f t="shared" si="135"/>
        <v>71993.683636893402</v>
      </c>
      <c r="BT86" s="464">
        <f t="shared" si="124"/>
        <v>150000</v>
      </c>
      <c r="BU86" s="434">
        <f t="shared" si="124"/>
        <v>163232.98518054461</v>
      </c>
      <c r="BV86" s="434">
        <f t="shared" si="124"/>
        <v>165656.72242752212</v>
      </c>
      <c r="BW86" s="434">
        <f t="shared" si="124"/>
        <v>171241.84076767683</v>
      </c>
      <c r="BX86" s="434">
        <f t="shared" si="124"/>
        <v>177015.26143819533</v>
      </c>
      <c r="BY86" s="465">
        <f t="shared" si="124"/>
        <v>182983.33305435503</v>
      </c>
      <c r="BZ86" s="464">
        <f t="shared" si="125"/>
        <v>189152.61827507196</v>
      </c>
      <c r="CA86" s="434">
        <f t="shared" si="125"/>
        <v>195529.90101938433</v>
      </c>
      <c r="CB86" s="434">
        <f t="shared" si="125"/>
        <v>202122.19392624049</v>
      </c>
      <c r="CC86" s="434">
        <f t="shared" si="125"/>
        <v>208936.74606579312</v>
      </c>
      <c r="CD86" s="465">
        <f t="shared" si="125"/>
        <v>215981.05091068018</v>
      </c>
      <c r="CE86" s="464">
        <f t="shared" si="126"/>
        <v>40000</v>
      </c>
      <c r="CF86" s="434">
        <f t="shared" si="126"/>
        <v>43528.796048145239</v>
      </c>
      <c r="CG86" s="434">
        <f t="shared" si="126"/>
        <v>44175.125980672572</v>
      </c>
      <c r="CH86" s="434">
        <f t="shared" si="126"/>
        <v>45664.490871380491</v>
      </c>
      <c r="CI86" s="434">
        <f t="shared" si="126"/>
        <v>47204.069716852093</v>
      </c>
      <c r="CJ86" s="465">
        <f t="shared" si="126"/>
        <v>48795.555481161347</v>
      </c>
      <c r="CK86" s="464">
        <f t="shared" si="127"/>
        <v>50440.698206685847</v>
      </c>
      <c r="CL86" s="434">
        <f t="shared" si="127"/>
        <v>52141.306938502486</v>
      </c>
      <c r="CM86" s="434">
        <f t="shared" si="127"/>
        <v>53899.25171366414</v>
      </c>
      <c r="CN86" s="434">
        <f t="shared" si="127"/>
        <v>55716.465617544854</v>
      </c>
      <c r="CO86" s="465">
        <f t="shared" si="127"/>
        <v>57594.946909514743</v>
      </c>
      <c r="CP86" s="464">
        <f t="shared" si="128"/>
        <v>50000</v>
      </c>
      <c r="CQ86" s="434">
        <f t="shared" si="128"/>
        <v>54410.995060181551</v>
      </c>
      <c r="CR86" s="434">
        <f t="shared" si="128"/>
        <v>55218.907475840715</v>
      </c>
      <c r="CS86" s="434">
        <f t="shared" si="128"/>
        <v>57080.613589225606</v>
      </c>
      <c r="CT86" s="434">
        <f t="shared" si="128"/>
        <v>59005.087146065103</v>
      </c>
      <c r="CU86" s="465">
        <f t="shared" si="128"/>
        <v>60994.444351451675</v>
      </c>
      <c r="CV86" s="464">
        <f t="shared" si="129"/>
        <v>63050.872758357313</v>
      </c>
      <c r="CW86" s="434">
        <f t="shared" si="129"/>
        <v>65176.633673128104</v>
      </c>
      <c r="CX86" s="434">
        <f t="shared" si="129"/>
        <v>67374.064642080164</v>
      </c>
      <c r="CY86" s="434">
        <f t="shared" si="129"/>
        <v>69645.582021931055</v>
      </c>
      <c r="CZ86" s="465">
        <f t="shared" si="129"/>
        <v>71993.683636893416</v>
      </c>
      <c r="DA86" s="464">
        <f t="shared" si="130"/>
        <v>1000</v>
      </c>
      <c r="DB86" s="434">
        <f t="shared" si="130"/>
        <v>1088.219901203631</v>
      </c>
      <c r="DC86" s="434">
        <f t="shared" si="130"/>
        <v>1104.3781495168143</v>
      </c>
      <c r="DD86" s="434">
        <f t="shared" si="130"/>
        <v>1141.6122717845121</v>
      </c>
      <c r="DE86" s="434">
        <f t="shared" si="130"/>
        <v>1180.1017429213023</v>
      </c>
      <c r="DF86" s="465">
        <f t="shared" si="130"/>
        <v>1219.8888870290339</v>
      </c>
      <c r="DG86" s="464">
        <f t="shared" si="131"/>
        <v>1261.0174551671464</v>
      </c>
      <c r="DH86" s="434">
        <f t="shared" si="131"/>
        <v>1303.5326734625621</v>
      </c>
      <c r="DI86" s="434">
        <f t="shared" si="131"/>
        <v>1347.4812928416034</v>
      </c>
      <c r="DJ86" s="434">
        <f t="shared" si="131"/>
        <v>1392.9116404386211</v>
      </c>
      <c r="DK86" s="465">
        <f t="shared" si="131"/>
        <v>1439.8736727378684</v>
      </c>
      <c r="DL86" s="48"/>
      <c r="DM86" s="240"/>
      <c r="DN86" s="240"/>
      <c r="DO86" s="240"/>
    </row>
    <row r="87" spans="1:119" s="213" customFormat="1">
      <c r="A87" s="30"/>
      <c r="B87" s="30"/>
      <c r="C87" s="30"/>
      <c r="D87" s="30"/>
      <c r="E87" s="445" t="str">
        <f t="shared" si="112"/>
        <v>Large Business A</v>
      </c>
      <c r="F87" s="1506">
        <f t="shared" si="132"/>
        <v>10000000</v>
      </c>
      <c r="G87" s="434">
        <f t="shared" si="132"/>
        <v>10882199.012036309</v>
      </c>
      <c r="H87" s="434">
        <f t="shared" si="132"/>
        <v>11043781.495168142</v>
      </c>
      <c r="I87" s="434">
        <f t="shared" si="132"/>
        <v>11416122.71784512</v>
      </c>
      <c r="J87" s="434">
        <f t="shared" si="132"/>
        <v>11801017.429213019</v>
      </c>
      <c r="K87" s="465">
        <f t="shared" ref="K87:P87" si="139">K54*K20</f>
        <v>12198888.870290333</v>
      </c>
      <c r="L87" s="464">
        <f t="shared" si="139"/>
        <v>12610174.551671458</v>
      </c>
      <c r="M87" s="434">
        <f t="shared" si="139"/>
        <v>13035326.734625617</v>
      </c>
      <c r="N87" s="434">
        <f t="shared" si="139"/>
        <v>13474812.928416027</v>
      </c>
      <c r="O87" s="434">
        <f t="shared" si="139"/>
        <v>13929116.404386204</v>
      </c>
      <c r="P87" s="465">
        <f t="shared" si="139"/>
        <v>14398736.727378678</v>
      </c>
      <c r="Q87" s="464">
        <f t="shared" si="114"/>
        <v>0</v>
      </c>
      <c r="R87" s="434">
        <f t="shared" si="114"/>
        <v>0</v>
      </c>
      <c r="S87" s="434">
        <f t="shared" si="114"/>
        <v>0</v>
      </c>
      <c r="T87" s="434">
        <f t="shared" si="114"/>
        <v>0</v>
      </c>
      <c r="U87" s="434">
        <f t="shared" si="114"/>
        <v>0</v>
      </c>
      <c r="V87" s="465">
        <f t="shared" si="114"/>
        <v>0</v>
      </c>
      <c r="W87" s="464">
        <f t="shared" si="115"/>
        <v>0</v>
      </c>
      <c r="X87" s="434">
        <f t="shared" si="115"/>
        <v>0</v>
      </c>
      <c r="Y87" s="434">
        <f t="shared" si="115"/>
        <v>0</v>
      </c>
      <c r="Z87" s="434">
        <f t="shared" si="115"/>
        <v>0</v>
      </c>
      <c r="AA87" s="465">
        <f t="shared" si="115"/>
        <v>0</v>
      </c>
      <c r="AB87" s="464">
        <f t="shared" si="116"/>
        <v>2500000</v>
      </c>
      <c r="AC87" s="434">
        <f t="shared" si="116"/>
        <v>2720549.7530090772</v>
      </c>
      <c r="AD87" s="434">
        <f t="shared" si="116"/>
        <v>2760945.373792035</v>
      </c>
      <c r="AE87" s="434">
        <f t="shared" si="116"/>
        <v>2854030.6794612799</v>
      </c>
      <c r="AF87" s="434">
        <f t="shared" si="116"/>
        <v>2950254.3573032548</v>
      </c>
      <c r="AG87" s="465">
        <f t="shared" si="116"/>
        <v>3049722.2175725834</v>
      </c>
      <c r="AH87" s="464">
        <f t="shared" si="117"/>
        <v>3152543.6379178651</v>
      </c>
      <c r="AI87" s="434">
        <f t="shared" si="117"/>
        <v>3258831.6836564047</v>
      </c>
      <c r="AJ87" s="434">
        <f t="shared" si="117"/>
        <v>3368703.2321040076</v>
      </c>
      <c r="AK87" s="434">
        <f t="shared" si="117"/>
        <v>3482279.1010965514</v>
      </c>
      <c r="AL87" s="465">
        <f t="shared" si="117"/>
        <v>3599684.1818446694</v>
      </c>
      <c r="AM87" s="464">
        <f t="shared" si="118"/>
        <v>250000</v>
      </c>
      <c r="AN87" s="434">
        <f t="shared" si="118"/>
        <v>272054.97530090774</v>
      </c>
      <c r="AO87" s="434">
        <f t="shared" si="118"/>
        <v>276094.53737920354</v>
      </c>
      <c r="AP87" s="434">
        <f t="shared" si="118"/>
        <v>285403.06794612802</v>
      </c>
      <c r="AQ87" s="434">
        <f t="shared" si="118"/>
        <v>295025.43573032552</v>
      </c>
      <c r="AR87" s="465">
        <f t="shared" si="118"/>
        <v>304972.2217572584</v>
      </c>
      <c r="AS87" s="464">
        <f t="shared" si="119"/>
        <v>315254.36379178654</v>
      </c>
      <c r="AT87" s="434">
        <f t="shared" si="119"/>
        <v>325883.16836564051</v>
      </c>
      <c r="AU87" s="434">
        <f t="shared" si="119"/>
        <v>336870.32321040076</v>
      </c>
      <c r="AV87" s="434">
        <f t="shared" si="119"/>
        <v>348227.91010965523</v>
      </c>
      <c r="AW87" s="465">
        <f t="shared" si="119"/>
        <v>359968.41818446701</v>
      </c>
      <c r="AX87" s="464">
        <f t="shared" si="120"/>
        <v>150000</v>
      </c>
      <c r="AY87" s="434">
        <f t="shared" si="120"/>
        <v>163232.98518054461</v>
      </c>
      <c r="AZ87" s="434">
        <f t="shared" si="120"/>
        <v>165656.72242752212</v>
      </c>
      <c r="BA87" s="434">
        <f t="shared" si="120"/>
        <v>171241.84076767683</v>
      </c>
      <c r="BB87" s="434">
        <f t="shared" si="120"/>
        <v>177015.26143819533</v>
      </c>
      <c r="BC87" s="465">
        <f t="shared" si="120"/>
        <v>182983.33305435505</v>
      </c>
      <c r="BD87" s="464">
        <f t="shared" si="121"/>
        <v>189152.61827507193</v>
      </c>
      <c r="BE87" s="434">
        <f t="shared" si="121"/>
        <v>195529.9010193843</v>
      </c>
      <c r="BF87" s="434">
        <f t="shared" si="121"/>
        <v>202122.19392624046</v>
      </c>
      <c r="BG87" s="434">
        <f t="shared" si="121"/>
        <v>208936.74606579312</v>
      </c>
      <c r="BH87" s="465">
        <f t="shared" si="121"/>
        <v>215981.05091068018</v>
      </c>
      <c r="BI87" s="464">
        <f t="shared" si="122"/>
        <v>50000</v>
      </c>
      <c r="BJ87" s="434">
        <f t="shared" si="122"/>
        <v>54410.995060181551</v>
      </c>
      <c r="BK87" s="434">
        <f t="shared" si="122"/>
        <v>55218.907475840708</v>
      </c>
      <c r="BL87" s="434">
        <f t="shared" si="122"/>
        <v>57080.613589225606</v>
      </c>
      <c r="BM87" s="434">
        <f t="shared" si="122"/>
        <v>59005.087146065103</v>
      </c>
      <c r="BN87" s="465">
        <f t="shared" si="122"/>
        <v>60994.444351451682</v>
      </c>
      <c r="BO87" s="464">
        <f t="shared" si="135"/>
        <v>63050.872758357313</v>
      </c>
      <c r="BP87" s="434">
        <f t="shared" si="135"/>
        <v>65176.633673128097</v>
      </c>
      <c r="BQ87" s="434">
        <f t="shared" si="135"/>
        <v>67374.064642080164</v>
      </c>
      <c r="BR87" s="434">
        <f t="shared" si="135"/>
        <v>69645.582021931041</v>
      </c>
      <c r="BS87" s="465">
        <f t="shared" si="135"/>
        <v>71993.683636893402</v>
      </c>
      <c r="BT87" s="464">
        <f t="shared" si="124"/>
        <v>150000</v>
      </c>
      <c r="BU87" s="434">
        <f t="shared" si="124"/>
        <v>163232.98518054461</v>
      </c>
      <c r="BV87" s="434">
        <f t="shared" si="124"/>
        <v>165656.72242752212</v>
      </c>
      <c r="BW87" s="434">
        <f t="shared" si="124"/>
        <v>171241.84076767683</v>
      </c>
      <c r="BX87" s="434">
        <f t="shared" si="124"/>
        <v>177015.26143819533</v>
      </c>
      <c r="BY87" s="465">
        <f t="shared" si="124"/>
        <v>182983.33305435503</v>
      </c>
      <c r="BZ87" s="464">
        <f t="shared" si="125"/>
        <v>189152.61827507196</v>
      </c>
      <c r="CA87" s="434">
        <f t="shared" si="125"/>
        <v>195529.90101938433</v>
      </c>
      <c r="CB87" s="434">
        <f t="shared" si="125"/>
        <v>202122.19392624049</v>
      </c>
      <c r="CC87" s="434">
        <f t="shared" si="125"/>
        <v>208936.74606579312</v>
      </c>
      <c r="CD87" s="465">
        <f t="shared" si="125"/>
        <v>215981.05091068018</v>
      </c>
      <c r="CE87" s="464">
        <f t="shared" si="126"/>
        <v>60000</v>
      </c>
      <c r="CF87" s="434">
        <f t="shared" si="126"/>
        <v>65293.194072217848</v>
      </c>
      <c r="CG87" s="434">
        <f t="shared" si="126"/>
        <v>66262.688971008858</v>
      </c>
      <c r="CH87" s="434">
        <f t="shared" si="126"/>
        <v>68496.736307070736</v>
      </c>
      <c r="CI87" s="434">
        <f t="shared" si="126"/>
        <v>70806.104575278136</v>
      </c>
      <c r="CJ87" s="465">
        <f t="shared" si="126"/>
        <v>73193.333221742025</v>
      </c>
      <c r="CK87" s="464">
        <f t="shared" si="127"/>
        <v>75661.047310028778</v>
      </c>
      <c r="CL87" s="434">
        <f t="shared" si="127"/>
        <v>78211.960407753737</v>
      </c>
      <c r="CM87" s="434">
        <f t="shared" si="127"/>
        <v>80848.877570496203</v>
      </c>
      <c r="CN87" s="434">
        <f t="shared" si="127"/>
        <v>83574.698426317264</v>
      </c>
      <c r="CO87" s="465">
        <f t="shared" si="127"/>
        <v>86392.420364272097</v>
      </c>
      <c r="CP87" s="464">
        <f t="shared" si="128"/>
        <v>50000</v>
      </c>
      <c r="CQ87" s="434">
        <f t="shared" si="128"/>
        <v>54410.995060181551</v>
      </c>
      <c r="CR87" s="434">
        <f t="shared" si="128"/>
        <v>55218.907475840715</v>
      </c>
      <c r="CS87" s="434">
        <f t="shared" si="128"/>
        <v>57080.613589225606</v>
      </c>
      <c r="CT87" s="434">
        <f t="shared" si="128"/>
        <v>59005.087146065103</v>
      </c>
      <c r="CU87" s="465">
        <f t="shared" si="128"/>
        <v>60994.444351451675</v>
      </c>
      <c r="CV87" s="464">
        <f t="shared" si="129"/>
        <v>63050.872758357313</v>
      </c>
      <c r="CW87" s="434">
        <f t="shared" si="129"/>
        <v>65176.633673128104</v>
      </c>
      <c r="CX87" s="434">
        <f t="shared" si="129"/>
        <v>67374.064642080164</v>
      </c>
      <c r="CY87" s="434">
        <f t="shared" si="129"/>
        <v>69645.582021931055</v>
      </c>
      <c r="CZ87" s="465">
        <f t="shared" si="129"/>
        <v>71993.683636893416</v>
      </c>
      <c r="DA87" s="464">
        <f t="shared" si="130"/>
        <v>1000</v>
      </c>
      <c r="DB87" s="434">
        <f t="shared" si="130"/>
        <v>1088.219901203631</v>
      </c>
      <c r="DC87" s="434">
        <f t="shared" si="130"/>
        <v>1104.3781495168143</v>
      </c>
      <c r="DD87" s="434">
        <f t="shared" si="130"/>
        <v>1141.6122717845121</v>
      </c>
      <c r="DE87" s="434">
        <f t="shared" si="130"/>
        <v>1180.1017429213023</v>
      </c>
      <c r="DF87" s="465">
        <f t="shared" si="130"/>
        <v>1219.8888870290339</v>
      </c>
      <c r="DG87" s="464">
        <f t="shared" si="131"/>
        <v>1261.0174551671464</v>
      </c>
      <c r="DH87" s="434">
        <f t="shared" si="131"/>
        <v>1303.5326734625621</v>
      </c>
      <c r="DI87" s="434">
        <f t="shared" si="131"/>
        <v>1347.4812928416034</v>
      </c>
      <c r="DJ87" s="434">
        <f t="shared" si="131"/>
        <v>1392.9116404386211</v>
      </c>
      <c r="DK87" s="465">
        <f t="shared" si="131"/>
        <v>1439.8736727378684</v>
      </c>
      <c r="DL87" s="48"/>
      <c r="DM87" s="240"/>
      <c r="DN87" s="240"/>
      <c r="DO87" s="240"/>
    </row>
    <row r="88" spans="1:119" s="213" customFormat="1">
      <c r="A88" s="30"/>
      <c r="B88" s="30"/>
      <c r="C88" s="30"/>
      <c r="D88" s="30"/>
      <c r="E88" s="445" t="str">
        <f t="shared" si="112"/>
        <v>Large Business B</v>
      </c>
      <c r="F88" s="1506">
        <f t="shared" si="132"/>
        <v>10000000</v>
      </c>
      <c r="G88" s="434">
        <f t="shared" si="132"/>
        <v>10882199.012036309</v>
      </c>
      <c r="H88" s="434">
        <f t="shared" si="132"/>
        <v>11043781.495168142</v>
      </c>
      <c r="I88" s="434">
        <f t="shared" si="132"/>
        <v>11416122.71784512</v>
      </c>
      <c r="J88" s="434">
        <f t="shared" si="132"/>
        <v>11801017.429213019</v>
      </c>
      <c r="K88" s="465">
        <f t="shared" ref="K88:P88" si="140">K55*K21</f>
        <v>12198888.870290333</v>
      </c>
      <c r="L88" s="464">
        <f t="shared" si="140"/>
        <v>12610174.551671458</v>
      </c>
      <c r="M88" s="434">
        <f t="shared" si="140"/>
        <v>13035326.734625617</v>
      </c>
      <c r="N88" s="434">
        <f t="shared" si="140"/>
        <v>13474812.928416027</v>
      </c>
      <c r="O88" s="434">
        <f t="shared" si="140"/>
        <v>13929116.404386204</v>
      </c>
      <c r="P88" s="465">
        <f t="shared" si="140"/>
        <v>14398736.727378678</v>
      </c>
      <c r="Q88" s="464">
        <f t="shared" si="114"/>
        <v>0</v>
      </c>
      <c r="R88" s="434">
        <f t="shared" si="114"/>
        <v>0</v>
      </c>
      <c r="S88" s="434">
        <f t="shared" si="114"/>
        <v>0</v>
      </c>
      <c r="T88" s="434">
        <f t="shared" si="114"/>
        <v>0</v>
      </c>
      <c r="U88" s="434">
        <f t="shared" si="114"/>
        <v>0</v>
      </c>
      <c r="V88" s="465">
        <f t="shared" si="114"/>
        <v>0</v>
      </c>
      <c r="W88" s="464">
        <f t="shared" si="115"/>
        <v>0</v>
      </c>
      <c r="X88" s="434">
        <f t="shared" si="115"/>
        <v>0</v>
      </c>
      <c r="Y88" s="434">
        <f t="shared" si="115"/>
        <v>0</v>
      </c>
      <c r="Z88" s="434">
        <f t="shared" si="115"/>
        <v>0</v>
      </c>
      <c r="AA88" s="465">
        <f t="shared" si="115"/>
        <v>0</v>
      </c>
      <c r="AB88" s="464">
        <f t="shared" si="116"/>
        <v>2500000</v>
      </c>
      <c r="AC88" s="434">
        <f t="shared" si="116"/>
        <v>2720549.7530090772</v>
      </c>
      <c r="AD88" s="434">
        <f t="shared" si="116"/>
        <v>2760945.373792035</v>
      </c>
      <c r="AE88" s="434">
        <f t="shared" si="116"/>
        <v>2854030.6794612799</v>
      </c>
      <c r="AF88" s="434">
        <f t="shared" si="116"/>
        <v>2950254.3573032548</v>
      </c>
      <c r="AG88" s="465">
        <f t="shared" si="116"/>
        <v>3049722.2175725834</v>
      </c>
      <c r="AH88" s="464">
        <f t="shared" si="117"/>
        <v>3152543.6379178651</v>
      </c>
      <c r="AI88" s="434">
        <f t="shared" si="117"/>
        <v>3258831.6836564047</v>
      </c>
      <c r="AJ88" s="434">
        <f t="shared" si="117"/>
        <v>3368703.2321040076</v>
      </c>
      <c r="AK88" s="434">
        <f t="shared" si="117"/>
        <v>3482279.1010965514</v>
      </c>
      <c r="AL88" s="465">
        <f t="shared" si="117"/>
        <v>3599684.1818446694</v>
      </c>
      <c r="AM88" s="464">
        <f t="shared" si="118"/>
        <v>250000</v>
      </c>
      <c r="AN88" s="434">
        <f t="shared" si="118"/>
        <v>272054.97530090774</v>
      </c>
      <c r="AO88" s="434">
        <f t="shared" si="118"/>
        <v>276094.53737920354</v>
      </c>
      <c r="AP88" s="434">
        <f t="shared" si="118"/>
        <v>285403.06794612802</v>
      </c>
      <c r="AQ88" s="434">
        <f t="shared" si="118"/>
        <v>295025.43573032552</v>
      </c>
      <c r="AR88" s="465">
        <f t="shared" si="118"/>
        <v>304972.2217572584</v>
      </c>
      <c r="AS88" s="464">
        <f t="shared" si="119"/>
        <v>315254.36379178654</v>
      </c>
      <c r="AT88" s="434">
        <f t="shared" si="119"/>
        <v>325883.16836564051</v>
      </c>
      <c r="AU88" s="434">
        <f t="shared" si="119"/>
        <v>336870.32321040076</v>
      </c>
      <c r="AV88" s="434">
        <f t="shared" si="119"/>
        <v>348227.91010965523</v>
      </c>
      <c r="AW88" s="465">
        <f t="shared" si="119"/>
        <v>359968.41818446701</v>
      </c>
      <c r="AX88" s="464">
        <f t="shared" si="120"/>
        <v>150000</v>
      </c>
      <c r="AY88" s="434">
        <f t="shared" si="120"/>
        <v>163232.98518054461</v>
      </c>
      <c r="AZ88" s="434">
        <f t="shared" si="120"/>
        <v>165656.72242752212</v>
      </c>
      <c r="BA88" s="434">
        <f t="shared" si="120"/>
        <v>171241.84076767683</v>
      </c>
      <c r="BB88" s="434">
        <f t="shared" si="120"/>
        <v>177015.26143819533</v>
      </c>
      <c r="BC88" s="465">
        <f t="shared" si="120"/>
        <v>182983.33305435505</v>
      </c>
      <c r="BD88" s="464">
        <f t="shared" si="121"/>
        <v>189152.61827507193</v>
      </c>
      <c r="BE88" s="434">
        <f t="shared" si="121"/>
        <v>195529.9010193843</v>
      </c>
      <c r="BF88" s="434">
        <f t="shared" si="121"/>
        <v>202122.19392624046</v>
      </c>
      <c r="BG88" s="434">
        <f t="shared" si="121"/>
        <v>208936.74606579312</v>
      </c>
      <c r="BH88" s="465">
        <f t="shared" si="121"/>
        <v>215981.05091068018</v>
      </c>
      <c r="BI88" s="464">
        <f t="shared" si="122"/>
        <v>50000</v>
      </c>
      <c r="BJ88" s="434">
        <f t="shared" si="122"/>
        <v>54410.995060181551</v>
      </c>
      <c r="BK88" s="434">
        <f t="shared" si="122"/>
        <v>55218.907475840708</v>
      </c>
      <c r="BL88" s="434">
        <f t="shared" si="122"/>
        <v>57080.613589225606</v>
      </c>
      <c r="BM88" s="434">
        <f t="shared" si="122"/>
        <v>59005.087146065103</v>
      </c>
      <c r="BN88" s="465">
        <f t="shared" si="122"/>
        <v>60994.444351451682</v>
      </c>
      <c r="BO88" s="464">
        <f t="shared" si="135"/>
        <v>63050.872758357313</v>
      </c>
      <c r="BP88" s="434">
        <f t="shared" si="135"/>
        <v>65176.633673128097</v>
      </c>
      <c r="BQ88" s="434">
        <f t="shared" si="135"/>
        <v>67374.064642080164</v>
      </c>
      <c r="BR88" s="434">
        <f t="shared" si="135"/>
        <v>69645.582021931041</v>
      </c>
      <c r="BS88" s="465">
        <f t="shared" si="135"/>
        <v>71993.683636893402</v>
      </c>
      <c r="BT88" s="464">
        <f t="shared" si="124"/>
        <v>150000</v>
      </c>
      <c r="BU88" s="434">
        <f t="shared" si="124"/>
        <v>163232.98518054461</v>
      </c>
      <c r="BV88" s="434">
        <f t="shared" si="124"/>
        <v>165656.72242752212</v>
      </c>
      <c r="BW88" s="434">
        <f t="shared" si="124"/>
        <v>171241.84076767683</v>
      </c>
      <c r="BX88" s="434">
        <f t="shared" si="124"/>
        <v>177015.26143819533</v>
      </c>
      <c r="BY88" s="465">
        <f t="shared" si="124"/>
        <v>182983.33305435503</v>
      </c>
      <c r="BZ88" s="464">
        <f t="shared" si="125"/>
        <v>189152.61827507196</v>
      </c>
      <c r="CA88" s="434">
        <f t="shared" si="125"/>
        <v>195529.90101938433</v>
      </c>
      <c r="CB88" s="434">
        <f t="shared" si="125"/>
        <v>202122.19392624049</v>
      </c>
      <c r="CC88" s="434">
        <f t="shared" si="125"/>
        <v>208936.74606579312</v>
      </c>
      <c r="CD88" s="465">
        <f t="shared" si="125"/>
        <v>215981.05091068018</v>
      </c>
      <c r="CE88" s="464">
        <f t="shared" si="126"/>
        <v>60000</v>
      </c>
      <c r="CF88" s="434">
        <f t="shared" si="126"/>
        <v>65293.194072217848</v>
      </c>
      <c r="CG88" s="434">
        <f t="shared" si="126"/>
        <v>66262.688971008858</v>
      </c>
      <c r="CH88" s="434">
        <f t="shared" si="126"/>
        <v>68496.736307070736</v>
      </c>
      <c r="CI88" s="434">
        <f t="shared" si="126"/>
        <v>70806.104575278136</v>
      </c>
      <c r="CJ88" s="465">
        <f t="shared" si="126"/>
        <v>73193.333221742025</v>
      </c>
      <c r="CK88" s="464">
        <f t="shared" si="127"/>
        <v>75661.047310028778</v>
      </c>
      <c r="CL88" s="434">
        <f t="shared" si="127"/>
        <v>78211.960407753737</v>
      </c>
      <c r="CM88" s="434">
        <f t="shared" si="127"/>
        <v>80848.877570496203</v>
      </c>
      <c r="CN88" s="434">
        <f t="shared" si="127"/>
        <v>83574.698426317264</v>
      </c>
      <c r="CO88" s="465">
        <f t="shared" si="127"/>
        <v>86392.420364272097</v>
      </c>
      <c r="CP88" s="464">
        <f t="shared" si="128"/>
        <v>50000</v>
      </c>
      <c r="CQ88" s="434">
        <f t="shared" si="128"/>
        <v>54410.995060181551</v>
      </c>
      <c r="CR88" s="434">
        <f t="shared" si="128"/>
        <v>55218.907475840715</v>
      </c>
      <c r="CS88" s="434">
        <f t="shared" si="128"/>
        <v>57080.613589225606</v>
      </c>
      <c r="CT88" s="434">
        <f t="shared" si="128"/>
        <v>59005.087146065103</v>
      </c>
      <c r="CU88" s="465">
        <f t="shared" si="128"/>
        <v>60994.444351451675</v>
      </c>
      <c r="CV88" s="464">
        <f t="shared" si="129"/>
        <v>63050.872758357313</v>
      </c>
      <c r="CW88" s="434">
        <f t="shared" si="129"/>
        <v>65176.633673128104</v>
      </c>
      <c r="CX88" s="434">
        <f t="shared" si="129"/>
        <v>67374.064642080164</v>
      </c>
      <c r="CY88" s="434">
        <f t="shared" si="129"/>
        <v>69645.582021931055</v>
      </c>
      <c r="CZ88" s="465">
        <f t="shared" si="129"/>
        <v>71993.683636893416</v>
      </c>
      <c r="DA88" s="464">
        <f t="shared" si="130"/>
        <v>1000</v>
      </c>
      <c r="DB88" s="434">
        <f t="shared" si="130"/>
        <v>1088.219901203631</v>
      </c>
      <c r="DC88" s="434">
        <f t="shared" si="130"/>
        <v>1104.3781495168143</v>
      </c>
      <c r="DD88" s="434">
        <f t="shared" si="130"/>
        <v>1141.6122717845121</v>
      </c>
      <c r="DE88" s="434">
        <f t="shared" si="130"/>
        <v>1180.1017429213023</v>
      </c>
      <c r="DF88" s="465">
        <f t="shared" si="130"/>
        <v>1219.8888870290339</v>
      </c>
      <c r="DG88" s="464">
        <f t="shared" si="131"/>
        <v>1261.0174551671464</v>
      </c>
      <c r="DH88" s="434">
        <f t="shared" si="131"/>
        <v>1303.5326734625621</v>
      </c>
      <c r="DI88" s="434">
        <f t="shared" si="131"/>
        <v>1347.4812928416034</v>
      </c>
      <c r="DJ88" s="434">
        <f t="shared" si="131"/>
        <v>1392.9116404386211</v>
      </c>
      <c r="DK88" s="465">
        <f t="shared" si="131"/>
        <v>1439.8736727378684</v>
      </c>
      <c r="DL88" s="48"/>
      <c r="DM88" s="240"/>
      <c r="DN88" s="240"/>
      <c r="DO88" s="240"/>
    </row>
    <row r="89" spans="1:119" s="214" customFormat="1">
      <c r="A89" s="30"/>
      <c r="B89" s="30"/>
      <c r="C89" s="30"/>
      <c r="D89" s="30"/>
      <c r="E89" s="445" t="str">
        <f t="shared" si="112"/>
        <v>Large Business C</v>
      </c>
      <c r="F89" s="1506">
        <f t="shared" si="132"/>
        <v>10000000</v>
      </c>
      <c r="G89" s="434">
        <f t="shared" si="132"/>
        <v>10882199.012036309</v>
      </c>
      <c r="H89" s="434">
        <f t="shared" si="132"/>
        <v>11043781.495168142</v>
      </c>
      <c r="I89" s="434">
        <f t="shared" si="132"/>
        <v>11416122.71784512</v>
      </c>
      <c r="J89" s="434">
        <f t="shared" si="132"/>
        <v>11801017.429213019</v>
      </c>
      <c r="K89" s="465">
        <f t="shared" ref="K89:P89" si="141">K56*K22</f>
        <v>12198888.870290333</v>
      </c>
      <c r="L89" s="464">
        <f t="shared" si="141"/>
        <v>12610174.551671458</v>
      </c>
      <c r="M89" s="434">
        <f t="shared" si="141"/>
        <v>13035326.734625617</v>
      </c>
      <c r="N89" s="434">
        <f t="shared" si="141"/>
        <v>13474812.928416027</v>
      </c>
      <c r="O89" s="434">
        <f t="shared" si="141"/>
        <v>13929116.404386204</v>
      </c>
      <c r="P89" s="465">
        <f t="shared" si="141"/>
        <v>14398736.727378678</v>
      </c>
      <c r="Q89" s="464">
        <f t="shared" si="114"/>
        <v>0</v>
      </c>
      <c r="R89" s="434">
        <f t="shared" si="114"/>
        <v>0</v>
      </c>
      <c r="S89" s="434">
        <f t="shared" si="114"/>
        <v>0</v>
      </c>
      <c r="T89" s="434">
        <f t="shared" si="114"/>
        <v>0</v>
      </c>
      <c r="U89" s="434">
        <f t="shared" si="114"/>
        <v>0</v>
      </c>
      <c r="V89" s="465">
        <f t="shared" si="114"/>
        <v>0</v>
      </c>
      <c r="W89" s="464">
        <f t="shared" si="115"/>
        <v>0</v>
      </c>
      <c r="X89" s="434">
        <f t="shared" si="115"/>
        <v>0</v>
      </c>
      <c r="Y89" s="434">
        <f t="shared" si="115"/>
        <v>0</v>
      </c>
      <c r="Z89" s="434">
        <f t="shared" si="115"/>
        <v>0</v>
      </c>
      <c r="AA89" s="465">
        <f t="shared" si="115"/>
        <v>0</v>
      </c>
      <c r="AB89" s="464">
        <f t="shared" si="116"/>
        <v>2500000</v>
      </c>
      <c r="AC89" s="434">
        <f t="shared" si="116"/>
        <v>2720549.7530090772</v>
      </c>
      <c r="AD89" s="434">
        <f t="shared" si="116"/>
        <v>2760945.373792035</v>
      </c>
      <c r="AE89" s="434">
        <f t="shared" si="116"/>
        <v>2854030.6794612799</v>
      </c>
      <c r="AF89" s="434">
        <f t="shared" si="116"/>
        <v>2950254.3573032548</v>
      </c>
      <c r="AG89" s="465">
        <f t="shared" si="116"/>
        <v>3049722.2175725834</v>
      </c>
      <c r="AH89" s="464">
        <f t="shared" si="117"/>
        <v>3152543.6379178651</v>
      </c>
      <c r="AI89" s="434">
        <f t="shared" si="117"/>
        <v>3258831.6836564047</v>
      </c>
      <c r="AJ89" s="434">
        <f t="shared" si="117"/>
        <v>3368703.2321040076</v>
      </c>
      <c r="AK89" s="434">
        <f t="shared" si="117"/>
        <v>3482279.1010965514</v>
      </c>
      <c r="AL89" s="465">
        <f t="shared" si="117"/>
        <v>3599684.1818446694</v>
      </c>
      <c r="AM89" s="464">
        <f t="shared" si="118"/>
        <v>250000</v>
      </c>
      <c r="AN89" s="434">
        <f t="shared" si="118"/>
        <v>272054.97530090774</v>
      </c>
      <c r="AO89" s="434">
        <f t="shared" si="118"/>
        <v>276094.53737920354</v>
      </c>
      <c r="AP89" s="434">
        <f t="shared" si="118"/>
        <v>285403.06794612802</v>
      </c>
      <c r="AQ89" s="434">
        <f t="shared" si="118"/>
        <v>295025.43573032552</v>
      </c>
      <c r="AR89" s="465">
        <f t="shared" si="118"/>
        <v>304972.2217572584</v>
      </c>
      <c r="AS89" s="464">
        <f t="shared" si="119"/>
        <v>315254.36379178654</v>
      </c>
      <c r="AT89" s="434">
        <f t="shared" si="119"/>
        <v>325883.16836564051</v>
      </c>
      <c r="AU89" s="434">
        <f t="shared" si="119"/>
        <v>336870.32321040076</v>
      </c>
      <c r="AV89" s="434">
        <f t="shared" si="119"/>
        <v>348227.91010965523</v>
      </c>
      <c r="AW89" s="465">
        <f t="shared" si="119"/>
        <v>359968.41818446701</v>
      </c>
      <c r="AX89" s="464">
        <f t="shared" si="120"/>
        <v>150000</v>
      </c>
      <c r="AY89" s="434">
        <f t="shared" si="120"/>
        <v>163232.98518054461</v>
      </c>
      <c r="AZ89" s="434">
        <f t="shared" si="120"/>
        <v>165656.72242752212</v>
      </c>
      <c r="BA89" s="434">
        <f t="shared" si="120"/>
        <v>171241.84076767683</v>
      </c>
      <c r="BB89" s="434">
        <f t="shared" si="120"/>
        <v>177015.26143819533</v>
      </c>
      <c r="BC89" s="465">
        <f t="shared" si="120"/>
        <v>182983.33305435505</v>
      </c>
      <c r="BD89" s="464">
        <f t="shared" si="121"/>
        <v>189152.61827507193</v>
      </c>
      <c r="BE89" s="434">
        <f t="shared" si="121"/>
        <v>195529.9010193843</v>
      </c>
      <c r="BF89" s="434">
        <f t="shared" si="121"/>
        <v>202122.19392624046</v>
      </c>
      <c r="BG89" s="434">
        <f t="shared" si="121"/>
        <v>208936.74606579312</v>
      </c>
      <c r="BH89" s="465">
        <f t="shared" si="121"/>
        <v>215981.05091068018</v>
      </c>
      <c r="BI89" s="464">
        <f t="shared" si="122"/>
        <v>50000</v>
      </c>
      <c r="BJ89" s="434">
        <f t="shared" si="122"/>
        <v>54410.995060181551</v>
      </c>
      <c r="BK89" s="434">
        <f t="shared" si="122"/>
        <v>55218.907475840708</v>
      </c>
      <c r="BL89" s="434">
        <f t="shared" si="122"/>
        <v>57080.613589225606</v>
      </c>
      <c r="BM89" s="434">
        <f t="shared" si="122"/>
        <v>59005.087146065103</v>
      </c>
      <c r="BN89" s="465">
        <f t="shared" si="122"/>
        <v>60994.444351451682</v>
      </c>
      <c r="BO89" s="464">
        <f t="shared" si="135"/>
        <v>63050.872758357313</v>
      </c>
      <c r="BP89" s="434">
        <f t="shared" si="135"/>
        <v>65176.633673128097</v>
      </c>
      <c r="BQ89" s="434">
        <f t="shared" si="135"/>
        <v>67374.064642080164</v>
      </c>
      <c r="BR89" s="434">
        <f t="shared" si="135"/>
        <v>69645.582021931041</v>
      </c>
      <c r="BS89" s="465">
        <f t="shared" si="135"/>
        <v>71993.683636893402</v>
      </c>
      <c r="BT89" s="464">
        <f t="shared" si="124"/>
        <v>150000</v>
      </c>
      <c r="BU89" s="434">
        <f t="shared" si="124"/>
        <v>163232.98518054461</v>
      </c>
      <c r="BV89" s="434">
        <f t="shared" si="124"/>
        <v>165656.72242752212</v>
      </c>
      <c r="BW89" s="434">
        <f t="shared" si="124"/>
        <v>171241.84076767683</v>
      </c>
      <c r="BX89" s="434">
        <f t="shared" si="124"/>
        <v>177015.26143819533</v>
      </c>
      <c r="BY89" s="465">
        <f t="shared" si="124"/>
        <v>182983.33305435503</v>
      </c>
      <c r="BZ89" s="464">
        <f t="shared" si="125"/>
        <v>189152.61827507196</v>
      </c>
      <c r="CA89" s="434">
        <f t="shared" si="125"/>
        <v>195529.90101938433</v>
      </c>
      <c r="CB89" s="434">
        <f t="shared" si="125"/>
        <v>202122.19392624049</v>
      </c>
      <c r="CC89" s="434">
        <f t="shared" si="125"/>
        <v>208936.74606579312</v>
      </c>
      <c r="CD89" s="465">
        <f t="shared" si="125"/>
        <v>215981.05091068018</v>
      </c>
      <c r="CE89" s="464">
        <f t="shared" si="126"/>
        <v>60000</v>
      </c>
      <c r="CF89" s="434">
        <f t="shared" si="126"/>
        <v>65293.194072217848</v>
      </c>
      <c r="CG89" s="434">
        <f t="shared" si="126"/>
        <v>66262.688971008858</v>
      </c>
      <c r="CH89" s="434">
        <f t="shared" si="126"/>
        <v>68496.736307070736</v>
      </c>
      <c r="CI89" s="434">
        <f t="shared" si="126"/>
        <v>70806.104575278136</v>
      </c>
      <c r="CJ89" s="465">
        <f t="shared" si="126"/>
        <v>73193.333221742025</v>
      </c>
      <c r="CK89" s="464">
        <f t="shared" si="127"/>
        <v>75661.047310028778</v>
      </c>
      <c r="CL89" s="434">
        <f t="shared" si="127"/>
        <v>78211.960407753737</v>
      </c>
      <c r="CM89" s="434">
        <f t="shared" si="127"/>
        <v>80848.877570496203</v>
      </c>
      <c r="CN89" s="434">
        <f t="shared" si="127"/>
        <v>83574.698426317264</v>
      </c>
      <c r="CO89" s="465">
        <f t="shared" si="127"/>
        <v>86392.420364272097</v>
      </c>
      <c r="CP89" s="464">
        <f t="shared" si="128"/>
        <v>50000</v>
      </c>
      <c r="CQ89" s="434">
        <f t="shared" si="128"/>
        <v>54410.995060181551</v>
      </c>
      <c r="CR89" s="434">
        <f t="shared" si="128"/>
        <v>55218.907475840715</v>
      </c>
      <c r="CS89" s="434">
        <f t="shared" si="128"/>
        <v>57080.613589225606</v>
      </c>
      <c r="CT89" s="434">
        <f t="shared" si="128"/>
        <v>59005.087146065103</v>
      </c>
      <c r="CU89" s="465">
        <f t="shared" si="128"/>
        <v>60994.444351451675</v>
      </c>
      <c r="CV89" s="464">
        <f t="shared" si="129"/>
        <v>63050.872758357313</v>
      </c>
      <c r="CW89" s="434">
        <f t="shared" si="129"/>
        <v>65176.633673128104</v>
      </c>
      <c r="CX89" s="434">
        <f t="shared" si="129"/>
        <v>67374.064642080164</v>
      </c>
      <c r="CY89" s="434">
        <f t="shared" si="129"/>
        <v>69645.582021931055</v>
      </c>
      <c r="CZ89" s="465">
        <f t="shared" si="129"/>
        <v>71993.683636893416</v>
      </c>
      <c r="DA89" s="464">
        <f t="shared" si="130"/>
        <v>1000</v>
      </c>
      <c r="DB89" s="434">
        <f t="shared" si="130"/>
        <v>1088.219901203631</v>
      </c>
      <c r="DC89" s="434">
        <f t="shared" si="130"/>
        <v>1104.3781495168143</v>
      </c>
      <c r="DD89" s="434">
        <f t="shared" si="130"/>
        <v>1141.6122717845121</v>
      </c>
      <c r="DE89" s="434">
        <f t="shared" si="130"/>
        <v>1180.1017429213023</v>
      </c>
      <c r="DF89" s="465">
        <f t="shared" si="130"/>
        <v>1219.8888870290339</v>
      </c>
      <c r="DG89" s="464">
        <f t="shared" si="131"/>
        <v>1261.0174551671464</v>
      </c>
      <c r="DH89" s="434">
        <f t="shared" si="131"/>
        <v>1303.5326734625621</v>
      </c>
      <c r="DI89" s="434">
        <f t="shared" si="131"/>
        <v>1347.4812928416034</v>
      </c>
      <c r="DJ89" s="434">
        <f t="shared" si="131"/>
        <v>1392.9116404386211</v>
      </c>
      <c r="DK89" s="465">
        <f t="shared" si="131"/>
        <v>1439.8736727378684</v>
      </c>
      <c r="DL89" s="48"/>
      <c r="DM89" s="240"/>
      <c r="DN89" s="240"/>
      <c r="DO89" s="240"/>
    </row>
    <row r="90" spans="1:119" s="214" customFormat="1">
      <c r="A90" s="30"/>
      <c r="B90" s="30"/>
      <c r="C90" s="30"/>
      <c r="D90" s="30"/>
      <c r="E90" s="445">
        <f t="shared" si="112"/>
        <v>0</v>
      </c>
      <c r="F90" s="1506">
        <f t="shared" si="132"/>
        <v>0</v>
      </c>
      <c r="G90" s="434">
        <f t="shared" si="132"/>
        <v>0</v>
      </c>
      <c r="H90" s="434">
        <f t="shared" si="132"/>
        <v>0</v>
      </c>
      <c r="I90" s="434">
        <f t="shared" si="132"/>
        <v>0</v>
      </c>
      <c r="J90" s="434">
        <f t="shared" si="132"/>
        <v>0</v>
      </c>
      <c r="K90" s="465">
        <f t="shared" ref="K90:P90" si="142">K57*K23</f>
        <v>0</v>
      </c>
      <c r="L90" s="464">
        <f t="shared" si="142"/>
        <v>0</v>
      </c>
      <c r="M90" s="434">
        <f t="shared" si="142"/>
        <v>0</v>
      </c>
      <c r="N90" s="434">
        <f t="shared" si="142"/>
        <v>0</v>
      </c>
      <c r="O90" s="434">
        <f t="shared" si="142"/>
        <v>0</v>
      </c>
      <c r="P90" s="465">
        <f t="shared" si="142"/>
        <v>0</v>
      </c>
      <c r="Q90" s="464">
        <f t="shared" si="114"/>
        <v>0</v>
      </c>
      <c r="R90" s="434">
        <f t="shared" si="114"/>
        <v>0</v>
      </c>
      <c r="S90" s="434">
        <f t="shared" si="114"/>
        <v>0</v>
      </c>
      <c r="T90" s="434">
        <f t="shared" si="114"/>
        <v>0</v>
      </c>
      <c r="U90" s="434">
        <f t="shared" si="114"/>
        <v>0</v>
      </c>
      <c r="V90" s="465">
        <f t="shared" si="114"/>
        <v>0</v>
      </c>
      <c r="W90" s="464">
        <f t="shared" si="115"/>
        <v>0</v>
      </c>
      <c r="X90" s="434">
        <f t="shared" si="115"/>
        <v>0</v>
      </c>
      <c r="Y90" s="434">
        <f t="shared" si="115"/>
        <v>0</v>
      </c>
      <c r="Z90" s="434">
        <f t="shared" si="115"/>
        <v>0</v>
      </c>
      <c r="AA90" s="465">
        <f t="shared" si="115"/>
        <v>0</v>
      </c>
      <c r="AB90" s="464">
        <f t="shared" si="116"/>
        <v>0</v>
      </c>
      <c r="AC90" s="434">
        <f t="shared" si="116"/>
        <v>0</v>
      </c>
      <c r="AD90" s="434">
        <f t="shared" si="116"/>
        <v>0</v>
      </c>
      <c r="AE90" s="434">
        <f t="shared" si="116"/>
        <v>0</v>
      </c>
      <c r="AF90" s="434">
        <f t="shared" si="116"/>
        <v>0</v>
      </c>
      <c r="AG90" s="465">
        <f t="shared" si="116"/>
        <v>0</v>
      </c>
      <c r="AH90" s="464">
        <f t="shared" si="117"/>
        <v>0</v>
      </c>
      <c r="AI90" s="434">
        <f t="shared" si="117"/>
        <v>0</v>
      </c>
      <c r="AJ90" s="434">
        <f t="shared" si="117"/>
        <v>0</v>
      </c>
      <c r="AK90" s="434">
        <f t="shared" si="117"/>
        <v>0</v>
      </c>
      <c r="AL90" s="465">
        <f t="shared" si="117"/>
        <v>0</v>
      </c>
      <c r="AM90" s="464">
        <f t="shared" si="118"/>
        <v>0</v>
      </c>
      <c r="AN90" s="434">
        <f t="shared" si="118"/>
        <v>0</v>
      </c>
      <c r="AO90" s="434">
        <f t="shared" si="118"/>
        <v>0</v>
      </c>
      <c r="AP90" s="434">
        <f t="shared" si="118"/>
        <v>0</v>
      </c>
      <c r="AQ90" s="434">
        <f t="shared" si="118"/>
        <v>0</v>
      </c>
      <c r="AR90" s="465">
        <f t="shared" si="118"/>
        <v>0</v>
      </c>
      <c r="AS90" s="464">
        <f t="shared" si="119"/>
        <v>0</v>
      </c>
      <c r="AT90" s="434">
        <f t="shared" si="119"/>
        <v>0</v>
      </c>
      <c r="AU90" s="434">
        <f t="shared" si="119"/>
        <v>0</v>
      </c>
      <c r="AV90" s="434">
        <f t="shared" si="119"/>
        <v>0</v>
      </c>
      <c r="AW90" s="465">
        <f t="shared" si="119"/>
        <v>0</v>
      </c>
      <c r="AX90" s="464">
        <f t="shared" si="120"/>
        <v>0</v>
      </c>
      <c r="AY90" s="434">
        <f t="shared" si="120"/>
        <v>0</v>
      </c>
      <c r="AZ90" s="434">
        <f t="shared" si="120"/>
        <v>0</v>
      </c>
      <c r="BA90" s="434">
        <f t="shared" si="120"/>
        <v>0</v>
      </c>
      <c r="BB90" s="434">
        <f t="shared" si="120"/>
        <v>0</v>
      </c>
      <c r="BC90" s="465">
        <f t="shared" si="120"/>
        <v>0</v>
      </c>
      <c r="BD90" s="464">
        <f t="shared" si="121"/>
        <v>0</v>
      </c>
      <c r="BE90" s="434">
        <f t="shared" si="121"/>
        <v>0</v>
      </c>
      <c r="BF90" s="434">
        <f t="shared" si="121"/>
        <v>0</v>
      </c>
      <c r="BG90" s="434">
        <f t="shared" si="121"/>
        <v>0</v>
      </c>
      <c r="BH90" s="465">
        <f t="shared" si="121"/>
        <v>0</v>
      </c>
      <c r="BI90" s="464">
        <f t="shared" si="122"/>
        <v>0</v>
      </c>
      <c r="BJ90" s="434">
        <f t="shared" si="122"/>
        <v>0</v>
      </c>
      <c r="BK90" s="434">
        <f t="shared" si="122"/>
        <v>0</v>
      </c>
      <c r="BL90" s="434">
        <f t="shared" si="122"/>
        <v>0</v>
      </c>
      <c r="BM90" s="434">
        <f t="shared" si="122"/>
        <v>0</v>
      </c>
      <c r="BN90" s="465">
        <f t="shared" si="122"/>
        <v>0</v>
      </c>
      <c r="BO90" s="464">
        <f t="shared" si="135"/>
        <v>0</v>
      </c>
      <c r="BP90" s="434">
        <f t="shared" si="135"/>
        <v>0</v>
      </c>
      <c r="BQ90" s="434">
        <f t="shared" si="135"/>
        <v>0</v>
      </c>
      <c r="BR90" s="434">
        <f t="shared" si="135"/>
        <v>0</v>
      </c>
      <c r="BS90" s="465">
        <f t="shared" si="135"/>
        <v>0</v>
      </c>
      <c r="BT90" s="464">
        <f t="shared" si="124"/>
        <v>0</v>
      </c>
      <c r="BU90" s="434">
        <f t="shared" si="124"/>
        <v>0</v>
      </c>
      <c r="BV90" s="434">
        <f t="shared" si="124"/>
        <v>0</v>
      </c>
      <c r="BW90" s="434">
        <f t="shared" si="124"/>
        <v>0</v>
      </c>
      <c r="BX90" s="434">
        <f t="shared" si="124"/>
        <v>0</v>
      </c>
      <c r="BY90" s="465">
        <f t="shared" si="124"/>
        <v>0</v>
      </c>
      <c r="BZ90" s="464">
        <f t="shared" si="125"/>
        <v>0</v>
      </c>
      <c r="CA90" s="434">
        <f t="shared" si="125"/>
        <v>0</v>
      </c>
      <c r="CB90" s="434">
        <f t="shared" si="125"/>
        <v>0</v>
      </c>
      <c r="CC90" s="434">
        <f t="shared" si="125"/>
        <v>0</v>
      </c>
      <c r="CD90" s="465">
        <f t="shared" si="125"/>
        <v>0</v>
      </c>
      <c r="CE90" s="464">
        <f t="shared" si="126"/>
        <v>0</v>
      </c>
      <c r="CF90" s="434">
        <f t="shared" si="126"/>
        <v>0</v>
      </c>
      <c r="CG90" s="434">
        <f t="shared" si="126"/>
        <v>0</v>
      </c>
      <c r="CH90" s="434">
        <f t="shared" si="126"/>
        <v>0</v>
      </c>
      <c r="CI90" s="434">
        <f t="shared" si="126"/>
        <v>0</v>
      </c>
      <c r="CJ90" s="465">
        <f t="shared" si="126"/>
        <v>0</v>
      </c>
      <c r="CK90" s="464">
        <f t="shared" si="127"/>
        <v>0</v>
      </c>
      <c r="CL90" s="434">
        <f t="shared" si="127"/>
        <v>0</v>
      </c>
      <c r="CM90" s="434">
        <f t="shared" si="127"/>
        <v>0</v>
      </c>
      <c r="CN90" s="434">
        <f t="shared" si="127"/>
        <v>0</v>
      </c>
      <c r="CO90" s="465">
        <f t="shared" si="127"/>
        <v>0</v>
      </c>
      <c r="CP90" s="464">
        <f t="shared" si="128"/>
        <v>0</v>
      </c>
      <c r="CQ90" s="434">
        <f t="shared" si="128"/>
        <v>0</v>
      </c>
      <c r="CR90" s="434">
        <f t="shared" si="128"/>
        <v>0</v>
      </c>
      <c r="CS90" s="434">
        <f t="shared" si="128"/>
        <v>0</v>
      </c>
      <c r="CT90" s="434">
        <f t="shared" si="128"/>
        <v>0</v>
      </c>
      <c r="CU90" s="465">
        <f t="shared" si="128"/>
        <v>0</v>
      </c>
      <c r="CV90" s="464">
        <f t="shared" si="129"/>
        <v>0</v>
      </c>
      <c r="CW90" s="434">
        <f t="shared" si="129"/>
        <v>0</v>
      </c>
      <c r="CX90" s="434">
        <f t="shared" si="129"/>
        <v>0</v>
      </c>
      <c r="CY90" s="434">
        <f t="shared" si="129"/>
        <v>0</v>
      </c>
      <c r="CZ90" s="465">
        <f t="shared" si="129"/>
        <v>0</v>
      </c>
      <c r="DA90" s="464">
        <f t="shared" si="130"/>
        <v>0</v>
      </c>
      <c r="DB90" s="434">
        <f t="shared" si="130"/>
        <v>0</v>
      </c>
      <c r="DC90" s="434">
        <f t="shared" si="130"/>
        <v>0</v>
      </c>
      <c r="DD90" s="434">
        <f t="shared" si="130"/>
        <v>0</v>
      </c>
      <c r="DE90" s="434">
        <f t="shared" si="130"/>
        <v>0</v>
      </c>
      <c r="DF90" s="465">
        <f t="shared" si="130"/>
        <v>0</v>
      </c>
      <c r="DG90" s="464">
        <f t="shared" si="131"/>
        <v>0</v>
      </c>
      <c r="DH90" s="434">
        <f t="shared" si="131"/>
        <v>0</v>
      </c>
      <c r="DI90" s="434">
        <f t="shared" si="131"/>
        <v>0</v>
      </c>
      <c r="DJ90" s="434">
        <f t="shared" si="131"/>
        <v>0</v>
      </c>
      <c r="DK90" s="465">
        <f t="shared" si="131"/>
        <v>0</v>
      </c>
      <c r="DL90" s="48"/>
      <c r="DM90" s="240"/>
      <c r="DN90" s="240"/>
      <c r="DO90" s="240"/>
    </row>
    <row r="91" spans="1:119" s="214" customFormat="1">
      <c r="A91" s="30"/>
      <c r="B91" s="30"/>
      <c r="C91" s="30"/>
      <c r="D91" s="30"/>
      <c r="E91" s="445">
        <f t="shared" si="112"/>
        <v>0</v>
      </c>
      <c r="F91" s="1506">
        <f t="shared" si="132"/>
        <v>0</v>
      </c>
      <c r="G91" s="434">
        <f t="shared" si="132"/>
        <v>0</v>
      </c>
      <c r="H91" s="434">
        <f t="shared" si="132"/>
        <v>0</v>
      </c>
      <c r="I91" s="434">
        <f t="shared" si="132"/>
        <v>0</v>
      </c>
      <c r="J91" s="434">
        <f t="shared" si="132"/>
        <v>0</v>
      </c>
      <c r="K91" s="465">
        <f t="shared" ref="K91:P100" si="143">K58*K24</f>
        <v>0</v>
      </c>
      <c r="L91" s="464">
        <f t="shared" si="143"/>
        <v>0</v>
      </c>
      <c r="M91" s="434">
        <f t="shared" si="143"/>
        <v>0</v>
      </c>
      <c r="N91" s="434">
        <f t="shared" si="143"/>
        <v>0</v>
      </c>
      <c r="O91" s="434">
        <f t="shared" si="143"/>
        <v>0</v>
      </c>
      <c r="P91" s="465">
        <f t="shared" si="143"/>
        <v>0</v>
      </c>
      <c r="Q91" s="464">
        <f t="shared" ref="Q91:V100" si="144">Q58*Q24/100</f>
        <v>0</v>
      </c>
      <c r="R91" s="434">
        <f t="shared" si="144"/>
        <v>0</v>
      </c>
      <c r="S91" s="434">
        <f t="shared" si="144"/>
        <v>0</v>
      </c>
      <c r="T91" s="434">
        <f t="shared" si="144"/>
        <v>0</v>
      </c>
      <c r="U91" s="434">
        <f t="shared" si="144"/>
        <v>0</v>
      </c>
      <c r="V91" s="465">
        <f t="shared" si="144"/>
        <v>0</v>
      </c>
      <c r="W91" s="464">
        <f t="shared" ref="W91:AA100" si="145">W58*W24/100</f>
        <v>0</v>
      </c>
      <c r="X91" s="434">
        <f t="shared" si="145"/>
        <v>0</v>
      </c>
      <c r="Y91" s="434">
        <f t="shared" si="145"/>
        <v>0</v>
      </c>
      <c r="Z91" s="434">
        <f t="shared" si="145"/>
        <v>0</v>
      </c>
      <c r="AA91" s="465">
        <f t="shared" si="145"/>
        <v>0</v>
      </c>
      <c r="AB91" s="464">
        <f t="shared" ref="AB91:AG100" si="146">AB58*AB24/100</f>
        <v>0</v>
      </c>
      <c r="AC91" s="434">
        <f t="shared" si="146"/>
        <v>0</v>
      </c>
      <c r="AD91" s="434">
        <f t="shared" si="146"/>
        <v>0</v>
      </c>
      <c r="AE91" s="434">
        <f t="shared" si="146"/>
        <v>0</v>
      </c>
      <c r="AF91" s="434">
        <f t="shared" si="146"/>
        <v>0</v>
      </c>
      <c r="AG91" s="465">
        <f t="shared" si="146"/>
        <v>0</v>
      </c>
      <c r="AH91" s="464">
        <f t="shared" ref="AH91:AL100" si="147">AH58*AH24/100</f>
        <v>0</v>
      </c>
      <c r="AI91" s="434">
        <f t="shared" si="147"/>
        <v>0</v>
      </c>
      <c r="AJ91" s="434">
        <f t="shared" si="147"/>
        <v>0</v>
      </c>
      <c r="AK91" s="434">
        <f t="shared" si="147"/>
        <v>0</v>
      </c>
      <c r="AL91" s="465">
        <f t="shared" si="147"/>
        <v>0</v>
      </c>
      <c r="AM91" s="464">
        <f t="shared" ref="AM91:AR100" si="148">AM58*AM24/100</f>
        <v>0</v>
      </c>
      <c r="AN91" s="434">
        <f t="shared" si="148"/>
        <v>0</v>
      </c>
      <c r="AO91" s="434">
        <f t="shared" si="148"/>
        <v>0</v>
      </c>
      <c r="AP91" s="434">
        <f t="shared" si="148"/>
        <v>0</v>
      </c>
      <c r="AQ91" s="434">
        <f t="shared" si="148"/>
        <v>0</v>
      </c>
      <c r="AR91" s="465">
        <f t="shared" si="148"/>
        <v>0</v>
      </c>
      <c r="AS91" s="464">
        <f t="shared" ref="AS91:AW100" si="149">AS58*AS24/100</f>
        <v>0</v>
      </c>
      <c r="AT91" s="434">
        <f t="shared" si="149"/>
        <v>0</v>
      </c>
      <c r="AU91" s="434">
        <f t="shared" si="149"/>
        <v>0</v>
      </c>
      <c r="AV91" s="434">
        <f t="shared" si="149"/>
        <v>0</v>
      </c>
      <c r="AW91" s="465">
        <f t="shared" si="149"/>
        <v>0</v>
      </c>
      <c r="AX91" s="464">
        <f t="shared" ref="AX91:BC100" si="150">AX58*AX24/100</f>
        <v>0</v>
      </c>
      <c r="AY91" s="434">
        <f t="shared" si="150"/>
        <v>0</v>
      </c>
      <c r="AZ91" s="434">
        <f t="shared" si="150"/>
        <v>0</v>
      </c>
      <c r="BA91" s="434">
        <f t="shared" si="150"/>
        <v>0</v>
      </c>
      <c r="BB91" s="434">
        <f t="shared" si="150"/>
        <v>0</v>
      </c>
      <c r="BC91" s="465">
        <f t="shared" si="150"/>
        <v>0</v>
      </c>
      <c r="BD91" s="464">
        <f t="shared" ref="BD91:BH100" si="151">BD58*BD24/100</f>
        <v>0</v>
      </c>
      <c r="BE91" s="434">
        <f t="shared" si="151"/>
        <v>0</v>
      </c>
      <c r="BF91" s="434">
        <f t="shared" si="151"/>
        <v>0</v>
      </c>
      <c r="BG91" s="434">
        <f t="shared" si="151"/>
        <v>0</v>
      </c>
      <c r="BH91" s="465">
        <f t="shared" si="151"/>
        <v>0</v>
      </c>
      <c r="BI91" s="464">
        <f t="shared" ref="BI91:BN100" si="152">BI58*BI24/100</f>
        <v>0</v>
      </c>
      <c r="BJ91" s="434">
        <f t="shared" si="152"/>
        <v>0</v>
      </c>
      <c r="BK91" s="434">
        <f t="shared" si="152"/>
        <v>0</v>
      </c>
      <c r="BL91" s="434">
        <f t="shared" si="152"/>
        <v>0</v>
      </c>
      <c r="BM91" s="434">
        <f t="shared" si="152"/>
        <v>0</v>
      </c>
      <c r="BN91" s="465">
        <f t="shared" si="152"/>
        <v>0</v>
      </c>
      <c r="BO91" s="464">
        <f t="shared" si="135"/>
        <v>0</v>
      </c>
      <c r="BP91" s="434">
        <f t="shared" si="135"/>
        <v>0</v>
      </c>
      <c r="BQ91" s="434">
        <f t="shared" si="135"/>
        <v>0</v>
      </c>
      <c r="BR91" s="434">
        <f t="shared" si="135"/>
        <v>0</v>
      </c>
      <c r="BS91" s="465">
        <f t="shared" si="135"/>
        <v>0</v>
      </c>
      <c r="BT91" s="464">
        <f t="shared" ref="BT91:BY100" si="153">BT58*BT24</f>
        <v>0</v>
      </c>
      <c r="BU91" s="434">
        <f t="shared" si="153"/>
        <v>0</v>
      </c>
      <c r="BV91" s="434">
        <f t="shared" si="153"/>
        <v>0</v>
      </c>
      <c r="BW91" s="434">
        <f t="shared" si="153"/>
        <v>0</v>
      </c>
      <c r="BX91" s="434">
        <f t="shared" si="153"/>
        <v>0</v>
      </c>
      <c r="BY91" s="465">
        <f t="shared" si="153"/>
        <v>0</v>
      </c>
      <c r="BZ91" s="464">
        <f t="shared" ref="BZ91:CD100" si="154">BZ58*BZ24</f>
        <v>0</v>
      </c>
      <c r="CA91" s="434">
        <f t="shared" si="154"/>
        <v>0</v>
      </c>
      <c r="CB91" s="434">
        <f t="shared" si="154"/>
        <v>0</v>
      </c>
      <c r="CC91" s="434">
        <f t="shared" si="154"/>
        <v>0</v>
      </c>
      <c r="CD91" s="465">
        <f t="shared" si="154"/>
        <v>0</v>
      </c>
      <c r="CE91" s="464">
        <f t="shared" ref="CE91:CJ100" si="155">CE58*CE24</f>
        <v>0</v>
      </c>
      <c r="CF91" s="434">
        <f t="shared" si="155"/>
        <v>0</v>
      </c>
      <c r="CG91" s="434">
        <f t="shared" si="155"/>
        <v>0</v>
      </c>
      <c r="CH91" s="434">
        <f t="shared" si="155"/>
        <v>0</v>
      </c>
      <c r="CI91" s="434">
        <f t="shared" si="155"/>
        <v>0</v>
      </c>
      <c r="CJ91" s="465">
        <f t="shared" si="155"/>
        <v>0</v>
      </c>
      <c r="CK91" s="464">
        <f t="shared" ref="CK91:CO100" si="156">CK58*CK24</f>
        <v>0</v>
      </c>
      <c r="CL91" s="434">
        <f t="shared" si="156"/>
        <v>0</v>
      </c>
      <c r="CM91" s="434">
        <f t="shared" si="156"/>
        <v>0</v>
      </c>
      <c r="CN91" s="434">
        <f t="shared" si="156"/>
        <v>0</v>
      </c>
      <c r="CO91" s="465">
        <f t="shared" si="156"/>
        <v>0</v>
      </c>
      <c r="CP91" s="464">
        <f t="shared" ref="CP91:CU100" si="157">CP58*CP24</f>
        <v>0</v>
      </c>
      <c r="CQ91" s="434">
        <f t="shared" si="157"/>
        <v>0</v>
      </c>
      <c r="CR91" s="434">
        <f t="shared" si="157"/>
        <v>0</v>
      </c>
      <c r="CS91" s="434">
        <f t="shared" si="157"/>
        <v>0</v>
      </c>
      <c r="CT91" s="434">
        <f t="shared" si="157"/>
        <v>0</v>
      </c>
      <c r="CU91" s="465">
        <f t="shared" si="157"/>
        <v>0</v>
      </c>
      <c r="CV91" s="464">
        <f t="shared" ref="CV91:CZ100" si="158">CV58*CV24</f>
        <v>0</v>
      </c>
      <c r="CW91" s="434">
        <f t="shared" si="158"/>
        <v>0</v>
      </c>
      <c r="CX91" s="434">
        <f t="shared" si="158"/>
        <v>0</v>
      </c>
      <c r="CY91" s="434">
        <f t="shared" si="158"/>
        <v>0</v>
      </c>
      <c r="CZ91" s="465">
        <f t="shared" si="158"/>
        <v>0</v>
      </c>
      <c r="DA91" s="464">
        <f t="shared" ref="DA91:DF100" si="159">DA58*DA24</f>
        <v>0</v>
      </c>
      <c r="DB91" s="434">
        <f t="shared" si="159"/>
        <v>0</v>
      </c>
      <c r="DC91" s="434">
        <f t="shared" si="159"/>
        <v>0</v>
      </c>
      <c r="DD91" s="434">
        <f t="shared" si="159"/>
        <v>0</v>
      </c>
      <c r="DE91" s="434">
        <f t="shared" si="159"/>
        <v>0</v>
      </c>
      <c r="DF91" s="465">
        <f t="shared" si="159"/>
        <v>0</v>
      </c>
      <c r="DG91" s="464">
        <f t="shared" ref="DG91:DK100" si="160">DG58*DG24</f>
        <v>0</v>
      </c>
      <c r="DH91" s="434">
        <f t="shared" si="160"/>
        <v>0</v>
      </c>
      <c r="DI91" s="434">
        <f t="shared" si="160"/>
        <v>0</v>
      </c>
      <c r="DJ91" s="434">
        <f t="shared" si="160"/>
        <v>0</v>
      </c>
      <c r="DK91" s="465">
        <f t="shared" si="160"/>
        <v>0</v>
      </c>
      <c r="DL91" s="48"/>
      <c r="DM91" s="240"/>
      <c r="DN91" s="240"/>
      <c r="DO91" s="240"/>
    </row>
    <row r="92" spans="1:119" s="214" customFormat="1">
      <c r="A92" s="30"/>
      <c r="B92" s="30"/>
      <c r="C92" s="30"/>
      <c r="D92" s="30"/>
      <c r="E92" s="445">
        <f t="shared" si="112"/>
        <v>0</v>
      </c>
      <c r="F92" s="1506">
        <f t="shared" ref="F92:J101" si="161">F59*F25</f>
        <v>0</v>
      </c>
      <c r="G92" s="434">
        <f t="shared" si="161"/>
        <v>0</v>
      </c>
      <c r="H92" s="434">
        <f t="shared" si="161"/>
        <v>0</v>
      </c>
      <c r="I92" s="434">
        <f t="shared" si="161"/>
        <v>0</v>
      </c>
      <c r="J92" s="434">
        <f t="shared" si="161"/>
        <v>0</v>
      </c>
      <c r="K92" s="465">
        <f t="shared" si="143"/>
        <v>0</v>
      </c>
      <c r="L92" s="464">
        <f t="shared" si="143"/>
        <v>0</v>
      </c>
      <c r="M92" s="434">
        <f t="shared" si="143"/>
        <v>0</v>
      </c>
      <c r="N92" s="434">
        <f t="shared" si="143"/>
        <v>0</v>
      </c>
      <c r="O92" s="434">
        <f t="shared" si="143"/>
        <v>0</v>
      </c>
      <c r="P92" s="465">
        <f t="shared" si="143"/>
        <v>0</v>
      </c>
      <c r="Q92" s="464">
        <f t="shared" si="144"/>
        <v>0</v>
      </c>
      <c r="R92" s="434">
        <f t="shared" si="144"/>
        <v>0</v>
      </c>
      <c r="S92" s="434">
        <f t="shared" si="144"/>
        <v>0</v>
      </c>
      <c r="T92" s="434">
        <f t="shared" si="144"/>
        <v>0</v>
      </c>
      <c r="U92" s="434">
        <f t="shared" si="144"/>
        <v>0</v>
      </c>
      <c r="V92" s="465">
        <f t="shared" si="144"/>
        <v>0</v>
      </c>
      <c r="W92" s="464">
        <f t="shared" si="145"/>
        <v>0</v>
      </c>
      <c r="X92" s="434">
        <f t="shared" si="145"/>
        <v>0</v>
      </c>
      <c r="Y92" s="434">
        <f t="shared" si="145"/>
        <v>0</v>
      </c>
      <c r="Z92" s="434">
        <f t="shared" si="145"/>
        <v>0</v>
      </c>
      <c r="AA92" s="465">
        <f t="shared" si="145"/>
        <v>0</v>
      </c>
      <c r="AB92" s="464">
        <f t="shared" si="146"/>
        <v>0</v>
      </c>
      <c r="AC92" s="434">
        <f t="shared" si="146"/>
        <v>0</v>
      </c>
      <c r="AD92" s="434">
        <f t="shared" si="146"/>
        <v>0</v>
      </c>
      <c r="AE92" s="434">
        <f t="shared" si="146"/>
        <v>0</v>
      </c>
      <c r="AF92" s="434">
        <f t="shared" si="146"/>
        <v>0</v>
      </c>
      <c r="AG92" s="465">
        <f t="shared" si="146"/>
        <v>0</v>
      </c>
      <c r="AH92" s="464">
        <f t="shared" si="147"/>
        <v>0</v>
      </c>
      <c r="AI92" s="434">
        <f t="shared" si="147"/>
        <v>0</v>
      </c>
      <c r="AJ92" s="434">
        <f t="shared" si="147"/>
        <v>0</v>
      </c>
      <c r="AK92" s="434">
        <f t="shared" si="147"/>
        <v>0</v>
      </c>
      <c r="AL92" s="465">
        <f t="shared" si="147"/>
        <v>0</v>
      </c>
      <c r="AM92" s="464">
        <f t="shared" si="148"/>
        <v>0</v>
      </c>
      <c r="AN92" s="434">
        <f t="shared" si="148"/>
        <v>0</v>
      </c>
      <c r="AO92" s="434">
        <f t="shared" si="148"/>
        <v>0</v>
      </c>
      <c r="AP92" s="434">
        <f t="shared" si="148"/>
        <v>0</v>
      </c>
      <c r="AQ92" s="434">
        <f t="shared" si="148"/>
        <v>0</v>
      </c>
      <c r="AR92" s="465">
        <f t="shared" si="148"/>
        <v>0</v>
      </c>
      <c r="AS92" s="464">
        <f t="shared" si="149"/>
        <v>0</v>
      </c>
      <c r="AT92" s="434">
        <f t="shared" si="149"/>
        <v>0</v>
      </c>
      <c r="AU92" s="434">
        <f t="shared" si="149"/>
        <v>0</v>
      </c>
      <c r="AV92" s="434">
        <f t="shared" si="149"/>
        <v>0</v>
      </c>
      <c r="AW92" s="465">
        <f t="shared" si="149"/>
        <v>0</v>
      </c>
      <c r="AX92" s="464">
        <f t="shared" si="150"/>
        <v>0</v>
      </c>
      <c r="AY92" s="434">
        <f t="shared" si="150"/>
        <v>0</v>
      </c>
      <c r="AZ92" s="434">
        <f t="shared" si="150"/>
        <v>0</v>
      </c>
      <c r="BA92" s="434">
        <f t="shared" si="150"/>
        <v>0</v>
      </c>
      <c r="BB92" s="434">
        <f t="shared" si="150"/>
        <v>0</v>
      </c>
      <c r="BC92" s="465">
        <f t="shared" si="150"/>
        <v>0</v>
      </c>
      <c r="BD92" s="464">
        <f t="shared" si="151"/>
        <v>0</v>
      </c>
      <c r="BE92" s="434">
        <f t="shared" si="151"/>
        <v>0</v>
      </c>
      <c r="BF92" s="434">
        <f t="shared" si="151"/>
        <v>0</v>
      </c>
      <c r="BG92" s="434">
        <f t="shared" si="151"/>
        <v>0</v>
      </c>
      <c r="BH92" s="465">
        <f t="shared" si="151"/>
        <v>0</v>
      </c>
      <c r="BI92" s="464">
        <f t="shared" si="152"/>
        <v>0</v>
      </c>
      <c r="BJ92" s="434">
        <f t="shared" si="152"/>
        <v>0</v>
      </c>
      <c r="BK92" s="434">
        <f t="shared" si="152"/>
        <v>0</v>
      </c>
      <c r="BL92" s="434">
        <f t="shared" si="152"/>
        <v>0</v>
      </c>
      <c r="BM92" s="434">
        <f t="shared" si="152"/>
        <v>0</v>
      </c>
      <c r="BN92" s="465">
        <f t="shared" si="152"/>
        <v>0</v>
      </c>
      <c r="BO92" s="464">
        <f t="shared" si="135"/>
        <v>0</v>
      </c>
      <c r="BP92" s="434">
        <f t="shared" si="135"/>
        <v>0</v>
      </c>
      <c r="BQ92" s="434">
        <f t="shared" si="135"/>
        <v>0</v>
      </c>
      <c r="BR92" s="434">
        <f t="shared" si="135"/>
        <v>0</v>
      </c>
      <c r="BS92" s="465">
        <f t="shared" si="135"/>
        <v>0</v>
      </c>
      <c r="BT92" s="464">
        <f t="shared" si="153"/>
        <v>0</v>
      </c>
      <c r="BU92" s="434">
        <f t="shared" si="153"/>
        <v>0</v>
      </c>
      <c r="BV92" s="434">
        <f t="shared" si="153"/>
        <v>0</v>
      </c>
      <c r="BW92" s="434">
        <f t="shared" si="153"/>
        <v>0</v>
      </c>
      <c r="BX92" s="434">
        <f t="shared" si="153"/>
        <v>0</v>
      </c>
      <c r="BY92" s="465">
        <f t="shared" si="153"/>
        <v>0</v>
      </c>
      <c r="BZ92" s="464">
        <f t="shared" si="154"/>
        <v>0</v>
      </c>
      <c r="CA92" s="434">
        <f t="shared" si="154"/>
        <v>0</v>
      </c>
      <c r="CB92" s="434">
        <f t="shared" si="154"/>
        <v>0</v>
      </c>
      <c r="CC92" s="434">
        <f t="shared" si="154"/>
        <v>0</v>
      </c>
      <c r="CD92" s="465">
        <f t="shared" si="154"/>
        <v>0</v>
      </c>
      <c r="CE92" s="464">
        <f t="shared" si="155"/>
        <v>0</v>
      </c>
      <c r="CF92" s="434">
        <f t="shared" si="155"/>
        <v>0</v>
      </c>
      <c r="CG92" s="434">
        <f t="shared" si="155"/>
        <v>0</v>
      </c>
      <c r="CH92" s="434">
        <f t="shared" si="155"/>
        <v>0</v>
      </c>
      <c r="CI92" s="434">
        <f t="shared" si="155"/>
        <v>0</v>
      </c>
      <c r="CJ92" s="465">
        <f t="shared" si="155"/>
        <v>0</v>
      </c>
      <c r="CK92" s="464">
        <f t="shared" si="156"/>
        <v>0</v>
      </c>
      <c r="CL92" s="434">
        <f t="shared" si="156"/>
        <v>0</v>
      </c>
      <c r="CM92" s="434">
        <f t="shared" si="156"/>
        <v>0</v>
      </c>
      <c r="CN92" s="434">
        <f t="shared" si="156"/>
        <v>0</v>
      </c>
      <c r="CO92" s="465">
        <f t="shared" si="156"/>
        <v>0</v>
      </c>
      <c r="CP92" s="464">
        <f t="shared" si="157"/>
        <v>0</v>
      </c>
      <c r="CQ92" s="434">
        <f t="shared" si="157"/>
        <v>0</v>
      </c>
      <c r="CR92" s="434">
        <f t="shared" si="157"/>
        <v>0</v>
      </c>
      <c r="CS92" s="434">
        <f t="shared" si="157"/>
        <v>0</v>
      </c>
      <c r="CT92" s="434">
        <f t="shared" si="157"/>
        <v>0</v>
      </c>
      <c r="CU92" s="465">
        <f t="shared" si="157"/>
        <v>0</v>
      </c>
      <c r="CV92" s="464">
        <f t="shared" si="158"/>
        <v>0</v>
      </c>
      <c r="CW92" s="434">
        <f t="shared" si="158"/>
        <v>0</v>
      </c>
      <c r="CX92" s="434">
        <f t="shared" si="158"/>
        <v>0</v>
      </c>
      <c r="CY92" s="434">
        <f t="shared" si="158"/>
        <v>0</v>
      </c>
      <c r="CZ92" s="465">
        <f t="shared" si="158"/>
        <v>0</v>
      </c>
      <c r="DA92" s="464">
        <f t="shared" si="159"/>
        <v>0</v>
      </c>
      <c r="DB92" s="434">
        <f t="shared" si="159"/>
        <v>0</v>
      </c>
      <c r="DC92" s="434">
        <f t="shared" si="159"/>
        <v>0</v>
      </c>
      <c r="DD92" s="434">
        <f t="shared" si="159"/>
        <v>0</v>
      </c>
      <c r="DE92" s="434">
        <f t="shared" si="159"/>
        <v>0</v>
      </c>
      <c r="DF92" s="465">
        <f t="shared" si="159"/>
        <v>0</v>
      </c>
      <c r="DG92" s="464">
        <f t="shared" si="160"/>
        <v>0</v>
      </c>
      <c r="DH92" s="434">
        <f t="shared" si="160"/>
        <v>0</v>
      </c>
      <c r="DI92" s="434">
        <f t="shared" si="160"/>
        <v>0</v>
      </c>
      <c r="DJ92" s="434">
        <f t="shared" si="160"/>
        <v>0</v>
      </c>
      <c r="DK92" s="465">
        <f t="shared" si="160"/>
        <v>0</v>
      </c>
      <c r="DL92" s="48"/>
      <c r="DM92" s="240"/>
      <c r="DN92" s="240"/>
      <c r="DO92" s="240"/>
    </row>
    <row r="93" spans="1:119" s="214" customFormat="1">
      <c r="A93" s="30"/>
      <c r="B93" s="30"/>
      <c r="C93" s="30"/>
      <c r="D93" s="30"/>
      <c r="E93" s="445">
        <f t="shared" si="112"/>
        <v>0</v>
      </c>
      <c r="F93" s="1506">
        <f t="shared" si="161"/>
        <v>0</v>
      </c>
      <c r="G93" s="434">
        <f t="shared" si="161"/>
        <v>0</v>
      </c>
      <c r="H93" s="434">
        <f t="shared" si="161"/>
        <v>0</v>
      </c>
      <c r="I93" s="434">
        <f t="shared" si="161"/>
        <v>0</v>
      </c>
      <c r="J93" s="434">
        <f t="shared" si="161"/>
        <v>0</v>
      </c>
      <c r="K93" s="465">
        <f t="shared" si="143"/>
        <v>0</v>
      </c>
      <c r="L93" s="464">
        <f t="shared" si="143"/>
        <v>0</v>
      </c>
      <c r="M93" s="434">
        <f t="shared" si="143"/>
        <v>0</v>
      </c>
      <c r="N93" s="434">
        <f t="shared" si="143"/>
        <v>0</v>
      </c>
      <c r="O93" s="434">
        <f t="shared" si="143"/>
        <v>0</v>
      </c>
      <c r="P93" s="465">
        <f t="shared" si="143"/>
        <v>0</v>
      </c>
      <c r="Q93" s="464">
        <f t="shared" si="144"/>
        <v>0</v>
      </c>
      <c r="R93" s="434">
        <f t="shared" si="144"/>
        <v>0</v>
      </c>
      <c r="S93" s="434">
        <f t="shared" si="144"/>
        <v>0</v>
      </c>
      <c r="T93" s="434">
        <f t="shared" si="144"/>
        <v>0</v>
      </c>
      <c r="U93" s="434">
        <f t="shared" si="144"/>
        <v>0</v>
      </c>
      <c r="V93" s="465">
        <f t="shared" si="144"/>
        <v>0</v>
      </c>
      <c r="W93" s="464">
        <f t="shared" si="145"/>
        <v>0</v>
      </c>
      <c r="X93" s="434">
        <f t="shared" si="145"/>
        <v>0</v>
      </c>
      <c r="Y93" s="434">
        <f t="shared" si="145"/>
        <v>0</v>
      </c>
      <c r="Z93" s="434">
        <f t="shared" si="145"/>
        <v>0</v>
      </c>
      <c r="AA93" s="465">
        <f t="shared" si="145"/>
        <v>0</v>
      </c>
      <c r="AB93" s="464">
        <f t="shared" si="146"/>
        <v>0</v>
      </c>
      <c r="AC93" s="434">
        <f t="shared" si="146"/>
        <v>0</v>
      </c>
      <c r="AD93" s="434">
        <f t="shared" si="146"/>
        <v>0</v>
      </c>
      <c r="AE93" s="434">
        <f t="shared" si="146"/>
        <v>0</v>
      </c>
      <c r="AF93" s="434">
        <f t="shared" si="146"/>
        <v>0</v>
      </c>
      <c r="AG93" s="465">
        <f t="shared" si="146"/>
        <v>0</v>
      </c>
      <c r="AH93" s="464">
        <f t="shared" si="147"/>
        <v>0</v>
      </c>
      <c r="AI93" s="434">
        <f t="shared" si="147"/>
        <v>0</v>
      </c>
      <c r="AJ93" s="434">
        <f t="shared" si="147"/>
        <v>0</v>
      </c>
      <c r="AK93" s="434">
        <f t="shared" si="147"/>
        <v>0</v>
      </c>
      <c r="AL93" s="465">
        <f t="shared" si="147"/>
        <v>0</v>
      </c>
      <c r="AM93" s="464">
        <f t="shared" si="148"/>
        <v>0</v>
      </c>
      <c r="AN93" s="434">
        <f t="shared" si="148"/>
        <v>0</v>
      </c>
      <c r="AO93" s="434">
        <f t="shared" si="148"/>
        <v>0</v>
      </c>
      <c r="AP93" s="434">
        <f t="shared" si="148"/>
        <v>0</v>
      </c>
      <c r="AQ93" s="434">
        <f t="shared" si="148"/>
        <v>0</v>
      </c>
      <c r="AR93" s="465">
        <f t="shared" si="148"/>
        <v>0</v>
      </c>
      <c r="AS93" s="464">
        <f t="shared" si="149"/>
        <v>0</v>
      </c>
      <c r="AT93" s="434">
        <f t="shared" si="149"/>
        <v>0</v>
      </c>
      <c r="AU93" s="434">
        <f t="shared" si="149"/>
        <v>0</v>
      </c>
      <c r="AV93" s="434">
        <f t="shared" si="149"/>
        <v>0</v>
      </c>
      <c r="AW93" s="465">
        <f t="shared" si="149"/>
        <v>0</v>
      </c>
      <c r="AX93" s="464">
        <f t="shared" si="150"/>
        <v>0</v>
      </c>
      <c r="AY93" s="434">
        <f t="shared" si="150"/>
        <v>0</v>
      </c>
      <c r="AZ93" s="434">
        <f t="shared" si="150"/>
        <v>0</v>
      </c>
      <c r="BA93" s="434">
        <f t="shared" si="150"/>
        <v>0</v>
      </c>
      <c r="BB93" s="434">
        <f t="shared" si="150"/>
        <v>0</v>
      </c>
      <c r="BC93" s="465">
        <f t="shared" si="150"/>
        <v>0</v>
      </c>
      <c r="BD93" s="464">
        <f t="shared" si="151"/>
        <v>0</v>
      </c>
      <c r="BE93" s="434">
        <f t="shared" si="151"/>
        <v>0</v>
      </c>
      <c r="BF93" s="434">
        <f t="shared" si="151"/>
        <v>0</v>
      </c>
      <c r="BG93" s="434">
        <f t="shared" si="151"/>
        <v>0</v>
      </c>
      <c r="BH93" s="465">
        <f t="shared" si="151"/>
        <v>0</v>
      </c>
      <c r="BI93" s="464">
        <f t="shared" si="152"/>
        <v>0</v>
      </c>
      <c r="BJ93" s="434">
        <f t="shared" si="152"/>
        <v>0</v>
      </c>
      <c r="BK93" s="434">
        <f t="shared" si="152"/>
        <v>0</v>
      </c>
      <c r="BL93" s="434">
        <f t="shared" si="152"/>
        <v>0</v>
      </c>
      <c r="BM93" s="434">
        <f t="shared" si="152"/>
        <v>0</v>
      </c>
      <c r="BN93" s="465">
        <f t="shared" si="152"/>
        <v>0</v>
      </c>
      <c r="BO93" s="464">
        <f t="shared" ref="BO93:BS102" si="162">BO60*BO26/100</f>
        <v>0</v>
      </c>
      <c r="BP93" s="434">
        <f t="shared" si="162"/>
        <v>0</v>
      </c>
      <c r="BQ93" s="434">
        <f t="shared" si="162"/>
        <v>0</v>
      </c>
      <c r="BR93" s="434">
        <f t="shared" si="162"/>
        <v>0</v>
      </c>
      <c r="BS93" s="465">
        <f t="shared" si="162"/>
        <v>0</v>
      </c>
      <c r="BT93" s="464">
        <f t="shared" si="153"/>
        <v>0</v>
      </c>
      <c r="BU93" s="434">
        <f t="shared" si="153"/>
        <v>0</v>
      </c>
      <c r="BV93" s="434">
        <f t="shared" si="153"/>
        <v>0</v>
      </c>
      <c r="BW93" s="434">
        <f t="shared" si="153"/>
        <v>0</v>
      </c>
      <c r="BX93" s="434">
        <f t="shared" si="153"/>
        <v>0</v>
      </c>
      <c r="BY93" s="465">
        <f t="shared" si="153"/>
        <v>0</v>
      </c>
      <c r="BZ93" s="464">
        <f t="shared" si="154"/>
        <v>0</v>
      </c>
      <c r="CA93" s="434">
        <f t="shared" si="154"/>
        <v>0</v>
      </c>
      <c r="CB93" s="434">
        <f t="shared" si="154"/>
        <v>0</v>
      </c>
      <c r="CC93" s="434">
        <f t="shared" si="154"/>
        <v>0</v>
      </c>
      <c r="CD93" s="465">
        <f t="shared" si="154"/>
        <v>0</v>
      </c>
      <c r="CE93" s="464">
        <f t="shared" si="155"/>
        <v>0</v>
      </c>
      <c r="CF93" s="434">
        <f t="shared" si="155"/>
        <v>0</v>
      </c>
      <c r="CG93" s="434">
        <f t="shared" si="155"/>
        <v>0</v>
      </c>
      <c r="CH93" s="434">
        <f t="shared" si="155"/>
        <v>0</v>
      </c>
      <c r="CI93" s="434">
        <f t="shared" si="155"/>
        <v>0</v>
      </c>
      <c r="CJ93" s="465">
        <f t="shared" si="155"/>
        <v>0</v>
      </c>
      <c r="CK93" s="464">
        <f t="shared" si="156"/>
        <v>0</v>
      </c>
      <c r="CL93" s="434">
        <f t="shared" si="156"/>
        <v>0</v>
      </c>
      <c r="CM93" s="434">
        <f t="shared" si="156"/>
        <v>0</v>
      </c>
      <c r="CN93" s="434">
        <f t="shared" si="156"/>
        <v>0</v>
      </c>
      <c r="CO93" s="465">
        <f t="shared" si="156"/>
        <v>0</v>
      </c>
      <c r="CP93" s="464">
        <f t="shared" si="157"/>
        <v>0</v>
      </c>
      <c r="CQ93" s="434">
        <f t="shared" si="157"/>
        <v>0</v>
      </c>
      <c r="CR93" s="434">
        <f t="shared" si="157"/>
        <v>0</v>
      </c>
      <c r="CS93" s="434">
        <f t="shared" si="157"/>
        <v>0</v>
      </c>
      <c r="CT93" s="434">
        <f t="shared" si="157"/>
        <v>0</v>
      </c>
      <c r="CU93" s="465">
        <f t="shared" si="157"/>
        <v>0</v>
      </c>
      <c r="CV93" s="464">
        <f t="shared" si="158"/>
        <v>0</v>
      </c>
      <c r="CW93" s="434">
        <f t="shared" si="158"/>
        <v>0</v>
      </c>
      <c r="CX93" s="434">
        <f t="shared" si="158"/>
        <v>0</v>
      </c>
      <c r="CY93" s="434">
        <f t="shared" si="158"/>
        <v>0</v>
      </c>
      <c r="CZ93" s="465">
        <f t="shared" si="158"/>
        <v>0</v>
      </c>
      <c r="DA93" s="464">
        <f t="shared" si="159"/>
        <v>0</v>
      </c>
      <c r="DB93" s="434">
        <f t="shared" si="159"/>
        <v>0</v>
      </c>
      <c r="DC93" s="434">
        <f t="shared" si="159"/>
        <v>0</v>
      </c>
      <c r="DD93" s="434">
        <f t="shared" si="159"/>
        <v>0</v>
      </c>
      <c r="DE93" s="434">
        <f t="shared" si="159"/>
        <v>0</v>
      </c>
      <c r="DF93" s="465">
        <f t="shared" si="159"/>
        <v>0</v>
      </c>
      <c r="DG93" s="464">
        <f t="shared" si="160"/>
        <v>0</v>
      </c>
      <c r="DH93" s="434">
        <f t="shared" si="160"/>
        <v>0</v>
      </c>
      <c r="DI93" s="434">
        <f t="shared" si="160"/>
        <v>0</v>
      </c>
      <c r="DJ93" s="434">
        <f t="shared" si="160"/>
        <v>0</v>
      </c>
      <c r="DK93" s="465">
        <f t="shared" si="160"/>
        <v>0</v>
      </c>
      <c r="DL93" s="48"/>
      <c r="DM93" s="240"/>
      <c r="DN93" s="240"/>
      <c r="DO93" s="240"/>
    </row>
    <row r="94" spans="1:119" s="4" customFormat="1">
      <c r="A94" s="23"/>
      <c r="B94" s="23"/>
      <c r="C94" s="23"/>
      <c r="D94" s="23"/>
      <c r="E94" s="445">
        <f t="shared" si="112"/>
        <v>0</v>
      </c>
      <c r="F94" s="1506">
        <f t="shared" si="161"/>
        <v>0</v>
      </c>
      <c r="G94" s="434">
        <f t="shared" si="161"/>
        <v>0</v>
      </c>
      <c r="H94" s="434">
        <f t="shared" si="161"/>
        <v>0</v>
      </c>
      <c r="I94" s="434">
        <f t="shared" si="161"/>
        <v>0</v>
      </c>
      <c r="J94" s="434">
        <f t="shared" si="161"/>
        <v>0</v>
      </c>
      <c r="K94" s="465">
        <f t="shared" si="143"/>
        <v>0</v>
      </c>
      <c r="L94" s="464">
        <f t="shared" si="143"/>
        <v>0</v>
      </c>
      <c r="M94" s="434">
        <f t="shared" si="143"/>
        <v>0</v>
      </c>
      <c r="N94" s="434">
        <f t="shared" si="143"/>
        <v>0</v>
      </c>
      <c r="O94" s="434">
        <f t="shared" si="143"/>
        <v>0</v>
      </c>
      <c r="P94" s="465">
        <f t="shared" si="143"/>
        <v>0</v>
      </c>
      <c r="Q94" s="464">
        <f t="shared" si="144"/>
        <v>0</v>
      </c>
      <c r="R94" s="434">
        <f t="shared" si="144"/>
        <v>0</v>
      </c>
      <c r="S94" s="434">
        <f t="shared" si="144"/>
        <v>0</v>
      </c>
      <c r="T94" s="434">
        <f t="shared" si="144"/>
        <v>0</v>
      </c>
      <c r="U94" s="434">
        <f t="shared" si="144"/>
        <v>0</v>
      </c>
      <c r="V94" s="465">
        <f t="shared" si="144"/>
        <v>0</v>
      </c>
      <c r="W94" s="464">
        <f t="shared" si="145"/>
        <v>0</v>
      </c>
      <c r="X94" s="434">
        <f t="shared" si="145"/>
        <v>0</v>
      </c>
      <c r="Y94" s="434">
        <f t="shared" si="145"/>
        <v>0</v>
      </c>
      <c r="Z94" s="434">
        <f t="shared" si="145"/>
        <v>0</v>
      </c>
      <c r="AA94" s="465">
        <f t="shared" si="145"/>
        <v>0</v>
      </c>
      <c r="AB94" s="464">
        <f t="shared" si="146"/>
        <v>0</v>
      </c>
      <c r="AC94" s="434">
        <f t="shared" si="146"/>
        <v>0</v>
      </c>
      <c r="AD94" s="434">
        <f t="shared" si="146"/>
        <v>0</v>
      </c>
      <c r="AE94" s="434">
        <f t="shared" si="146"/>
        <v>0</v>
      </c>
      <c r="AF94" s="434">
        <f t="shared" si="146"/>
        <v>0</v>
      </c>
      <c r="AG94" s="465">
        <f t="shared" si="146"/>
        <v>0</v>
      </c>
      <c r="AH94" s="464">
        <f t="shared" si="147"/>
        <v>0</v>
      </c>
      <c r="AI94" s="434">
        <f t="shared" si="147"/>
        <v>0</v>
      </c>
      <c r="AJ94" s="434">
        <f t="shared" si="147"/>
        <v>0</v>
      </c>
      <c r="AK94" s="434">
        <f t="shared" si="147"/>
        <v>0</v>
      </c>
      <c r="AL94" s="465">
        <f t="shared" si="147"/>
        <v>0</v>
      </c>
      <c r="AM94" s="464">
        <f t="shared" si="148"/>
        <v>0</v>
      </c>
      <c r="AN94" s="434">
        <f t="shared" si="148"/>
        <v>0</v>
      </c>
      <c r="AO94" s="434">
        <f t="shared" si="148"/>
        <v>0</v>
      </c>
      <c r="AP94" s="434">
        <f t="shared" si="148"/>
        <v>0</v>
      </c>
      <c r="AQ94" s="434">
        <f t="shared" si="148"/>
        <v>0</v>
      </c>
      <c r="AR94" s="465">
        <f t="shared" si="148"/>
        <v>0</v>
      </c>
      <c r="AS94" s="464">
        <f t="shared" si="149"/>
        <v>0</v>
      </c>
      <c r="AT94" s="434">
        <f t="shared" si="149"/>
        <v>0</v>
      </c>
      <c r="AU94" s="434">
        <f t="shared" si="149"/>
        <v>0</v>
      </c>
      <c r="AV94" s="434">
        <f t="shared" si="149"/>
        <v>0</v>
      </c>
      <c r="AW94" s="465">
        <f t="shared" si="149"/>
        <v>0</v>
      </c>
      <c r="AX94" s="464">
        <f t="shared" si="150"/>
        <v>0</v>
      </c>
      <c r="AY94" s="434">
        <f t="shared" si="150"/>
        <v>0</v>
      </c>
      <c r="AZ94" s="434">
        <f t="shared" si="150"/>
        <v>0</v>
      </c>
      <c r="BA94" s="434">
        <f t="shared" si="150"/>
        <v>0</v>
      </c>
      <c r="BB94" s="434">
        <f t="shared" si="150"/>
        <v>0</v>
      </c>
      <c r="BC94" s="465">
        <f t="shared" si="150"/>
        <v>0</v>
      </c>
      <c r="BD94" s="464">
        <f t="shared" si="151"/>
        <v>0</v>
      </c>
      <c r="BE94" s="434">
        <f t="shared" si="151"/>
        <v>0</v>
      </c>
      <c r="BF94" s="434">
        <f t="shared" si="151"/>
        <v>0</v>
      </c>
      <c r="BG94" s="434">
        <f t="shared" si="151"/>
        <v>0</v>
      </c>
      <c r="BH94" s="465">
        <f t="shared" si="151"/>
        <v>0</v>
      </c>
      <c r="BI94" s="464">
        <f t="shared" si="152"/>
        <v>0</v>
      </c>
      <c r="BJ94" s="434">
        <f t="shared" si="152"/>
        <v>0</v>
      </c>
      <c r="BK94" s="434">
        <f t="shared" si="152"/>
        <v>0</v>
      </c>
      <c r="BL94" s="434">
        <f t="shared" si="152"/>
        <v>0</v>
      </c>
      <c r="BM94" s="434">
        <f t="shared" si="152"/>
        <v>0</v>
      </c>
      <c r="BN94" s="465">
        <f t="shared" si="152"/>
        <v>0</v>
      </c>
      <c r="BO94" s="464">
        <f t="shared" si="162"/>
        <v>0</v>
      </c>
      <c r="BP94" s="434">
        <f t="shared" si="162"/>
        <v>0</v>
      </c>
      <c r="BQ94" s="434">
        <f t="shared" si="162"/>
        <v>0</v>
      </c>
      <c r="BR94" s="434">
        <f t="shared" si="162"/>
        <v>0</v>
      </c>
      <c r="BS94" s="465">
        <f t="shared" si="162"/>
        <v>0</v>
      </c>
      <c r="BT94" s="464">
        <f t="shared" si="153"/>
        <v>0</v>
      </c>
      <c r="BU94" s="434">
        <f t="shared" si="153"/>
        <v>0</v>
      </c>
      <c r="BV94" s="434">
        <f t="shared" si="153"/>
        <v>0</v>
      </c>
      <c r="BW94" s="434">
        <f t="shared" si="153"/>
        <v>0</v>
      </c>
      <c r="BX94" s="434">
        <f t="shared" si="153"/>
        <v>0</v>
      </c>
      <c r="BY94" s="465">
        <f t="shared" si="153"/>
        <v>0</v>
      </c>
      <c r="BZ94" s="464">
        <f t="shared" si="154"/>
        <v>0</v>
      </c>
      <c r="CA94" s="434">
        <f t="shared" si="154"/>
        <v>0</v>
      </c>
      <c r="CB94" s="434">
        <f t="shared" si="154"/>
        <v>0</v>
      </c>
      <c r="CC94" s="434">
        <f t="shared" si="154"/>
        <v>0</v>
      </c>
      <c r="CD94" s="465">
        <f t="shared" si="154"/>
        <v>0</v>
      </c>
      <c r="CE94" s="464">
        <f t="shared" si="155"/>
        <v>0</v>
      </c>
      <c r="CF94" s="434">
        <f t="shared" si="155"/>
        <v>0</v>
      </c>
      <c r="CG94" s="434">
        <f t="shared" si="155"/>
        <v>0</v>
      </c>
      <c r="CH94" s="434">
        <f t="shared" si="155"/>
        <v>0</v>
      </c>
      <c r="CI94" s="434">
        <f t="shared" si="155"/>
        <v>0</v>
      </c>
      <c r="CJ94" s="465">
        <f t="shared" si="155"/>
        <v>0</v>
      </c>
      <c r="CK94" s="464">
        <f t="shared" si="156"/>
        <v>0</v>
      </c>
      <c r="CL94" s="434">
        <f t="shared" si="156"/>
        <v>0</v>
      </c>
      <c r="CM94" s="434">
        <f t="shared" si="156"/>
        <v>0</v>
      </c>
      <c r="CN94" s="434">
        <f t="shared" si="156"/>
        <v>0</v>
      </c>
      <c r="CO94" s="465">
        <f t="shared" si="156"/>
        <v>0</v>
      </c>
      <c r="CP94" s="464">
        <f t="shared" si="157"/>
        <v>0</v>
      </c>
      <c r="CQ94" s="434">
        <f t="shared" si="157"/>
        <v>0</v>
      </c>
      <c r="CR94" s="434">
        <f t="shared" si="157"/>
        <v>0</v>
      </c>
      <c r="CS94" s="434">
        <f t="shared" si="157"/>
        <v>0</v>
      </c>
      <c r="CT94" s="434">
        <f t="shared" si="157"/>
        <v>0</v>
      </c>
      <c r="CU94" s="465">
        <f t="shared" si="157"/>
        <v>0</v>
      </c>
      <c r="CV94" s="464">
        <f t="shared" si="158"/>
        <v>0</v>
      </c>
      <c r="CW94" s="434">
        <f t="shared" si="158"/>
        <v>0</v>
      </c>
      <c r="CX94" s="434">
        <f t="shared" si="158"/>
        <v>0</v>
      </c>
      <c r="CY94" s="434">
        <f t="shared" si="158"/>
        <v>0</v>
      </c>
      <c r="CZ94" s="465">
        <f t="shared" si="158"/>
        <v>0</v>
      </c>
      <c r="DA94" s="464">
        <f t="shared" si="159"/>
        <v>0</v>
      </c>
      <c r="DB94" s="434">
        <f t="shared" si="159"/>
        <v>0</v>
      </c>
      <c r="DC94" s="434">
        <f t="shared" si="159"/>
        <v>0</v>
      </c>
      <c r="DD94" s="434">
        <f t="shared" si="159"/>
        <v>0</v>
      </c>
      <c r="DE94" s="434">
        <f t="shared" si="159"/>
        <v>0</v>
      </c>
      <c r="DF94" s="465">
        <f t="shared" si="159"/>
        <v>0</v>
      </c>
      <c r="DG94" s="464">
        <f t="shared" si="160"/>
        <v>0</v>
      </c>
      <c r="DH94" s="434">
        <f t="shared" si="160"/>
        <v>0</v>
      </c>
      <c r="DI94" s="434">
        <f t="shared" si="160"/>
        <v>0</v>
      </c>
      <c r="DJ94" s="434">
        <f t="shared" si="160"/>
        <v>0</v>
      </c>
      <c r="DK94" s="465">
        <f t="shared" si="160"/>
        <v>0</v>
      </c>
      <c r="DL94" s="48"/>
      <c r="DM94" s="240"/>
      <c r="DN94" s="240"/>
      <c r="DO94" s="240"/>
    </row>
    <row r="95" spans="1:119" s="4" customFormat="1">
      <c r="A95" s="23"/>
      <c r="B95" s="23"/>
      <c r="C95" s="23"/>
      <c r="D95" s="23"/>
      <c r="E95" s="445">
        <f t="shared" si="112"/>
        <v>0</v>
      </c>
      <c r="F95" s="1506">
        <f t="shared" si="161"/>
        <v>0</v>
      </c>
      <c r="G95" s="434">
        <f t="shared" si="161"/>
        <v>0</v>
      </c>
      <c r="H95" s="434">
        <f t="shared" si="161"/>
        <v>0</v>
      </c>
      <c r="I95" s="434">
        <f t="shared" si="161"/>
        <v>0</v>
      </c>
      <c r="J95" s="434">
        <f t="shared" si="161"/>
        <v>0</v>
      </c>
      <c r="K95" s="465">
        <f t="shared" si="143"/>
        <v>0</v>
      </c>
      <c r="L95" s="464">
        <f t="shared" si="143"/>
        <v>0</v>
      </c>
      <c r="M95" s="434">
        <f t="shared" si="143"/>
        <v>0</v>
      </c>
      <c r="N95" s="434">
        <f t="shared" si="143"/>
        <v>0</v>
      </c>
      <c r="O95" s="434">
        <f t="shared" si="143"/>
        <v>0</v>
      </c>
      <c r="P95" s="465">
        <f t="shared" si="143"/>
        <v>0</v>
      </c>
      <c r="Q95" s="464">
        <f t="shared" si="144"/>
        <v>0</v>
      </c>
      <c r="R95" s="434">
        <f t="shared" si="144"/>
        <v>0</v>
      </c>
      <c r="S95" s="434">
        <f t="shared" si="144"/>
        <v>0</v>
      </c>
      <c r="T95" s="434">
        <f t="shared" si="144"/>
        <v>0</v>
      </c>
      <c r="U95" s="434">
        <f t="shared" si="144"/>
        <v>0</v>
      </c>
      <c r="V95" s="465">
        <f t="shared" si="144"/>
        <v>0</v>
      </c>
      <c r="W95" s="464">
        <f t="shared" si="145"/>
        <v>0</v>
      </c>
      <c r="X95" s="434">
        <f t="shared" si="145"/>
        <v>0</v>
      </c>
      <c r="Y95" s="434">
        <f t="shared" si="145"/>
        <v>0</v>
      </c>
      <c r="Z95" s="434">
        <f t="shared" si="145"/>
        <v>0</v>
      </c>
      <c r="AA95" s="465">
        <f t="shared" si="145"/>
        <v>0</v>
      </c>
      <c r="AB95" s="464">
        <f t="shared" si="146"/>
        <v>0</v>
      </c>
      <c r="AC95" s="434">
        <f t="shared" si="146"/>
        <v>0</v>
      </c>
      <c r="AD95" s="434">
        <f t="shared" si="146"/>
        <v>0</v>
      </c>
      <c r="AE95" s="434">
        <f t="shared" si="146"/>
        <v>0</v>
      </c>
      <c r="AF95" s="434">
        <f t="shared" si="146"/>
        <v>0</v>
      </c>
      <c r="AG95" s="465">
        <f t="shared" si="146"/>
        <v>0</v>
      </c>
      <c r="AH95" s="464">
        <f t="shared" si="147"/>
        <v>0</v>
      </c>
      <c r="AI95" s="434">
        <f t="shared" si="147"/>
        <v>0</v>
      </c>
      <c r="AJ95" s="434">
        <f t="shared" si="147"/>
        <v>0</v>
      </c>
      <c r="AK95" s="434">
        <f t="shared" si="147"/>
        <v>0</v>
      </c>
      <c r="AL95" s="465">
        <f t="shared" si="147"/>
        <v>0</v>
      </c>
      <c r="AM95" s="464">
        <f t="shared" si="148"/>
        <v>0</v>
      </c>
      <c r="AN95" s="434">
        <f t="shared" si="148"/>
        <v>0</v>
      </c>
      <c r="AO95" s="434">
        <f t="shared" si="148"/>
        <v>0</v>
      </c>
      <c r="AP95" s="434">
        <f t="shared" si="148"/>
        <v>0</v>
      </c>
      <c r="AQ95" s="434">
        <f t="shared" si="148"/>
        <v>0</v>
      </c>
      <c r="AR95" s="465">
        <f t="shared" si="148"/>
        <v>0</v>
      </c>
      <c r="AS95" s="464">
        <f t="shared" si="149"/>
        <v>0</v>
      </c>
      <c r="AT95" s="434">
        <f t="shared" si="149"/>
        <v>0</v>
      </c>
      <c r="AU95" s="434">
        <f t="shared" si="149"/>
        <v>0</v>
      </c>
      <c r="AV95" s="434">
        <f t="shared" si="149"/>
        <v>0</v>
      </c>
      <c r="AW95" s="465">
        <f t="shared" si="149"/>
        <v>0</v>
      </c>
      <c r="AX95" s="464">
        <f t="shared" si="150"/>
        <v>0</v>
      </c>
      <c r="AY95" s="434">
        <f t="shared" si="150"/>
        <v>0</v>
      </c>
      <c r="AZ95" s="434">
        <f t="shared" si="150"/>
        <v>0</v>
      </c>
      <c r="BA95" s="434">
        <f t="shared" si="150"/>
        <v>0</v>
      </c>
      <c r="BB95" s="434">
        <f t="shared" si="150"/>
        <v>0</v>
      </c>
      <c r="BC95" s="465">
        <f t="shared" si="150"/>
        <v>0</v>
      </c>
      <c r="BD95" s="464">
        <f t="shared" si="151"/>
        <v>0</v>
      </c>
      <c r="BE95" s="434">
        <f t="shared" si="151"/>
        <v>0</v>
      </c>
      <c r="BF95" s="434">
        <f t="shared" si="151"/>
        <v>0</v>
      </c>
      <c r="BG95" s="434">
        <f t="shared" si="151"/>
        <v>0</v>
      </c>
      <c r="BH95" s="465">
        <f t="shared" si="151"/>
        <v>0</v>
      </c>
      <c r="BI95" s="464">
        <f t="shared" si="152"/>
        <v>0</v>
      </c>
      <c r="BJ95" s="434">
        <f t="shared" si="152"/>
        <v>0</v>
      </c>
      <c r="BK95" s="434">
        <f t="shared" si="152"/>
        <v>0</v>
      </c>
      <c r="BL95" s="434">
        <f t="shared" si="152"/>
        <v>0</v>
      </c>
      <c r="BM95" s="434">
        <f t="shared" si="152"/>
        <v>0</v>
      </c>
      <c r="BN95" s="465">
        <f t="shared" si="152"/>
        <v>0</v>
      </c>
      <c r="BO95" s="464">
        <f t="shared" si="162"/>
        <v>0</v>
      </c>
      <c r="BP95" s="434">
        <f t="shared" si="162"/>
        <v>0</v>
      </c>
      <c r="BQ95" s="434">
        <f t="shared" si="162"/>
        <v>0</v>
      </c>
      <c r="BR95" s="434">
        <f t="shared" si="162"/>
        <v>0</v>
      </c>
      <c r="BS95" s="465">
        <f t="shared" si="162"/>
        <v>0</v>
      </c>
      <c r="BT95" s="464">
        <f t="shared" si="153"/>
        <v>0</v>
      </c>
      <c r="BU95" s="434">
        <f t="shared" si="153"/>
        <v>0</v>
      </c>
      <c r="BV95" s="434">
        <f t="shared" si="153"/>
        <v>0</v>
      </c>
      <c r="BW95" s="434">
        <f t="shared" si="153"/>
        <v>0</v>
      </c>
      <c r="BX95" s="434">
        <f t="shared" si="153"/>
        <v>0</v>
      </c>
      <c r="BY95" s="465">
        <f t="shared" si="153"/>
        <v>0</v>
      </c>
      <c r="BZ95" s="464">
        <f t="shared" si="154"/>
        <v>0</v>
      </c>
      <c r="CA95" s="434">
        <f t="shared" si="154"/>
        <v>0</v>
      </c>
      <c r="CB95" s="434">
        <f t="shared" si="154"/>
        <v>0</v>
      </c>
      <c r="CC95" s="434">
        <f t="shared" si="154"/>
        <v>0</v>
      </c>
      <c r="CD95" s="465">
        <f t="shared" si="154"/>
        <v>0</v>
      </c>
      <c r="CE95" s="464">
        <f t="shared" si="155"/>
        <v>0</v>
      </c>
      <c r="CF95" s="434">
        <f t="shared" si="155"/>
        <v>0</v>
      </c>
      <c r="CG95" s="434">
        <f t="shared" si="155"/>
        <v>0</v>
      </c>
      <c r="CH95" s="434">
        <f t="shared" si="155"/>
        <v>0</v>
      </c>
      <c r="CI95" s="434">
        <f t="shared" si="155"/>
        <v>0</v>
      </c>
      <c r="CJ95" s="465">
        <f t="shared" si="155"/>
        <v>0</v>
      </c>
      <c r="CK95" s="464">
        <f t="shared" si="156"/>
        <v>0</v>
      </c>
      <c r="CL95" s="434">
        <f t="shared" si="156"/>
        <v>0</v>
      </c>
      <c r="CM95" s="434">
        <f t="shared" si="156"/>
        <v>0</v>
      </c>
      <c r="CN95" s="434">
        <f t="shared" si="156"/>
        <v>0</v>
      </c>
      <c r="CO95" s="465">
        <f t="shared" si="156"/>
        <v>0</v>
      </c>
      <c r="CP95" s="464">
        <f t="shared" si="157"/>
        <v>0</v>
      </c>
      <c r="CQ95" s="434">
        <f t="shared" si="157"/>
        <v>0</v>
      </c>
      <c r="CR95" s="434">
        <f t="shared" si="157"/>
        <v>0</v>
      </c>
      <c r="CS95" s="434">
        <f t="shared" si="157"/>
        <v>0</v>
      </c>
      <c r="CT95" s="434">
        <f t="shared" si="157"/>
        <v>0</v>
      </c>
      <c r="CU95" s="465">
        <f t="shared" si="157"/>
        <v>0</v>
      </c>
      <c r="CV95" s="464">
        <f t="shared" si="158"/>
        <v>0</v>
      </c>
      <c r="CW95" s="434">
        <f t="shared" si="158"/>
        <v>0</v>
      </c>
      <c r="CX95" s="434">
        <f t="shared" si="158"/>
        <v>0</v>
      </c>
      <c r="CY95" s="434">
        <f t="shared" si="158"/>
        <v>0</v>
      </c>
      <c r="CZ95" s="465">
        <f t="shared" si="158"/>
        <v>0</v>
      </c>
      <c r="DA95" s="464">
        <f t="shared" si="159"/>
        <v>0</v>
      </c>
      <c r="DB95" s="434">
        <f t="shared" si="159"/>
        <v>0</v>
      </c>
      <c r="DC95" s="434">
        <f t="shared" si="159"/>
        <v>0</v>
      </c>
      <c r="DD95" s="434">
        <f t="shared" si="159"/>
        <v>0</v>
      </c>
      <c r="DE95" s="434">
        <f t="shared" si="159"/>
        <v>0</v>
      </c>
      <c r="DF95" s="465">
        <f t="shared" si="159"/>
        <v>0</v>
      </c>
      <c r="DG95" s="464">
        <f t="shared" si="160"/>
        <v>0</v>
      </c>
      <c r="DH95" s="434">
        <f t="shared" si="160"/>
        <v>0</v>
      </c>
      <c r="DI95" s="434">
        <f t="shared" si="160"/>
        <v>0</v>
      </c>
      <c r="DJ95" s="434">
        <f t="shared" si="160"/>
        <v>0</v>
      </c>
      <c r="DK95" s="465">
        <f t="shared" si="160"/>
        <v>0</v>
      </c>
      <c r="DL95" s="48"/>
      <c r="DM95" s="240"/>
      <c r="DN95" s="240"/>
      <c r="DO95" s="240"/>
    </row>
    <row r="96" spans="1:119" s="4" customFormat="1">
      <c r="A96" s="23"/>
      <c r="B96" s="23"/>
      <c r="C96" s="23"/>
      <c r="D96" s="23"/>
      <c r="E96" s="445">
        <f t="shared" si="112"/>
        <v>0</v>
      </c>
      <c r="F96" s="1506">
        <f t="shared" si="161"/>
        <v>0</v>
      </c>
      <c r="G96" s="434">
        <f t="shared" si="161"/>
        <v>0</v>
      </c>
      <c r="H96" s="434">
        <f t="shared" si="161"/>
        <v>0</v>
      </c>
      <c r="I96" s="434">
        <f t="shared" si="161"/>
        <v>0</v>
      </c>
      <c r="J96" s="434">
        <f t="shared" si="161"/>
        <v>0</v>
      </c>
      <c r="K96" s="465">
        <f t="shared" si="143"/>
        <v>0</v>
      </c>
      <c r="L96" s="464">
        <f t="shared" si="143"/>
        <v>0</v>
      </c>
      <c r="M96" s="434">
        <f t="shared" si="143"/>
        <v>0</v>
      </c>
      <c r="N96" s="434">
        <f t="shared" si="143"/>
        <v>0</v>
      </c>
      <c r="O96" s="434">
        <f t="shared" si="143"/>
        <v>0</v>
      </c>
      <c r="P96" s="465">
        <f t="shared" si="143"/>
        <v>0</v>
      </c>
      <c r="Q96" s="464">
        <f t="shared" si="144"/>
        <v>0</v>
      </c>
      <c r="R96" s="434">
        <f t="shared" si="144"/>
        <v>0</v>
      </c>
      <c r="S96" s="434">
        <f t="shared" si="144"/>
        <v>0</v>
      </c>
      <c r="T96" s="434">
        <f t="shared" si="144"/>
        <v>0</v>
      </c>
      <c r="U96" s="434">
        <f t="shared" si="144"/>
        <v>0</v>
      </c>
      <c r="V96" s="465">
        <f t="shared" si="144"/>
        <v>0</v>
      </c>
      <c r="W96" s="464">
        <f t="shared" si="145"/>
        <v>0</v>
      </c>
      <c r="X96" s="434">
        <f t="shared" si="145"/>
        <v>0</v>
      </c>
      <c r="Y96" s="434">
        <f t="shared" si="145"/>
        <v>0</v>
      </c>
      <c r="Z96" s="434">
        <f t="shared" si="145"/>
        <v>0</v>
      </c>
      <c r="AA96" s="465">
        <f t="shared" si="145"/>
        <v>0</v>
      </c>
      <c r="AB96" s="464">
        <f t="shared" si="146"/>
        <v>0</v>
      </c>
      <c r="AC96" s="434">
        <f t="shared" si="146"/>
        <v>0</v>
      </c>
      <c r="AD96" s="434">
        <f t="shared" si="146"/>
        <v>0</v>
      </c>
      <c r="AE96" s="434">
        <f t="shared" si="146"/>
        <v>0</v>
      </c>
      <c r="AF96" s="434">
        <f t="shared" si="146"/>
        <v>0</v>
      </c>
      <c r="AG96" s="465">
        <f t="shared" si="146"/>
        <v>0</v>
      </c>
      <c r="AH96" s="464">
        <f t="shared" si="147"/>
        <v>0</v>
      </c>
      <c r="AI96" s="434">
        <f t="shared" si="147"/>
        <v>0</v>
      </c>
      <c r="AJ96" s="434">
        <f t="shared" si="147"/>
        <v>0</v>
      </c>
      <c r="AK96" s="434">
        <f t="shared" si="147"/>
        <v>0</v>
      </c>
      <c r="AL96" s="465">
        <f t="shared" si="147"/>
        <v>0</v>
      </c>
      <c r="AM96" s="464">
        <f t="shared" si="148"/>
        <v>0</v>
      </c>
      <c r="AN96" s="434">
        <f t="shared" si="148"/>
        <v>0</v>
      </c>
      <c r="AO96" s="434">
        <f t="shared" si="148"/>
        <v>0</v>
      </c>
      <c r="AP96" s="434">
        <f t="shared" si="148"/>
        <v>0</v>
      </c>
      <c r="AQ96" s="434">
        <f t="shared" si="148"/>
        <v>0</v>
      </c>
      <c r="AR96" s="465">
        <f t="shared" si="148"/>
        <v>0</v>
      </c>
      <c r="AS96" s="464">
        <f t="shared" si="149"/>
        <v>0</v>
      </c>
      <c r="AT96" s="434">
        <f t="shared" si="149"/>
        <v>0</v>
      </c>
      <c r="AU96" s="434">
        <f t="shared" si="149"/>
        <v>0</v>
      </c>
      <c r="AV96" s="434">
        <f t="shared" si="149"/>
        <v>0</v>
      </c>
      <c r="AW96" s="465">
        <f t="shared" si="149"/>
        <v>0</v>
      </c>
      <c r="AX96" s="464">
        <f t="shared" si="150"/>
        <v>0</v>
      </c>
      <c r="AY96" s="434">
        <f t="shared" si="150"/>
        <v>0</v>
      </c>
      <c r="AZ96" s="434">
        <f t="shared" si="150"/>
        <v>0</v>
      </c>
      <c r="BA96" s="434">
        <f t="shared" si="150"/>
        <v>0</v>
      </c>
      <c r="BB96" s="434">
        <f t="shared" si="150"/>
        <v>0</v>
      </c>
      <c r="BC96" s="465">
        <f t="shared" si="150"/>
        <v>0</v>
      </c>
      <c r="BD96" s="464">
        <f t="shared" si="151"/>
        <v>0</v>
      </c>
      <c r="BE96" s="434">
        <f t="shared" si="151"/>
        <v>0</v>
      </c>
      <c r="BF96" s="434">
        <f t="shared" si="151"/>
        <v>0</v>
      </c>
      <c r="BG96" s="434">
        <f t="shared" si="151"/>
        <v>0</v>
      </c>
      <c r="BH96" s="465">
        <f t="shared" si="151"/>
        <v>0</v>
      </c>
      <c r="BI96" s="464">
        <f t="shared" si="152"/>
        <v>0</v>
      </c>
      <c r="BJ96" s="434">
        <f t="shared" si="152"/>
        <v>0</v>
      </c>
      <c r="BK96" s="434">
        <f t="shared" si="152"/>
        <v>0</v>
      </c>
      <c r="BL96" s="434">
        <f t="shared" si="152"/>
        <v>0</v>
      </c>
      <c r="BM96" s="434">
        <f t="shared" si="152"/>
        <v>0</v>
      </c>
      <c r="BN96" s="465">
        <f t="shared" si="152"/>
        <v>0</v>
      </c>
      <c r="BO96" s="464">
        <f t="shared" si="162"/>
        <v>0</v>
      </c>
      <c r="BP96" s="434">
        <f t="shared" si="162"/>
        <v>0</v>
      </c>
      <c r="BQ96" s="434">
        <f t="shared" si="162"/>
        <v>0</v>
      </c>
      <c r="BR96" s="434">
        <f t="shared" si="162"/>
        <v>0</v>
      </c>
      <c r="BS96" s="465">
        <f t="shared" si="162"/>
        <v>0</v>
      </c>
      <c r="BT96" s="464">
        <f t="shared" si="153"/>
        <v>0</v>
      </c>
      <c r="BU96" s="434">
        <f t="shared" si="153"/>
        <v>0</v>
      </c>
      <c r="BV96" s="434">
        <f t="shared" si="153"/>
        <v>0</v>
      </c>
      <c r="BW96" s="434">
        <f t="shared" si="153"/>
        <v>0</v>
      </c>
      <c r="BX96" s="434">
        <f t="shared" si="153"/>
        <v>0</v>
      </c>
      <c r="BY96" s="465">
        <f t="shared" si="153"/>
        <v>0</v>
      </c>
      <c r="BZ96" s="464">
        <f t="shared" si="154"/>
        <v>0</v>
      </c>
      <c r="CA96" s="434">
        <f t="shared" si="154"/>
        <v>0</v>
      </c>
      <c r="CB96" s="434">
        <f t="shared" si="154"/>
        <v>0</v>
      </c>
      <c r="CC96" s="434">
        <f t="shared" si="154"/>
        <v>0</v>
      </c>
      <c r="CD96" s="465">
        <f t="shared" si="154"/>
        <v>0</v>
      </c>
      <c r="CE96" s="464">
        <f t="shared" si="155"/>
        <v>0</v>
      </c>
      <c r="CF96" s="434">
        <f t="shared" si="155"/>
        <v>0</v>
      </c>
      <c r="CG96" s="434">
        <f t="shared" si="155"/>
        <v>0</v>
      </c>
      <c r="CH96" s="434">
        <f t="shared" si="155"/>
        <v>0</v>
      </c>
      <c r="CI96" s="434">
        <f t="shared" si="155"/>
        <v>0</v>
      </c>
      <c r="CJ96" s="465">
        <f t="shared" si="155"/>
        <v>0</v>
      </c>
      <c r="CK96" s="464">
        <f t="shared" si="156"/>
        <v>0</v>
      </c>
      <c r="CL96" s="434">
        <f t="shared" si="156"/>
        <v>0</v>
      </c>
      <c r="CM96" s="434">
        <f t="shared" si="156"/>
        <v>0</v>
      </c>
      <c r="CN96" s="434">
        <f t="shared" si="156"/>
        <v>0</v>
      </c>
      <c r="CO96" s="465">
        <f t="shared" si="156"/>
        <v>0</v>
      </c>
      <c r="CP96" s="464">
        <f t="shared" si="157"/>
        <v>0</v>
      </c>
      <c r="CQ96" s="434">
        <f t="shared" si="157"/>
        <v>0</v>
      </c>
      <c r="CR96" s="434">
        <f t="shared" si="157"/>
        <v>0</v>
      </c>
      <c r="CS96" s="434">
        <f t="shared" si="157"/>
        <v>0</v>
      </c>
      <c r="CT96" s="434">
        <f t="shared" si="157"/>
        <v>0</v>
      </c>
      <c r="CU96" s="465">
        <f t="shared" si="157"/>
        <v>0</v>
      </c>
      <c r="CV96" s="464">
        <f t="shared" si="158"/>
        <v>0</v>
      </c>
      <c r="CW96" s="434">
        <f t="shared" si="158"/>
        <v>0</v>
      </c>
      <c r="CX96" s="434">
        <f t="shared" si="158"/>
        <v>0</v>
      </c>
      <c r="CY96" s="434">
        <f t="shared" si="158"/>
        <v>0</v>
      </c>
      <c r="CZ96" s="465">
        <f t="shared" si="158"/>
        <v>0</v>
      </c>
      <c r="DA96" s="464">
        <f t="shared" si="159"/>
        <v>0</v>
      </c>
      <c r="DB96" s="434">
        <f t="shared" si="159"/>
        <v>0</v>
      </c>
      <c r="DC96" s="434">
        <f t="shared" si="159"/>
        <v>0</v>
      </c>
      <c r="DD96" s="434">
        <f t="shared" si="159"/>
        <v>0</v>
      </c>
      <c r="DE96" s="434">
        <f t="shared" si="159"/>
        <v>0</v>
      </c>
      <c r="DF96" s="465">
        <f t="shared" si="159"/>
        <v>0</v>
      </c>
      <c r="DG96" s="464">
        <f t="shared" si="160"/>
        <v>0</v>
      </c>
      <c r="DH96" s="434">
        <f t="shared" si="160"/>
        <v>0</v>
      </c>
      <c r="DI96" s="434">
        <f t="shared" si="160"/>
        <v>0</v>
      </c>
      <c r="DJ96" s="434">
        <f t="shared" si="160"/>
        <v>0</v>
      </c>
      <c r="DK96" s="465">
        <f t="shared" si="160"/>
        <v>0</v>
      </c>
      <c r="DL96" s="48"/>
      <c r="DM96" s="240"/>
      <c r="DN96" s="240"/>
      <c r="DO96" s="240"/>
    </row>
    <row r="97" spans="1:119" s="4" customFormat="1">
      <c r="A97" s="23"/>
      <c r="B97" s="23"/>
      <c r="C97" s="23"/>
      <c r="D97" s="23"/>
      <c r="E97" s="445">
        <f t="shared" si="112"/>
        <v>0</v>
      </c>
      <c r="F97" s="1506">
        <f t="shared" si="161"/>
        <v>0</v>
      </c>
      <c r="G97" s="434">
        <f t="shared" si="161"/>
        <v>0</v>
      </c>
      <c r="H97" s="434">
        <f t="shared" si="161"/>
        <v>0</v>
      </c>
      <c r="I97" s="434">
        <f t="shared" si="161"/>
        <v>0</v>
      </c>
      <c r="J97" s="434">
        <f t="shared" si="161"/>
        <v>0</v>
      </c>
      <c r="K97" s="465">
        <f t="shared" si="143"/>
        <v>0</v>
      </c>
      <c r="L97" s="464">
        <f t="shared" si="143"/>
        <v>0</v>
      </c>
      <c r="M97" s="434">
        <f t="shared" si="143"/>
        <v>0</v>
      </c>
      <c r="N97" s="434">
        <f t="shared" si="143"/>
        <v>0</v>
      </c>
      <c r="O97" s="434">
        <f t="shared" si="143"/>
        <v>0</v>
      </c>
      <c r="P97" s="465">
        <f t="shared" si="143"/>
        <v>0</v>
      </c>
      <c r="Q97" s="464">
        <f t="shared" si="144"/>
        <v>0</v>
      </c>
      <c r="R97" s="434">
        <f t="shared" si="144"/>
        <v>0</v>
      </c>
      <c r="S97" s="434">
        <f t="shared" si="144"/>
        <v>0</v>
      </c>
      <c r="T97" s="434">
        <f t="shared" si="144"/>
        <v>0</v>
      </c>
      <c r="U97" s="434">
        <f t="shared" si="144"/>
        <v>0</v>
      </c>
      <c r="V97" s="465">
        <f t="shared" si="144"/>
        <v>0</v>
      </c>
      <c r="W97" s="464">
        <f t="shared" si="145"/>
        <v>0</v>
      </c>
      <c r="X97" s="434">
        <f t="shared" si="145"/>
        <v>0</v>
      </c>
      <c r="Y97" s="434">
        <f t="shared" si="145"/>
        <v>0</v>
      </c>
      <c r="Z97" s="434">
        <f t="shared" si="145"/>
        <v>0</v>
      </c>
      <c r="AA97" s="465">
        <f t="shared" si="145"/>
        <v>0</v>
      </c>
      <c r="AB97" s="464">
        <f t="shared" si="146"/>
        <v>0</v>
      </c>
      <c r="AC97" s="434">
        <f t="shared" si="146"/>
        <v>0</v>
      </c>
      <c r="AD97" s="434">
        <f t="shared" si="146"/>
        <v>0</v>
      </c>
      <c r="AE97" s="434">
        <f t="shared" si="146"/>
        <v>0</v>
      </c>
      <c r="AF97" s="434">
        <f t="shared" si="146"/>
        <v>0</v>
      </c>
      <c r="AG97" s="465">
        <f t="shared" si="146"/>
        <v>0</v>
      </c>
      <c r="AH97" s="464">
        <f t="shared" si="147"/>
        <v>0</v>
      </c>
      <c r="AI97" s="434">
        <f t="shared" si="147"/>
        <v>0</v>
      </c>
      <c r="AJ97" s="434">
        <f t="shared" si="147"/>
        <v>0</v>
      </c>
      <c r="AK97" s="434">
        <f t="shared" si="147"/>
        <v>0</v>
      </c>
      <c r="AL97" s="465">
        <f t="shared" si="147"/>
        <v>0</v>
      </c>
      <c r="AM97" s="464">
        <f t="shared" si="148"/>
        <v>0</v>
      </c>
      <c r="AN97" s="434">
        <f t="shared" si="148"/>
        <v>0</v>
      </c>
      <c r="AO97" s="434">
        <f t="shared" si="148"/>
        <v>0</v>
      </c>
      <c r="AP97" s="434">
        <f t="shared" si="148"/>
        <v>0</v>
      </c>
      <c r="AQ97" s="434">
        <f t="shared" si="148"/>
        <v>0</v>
      </c>
      <c r="AR97" s="465">
        <f t="shared" si="148"/>
        <v>0</v>
      </c>
      <c r="AS97" s="464">
        <f t="shared" si="149"/>
        <v>0</v>
      </c>
      <c r="AT97" s="434">
        <f t="shared" si="149"/>
        <v>0</v>
      </c>
      <c r="AU97" s="434">
        <f t="shared" si="149"/>
        <v>0</v>
      </c>
      <c r="AV97" s="434">
        <f t="shared" si="149"/>
        <v>0</v>
      </c>
      <c r="AW97" s="465">
        <f t="shared" si="149"/>
        <v>0</v>
      </c>
      <c r="AX97" s="464">
        <f t="shared" si="150"/>
        <v>0</v>
      </c>
      <c r="AY97" s="434">
        <f t="shared" si="150"/>
        <v>0</v>
      </c>
      <c r="AZ97" s="434">
        <f t="shared" si="150"/>
        <v>0</v>
      </c>
      <c r="BA97" s="434">
        <f t="shared" si="150"/>
        <v>0</v>
      </c>
      <c r="BB97" s="434">
        <f t="shared" si="150"/>
        <v>0</v>
      </c>
      <c r="BC97" s="465">
        <f t="shared" si="150"/>
        <v>0</v>
      </c>
      <c r="BD97" s="464">
        <f t="shared" si="151"/>
        <v>0</v>
      </c>
      <c r="BE97" s="434">
        <f t="shared" si="151"/>
        <v>0</v>
      </c>
      <c r="BF97" s="434">
        <f t="shared" si="151"/>
        <v>0</v>
      </c>
      <c r="BG97" s="434">
        <f t="shared" si="151"/>
        <v>0</v>
      </c>
      <c r="BH97" s="465">
        <f t="shared" si="151"/>
        <v>0</v>
      </c>
      <c r="BI97" s="464">
        <f t="shared" si="152"/>
        <v>0</v>
      </c>
      <c r="BJ97" s="434">
        <f t="shared" si="152"/>
        <v>0</v>
      </c>
      <c r="BK97" s="434">
        <f t="shared" si="152"/>
        <v>0</v>
      </c>
      <c r="BL97" s="434">
        <f t="shared" si="152"/>
        <v>0</v>
      </c>
      <c r="BM97" s="434">
        <f t="shared" si="152"/>
        <v>0</v>
      </c>
      <c r="BN97" s="465">
        <f t="shared" si="152"/>
        <v>0</v>
      </c>
      <c r="BO97" s="464">
        <f t="shared" si="162"/>
        <v>0</v>
      </c>
      <c r="BP97" s="434">
        <f t="shared" si="162"/>
        <v>0</v>
      </c>
      <c r="BQ97" s="434">
        <f t="shared" si="162"/>
        <v>0</v>
      </c>
      <c r="BR97" s="434">
        <f t="shared" si="162"/>
        <v>0</v>
      </c>
      <c r="BS97" s="465">
        <f t="shared" si="162"/>
        <v>0</v>
      </c>
      <c r="BT97" s="464">
        <f t="shared" si="153"/>
        <v>0</v>
      </c>
      <c r="BU97" s="434">
        <f t="shared" si="153"/>
        <v>0</v>
      </c>
      <c r="BV97" s="434">
        <f t="shared" si="153"/>
        <v>0</v>
      </c>
      <c r="BW97" s="434">
        <f t="shared" si="153"/>
        <v>0</v>
      </c>
      <c r="BX97" s="434">
        <f t="shared" si="153"/>
        <v>0</v>
      </c>
      <c r="BY97" s="465">
        <f t="shared" si="153"/>
        <v>0</v>
      </c>
      <c r="BZ97" s="464">
        <f t="shared" si="154"/>
        <v>0</v>
      </c>
      <c r="CA97" s="434">
        <f t="shared" si="154"/>
        <v>0</v>
      </c>
      <c r="CB97" s="434">
        <f t="shared" si="154"/>
        <v>0</v>
      </c>
      <c r="CC97" s="434">
        <f t="shared" si="154"/>
        <v>0</v>
      </c>
      <c r="CD97" s="465">
        <f t="shared" si="154"/>
        <v>0</v>
      </c>
      <c r="CE97" s="464">
        <f t="shared" si="155"/>
        <v>0</v>
      </c>
      <c r="CF97" s="434">
        <f t="shared" si="155"/>
        <v>0</v>
      </c>
      <c r="CG97" s="434">
        <f t="shared" si="155"/>
        <v>0</v>
      </c>
      <c r="CH97" s="434">
        <f t="shared" si="155"/>
        <v>0</v>
      </c>
      <c r="CI97" s="434">
        <f t="shared" si="155"/>
        <v>0</v>
      </c>
      <c r="CJ97" s="465">
        <f t="shared" si="155"/>
        <v>0</v>
      </c>
      <c r="CK97" s="464">
        <f t="shared" si="156"/>
        <v>0</v>
      </c>
      <c r="CL97" s="434">
        <f t="shared" si="156"/>
        <v>0</v>
      </c>
      <c r="CM97" s="434">
        <f t="shared" si="156"/>
        <v>0</v>
      </c>
      <c r="CN97" s="434">
        <f t="shared" si="156"/>
        <v>0</v>
      </c>
      <c r="CO97" s="465">
        <f t="shared" si="156"/>
        <v>0</v>
      </c>
      <c r="CP97" s="464">
        <f t="shared" si="157"/>
        <v>0</v>
      </c>
      <c r="CQ97" s="434">
        <f t="shared" si="157"/>
        <v>0</v>
      </c>
      <c r="CR97" s="434">
        <f t="shared" si="157"/>
        <v>0</v>
      </c>
      <c r="CS97" s="434">
        <f t="shared" si="157"/>
        <v>0</v>
      </c>
      <c r="CT97" s="434">
        <f t="shared" si="157"/>
        <v>0</v>
      </c>
      <c r="CU97" s="465">
        <f t="shared" si="157"/>
        <v>0</v>
      </c>
      <c r="CV97" s="464">
        <f t="shared" si="158"/>
        <v>0</v>
      </c>
      <c r="CW97" s="434">
        <f t="shared" si="158"/>
        <v>0</v>
      </c>
      <c r="CX97" s="434">
        <f t="shared" si="158"/>
        <v>0</v>
      </c>
      <c r="CY97" s="434">
        <f t="shared" si="158"/>
        <v>0</v>
      </c>
      <c r="CZ97" s="465">
        <f t="shared" si="158"/>
        <v>0</v>
      </c>
      <c r="DA97" s="464">
        <f t="shared" si="159"/>
        <v>0</v>
      </c>
      <c r="DB97" s="434">
        <f t="shared" si="159"/>
        <v>0</v>
      </c>
      <c r="DC97" s="434">
        <f t="shared" si="159"/>
        <v>0</v>
      </c>
      <c r="DD97" s="434">
        <f t="shared" si="159"/>
        <v>0</v>
      </c>
      <c r="DE97" s="434">
        <f t="shared" si="159"/>
        <v>0</v>
      </c>
      <c r="DF97" s="465">
        <f t="shared" si="159"/>
        <v>0</v>
      </c>
      <c r="DG97" s="464">
        <f t="shared" si="160"/>
        <v>0</v>
      </c>
      <c r="DH97" s="434">
        <f t="shared" si="160"/>
        <v>0</v>
      </c>
      <c r="DI97" s="434">
        <f t="shared" si="160"/>
        <v>0</v>
      </c>
      <c r="DJ97" s="434">
        <f t="shared" si="160"/>
        <v>0</v>
      </c>
      <c r="DK97" s="465">
        <f t="shared" si="160"/>
        <v>0</v>
      </c>
      <c r="DL97" s="48"/>
      <c r="DM97" s="240"/>
      <c r="DN97" s="240"/>
      <c r="DO97" s="240"/>
    </row>
    <row r="98" spans="1:119" s="4" customFormat="1">
      <c r="A98" s="23"/>
      <c r="B98" s="23"/>
      <c r="C98" s="23"/>
      <c r="D98" s="23"/>
      <c r="E98" s="445">
        <f t="shared" si="112"/>
        <v>0</v>
      </c>
      <c r="F98" s="1506">
        <f t="shared" si="161"/>
        <v>0</v>
      </c>
      <c r="G98" s="434">
        <f t="shared" si="161"/>
        <v>0</v>
      </c>
      <c r="H98" s="434">
        <f t="shared" si="161"/>
        <v>0</v>
      </c>
      <c r="I98" s="434">
        <f t="shared" si="161"/>
        <v>0</v>
      </c>
      <c r="J98" s="434">
        <f t="shared" si="161"/>
        <v>0</v>
      </c>
      <c r="K98" s="465">
        <f t="shared" si="143"/>
        <v>0</v>
      </c>
      <c r="L98" s="464">
        <f t="shared" si="143"/>
        <v>0</v>
      </c>
      <c r="M98" s="434">
        <f t="shared" si="143"/>
        <v>0</v>
      </c>
      <c r="N98" s="434">
        <f t="shared" si="143"/>
        <v>0</v>
      </c>
      <c r="O98" s="434">
        <f t="shared" si="143"/>
        <v>0</v>
      </c>
      <c r="P98" s="465">
        <f t="shared" si="143"/>
        <v>0</v>
      </c>
      <c r="Q98" s="464">
        <f t="shared" si="144"/>
        <v>0</v>
      </c>
      <c r="R98" s="434">
        <f t="shared" si="144"/>
        <v>0</v>
      </c>
      <c r="S98" s="434">
        <f t="shared" si="144"/>
        <v>0</v>
      </c>
      <c r="T98" s="434">
        <f t="shared" si="144"/>
        <v>0</v>
      </c>
      <c r="U98" s="434">
        <f t="shared" si="144"/>
        <v>0</v>
      </c>
      <c r="V98" s="465">
        <f t="shared" si="144"/>
        <v>0</v>
      </c>
      <c r="W98" s="464">
        <f t="shared" si="145"/>
        <v>0</v>
      </c>
      <c r="X98" s="434">
        <f t="shared" si="145"/>
        <v>0</v>
      </c>
      <c r="Y98" s="434">
        <f t="shared" si="145"/>
        <v>0</v>
      </c>
      <c r="Z98" s="434">
        <f t="shared" si="145"/>
        <v>0</v>
      </c>
      <c r="AA98" s="465">
        <f t="shared" si="145"/>
        <v>0</v>
      </c>
      <c r="AB98" s="464">
        <f t="shared" si="146"/>
        <v>0</v>
      </c>
      <c r="AC98" s="434">
        <f t="shared" si="146"/>
        <v>0</v>
      </c>
      <c r="AD98" s="434">
        <f t="shared" si="146"/>
        <v>0</v>
      </c>
      <c r="AE98" s="434">
        <f t="shared" si="146"/>
        <v>0</v>
      </c>
      <c r="AF98" s="434">
        <f t="shared" si="146"/>
        <v>0</v>
      </c>
      <c r="AG98" s="465">
        <f t="shared" si="146"/>
        <v>0</v>
      </c>
      <c r="AH98" s="464">
        <f t="shared" si="147"/>
        <v>0</v>
      </c>
      <c r="AI98" s="434">
        <f t="shared" si="147"/>
        <v>0</v>
      </c>
      <c r="AJ98" s="434">
        <f t="shared" si="147"/>
        <v>0</v>
      </c>
      <c r="AK98" s="434">
        <f t="shared" si="147"/>
        <v>0</v>
      </c>
      <c r="AL98" s="465">
        <f t="shared" si="147"/>
        <v>0</v>
      </c>
      <c r="AM98" s="464">
        <f t="shared" si="148"/>
        <v>0</v>
      </c>
      <c r="AN98" s="434">
        <f t="shared" si="148"/>
        <v>0</v>
      </c>
      <c r="AO98" s="434">
        <f t="shared" si="148"/>
        <v>0</v>
      </c>
      <c r="AP98" s="434">
        <f t="shared" si="148"/>
        <v>0</v>
      </c>
      <c r="AQ98" s="434">
        <f t="shared" si="148"/>
        <v>0</v>
      </c>
      <c r="AR98" s="465">
        <f t="shared" si="148"/>
        <v>0</v>
      </c>
      <c r="AS98" s="464">
        <f t="shared" si="149"/>
        <v>0</v>
      </c>
      <c r="AT98" s="434">
        <f t="shared" si="149"/>
        <v>0</v>
      </c>
      <c r="AU98" s="434">
        <f t="shared" si="149"/>
        <v>0</v>
      </c>
      <c r="AV98" s="434">
        <f t="shared" si="149"/>
        <v>0</v>
      </c>
      <c r="AW98" s="465">
        <f t="shared" si="149"/>
        <v>0</v>
      </c>
      <c r="AX98" s="464">
        <f t="shared" si="150"/>
        <v>0</v>
      </c>
      <c r="AY98" s="434">
        <f t="shared" si="150"/>
        <v>0</v>
      </c>
      <c r="AZ98" s="434">
        <f t="shared" si="150"/>
        <v>0</v>
      </c>
      <c r="BA98" s="434">
        <f t="shared" si="150"/>
        <v>0</v>
      </c>
      <c r="BB98" s="434">
        <f t="shared" si="150"/>
        <v>0</v>
      </c>
      <c r="BC98" s="465">
        <f t="shared" si="150"/>
        <v>0</v>
      </c>
      <c r="BD98" s="464">
        <f t="shared" si="151"/>
        <v>0</v>
      </c>
      <c r="BE98" s="434">
        <f t="shared" si="151"/>
        <v>0</v>
      </c>
      <c r="BF98" s="434">
        <f t="shared" si="151"/>
        <v>0</v>
      </c>
      <c r="BG98" s="434">
        <f t="shared" si="151"/>
        <v>0</v>
      </c>
      <c r="BH98" s="465">
        <f t="shared" si="151"/>
        <v>0</v>
      </c>
      <c r="BI98" s="464">
        <f t="shared" si="152"/>
        <v>0</v>
      </c>
      <c r="BJ98" s="434">
        <f t="shared" si="152"/>
        <v>0</v>
      </c>
      <c r="BK98" s="434">
        <f t="shared" si="152"/>
        <v>0</v>
      </c>
      <c r="BL98" s="434">
        <f t="shared" si="152"/>
        <v>0</v>
      </c>
      <c r="BM98" s="434">
        <f t="shared" si="152"/>
        <v>0</v>
      </c>
      <c r="BN98" s="465">
        <f t="shared" si="152"/>
        <v>0</v>
      </c>
      <c r="BO98" s="464">
        <f t="shared" si="162"/>
        <v>0</v>
      </c>
      <c r="BP98" s="434">
        <f t="shared" si="162"/>
        <v>0</v>
      </c>
      <c r="BQ98" s="434">
        <f t="shared" si="162"/>
        <v>0</v>
      </c>
      <c r="BR98" s="434">
        <f t="shared" si="162"/>
        <v>0</v>
      </c>
      <c r="BS98" s="465">
        <f t="shared" si="162"/>
        <v>0</v>
      </c>
      <c r="BT98" s="464">
        <f t="shared" si="153"/>
        <v>0</v>
      </c>
      <c r="BU98" s="434">
        <f t="shared" si="153"/>
        <v>0</v>
      </c>
      <c r="BV98" s="434">
        <f t="shared" si="153"/>
        <v>0</v>
      </c>
      <c r="BW98" s="434">
        <f t="shared" si="153"/>
        <v>0</v>
      </c>
      <c r="BX98" s="434">
        <f t="shared" si="153"/>
        <v>0</v>
      </c>
      <c r="BY98" s="465">
        <f t="shared" si="153"/>
        <v>0</v>
      </c>
      <c r="BZ98" s="464">
        <f t="shared" si="154"/>
        <v>0</v>
      </c>
      <c r="CA98" s="434">
        <f t="shared" si="154"/>
        <v>0</v>
      </c>
      <c r="CB98" s="434">
        <f t="shared" si="154"/>
        <v>0</v>
      </c>
      <c r="CC98" s="434">
        <f t="shared" si="154"/>
        <v>0</v>
      </c>
      <c r="CD98" s="465">
        <f t="shared" si="154"/>
        <v>0</v>
      </c>
      <c r="CE98" s="464">
        <f t="shared" si="155"/>
        <v>0</v>
      </c>
      <c r="CF98" s="434">
        <f t="shared" si="155"/>
        <v>0</v>
      </c>
      <c r="CG98" s="434">
        <f t="shared" si="155"/>
        <v>0</v>
      </c>
      <c r="CH98" s="434">
        <f t="shared" si="155"/>
        <v>0</v>
      </c>
      <c r="CI98" s="434">
        <f t="shared" si="155"/>
        <v>0</v>
      </c>
      <c r="CJ98" s="465">
        <f t="shared" si="155"/>
        <v>0</v>
      </c>
      <c r="CK98" s="464">
        <f t="shared" si="156"/>
        <v>0</v>
      </c>
      <c r="CL98" s="434">
        <f t="shared" si="156"/>
        <v>0</v>
      </c>
      <c r="CM98" s="434">
        <f t="shared" si="156"/>
        <v>0</v>
      </c>
      <c r="CN98" s="434">
        <f t="shared" si="156"/>
        <v>0</v>
      </c>
      <c r="CO98" s="465">
        <f t="shared" si="156"/>
        <v>0</v>
      </c>
      <c r="CP98" s="464">
        <f t="shared" si="157"/>
        <v>0</v>
      </c>
      <c r="CQ98" s="434">
        <f t="shared" si="157"/>
        <v>0</v>
      </c>
      <c r="CR98" s="434">
        <f t="shared" si="157"/>
        <v>0</v>
      </c>
      <c r="CS98" s="434">
        <f t="shared" si="157"/>
        <v>0</v>
      </c>
      <c r="CT98" s="434">
        <f t="shared" si="157"/>
        <v>0</v>
      </c>
      <c r="CU98" s="465">
        <f t="shared" si="157"/>
        <v>0</v>
      </c>
      <c r="CV98" s="464">
        <f t="shared" si="158"/>
        <v>0</v>
      </c>
      <c r="CW98" s="434">
        <f t="shared" si="158"/>
        <v>0</v>
      </c>
      <c r="CX98" s="434">
        <f t="shared" si="158"/>
        <v>0</v>
      </c>
      <c r="CY98" s="434">
        <f t="shared" si="158"/>
        <v>0</v>
      </c>
      <c r="CZ98" s="465">
        <f t="shared" si="158"/>
        <v>0</v>
      </c>
      <c r="DA98" s="464">
        <f t="shared" si="159"/>
        <v>0</v>
      </c>
      <c r="DB98" s="434">
        <f t="shared" si="159"/>
        <v>0</v>
      </c>
      <c r="DC98" s="434">
        <f t="shared" si="159"/>
        <v>0</v>
      </c>
      <c r="DD98" s="434">
        <f t="shared" si="159"/>
        <v>0</v>
      </c>
      <c r="DE98" s="434">
        <f t="shared" si="159"/>
        <v>0</v>
      </c>
      <c r="DF98" s="465">
        <f t="shared" si="159"/>
        <v>0</v>
      </c>
      <c r="DG98" s="464">
        <f t="shared" si="160"/>
        <v>0</v>
      </c>
      <c r="DH98" s="434">
        <f t="shared" si="160"/>
        <v>0</v>
      </c>
      <c r="DI98" s="434">
        <f t="shared" si="160"/>
        <v>0</v>
      </c>
      <c r="DJ98" s="434">
        <f t="shared" si="160"/>
        <v>0</v>
      </c>
      <c r="DK98" s="465">
        <f t="shared" si="160"/>
        <v>0</v>
      </c>
      <c r="DL98" s="48"/>
      <c r="DM98" s="240"/>
      <c r="DN98" s="240"/>
      <c r="DO98" s="240"/>
    </row>
    <row r="99" spans="1:119" s="4" customFormat="1">
      <c r="A99" s="23"/>
      <c r="B99" s="23"/>
      <c r="C99" s="23"/>
      <c r="D99" s="23"/>
      <c r="E99" s="445">
        <f t="shared" si="112"/>
        <v>0</v>
      </c>
      <c r="F99" s="1506">
        <f t="shared" si="161"/>
        <v>0</v>
      </c>
      <c r="G99" s="434">
        <f t="shared" si="161"/>
        <v>0</v>
      </c>
      <c r="H99" s="434">
        <f t="shared" si="161"/>
        <v>0</v>
      </c>
      <c r="I99" s="434">
        <f t="shared" si="161"/>
        <v>0</v>
      </c>
      <c r="J99" s="434">
        <f t="shared" si="161"/>
        <v>0</v>
      </c>
      <c r="K99" s="465">
        <f t="shared" si="143"/>
        <v>0</v>
      </c>
      <c r="L99" s="464">
        <f t="shared" si="143"/>
        <v>0</v>
      </c>
      <c r="M99" s="434">
        <f t="shared" si="143"/>
        <v>0</v>
      </c>
      <c r="N99" s="434">
        <f t="shared" si="143"/>
        <v>0</v>
      </c>
      <c r="O99" s="434">
        <f t="shared" si="143"/>
        <v>0</v>
      </c>
      <c r="P99" s="465">
        <f t="shared" si="143"/>
        <v>0</v>
      </c>
      <c r="Q99" s="464">
        <f t="shared" si="144"/>
        <v>0</v>
      </c>
      <c r="R99" s="434">
        <f t="shared" si="144"/>
        <v>0</v>
      </c>
      <c r="S99" s="434">
        <f t="shared" si="144"/>
        <v>0</v>
      </c>
      <c r="T99" s="434">
        <f t="shared" si="144"/>
        <v>0</v>
      </c>
      <c r="U99" s="434">
        <f t="shared" si="144"/>
        <v>0</v>
      </c>
      <c r="V99" s="465">
        <f t="shared" si="144"/>
        <v>0</v>
      </c>
      <c r="W99" s="464">
        <f t="shared" si="145"/>
        <v>0</v>
      </c>
      <c r="X99" s="434">
        <f t="shared" si="145"/>
        <v>0</v>
      </c>
      <c r="Y99" s="434">
        <f t="shared" si="145"/>
        <v>0</v>
      </c>
      <c r="Z99" s="434">
        <f t="shared" si="145"/>
        <v>0</v>
      </c>
      <c r="AA99" s="465">
        <f t="shared" si="145"/>
        <v>0</v>
      </c>
      <c r="AB99" s="464">
        <f t="shared" si="146"/>
        <v>0</v>
      </c>
      <c r="AC99" s="434">
        <f t="shared" si="146"/>
        <v>0</v>
      </c>
      <c r="AD99" s="434">
        <f t="shared" si="146"/>
        <v>0</v>
      </c>
      <c r="AE99" s="434">
        <f t="shared" si="146"/>
        <v>0</v>
      </c>
      <c r="AF99" s="434">
        <f t="shared" si="146"/>
        <v>0</v>
      </c>
      <c r="AG99" s="465">
        <f t="shared" si="146"/>
        <v>0</v>
      </c>
      <c r="AH99" s="464">
        <f t="shared" si="147"/>
        <v>0</v>
      </c>
      <c r="AI99" s="434">
        <f t="shared" si="147"/>
        <v>0</v>
      </c>
      <c r="AJ99" s="434">
        <f t="shared" si="147"/>
        <v>0</v>
      </c>
      <c r="AK99" s="434">
        <f t="shared" si="147"/>
        <v>0</v>
      </c>
      <c r="AL99" s="465">
        <f t="shared" si="147"/>
        <v>0</v>
      </c>
      <c r="AM99" s="464">
        <f t="shared" si="148"/>
        <v>0</v>
      </c>
      <c r="AN99" s="434">
        <f t="shared" si="148"/>
        <v>0</v>
      </c>
      <c r="AO99" s="434">
        <f t="shared" si="148"/>
        <v>0</v>
      </c>
      <c r="AP99" s="434">
        <f t="shared" si="148"/>
        <v>0</v>
      </c>
      <c r="AQ99" s="434">
        <f t="shared" si="148"/>
        <v>0</v>
      </c>
      <c r="AR99" s="465">
        <f t="shared" si="148"/>
        <v>0</v>
      </c>
      <c r="AS99" s="464">
        <f t="shared" si="149"/>
        <v>0</v>
      </c>
      <c r="AT99" s="434">
        <f t="shared" si="149"/>
        <v>0</v>
      </c>
      <c r="AU99" s="434">
        <f t="shared" si="149"/>
        <v>0</v>
      </c>
      <c r="AV99" s="434">
        <f t="shared" si="149"/>
        <v>0</v>
      </c>
      <c r="AW99" s="465">
        <f t="shared" si="149"/>
        <v>0</v>
      </c>
      <c r="AX99" s="464">
        <f t="shared" si="150"/>
        <v>0</v>
      </c>
      <c r="AY99" s="434">
        <f t="shared" si="150"/>
        <v>0</v>
      </c>
      <c r="AZ99" s="434">
        <f t="shared" si="150"/>
        <v>0</v>
      </c>
      <c r="BA99" s="434">
        <f t="shared" si="150"/>
        <v>0</v>
      </c>
      <c r="BB99" s="434">
        <f t="shared" si="150"/>
        <v>0</v>
      </c>
      <c r="BC99" s="465">
        <f t="shared" si="150"/>
        <v>0</v>
      </c>
      <c r="BD99" s="464">
        <f t="shared" si="151"/>
        <v>0</v>
      </c>
      <c r="BE99" s="434">
        <f t="shared" si="151"/>
        <v>0</v>
      </c>
      <c r="BF99" s="434">
        <f t="shared" si="151"/>
        <v>0</v>
      </c>
      <c r="BG99" s="434">
        <f t="shared" si="151"/>
        <v>0</v>
      </c>
      <c r="BH99" s="465">
        <f t="shared" si="151"/>
        <v>0</v>
      </c>
      <c r="BI99" s="464">
        <f t="shared" si="152"/>
        <v>0</v>
      </c>
      <c r="BJ99" s="434">
        <f t="shared" si="152"/>
        <v>0</v>
      </c>
      <c r="BK99" s="434">
        <f t="shared" si="152"/>
        <v>0</v>
      </c>
      <c r="BL99" s="434">
        <f t="shared" si="152"/>
        <v>0</v>
      </c>
      <c r="BM99" s="434">
        <f t="shared" si="152"/>
        <v>0</v>
      </c>
      <c r="BN99" s="465">
        <f t="shared" si="152"/>
        <v>0</v>
      </c>
      <c r="BO99" s="464">
        <f t="shared" si="162"/>
        <v>0</v>
      </c>
      <c r="BP99" s="434">
        <f t="shared" si="162"/>
        <v>0</v>
      </c>
      <c r="BQ99" s="434">
        <f t="shared" si="162"/>
        <v>0</v>
      </c>
      <c r="BR99" s="434">
        <f t="shared" si="162"/>
        <v>0</v>
      </c>
      <c r="BS99" s="465">
        <f t="shared" si="162"/>
        <v>0</v>
      </c>
      <c r="BT99" s="464">
        <f t="shared" si="153"/>
        <v>0</v>
      </c>
      <c r="BU99" s="434">
        <f t="shared" si="153"/>
        <v>0</v>
      </c>
      <c r="BV99" s="434">
        <f t="shared" si="153"/>
        <v>0</v>
      </c>
      <c r="BW99" s="434">
        <f t="shared" si="153"/>
        <v>0</v>
      </c>
      <c r="BX99" s="434">
        <f t="shared" si="153"/>
        <v>0</v>
      </c>
      <c r="BY99" s="465">
        <f t="shared" si="153"/>
        <v>0</v>
      </c>
      <c r="BZ99" s="464">
        <f t="shared" si="154"/>
        <v>0</v>
      </c>
      <c r="CA99" s="434">
        <f t="shared" si="154"/>
        <v>0</v>
      </c>
      <c r="CB99" s="434">
        <f t="shared" si="154"/>
        <v>0</v>
      </c>
      <c r="CC99" s="434">
        <f t="shared" si="154"/>
        <v>0</v>
      </c>
      <c r="CD99" s="465">
        <f t="shared" si="154"/>
        <v>0</v>
      </c>
      <c r="CE99" s="464">
        <f t="shared" si="155"/>
        <v>0</v>
      </c>
      <c r="CF99" s="434">
        <f t="shared" si="155"/>
        <v>0</v>
      </c>
      <c r="CG99" s="434">
        <f t="shared" si="155"/>
        <v>0</v>
      </c>
      <c r="CH99" s="434">
        <f t="shared" si="155"/>
        <v>0</v>
      </c>
      <c r="CI99" s="434">
        <f t="shared" si="155"/>
        <v>0</v>
      </c>
      <c r="CJ99" s="465">
        <f t="shared" si="155"/>
        <v>0</v>
      </c>
      <c r="CK99" s="464">
        <f t="shared" si="156"/>
        <v>0</v>
      </c>
      <c r="CL99" s="434">
        <f t="shared" si="156"/>
        <v>0</v>
      </c>
      <c r="CM99" s="434">
        <f t="shared" si="156"/>
        <v>0</v>
      </c>
      <c r="CN99" s="434">
        <f t="shared" si="156"/>
        <v>0</v>
      </c>
      <c r="CO99" s="465">
        <f t="shared" si="156"/>
        <v>0</v>
      </c>
      <c r="CP99" s="464">
        <f t="shared" si="157"/>
        <v>0</v>
      </c>
      <c r="CQ99" s="434">
        <f t="shared" si="157"/>
        <v>0</v>
      </c>
      <c r="CR99" s="434">
        <f t="shared" si="157"/>
        <v>0</v>
      </c>
      <c r="CS99" s="434">
        <f t="shared" si="157"/>
        <v>0</v>
      </c>
      <c r="CT99" s="434">
        <f t="shared" si="157"/>
        <v>0</v>
      </c>
      <c r="CU99" s="465">
        <f t="shared" si="157"/>
        <v>0</v>
      </c>
      <c r="CV99" s="464">
        <f t="shared" si="158"/>
        <v>0</v>
      </c>
      <c r="CW99" s="434">
        <f t="shared" si="158"/>
        <v>0</v>
      </c>
      <c r="CX99" s="434">
        <f t="shared" si="158"/>
        <v>0</v>
      </c>
      <c r="CY99" s="434">
        <f t="shared" si="158"/>
        <v>0</v>
      </c>
      <c r="CZ99" s="465">
        <f t="shared" si="158"/>
        <v>0</v>
      </c>
      <c r="DA99" s="464">
        <f t="shared" si="159"/>
        <v>0</v>
      </c>
      <c r="DB99" s="434">
        <f t="shared" si="159"/>
        <v>0</v>
      </c>
      <c r="DC99" s="434">
        <f t="shared" si="159"/>
        <v>0</v>
      </c>
      <c r="DD99" s="434">
        <f t="shared" si="159"/>
        <v>0</v>
      </c>
      <c r="DE99" s="434">
        <f t="shared" si="159"/>
        <v>0</v>
      </c>
      <c r="DF99" s="465">
        <f t="shared" si="159"/>
        <v>0</v>
      </c>
      <c r="DG99" s="464">
        <f t="shared" si="160"/>
        <v>0</v>
      </c>
      <c r="DH99" s="434">
        <f t="shared" si="160"/>
        <v>0</v>
      </c>
      <c r="DI99" s="434">
        <f t="shared" si="160"/>
        <v>0</v>
      </c>
      <c r="DJ99" s="434">
        <f t="shared" si="160"/>
        <v>0</v>
      </c>
      <c r="DK99" s="465">
        <f t="shared" si="160"/>
        <v>0</v>
      </c>
      <c r="DL99" s="48"/>
      <c r="DM99" s="240"/>
      <c r="DN99" s="240"/>
      <c r="DO99" s="240"/>
    </row>
    <row r="100" spans="1:119" s="4" customFormat="1">
      <c r="A100" s="23"/>
      <c r="B100" s="23"/>
      <c r="C100" s="23"/>
      <c r="D100" s="23"/>
      <c r="E100" s="445">
        <f t="shared" si="112"/>
        <v>0</v>
      </c>
      <c r="F100" s="1506">
        <f t="shared" si="161"/>
        <v>0</v>
      </c>
      <c r="G100" s="434">
        <f t="shared" si="161"/>
        <v>0</v>
      </c>
      <c r="H100" s="434">
        <f t="shared" si="161"/>
        <v>0</v>
      </c>
      <c r="I100" s="434">
        <f t="shared" si="161"/>
        <v>0</v>
      </c>
      <c r="J100" s="434">
        <f t="shared" si="161"/>
        <v>0</v>
      </c>
      <c r="K100" s="465">
        <f t="shared" si="143"/>
        <v>0</v>
      </c>
      <c r="L100" s="464">
        <f t="shared" si="143"/>
        <v>0</v>
      </c>
      <c r="M100" s="434">
        <f t="shared" si="143"/>
        <v>0</v>
      </c>
      <c r="N100" s="434">
        <f t="shared" si="143"/>
        <v>0</v>
      </c>
      <c r="O100" s="434">
        <f t="shared" si="143"/>
        <v>0</v>
      </c>
      <c r="P100" s="465">
        <f t="shared" si="143"/>
        <v>0</v>
      </c>
      <c r="Q100" s="464">
        <f t="shared" si="144"/>
        <v>0</v>
      </c>
      <c r="R100" s="434">
        <f t="shared" si="144"/>
        <v>0</v>
      </c>
      <c r="S100" s="434">
        <f t="shared" si="144"/>
        <v>0</v>
      </c>
      <c r="T100" s="434">
        <f t="shared" si="144"/>
        <v>0</v>
      </c>
      <c r="U100" s="434">
        <f t="shared" si="144"/>
        <v>0</v>
      </c>
      <c r="V100" s="465">
        <f t="shared" si="144"/>
        <v>0</v>
      </c>
      <c r="W100" s="464">
        <f t="shared" si="145"/>
        <v>0</v>
      </c>
      <c r="X100" s="434">
        <f t="shared" si="145"/>
        <v>0</v>
      </c>
      <c r="Y100" s="434">
        <f t="shared" si="145"/>
        <v>0</v>
      </c>
      <c r="Z100" s="434">
        <f t="shared" si="145"/>
        <v>0</v>
      </c>
      <c r="AA100" s="465">
        <f t="shared" si="145"/>
        <v>0</v>
      </c>
      <c r="AB100" s="464">
        <f t="shared" si="146"/>
        <v>0</v>
      </c>
      <c r="AC100" s="434">
        <f t="shared" si="146"/>
        <v>0</v>
      </c>
      <c r="AD100" s="434">
        <f t="shared" si="146"/>
        <v>0</v>
      </c>
      <c r="AE100" s="434">
        <f t="shared" si="146"/>
        <v>0</v>
      </c>
      <c r="AF100" s="434">
        <f t="shared" si="146"/>
        <v>0</v>
      </c>
      <c r="AG100" s="465">
        <f t="shared" si="146"/>
        <v>0</v>
      </c>
      <c r="AH100" s="464">
        <f t="shared" si="147"/>
        <v>0</v>
      </c>
      <c r="AI100" s="434">
        <f t="shared" si="147"/>
        <v>0</v>
      </c>
      <c r="AJ100" s="434">
        <f t="shared" si="147"/>
        <v>0</v>
      </c>
      <c r="AK100" s="434">
        <f t="shared" si="147"/>
        <v>0</v>
      </c>
      <c r="AL100" s="465">
        <f t="shared" si="147"/>
        <v>0</v>
      </c>
      <c r="AM100" s="464">
        <f t="shared" si="148"/>
        <v>0</v>
      </c>
      <c r="AN100" s="434">
        <f t="shared" si="148"/>
        <v>0</v>
      </c>
      <c r="AO100" s="434">
        <f t="shared" si="148"/>
        <v>0</v>
      </c>
      <c r="AP100" s="434">
        <f t="shared" si="148"/>
        <v>0</v>
      </c>
      <c r="AQ100" s="434">
        <f t="shared" si="148"/>
        <v>0</v>
      </c>
      <c r="AR100" s="465">
        <f t="shared" si="148"/>
        <v>0</v>
      </c>
      <c r="AS100" s="464">
        <f t="shared" si="149"/>
        <v>0</v>
      </c>
      <c r="AT100" s="434">
        <f t="shared" si="149"/>
        <v>0</v>
      </c>
      <c r="AU100" s="434">
        <f t="shared" si="149"/>
        <v>0</v>
      </c>
      <c r="AV100" s="434">
        <f t="shared" si="149"/>
        <v>0</v>
      </c>
      <c r="AW100" s="465">
        <f t="shared" si="149"/>
        <v>0</v>
      </c>
      <c r="AX100" s="464">
        <f t="shared" si="150"/>
        <v>0</v>
      </c>
      <c r="AY100" s="434">
        <f t="shared" si="150"/>
        <v>0</v>
      </c>
      <c r="AZ100" s="434">
        <f t="shared" si="150"/>
        <v>0</v>
      </c>
      <c r="BA100" s="434">
        <f t="shared" si="150"/>
        <v>0</v>
      </c>
      <c r="BB100" s="434">
        <f t="shared" si="150"/>
        <v>0</v>
      </c>
      <c r="BC100" s="465">
        <f t="shared" si="150"/>
        <v>0</v>
      </c>
      <c r="BD100" s="464">
        <f t="shared" si="151"/>
        <v>0</v>
      </c>
      <c r="BE100" s="434">
        <f t="shared" si="151"/>
        <v>0</v>
      </c>
      <c r="BF100" s="434">
        <f t="shared" si="151"/>
        <v>0</v>
      </c>
      <c r="BG100" s="434">
        <f t="shared" si="151"/>
        <v>0</v>
      </c>
      <c r="BH100" s="465">
        <f t="shared" si="151"/>
        <v>0</v>
      </c>
      <c r="BI100" s="464">
        <f t="shared" si="152"/>
        <v>0</v>
      </c>
      <c r="BJ100" s="434">
        <f t="shared" si="152"/>
        <v>0</v>
      </c>
      <c r="BK100" s="434">
        <f t="shared" si="152"/>
        <v>0</v>
      </c>
      <c r="BL100" s="434">
        <f t="shared" si="152"/>
        <v>0</v>
      </c>
      <c r="BM100" s="434">
        <f t="shared" si="152"/>
        <v>0</v>
      </c>
      <c r="BN100" s="465">
        <f t="shared" si="152"/>
        <v>0</v>
      </c>
      <c r="BO100" s="464">
        <f t="shared" si="162"/>
        <v>0</v>
      </c>
      <c r="BP100" s="434">
        <f t="shared" si="162"/>
        <v>0</v>
      </c>
      <c r="BQ100" s="434">
        <f t="shared" si="162"/>
        <v>0</v>
      </c>
      <c r="BR100" s="434">
        <f t="shared" si="162"/>
        <v>0</v>
      </c>
      <c r="BS100" s="465">
        <f t="shared" si="162"/>
        <v>0</v>
      </c>
      <c r="BT100" s="464">
        <f t="shared" si="153"/>
        <v>0</v>
      </c>
      <c r="BU100" s="434">
        <f t="shared" si="153"/>
        <v>0</v>
      </c>
      <c r="BV100" s="434">
        <f t="shared" si="153"/>
        <v>0</v>
      </c>
      <c r="BW100" s="434">
        <f t="shared" si="153"/>
        <v>0</v>
      </c>
      <c r="BX100" s="434">
        <f t="shared" si="153"/>
        <v>0</v>
      </c>
      <c r="BY100" s="465">
        <f t="shared" si="153"/>
        <v>0</v>
      </c>
      <c r="BZ100" s="464">
        <f t="shared" si="154"/>
        <v>0</v>
      </c>
      <c r="CA100" s="434">
        <f t="shared" si="154"/>
        <v>0</v>
      </c>
      <c r="CB100" s="434">
        <f t="shared" si="154"/>
        <v>0</v>
      </c>
      <c r="CC100" s="434">
        <f t="shared" si="154"/>
        <v>0</v>
      </c>
      <c r="CD100" s="465">
        <f t="shared" si="154"/>
        <v>0</v>
      </c>
      <c r="CE100" s="464">
        <f t="shared" si="155"/>
        <v>0</v>
      </c>
      <c r="CF100" s="434">
        <f t="shared" si="155"/>
        <v>0</v>
      </c>
      <c r="CG100" s="434">
        <f t="shared" si="155"/>
        <v>0</v>
      </c>
      <c r="CH100" s="434">
        <f t="shared" si="155"/>
        <v>0</v>
      </c>
      <c r="CI100" s="434">
        <f t="shared" si="155"/>
        <v>0</v>
      </c>
      <c r="CJ100" s="465">
        <f t="shared" si="155"/>
        <v>0</v>
      </c>
      <c r="CK100" s="464">
        <f t="shared" si="156"/>
        <v>0</v>
      </c>
      <c r="CL100" s="434">
        <f t="shared" si="156"/>
        <v>0</v>
      </c>
      <c r="CM100" s="434">
        <f t="shared" si="156"/>
        <v>0</v>
      </c>
      <c r="CN100" s="434">
        <f t="shared" si="156"/>
        <v>0</v>
      </c>
      <c r="CO100" s="465">
        <f t="shared" si="156"/>
        <v>0</v>
      </c>
      <c r="CP100" s="464">
        <f t="shared" si="157"/>
        <v>0</v>
      </c>
      <c r="CQ100" s="434">
        <f t="shared" si="157"/>
        <v>0</v>
      </c>
      <c r="CR100" s="434">
        <f t="shared" si="157"/>
        <v>0</v>
      </c>
      <c r="CS100" s="434">
        <f t="shared" si="157"/>
        <v>0</v>
      </c>
      <c r="CT100" s="434">
        <f t="shared" si="157"/>
        <v>0</v>
      </c>
      <c r="CU100" s="465">
        <f t="shared" si="157"/>
        <v>0</v>
      </c>
      <c r="CV100" s="464">
        <f t="shared" si="158"/>
        <v>0</v>
      </c>
      <c r="CW100" s="434">
        <f t="shared" si="158"/>
        <v>0</v>
      </c>
      <c r="CX100" s="434">
        <f t="shared" si="158"/>
        <v>0</v>
      </c>
      <c r="CY100" s="434">
        <f t="shared" si="158"/>
        <v>0</v>
      </c>
      <c r="CZ100" s="465">
        <f t="shared" si="158"/>
        <v>0</v>
      </c>
      <c r="DA100" s="464">
        <f t="shared" si="159"/>
        <v>0</v>
      </c>
      <c r="DB100" s="434">
        <f t="shared" si="159"/>
        <v>0</v>
      </c>
      <c r="DC100" s="434">
        <f t="shared" si="159"/>
        <v>0</v>
      </c>
      <c r="DD100" s="434">
        <f t="shared" si="159"/>
        <v>0</v>
      </c>
      <c r="DE100" s="434">
        <f t="shared" si="159"/>
        <v>0</v>
      </c>
      <c r="DF100" s="465">
        <f t="shared" si="159"/>
        <v>0</v>
      </c>
      <c r="DG100" s="464">
        <f t="shared" si="160"/>
        <v>0</v>
      </c>
      <c r="DH100" s="434">
        <f t="shared" si="160"/>
        <v>0</v>
      </c>
      <c r="DI100" s="434">
        <f t="shared" si="160"/>
        <v>0</v>
      </c>
      <c r="DJ100" s="434">
        <f t="shared" si="160"/>
        <v>0</v>
      </c>
      <c r="DK100" s="465">
        <f t="shared" si="160"/>
        <v>0</v>
      </c>
      <c r="DL100" s="48"/>
      <c r="DM100" s="240"/>
      <c r="DN100" s="240"/>
      <c r="DO100" s="240"/>
    </row>
    <row r="101" spans="1:119" s="4" customFormat="1">
      <c r="A101" s="23"/>
      <c r="B101" s="23"/>
      <c r="C101" s="23"/>
      <c r="D101" s="23"/>
      <c r="E101" s="445">
        <f t="shared" si="112"/>
        <v>0</v>
      </c>
      <c r="F101" s="1506">
        <f t="shared" si="161"/>
        <v>0</v>
      </c>
      <c r="G101" s="434">
        <f t="shared" si="161"/>
        <v>0</v>
      </c>
      <c r="H101" s="434">
        <f t="shared" si="161"/>
        <v>0</v>
      </c>
      <c r="I101" s="434">
        <f t="shared" si="161"/>
        <v>0</v>
      </c>
      <c r="J101" s="434">
        <f t="shared" si="161"/>
        <v>0</v>
      </c>
      <c r="K101" s="465">
        <f t="shared" ref="K101:P106" si="163">K68*K34</f>
        <v>0</v>
      </c>
      <c r="L101" s="464">
        <f t="shared" si="163"/>
        <v>0</v>
      </c>
      <c r="M101" s="434">
        <f t="shared" si="163"/>
        <v>0</v>
      </c>
      <c r="N101" s="434">
        <f t="shared" si="163"/>
        <v>0</v>
      </c>
      <c r="O101" s="434">
        <f t="shared" si="163"/>
        <v>0</v>
      </c>
      <c r="P101" s="465">
        <f t="shared" si="163"/>
        <v>0</v>
      </c>
      <c r="Q101" s="464">
        <f t="shared" ref="Q101:V106" si="164">Q68*Q34/100</f>
        <v>0</v>
      </c>
      <c r="R101" s="434">
        <f t="shared" si="164"/>
        <v>0</v>
      </c>
      <c r="S101" s="434">
        <f t="shared" si="164"/>
        <v>0</v>
      </c>
      <c r="T101" s="434">
        <f t="shared" si="164"/>
        <v>0</v>
      </c>
      <c r="U101" s="434">
        <f t="shared" si="164"/>
        <v>0</v>
      </c>
      <c r="V101" s="465">
        <f t="shared" si="164"/>
        <v>0</v>
      </c>
      <c r="W101" s="464">
        <f t="shared" ref="W101:AA106" si="165">W68*W34/100</f>
        <v>0</v>
      </c>
      <c r="X101" s="434">
        <f t="shared" si="165"/>
        <v>0</v>
      </c>
      <c r="Y101" s="434">
        <f t="shared" si="165"/>
        <v>0</v>
      </c>
      <c r="Z101" s="434">
        <f t="shared" si="165"/>
        <v>0</v>
      </c>
      <c r="AA101" s="465">
        <f t="shared" si="165"/>
        <v>0</v>
      </c>
      <c r="AB101" s="464">
        <f t="shared" ref="AB101:AG106" si="166">AB68*AB34/100</f>
        <v>0</v>
      </c>
      <c r="AC101" s="434">
        <f t="shared" si="166"/>
        <v>0</v>
      </c>
      <c r="AD101" s="434">
        <f t="shared" si="166"/>
        <v>0</v>
      </c>
      <c r="AE101" s="434">
        <f t="shared" si="166"/>
        <v>0</v>
      </c>
      <c r="AF101" s="434">
        <f t="shared" si="166"/>
        <v>0</v>
      </c>
      <c r="AG101" s="465">
        <f t="shared" si="166"/>
        <v>0</v>
      </c>
      <c r="AH101" s="464">
        <f t="shared" ref="AH101:AL106" si="167">AH68*AH34/100</f>
        <v>0</v>
      </c>
      <c r="AI101" s="434">
        <f t="shared" si="167"/>
        <v>0</v>
      </c>
      <c r="AJ101" s="434">
        <f t="shared" si="167"/>
        <v>0</v>
      </c>
      <c r="AK101" s="434">
        <f t="shared" si="167"/>
        <v>0</v>
      </c>
      <c r="AL101" s="465">
        <f t="shared" si="167"/>
        <v>0</v>
      </c>
      <c r="AM101" s="464">
        <f t="shared" ref="AM101:AR106" si="168">AM68*AM34/100</f>
        <v>0</v>
      </c>
      <c r="AN101" s="434">
        <f t="shared" si="168"/>
        <v>0</v>
      </c>
      <c r="AO101" s="434">
        <f t="shared" si="168"/>
        <v>0</v>
      </c>
      <c r="AP101" s="434">
        <f t="shared" si="168"/>
        <v>0</v>
      </c>
      <c r="AQ101" s="434">
        <f t="shared" si="168"/>
        <v>0</v>
      </c>
      <c r="AR101" s="465">
        <f t="shared" si="168"/>
        <v>0</v>
      </c>
      <c r="AS101" s="464">
        <f t="shared" ref="AS101:AW106" si="169">AS68*AS34/100</f>
        <v>0</v>
      </c>
      <c r="AT101" s="434">
        <f t="shared" si="169"/>
        <v>0</v>
      </c>
      <c r="AU101" s="434">
        <f t="shared" si="169"/>
        <v>0</v>
      </c>
      <c r="AV101" s="434">
        <f t="shared" si="169"/>
        <v>0</v>
      </c>
      <c r="AW101" s="465">
        <f t="shared" si="169"/>
        <v>0</v>
      </c>
      <c r="AX101" s="464">
        <f t="shared" ref="AX101:BC106" si="170">AX68*AX34/100</f>
        <v>0</v>
      </c>
      <c r="AY101" s="434">
        <f t="shared" si="170"/>
        <v>0</v>
      </c>
      <c r="AZ101" s="434">
        <f t="shared" si="170"/>
        <v>0</v>
      </c>
      <c r="BA101" s="434">
        <f t="shared" si="170"/>
        <v>0</v>
      </c>
      <c r="BB101" s="434">
        <f t="shared" si="170"/>
        <v>0</v>
      </c>
      <c r="BC101" s="465">
        <f t="shared" si="170"/>
        <v>0</v>
      </c>
      <c r="BD101" s="464">
        <f t="shared" ref="BD101:BH106" si="171">BD68*BD34/100</f>
        <v>0</v>
      </c>
      <c r="BE101" s="434">
        <f t="shared" si="171"/>
        <v>0</v>
      </c>
      <c r="BF101" s="434">
        <f t="shared" si="171"/>
        <v>0</v>
      </c>
      <c r="BG101" s="434">
        <f t="shared" si="171"/>
        <v>0</v>
      </c>
      <c r="BH101" s="465">
        <f t="shared" si="171"/>
        <v>0</v>
      </c>
      <c r="BI101" s="464">
        <f t="shared" ref="BI101:BN106" si="172">BI68*BI34/100</f>
        <v>0</v>
      </c>
      <c r="BJ101" s="434">
        <f t="shared" si="172"/>
        <v>0</v>
      </c>
      <c r="BK101" s="434">
        <f t="shared" si="172"/>
        <v>0</v>
      </c>
      <c r="BL101" s="434">
        <f t="shared" si="172"/>
        <v>0</v>
      </c>
      <c r="BM101" s="434">
        <f t="shared" si="172"/>
        <v>0</v>
      </c>
      <c r="BN101" s="465">
        <f t="shared" si="172"/>
        <v>0</v>
      </c>
      <c r="BO101" s="464">
        <f t="shared" si="162"/>
        <v>0</v>
      </c>
      <c r="BP101" s="434">
        <f t="shared" si="162"/>
        <v>0</v>
      </c>
      <c r="BQ101" s="434">
        <f t="shared" si="162"/>
        <v>0</v>
      </c>
      <c r="BR101" s="434">
        <f t="shared" si="162"/>
        <v>0</v>
      </c>
      <c r="BS101" s="465">
        <f t="shared" si="162"/>
        <v>0</v>
      </c>
      <c r="BT101" s="464">
        <f t="shared" ref="BT101:BY106" si="173">BT68*BT34</f>
        <v>0</v>
      </c>
      <c r="BU101" s="434">
        <f t="shared" si="173"/>
        <v>0</v>
      </c>
      <c r="BV101" s="434">
        <f t="shared" si="173"/>
        <v>0</v>
      </c>
      <c r="BW101" s="434">
        <f t="shared" si="173"/>
        <v>0</v>
      </c>
      <c r="BX101" s="434">
        <f t="shared" si="173"/>
        <v>0</v>
      </c>
      <c r="BY101" s="465">
        <f t="shared" si="173"/>
        <v>0</v>
      </c>
      <c r="BZ101" s="464">
        <f t="shared" ref="BZ101:CD106" si="174">BZ68*BZ34</f>
        <v>0</v>
      </c>
      <c r="CA101" s="434">
        <f t="shared" si="174"/>
        <v>0</v>
      </c>
      <c r="CB101" s="434">
        <f t="shared" si="174"/>
        <v>0</v>
      </c>
      <c r="CC101" s="434">
        <f t="shared" si="174"/>
        <v>0</v>
      </c>
      <c r="CD101" s="465">
        <f t="shared" si="174"/>
        <v>0</v>
      </c>
      <c r="CE101" s="464">
        <f t="shared" ref="CE101:CJ106" si="175">CE68*CE34</f>
        <v>0</v>
      </c>
      <c r="CF101" s="434">
        <f t="shared" si="175"/>
        <v>0</v>
      </c>
      <c r="CG101" s="434">
        <f t="shared" si="175"/>
        <v>0</v>
      </c>
      <c r="CH101" s="434">
        <f t="shared" si="175"/>
        <v>0</v>
      </c>
      <c r="CI101" s="434">
        <f t="shared" si="175"/>
        <v>0</v>
      </c>
      <c r="CJ101" s="465">
        <f t="shared" si="175"/>
        <v>0</v>
      </c>
      <c r="CK101" s="464">
        <f t="shared" ref="CK101:CO106" si="176">CK68*CK34</f>
        <v>0</v>
      </c>
      <c r="CL101" s="434">
        <f t="shared" si="176"/>
        <v>0</v>
      </c>
      <c r="CM101" s="434">
        <f t="shared" si="176"/>
        <v>0</v>
      </c>
      <c r="CN101" s="434">
        <f t="shared" si="176"/>
        <v>0</v>
      </c>
      <c r="CO101" s="465">
        <f t="shared" si="176"/>
        <v>0</v>
      </c>
      <c r="CP101" s="464">
        <f t="shared" ref="CP101:CU106" si="177">CP68*CP34</f>
        <v>0</v>
      </c>
      <c r="CQ101" s="434">
        <f t="shared" si="177"/>
        <v>0</v>
      </c>
      <c r="CR101" s="434">
        <f t="shared" si="177"/>
        <v>0</v>
      </c>
      <c r="CS101" s="434">
        <f t="shared" si="177"/>
        <v>0</v>
      </c>
      <c r="CT101" s="434">
        <f t="shared" si="177"/>
        <v>0</v>
      </c>
      <c r="CU101" s="465">
        <f t="shared" si="177"/>
        <v>0</v>
      </c>
      <c r="CV101" s="464">
        <f t="shared" ref="CV101:CZ106" si="178">CV68*CV34</f>
        <v>0</v>
      </c>
      <c r="CW101" s="434">
        <f t="shared" si="178"/>
        <v>0</v>
      </c>
      <c r="CX101" s="434">
        <f t="shared" si="178"/>
        <v>0</v>
      </c>
      <c r="CY101" s="434">
        <f t="shared" si="178"/>
        <v>0</v>
      </c>
      <c r="CZ101" s="465">
        <f t="shared" si="178"/>
        <v>0</v>
      </c>
      <c r="DA101" s="464">
        <f t="shared" ref="DA101:DF106" si="179">DA68*DA34</f>
        <v>0</v>
      </c>
      <c r="DB101" s="434">
        <f t="shared" si="179"/>
        <v>0</v>
      </c>
      <c r="DC101" s="434">
        <f t="shared" si="179"/>
        <v>0</v>
      </c>
      <c r="DD101" s="434">
        <f t="shared" si="179"/>
        <v>0</v>
      </c>
      <c r="DE101" s="434">
        <f t="shared" si="179"/>
        <v>0</v>
      </c>
      <c r="DF101" s="465">
        <f t="shared" si="179"/>
        <v>0</v>
      </c>
      <c r="DG101" s="464">
        <f t="shared" ref="DG101:DK106" si="180">DG68*DG34</f>
        <v>0</v>
      </c>
      <c r="DH101" s="434">
        <f t="shared" si="180"/>
        <v>0</v>
      </c>
      <c r="DI101" s="434">
        <f t="shared" si="180"/>
        <v>0</v>
      </c>
      <c r="DJ101" s="434">
        <f t="shared" si="180"/>
        <v>0</v>
      </c>
      <c r="DK101" s="465">
        <f t="shared" si="180"/>
        <v>0</v>
      </c>
      <c r="DL101" s="48"/>
      <c r="DM101" s="240"/>
      <c r="DN101" s="240"/>
      <c r="DO101" s="240"/>
    </row>
    <row r="102" spans="1:119" s="4" customFormat="1">
      <c r="A102" s="23"/>
      <c r="B102" s="23"/>
      <c r="C102" s="23"/>
      <c r="D102" s="23"/>
      <c r="E102" s="445">
        <f t="shared" si="112"/>
        <v>0</v>
      </c>
      <c r="F102" s="1506">
        <f t="shared" ref="F102:J106" si="181">F69*F35</f>
        <v>0</v>
      </c>
      <c r="G102" s="434">
        <f t="shared" si="181"/>
        <v>0</v>
      </c>
      <c r="H102" s="434">
        <f t="shared" si="181"/>
        <v>0</v>
      </c>
      <c r="I102" s="434">
        <f t="shared" si="181"/>
        <v>0</v>
      </c>
      <c r="J102" s="434">
        <f t="shared" si="181"/>
        <v>0</v>
      </c>
      <c r="K102" s="465">
        <f t="shared" si="163"/>
        <v>0</v>
      </c>
      <c r="L102" s="464">
        <f t="shared" si="163"/>
        <v>0</v>
      </c>
      <c r="M102" s="434">
        <f t="shared" si="163"/>
        <v>0</v>
      </c>
      <c r="N102" s="434">
        <f t="shared" si="163"/>
        <v>0</v>
      </c>
      <c r="O102" s="434">
        <f t="shared" si="163"/>
        <v>0</v>
      </c>
      <c r="P102" s="465">
        <f t="shared" si="163"/>
        <v>0</v>
      </c>
      <c r="Q102" s="464">
        <f t="shared" si="164"/>
        <v>0</v>
      </c>
      <c r="R102" s="434">
        <f t="shared" si="164"/>
        <v>0</v>
      </c>
      <c r="S102" s="434">
        <f t="shared" si="164"/>
        <v>0</v>
      </c>
      <c r="T102" s="434">
        <f t="shared" si="164"/>
        <v>0</v>
      </c>
      <c r="U102" s="434">
        <f t="shared" si="164"/>
        <v>0</v>
      </c>
      <c r="V102" s="465">
        <f t="shared" si="164"/>
        <v>0</v>
      </c>
      <c r="W102" s="464">
        <f t="shared" si="165"/>
        <v>0</v>
      </c>
      <c r="X102" s="434">
        <f t="shared" si="165"/>
        <v>0</v>
      </c>
      <c r="Y102" s="434">
        <f t="shared" si="165"/>
        <v>0</v>
      </c>
      <c r="Z102" s="434">
        <f t="shared" si="165"/>
        <v>0</v>
      </c>
      <c r="AA102" s="465">
        <f t="shared" si="165"/>
        <v>0</v>
      </c>
      <c r="AB102" s="464">
        <f t="shared" si="166"/>
        <v>0</v>
      </c>
      <c r="AC102" s="434">
        <f t="shared" si="166"/>
        <v>0</v>
      </c>
      <c r="AD102" s="434">
        <f t="shared" si="166"/>
        <v>0</v>
      </c>
      <c r="AE102" s="434">
        <f t="shared" si="166"/>
        <v>0</v>
      </c>
      <c r="AF102" s="434">
        <f t="shared" si="166"/>
        <v>0</v>
      </c>
      <c r="AG102" s="465">
        <f t="shared" si="166"/>
        <v>0</v>
      </c>
      <c r="AH102" s="464">
        <f t="shared" si="167"/>
        <v>0</v>
      </c>
      <c r="AI102" s="434">
        <f t="shared" si="167"/>
        <v>0</v>
      </c>
      <c r="AJ102" s="434">
        <f t="shared" si="167"/>
        <v>0</v>
      </c>
      <c r="AK102" s="434">
        <f t="shared" si="167"/>
        <v>0</v>
      </c>
      <c r="AL102" s="465">
        <f t="shared" si="167"/>
        <v>0</v>
      </c>
      <c r="AM102" s="464">
        <f t="shared" si="168"/>
        <v>0</v>
      </c>
      <c r="AN102" s="434">
        <f t="shared" si="168"/>
        <v>0</v>
      </c>
      <c r="AO102" s="434">
        <f t="shared" si="168"/>
        <v>0</v>
      </c>
      <c r="AP102" s="434">
        <f t="shared" si="168"/>
        <v>0</v>
      </c>
      <c r="AQ102" s="434">
        <f t="shared" si="168"/>
        <v>0</v>
      </c>
      <c r="AR102" s="465">
        <f t="shared" si="168"/>
        <v>0</v>
      </c>
      <c r="AS102" s="464">
        <f t="shared" si="169"/>
        <v>0</v>
      </c>
      <c r="AT102" s="434">
        <f t="shared" si="169"/>
        <v>0</v>
      </c>
      <c r="AU102" s="434">
        <f t="shared" si="169"/>
        <v>0</v>
      </c>
      <c r="AV102" s="434">
        <f t="shared" si="169"/>
        <v>0</v>
      </c>
      <c r="AW102" s="465">
        <f t="shared" si="169"/>
        <v>0</v>
      </c>
      <c r="AX102" s="464">
        <f t="shared" si="170"/>
        <v>0</v>
      </c>
      <c r="AY102" s="434">
        <f t="shared" si="170"/>
        <v>0</v>
      </c>
      <c r="AZ102" s="434">
        <f t="shared" si="170"/>
        <v>0</v>
      </c>
      <c r="BA102" s="434">
        <f t="shared" si="170"/>
        <v>0</v>
      </c>
      <c r="BB102" s="434">
        <f t="shared" si="170"/>
        <v>0</v>
      </c>
      <c r="BC102" s="465">
        <f t="shared" si="170"/>
        <v>0</v>
      </c>
      <c r="BD102" s="464">
        <f t="shared" si="171"/>
        <v>0</v>
      </c>
      <c r="BE102" s="434">
        <f t="shared" si="171"/>
        <v>0</v>
      </c>
      <c r="BF102" s="434">
        <f t="shared" si="171"/>
        <v>0</v>
      </c>
      <c r="BG102" s="434">
        <f t="shared" si="171"/>
        <v>0</v>
      </c>
      <c r="BH102" s="465">
        <f t="shared" si="171"/>
        <v>0</v>
      </c>
      <c r="BI102" s="464">
        <f t="shared" si="172"/>
        <v>0</v>
      </c>
      <c r="BJ102" s="434">
        <f t="shared" si="172"/>
        <v>0</v>
      </c>
      <c r="BK102" s="434">
        <f t="shared" si="172"/>
        <v>0</v>
      </c>
      <c r="BL102" s="434">
        <f t="shared" si="172"/>
        <v>0</v>
      </c>
      <c r="BM102" s="434">
        <f t="shared" si="172"/>
        <v>0</v>
      </c>
      <c r="BN102" s="465">
        <f t="shared" si="172"/>
        <v>0</v>
      </c>
      <c r="BO102" s="464">
        <f t="shared" si="162"/>
        <v>0</v>
      </c>
      <c r="BP102" s="434">
        <f t="shared" si="162"/>
        <v>0</v>
      </c>
      <c r="BQ102" s="434">
        <f t="shared" si="162"/>
        <v>0</v>
      </c>
      <c r="BR102" s="434">
        <f t="shared" si="162"/>
        <v>0</v>
      </c>
      <c r="BS102" s="465">
        <f t="shared" si="162"/>
        <v>0</v>
      </c>
      <c r="BT102" s="464">
        <f t="shared" si="173"/>
        <v>0</v>
      </c>
      <c r="BU102" s="434">
        <f t="shared" si="173"/>
        <v>0</v>
      </c>
      <c r="BV102" s="434">
        <f t="shared" si="173"/>
        <v>0</v>
      </c>
      <c r="BW102" s="434">
        <f t="shared" si="173"/>
        <v>0</v>
      </c>
      <c r="BX102" s="434">
        <f t="shared" si="173"/>
        <v>0</v>
      </c>
      <c r="BY102" s="465">
        <f t="shared" si="173"/>
        <v>0</v>
      </c>
      <c r="BZ102" s="464">
        <f t="shared" si="174"/>
        <v>0</v>
      </c>
      <c r="CA102" s="434">
        <f t="shared" si="174"/>
        <v>0</v>
      </c>
      <c r="CB102" s="434">
        <f t="shared" si="174"/>
        <v>0</v>
      </c>
      <c r="CC102" s="434">
        <f t="shared" si="174"/>
        <v>0</v>
      </c>
      <c r="CD102" s="465">
        <f t="shared" si="174"/>
        <v>0</v>
      </c>
      <c r="CE102" s="464">
        <f t="shared" si="175"/>
        <v>0</v>
      </c>
      <c r="CF102" s="434">
        <f t="shared" si="175"/>
        <v>0</v>
      </c>
      <c r="CG102" s="434">
        <f t="shared" si="175"/>
        <v>0</v>
      </c>
      <c r="CH102" s="434">
        <f t="shared" si="175"/>
        <v>0</v>
      </c>
      <c r="CI102" s="434">
        <f t="shared" si="175"/>
        <v>0</v>
      </c>
      <c r="CJ102" s="465">
        <f t="shared" si="175"/>
        <v>0</v>
      </c>
      <c r="CK102" s="464">
        <f t="shared" si="176"/>
        <v>0</v>
      </c>
      <c r="CL102" s="434">
        <f t="shared" si="176"/>
        <v>0</v>
      </c>
      <c r="CM102" s="434">
        <f t="shared" si="176"/>
        <v>0</v>
      </c>
      <c r="CN102" s="434">
        <f t="shared" si="176"/>
        <v>0</v>
      </c>
      <c r="CO102" s="465">
        <f t="shared" si="176"/>
        <v>0</v>
      </c>
      <c r="CP102" s="464">
        <f t="shared" si="177"/>
        <v>0</v>
      </c>
      <c r="CQ102" s="434">
        <f t="shared" si="177"/>
        <v>0</v>
      </c>
      <c r="CR102" s="434">
        <f t="shared" si="177"/>
        <v>0</v>
      </c>
      <c r="CS102" s="434">
        <f t="shared" si="177"/>
        <v>0</v>
      </c>
      <c r="CT102" s="434">
        <f t="shared" si="177"/>
        <v>0</v>
      </c>
      <c r="CU102" s="465">
        <f t="shared" si="177"/>
        <v>0</v>
      </c>
      <c r="CV102" s="464">
        <f t="shared" si="178"/>
        <v>0</v>
      </c>
      <c r="CW102" s="434">
        <f t="shared" si="178"/>
        <v>0</v>
      </c>
      <c r="CX102" s="434">
        <f t="shared" si="178"/>
        <v>0</v>
      </c>
      <c r="CY102" s="434">
        <f t="shared" si="178"/>
        <v>0</v>
      </c>
      <c r="CZ102" s="465">
        <f t="shared" si="178"/>
        <v>0</v>
      </c>
      <c r="DA102" s="464">
        <f t="shared" si="179"/>
        <v>0</v>
      </c>
      <c r="DB102" s="434">
        <f t="shared" si="179"/>
        <v>0</v>
      </c>
      <c r="DC102" s="434">
        <f t="shared" si="179"/>
        <v>0</v>
      </c>
      <c r="DD102" s="434">
        <f t="shared" si="179"/>
        <v>0</v>
      </c>
      <c r="DE102" s="434">
        <f t="shared" si="179"/>
        <v>0</v>
      </c>
      <c r="DF102" s="465">
        <f t="shared" si="179"/>
        <v>0</v>
      </c>
      <c r="DG102" s="464">
        <f t="shared" si="180"/>
        <v>0</v>
      </c>
      <c r="DH102" s="434">
        <f t="shared" si="180"/>
        <v>0</v>
      </c>
      <c r="DI102" s="434">
        <f t="shared" si="180"/>
        <v>0</v>
      </c>
      <c r="DJ102" s="434">
        <f t="shared" si="180"/>
        <v>0</v>
      </c>
      <c r="DK102" s="465">
        <f t="shared" si="180"/>
        <v>0</v>
      </c>
      <c r="DL102" s="48"/>
      <c r="DM102" s="240"/>
      <c r="DN102" s="240"/>
      <c r="DO102" s="240"/>
    </row>
    <row r="103" spans="1:119" s="4" customFormat="1">
      <c r="A103" s="23"/>
      <c r="B103" s="23"/>
      <c r="C103" s="23"/>
      <c r="D103" s="23"/>
      <c r="E103" s="445">
        <f t="shared" si="112"/>
        <v>0</v>
      </c>
      <c r="F103" s="1506">
        <f t="shared" si="181"/>
        <v>0</v>
      </c>
      <c r="G103" s="434">
        <f t="shared" si="181"/>
        <v>0</v>
      </c>
      <c r="H103" s="434">
        <f t="shared" si="181"/>
        <v>0</v>
      </c>
      <c r="I103" s="434">
        <f t="shared" si="181"/>
        <v>0</v>
      </c>
      <c r="J103" s="434">
        <f t="shared" si="181"/>
        <v>0</v>
      </c>
      <c r="K103" s="465">
        <f t="shared" si="163"/>
        <v>0</v>
      </c>
      <c r="L103" s="464">
        <f t="shared" si="163"/>
        <v>0</v>
      </c>
      <c r="M103" s="434">
        <f t="shared" si="163"/>
        <v>0</v>
      </c>
      <c r="N103" s="434">
        <f t="shared" si="163"/>
        <v>0</v>
      </c>
      <c r="O103" s="434">
        <f t="shared" si="163"/>
        <v>0</v>
      </c>
      <c r="P103" s="465">
        <f t="shared" si="163"/>
        <v>0</v>
      </c>
      <c r="Q103" s="464">
        <f t="shared" si="164"/>
        <v>0</v>
      </c>
      <c r="R103" s="434">
        <f t="shared" si="164"/>
        <v>0</v>
      </c>
      <c r="S103" s="434">
        <f t="shared" si="164"/>
        <v>0</v>
      </c>
      <c r="T103" s="434">
        <f t="shared" si="164"/>
        <v>0</v>
      </c>
      <c r="U103" s="434">
        <f t="shared" si="164"/>
        <v>0</v>
      </c>
      <c r="V103" s="465">
        <f t="shared" si="164"/>
        <v>0</v>
      </c>
      <c r="W103" s="464">
        <f t="shared" si="165"/>
        <v>0</v>
      </c>
      <c r="X103" s="434">
        <f t="shared" si="165"/>
        <v>0</v>
      </c>
      <c r="Y103" s="434">
        <f t="shared" si="165"/>
        <v>0</v>
      </c>
      <c r="Z103" s="434">
        <f t="shared" si="165"/>
        <v>0</v>
      </c>
      <c r="AA103" s="465">
        <f t="shared" si="165"/>
        <v>0</v>
      </c>
      <c r="AB103" s="464">
        <f t="shared" si="166"/>
        <v>0</v>
      </c>
      <c r="AC103" s="434">
        <f t="shared" si="166"/>
        <v>0</v>
      </c>
      <c r="AD103" s="434">
        <f t="shared" si="166"/>
        <v>0</v>
      </c>
      <c r="AE103" s="434">
        <f t="shared" si="166"/>
        <v>0</v>
      </c>
      <c r="AF103" s="434">
        <f t="shared" si="166"/>
        <v>0</v>
      </c>
      <c r="AG103" s="465">
        <f t="shared" si="166"/>
        <v>0</v>
      </c>
      <c r="AH103" s="464">
        <f t="shared" si="167"/>
        <v>0</v>
      </c>
      <c r="AI103" s="434">
        <f t="shared" si="167"/>
        <v>0</v>
      </c>
      <c r="AJ103" s="434">
        <f t="shared" si="167"/>
        <v>0</v>
      </c>
      <c r="AK103" s="434">
        <f t="shared" si="167"/>
        <v>0</v>
      </c>
      <c r="AL103" s="465">
        <f t="shared" si="167"/>
        <v>0</v>
      </c>
      <c r="AM103" s="464">
        <f t="shared" si="168"/>
        <v>0</v>
      </c>
      <c r="AN103" s="434">
        <f t="shared" si="168"/>
        <v>0</v>
      </c>
      <c r="AO103" s="434">
        <f t="shared" si="168"/>
        <v>0</v>
      </c>
      <c r="AP103" s="434">
        <f t="shared" si="168"/>
        <v>0</v>
      </c>
      <c r="AQ103" s="434">
        <f t="shared" si="168"/>
        <v>0</v>
      </c>
      <c r="AR103" s="465">
        <f t="shared" si="168"/>
        <v>0</v>
      </c>
      <c r="AS103" s="464">
        <f t="shared" si="169"/>
        <v>0</v>
      </c>
      <c r="AT103" s="434">
        <f t="shared" si="169"/>
        <v>0</v>
      </c>
      <c r="AU103" s="434">
        <f t="shared" si="169"/>
        <v>0</v>
      </c>
      <c r="AV103" s="434">
        <f t="shared" si="169"/>
        <v>0</v>
      </c>
      <c r="AW103" s="465">
        <f t="shared" si="169"/>
        <v>0</v>
      </c>
      <c r="AX103" s="464">
        <f t="shared" si="170"/>
        <v>0</v>
      </c>
      <c r="AY103" s="434">
        <f t="shared" si="170"/>
        <v>0</v>
      </c>
      <c r="AZ103" s="434">
        <f t="shared" si="170"/>
        <v>0</v>
      </c>
      <c r="BA103" s="434">
        <f t="shared" si="170"/>
        <v>0</v>
      </c>
      <c r="BB103" s="434">
        <f t="shared" si="170"/>
        <v>0</v>
      </c>
      <c r="BC103" s="465">
        <f t="shared" si="170"/>
        <v>0</v>
      </c>
      <c r="BD103" s="464">
        <f t="shared" si="171"/>
        <v>0</v>
      </c>
      <c r="BE103" s="434">
        <f t="shared" si="171"/>
        <v>0</v>
      </c>
      <c r="BF103" s="434">
        <f t="shared" si="171"/>
        <v>0</v>
      </c>
      <c r="BG103" s="434">
        <f t="shared" si="171"/>
        <v>0</v>
      </c>
      <c r="BH103" s="465">
        <f t="shared" si="171"/>
        <v>0</v>
      </c>
      <c r="BI103" s="464">
        <f t="shared" si="172"/>
        <v>0</v>
      </c>
      <c r="BJ103" s="434">
        <f t="shared" si="172"/>
        <v>0</v>
      </c>
      <c r="BK103" s="434">
        <f t="shared" si="172"/>
        <v>0</v>
      </c>
      <c r="BL103" s="434">
        <f t="shared" si="172"/>
        <v>0</v>
      </c>
      <c r="BM103" s="434">
        <f t="shared" si="172"/>
        <v>0</v>
      </c>
      <c r="BN103" s="465">
        <f t="shared" si="172"/>
        <v>0</v>
      </c>
      <c r="BO103" s="464">
        <f t="shared" ref="BO103:BS106" si="182">BO70*BO36/100</f>
        <v>0</v>
      </c>
      <c r="BP103" s="434">
        <f t="shared" si="182"/>
        <v>0</v>
      </c>
      <c r="BQ103" s="434">
        <f t="shared" si="182"/>
        <v>0</v>
      </c>
      <c r="BR103" s="434">
        <f t="shared" si="182"/>
        <v>0</v>
      </c>
      <c r="BS103" s="465">
        <f t="shared" si="182"/>
        <v>0</v>
      </c>
      <c r="BT103" s="464">
        <f t="shared" si="173"/>
        <v>0</v>
      </c>
      <c r="BU103" s="434">
        <f t="shared" si="173"/>
        <v>0</v>
      </c>
      <c r="BV103" s="434">
        <f t="shared" si="173"/>
        <v>0</v>
      </c>
      <c r="BW103" s="434">
        <f t="shared" si="173"/>
        <v>0</v>
      </c>
      <c r="BX103" s="434">
        <f t="shared" si="173"/>
        <v>0</v>
      </c>
      <c r="BY103" s="465">
        <f t="shared" si="173"/>
        <v>0</v>
      </c>
      <c r="BZ103" s="464">
        <f t="shared" si="174"/>
        <v>0</v>
      </c>
      <c r="CA103" s="434">
        <f t="shared" si="174"/>
        <v>0</v>
      </c>
      <c r="CB103" s="434">
        <f t="shared" si="174"/>
        <v>0</v>
      </c>
      <c r="CC103" s="434">
        <f t="shared" si="174"/>
        <v>0</v>
      </c>
      <c r="CD103" s="465">
        <f t="shared" si="174"/>
        <v>0</v>
      </c>
      <c r="CE103" s="464">
        <f t="shared" si="175"/>
        <v>0</v>
      </c>
      <c r="CF103" s="434">
        <f t="shared" si="175"/>
        <v>0</v>
      </c>
      <c r="CG103" s="434">
        <f t="shared" si="175"/>
        <v>0</v>
      </c>
      <c r="CH103" s="434">
        <f t="shared" si="175"/>
        <v>0</v>
      </c>
      <c r="CI103" s="434">
        <f t="shared" si="175"/>
        <v>0</v>
      </c>
      <c r="CJ103" s="465">
        <f t="shared" si="175"/>
        <v>0</v>
      </c>
      <c r="CK103" s="464">
        <f t="shared" si="176"/>
        <v>0</v>
      </c>
      <c r="CL103" s="434">
        <f t="shared" si="176"/>
        <v>0</v>
      </c>
      <c r="CM103" s="434">
        <f t="shared" si="176"/>
        <v>0</v>
      </c>
      <c r="CN103" s="434">
        <f t="shared" si="176"/>
        <v>0</v>
      </c>
      <c r="CO103" s="465">
        <f t="shared" si="176"/>
        <v>0</v>
      </c>
      <c r="CP103" s="464">
        <f t="shared" si="177"/>
        <v>0</v>
      </c>
      <c r="CQ103" s="434">
        <f t="shared" si="177"/>
        <v>0</v>
      </c>
      <c r="CR103" s="434">
        <f t="shared" si="177"/>
        <v>0</v>
      </c>
      <c r="CS103" s="434">
        <f t="shared" si="177"/>
        <v>0</v>
      </c>
      <c r="CT103" s="434">
        <f t="shared" si="177"/>
        <v>0</v>
      </c>
      <c r="CU103" s="465">
        <f t="shared" si="177"/>
        <v>0</v>
      </c>
      <c r="CV103" s="464">
        <f t="shared" si="178"/>
        <v>0</v>
      </c>
      <c r="CW103" s="434">
        <f t="shared" si="178"/>
        <v>0</v>
      </c>
      <c r="CX103" s="434">
        <f t="shared" si="178"/>
        <v>0</v>
      </c>
      <c r="CY103" s="434">
        <f t="shared" si="178"/>
        <v>0</v>
      </c>
      <c r="CZ103" s="465">
        <f t="shared" si="178"/>
        <v>0</v>
      </c>
      <c r="DA103" s="464">
        <f t="shared" si="179"/>
        <v>0</v>
      </c>
      <c r="DB103" s="434">
        <f t="shared" si="179"/>
        <v>0</v>
      </c>
      <c r="DC103" s="434">
        <f t="shared" si="179"/>
        <v>0</v>
      </c>
      <c r="DD103" s="434">
        <f t="shared" si="179"/>
        <v>0</v>
      </c>
      <c r="DE103" s="434">
        <f t="shared" si="179"/>
        <v>0</v>
      </c>
      <c r="DF103" s="465">
        <f t="shared" si="179"/>
        <v>0</v>
      </c>
      <c r="DG103" s="464">
        <f t="shared" si="180"/>
        <v>0</v>
      </c>
      <c r="DH103" s="434">
        <f t="shared" si="180"/>
        <v>0</v>
      </c>
      <c r="DI103" s="434">
        <f t="shared" si="180"/>
        <v>0</v>
      </c>
      <c r="DJ103" s="434">
        <f t="shared" si="180"/>
        <v>0</v>
      </c>
      <c r="DK103" s="465">
        <f t="shared" si="180"/>
        <v>0</v>
      </c>
      <c r="DL103" s="48"/>
      <c r="DM103" s="240"/>
      <c r="DN103" s="240"/>
      <c r="DO103" s="240"/>
    </row>
    <row r="104" spans="1:119" s="4" customFormat="1">
      <c r="A104" s="23"/>
      <c r="B104" s="23"/>
      <c r="C104" s="23"/>
      <c r="D104" s="23"/>
      <c r="E104" s="445">
        <f t="shared" si="112"/>
        <v>0</v>
      </c>
      <c r="F104" s="1506">
        <f t="shared" si="181"/>
        <v>0</v>
      </c>
      <c r="G104" s="434">
        <f t="shared" si="181"/>
        <v>0</v>
      </c>
      <c r="H104" s="434">
        <f t="shared" si="181"/>
        <v>0</v>
      </c>
      <c r="I104" s="434">
        <f t="shared" si="181"/>
        <v>0</v>
      </c>
      <c r="J104" s="434">
        <f t="shared" si="181"/>
        <v>0</v>
      </c>
      <c r="K104" s="465">
        <f t="shared" si="163"/>
        <v>0</v>
      </c>
      <c r="L104" s="464">
        <f t="shared" si="163"/>
        <v>0</v>
      </c>
      <c r="M104" s="434">
        <f t="shared" si="163"/>
        <v>0</v>
      </c>
      <c r="N104" s="434">
        <f t="shared" si="163"/>
        <v>0</v>
      </c>
      <c r="O104" s="434">
        <f t="shared" si="163"/>
        <v>0</v>
      </c>
      <c r="P104" s="465">
        <f t="shared" si="163"/>
        <v>0</v>
      </c>
      <c r="Q104" s="464">
        <f t="shared" si="164"/>
        <v>0</v>
      </c>
      <c r="R104" s="434">
        <f t="shared" si="164"/>
        <v>0</v>
      </c>
      <c r="S104" s="434">
        <f t="shared" si="164"/>
        <v>0</v>
      </c>
      <c r="T104" s="434">
        <f t="shared" si="164"/>
        <v>0</v>
      </c>
      <c r="U104" s="434">
        <f t="shared" si="164"/>
        <v>0</v>
      </c>
      <c r="V104" s="465">
        <f t="shared" si="164"/>
        <v>0</v>
      </c>
      <c r="W104" s="464">
        <f t="shared" si="165"/>
        <v>0</v>
      </c>
      <c r="X104" s="434">
        <f t="shared" si="165"/>
        <v>0</v>
      </c>
      <c r="Y104" s="434">
        <f t="shared" si="165"/>
        <v>0</v>
      </c>
      <c r="Z104" s="434">
        <f t="shared" si="165"/>
        <v>0</v>
      </c>
      <c r="AA104" s="465">
        <f t="shared" si="165"/>
        <v>0</v>
      </c>
      <c r="AB104" s="464">
        <f t="shared" si="166"/>
        <v>0</v>
      </c>
      <c r="AC104" s="434">
        <f t="shared" si="166"/>
        <v>0</v>
      </c>
      <c r="AD104" s="434">
        <f t="shared" si="166"/>
        <v>0</v>
      </c>
      <c r="AE104" s="434">
        <f t="shared" si="166"/>
        <v>0</v>
      </c>
      <c r="AF104" s="434">
        <f t="shared" si="166"/>
        <v>0</v>
      </c>
      <c r="AG104" s="465">
        <f t="shared" si="166"/>
        <v>0</v>
      </c>
      <c r="AH104" s="464">
        <f t="shared" si="167"/>
        <v>0</v>
      </c>
      <c r="AI104" s="434">
        <f t="shared" si="167"/>
        <v>0</v>
      </c>
      <c r="AJ104" s="434">
        <f t="shared" si="167"/>
        <v>0</v>
      </c>
      <c r="AK104" s="434">
        <f t="shared" si="167"/>
        <v>0</v>
      </c>
      <c r="AL104" s="465">
        <f t="shared" si="167"/>
        <v>0</v>
      </c>
      <c r="AM104" s="464">
        <f t="shared" si="168"/>
        <v>0</v>
      </c>
      <c r="AN104" s="434">
        <f t="shared" si="168"/>
        <v>0</v>
      </c>
      <c r="AO104" s="434">
        <f t="shared" si="168"/>
        <v>0</v>
      </c>
      <c r="AP104" s="434">
        <f t="shared" si="168"/>
        <v>0</v>
      </c>
      <c r="AQ104" s="434">
        <f t="shared" si="168"/>
        <v>0</v>
      </c>
      <c r="AR104" s="465">
        <f t="shared" si="168"/>
        <v>0</v>
      </c>
      <c r="AS104" s="464">
        <f t="shared" si="169"/>
        <v>0</v>
      </c>
      <c r="AT104" s="434">
        <f t="shared" si="169"/>
        <v>0</v>
      </c>
      <c r="AU104" s="434">
        <f t="shared" si="169"/>
        <v>0</v>
      </c>
      <c r="AV104" s="434">
        <f t="shared" si="169"/>
        <v>0</v>
      </c>
      <c r="AW104" s="465">
        <f t="shared" si="169"/>
        <v>0</v>
      </c>
      <c r="AX104" s="464">
        <f t="shared" si="170"/>
        <v>0</v>
      </c>
      <c r="AY104" s="434">
        <f t="shared" si="170"/>
        <v>0</v>
      </c>
      <c r="AZ104" s="434">
        <f t="shared" si="170"/>
        <v>0</v>
      </c>
      <c r="BA104" s="434">
        <f t="shared" si="170"/>
        <v>0</v>
      </c>
      <c r="BB104" s="434">
        <f t="shared" si="170"/>
        <v>0</v>
      </c>
      <c r="BC104" s="465">
        <f t="shared" si="170"/>
        <v>0</v>
      </c>
      <c r="BD104" s="464">
        <f t="shared" si="171"/>
        <v>0</v>
      </c>
      <c r="BE104" s="434">
        <f t="shared" si="171"/>
        <v>0</v>
      </c>
      <c r="BF104" s="434">
        <f t="shared" si="171"/>
        <v>0</v>
      </c>
      <c r="BG104" s="434">
        <f t="shared" si="171"/>
        <v>0</v>
      </c>
      <c r="BH104" s="465">
        <f t="shared" si="171"/>
        <v>0</v>
      </c>
      <c r="BI104" s="464">
        <f t="shared" si="172"/>
        <v>0</v>
      </c>
      <c r="BJ104" s="434">
        <f t="shared" si="172"/>
        <v>0</v>
      </c>
      <c r="BK104" s="434">
        <f t="shared" si="172"/>
        <v>0</v>
      </c>
      <c r="BL104" s="434">
        <f t="shared" si="172"/>
        <v>0</v>
      </c>
      <c r="BM104" s="434">
        <f t="shared" si="172"/>
        <v>0</v>
      </c>
      <c r="BN104" s="465">
        <f t="shared" si="172"/>
        <v>0</v>
      </c>
      <c r="BO104" s="464">
        <f t="shared" si="182"/>
        <v>0</v>
      </c>
      <c r="BP104" s="434">
        <f t="shared" si="182"/>
        <v>0</v>
      </c>
      <c r="BQ104" s="434">
        <f t="shared" si="182"/>
        <v>0</v>
      </c>
      <c r="BR104" s="434">
        <f t="shared" si="182"/>
        <v>0</v>
      </c>
      <c r="BS104" s="465">
        <f t="shared" si="182"/>
        <v>0</v>
      </c>
      <c r="BT104" s="464">
        <f t="shared" si="173"/>
        <v>0</v>
      </c>
      <c r="BU104" s="434">
        <f t="shared" si="173"/>
        <v>0</v>
      </c>
      <c r="BV104" s="434">
        <f t="shared" si="173"/>
        <v>0</v>
      </c>
      <c r="BW104" s="434">
        <f t="shared" si="173"/>
        <v>0</v>
      </c>
      <c r="BX104" s="434">
        <f t="shared" si="173"/>
        <v>0</v>
      </c>
      <c r="BY104" s="465">
        <f t="shared" si="173"/>
        <v>0</v>
      </c>
      <c r="BZ104" s="464">
        <f t="shared" si="174"/>
        <v>0</v>
      </c>
      <c r="CA104" s="434">
        <f t="shared" si="174"/>
        <v>0</v>
      </c>
      <c r="CB104" s="434">
        <f t="shared" si="174"/>
        <v>0</v>
      </c>
      <c r="CC104" s="434">
        <f t="shared" si="174"/>
        <v>0</v>
      </c>
      <c r="CD104" s="465">
        <f t="shared" si="174"/>
        <v>0</v>
      </c>
      <c r="CE104" s="464">
        <f t="shared" si="175"/>
        <v>0</v>
      </c>
      <c r="CF104" s="434">
        <f t="shared" si="175"/>
        <v>0</v>
      </c>
      <c r="CG104" s="434">
        <f t="shared" si="175"/>
        <v>0</v>
      </c>
      <c r="CH104" s="434">
        <f t="shared" si="175"/>
        <v>0</v>
      </c>
      <c r="CI104" s="434">
        <f t="shared" si="175"/>
        <v>0</v>
      </c>
      <c r="CJ104" s="465">
        <f t="shared" si="175"/>
        <v>0</v>
      </c>
      <c r="CK104" s="464">
        <f t="shared" si="176"/>
        <v>0</v>
      </c>
      <c r="CL104" s="434">
        <f t="shared" si="176"/>
        <v>0</v>
      </c>
      <c r="CM104" s="434">
        <f t="shared" si="176"/>
        <v>0</v>
      </c>
      <c r="CN104" s="434">
        <f t="shared" si="176"/>
        <v>0</v>
      </c>
      <c r="CO104" s="465">
        <f t="shared" si="176"/>
        <v>0</v>
      </c>
      <c r="CP104" s="464">
        <f t="shared" si="177"/>
        <v>0</v>
      </c>
      <c r="CQ104" s="434">
        <f t="shared" si="177"/>
        <v>0</v>
      </c>
      <c r="CR104" s="434">
        <f t="shared" si="177"/>
        <v>0</v>
      </c>
      <c r="CS104" s="434">
        <f t="shared" si="177"/>
        <v>0</v>
      </c>
      <c r="CT104" s="434">
        <f t="shared" si="177"/>
        <v>0</v>
      </c>
      <c r="CU104" s="465">
        <f t="shared" si="177"/>
        <v>0</v>
      </c>
      <c r="CV104" s="464">
        <f t="shared" si="178"/>
        <v>0</v>
      </c>
      <c r="CW104" s="434">
        <f t="shared" si="178"/>
        <v>0</v>
      </c>
      <c r="CX104" s="434">
        <f t="shared" si="178"/>
        <v>0</v>
      </c>
      <c r="CY104" s="434">
        <f t="shared" si="178"/>
        <v>0</v>
      </c>
      <c r="CZ104" s="465">
        <f t="shared" si="178"/>
        <v>0</v>
      </c>
      <c r="DA104" s="464">
        <f t="shared" si="179"/>
        <v>0</v>
      </c>
      <c r="DB104" s="434">
        <f t="shared" si="179"/>
        <v>0</v>
      </c>
      <c r="DC104" s="434">
        <f t="shared" si="179"/>
        <v>0</v>
      </c>
      <c r="DD104" s="434">
        <f t="shared" si="179"/>
        <v>0</v>
      </c>
      <c r="DE104" s="434">
        <f t="shared" si="179"/>
        <v>0</v>
      </c>
      <c r="DF104" s="465">
        <f t="shared" si="179"/>
        <v>0</v>
      </c>
      <c r="DG104" s="464">
        <f t="shared" si="180"/>
        <v>0</v>
      </c>
      <c r="DH104" s="434">
        <f t="shared" si="180"/>
        <v>0</v>
      </c>
      <c r="DI104" s="434">
        <f t="shared" si="180"/>
        <v>0</v>
      </c>
      <c r="DJ104" s="434">
        <f t="shared" si="180"/>
        <v>0</v>
      </c>
      <c r="DK104" s="465">
        <f t="shared" si="180"/>
        <v>0</v>
      </c>
      <c r="DL104" s="48"/>
      <c r="DM104" s="240"/>
      <c r="DN104" s="240"/>
      <c r="DO104" s="240"/>
    </row>
    <row r="105" spans="1:119" s="4" customFormat="1">
      <c r="A105" s="23"/>
      <c r="B105" s="23"/>
      <c r="C105" s="23"/>
      <c r="D105" s="23"/>
      <c r="E105" s="445">
        <f t="shared" si="112"/>
        <v>0</v>
      </c>
      <c r="F105" s="1506">
        <f t="shared" si="181"/>
        <v>0</v>
      </c>
      <c r="G105" s="434">
        <f t="shared" si="181"/>
        <v>0</v>
      </c>
      <c r="H105" s="434">
        <f t="shared" si="181"/>
        <v>0</v>
      </c>
      <c r="I105" s="434">
        <f t="shared" si="181"/>
        <v>0</v>
      </c>
      <c r="J105" s="434">
        <f t="shared" si="181"/>
        <v>0</v>
      </c>
      <c r="K105" s="465">
        <f t="shared" si="163"/>
        <v>0</v>
      </c>
      <c r="L105" s="464">
        <f t="shared" si="163"/>
        <v>0</v>
      </c>
      <c r="M105" s="434">
        <f t="shared" si="163"/>
        <v>0</v>
      </c>
      <c r="N105" s="434">
        <f t="shared" si="163"/>
        <v>0</v>
      </c>
      <c r="O105" s="434">
        <f t="shared" si="163"/>
        <v>0</v>
      </c>
      <c r="P105" s="465">
        <f t="shared" si="163"/>
        <v>0</v>
      </c>
      <c r="Q105" s="464">
        <f t="shared" si="164"/>
        <v>0</v>
      </c>
      <c r="R105" s="434">
        <f t="shared" si="164"/>
        <v>0</v>
      </c>
      <c r="S105" s="434">
        <f t="shared" si="164"/>
        <v>0</v>
      </c>
      <c r="T105" s="434">
        <f t="shared" si="164"/>
        <v>0</v>
      </c>
      <c r="U105" s="434">
        <f t="shared" si="164"/>
        <v>0</v>
      </c>
      <c r="V105" s="465">
        <f t="shared" si="164"/>
        <v>0</v>
      </c>
      <c r="W105" s="464">
        <f t="shared" si="165"/>
        <v>0</v>
      </c>
      <c r="X105" s="434">
        <f t="shared" si="165"/>
        <v>0</v>
      </c>
      <c r="Y105" s="434">
        <f t="shared" si="165"/>
        <v>0</v>
      </c>
      <c r="Z105" s="434">
        <f t="shared" si="165"/>
        <v>0</v>
      </c>
      <c r="AA105" s="465">
        <f t="shared" si="165"/>
        <v>0</v>
      </c>
      <c r="AB105" s="464">
        <f t="shared" si="166"/>
        <v>0</v>
      </c>
      <c r="AC105" s="434">
        <f t="shared" si="166"/>
        <v>0</v>
      </c>
      <c r="AD105" s="434">
        <f t="shared" si="166"/>
        <v>0</v>
      </c>
      <c r="AE105" s="434">
        <f t="shared" si="166"/>
        <v>0</v>
      </c>
      <c r="AF105" s="434">
        <f t="shared" si="166"/>
        <v>0</v>
      </c>
      <c r="AG105" s="465">
        <f t="shared" si="166"/>
        <v>0</v>
      </c>
      <c r="AH105" s="464">
        <f t="shared" si="167"/>
        <v>0</v>
      </c>
      <c r="AI105" s="434">
        <f t="shared" si="167"/>
        <v>0</v>
      </c>
      <c r="AJ105" s="434">
        <f t="shared" si="167"/>
        <v>0</v>
      </c>
      <c r="AK105" s="434">
        <f t="shared" si="167"/>
        <v>0</v>
      </c>
      <c r="AL105" s="465">
        <f t="shared" si="167"/>
        <v>0</v>
      </c>
      <c r="AM105" s="464">
        <f t="shared" si="168"/>
        <v>0</v>
      </c>
      <c r="AN105" s="434">
        <f t="shared" si="168"/>
        <v>0</v>
      </c>
      <c r="AO105" s="434">
        <f t="shared" si="168"/>
        <v>0</v>
      </c>
      <c r="AP105" s="434">
        <f t="shared" si="168"/>
        <v>0</v>
      </c>
      <c r="AQ105" s="434">
        <f t="shared" si="168"/>
        <v>0</v>
      </c>
      <c r="AR105" s="465">
        <f t="shared" si="168"/>
        <v>0</v>
      </c>
      <c r="AS105" s="464">
        <f t="shared" si="169"/>
        <v>0</v>
      </c>
      <c r="AT105" s="434">
        <f t="shared" si="169"/>
        <v>0</v>
      </c>
      <c r="AU105" s="434">
        <f t="shared" si="169"/>
        <v>0</v>
      </c>
      <c r="AV105" s="434">
        <f t="shared" si="169"/>
        <v>0</v>
      </c>
      <c r="AW105" s="465">
        <f t="shared" si="169"/>
        <v>0</v>
      </c>
      <c r="AX105" s="464">
        <f t="shared" si="170"/>
        <v>0</v>
      </c>
      <c r="AY105" s="434">
        <f t="shared" si="170"/>
        <v>0</v>
      </c>
      <c r="AZ105" s="434">
        <f t="shared" si="170"/>
        <v>0</v>
      </c>
      <c r="BA105" s="434">
        <f t="shared" si="170"/>
        <v>0</v>
      </c>
      <c r="BB105" s="434">
        <f t="shared" si="170"/>
        <v>0</v>
      </c>
      <c r="BC105" s="465">
        <f t="shared" si="170"/>
        <v>0</v>
      </c>
      <c r="BD105" s="464">
        <f t="shared" si="171"/>
        <v>0</v>
      </c>
      <c r="BE105" s="434">
        <f t="shared" si="171"/>
        <v>0</v>
      </c>
      <c r="BF105" s="434">
        <f t="shared" si="171"/>
        <v>0</v>
      </c>
      <c r="BG105" s="434">
        <f t="shared" si="171"/>
        <v>0</v>
      </c>
      <c r="BH105" s="465">
        <f t="shared" si="171"/>
        <v>0</v>
      </c>
      <c r="BI105" s="464">
        <f t="shared" si="172"/>
        <v>0</v>
      </c>
      <c r="BJ105" s="434">
        <f t="shared" si="172"/>
        <v>0</v>
      </c>
      <c r="BK105" s="434">
        <f t="shared" si="172"/>
        <v>0</v>
      </c>
      <c r="BL105" s="434">
        <f t="shared" si="172"/>
        <v>0</v>
      </c>
      <c r="BM105" s="434">
        <f t="shared" si="172"/>
        <v>0</v>
      </c>
      <c r="BN105" s="465">
        <f t="shared" si="172"/>
        <v>0</v>
      </c>
      <c r="BO105" s="464">
        <f t="shared" si="182"/>
        <v>0</v>
      </c>
      <c r="BP105" s="434">
        <f t="shared" si="182"/>
        <v>0</v>
      </c>
      <c r="BQ105" s="434">
        <f t="shared" si="182"/>
        <v>0</v>
      </c>
      <c r="BR105" s="434">
        <f t="shared" si="182"/>
        <v>0</v>
      </c>
      <c r="BS105" s="465">
        <f t="shared" si="182"/>
        <v>0</v>
      </c>
      <c r="BT105" s="464">
        <f t="shared" si="173"/>
        <v>0</v>
      </c>
      <c r="BU105" s="434">
        <f t="shared" si="173"/>
        <v>0</v>
      </c>
      <c r="BV105" s="434">
        <f t="shared" si="173"/>
        <v>0</v>
      </c>
      <c r="BW105" s="434">
        <f t="shared" si="173"/>
        <v>0</v>
      </c>
      <c r="BX105" s="434">
        <f t="shared" si="173"/>
        <v>0</v>
      </c>
      <c r="BY105" s="465">
        <f t="shared" si="173"/>
        <v>0</v>
      </c>
      <c r="BZ105" s="464">
        <f t="shared" si="174"/>
        <v>0</v>
      </c>
      <c r="CA105" s="434">
        <f t="shared" si="174"/>
        <v>0</v>
      </c>
      <c r="CB105" s="434">
        <f t="shared" si="174"/>
        <v>0</v>
      </c>
      <c r="CC105" s="434">
        <f t="shared" si="174"/>
        <v>0</v>
      </c>
      <c r="CD105" s="465">
        <f t="shared" si="174"/>
        <v>0</v>
      </c>
      <c r="CE105" s="464">
        <f t="shared" si="175"/>
        <v>0</v>
      </c>
      <c r="CF105" s="434">
        <f t="shared" si="175"/>
        <v>0</v>
      </c>
      <c r="CG105" s="434">
        <f t="shared" si="175"/>
        <v>0</v>
      </c>
      <c r="CH105" s="434">
        <f t="shared" si="175"/>
        <v>0</v>
      </c>
      <c r="CI105" s="434">
        <f t="shared" si="175"/>
        <v>0</v>
      </c>
      <c r="CJ105" s="465">
        <f t="shared" si="175"/>
        <v>0</v>
      </c>
      <c r="CK105" s="464">
        <f t="shared" si="176"/>
        <v>0</v>
      </c>
      <c r="CL105" s="434">
        <f t="shared" si="176"/>
        <v>0</v>
      </c>
      <c r="CM105" s="434">
        <f t="shared" si="176"/>
        <v>0</v>
      </c>
      <c r="CN105" s="434">
        <f t="shared" si="176"/>
        <v>0</v>
      </c>
      <c r="CO105" s="465">
        <f t="shared" si="176"/>
        <v>0</v>
      </c>
      <c r="CP105" s="464">
        <f t="shared" si="177"/>
        <v>0</v>
      </c>
      <c r="CQ105" s="434">
        <f t="shared" si="177"/>
        <v>0</v>
      </c>
      <c r="CR105" s="434">
        <f t="shared" si="177"/>
        <v>0</v>
      </c>
      <c r="CS105" s="434">
        <f t="shared" si="177"/>
        <v>0</v>
      </c>
      <c r="CT105" s="434">
        <f t="shared" si="177"/>
        <v>0</v>
      </c>
      <c r="CU105" s="465">
        <f t="shared" si="177"/>
        <v>0</v>
      </c>
      <c r="CV105" s="464">
        <f t="shared" si="178"/>
        <v>0</v>
      </c>
      <c r="CW105" s="434">
        <f t="shared" si="178"/>
        <v>0</v>
      </c>
      <c r="CX105" s="434">
        <f t="shared" si="178"/>
        <v>0</v>
      </c>
      <c r="CY105" s="434">
        <f t="shared" si="178"/>
        <v>0</v>
      </c>
      <c r="CZ105" s="465">
        <f t="shared" si="178"/>
        <v>0</v>
      </c>
      <c r="DA105" s="464">
        <f t="shared" si="179"/>
        <v>0</v>
      </c>
      <c r="DB105" s="434">
        <f t="shared" si="179"/>
        <v>0</v>
      </c>
      <c r="DC105" s="434">
        <f t="shared" si="179"/>
        <v>0</v>
      </c>
      <c r="DD105" s="434">
        <f t="shared" si="179"/>
        <v>0</v>
      </c>
      <c r="DE105" s="434">
        <f t="shared" si="179"/>
        <v>0</v>
      </c>
      <c r="DF105" s="465">
        <f t="shared" si="179"/>
        <v>0</v>
      </c>
      <c r="DG105" s="464">
        <f t="shared" si="180"/>
        <v>0</v>
      </c>
      <c r="DH105" s="434">
        <f t="shared" si="180"/>
        <v>0</v>
      </c>
      <c r="DI105" s="434">
        <f t="shared" si="180"/>
        <v>0</v>
      </c>
      <c r="DJ105" s="434">
        <f t="shared" si="180"/>
        <v>0</v>
      </c>
      <c r="DK105" s="465">
        <f t="shared" si="180"/>
        <v>0</v>
      </c>
      <c r="DL105" s="48"/>
      <c r="DM105" s="240"/>
      <c r="DN105" s="240"/>
      <c r="DO105" s="240"/>
    </row>
    <row r="106" spans="1:119" s="4" customFormat="1">
      <c r="A106" s="23"/>
      <c r="B106" s="23"/>
      <c r="C106" s="23"/>
      <c r="D106" s="23"/>
      <c r="E106" s="445">
        <f t="shared" si="112"/>
        <v>0</v>
      </c>
      <c r="F106" s="1506">
        <f t="shared" si="181"/>
        <v>0</v>
      </c>
      <c r="G106" s="434">
        <f t="shared" si="181"/>
        <v>0</v>
      </c>
      <c r="H106" s="434">
        <f t="shared" si="181"/>
        <v>0</v>
      </c>
      <c r="I106" s="434">
        <f t="shared" si="181"/>
        <v>0</v>
      </c>
      <c r="J106" s="434">
        <f t="shared" si="181"/>
        <v>0</v>
      </c>
      <c r="K106" s="465">
        <f t="shared" si="163"/>
        <v>0</v>
      </c>
      <c r="L106" s="464">
        <f t="shared" si="163"/>
        <v>0</v>
      </c>
      <c r="M106" s="434">
        <f t="shared" si="163"/>
        <v>0</v>
      </c>
      <c r="N106" s="434">
        <f t="shared" si="163"/>
        <v>0</v>
      </c>
      <c r="O106" s="434">
        <f t="shared" si="163"/>
        <v>0</v>
      </c>
      <c r="P106" s="465">
        <f t="shared" si="163"/>
        <v>0</v>
      </c>
      <c r="Q106" s="464">
        <f t="shared" si="164"/>
        <v>0</v>
      </c>
      <c r="R106" s="434">
        <f t="shared" si="164"/>
        <v>0</v>
      </c>
      <c r="S106" s="434">
        <f t="shared" si="164"/>
        <v>0</v>
      </c>
      <c r="T106" s="434">
        <f t="shared" si="164"/>
        <v>0</v>
      </c>
      <c r="U106" s="434">
        <f t="shared" si="164"/>
        <v>0</v>
      </c>
      <c r="V106" s="465">
        <f t="shared" si="164"/>
        <v>0</v>
      </c>
      <c r="W106" s="464">
        <f t="shared" si="165"/>
        <v>0</v>
      </c>
      <c r="X106" s="434">
        <f t="shared" si="165"/>
        <v>0</v>
      </c>
      <c r="Y106" s="434">
        <f t="shared" si="165"/>
        <v>0</v>
      </c>
      <c r="Z106" s="434">
        <f t="shared" si="165"/>
        <v>0</v>
      </c>
      <c r="AA106" s="465">
        <f t="shared" si="165"/>
        <v>0</v>
      </c>
      <c r="AB106" s="464">
        <f t="shared" si="166"/>
        <v>0</v>
      </c>
      <c r="AC106" s="434">
        <f t="shared" si="166"/>
        <v>0</v>
      </c>
      <c r="AD106" s="434">
        <f t="shared" si="166"/>
        <v>0</v>
      </c>
      <c r="AE106" s="434">
        <f t="shared" si="166"/>
        <v>0</v>
      </c>
      <c r="AF106" s="434">
        <f t="shared" si="166"/>
        <v>0</v>
      </c>
      <c r="AG106" s="465">
        <f t="shared" si="166"/>
        <v>0</v>
      </c>
      <c r="AH106" s="464">
        <f t="shared" si="167"/>
        <v>0</v>
      </c>
      <c r="AI106" s="434">
        <f t="shared" si="167"/>
        <v>0</v>
      </c>
      <c r="AJ106" s="434">
        <f t="shared" si="167"/>
        <v>0</v>
      </c>
      <c r="AK106" s="434">
        <f t="shared" si="167"/>
        <v>0</v>
      </c>
      <c r="AL106" s="465">
        <f t="shared" si="167"/>
        <v>0</v>
      </c>
      <c r="AM106" s="464">
        <f t="shared" si="168"/>
        <v>0</v>
      </c>
      <c r="AN106" s="434">
        <f t="shared" si="168"/>
        <v>0</v>
      </c>
      <c r="AO106" s="434">
        <f t="shared" si="168"/>
        <v>0</v>
      </c>
      <c r="AP106" s="434">
        <f t="shared" si="168"/>
        <v>0</v>
      </c>
      <c r="AQ106" s="434">
        <f t="shared" si="168"/>
        <v>0</v>
      </c>
      <c r="AR106" s="465">
        <f t="shared" si="168"/>
        <v>0</v>
      </c>
      <c r="AS106" s="464">
        <f t="shared" si="169"/>
        <v>0</v>
      </c>
      <c r="AT106" s="434">
        <f t="shared" si="169"/>
        <v>0</v>
      </c>
      <c r="AU106" s="434">
        <f t="shared" si="169"/>
        <v>0</v>
      </c>
      <c r="AV106" s="434">
        <f t="shared" si="169"/>
        <v>0</v>
      </c>
      <c r="AW106" s="465">
        <f t="shared" si="169"/>
        <v>0</v>
      </c>
      <c r="AX106" s="464">
        <f t="shared" si="170"/>
        <v>0</v>
      </c>
      <c r="AY106" s="434">
        <f t="shared" si="170"/>
        <v>0</v>
      </c>
      <c r="AZ106" s="434">
        <f t="shared" si="170"/>
        <v>0</v>
      </c>
      <c r="BA106" s="434">
        <f t="shared" si="170"/>
        <v>0</v>
      </c>
      <c r="BB106" s="434">
        <f t="shared" si="170"/>
        <v>0</v>
      </c>
      <c r="BC106" s="465">
        <f t="shared" si="170"/>
        <v>0</v>
      </c>
      <c r="BD106" s="464">
        <f t="shared" si="171"/>
        <v>0</v>
      </c>
      <c r="BE106" s="434">
        <f t="shared" si="171"/>
        <v>0</v>
      </c>
      <c r="BF106" s="434">
        <f t="shared" si="171"/>
        <v>0</v>
      </c>
      <c r="BG106" s="434">
        <f t="shared" si="171"/>
        <v>0</v>
      </c>
      <c r="BH106" s="465">
        <f t="shared" si="171"/>
        <v>0</v>
      </c>
      <c r="BI106" s="464">
        <f t="shared" si="172"/>
        <v>0</v>
      </c>
      <c r="BJ106" s="434">
        <f t="shared" si="172"/>
        <v>0</v>
      </c>
      <c r="BK106" s="434">
        <f t="shared" si="172"/>
        <v>0</v>
      </c>
      <c r="BL106" s="434">
        <f t="shared" si="172"/>
        <v>0</v>
      </c>
      <c r="BM106" s="434">
        <f t="shared" si="172"/>
        <v>0</v>
      </c>
      <c r="BN106" s="465">
        <f t="shared" si="172"/>
        <v>0</v>
      </c>
      <c r="BO106" s="464">
        <f t="shared" si="182"/>
        <v>0</v>
      </c>
      <c r="BP106" s="434">
        <f t="shared" si="182"/>
        <v>0</v>
      </c>
      <c r="BQ106" s="434">
        <f t="shared" si="182"/>
        <v>0</v>
      </c>
      <c r="BR106" s="434">
        <f t="shared" si="182"/>
        <v>0</v>
      </c>
      <c r="BS106" s="465">
        <f t="shared" si="182"/>
        <v>0</v>
      </c>
      <c r="BT106" s="464">
        <f t="shared" si="173"/>
        <v>0</v>
      </c>
      <c r="BU106" s="434">
        <f t="shared" si="173"/>
        <v>0</v>
      </c>
      <c r="BV106" s="434">
        <f t="shared" si="173"/>
        <v>0</v>
      </c>
      <c r="BW106" s="434">
        <f t="shared" si="173"/>
        <v>0</v>
      </c>
      <c r="BX106" s="434">
        <f t="shared" si="173"/>
        <v>0</v>
      </c>
      <c r="BY106" s="465">
        <f t="shared" si="173"/>
        <v>0</v>
      </c>
      <c r="BZ106" s="464">
        <f t="shared" si="174"/>
        <v>0</v>
      </c>
      <c r="CA106" s="434">
        <f t="shared" si="174"/>
        <v>0</v>
      </c>
      <c r="CB106" s="434">
        <f t="shared" si="174"/>
        <v>0</v>
      </c>
      <c r="CC106" s="434">
        <f t="shared" si="174"/>
        <v>0</v>
      </c>
      <c r="CD106" s="465">
        <f t="shared" si="174"/>
        <v>0</v>
      </c>
      <c r="CE106" s="464">
        <f t="shared" si="175"/>
        <v>0</v>
      </c>
      <c r="CF106" s="434">
        <f t="shared" si="175"/>
        <v>0</v>
      </c>
      <c r="CG106" s="434">
        <f t="shared" si="175"/>
        <v>0</v>
      </c>
      <c r="CH106" s="434">
        <f t="shared" si="175"/>
        <v>0</v>
      </c>
      <c r="CI106" s="434">
        <f t="shared" si="175"/>
        <v>0</v>
      </c>
      <c r="CJ106" s="465">
        <f t="shared" si="175"/>
        <v>0</v>
      </c>
      <c r="CK106" s="464">
        <f t="shared" si="176"/>
        <v>0</v>
      </c>
      <c r="CL106" s="434">
        <f t="shared" si="176"/>
        <v>0</v>
      </c>
      <c r="CM106" s="434">
        <f t="shared" si="176"/>
        <v>0</v>
      </c>
      <c r="CN106" s="434">
        <f t="shared" si="176"/>
        <v>0</v>
      </c>
      <c r="CO106" s="465">
        <f t="shared" si="176"/>
        <v>0</v>
      </c>
      <c r="CP106" s="464">
        <f t="shared" si="177"/>
        <v>0</v>
      </c>
      <c r="CQ106" s="434">
        <f t="shared" si="177"/>
        <v>0</v>
      </c>
      <c r="CR106" s="434">
        <f t="shared" si="177"/>
        <v>0</v>
      </c>
      <c r="CS106" s="434">
        <f t="shared" si="177"/>
        <v>0</v>
      </c>
      <c r="CT106" s="434">
        <f t="shared" si="177"/>
        <v>0</v>
      </c>
      <c r="CU106" s="465">
        <f t="shared" si="177"/>
        <v>0</v>
      </c>
      <c r="CV106" s="464">
        <f t="shared" si="178"/>
        <v>0</v>
      </c>
      <c r="CW106" s="434">
        <f t="shared" si="178"/>
        <v>0</v>
      </c>
      <c r="CX106" s="434">
        <f t="shared" si="178"/>
        <v>0</v>
      </c>
      <c r="CY106" s="434">
        <f t="shared" si="178"/>
        <v>0</v>
      </c>
      <c r="CZ106" s="465">
        <f t="shared" si="178"/>
        <v>0</v>
      </c>
      <c r="DA106" s="464">
        <f t="shared" si="179"/>
        <v>0</v>
      </c>
      <c r="DB106" s="434">
        <f t="shared" si="179"/>
        <v>0</v>
      </c>
      <c r="DC106" s="434">
        <f t="shared" si="179"/>
        <v>0</v>
      </c>
      <c r="DD106" s="434">
        <f t="shared" si="179"/>
        <v>0</v>
      </c>
      <c r="DE106" s="434">
        <f t="shared" si="179"/>
        <v>0</v>
      </c>
      <c r="DF106" s="465">
        <f t="shared" si="179"/>
        <v>0</v>
      </c>
      <c r="DG106" s="464">
        <f t="shared" si="180"/>
        <v>0</v>
      </c>
      <c r="DH106" s="434">
        <f t="shared" si="180"/>
        <v>0</v>
      </c>
      <c r="DI106" s="434">
        <f t="shared" si="180"/>
        <v>0</v>
      </c>
      <c r="DJ106" s="434">
        <f t="shared" si="180"/>
        <v>0</v>
      </c>
      <c r="DK106" s="465">
        <f t="shared" si="180"/>
        <v>0</v>
      </c>
      <c r="DL106" s="48"/>
      <c r="DM106" s="240"/>
      <c r="DN106" s="240"/>
      <c r="DO106" s="240"/>
    </row>
    <row r="107" spans="1:119" s="4" customFormat="1">
      <c r="A107" s="23"/>
      <c r="B107" s="23"/>
      <c r="C107" s="23"/>
      <c r="D107" s="23"/>
      <c r="E107" s="378" t="s">
        <v>83</v>
      </c>
      <c r="F107" s="1504">
        <f>SUM(F81:F106)</f>
        <v>210000000</v>
      </c>
      <c r="G107" s="470">
        <f t="shared" ref="G107:BQ107" si="183">SUM(G81:G106)</f>
        <v>228526179.25276256</v>
      </c>
      <c r="H107" s="470">
        <f t="shared" si="183"/>
        <v>231919411.39853102</v>
      </c>
      <c r="I107" s="470">
        <f t="shared" si="183"/>
        <v>239738577.07474747</v>
      </c>
      <c r="J107" s="470">
        <f t="shared" si="183"/>
        <v>247821366.01347342</v>
      </c>
      <c r="K107" s="471">
        <f t="shared" si="183"/>
        <v>256176666.27609706</v>
      </c>
      <c r="L107" s="469">
        <f t="shared" si="183"/>
        <v>264813665.58510056</v>
      </c>
      <c r="M107" s="470">
        <f t="shared" si="183"/>
        <v>273741861.42713791</v>
      </c>
      <c r="N107" s="470">
        <f t="shared" si="183"/>
        <v>282971071.49673653</v>
      </c>
      <c r="O107" s="470">
        <f t="shared" si="183"/>
        <v>292511444.49211031</v>
      </c>
      <c r="P107" s="471">
        <f t="shared" si="183"/>
        <v>302373471.27495217</v>
      </c>
      <c r="Q107" s="1412">
        <f t="shared" si="183"/>
        <v>100000000</v>
      </c>
      <c r="R107" s="470">
        <f t="shared" si="183"/>
        <v>106261472.70576632</v>
      </c>
      <c r="S107" s="470">
        <f t="shared" si="183"/>
        <v>105301883.34977625</v>
      </c>
      <c r="T107" s="470">
        <f t="shared" si="183"/>
        <v>106290910.81568913</v>
      </c>
      <c r="U107" s="470">
        <f t="shared" si="183"/>
        <v>107289227.52978271</v>
      </c>
      <c r="V107" s="471">
        <f t="shared" si="183"/>
        <v>108296920.73951447</v>
      </c>
      <c r="W107" s="469">
        <f t="shared" si="183"/>
        <v>109314078.51179659</v>
      </c>
      <c r="X107" s="470">
        <f t="shared" si="183"/>
        <v>110340789.7406927</v>
      </c>
      <c r="Y107" s="470">
        <f t="shared" si="183"/>
        <v>111377144.15518664</v>
      </c>
      <c r="Z107" s="470">
        <f t="shared" si="183"/>
        <v>112423232.32702421</v>
      </c>
      <c r="AA107" s="471">
        <f t="shared" si="183"/>
        <v>113479145.67862874</v>
      </c>
      <c r="AB107" s="1412">
        <f t="shared" si="183"/>
        <v>14000000</v>
      </c>
      <c r="AC107" s="470">
        <f t="shared" si="183"/>
        <v>15190269.562095389</v>
      </c>
      <c r="AD107" s="470">
        <f t="shared" si="183"/>
        <v>15371283.664970858</v>
      </c>
      <c r="AE107" s="470">
        <f t="shared" si="183"/>
        <v>15844439.043753404</v>
      </c>
      <c r="AF107" s="470">
        <f t="shared" si="183"/>
        <v>16332988.387851968</v>
      </c>
      <c r="AG107" s="471">
        <f t="shared" si="183"/>
        <v>16837443.741290595</v>
      </c>
      <c r="AH107" s="469">
        <f t="shared" si="183"/>
        <v>17358334.324259311</v>
      </c>
      <c r="AI107" s="470">
        <f t="shared" si="183"/>
        <v>17896207.111104708</v>
      </c>
      <c r="AJ107" s="470">
        <f t="shared" si="183"/>
        <v>18451627.427793358</v>
      </c>
      <c r="AK107" s="470">
        <f t="shared" si="183"/>
        <v>19025179.569504585</v>
      </c>
      <c r="AL107" s="471">
        <f t="shared" si="183"/>
        <v>19617467.439030934</v>
      </c>
      <c r="AM107" s="1412">
        <f t="shared" si="183"/>
        <v>2000000</v>
      </c>
      <c r="AN107" s="470">
        <f t="shared" si="183"/>
        <v>2165237.5387184005</v>
      </c>
      <c r="AO107" s="470">
        <f t="shared" si="183"/>
        <v>2186253.6919674934</v>
      </c>
      <c r="AP107" s="470">
        <f t="shared" si="183"/>
        <v>2248691.353261583</v>
      </c>
      <c r="AQ107" s="470">
        <f t="shared" si="183"/>
        <v>2313094.4825810399</v>
      </c>
      <c r="AR107" s="471">
        <f t="shared" si="183"/>
        <v>2379527.6047790977</v>
      </c>
      <c r="AS107" s="469">
        <f t="shared" si="183"/>
        <v>2448057.3983141091</v>
      </c>
      <c r="AT107" s="470">
        <f t="shared" si="183"/>
        <v>2518752.7675823336</v>
      </c>
      <c r="AU107" s="470">
        <f t="shared" si="183"/>
        <v>2591684.9176859343</v>
      </c>
      <c r="AV107" s="470">
        <f t="shared" si="183"/>
        <v>2666927.4317182153</v>
      </c>
      <c r="AW107" s="471">
        <f t="shared" si="183"/>
        <v>2744556.3506509322</v>
      </c>
      <c r="AX107" s="469">
        <f t="shared" si="183"/>
        <v>1200000</v>
      </c>
      <c r="AY107" s="470">
        <f t="shared" si="183"/>
        <v>1299142.5232310405</v>
      </c>
      <c r="AZ107" s="470">
        <f t="shared" si="183"/>
        <v>1311752.2151804958</v>
      </c>
      <c r="BA107" s="470">
        <f t="shared" si="183"/>
        <v>1349214.81195695</v>
      </c>
      <c r="BB107" s="470">
        <f t="shared" si="183"/>
        <v>1387856.689548624</v>
      </c>
      <c r="BC107" s="471">
        <f t="shared" si="183"/>
        <v>1427716.5628674594</v>
      </c>
      <c r="BD107" s="469">
        <f t="shared" si="183"/>
        <v>1468834.4389884656</v>
      </c>
      <c r="BE107" s="470">
        <f t="shared" si="183"/>
        <v>1511251.6605494001</v>
      </c>
      <c r="BF107" s="470">
        <f t="shared" si="183"/>
        <v>1555010.9506115608</v>
      </c>
      <c r="BG107" s="470">
        <f t="shared" si="183"/>
        <v>1600156.4590309288</v>
      </c>
      <c r="BH107" s="471">
        <f t="shared" si="183"/>
        <v>1646733.8103905586</v>
      </c>
      <c r="BI107" s="469">
        <f t="shared" si="183"/>
        <v>400000</v>
      </c>
      <c r="BJ107" s="470">
        <f t="shared" si="183"/>
        <v>433047.50774368015</v>
      </c>
      <c r="BK107" s="470">
        <f t="shared" si="183"/>
        <v>437250.73839349864</v>
      </c>
      <c r="BL107" s="470">
        <f t="shared" si="183"/>
        <v>449738.27065231663</v>
      </c>
      <c r="BM107" s="470">
        <f t="shared" si="183"/>
        <v>462618.89651620784</v>
      </c>
      <c r="BN107" s="471">
        <f t="shared" si="183"/>
        <v>475905.52095581975</v>
      </c>
      <c r="BO107" s="469">
        <f t="shared" si="183"/>
        <v>489611.4796628218</v>
      </c>
      <c r="BP107" s="470">
        <f t="shared" si="183"/>
        <v>503750.55351646664</v>
      </c>
      <c r="BQ107" s="470">
        <f t="shared" si="183"/>
        <v>518336.98353718693</v>
      </c>
      <c r="BR107" s="470">
        <f t="shared" ref="BR107:DK107" si="184">SUM(BR81:BR106)</f>
        <v>533385.48634364305</v>
      </c>
      <c r="BS107" s="471">
        <f t="shared" si="184"/>
        <v>548911.27013018634</v>
      </c>
      <c r="BT107" s="469">
        <f t="shared" si="184"/>
        <v>1200000</v>
      </c>
      <c r="BU107" s="470">
        <f t="shared" si="184"/>
        <v>1305863.8814443571</v>
      </c>
      <c r="BV107" s="470">
        <f t="shared" si="184"/>
        <v>1325253.7794201768</v>
      </c>
      <c r="BW107" s="470">
        <f t="shared" si="184"/>
        <v>1369934.7261414146</v>
      </c>
      <c r="BX107" s="470">
        <f t="shared" si="184"/>
        <v>1416122.0915055627</v>
      </c>
      <c r="BY107" s="471">
        <f t="shared" si="184"/>
        <v>1463866.6644348404</v>
      </c>
      <c r="BZ107" s="469">
        <f t="shared" si="184"/>
        <v>1513220.9462005757</v>
      </c>
      <c r="CA107" s="470">
        <f t="shared" si="184"/>
        <v>1564239.2081550749</v>
      </c>
      <c r="CB107" s="470">
        <f t="shared" si="184"/>
        <v>1616977.5514099242</v>
      </c>
      <c r="CC107" s="470">
        <f t="shared" si="184"/>
        <v>1671493.968526345</v>
      </c>
      <c r="CD107" s="471">
        <f t="shared" si="184"/>
        <v>1727848.4072854412</v>
      </c>
      <c r="CE107" s="469">
        <f t="shared" si="184"/>
        <v>340000</v>
      </c>
      <c r="CF107" s="470">
        <f t="shared" si="184"/>
        <v>369994.76640923449</v>
      </c>
      <c r="CG107" s="470">
        <f t="shared" si="184"/>
        <v>375488.57083571691</v>
      </c>
      <c r="CH107" s="470">
        <f t="shared" si="184"/>
        <v>388148.1724067342</v>
      </c>
      <c r="CI107" s="470">
        <f t="shared" si="184"/>
        <v>401234.59259324276</v>
      </c>
      <c r="CJ107" s="471">
        <f t="shared" si="184"/>
        <v>414762.22158987145</v>
      </c>
      <c r="CK107" s="469">
        <f t="shared" si="184"/>
        <v>428745.93475682975</v>
      </c>
      <c r="CL107" s="470">
        <f t="shared" si="184"/>
        <v>443201.10897727113</v>
      </c>
      <c r="CM107" s="470">
        <f t="shared" si="184"/>
        <v>458143.63956614514</v>
      </c>
      <c r="CN107" s="470">
        <f t="shared" si="184"/>
        <v>473589.95774913119</v>
      </c>
      <c r="CO107" s="471">
        <f t="shared" si="184"/>
        <v>489557.04873087525</v>
      </c>
      <c r="CP107" s="469">
        <f t="shared" si="184"/>
        <v>400000</v>
      </c>
      <c r="CQ107" s="470">
        <f t="shared" si="184"/>
        <v>435287.96048145235</v>
      </c>
      <c r="CR107" s="470">
        <f t="shared" si="184"/>
        <v>441751.25980672572</v>
      </c>
      <c r="CS107" s="470">
        <f t="shared" si="184"/>
        <v>456644.90871380491</v>
      </c>
      <c r="CT107" s="470">
        <f t="shared" si="184"/>
        <v>472040.69716852077</v>
      </c>
      <c r="CU107" s="471">
        <f t="shared" si="184"/>
        <v>487955.55481161352</v>
      </c>
      <c r="CV107" s="469">
        <f t="shared" si="184"/>
        <v>504406.9820668585</v>
      </c>
      <c r="CW107" s="470">
        <f t="shared" si="184"/>
        <v>521413.06938502478</v>
      </c>
      <c r="CX107" s="470">
        <f t="shared" si="184"/>
        <v>538992.51713664131</v>
      </c>
      <c r="CY107" s="470">
        <f t="shared" si="184"/>
        <v>557164.65617544844</v>
      </c>
      <c r="CZ107" s="471">
        <f t="shared" si="184"/>
        <v>575949.46909514733</v>
      </c>
      <c r="DA107" s="469">
        <f t="shared" si="184"/>
        <v>8000</v>
      </c>
      <c r="DB107" s="470">
        <f t="shared" si="184"/>
        <v>8705.7592096290482</v>
      </c>
      <c r="DC107" s="470">
        <f t="shared" si="184"/>
        <v>8835.0251961345148</v>
      </c>
      <c r="DD107" s="470">
        <f t="shared" si="184"/>
        <v>9132.8981742760971</v>
      </c>
      <c r="DE107" s="470">
        <f t="shared" si="184"/>
        <v>9440.8139433704182</v>
      </c>
      <c r="DF107" s="471">
        <f t="shared" si="184"/>
        <v>9759.1110962322709</v>
      </c>
      <c r="DG107" s="469">
        <f t="shared" si="184"/>
        <v>10088.139641337171</v>
      </c>
      <c r="DH107" s="470">
        <f t="shared" si="184"/>
        <v>10428.261387700497</v>
      </c>
      <c r="DI107" s="470">
        <f t="shared" si="184"/>
        <v>10779.850342732827</v>
      </c>
      <c r="DJ107" s="470">
        <f t="shared" si="184"/>
        <v>11143.293123508967</v>
      </c>
      <c r="DK107" s="471">
        <f t="shared" si="184"/>
        <v>11518.989381902949</v>
      </c>
      <c r="DL107" s="48"/>
      <c r="DM107" s="240"/>
      <c r="DN107" s="240"/>
      <c r="DO107" s="240"/>
    </row>
    <row r="108" spans="1:119" s="4" customForma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285"/>
      <c r="DI108" s="286"/>
      <c r="DJ108" s="240"/>
      <c r="DK108" s="240"/>
      <c r="DL108" s="285"/>
      <c r="DM108" s="240"/>
      <c r="DN108" s="240"/>
      <c r="DO108" s="240"/>
    </row>
    <row r="109" spans="1:119" s="4" customForma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285"/>
      <c r="DI109" s="286"/>
      <c r="DJ109" s="240"/>
      <c r="DK109" s="240"/>
      <c r="DL109" s="285"/>
      <c r="DM109" s="240"/>
      <c r="DN109" s="240"/>
      <c r="DO109" s="240"/>
    </row>
    <row r="110" spans="1:119">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285"/>
      <c r="DI110" s="240"/>
      <c r="DJ110" s="240"/>
      <c r="DK110" s="240"/>
      <c r="DL110" s="240"/>
      <c r="DM110" s="240"/>
      <c r="DN110" s="240"/>
      <c r="DO110" s="240"/>
    </row>
    <row r="111" spans="1:119">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285"/>
      <c r="DI111" s="240"/>
      <c r="DJ111" s="240"/>
      <c r="DK111" s="240"/>
      <c r="DL111" s="285"/>
      <c r="DM111" s="240"/>
      <c r="DN111" s="240"/>
      <c r="DO111" s="240"/>
    </row>
    <row r="112" spans="1:119">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285"/>
      <c r="DI112" s="240"/>
      <c r="DJ112" s="240"/>
      <c r="DK112" s="240"/>
      <c r="DL112" s="285"/>
      <c r="DM112" s="240"/>
      <c r="DN112" s="240"/>
      <c r="DO112" s="240"/>
    </row>
    <row r="113" spans="1:119">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285"/>
      <c r="DI113" s="240"/>
      <c r="DJ113" s="240"/>
      <c r="DK113" s="240"/>
      <c r="DL113" s="285"/>
      <c r="DM113" s="240"/>
      <c r="DN113" s="240"/>
      <c r="DO113" s="240"/>
    </row>
    <row r="114" spans="1:119">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285"/>
      <c r="DI114" s="240"/>
      <c r="DJ114" s="240"/>
      <c r="DK114" s="240"/>
      <c r="DL114" s="285"/>
      <c r="DM114" s="240"/>
      <c r="DN114" s="240"/>
      <c r="DO114" s="240"/>
    </row>
  </sheetData>
  <mergeCells count="65">
    <mergeCell ref="AX46:BC46"/>
    <mergeCell ref="BI46:BN46"/>
    <mergeCell ref="BT46:BY46"/>
    <mergeCell ref="AX12:BC12"/>
    <mergeCell ref="E44:G44"/>
    <mergeCell ref="F12:K12"/>
    <mergeCell ref="Q12:V12"/>
    <mergeCell ref="AB12:AG12"/>
    <mergeCell ref="AM12:AR12"/>
    <mergeCell ref="BI12:BN12"/>
    <mergeCell ref="AS12:AW12"/>
    <mergeCell ref="BD12:BH12"/>
    <mergeCell ref="F46:K46"/>
    <mergeCell ref="Q46:V46"/>
    <mergeCell ref="AB46:AG46"/>
    <mergeCell ref="AM46:AR46"/>
    <mergeCell ref="L46:P46"/>
    <mergeCell ref="W46:AA46"/>
    <mergeCell ref="AH46:AL46"/>
    <mergeCell ref="L12:P12"/>
    <mergeCell ref="W12:AA12"/>
    <mergeCell ref="E77:G77"/>
    <mergeCell ref="F79:K79"/>
    <mergeCell ref="Q79:V79"/>
    <mergeCell ref="BT79:BY79"/>
    <mergeCell ref="CE79:CJ79"/>
    <mergeCell ref="AB79:AG79"/>
    <mergeCell ref="AM79:AR79"/>
    <mergeCell ref="AX79:BC79"/>
    <mergeCell ref="BI79:BN79"/>
    <mergeCell ref="DA79:DF79"/>
    <mergeCell ref="DA46:DF46"/>
    <mergeCell ref="CE46:CJ46"/>
    <mergeCell ref="CP46:CU46"/>
    <mergeCell ref="CV46:CZ46"/>
    <mergeCell ref="CK46:CO46"/>
    <mergeCell ref="DG12:DK12"/>
    <mergeCell ref="CV12:CZ12"/>
    <mergeCell ref="CK12:CO12"/>
    <mergeCell ref="BZ12:CD12"/>
    <mergeCell ref="E2:G2"/>
    <mergeCell ref="BO12:BS12"/>
    <mergeCell ref="CE12:CJ12"/>
    <mergeCell ref="CP12:CU12"/>
    <mergeCell ref="DA12:DF12"/>
    <mergeCell ref="BT12:BY12"/>
    <mergeCell ref="E5:G5"/>
    <mergeCell ref="E10:G10"/>
    <mergeCell ref="AH12:AL12"/>
    <mergeCell ref="DG46:DK46"/>
    <mergeCell ref="L79:P79"/>
    <mergeCell ref="W79:AA79"/>
    <mergeCell ref="AH79:AL79"/>
    <mergeCell ref="AS79:AW79"/>
    <mergeCell ref="BD79:BH79"/>
    <mergeCell ref="BO79:BS79"/>
    <mergeCell ref="BZ79:CD79"/>
    <mergeCell ref="CK79:CO79"/>
    <mergeCell ref="CV79:CZ79"/>
    <mergeCell ref="DG79:DK79"/>
    <mergeCell ref="AS46:AW46"/>
    <mergeCell ref="BD46:BH46"/>
    <mergeCell ref="BO46:BS46"/>
    <mergeCell ref="BZ46:CD46"/>
    <mergeCell ref="CP79:CU79"/>
  </mergeCells>
  <phoneticPr fontId="31" type="noConversion"/>
  <pageMargins left="0.75" right="0.75" top="1" bottom="1" header="0.5" footer="0.5"/>
  <pageSetup paperSize="9" scale="26" orientation="portrait" r:id="rId1"/>
  <headerFooter alignWithMargins="0"/>
  <colBreaks count="4" manualBreakCount="4">
    <brk id="22" max="104" man="1"/>
    <brk id="44" max="107" man="1"/>
    <brk id="66" max="107" man="1"/>
    <brk id="88" max="107" man="1"/>
  </colBreaks>
  <ignoredErrors>
    <ignoredError sqref="G7:P7" unlocked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710</vt:i4>
      </vt:variant>
    </vt:vector>
  </HeadingPairs>
  <TitlesOfParts>
    <vt:vector size="723" baseType="lpstr">
      <vt:lpstr>Intro</vt:lpstr>
      <vt:lpstr>DMS input</vt:lpstr>
      <vt:lpstr>PTRM input</vt:lpstr>
      <vt:lpstr>WACC</vt:lpstr>
      <vt:lpstr>Assets</vt:lpstr>
      <vt:lpstr>Analysis</vt:lpstr>
      <vt:lpstr>Forecast revenues</vt:lpstr>
      <vt:lpstr>X factors</vt:lpstr>
      <vt:lpstr>Revenue summary</vt:lpstr>
      <vt:lpstr>Equity raising costs</vt:lpstr>
      <vt:lpstr>Chart 1-Revenue</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Chosen_ERC_approach</vt:lpstr>
      <vt:lpstr>CRCP_y1</vt:lpstr>
      <vt:lpstr>CRCP_y10</vt:lpstr>
      <vt:lpstr>CRCP_y2</vt:lpstr>
      <vt:lpstr>CRCP_y3</vt:lpstr>
      <vt:lpstr>CRCP_y4</vt:lpstr>
      <vt:lpstr>CRCP_y5</vt:lpstr>
      <vt:lpstr>CRCP_y6</vt:lpstr>
      <vt:lpstr>CRCP_y7</vt:lpstr>
      <vt:lpstr>CRCP_y8</vt:lpstr>
      <vt:lpstr>CRCP_y9</vt:lpstr>
      <vt:lpstr>CRY___financial</vt:lpstr>
      <vt:lpstr>CRY_calendar</vt:lpstr>
      <vt:lpstr>dms_0203_ProjectType</vt:lpstr>
      <vt:lpstr>dms_020303_01_UOM</vt:lpstr>
      <vt:lpstr>dms_020501_01_UOM</vt:lpstr>
      <vt:lpstr>dms_020501_02_UOM</vt:lpstr>
      <vt:lpstr>dms_020501_03_UOM</vt:lpstr>
      <vt:lpstr>dms_020501_04_UOM</vt:lpstr>
      <vt:lpstr>dms_020603_01_UOM</vt:lpstr>
      <vt:lpstr>dms_030601_01_UOM</vt:lpstr>
      <vt:lpstr>dms_030601_02_UOM</vt:lpstr>
      <vt:lpstr>dms_030701_01_UOM</vt:lpstr>
      <vt:lpstr>dms_030702_01_UOM</vt:lpstr>
      <vt:lpstr>dms_030703_01_UOM</vt:lpstr>
      <vt:lpstr>dms_040102_01_UOM</vt:lpstr>
      <vt:lpstr>dms_040102_04_UOM</vt:lpstr>
      <vt:lpstr>DMS_50_01_01a</vt:lpstr>
      <vt:lpstr>DMS_50_01_01b</vt:lpstr>
      <vt:lpstr>DMS_50_01_01c</vt:lpstr>
      <vt:lpstr>DMS_50_01_01d</vt:lpstr>
      <vt:lpstr>DMS_50_01_02</vt:lpstr>
      <vt:lpstr>DMS_50_01_03</vt:lpstr>
      <vt:lpstr>DMS_50_01_04</vt:lpstr>
      <vt:lpstr>DMS_50_01_05</vt:lpstr>
      <vt:lpstr>DMS_50_01_10</vt:lpstr>
      <vt:lpstr>DMS_50_01_11</vt:lpstr>
      <vt:lpstr>DMS_50_01_12</vt:lpstr>
      <vt:lpstr>DMS_50_01_13_y1</vt:lpstr>
      <vt:lpstr>DMS_50_02_01</vt:lpstr>
      <vt:lpstr>DMS_50_02_02</vt:lpstr>
      <vt:lpstr>DMS_50_02_04</vt:lpstr>
      <vt:lpstr>DMS_50_03_01</vt:lpstr>
      <vt:lpstr>DMS_50_03_02</vt:lpstr>
      <vt:lpstr>DMS_50_04_01</vt:lpstr>
      <vt:lpstr>DMS_50_04_02_01a</vt:lpstr>
      <vt:lpstr>DMS_50_04_02_01b</vt:lpstr>
      <vt:lpstr>DMS_50_04_02_02a</vt:lpstr>
      <vt:lpstr>DMS_50_04_02_02b</vt:lpstr>
      <vt:lpstr>DMS_50_04_02_03a</vt:lpstr>
      <vt:lpstr>DMS_50_04_02_03b</vt:lpstr>
      <vt:lpstr>DMS_50_04_03_01a</vt:lpstr>
      <vt:lpstr>DMS_50_04_03_01b</vt:lpstr>
      <vt:lpstr>DMS_50_04_03_01c</vt:lpstr>
      <vt:lpstr>DMS_50_04_03_01d</vt:lpstr>
      <vt:lpstr>DMS_50_04_03_02a</vt:lpstr>
      <vt:lpstr>DMS_50_04_03_02b</vt:lpstr>
      <vt:lpstr>DMS_50_04_03_02c</vt:lpstr>
      <vt:lpstr>DMS_50_04_03_02d</vt:lpstr>
      <vt:lpstr>DMS_50_04_03_03a</vt:lpstr>
      <vt:lpstr>DMS_50_04_03_03b</vt:lpstr>
      <vt:lpstr>DMS_50_04_03_03d</vt:lpstr>
      <vt:lpstr>DMS_50_04_04_01</vt:lpstr>
      <vt:lpstr>dms_663</vt:lpstr>
      <vt:lpstr>dms_663_List</vt:lpstr>
      <vt:lpstr>dms_ABN</vt:lpstr>
      <vt:lpstr>dms_ABN_List</vt:lpstr>
      <vt:lpstr>dms_Addr1</vt:lpstr>
      <vt:lpstr>dms_Addr1_List</vt:lpstr>
      <vt:lpstr>dms_Addr2</vt:lpstr>
      <vt:lpstr>dms_Addr2_List</vt:lpstr>
      <vt:lpstr>dms_AmendmentReason</vt:lpstr>
      <vt:lpstr>dms_ARR</vt:lpstr>
      <vt:lpstr>DMS_assetclassnames</vt:lpstr>
      <vt:lpstr>DMS_assetlife</vt:lpstr>
      <vt:lpstr>DMS_BuildBlock</vt:lpstr>
      <vt:lpstr>dms_CA</vt:lpstr>
      <vt:lpstr>dms_CalYears</vt:lpstr>
      <vt:lpstr>dms_CBD_flag</vt:lpstr>
      <vt:lpstr>dms_CFinalYear_List</vt:lpstr>
      <vt:lpstr>dms_Classification</vt:lpstr>
      <vt:lpstr>dms_ContactEmail</vt:lpstr>
      <vt:lpstr>dms_ContactEmail_List</vt:lpstr>
      <vt:lpstr>dms_ContactEmail2</vt:lpstr>
      <vt:lpstr>dms_ContactName1</vt:lpstr>
      <vt:lpstr>dms_ContactName1_List</vt:lpstr>
      <vt:lpstr>dms_ContactName2</vt:lpstr>
      <vt:lpstr>dms_ContactPh1</vt:lpstr>
      <vt:lpstr>dms_ContactPh1_List</vt:lpstr>
      <vt:lpstr>dms_ContactPh2</vt:lpstr>
      <vt:lpstr>DMS_CostOfCapitalParameters</vt:lpstr>
      <vt:lpstr>dms_crcp_cy1</vt:lpstr>
      <vt:lpstr>dms_crcp_cy10</vt:lpstr>
      <vt:lpstr>dms_crcp_cy11</vt:lpstr>
      <vt:lpstr>dms_crcp_cy12</vt:lpstr>
      <vt:lpstr>dms_crcp_cy13</vt:lpstr>
      <vt:lpstr>dms_crcp_cy14</vt:lpstr>
      <vt:lpstr>dms_crcp_cy15</vt:lpstr>
      <vt:lpstr>dms_crcp_cy2</vt:lpstr>
      <vt:lpstr>dms_crcp_cy3</vt:lpstr>
      <vt:lpstr>dms_crcp_cy4</vt:lpstr>
      <vt:lpstr>dms_crcp_cy5</vt:lpstr>
      <vt:lpstr>dms_crcp_cy6</vt:lpstr>
      <vt:lpstr>dms_crcp_cy7</vt:lpstr>
      <vt:lpstr>dms_crcp_cy8</vt:lpstr>
      <vt:lpstr>dms_crcp_cy9</vt:lpstr>
      <vt:lpstr>dms_CRCP_FinalYear_Ref</vt:lpstr>
      <vt:lpstr>dms_CRCP_FinalYear_Result</vt:lpstr>
      <vt:lpstr>dms_CRCP_FirstYear_Result</vt:lpstr>
      <vt:lpstr>dms_CRCP_index</vt:lpstr>
      <vt:lpstr>dms_CRCP_years</vt:lpstr>
      <vt:lpstr>dms_CRCP_yM</vt:lpstr>
      <vt:lpstr>dms_CRCP_yN</vt:lpstr>
      <vt:lpstr>dms_CRCP_yO</vt:lpstr>
      <vt:lpstr>dms_CRCP_yP</vt:lpstr>
      <vt:lpstr>dms_CRCP_yQ</vt:lpstr>
      <vt:lpstr>dms_CRCP_yR</vt:lpstr>
      <vt:lpstr>dms_CRCP_yS</vt:lpstr>
      <vt:lpstr>dms_CRCP_yT</vt:lpstr>
      <vt:lpstr>dms_CRCP_yU</vt:lpstr>
      <vt:lpstr>dms_CRCP_yV</vt:lpstr>
      <vt:lpstr>dms_CRCP_yW</vt:lpstr>
      <vt:lpstr>dms_CRCP_yX</vt:lpstr>
      <vt:lpstr>dms_CRCP_yY</vt:lpstr>
      <vt:lpstr>dms_CRCP_yZ</vt:lpstr>
      <vt:lpstr>dms_CRCPlength_List</vt:lpstr>
      <vt:lpstr>dms_CRCPlength_Num</vt:lpstr>
      <vt:lpstr>dms_CRCPlength_Num_List</vt:lpstr>
      <vt:lpstr>dms_CRY_ListC</vt:lpstr>
      <vt:lpstr>dms_CRY_ListF</vt:lpstr>
      <vt:lpstr>dms_CRYc_y1</vt:lpstr>
      <vt:lpstr>dms_CRYc_y10</vt:lpstr>
      <vt:lpstr>dms_CRYc_y11</vt:lpstr>
      <vt:lpstr>dms_CRYc_y12</vt:lpstr>
      <vt:lpstr>dms_CRYc_y13</vt:lpstr>
      <vt:lpstr>dms_CRYc_y14</vt:lpstr>
      <vt:lpstr>dms_CRYc_y15</vt:lpstr>
      <vt:lpstr>dms_CRYc_y16</vt:lpstr>
      <vt:lpstr>dms_CRYc_y17</vt:lpstr>
      <vt:lpstr>dms_CRYc_y18</vt:lpstr>
      <vt:lpstr>dms_CRYc_y19</vt:lpstr>
      <vt:lpstr>dms_CRYc_y2</vt:lpstr>
      <vt:lpstr>dms_CRYc_y20</vt:lpstr>
      <vt:lpstr>dms_CRYc_y3</vt:lpstr>
      <vt:lpstr>dms_CRYc_y4</vt:lpstr>
      <vt:lpstr>dms_CRYc_y5</vt:lpstr>
      <vt:lpstr>dms_CRYc_y6</vt:lpstr>
      <vt:lpstr>dms_CRYc_y7</vt:lpstr>
      <vt:lpstr>dms_CRYc_y8</vt:lpstr>
      <vt:lpstr>dms_CRYc_y9</vt:lpstr>
      <vt:lpstr>dms_CRYf_y1</vt:lpstr>
      <vt:lpstr>dms_CRYf_y10</vt:lpstr>
      <vt:lpstr>dms_CRYf_y11</vt:lpstr>
      <vt:lpstr>dms_CRYf_y12</vt:lpstr>
      <vt:lpstr>dms_CRYf_y13</vt:lpstr>
      <vt:lpstr>dms_CRYf_y14</vt:lpstr>
      <vt:lpstr>dms_CRYf_y15</vt:lpstr>
      <vt:lpstr>dms_CRYf_y16</vt:lpstr>
      <vt:lpstr>dms_CRYf_y17</vt:lpstr>
      <vt:lpstr>dms_CRYf_y18</vt:lpstr>
      <vt:lpstr>dms_CRYf_y19</vt:lpstr>
      <vt:lpstr>dms_CRYf_y2</vt:lpstr>
      <vt:lpstr>dms_CRYf_y20</vt:lpstr>
      <vt:lpstr>dms_CRYf_y3</vt:lpstr>
      <vt:lpstr>dms_CRYf_y4</vt:lpstr>
      <vt:lpstr>dms_CRYf_y5</vt:lpstr>
      <vt:lpstr>dms_CRYf_y6</vt:lpstr>
      <vt:lpstr>dms_CRYf_y7</vt:lpstr>
      <vt:lpstr>dms_CRYf_y8</vt:lpstr>
      <vt:lpstr>dms_CRYf_y9</vt:lpstr>
      <vt:lpstr>dms_cy1</vt:lpstr>
      <vt:lpstr>dms_cy10</vt:lpstr>
      <vt:lpstr>dms_cy11</vt:lpstr>
      <vt:lpstr>dms_cy12</vt:lpstr>
      <vt:lpstr>dms_cy13</vt:lpstr>
      <vt:lpstr>dms_cy14</vt:lpstr>
      <vt:lpstr>dms_cy15</vt:lpstr>
      <vt:lpstr>dms_cy16</vt:lpstr>
      <vt:lpstr>dms_cy17</vt:lpstr>
      <vt:lpstr>dms_cy18</vt:lpstr>
      <vt:lpstr>dms_cy19</vt:lpstr>
      <vt:lpstr>dms_cy2</vt:lpstr>
      <vt:lpstr>dms_cy20</vt:lpstr>
      <vt:lpstr>dms_cy3</vt:lpstr>
      <vt:lpstr>dms_cy4</vt:lpstr>
      <vt:lpstr>dms_cy5</vt:lpstr>
      <vt:lpstr>dms_cy6</vt:lpstr>
      <vt:lpstr>dms_cy7</vt:lpstr>
      <vt:lpstr>dms_cy8</vt:lpstr>
      <vt:lpstr>dms_cy9</vt:lpstr>
      <vt:lpstr>DMS_DandEcosts</vt:lpstr>
      <vt:lpstr>dms_DataQuality</vt:lpstr>
      <vt:lpstr>dms_DataQuality_List</vt:lpstr>
      <vt:lpstr>dms_Defined_Names_Used</vt:lpstr>
      <vt:lpstr>dms_DeterminationRef</vt:lpstr>
      <vt:lpstr>dms_DeterminationRef_List</vt:lpstr>
      <vt:lpstr>dms_DollarReal</vt:lpstr>
      <vt:lpstr>dms_EB</vt:lpstr>
      <vt:lpstr>dms_EBSS_status</vt:lpstr>
      <vt:lpstr>DMS_EnergyFC</vt:lpstr>
      <vt:lpstr>DMS_FCOpex</vt:lpstr>
      <vt:lpstr>dms_FeederName_1</vt:lpstr>
      <vt:lpstr>dms_FeederName_2</vt:lpstr>
      <vt:lpstr>dms_FeederName_3</vt:lpstr>
      <vt:lpstr>dms_FeederName_4</vt:lpstr>
      <vt:lpstr>dms_FeederName_5</vt:lpstr>
      <vt:lpstr>dms_FeederType_5_flag</vt:lpstr>
      <vt:lpstr>dms_FinalYear_List</vt:lpstr>
      <vt:lpstr>dms_FinYears</vt:lpstr>
      <vt:lpstr>dms_FormControl</vt:lpstr>
      <vt:lpstr>dms_FormControl_Choices</vt:lpstr>
      <vt:lpstr>dms_FormControl_List</vt:lpstr>
      <vt:lpstr>dms_FRCP_cyear_list</vt:lpstr>
      <vt:lpstr>dms_frcp_fy1</vt:lpstr>
      <vt:lpstr>dms_frcp_fy10</vt:lpstr>
      <vt:lpstr>dms_frcp_fy11</vt:lpstr>
      <vt:lpstr>dms_frcp_fy12</vt:lpstr>
      <vt:lpstr>dms_frcp_fy13</vt:lpstr>
      <vt:lpstr>dms_frcp_fy14</vt:lpstr>
      <vt:lpstr>dms_frcp_fy15</vt:lpstr>
      <vt:lpstr>dms_frcp_fy2</vt:lpstr>
      <vt:lpstr>dms_frcp_fy3</vt:lpstr>
      <vt:lpstr>dms_frcp_fy4</vt:lpstr>
      <vt:lpstr>dms_frcp_fy5</vt:lpstr>
      <vt:lpstr>dms_frcp_fy6</vt:lpstr>
      <vt:lpstr>dms_frcp_fy7</vt:lpstr>
      <vt:lpstr>dms_frcp_fy8</vt:lpstr>
      <vt:lpstr>dms_frcp_fy9</vt:lpstr>
      <vt:lpstr>dms_FRCP_fyear_list</vt:lpstr>
      <vt:lpstr>dms_FRCP_ListC</vt:lpstr>
      <vt:lpstr>dms_FRCP_ListF</vt:lpstr>
      <vt:lpstr>dms_FRCP_y1</vt:lpstr>
      <vt:lpstr>dms_FRCP_y10</vt:lpstr>
      <vt:lpstr>dms_FRCP_y11</vt:lpstr>
      <vt:lpstr>dms_FRCP_y12</vt:lpstr>
      <vt:lpstr>dms_FRCP_y13</vt:lpstr>
      <vt:lpstr>dms_FRCP_y14</vt:lpstr>
      <vt:lpstr>dms_FRCP_y2</vt:lpstr>
      <vt:lpstr>dms_FRCP_y3</vt:lpstr>
      <vt:lpstr>dms_FRCP_y4</vt:lpstr>
      <vt:lpstr>dms_FRCP_y5</vt:lpstr>
      <vt:lpstr>dms_FRCP_y6</vt:lpstr>
      <vt:lpstr>dms_FRCP_y7</vt:lpstr>
      <vt:lpstr>dms_FRCP_y8</vt:lpstr>
      <vt:lpstr>dms_FRCP_y9</vt:lpstr>
      <vt:lpstr>dms_FRCP_years</vt:lpstr>
      <vt:lpstr>dms_FRCPlength_List</vt:lpstr>
      <vt:lpstr>dms_FRCPlength_Num</vt:lpstr>
      <vt:lpstr>dms_FRCPlength_Num_List</vt:lpstr>
      <vt:lpstr>dms_fy1</vt:lpstr>
      <vt:lpstr>dms_fy10</vt:lpstr>
      <vt:lpstr>dms_fy11</vt:lpstr>
      <vt:lpstr>dms_fy12</vt:lpstr>
      <vt:lpstr>dms_fy13</vt:lpstr>
      <vt:lpstr>dms_fy14</vt:lpstr>
      <vt:lpstr>dms_fy15</vt:lpstr>
      <vt:lpstr>dms_fy16</vt:lpstr>
      <vt:lpstr>dms_fy17</vt:lpstr>
      <vt:lpstr>dms_fy18</vt:lpstr>
      <vt:lpstr>dms_fy19</vt:lpstr>
      <vt:lpstr>dms_fy2</vt:lpstr>
      <vt:lpstr>dms_fy20</vt:lpstr>
      <vt:lpstr>dms_fy3</vt:lpstr>
      <vt:lpstr>dms_fy4</vt:lpstr>
      <vt:lpstr>dms_fy5</vt:lpstr>
      <vt:lpstr>dms_fy6</vt:lpstr>
      <vt:lpstr>dms_fy7</vt:lpstr>
      <vt:lpstr>dms_fy8</vt:lpstr>
      <vt:lpstr>dms_fy9</vt:lpstr>
      <vt:lpstr>dms_Jurisdiction</vt:lpstr>
      <vt:lpstr>dms_JurisdictionList</vt:lpstr>
      <vt:lpstr>dms_LongRural_flag</vt:lpstr>
      <vt:lpstr>dms_MAIFI_flag_List</vt:lpstr>
      <vt:lpstr>dms_Model</vt:lpstr>
      <vt:lpstr>dms_Model_List</vt:lpstr>
      <vt:lpstr>dms_MultiYear_FinalYear_Ref</vt:lpstr>
      <vt:lpstr>dms_MultiYear_FinalYear_Result</vt:lpstr>
      <vt:lpstr>dms_MultiYear_Flag</vt:lpstr>
      <vt:lpstr>DMS_oassetvalue</vt:lpstr>
      <vt:lpstr>DMS_otaxvalue</vt:lpstr>
      <vt:lpstr>dms_PAddr1</vt:lpstr>
      <vt:lpstr>dms_PAddr1_List</vt:lpstr>
      <vt:lpstr>dms_PAddr2</vt:lpstr>
      <vt:lpstr>dms_PAddr2_List</vt:lpstr>
      <vt:lpstr>dms_PostCode</vt:lpstr>
      <vt:lpstr>dms_PostCode_List</vt:lpstr>
      <vt:lpstr>DMS_PPArevcap</vt:lpstr>
      <vt:lpstr>DMS_PPArevcap1</vt:lpstr>
      <vt:lpstr>DMS_PPArevcap2</vt:lpstr>
      <vt:lpstr>DMS_PPArevcap3</vt:lpstr>
      <vt:lpstr>DMS_PPArevcap4</vt:lpstr>
      <vt:lpstr>DMS_PPArevyield</vt:lpstr>
      <vt:lpstr>DMS_PPArevyield1</vt:lpstr>
      <vt:lpstr>DMS_PPArevyield2</vt:lpstr>
      <vt:lpstr>DMS_PPArevyield4</vt:lpstr>
      <vt:lpstr>DMS_PPAwapc</vt:lpstr>
      <vt:lpstr>DMS_PPAwapc1</vt:lpstr>
      <vt:lpstr>DMS_PPAwapc2</vt:lpstr>
      <vt:lpstr>DMS_PPAwapc3</vt:lpstr>
      <vt:lpstr>DMS_PPAwapc4</vt:lpstr>
      <vt:lpstr>dms_PPostCode</vt:lpstr>
      <vt:lpstr>dms_PPostCode_List</vt:lpstr>
      <vt:lpstr>dms_PState</vt:lpstr>
      <vt:lpstr>dms_PState_List</vt:lpstr>
      <vt:lpstr>dms_PSuburb</vt:lpstr>
      <vt:lpstr>dms_PSuburb_List</vt:lpstr>
      <vt:lpstr>DMS_RAB</vt:lpstr>
      <vt:lpstr>dms_RCP_cyear_list</vt:lpstr>
      <vt:lpstr>dms_RCP_fyear_list</vt:lpstr>
      <vt:lpstr>dms_Reason_Interruption</vt:lpstr>
      <vt:lpstr>dms_Reason_Interruption_Detailed</vt:lpstr>
      <vt:lpstr>dms_Reg_Year_Span</vt:lpstr>
      <vt:lpstr>DMS_RevAdjust</vt:lpstr>
      <vt:lpstr>DMS_Revyield</vt:lpstr>
      <vt:lpstr>dms_RINversion</vt:lpstr>
      <vt:lpstr>dms_RPT</vt:lpstr>
      <vt:lpstr>dms_RPT_List</vt:lpstr>
      <vt:lpstr>dms_RPTMonth</vt:lpstr>
      <vt:lpstr>dms_RPTMonth_List</vt:lpstr>
      <vt:lpstr>DMS_RSrevcap1</vt:lpstr>
      <vt:lpstr>DMS_RSrevcap2</vt:lpstr>
      <vt:lpstr>DMS_RSrevyield1</vt:lpstr>
      <vt:lpstr>DMS_RSrevyield2</vt:lpstr>
      <vt:lpstr>DMS_RSwapc1</vt:lpstr>
      <vt:lpstr>DMS_RSwapc2</vt:lpstr>
      <vt:lpstr>dms_RYE</vt:lpstr>
      <vt:lpstr>dms_RYE_Formula_Result</vt:lpstr>
      <vt:lpstr>dms_Sector</vt:lpstr>
      <vt:lpstr>dms_Sector_List</vt:lpstr>
      <vt:lpstr>dms_Segment</vt:lpstr>
      <vt:lpstr>dms_Segment_List</vt:lpstr>
      <vt:lpstr>dms_ShortRural_flag</vt:lpstr>
      <vt:lpstr>dms_SingleYear_FinalYear_Ref</vt:lpstr>
      <vt:lpstr>dms_SingleYear_FinalYear_Result</vt:lpstr>
      <vt:lpstr>dms_SingleYear_Model</vt:lpstr>
      <vt:lpstr>dms_Source</vt:lpstr>
      <vt:lpstr>dms_SourceList</vt:lpstr>
      <vt:lpstr>dms_Specified_FinalYear</vt:lpstr>
      <vt:lpstr>dms_State</vt:lpstr>
      <vt:lpstr>dms_State_List</vt:lpstr>
      <vt:lpstr>dms_STPIS_exclusions</vt:lpstr>
      <vt:lpstr>dms_SubmissionDate</vt:lpstr>
      <vt:lpstr>dms_Suburb</vt:lpstr>
      <vt:lpstr>dms_Suburb_List</vt:lpstr>
      <vt:lpstr>DMS_TAB</vt:lpstr>
      <vt:lpstr>DMS_taxassetlife</vt:lpstr>
      <vt:lpstr>DMS_TaxRates</vt:lpstr>
      <vt:lpstr>dms_TemplateNumber</vt:lpstr>
      <vt:lpstr>dms_TradingName</vt:lpstr>
      <vt:lpstr>dms_TradingName_List</vt:lpstr>
      <vt:lpstr>dms_TradingNameFull</vt:lpstr>
      <vt:lpstr>dms_TradingNameFull_List</vt:lpstr>
      <vt:lpstr>dms_Urban_flag</vt:lpstr>
      <vt:lpstr>DMS_WACCAnalysis</vt:lpstr>
      <vt:lpstr>dms_Worksheet_List</vt:lpstr>
      <vt:lpstr>DMS_Xfactor</vt:lpstr>
      <vt:lpstr>Drc</vt:lpstr>
      <vt:lpstr>Drpc</vt:lpstr>
      <vt:lpstr>Drpt</vt:lpstr>
      <vt:lpstr>Dv</vt:lpstr>
      <vt:lpstr>ERC_Final_Calc</vt:lpstr>
      <vt:lpstr>ERC_Form_Of_Control</vt:lpstr>
      <vt:lpstr>ERC_table</vt:lpstr>
      <vt:lpstr>ERC_Yr01_Inc</vt:lpstr>
      <vt:lpstr>f</vt:lpstr>
      <vt:lpstr>Form_of_control_reverse_table</vt:lpstr>
      <vt:lpstr>FRCP_y1</vt:lpstr>
      <vt:lpstr>FRCP_y10</vt:lpstr>
      <vt:lpstr>FRCP_y2</vt:lpstr>
      <vt:lpstr>FRCP_y3</vt:lpstr>
      <vt:lpstr>FRCP_y4</vt:lpstr>
      <vt:lpstr>FRCP_y5</vt:lpstr>
      <vt:lpstr>FRCP_y6</vt:lpstr>
      <vt:lpstr>FRCP_y7</vt:lpstr>
      <vt:lpstr>FRCP_y8</vt:lpstr>
      <vt:lpstr>FRCP_y9</vt:lpstr>
      <vt:lpstr>g</vt:lpstr>
      <vt:lpstr>Icpr</vt:lpstr>
      <vt:lpstr>MAIFI_flag</vt:lpstr>
      <vt:lpstr>NPV_Diff_RevCap</vt:lpstr>
      <vt:lpstr>NPV_Diff_RevYld</vt:lpstr>
      <vt:lpstr>NPV_Diff_WAPC</vt:lpstr>
      <vt:lpstr>P_0_RevCap</vt:lpstr>
      <vt:lpstr>P_0_RevYld</vt:lpstr>
      <vt:lpstr>P_0_WAPC</vt:lpstr>
      <vt:lpstr>PRCP_y1</vt:lpstr>
      <vt:lpstr>PRCP_y2</vt:lpstr>
      <vt:lpstr>PRCP_y3</vt:lpstr>
      <vt:lpstr>PRCP_y4</vt:lpstr>
      <vt:lpstr>PRCP_y5</vt:lpstr>
      <vt:lpstr>Analysis!Print_Area</vt:lpstr>
      <vt:lpstr>Assets!Print_Area</vt:lpstr>
      <vt:lpstr>'Chart 1-Revenue'!Print_Area</vt:lpstr>
      <vt:lpstr>'Chart 2-Price path'!Print_Area</vt:lpstr>
      <vt:lpstr>'Chart 3-Building blocks'!Print_Area</vt:lpstr>
      <vt:lpstr>'DMS input'!Print_Area</vt:lpstr>
      <vt:lpstr>'Equity raising costs'!Print_Area</vt:lpstr>
      <vt:lpstr>'Forecast revenues'!Print_Area</vt:lpstr>
      <vt:lpstr>Intro!Print_Area</vt:lpstr>
      <vt:lpstr>'PTRM input'!Print_Area</vt:lpstr>
      <vt:lpstr>'Revenue summary'!Print_Area</vt:lpstr>
      <vt:lpstr>WACC!Print_Area</vt:lpstr>
      <vt:lpstr>'X factors'!Print_Area</vt:lpstr>
      <vt:lpstr>RAB</vt:lpstr>
      <vt:lpstr>Reg_Period_Length</vt:lpstr>
      <vt:lpstr>rvanilla01</vt:lpstr>
      <vt:lpstr>rvanilla02</vt:lpstr>
      <vt:lpstr>rvanilla03</vt:lpstr>
      <vt:lpstr>rvanilla04</vt:lpstr>
      <vt:lpstr>rvanilla05</vt:lpstr>
      <vt:lpstr>rvanilla06</vt:lpstr>
      <vt:lpstr>rvanilla07</vt:lpstr>
      <vt:lpstr>rvanilla08</vt:lpstr>
      <vt:lpstr>rvanilla09</vt:lpstr>
      <vt:lpstr>rvanilla10</vt:lpstr>
      <vt:lpstr>Seo</vt:lpstr>
      <vt:lpstr>SheetHeader</vt:lpstr>
      <vt:lpstr>Td</vt:lpstr>
      <vt:lpstr>Td_Cashflow_Calc</vt:lpstr>
      <vt:lpstr>Td_Final</vt:lpstr>
      <vt:lpstr>Te</vt:lpstr>
      <vt:lpstr>Te_Cashflow_Calc</vt:lpstr>
      <vt:lpstr>Te_Final</vt:lpstr>
      <vt:lpstr>vanilla01</vt:lpstr>
      <vt:lpstr>vanilla02</vt:lpstr>
      <vt:lpstr>vanilla03</vt:lpstr>
      <vt:lpstr>vanilla04</vt:lpstr>
      <vt:lpstr>vanilla05</vt:lpstr>
      <vt:lpstr>vanilla06</vt:lpstr>
      <vt:lpstr>vanilla07</vt:lpstr>
      <vt:lpstr>vanilla08</vt:lpstr>
      <vt:lpstr>vanilla09</vt:lpstr>
      <vt:lpstr>vanilla10</vt:lpstr>
      <vt:lpstr>X_01_RevCap</vt:lpstr>
      <vt:lpstr>X_01_RevYld</vt:lpstr>
      <vt:lpstr>X_01_WAPC</vt:lpstr>
      <vt:lpstr>X_02_RevCap</vt:lpstr>
      <vt:lpstr>X_02_RevYld</vt:lpstr>
      <vt:lpstr>X_02_WAPC</vt:lpstr>
      <vt:lpstr>X_03_RevCap</vt:lpstr>
      <vt:lpstr>X_03_RevYld</vt:lpstr>
      <vt:lpstr>X_03_WAPC</vt:lpstr>
      <vt:lpstr>X_04_RevCap</vt:lpstr>
      <vt:lpstr>X_04_RevYld</vt:lpstr>
      <vt:lpstr>X_04_WAPC</vt:lpstr>
      <vt:lpstr>X_05_RevCap</vt:lpstr>
      <vt:lpstr>X_05_RevYld</vt:lpstr>
      <vt:lpstr>X_05_WAPC</vt:lpstr>
      <vt:lpstr>X_06_RevCap</vt:lpstr>
      <vt:lpstr>X_06_RevYld</vt:lpstr>
      <vt:lpstr>X_06_WAPC</vt:lpstr>
      <vt:lpstr>X_07_RevCap</vt:lpstr>
      <vt:lpstr>X_07_RevYld</vt:lpstr>
      <vt:lpstr>X_07_WAPC</vt:lpstr>
      <vt:lpstr>X_08_RevCap</vt:lpstr>
      <vt:lpstr>X_08_RevYld</vt:lpstr>
      <vt:lpstr>X_08_WAPC</vt:lpstr>
      <vt:lpstr>X_09_RevCap</vt:lpstr>
      <vt:lpstr>X_09_RevYld</vt:lpstr>
      <vt:lpstr>X_09_WAPC</vt:lpstr>
      <vt:lpstr>X_10_RevCap</vt:lpstr>
      <vt:lpstr>X_10_RevYld</vt:lpstr>
      <vt:lpstr>X_10_WAPC</vt:lpstr>
      <vt:lpstr>X_Factors_RevCap</vt:lpstr>
      <vt:lpstr>X_Factors_RevYld</vt:lpstr>
      <vt:lpstr>X_Factors_WAPC</vt:lpstr>
      <vt:lpstr>Years</vt:lpstr>
      <vt:lpstr>Yr_01_Diff_RevCap</vt:lpstr>
      <vt:lpstr>Yr_01_Diff_RevYld</vt:lpstr>
      <vt:lpstr>Yr_01_Diff_WAPC</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keywords>PTRM; DNSP</cp:keywords>
  <dc:description>20170130 - ready to publish</dc:description>
  <cp:lastModifiedBy>Pickering, Joanne</cp:lastModifiedBy>
  <cp:lastPrinted>2015-04-09T05:37:00Z</cp:lastPrinted>
  <dcterms:created xsi:type="dcterms:W3CDTF">2000-02-13T23:07:37Z</dcterms:created>
  <dcterms:modified xsi:type="dcterms:W3CDTF">2019-10-17T01:58:27Z</dcterms:modified>
  <cp:category>PTRM;DNSP</cp:category>
  <cp:contentStatus>CURRENT @ 20170130</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f">
    <vt:lpwstr>S:\AER\CPI data &amp; templates\New PTRM - 2014 update (annual cost of debt)\Distribution PTRM Template - July 2014 working version - Annual cost of debt update.xlsm</vt:lpwstr>
  </property>
</Properties>
</file>